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hcro\Downloads\"/>
    </mc:Choice>
  </mc:AlternateContent>
  <xr:revisionPtr revIDLastSave="0" documentId="13_ncr:1_{1BBE1DE7-BDB1-4939-9172-4720596136C1}" xr6:coauthVersionLast="47" xr6:coauthVersionMax="47" xr10:uidLastSave="{00000000-0000-0000-0000-000000000000}"/>
  <bookViews>
    <workbookView xWindow="-120" yWindow="-120" windowWidth="29040" windowHeight="15720" tabRatio="500" firstSheet="7" activeTab="7" xr2:uid="{00000000-000D-0000-FFFF-FFFF00000000}"/>
  </bookViews>
  <sheets>
    <sheet name="START HERE" sheetId="1" r:id="rId1"/>
    <sheet name="DASHBOARD" sheetId="2" r:id="rId2"/>
    <sheet name="DEPTH CURVES" sheetId="3" r:id="rId3"/>
    <sheet name="LEADERBOARDS" sheetId="4" r:id="rId4"/>
    <sheet name="TIER BOARDS" sheetId="5" r:id="rId5"/>
    <sheet name="PLAYER CARD" sheetId="6" r:id="rId6"/>
    <sheet name="CLAN COMPARE" sheetId="7" r:id="rId7"/>
    <sheet name="WARBANDS" sheetId="8" r:id="rId8"/>
    <sheet name="TRANSFERS" sheetId="9" r:id="rId9"/>
    <sheet name="FUCT" sheetId="10" r:id="rId10"/>
    <sheet name="LEGENDS" sheetId="11" r:id="rId11"/>
    <sheet name="VANGUARD" sheetId="12" r:id="rId12"/>
    <sheet name="UNDYING" sheetId="13" r:id="rId13"/>
    <sheet name="SBG" sheetId="14" r:id="rId14"/>
    <sheet name="AZUKI" sheetId="15" r:id="rId15"/>
    <sheet name="RECKONING" sheetId="16" r:id="rId16"/>
    <sheet name="ACHERON" sheetId="17" r:id="rId17"/>
    <sheet name="INVICTUS" sheetId="18" r:id="rId18"/>
    <sheet name="EMERALD LEAF" sheetId="19" r:id="rId19"/>
    <sheet name="SUB ROSA" sheetId="20" r:id="rId20"/>
    <sheet name="VENGEANCE" sheetId="21" r:id="rId21"/>
    <sheet name="VENDETTA" sheetId="22" r:id="rId22"/>
    <sheet name="ZOMBIES" sheetId="23" r:id="rId23"/>
    <sheet name="MASTER" sheetId="24" r:id="rId24"/>
    <sheet name="WARBAND ROSTER" sheetId="25" r:id="rId25"/>
    <sheet name="SETUP" sheetId="26" r:id="rId26"/>
  </sheets>
  <definedNames>
    <definedName name="_xlnm._FilterDatabase" localSheetId="16" hidden="1">ACHERON!$A$8:$N$129</definedName>
    <definedName name="_xlnm._FilterDatabase" localSheetId="14" hidden="1">AZUKI!$A$8:$N$135</definedName>
    <definedName name="_xlnm._FilterDatabase" localSheetId="18" hidden="1">'EMERALD LEAF'!$A$8:$N$130</definedName>
    <definedName name="_xlnm._FilterDatabase" localSheetId="9" hidden="1">FUCT!$A$8:$N$130</definedName>
    <definedName name="_xlnm._FilterDatabase" localSheetId="17" hidden="1">INVICTUS!$A$8:$N$133</definedName>
    <definedName name="_xlnm._FilterDatabase" localSheetId="10" hidden="1">LEGENDS!$A$8:$N$133</definedName>
    <definedName name="_xlnm._FilterDatabase" localSheetId="23" hidden="1">MASTER!$A$3:$W$1463</definedName>
    <definedName name="_xlnm._FilterDatabase" localSheetId="15" hidden="1">RECKONING!$A$8:$N$130</definedName>
    <definedName name="_xlnm._FilterDatabase" localSheetId="13" hidden="1">SBG!$A$8:$N$130</definedName>
    <definedName name="_xlnm._FilterDatabase" localSheetId="19" hidden="1">'SUB ROSA'!$A$8:$N$126</definedName>
    <definedName name="_xlnm._FilterDatabase" localSheetId="8" hidden="1">TRANSFERS!$A$8:$J$212</definedName>
    <definedName name="_xlnm._FilterDatabase" localSheetId="12" hidden="1">UNDYING!$A$8:$N$129</definedName>
    <definedName name="_xlnm._FilterDatabase" localSheetId="11" hidden="1">VANGUARD!$A$8:$N$131</definedName>
    <definedName name="_xlnm._FilterDatabase" localSheetId="21" hidden="1">VENDETTA!$A$8:$N$127</definedName>
    <definedName name="_xlnm._FilterDatabase" localSheetId="20" hidden="1">VENGEANCE!$A$8:$N$129</definedName>
    <definedName name="_xlnm._FilterDatabase" localSheetId="24" hidden="1">'WARBAND ROSTER'!$A$3:$J$135</definedName>
    <definedName name="_xlnm._FilterDatabase" localSheetId="22" hidden="1">ZOMBIES!$A$8:$N$131</definedName>
    <definedName name="_xlnm.Print_Titles" localSheetId="16">ACHERON!$8:$8</definedName>
    <definedName name="_xlnm.Print_Titles" localSheetId="14">AZUKI!$8:$8</definedName>
    <definedName name="_xlnm.Print_Titles" localSheetId="18">'EMERALD LEAF'!$8:$8</definedName>
    <definedName name="_xlnm.Print_Titles" localSheetId="9">FUCT!$8:$8</definedName>
    <definedName name="_xlnm.Print_Titles" localSheetId="17">INVICTUS!$8:$8</definedName>
    <definedName name="_xlnm.Print_Titles" localSheetId="10">LEGENDS!$8:$8</definedName>
    <definedName name="_xlnm.Print_Titles" localSheetId="23">MASTER!$3:$3</definedName>
    <definedName name="_xlnm.Print_Titles" localSheetId="15">RECKONING!$8:$8</definedName>
    <definedName name="_xlnm.Print_Titles" localSheetId="13">SBG!$8:$8</definedName>
    <definedName name="_xlnm.Print_Titles" localSheetId="19">'SUB ROSA'!$8:$8</definedName>
    <definedName name="_xlnm.Print_Titles" localSheetId="12">UNDYING!$8:$8</definedName>
    <definedName name="_xlnm.Print_Titles" localSheetId="11">VANGUARD!$8:$8</definedName>
    <definedName name="_xlnm.Print_Titles" localSheetId="21">VENDETTA!$8:$8</definedName>
    <definedName name="_xlnm.Print_Titles" localSheetId="20">VENGEANCE!$8:$8</definedName>
    <definedName name="_xlnm.Print_Titles" localSheetId="22">ZOMBIES!$8:$8</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9" i="24" l="1"/>
  <c r="D81" i="26"/>
  <c r="C81" i="26"/>
  <c r="D80" i="26"/>
  <c r="C80" i="26"/>
  <c r="D79" i="26"/>
  <c r="C79" i="26"/>
  <c r="D78" i="26"/>
  <c r="C78" i="26"/>
  <c r="D77" i="26"/>
  <c r="C77" i="26"/>
  <c r="D76" i="26"/>
  <c r="C76" i="26"/>
  <c r="D75" i="26"/>
  <c r="C75" i="26"/>
  <c r="D74" i="26"/>
  <c r="C74" i="26"/>
  <c r="D73" i="26"/>
  <c r="C73" i="26"/>
  <c r="D72" i="26"/>
  <c r="C72" i="26"/>
  <c r="D71" i="26"/>
  <c r="C71" i="26"/>
  <c r="D70" i="26"/>
  <c r="C70" i="26"/>
  <c r="D69" i="26"/>
  <c r="C69" i="26"/>
  <c r="D68" i="26"/>
  <c r="E68" i="26" s="1"/>
  <c r="C68" i="26"/>
  <c r="B7" i="26"/>
  <c r="O135" i="25"/>
  <c r="N135" i="25"/>
  <c r="M135" i="25"/>
  <c r="L135" i="25"/>
  <c r="K135" i="25"/>
  <c r="J135" i="25"/>
  <c r="I135" i="25"/>
  <c r="A135" i="25"/>
  <c r="O134" i="25"/>
  <c r="N134" i="25"/>
  <c r="M134" i="25"/>
  <c r="L134" i="25"/>
  <c r="K134" i="25"/>
  <c r="J134" i="25"/>
  <c r="I134" i="25"/>
  <c r="A134" i="25"/>
  <c r="O133" i="25"/>
  <c r="N133" i="25"/>
  <c r="M133" i="25"/>
  <c r="L133" i="25"/>
  <c r="K133" i="25"/>
  <c r="J133" i="25"/>
  <c r="I133" i="25"/>
  <c r="A133" i="25"/>
  <c r="O132" i="25"/>
  <c r="N132" i="25"/>
  <c r="M132" i="25"/>
  <c r="L132" i="25"/>
  <c r="K132" i="25"/>
  <c r="J132" i="25"/>
  <c r="I132" i="25"/>
  <c r="A132" i="25"/>
  <c r="O131" i="25"/>
  <c r="N131" i="25"/>
  <c r="M131" i="25"/>
  <c r="L131" i="25"/>
  <c r="K131" i="25"/>
  <c r="J131" i="25"/>
  <c r="I131" i="25"/>
  <c r="A131" i="25"/>
  <c r="O130" i="25"/>
  <c r="N130" i="25"/>
  <c r="M130" i="25"/>
  <c r="L130" i="25"/>
  <c r="K130" i="25"/>
  <c r="J130" i="25"/>
  <c r="I130" i="25"/>
  <c r="A130" i="25"/>
  <c r="O129" i="25"/>
  <c r="N129" i="25"/>
  <c r="M129" i="25"/>
  <c r="L129" i="25"/>
  <c r="K129" i="25"/>
  <c r="J129" i="25"/>
  <c r="I129" i="25"/>
  <c r="A129" i="25"/>
  <c r="O128" i="25"/>
  <c r="N128" i="25"/>
  <c r="M128" i="25"/>
  <c r="L128" i="25"/>
  <c r="K128" i="25"/>
  <c r="J128" i="25"/>
  <c r="I128" i="25"/>
  <c r="A128" i="25"/>
  <c r="O127" i="25"/>
  <c r="N127" i="25"/>
  <c r="M127" i="25"/>
  <c r="L127" i="25"/>
  <c r="K127" i="25"/>
  <c r="J127" i="25"/>
  <c r="I127" i="25"/>
  <c r="A127" i="25"/>
  <c r="O126" i="25"/>
  <c r="N126" i="25"/>
  <c r="M126" i="25"/>
  <c r="L126" i="25"/>
  <c r="K126" i="25"/>
  <c r="J126" i="25"/>
  <c r="I126" i="25"/>
  <c r="A126" i="25"/>
  <c r="O125" i="25"/>
  <c r="N125" i="25"/>
  <c r="M125" i="25"/>
  <c r="L125" i="25"/>
  <c r="K125" i="25"/>
  <c r="J125" i="25"/>
  <c r="I125" i="25"/>
  <c r="A125" i="25"/>
  <c r="O124" i="25"/>
  <c r="N124" i="25"/>
  <c r="M124" i="25"/>
  <c r="L124" i="25"/>
  <c r="K124" i="25"/>
  <c r="J124" i="25"/>
  <c r="I124" i="25"/>
  <c r="A124" i="25"/>
  <c r="O123" i="25"/>
  <c r="N123" i="25"/>
  <c r="M123" i="25"/>
  <c r="L123" i="25"/>
  <c r="K123" i="25"/>
  <c r="J123" i="25"/>
  <c r="I123" i="25"/>
  <c r="A123" i="25"/>
  <c r="O122" i="25"/>
  <c r="N122" i="25"/>
  <c r="M122" i="25"/>
  <c r="L122" i="25"/>
  <c r="K122" i="25"/>
  <c r="J122" i="25"/>
  <c r="I122" i="25"/>
  <c r="A122" i="25"/>
  <c r="O121" i="25"/>
  <c r="N121" i="25"/>
  <c r="M121" i="25"/>
  <c r="L121" i="25"/>
  <c r="K121" i="25"/>
  <c r="J121" i="25"/>
  <c r="I121" i="25"/>
  <c r="A121" i="25"/>
  <c r="O120" i="25"/>
  <c r="N120" i="25"/>
  <c r="M120" i="25"/>
  <c r="L120" i="25"/>
  <c r="K120" i="25"/>
  <c r="J120" i="25"/>
  <c r="I120" i="25"/>
  <c r="A120" i="25"/>
  <c r="O119" i="25"/>
  <c r="N119" i="25"/>
  <c r="M119" i="25"/>
  <c r="L119" i="25"/>
  <c r="K119" i="25"/>
  <c r="J119" i="25"/>
  <c r="I119" i="25"/>
  <c r="A119" i="25"/>
  <c r="O118" i="25"/>
  <c r="N118" i="25"/>
  <c r="M118" i="25"/>
  <c r="L118" i="25"/>
  <c r="K118" i="25"/>
  <c r="J118" i="25"/>
  <c r="I118" i="25"/>
  <c r="A118" i="25"/>
  <c r="O117" i="25"/>
  <c r="N117" i="25"/>
  <c r="M117" i="25"/>
  <c r="L117" i="25"/>
  <c r="K117" i="25"/>
  <c r="J117" i="25"/>
  <c r="I117" i="25"/>
  <c r="A117" i="25"/>
  <c r="O116" i="25"/>
  <c r="N116" i="25"/>
  <c r="M116" i="25"/>
  <c r="L116" i="25"/>
  <c r="K116" i="25"/>
  <c r="J116" i="25"/>
  <c r="I116" i="25"/>
  <c r="A116" i="25"/>
  <c r="O115" i="25"/>
  <c r="N115" i="25"/>
  <c r="M115" i="25"/>
  <c r="L115" i="25"/>
  <c r="K115" i="25"/>
  <c r="J115" i="25"/>
  <c r="I115" i="25"/>
  <c r="A115" i="25"/>
  <c r="O114" i="25"/>
  <c r="N114" i="25"/>
  <c r="M114" i="25"/>
  <c r="L114" i="25"/>
  <c r="K114" i="25"/>
  <c r="J114" i="25"/>
  <c r="I114" i="25"/>
  <c r="A114" i="25"/>
  <c r="O113" i="25"/>
  <c r="N113" i="25"/>
  <c r="M113" i="25"/>
  <c r="L113" i="25"/>
  <c r="K113" i="25"/>
  <c r="J113" i="25"/>
  <c r="I113" i="25"/>
  <c r="A113" i="25"/>
  <c r="O112" i="25"/>
  <c r="N112" i="25"/>
  <c r="M112" i="25"/>
  <c r="L112" i="25"/>
  <c r="K112" i="25"/>
  <c r="J112" i="25"/>
  <c r="I112" i="25"/>
  <c r="A112" i="25"/>
  <c r="O111" i="25"/>
  <c r="N111" i="25"/>
  <c r="M111" i="25"/>
  <c r="L111" i="25"/>
  <c r="K111" i="25"/>
  <c r="J111" i="25"/>
  <c r="I111" i="25"/>
  <c r="A111" i="25"/>
  <c r="O110" i="25"/>
  <c r="N110" i="25"/>
  <c r="M110" i="25"/>
  <c r="L110" i="25"/>
  <c r="K110" i="25"/>
  <c r="J110" i="25"/>
  <c r="I110" i="25"/>
  <c r="A110" i="25"/>
  <c r="O109" i="25"/>
  <c r="N109" i="25"/>
  <c r="M109" i="25"/>
  <c r="L109" i="25"/>
  <c r="K109" i="25"/>
  <c r="J109" i="25"/>
  <c r="I109" i="25"/>
  <c r="A109" i="25"/>
  <c r="O108" i="25"/>
  <c r="N108" i="25"/>
  <c r="M108" i="25"/>
  <c r="L108" i="25"/>
  <c r="K108" i="25"/>
  <c r="J108" i="25"/>
  <c r="I108" i="25"/>
  <c r="A108" i="25"/>
  <c r="O107" i="25"/>
  <c r="N107" i="25"/>
  <c r="M107" i="25"/>
  <c r="L107" i="25"/>
  <c r="K107" i="25"/>
  <c r="J107" i="25"/>
  <c r="I107" i="25"/>
  <c r="A107" i="25"/>
  <c r="O106" i="25"/>
  <c r="N106" i="25"/>
  <c r="M106" i="25"/>
  <c r="L106" i="25"/>
  <c r="K106" i="25"/>
  <c r="J106" i="25"/>
  <c r="I106" i="25"/>
  <c r="A106" i="25"/>
  <c r="O105" i="25"/>
  <c r="N105" i="25"/>
  <c r="M105" i="25"/>
  <c r="L105" i="25"/>
  <c r="K105" i="25"/>
  <c r="J105" i="25"/>
  <c r="I105" i="25"/>
  <c r="A105" i="25"/>
  <c r="O104" i="25"/>
  <c r="N104" i="25"/>
  <c r="M104" i="25"/>
  <c r="L104" i="25"/>
  <c r="K104" i="25"/>
  <c r="J104" i="25"/>
  <c r="I104" i="25"/>
  <c r="A104" i="25"/>
  <c r="O103" i="25"/>
  <c r="N103" i="25"/>
  <c r="M103" i="25"/>
  <c r="L103" i="25"/>
  <c r="K103" i="25"/>
  <c r="J103" i="25"/>
  <c r="I103" i="25"/>
  <c r="A103" i="25"/>
  <c r="O102" i="25"/>
  <c r="N102" i="25"/>
  <c r="M102" i="25"/>
  <c r="L102" i="25"/>
  <c r="K102" i="25"/>
  <c r="J102" i="25"/>
  <c r="I102" i="25"/>
  <c r="A102" i="25"/>
  <c r="O101" i="25"/>
  <c r="N101" i="25"/>
  <c r="M101" i="25"/>
  <c r="L101" i="25"/>
  <c r="K101" i="25"/>
  <c r="J101" i="25"/>
  <c r="I101" i="25"/>
  <c r="A101" i="25"/>
  <c r="O100" i="25"/>
  <c r="N100" i="25"/>
  <c r="M100" i="25"/>
  <c r="L100" i="25"/>
  <c r="K100" i="25"/>
  <c r="J100" i="25"/>
  <c r="I100" i="25"/>
  <c r="A100" i="25"/>
  <c r="O99" i="25"/>
  <c r="N99" i="25"/>
  <c r="M99" i="25"/>
  <c r="L99" i="25"/>
  <c r="K99" i="25"/>
  <c r="J99" i="25"/>
  <c r="I99" i="25"/>
  <c r="A99" i="25"/>
  <c r="O98" i="25"/>
  <c r="N98" i="25"/>
  <c r="M98" i="25"/>
  <c r="L98" i="25"/>
  <c r="K98" i="25"/>
  <c r="J98" i="25"/>
  <c r="I98" i="25"/>
  <c r="A98" i="25"/>
  <c r="O97" i="25"/>
  <c r="N97" i="25"/>
  <c r="M97" i="25"/>
  <c r="L97" i="25"/>
  <c r="K97" i="25"/>
  <c r="J97" i="25"/>
  <c r="I97" i="25"/>
  <c r="A97" i="25"/>
  <c r="O96" i="25"/>
  <c r="N96" i="25"/>
  <c r="M96" i="25"/>
  <c r="L96" i="25"/>
  <c r="K96" i="25"/>
  <c r="J96" i="25"/>
  <c r="I96" i="25"/>
  <c r="A96" i="25"/>
  <c r="O95" i="25"/>
  <c r="N95" i="25"/>
  <c r="M95" i="25"/>
  <c r="L95" i="25"/>
  <c r="K95" i="25"/>
  <c r="J95" i="25"/>
  <c r="I95" i="25"/>
  <c r="A95" i="25"/>
  <c r="O94" i="25"/>
  <c r="N94" i="25"/>
  <c r="M94" i="25"/>
  <c r="L94" i="25"/>
  <c r="K94" i="25"/>
  <c r="J94" i="25"/>
  <c r="I94" i="25"/>
  <c r="A94" i="25"/>
  <c r="O93" i="25"/>
  <c r="N93" i="25"/>
  <c r="M93" i="25"/>
  <c r="L93" i="25"/>
  <c r="K93" i="25"/>
  <c r="J93" i="25"/>
  <c r="I93" i="25"/>
  <c r="A93" i="25"/>
  <c r="O92" i="25"/>
  <c r="N92" i="25"/>
  <c r="M92" i="25"/>
  <c r="L92" i="25"/>
  <c r="K92" i="25"/>
  <c r="J92" i="25"/>
  <c r="I92" i="25"/>
  <c r="A92" i="25"/>
  <c r="O91" i="25"/>
  <c r="N91" i="25"/>
  <c r="M91" i="25"/>
  <c r="L91" i="25"/>
  <c r="K91" i="25"/>
  <c r="J91" i="25"/>
  <c r="I91" i="25"/>
  <c r="A91" i="25"/>
  <c r="O90" i="25"/>
  <c r="N90" i="25"/>
  <c r="M90" i="25"/>
  <c r="L90" i="25"/>
  <c r="K90" i="25"/>
  <c r="J90" i="25"/>
  <c r="I90" i="25"/>
  <c r="A90" i="25"/>
  <c r="O89" i="25"/>
  <c r="N89" i="25"/>
  <c r="M89" i="25"/>
  <c r="L89" i="25"/>
  <c r="K89" i="25"/>
  <c r="J89" i="25"/>
  <c r="I89" i="25"/>
  <c r="A89" i="25"/>
  <c r="O88" i="25"/>
  <c r="N88" i="25"/>
  <c r="M88" i="25"/>
  <c r="L88" i="25"/>
  <c r="K88" i="25"/>
  <c r="I88" i="25"/>
  <c r="A88" i="25"/>
  <c r="O87" i="25"/>
  <c r="N87" i="25"/>
  <c r="M87" i="25"/>
  <c r="L87" i="25"/>
  <c r="K87" i="25"/>
  <c r="J87" i="25"/>
  <c r="I87" i="25"/>
  <c r="A87" i="25"/>
  <c r="O86" i="25"/>
  <c r="N86" i="25"/>
  <c r="M86" i="25"/>
  <c r="L86" i="25"/>
  <c r="K86" i="25"/>
  <c r="J86" i="25"/>
  <c r="I86" i="25"/>
  <c r="A86" i="25"/>
  <c r="O85" i="25"/>
  <c r="N85" i="25"/>
  <c r="M85" i="25"/>
  <c r="L85" i="25"/>
  <c r="K85" i="25"/>
  <c r="J85" i="25"/>
  <c r="I85" i="25"/>
  <c r="A85" i="25"/>
  <c r="O84" i="25"/>
  <c r="N84" i="25"/>
  <c r="M84" i="25"/>
  <c r="L84" i="25"/>
  <c r="K84" i="25"/>
  <c r="J84" i="25"/>
  <c r="I84" i="25"/>
  <c r="A84" i="25"/>
  <c r="O83" i="25"/>
  <c r="N83" i="25"/>
  <c r="M83" i="25"/>
  <c r="L83" i="25"/>
  <c r="K83" i="25"/>
  <c r="J83" i="25"/>
  <c r="I83" i="25"/>
  <c r="A83" i="25"/>
  <c r="O82" i="25"/>
  <c r="N82" i="25"/>
  <c r="M82" i="25"/>
  <c r="L82" i="25"/>
  <c r="K82" i="25"/>
  <c r="J82" i="25"/>
  <c r="I82" i="25"/>
  <c r="A82" i="25"/>
  <c r="O81" i="25"/>
  <c r="N81" i="25"/>
  <c r="M81" i="25"/>
  <c r="L81" i="25"/>
  <c r="K81" i="25"/>
  <c r="J81" i="25"/>
  <c r="I81" i="25"/>
  <c r="A81" i="25"/>
  <c r="O80" i="25"/>
  <c r="N80" i="25"/>
  <c r="M80" i="25"/>
  <c r="L80" i="25"/>
  <c r="K80" i="25"/>
  <c r="J80" i="25"/>
  <c r="I80" i="25"/>
  <c r="A80" i="25"/>
  <c r="O79" i="25"/>
  <c r="N79" i="25"/>
  <c r="M79" i="25"/>
  <c r="L79" i="25"/>
  <c r="K79" i="25"/>
  <c r="J79" i="25"/>
  <c r="I79" i="25"/>
  <c r="A79" i="25"/>
  <c r="O78" i="25"/>
  <c r="N78" i="25"/>
  <c r="M78" i="25"/>
  <c r="L78" i="25"/>
  <c r="K78" i="25"/>
  <c r="J78" i="25"/>
  <c r="I78" i="25"/>
  <c r="A78" i="25"/>
  <c r="O77" i="25"/>
  <c r="N77" i="25"/>
  <c r="M77" i="25"/>
  <c r="L77" i="25"/>
  <c r="K77" i="25"/>
  <c r="J77" i="25"/>
  <c r="I77" i="25"/>
  <c r="A77" i="25"/>
  <c r="O76" i="25"/>
  <c r="N76" i="25"/>
  <c r="M76" i="25"/>
  <c r="L76" i="25"/>
  <c r="K76" i="25"/>
  <c r="J76" i="25"/>
  <c r="I76" i="25"/>
  <c r="A76" i="25"/>
  <c r="O75" i="25"/>
  <c r="N75" i="25"/>
  <c r="M75" i="25"/>
  <c r="L75" i="25"/>
  <c r="K75" i="25"/>
  <c r="J75" i="25"/>
  <c r="I75" i="25"/>
  <c r="A75" i="25"/>
  <c r="O74" i="25"/>
  <c r="N74" i="25"/>
  <c r="M74" i="25"/>
  <c r="L74" i="25"/>
  <c r="K74" i="25"/>
  <c r="J74" i="25"/>
  <c r="I74" i="25"/>
  <c r="A74" i="25"/>
  <c r="O73" i="25"/>
  <c r="N73" i="25"/>
  <c r="M73" i="25"/>
  <c r="L73" i="25"/>
  <c r="K73" i="25"/>
  <c r="J73" i="25"/>
  <c r="I73" i="25"/>
  <c r="A73" i="25"/>
  <c r="O72" i="25"/>
  <c r="N72" i="25"/>
  <c r="M72" i="25"/>
  <c r="L72" i="25"/>
  <c r="K72" i="25"/>
  <c r="J72" i="25"/>
  <c r="I72" i="25"/>
  <c r="A72" i="25"/>
  <c r="O71" i="25"/>
  <c r="N71" i="25"/>
  <c r="M71" i="25"/>
  <c r="L71" i="25"/>
  <c r="K71" i="25"/>
  <c r="J71" i="25"/>
  <c r="I71" i="25"/>
  <c r="A71" i="25"/>
  <c r="O70" i="25"/>
  <c r="N70" i="25"/>
  <c r="M70" i="25"/>
  <c r="L70" i="25"/>
  <c r="K70" i="25"/>
  <c r="J70" i="25"/>
  <c r="I70" i="25"/>
  <c r="A70" i="25"/>
  <c r="O69" i="25"/>
  <c r="N69" i="25"/>
  <c r="M69" i="25"/>
  <c r="L69" i="25"/>
  <c r="K69" i="25"/>
  <c r="J69" i="25"/>
  <c r="I69" i="25"/>
  <c r="A69" i="25"/>
  <c r="O68" i="25"/>
  <c r="N68" i="25"/>
  <c r="M68" i="25"/>
  <c r="L68" i="25"/>
  <c r="K68" i="25"/>
  <c r="J68" i="25"/>
  <c r="I68" i="25"/>
  <c r="A68" i="25"/>
  <c r="O67" i="25"/>
  <c r="N67" i="25"/>
  <c r="M67" i="25"/>
  <c r="L67" i="25"/>
  <c r="K67" i="25"/>
  <c r="J67" i="25"/>
  <c r="I67" i="25"/>
  <c r="A67" i="25"/>
  <c r="O66" i="25"/>
  <c r="N66" i="25"/>
  <c r="M66" i="25"/>
  <c r="L66" i="25"/>
  <c r="K66" i="25"/>
  <c r="J66" i="25"/>
  <c r="I66" i="25"/>
  <c r="A66" i="25"/>
  <c r="O65" i="25"/>
  <c r="N65" i="25"/>
  <c r="M65" i="25"/>
  <c r="L65" i="25"/>
  <c r="K65" i="25"/>
  <c r="J65" i="25"/>
  <c r="I65" i="25"/>
  <c r="A65" i="25"/>
  <c r="O64" i="25"/>
  <c r="N64" i="25"/>
  <c r="M64" i="25"/>
  <c r="L64" i="25"/>
  <c r="K64" i="25"/>
  <c r="J64" i="25"/>
  <c r="I64" i="25"/>
  <c r="A64" i="25"/>
  <c r="O63" i="25"/>
  <c r="N63" i="25"/>
  <c r="M63" i="25"/>
  <c r="L63" i="25"/>
  <c r="K63" i="25"/>
  <c r="J63" i="25"/>
  <c r="I63" i="25"/>
  <c r="A63" i="25"/>
  <c r="O62" i="25"/>
  <c r="N62" i="25"/>
  <c r="M62" i="25"/>
  <c r="L62" i="25"/>
  <c r="K62" i="25"/>
  <c r="J62" i="25"/>
  <c r="I62" i="25"/>
  <c r="A62" i="25"/>
  <c r="O61" i="25"/>
  <c r="N61" i="25"/>
  <c r="M61" i="25"/>
  <c r="L61" i="25"/>
  <c r="K61" i="25"/>
  <c r="J61" i="25"/>
  <c r="I61" i="25"/>
  <c r="A61" i="25"/>
  <c r="O60" i="25"/>
  <c r="N60" i="25"/>
  <c r="M60" i="25"/>
  <c r="L60" i="25"/>
  <c r="K60" i="25"/>
  <c r="J60" i="25"/>
  <c r="I60" i="25"/>
  <c r="A60" i="25"/>
  <c r="O59" i="25"/>
  <c r="N59" i="25"/>
  <c r="M59" i="25"/>
  <c r="L59" i="25"/>
  <c r="K59" i="25"/>
  <c r="J59" i="25"/>
  <c r="I59" i="25"/>
  <c r="A59" i="25"/>
  <c r="O58" i="25"/>
  <c r="N58" i="25"/>
  <c r="M58" i="25"/>
  <c r="L58" i="25"/>
  <c r="K58" i="25"/>
  <c r="J58" i="25"/>
  <c r="I58" i="25"/>
  <c r="A58" i="25"/>
  <c r="O57" i="25"/>
  <c r="N57" i="25"/>
  <c r="M57" i="25"/>
  <c r="L57" i="25"/>
  <c r="K57" i="25"/>
  <c r="J57" i="25"/>
  <c r="I57" i="25"/>
  <c r="A57" i="25"/>
  <c r="O56" i="25"/>
  <c r="N56" i="25"/>
  <c r="M56" i="25"/>
  <c r="L56" i="25"/>
  <c r="K56" i="25"/>
  <c r="J56" i="25"/>
  <c r="I56" i="25"/>
  <c r="A56" i="25"/>
  <c r="O55" i="25"/>
  <c r="N55" i="25"/>
  <c r="M55" i="25"/>
  <c r="L55" i="25"/>
  <c r="K55" i="25"/>
  <c r="J55" i="25"/>
  <c r="I55" i="25"/>
  <c r="A55" i="25"/>
  <c r="O54" i="25"/>
  <c r="N54" i="25"/>
  <c r="M54" i="25"/>
  <c r="L54" i="25"/>
  <c r="K54" i="25"/>
  <c r="J54" i="25"/>
  <c r="I54" i="25"/>
  <c r="A54" i="25"/>
  <c r="O53" i="25"/>
  <c r="N53" i="25"/>
  <c r="M53" i="25"/>
  <c r="L53" i="25"/>
  <c r="K53" i="25"/>
  <c r="J53" i="25"/>
  <c r="I53" i="25"/>
  <c r="A53" i="25"/>
  <c r="O52" i="25"/>
  <c r="N52" i="25"/>
  <c r="M52" i="25"/>
  <c r="L52" i="25"/>
  <c r="K52" i="25"/>
  <c r="J52" i="25"/>
  <c r="I52" i="25"/>
  <c r="A52" i="25"/>
  <c r="O51" i="25"/>
  <c r="N51" i="25"/>
  <c r="M51" i="25"/>
  <c r="L51" i="25"/>
  <c r="K51" i="25"/>
  <c r="J51" i="25"/>
  <c r="I51" i="25"/>
  <c r="A51" i="25"/>
  <c r="O50" i="25"/>
  <c r="N50" i="25"/>
  <c r="M50" i="25"/>
  <c r="L50" i="25"/>
  <c r="K50" i="25"/>
  <c r="J50" i="25"/>
  <c r="I50" i="25"/>
  <c r="A50" i="25"/>
  <c r="O49" i="25"/>
  <c r="N49" i="25"/>
  <c r="M49" i="25"/>
  <c r="L49" i="25"/>
  <c r="K49" i="25"/>
  <c r="J49" i="25"/>
  <c r="I49" i="25"/>
  <c r="A49" i="25"/>
  <c r="O48" i="25"/>
  <c r="N48" i="25"/>
  <c r="M48" i="25"/>
  <c r="L48" i="25"/>
  <c r="K48" i="25"/>
  <c r="J48" i="25"/>
  <c r="I48" i="25"/>
  <c r="A48" i="25"/>
  <c r="O47" i="25"/>
  <c r="N47" i="25"/>
  <c r="M47" i="25"/>
  <c r="L47" i="25"/>
  <c r="K47" i="25"/>
  <c r="J47" i="25"/>
  <c r="I47" i="25"/>
  <c r="A47" i="25"/>
  <c r="O46" i="25"/>
  <c r="N46" i="25"/>
  <c r="M46" i="25"/>
  <c r="L46" i="25"/>
  <c r="K46" i="25"/>
  <c r="J46" i="25"/>
  <c r="I46" i="25"/>
  <c r="A46" i="25"/>
  <c r="O45" i="25"/>
  <c r="N45" i="25"/>
  <c r="M45" i="25"/>
  <c r="L45" i="25"/>
  <c r="K45" i="25"/>
  <c r="J45" i="25"/>
  <c r="I45" i="25"/>
  <c r="A45" i="25"/>
  <c r="O44" i="25"/>
  <c r="N44" i="25"/>
  <c r="M44" i="25"/>
  <c r="L44" i="25"/>
  <c r="K44" i="25"/>
  <c r="J44" i="25"/>
  <c r="I44" i="25"/>
  <c r="A44" i="25"/>
  <c r="O43" i="25"/>
  <c r="N43" i="25"/>
  <c r="M43" i="25"/>
  <c r="L43" i="25"/>
  <c r="K43" i="25"/>
  <c r="J43" i="25"/>
  <c r="I43" i="25"/>
  <c r="A43" i="25"/>
  <c r="O42" i="25"/>
  <c r="N42" i="25"/>
  <c r="M42" i="25"/>
  <c r="L42" i="25"/>
  <c r="K42" i="25"/>
  <c r="J42" i="25"/>
  <c r="I42" i="25"/>
  <c r="A42" i="25"/>
  <c r="O41" i="25"/>
  <c r="N41" i="25"/>
  <c r="M41" i="25"/>
  <c r="L41" i="25"/>
  <c r="K41" i="25"/>
  <c r="J41" i="25"/>
  <c r="I41" i="25"/>
  <c r="A41" i="25"/>
  <c r="O40" i="25"/>
  <c r="N40" i="25"/>
  <c r="M40" i="25"/>
  <c r="L40" i="25"/>
  <c r="K40" i="25"/>
  <c r="J40" i="25"/>
  <c r="I40" i="25"/>
  <c r="A40" i="25"/>
  <c r="O39" i="25"/>
  <c r="N39" i="25"/>
  <c r="M39" i="25"/>
  <c r="L39" i="25"/>
  <c r="K39" i="25"/>
  <c r="J39" i="25"/>
  <c r="I39" i="25"/>
  <c r="A39" i="25"/>
  <c r="O38" i="25"/>
  <c r="N38" i="25"/>
  <c r="M38" i="25"/>
  <c r="L38" i="25"/>
  <c r="K38" i="25"/>
  <c r="J38" i="25"/>
  <c r="I38" i="25"/>
  <c r="A38" i="25"/>
  <c r="O37" i="25"/>
  <c r="N37" i="25"/>
  <c r="M37" i="25"/>
  <c r="L37" i="25"/>
  <c r="K37" i="25"/>
  <c r="J37" i="25"/>
  <c r="I37" i="25"/>
  <c r="A37" i="25"/>
  <c r="O36" i="25"/>
  <c r="N36" i="25"/>
  <c r="M36" i="25"/>
  <c r="L36" i="25"/>
  <c r="K36" i="25"/>
  <c r="J36" i="25"/>
  <c r="I36" i="25"/>
  <c r="A36" i="25"/>
  <c r="O35" i="25"/>
  <c r="N35" i="25"/>
  <c r="M35" i="25"/>
  <c r="L35" i="25"/>
  <c r="K35" i="25"/>
  <c r="J35" i="25"/>
  <c r="I35" i="25"/>
  <c r="A35" i="25"/>
  <c r="O34" i="25"/>
  <c r="N34" i="25"/>
  <c r="M34" i="25"/>
  <c r="L34" i="25"/>
  <c r="K34" i="25"/>
  <c r="J34" i="25"/>
  <c r="I34" i="25"/>
  <c r="A34" i="25"/>
  <c r="O33" i="25"/>
  <c r="N33" i="25"/>
  <c r="M33" i="25"/>
  <c r="L33" i="25"/>
  <c r="K33" i="25"/>
  <c r="J33" i="25"/>
  <c r="I33" i="25"/>
  <c r="A33" i="25"/>
  <c r="O32" i="25"/>
  <c r="N32" i="25"/>
  <c r="M32" i="25"/>
  <c r="L32" i="25"/>
  <c r="K32" i="25"/>
  <c r="J32" i="25"/>
  <c r="I32" i="25"/>
  <c r="A32" i="25"/>
  <c r="O31" i="25"/>
  <c r="N31" i="25"/>
  <c r="M31" i="25"/>
  <c r="L31" i="25"/>
  <c r="K31" i="25"/>
  <c r="J31" i="25"/>
  <c r="I31" i="25"/>
  <c r="A31" i="25"/>
  <c r="O30" i="25"/>
  <c r="N30" i="25"/>
  <c r="M30" i="25"/>
  <c r="L30" i="25"/>
  <c r="K30" i="25"/>
  <c r="J30" i="25"/>
  <c r="I30" i="25"/>
  <c r="A30" i="25"/>
  <c r="O29" i="25"/>
  <c r="N29" i="25"/>
  <c r="M29" i="25"/>
  <c r="L29" i="25"/>
  <c r="K29" i="25"/>
  <c r="J29" i="25"/>
  <c r="I29" i="25"/>
  <c r="A29" i="25"/>
  <c r="O28" i="25"/>
  <c r="N28" i="25"/>
  <c r="M28" i="25"/>
  <c r="L28" i="25"/>
  <c r="K28" i="25"/>
  <c r="J28" i="25"/>
  <c r="I28" i="25"/>
  <c r="A28" i="25"/>
  <c r="O27" i="25"/>
  <c r="N27" i="25"/>
  <c r="M27" i="25"/>
  <c r="L27" i="25"/>
  <c r="K27" i="25"/>
  <c r="J27" i="25"/>
  <c r="I27" i="25"/>
  <c r="A27" i="25"/>
  <c r="O26" i="25"/>
  <c r="N26" i="25"/>
  <c r="M26" i="25"/>
  <c r="L26" i="25"/>
  <c r="K26" i="25"/>
  <c r="J26" i="25"/>
  <c r="I26" i="25"/>
  <c r="A26" i="25"/>
  <c r="O25" i="25"/>
  <c r="N25" i="25"/>
  <c r="M25" i="25"/>
  <c r="L25" i="25"/>
  <c r="K25" i="25"/>
  <c r="J25" i="25"/>
  <c r="I25" i="25"/>
  <c r="A25" i="25"/>
  <c r="O24" i="25"/>
  <c r="N24" i="25"/>
  <c r="M24" i="25"/>
  <c r="L24" i="25"/>
  <c r="K24" i="25"/>
  <c r="J24" i="25"/>
  <c r="I24" i="25"/>
  <c r="A24" i="25"/>
  <c r="O23" i="25"/>
  <c r="N23" i="25"/>
  <c r="M23" i="25"/>
  <c r="L23" i="25"/>
  <c r="K23" i="25"/>
  <c r="J23" i="25"/>
  <c r="I23" i="25"/>
  <c r="A23" i="25"/>
  <c r="O22" i="25"/>
  <c r="N22" i="25"/>
  <c r="M22" i="25"/>
  <c r="L22" i="25"/>
  <c r="K22" i="25"/>
  <c r="J22" i="25"/>
  <c r="I22" i="25"/>
  <c r="A22" i="25"/>
  <c r="O21" i="25"/>
  <c r="N21" i="25"/>
  <c r="M21" i="25"/>
  <c r="L21" i="25"/>
  <c r="K21" i="25"/>
  <c r="J21" i="25"/>
  <c r="I21" i="25"/>
  <c r="A21" i="25"/>
  <c r="O20" i="25"/>
  <c r="N20" i="25"/>
  <c r="M20" i="25"/>
  <c r="L20" i="25"/>
  <c r="K20" i="25"/>
  <c r="J20" i="25"/>
  <c r="I20" i="25"/>
  <c r="A20" i="25"/>
  <c r="O19" i="25"/>
  <c r="N19" i="25"/>
  <c r="M19" i="25"/>
  <c r="L19" i="25"/>
  <c r="K19" i="25"/>
  <c r="J19" i="25"/>
  <c r="I19" i="25"/>
  <c r="A19" i="25"/>
  <c r="O18" i="25"/>
  <c r="N18" i="25"/>
  <c r="M18" i="25"/>
  <c r="L18" i="25"/>
  <c r="K18" i="25"/>
  <c r="J18" i="25"/>
  <c r="I18" i="25"/>
  <c r="A18" i="25"/>
  <c r="O17" i="25"/>
  <c r="N17" i="25"/>
  <c r="M17" i="25"/>
  <c r="L17" i="25"/>
  <c r="K17" i="25"/>
  <c r="J17" i="25"/>
  <c r="I17" i="25"/>
  <c r="A17" i="25"/>
  <c r="O16" i="25"/>
  <c r="N16" i="25"/>
  <c r="M16" i="25"/>
  <c r="L16" i="25"/>
  <c r="K16" i="25"/>
  <c r="J16" i="25"/>
  <c r="I16" i="25"/>
  <c r="A16" i="25"/>
  <c r="O15" i="25"/>
  <c r="N15" i="25"/>
  <c r="M15" i="25"/>
  <c r="L15" i="25"/>
  <c r="K15" i="25"/>
  <c r="J15" i="25"/>
  <c r="I15" i="25"/>
  <c r="A15" i="25"/>
  <c r="O14" i="25"/>
  <c r="N14" i="25"/>
  <c r="M14" i="25"/>
  <c r="L14" i="25"/>
  <c r="K14" i="25"/>
  <c r="J14" i="25"/>
  <c r="I14" i="25"/>
  <c r="A14" i="25"/>
  <c r="O13" i="25"/>
  <c r="N13" i="25"/>
  <c r="M13" i="25"/>
  <c r="L13" i="25"/>
  <c r="K13" i="25"/>
  <c r="J13" i="25"/>
  <c r="I13" i="25"/>
  <c r="A13" i="25"/>
  <c r="O12" i="25"/>
  <c r="N12" i="25"/>
  <c r="M12" i="25"/>
  <c r="L12" i="25"/>
  <c r="K12" i="25"/>
  <c r="J12" i="25"/>
  <c r="I12" i="25"/>
  <c r="A12" i="25"/>
  <c r="O11" i="25"/>
  <c r="N11" i="25"/>
  <c r="M11" i="25"/>
  <c r="L11" i="25"/>
  <c r="K11" i="25"/>
  <c r="J11" i="25"/>
  <c r="I11" i="25"/>
  <c r="A11" i="25"/>
  <c r="O10" i="25"/>
  <c r="N10" i="25"/>
  <c r="M10" i="25"/>
  <c r="L10" i="25"/>
  <c r="K10" i="25"/>
  <c r="J10" i="25"/>
  <c r="I10" i="25"/>
  <c r="A10" i="25"/>
  <c r="O9" i="25"/>
  <c r="N9" i="25"/>
  <c r="M9" i="25"/>
  <c r="L9" i="25"/>
  <c r="K9" i="25"/>
  <c r="J9" i="25"/>
  <c r="I9" i="25"/>
  <c r="A9" i="25"/>
  <c r="O8" i="25"/>
  <c r="N8" i="25"/>
  <c r="M8" i="25"/>
  <c r="L8" i="25"/>
  <c r="K8" i="25"/>
  <c r="J8" i="25"/>
  <c r="I8" i="25"/>
  <c r="A8" i="25"/>
  <c r="O7" i="25"/>
  <c r="N7" i="25"/>
  <c r="M7" i="25"/>
  <c r="L7" i="25"/>
  <c r="K7" i="25"/>
  <c r="J7" i="25"/>
  <c r="I7" i="25"/>
  <c r="A7" i="25"/>
  <c r="O6" i="25"/>
  <c r="N6" i="25"/>
  <c r="M6" i="25"/>
  <c r="L6" i="25"/>
  <c r="K6" i="25"/>
  <c r="J6" i="25"/>
  <c r="I6" i="25"/>
  <c r="A6" i="25"/>
  <c r="O5" i="25"/>
  <c r="N5" i="25"/>
  <c r="M5" i="25"/>
  <c r="L5" i="25"/>
  <c r="K5" i="25"/>
  <c r="J5" i="25"/>
  <c r="I5" i="25"/>
  <c r="A5" i="25"/>
  <c r="O4" i="25"/>
  <c r="N4" i="25"/>
  <c r="M4" i="25"/>
  <c r="L4" i="25"/>
  <c r="K4" i="25"/>
  <c r="J4" i="25"/>
  <c r="I4" i="25"/>
  <c r="A4" i="25"/>
  <c r="AI1463" i="24"/>
  <c r="AH1463" i="24"/>
  <c r="AG1463" i="24"/>
  <c r="AF1463" i="24"/>
  <c r="AD1463" i="24"/>
  <c r="AC1463" i="24"/>
  <c r="AB1463" i="24"/>
  <c r="AA1463" i="24"/>
  <c r="Z1463" i="24"/>
  <c r="Y1463" i="24"/>
  <c r="X1463" i="24"/>
  <c r="T1463" i="24"/>
  <c r="S1463" i="24"/>
  <c r="R1463" i="24"/>
  <c r="Q1463" i="24"/>
  <c r="P1463" i="24"/>
  <c r="O1463" i="24"/>
  <c r="N1463" i="24"/>
  <c r="M1463" i="24"/>
  <c r="K1463" i="24"/>
  <c r="J1463" i="24"/>
  <c r="H1463" i="24"/>
  <c r="F1463" i="24"/>
  <c r="AI1462" i="24"/>
  <c r="AH1462" i="24"/>
  <c r="AG1462" i="24"/>
  <c r="AF1462" i="24"/>
  <c r="AD1462" i="24"/>
  <c r="AC1462" i="24"/>
  <c r="AB1462" i="24"/>
  <c r="AA1462" i="24"/>
  <c r="Z1462" i="24"/>
  <c r="Y1462" i="24"/>
  <c r="X1462" i="24"/>
  <c r="T1462" i="24"/>
  <c r="S1462" i="24"/>
  <c r="R1462" i="24"/>
  <c r="Q1462" i="24"/>
  <c r="P1462" i="24"/>
  <c r="O1462" i="24"/>
  <c r="N1462" i="24"/>
  <c r="M1462" i="24"/>
  <c r="K1462" i="24"/>
  <c r="J1462" i="24"/>
  <c r="H1462" i="24"/>
  <c r="F1462" i="24"/>
  <c r="AI1461" i="24"/>
  <c r="AH1461" i="24"/>
  <c r="AG1461" i="24"/>
  <c r="AF1461" i="24"/>
  <c r="AD1461" i="24"/>
  <c r="AC1461" i="24"/>
  <c r="AB1461" i="24"/>
  <c r="AA1461" i="24"/>
  <c r="Z1461" i="24"/>
  <c r="Y1461" i="24"/>
  <c r="X1461" i="24"/>
  <c r="T1461" i="24"/>
  <c r="S1461" i="24"/>
  <c r="R1461" i="24"/>
  <c r="Q1461" i="24"/>
  <c r="P1461" i="24"/>
  <c r="O1461" i="24"/>
  <c r="N1461" i="24"/>
  <c r="M1461" i="24"/>
  <c r="K1461" i="24"/>
  <c r="J1461" i="24"/>
  <c r="H1461" i="24"/>
  <c r="F1461" i="24"/>
  <c r="AI1460" i="24"/>
  <c r="AH1460" i="24"/>
  <c r="AG1460" i="24"/>
  <c r="AF1460" i="24"/>
  <c r="AD1460" i="24"/>
  <c r="AC1460" i="24"/>
  <c r="AB1460" i="24"/>
  <c r="AA1460" i="24"/>
  <c r="Z1460" i="24"/>
  <c r="Y1460" i="24"/>
  <c r="X1460" i="24"/>
  <c r="T1460" i="24"/>
  <c r="S1460" i="24"/>
  <c r="R1460" i="24"/>
  <c r="Q1460" i="24"/>
  <c r="P1460" i="24"/>
  <c r="O1460" i="24"/>
  <c r="N1460" i="24"/>
  <c r="M1460" i="24"/>
  <c r="K1460" i="24"/>
  <c r="J1460" i="24"/>
  <c r="H1460" i="24"/>
  <c r="F1460" i="24"/>
  <c r="AI1459" i="24"/>
  <c r="AH1459" i="24"/>
  <c r="AG1459" i="24"/>
  <c r="AF1459" i="24"/>
  <c r="AD1459" i="24"/>
  <c r="AC1459" i="24"/>
  <c r="AB1459" i="24"/>
  <c r="AA1459" i="24"/>
  <c r="Z1459" i="24"/>
  <c r="Y1459" i="24"/>
  <c r="X1459" i="24"/>
  <c r="T1459" i="24"/>
  <c r="S1459" i="24"/>
  <c r="R1459" i="24"/>
  <c r="Q1459" i="24"/>
  <c r="P1459" i="24"/>
  <c r="O1459" i="24"/>
  <c r="N1459" i="24"/>
  <c r="M1459" i="24"/>
  <c r="K1459" i="24"/>
  <c r="J1459" i="24"/>
  <c r="H1459" i="24"/>
  <c r="F1459" i="24"/>
  <c r="AI1458" i="24"/>
  <c r="AH1458" i="24"/>
  <c r="AG1458" i="24"/>
  <c r="AF1458" i="24"/>
  <c r="AD1458" i="24"/>
  <c r="AC1458" i="24"/>
  <c r="AB1458" i="24"/>
  <c r="AA1458" i="24"/>
  <c r="Z1458" i="24"/>
  <c r="Y1458" i="24"/>
  <c r="X1458" i="24"/>
  <c r="T1458" i="24"/>
  <c r="S1458" i="24"/>
  <c r="R1458" i="24"/>
  <c r="Q1458" i="24"/>
  <c r="P1458" i="24"/>
  <c r="O1458" i="24"/>
  <c r="N1458" i="24"/>
  <c r="M1458" i="24"/>
  <c r="K1458" i="24"/>
  <c r="J1458" i="24"/>
  <c r="H1458" i="24"/>
  <c r="F1458" i="24"/>
  <c r="AI1457" i="24"/>
  <c r="AH1457" i="24"/>
  <c r="AG1457" i="24"/>
  <c r="AF1457" i="24"/>
  <c r="AD1457" i="24"/>
  <c r="AC1457" i="24"/>
  <c r="AB1457" i="24"/>
  <c r="AA1457" i="24"/>
  <c r="Z1457" i="24"/>
  <c r="Y1457" i="24"/>
  <c r="X1457" i="24"/>
  <c r="T1457" i="24"/>
  <c r="S1457" i="24"/>
  <c r="R1457" i="24"/>
  <c r="Q1457" i="24"/>
  <c r="P1457" i="24"/>
  <c r="O1457" i="24"/>
  <c r="N1457" i="24"/>
  <c r="M1457" i="24"/>
  <c r="K1457" i="24"/>
  <c r="J1457" i="24"/>
  <c r="H1457" i="24"/>
  <c r="F1457" i="24"/>
  <c r="AI1456" i="24"/>
  <c r="AH1456" i="24"/>
  <c r="AG1456" i="24"/>
  <c r="AF1456" i="24"/>
  <c r="AD1456" i="24"/>
  <c r="AC1456" i="24"/>
  <c r="AB1456" i="24"/>
  <c r="AA1456" i="24"/>
  <c r="Z1456" i="24"/>
  <c r="Y1456" i="24"/>
  <c r="X1456" i="24"/>
  <c r="T1456" i="24"/>
  <c r="S1456" i="24"/>
  <c r="R1456" i="24"/>
  <c r="Q1456" i="24"/>
  <c r="P1456" i="24"/>
  <c r="O1456" i="24"/>
  <c r="N1456" i="24"/>
  <c r="M1456" i="24"/>
  <c r="K1456" i="24"/>
  <c r="J1456" i="24"/>
  <c r="H1456" i="24"/>
  <c r="F1456" i="24"/>
  <c r="AI1455" i="24"/>
  <c r="AH1455" i="24"/>
  <c r="AG1455" i="24"/>
  <c r="AF1455" i="24"/>
  <c r="AD1455" i="24"/>
  <c r="AC1455" i="24"/>
  <c r="AB1455" i="24"/>
  <c r="AA1455" i="24"/>
  <c r="Z1455" i="24"/>
  <c r="Y1455" i="24"/>
  <c r="X1455" i="24"/>
  <c r="T1455" i="24"/>
  <c r="S1455" i="24"/>
  <c r="R1455" i="24"/>
  <c r="Q1455" i="24"/>
  <c r="P1455" i="24"/>
  <c r="O1455" i="24"/>
  <c r="N1455" i="24"/>
  <c r="M1455" i="24"/>
  <c r="K1455" i="24"/>
  <c r="J1455" i="24"/>
  <c r="H1455" i="24"/>
  <c r="F1455" i="24"/>
  <c r="AI1454" i="24"/>
  <c r="AH1454" i="24"/>
  <c r="AG1454" i="24"/>
  <c r="AF1454" i="24"/>
  <c r="AD1454" i="24"/>
  <c r="AC1454" i="24"/>
  <c r="AB1454" i="24"/>
  <c r="AA1454" i="24"/>
  <c r="Z1454" i="24"/>
  <c r="Y1454" i="24"/>
  <c r="X1454" i="24"/>
  <c r="T1454" i="24"/>
  <c r="S1454" i="24"/>
  <c r="R1454" i="24"/>
  <c r="Q1454" i="24"/>
  <c r="P1454" i="24"/>
  <c r="O1454" i="24"/>
  <c r="N1454" i="24"/>
  <c r="M1454" i="24"/>
  <c r="K1454" i="24"/>
  <c r="J1454" i="24"/>
  <c r="H1454" i="24"/>
  <c r="F1454" i="24"/>
  <c r="AI1453" i="24"/>
  <c r="AH1453" i="24"/>
  <c r="AG1453" i="24"/>
  <c r="AF1453" i="24"/>
  <c r="AD1453" i="24"/>
  <c r="AC1453" i="24"/>
  <c r="AB1453" i="24"/>
  <c r="AA1453" i="24"/>
  <c r="Z1453" i="24"/>
  <c r="Y1453" i="24"/>
  <c r="X1453" i="24"/>
  <c r="T1453" i="24"/>
  <c r="S1453" i="24"/>
  <c r="R1453" i="24"/>
  <c r="Q1453" i="24"/>
  <c r="P1453" i="24"/>
  <c r="O1453" i="24"/>
  <c r="N1453" i="24"/>
  <c r="M1453" i="24"/>
  <c r="K1453" i="24"/>
  <c r="J1453" i="24"/>
  <c r="H1453" i="24"/>
  <c r="F1453" i="24"/>
  <c r="AI1452" i="24"/>
  <c r="AH1452" i="24"/>
  <c r="AG1452" i="24"/>
  <c r="AF1452" i="24"/>
  <c r="AD1452" i="24"/>
  <c r="AC1452" i="24"/>
  <c r="AB1452" i="24"/>
  <c r="AA1452" i="24"/>
  <c r="Z1452" i="24"/>
  <c r="Y1452" i="24"/>
  <c r="X1452" i="24"/>
  <c r="T1452" i="24"/>
  <c r="S1452" i="24"/>
  <c r="R1452" i="24"/>
  <c r="Q1452" i="24"/>
  <c r="P1452" i="24"/>
  <c r="O1452" i="24"/>
  <c r="N1452" i="24"/>
  <c r="M1452" i="24"/>
  <c r="K1452" i="24"/>
  <c r="J1452" i="24"/>
  <c r="H1452" i="24"/>
  <c r="F1452" i="24"/>
  <c r="AI1451" i="24"/>
  <c r="AH1451" i="24"/>
  <c r="AG1451" i="24"/>
  <c r="AF1451" i="24"/>
  <c r="AD1451" i="24"/>
  <c r="AC1451" i="24"/>
  <c r="AB1451" i="24"/>
  <c r="AA1451" i="24"/>
  <c r="Z1451" i="24"/>
  <c r="Y1451" i="24"/>
  <c r="X1451" i="24"/>
  <c r="T1451" i="24"/>
  <c r="S1451" i="24"/>
  <c r="R1451" i="24"/>
  <c r="Q1451" i="24"/>
  <c r="P1451" i="24"/>
  <c r="O1451" i="24"/>
  <c r="N1451" i="24"/>
  <c r="M1451" i="24"/>
  <c r="K1451" i="24"/>
  <c r="J1451" i="24"/>
  <c r="H1451" i="24"/>
  <c r="F1451" i="24"/>
  <c r="AI1450" i="24"/>
  <c r="AH1450" i="24"/>
  <c r="AG1450" i="24"/>
  <c r="AF1450" i="24"/>
  <c r="AD1450" i="24"/>
  <c r="AC1450" i="24"/>
  <c r="AB1450" i="24"/>
  <c r="AA1450" i="24"/>
  <c r="Z1450" i="24"/>
  <c r="Y1450" i="24"/>
  <c r="X1450" i="24"/>
  <c r="T1450" i="24"/>
  <c r="S1450" i="24"/>
  <c r="R1450" i="24"/>
  <c r="Q1450" i="24"/>
  <c r="P1450" i="24"/>
  <c r="O1450" i="24"/>
  <c r="N1450" i="24"/>
  <c r="M1450" i="24"/>
  <c r="K1450" i="24"/>
  <c r="J1450" i="24"/>
  <c r="H1450" i="24"/>
  <c r="F1450" i="24"/>
  <c r="AI1449" i="24"/>
  <c r="AH1449" i="24"/>
  <c r="AG1449" i="24"/>
  <c r="AF1449" i="24"/>
  <c r="AD1449" i="24"/>
  <c r="AC1449" i="24"/>
  <c r="AB1449" i="24"/>
  <c r="AA1449" i="24"/>
  <c r="Z1449" i="24"/>
  <c r="Y1449" i="24"/>
  <c r="X1449" i="24"/>
  <c r="T1449" i="24"/>
  <c r="S1449" i="24"/>
  <c r="R1449" i="24"/>
  <c r="Q1449" i="24"/>
  <c r="P1449" i="24"/>
  <c r="O1449" i="24"/>
  <c r="N1449" i="24"/>
  <c r="M1449" i="24"/>
  <c r="K1449" i="24"/>
  <c r="J1449" i="24"/>
  <c r="H1449" i="24"/>
  <c r="F1449" i="24"/>
  <c r="AI1448" i="24"/>
  <c r="AH1448" i="24"/>
  <c r="AG1448" i="24"/>
  <c r="AF1448" i="24"/>
  <c r="AD1448" i="24"/>
  <c r="AC1448" i="24"/>
  <c r="AB1448" i="24"/>
  <c r="AA1448" i="24"/>
  <c r="Z1448" i="24"/>
  <c r="Y1448" i="24"/>
  <c r="X1448" i="24"/>
  <c r="T1448" i="24"/>
  <c r="S1448" i="24"/>
  <c r="R1448" i="24"/>
  <c r="Q1448" i="24"/>
  <c r="P1448" i="24"/>
  <c r="O1448" i="24"/>
  <c r="N1448" i="24"/>
  <c r="M1448" i="24"/>
  <c r="K1448" i="24"/>
  <c r="J1448" i="24"/>
  <c r="H1448" i="24"/>
  <c r="F1448" i="24"/>
  <c r="AI1447" i="24"/>
  <c r="AH1447" i="24"/>
  <c r="AG1447" i="24"/>
  <c r="AF1447" i="24"/>
  <c r="AD1447" i="24"/>
  <c r="AC1447" i="24"/>
  <c r="AB1447" i="24"/>
  <c r="AA1447" i="24"/>
  <c r="Z1447" i="24"/>
  <c r="Y1447" i="24"/>
  <c r="X1447" i="24"/>
  <c r="T1447" i="24"/>
  <c r="S1447" i="24"/>
  <c r="R1447" i="24"/>
  <c r="Q1447" i="24"/>
  <c r="P1447" i="24"/>
  <c r="O1447" i="24"/>
  <c r="N1447" i="24"/>
  <c r="M1447" i="24"/>
  <c r="K1447" i="24"/>
  <c r="J1447" i="24"/>
  <c r="H1447" i="24"/>
  <c r="F1447" i="24"/>
  <c r="AI1446" i="24"/>
  <c r="AH1446" i="24"/>
  <c r="AG1446" i="24"/>
  <c r="AF1446" i="24"/>
  <c r="AD1446" i="24"/>
  <c r="AC1446" i="24"/>
  <c r="AB1446" i="24"/>
  <c r="AA1446" i="24"/>
  <c r="Z1446" i="24"/>
  <c r="Y1446" i="24"/>
  <c r="X1446" i="24"/>
  <c r="T1446" i="24"/>
  <c r="S1446" i="24"/>
  <c r="R1446" i="24"/>
  <c r="Q1446" i="24"/>
  <c r="P1446" i="24"/>
  <c r="O1446" i="24"/>
  <c r="N1446" i="24"/>
  <c r="M1446" i="24"/>
  <c r="K1446" i="24"/>
  <c r="J1446" i="24"/>
  <c r="H1446" i="24"/>
  <c r="F1446" i="24"/>
  <c r="AI1445" i="24"/>
  <c r="AH1445" i="24"/>
  <c r="AG1445" i="24"/>
  <c r="AF1445" i="24"/>
  <c r="AD1445" i="24"/>
  <c r="AC1445" i="24"/>
  <c r="AB1445" i="24"/>
  <c r="AA1445" i="24"/>
  <c r="Z1445" i="24"/>
  <c r="Y1445" i="24"/>
  <c r="X1445" i="24"/>
  <c r="T1445" i="24"/>
  <c r="S1445" i="24"/>
  <c r="R1445" i="24"/>
  <c r="Q1445" i="24"/>
  <c r="P1445" i="24"/>
  <c r="O1445" i="24"/>
  <c r="N1445" i="24"/>
  <c r="M1445" i="24"/>
  <c r="K1445" i="24"/>
  <c r="J1445" i="24"/>
  <c r="H1445" i="24"/>
  <c r="F1445" i="24"/>
  <c r="AI1444" i="24"/>
  <c r="AH1444" i="24"/>
  <c r="AG1444" i="24"/>
  <c r="AF1444" i="24"/>
  <c r="AD1444" i="24"/>
  <c r="AC1444" i="24"/>
  <c r="AB1444" i="24"/>
  <c r="AA1444" i="24"/>
  <c r="Z1444" i="24"/>
  <c r="Y1444" i="24"/>
  <c r="X1444" i="24"/>
  <c r="T1444" i="24"/>
  <c r="S1444" i="24"/>
  <c r="R1444" i="24"/>
  <c r="Q1444" i="24"/>
  <c r="P1444" i="24"/>
  <c r="O1444" i="24"/>
  <c r="N1444" i="24"/>
  <c r="M1444" i="24"/>
  <c r="K1444" i="24"/>
  <c r="J1444" i="24"/>
  <c r="H1444" i="24"/>
  <c r="F1444" i="24"/>
  <c r="AI1443" i="24"/>
  <c r="AH1443" i="24"/>
  <c r="AG1443" i="24"/>
  <c r="AF1443" i="24"/>
  <c r="AD1443" i="24"/>
  <c r="AC1443" i="24"/>
  <c r="AB1443" i="24"/>
  <c r="AA1443" i="24"/>
  <c r="Z1443" i="24"/>
  <c r="Y1443" i="24"/>
  <c r="X1443" i="24"/>
  <c r="T1443" i="24"/>
  <c r="S1443" i="24"/>
  <c r="R1443" i="24"/>
  <c r="Q1443" i="24"/>
  <c r="P1443" i="24"/>
  <c r="O1443" i="24"/>
  <c r="N1443" i="24"/>
  <c r="M1443" i="24"/>
  <c r="K1443" i="24"/>
  <c r="J1443" i="24"/>
  <c r="H1443" i="24"/>
  <c r="F1443" i="24"/>
  <c r="AI1442" i="24"/>
  <c r="AH1442" i="24"/>
  <c r="AG1442" i="24"/>
  <c r="AF1442" i="24"/>
  <c r="AD1442" i="24"/>
  <c r="AC1442" i="24"/>
  <c r="AB1442" i="24"/>
  <c r="AA1442" i="24"/>
  <c r="Z1442" i="24"/>
  <c r="Y1442" i="24"/>
  <c r="X1442" i="24"/>
  <c r="T1442" i="24"/>
  <c r="S1442" i="24"/>
  <c r="R1442" i="24"/>
  <c r="Q1442" i="24"/>
  <c r="P1442" i="24"/>
  <c r="O1442" i="24"/>
  <c r="N1442" i="24"/>
  <c r="M1442" i="24"/>
  <c r="K1442" i="24"/>
  <c r="J1442" i="24"/>
  <c r="H1442" i="24"/>
  <c r="F1442" i="24"/>
  <c r="AI1441" i="24"/>
  <c r="AH1441" i="24"/>
  <c r="AG1441" i="24"/>
  <c r="AF1441" i="24"/>
  <c r="AD1441" i="24"/>
  <c r="AC1441" i="24"/>
  <c r="AB1441" i="24"/>
  <c r="AA1441" i="24"/>
  <c r="Z1441" i="24"/>
  <c r="Y1441" i="24"/>
  <c r="X1441" i="24"/>
  <c r="T1441" i="24"/>
  <c r="S1441" i="24"/>
  <c r="R1441" i="24"/>
  <c r="Q1441" i="24"/>
  <c r="P1441" i="24"/>
  <c r="O1441" i="24"/>
  <c r="N1441" i="24"/>
  <c r="M1441" i="24"/>
  <c r="K1441" i="24"/>
  <c r="J1441" i="24"/>
  <c r="H1441" i="24"/>
  <c r="F1441" i="24"/>
  <c r="AI1440" i="24"/>
  <c r="AH1440" i="24"/>
  <c r="AG1440" i="24"/>
  <c r="AF1440" i="24"/>
  <c r="AD1440" i="24"/>
  <c r="AC1440" i="24"/>
  <c r="AB1440" i="24"/>
  <c r="AA1440" i="24"/>
  <c r="Z1440" i="24"/>
  <c r="Y1440" i="24"/>
  <c r="X1440" i="24"/>
  <c r="T1440" i="24"/>
  <c r="S1440" i="24"/>
  <c r="R1440" i="24"/>
  <c r="Q1440" i="24"/>
  <c r="P1440" i="24"/>
  <c r="O1440" i="24"/>
  <c r="N1440" i="24"/>
  <c r="M1440" i="24"/>
  <c r="K1440" i="24"/>
  <c r="J1440" i="24"/>
  <c r="H1440" i="24"/>
  <c r="F1440" i="24"/>
  <c r="AI1439" i="24"/>
  <c r="AH1439" i="24"/>
  <c r="AG1439" i="24"/>
  <c r="AF1439" i="24"/>
  <c r="AD1439" i="24"/>
  <c r="AC1439" i="24"/>
  <c r="AB1439" i="24"/>
  <c r="AA1439" i="24"/>
  <c r="Z1439" i="24"/>
  <c r="Y1439" i="24"/>
  <c r="X1439" i="24"/>
  <c r="T1439" i="24"/>
  <c r="S1439" i="24"/>
  <c r="R1439" i="24"/>
  <c r="Q1439" i="24"/>
  <c r="P1439" i="24"/>
  <c r="O1439" i="24"/>
  <c r="N1439" i="24"/>
  <c r="M1439" i="24"/>
  <c r="K1439" i="24"/>
  <c r="J1439" i="24"/>
  <c r="H1439" i="24"/>
  <c r="F1439" i="24"/>
  <c r="AI1438" i="24"/>
  <c r="AH1438" i="24"/>
  <c r="AG1438" i="24"/>
  <c r="AF1438" i="24"/>
  <c r="AD1438" i="24"/>
  <c r="AC1438" i="24"/>
  <c r="AB1438" i="24"/>
  <c r="AA1438" i="24"/>
  <c r="Z1438" i="24"/>
  <c r="Y1438" i="24"/>
  <c r="X1438" i="24"/>
  <c r="T1438" i="24"/>
  <c r="S1438" i="24"/>
  <c r="R1438" i="24"/>
  <c r="Q1438" i="24"/>
  <c r="P1438" i="24"/>
  <c r="O1438" i="24"/>
  <c r="N1438" i="24"/>
  <c r="M1438" i="24"/>
  <c r="K1438" i="24"/>
  <c r="J1438" i="24"/>
  <c r="H1438" i="24"/>
  <c r="F1438" i="24"/>
  <c r="AI1437" i="24"/>
  <c r="AH1437" i="24"/>
  <c r="AG1437" i="24"/>
  <c r="AF1437" i="24"/>
  <c r="AD1437" i="24"/>
  <c r="AC1437" i="24"/>
  <c r="AB1437" i="24"/>
  <c r="AA1437" i="24"/>
  <c r="Z1437" i="24"/>
  <c r="Y1437" i="24"/>
  <c r="X1437" i="24"/>
  <c r="T1437" i="24"/>
  <c r="S1437" i="24"/>
  <c r="R1437" i="24"/>
  <c r="Q1437" i="24"/>
  <c r="P1437" i="24"/>
  <c r="O1437" i="24"/>
  <c r="N1437" i="24"/>
  <c r="M1437" i="24"/>
  <c r="K1437" i="24"/>
  <c r="J1437" i="24"/>
  <c r="H1437" i="24"/>
  <c r="F1437" i="24"/>
  <c r="AI1436" i="24"/>
  <c r="AH1436" i="24"/>
  <c r="AG1436" i="24"/>
  <c r="AF1436" i="24"/>
  <c r="AD1436" i="24"/>
  <c r="AC1436" i="24"/>
  <c r="AB1436" i="24"/>
  <c r="AA1436" i="24"/>
  <c r="Z1436" i="24"/>
  <c r="Y1436" i="24"/>
  <c r="X1436" i="24"/>
  <c r="T1436" i="24"/>
  <c r="S1436" i="24"/>
  <c r="R1436" i="24"/>
  <c r="Q1436" i="24"/>
  <c r="P1436" i="24"/>
  <c r="O1436" i="24"/>
  <c r="N1436" i="24"/>
  <c r="M1436" i="24"/>
  <c r="K1436" i="24"/>
  <c r="J1436" i="24"/>
  <c r="H1436" i="24"/>
  <c r="F1436" i="24"/>
  <c r="AI1435" i="24"/>
  <c r="AH1435" i="24"/>
  <c r="AG1435" i="24"/>
  <c r="AF1435" i="24"/>
  <c r="AD1435" i="24"/>
  <c r="AC1435" i="24"/>
  <c r="AB1435" i="24"/>
  <c r="AA1435" i="24"/>
  <c r="Z1435" i="24"/>
  <c r="Y1435" i="24"/>
  <c r="X1435" i="24"/>
  <c r="T1435" i="24"/>
  <c r="S1435" i="24"/>
  <c r="R1435" i="24"/>
  <c r="Q1435" i="24"/>
  <c r="P1435" i="24"/>
  <c r="O1435" i="24"/>
  <c r="N1435" i="24"/>
  <c r="M1435" i="24"/>
  <c r="K1435" i="24"/>
  <c r="J1435" i="24"/>
  <c r="H1435" i="24"/>
  <c r="F1435" i="24"/>
  <c r="AI1434" i="24"/>
  <c r="AH1434" i="24"/>
  <c r="AG1434" i="24"/>
  <c r="AF1434" i="24"/>
  <c r="AD1434" i="24"/>
  <c r="AC1434" i="24"/>
  <c r="AB1434" i="24"/>
  <c r="AA1434" i="24"/>
  <c r="Z1434" i="24"/>
  <c r="Y1434" i="24"/>
  <c r="X1434" i="24"/>
  <c r="T1434" i="24"/>
  <c r="S1434" i="24"/>
  <c r="R1434" i="24"/>
  <c r="Q1434" i="24"/>
  <c r="P1434" i="24"/>
  <c r="O1434" i="24"/>
  <c r="N1434" i="24"/>
  <c r="M1434" i="24"/>
  <c r="K1434" i="24"/>
  <c r="J1434" i="24"/>
  <c r="H1434" i="24"/>
  <c r="F1434" i="24"/>
  <c r="AI1433" i="24"/>
  <c r="AH1433" i="24"/>
  <c r="AG1433" i="24"/>
  <c r="AF1433" i="24"/>
  <c r="AD1433" i="24"/>
  <c r="AC1433" i="24"/>
  <c r="AB1433" i="24"/>
  <c r="AA1433" i="24"/>
  <c r="Z1433" i="24"/>
  <c r="Y1433" i="24"/>
  <c r="X1433" i="24"/>
  <c r="T1433" i="24"/>
  <c r="S1433" i="24"/>
  <c r="R1433" i="24"/>
  <c r="Q1433" i="24"/>
  <c r="P1433" i="24"/>
  <c r="O1433" i="24"/>
  <c r="N1433" i="24"/>
  <c r="M1433" i="24"/>
  <c r="K1433" i="24"/>
  <c r="J1433" i="24"/>
  <c r="H1433" i="24"/>
  <c r="F1433" i="24"/>
  <c r="AI1432" i="24"/>
  <c r="AH1432" i="24"/>
  <c r="AG1432" i="24"/>
  <c r="AF1432" i="24"/>
  <c r="AD1432" i="24"/>
  <c r="AC1432" i="24"/>
  <c r="AB1432" i="24"/>
  <c r="AA1432" i="24"/>
  <c r="Z1432" i="24"/>
  <c r="Y1432" i="24"/>
  <c r="X1432" i="24"/>
  <c r="T1432" i="24"/>
  <c r="S1432" i="24"/>
  <c r="R1432" i="24"/>
  <c r="Q1432" i="24"/>
  <c r="P1432" i="24"/>
  <c r="O1432" i="24"/>
  <c r="N1432" i="24"/>
  <c r="M1432" i="24"/>
  <c r="K1432" i="24"/>
  <c r="J1432" i="24"/>
  <c r="H1432" i="24"/>
  <c r="F1432" i="24"/>
  <c r="AI1431" i="24"/>
  <c r="AH1431" i="24"/>
  <c r="AG1431" i="24"/>
  <c r="AF1431" i="24"/>
  <c r="AD1431" i="24"/>
  <c r="AC1431" i="24"/>
  <c r="AB1431" i="24"/>
  <c r="AA1431" i="24"/>
  <c r="Z1431" i="24"/>
  <c r="Y1431" i="24"/>
  <c r="X1431" i="24"/>
  <c r="T1431" i="24"/>
  <c r="S1431" i="24"/>
  <c r="R1431" i="24"/>
  <c r="Q1431" i="24"/>
  <c r="P1431" i="24"/>
  <c r="O1431" i="24"/>
  <c r="N1431" i="24"/>
  <c r="M1431" i="24"/>
  <c r="K1431" i="24"/>
  <c r="J1431" i="24"/>
  <c r="H1431" i="24"/>
  <c r="F1431" i="24"/>
  <c r="AI1430" i="24"/>
  <c r="AH1430" i="24"/>
  <c r="AG1430" i="24"/>
  <c r="AF1430" i="24"/>
  <c r="AD1430" i="24"/>
  <c r="AC1430" i="24"/>
  <c r="AB1430" i="24"/>
  <c r="AA1430" i="24"/>
  <c r="Z1430" i="24"/>
  <c r="Y1430" i="24"/>
  <c r="X1430" i="24"/>
  <c r="T1430" i="24"/>
  <c r="S1430" i="24"/>
  <c r="R1430" i="24"/>
  <c r="Q1430" i="24"/>
  <c r="P1430" i="24"/>
  <c r="O1430" i="24"/>
  <c r="N1430" i="24"/>
  <c r="M1430" i="24"/>
  <c r="K1430" i="24"/>
  <c r="J1430" i="24"/>
  <c r="H1430" i="24"/>
  <c r="F1430" i="24"/>
  <c r="AI1429" i="24"/>
  <c r="AH1429" i="24"/>
  <c r="AG1429" i="24"/>
  <c r="AF1429" i="24"/>
  <c r="AD1429" i="24"/>
  <c r="AC1429" i="24"/>
  <c r="AB1429" i="24"/>
  <c r="AA1429" i="24"/>
  <c r="Z1429" i="24"/>
  <c r="Y1429" i="24"/>
  <c r="X1429" i="24"/>
  <c r="T1429" i="24"/>
  <c r="S1429" i="24"/>
  <c r="R1429" i="24"/>
  <c r="Q1429" i="24"/>
  <c r="P1429" i="24"/>
  <c r="O1429" i="24"/>
  <c r="N1429" i="24"/>
  <c r="M1429" i="24"/>
  <c r="K1429" i="24"/>
  <c r="J1429" i="24"/>
  <c r="H1429" i="24"/>
  <c r="F1429" i="24"/>
  <c r="AI1428" i="24"/>
  <c r="AH1428" i="24"/>
  <c r="AG1428" i="24"/>
  <c r="AF1428" i="24"/>
  <c r="AD1428" i="24"/>
  <c r="AC1428" i="24"/>
  <c r="AB1428" i="24"/>
  <c r="AA1428" i="24"/>
  <c r="Z1428" i="24"/>
  <c r="Y1428" i="24"/>
  <c r="X1428" i="24"/>
  <c r="T1428" i="24"/>
  <c r="S1428" i="24"/>
  <c r="R1428" i="24"/>
  <c r="Q1428" i="24"/>
  <c r="P1428" i="24"/>
  <c r="O1428" i="24"/>
  <c r="N1428" i="24"/>
  <c r="M1428" i="24"/>
  <c r="K1428" i="24"/>
  <c r="J1428" i="24"/>
  <c r="H1428" i="24"/>
  <c r="F1428" i="24"/>
  <c r="AI1427" i="24"/>
  <c r="AH1427" i="24"/>
  <c r="AG1427" i="24"/>
  <c r="AF1427" i="24"/>
  <c r="AD1427" i="24"/>
  <c r="AC1427" i="24"/>
  <c r="AB1427" i="24"/>
  <c r="AA1427" i="24"/>
  <c r="Z1427" i="24"/>
  <c r="Y1427" i="24"/>
  <c r="X1427" i="24"/>
  <c r="T1427" i="24"/>
  <c r="S1427" i="24"/>
  <c r="R1427" i="24"/>
  <c r="Q1427" i="24"/>
  <c r="P1427" i="24"/>
  <c r="O1427" i="24"/>
  <c r="N1427" i="24"/>
  <c r="M1427" i="24"/>
  <c r="K1427" i="24"/>
  <c r="J1427" i="24"/>
  <c r="H1427" i="24"/>
  <c r="F1427" i="24"/>
  <c r="AI1426" i="24"/>
  <c r="AH1426" i="24"/>
  <c r="AG1426" i="24"/>
  <c r="AF1426" i="24"/>
  <c r="AD1426" i="24"/>
  <c r="AC1426" i="24"/>
  <c r="AB1426" i="24"/>
  <c r="AA1426" i="24"/>
  <c r="Z1426" i="24"/>
  <c r="Y1426" i="24"/>
  <c r="X1426" i="24"/>
  <c r="T1426" i="24"/>
  <c r="S1426" i="24"/>
  <c r="R1426" i="24"/>
  <c r="Q1426" i="24"/>
  <c r="P1426" i="24"/>
  <c r="O1426" i="24"/>
  <c r="N1426" i="24"/>
  <c r="M1426" i="24"/>
  <c r="K1426" i="24"/>
  <c r="J1426" i="24"/>
  <c r="H1426" i="24"/>
  <c r="F1426" i="24"/>
  <c r="AI1425" i="24"/>
  <c r="AH1425" i="24"/>
  <c r="AG1425" i="24"/>
  <c r="AF1425" i="24"/>
  <c r="AD1425" i="24"/>
  <c r="AC1425" i="24"/>
  <c r="AB1425" i="24"/>
  <c r="AA1425" i="24"/>
  <c r="Z1425" i="24"/>
  <c r="Y1425" i="24"/>
  <c r="X1425" i="24"/>
  <c r="T1425" i="24"/>
  <c r="S1425" i="24"/>
  <c r="R1425" i="24"/>
  <c r="Q1425" i="24"/>
  <c r="P1425" i="24"/>
  <c r="O1425" i="24"/>
  <c r="N1425" i="24"/>
  <c r="M1425" i="24"/>
  <c r="K1425" i="24"/>
  <c r="J1425" i="24"/>
  <c r="H1425" i="24"/>
  <c r="F1425" i="24"/>
  <c r="AI1424" i="24"/>
  <c r="AH1424" i="24"/>
  <c r="AG1424" i="24"/>
  <c r="AF1424" i="24"/>
  <c r="AD1424" i="24"/>
  <c r="AC1424" i="24"/>
  <c r="AB1424" i="24"/>
  <c r="AA1424" i="24"/>
  <c r="Z1424" i="24"/>
  <c r="Y1424" i="24"/>
  <c r="X1424" i="24"/>
  <c r="T1424" i="24"/>
  <c r="S1424" i="24"/>
  <c r="R1424" i="24"/>
  <c r="Q1424" i="24"/>
  <c r="P1424" i="24"/>
  <c r="O1424" i="24"/>
  <c r="N1424" i="24"/>
  <c r="M1424" i="24"/>
  <c r="K1424" i="24"/>
  <c r="J1424" i="24"/>
  <c r="H1424" i="24"/>
  <c r="F1424" i="24"/>
  <c r="AI1423" i="24"/>
  <c r="AH1423" i="24"/>
  <c r="AG1423" i="24"/>
  <c r="AF1423" i="24"/>
  <c r="AD1423" i="24"/>
  <c r="AC1423" i="24"/>
  <c r="AB1423" i="24"/>
  <c r="AA1423" i="24"/>
  <c r="Z1423" i="24"/>
  <c r="Y1423" i="24"/>
  <c r="X1423" i="24"/>
  <c r="T1423" i="24"/>
  <c r="S1423" i="24"/>
  <c r="R1423" i="24"/>
  <c r="Q1423" i="24"/>
  <c r="P1423" i="24"/>
  <c r="O1423" i="24"/>
  <c r="N1423" i="24"/>
  <c r="M1423" i="24"/>
  <c r="K1423" i="24"/>
  <c r="J1423" i="24"/>
  <c r="H1423" i="24"/>
  <c r="F1423" i="24"/>
  <c r="AI1422" i="24"/>
  <c r="AH1422" i="24"/>
  <c r="AG1422" i="24"/>
  <c r="AF1422" i="24"/>
  <c r="AD1422" i="24"/>
  <c r="AC1422" i="24"/>
  <c r="AB1422" i="24"/>
  <c r="AA1422" i="24"/>
  <c r="Z1422" i="24"/>
  <c r="Y1422" i="24"/>
  <c r="X1422" i="24"/>
  <c r="T1422" i="24"/>
  <c r="S1422" i="24"/>
  <c r="R1422" i="24"/>
  <c r="Q1422" i="24"/>
  <c r="P1422" i="24"/>
  <c r="O1422" i="24"/>
  <c r="N1422" i="24"/>
  <c r="M1422" i="24"/>
  <c r="K1422" i="24"/>
  <c r="J1422" i="24"/>
  <c r="H1422" i="24"/>
  <c r="F1422" i="24"/>
  <c r="AI1421" i="24"/>
  <c r="AH1421" i="24"/>
  <c r="AG1421" i="24"/>
  <c r="AF1421" i="24"/>
  <c r="AD1421" i="24"/>
  <c r="AC1421" i="24"/>
  <c r="AB1421" i="24"/>
  <c r="AA1421" i="24"/>
  <c r="Z1421" i="24"/>
  <c r="Y1421" i="24"/>
  <c r="X1421" i="24"/>
  <c r="T1421" i="24"/>
  <c r="S1421" i="24"/>
  <c r="R1421" i="24"/>
  <c r="Q1421" i="24"/>
  <c r="P1421" i="24"/>
  <c r="O1421" i="24"/>
  <c r="N1421" i="24"/>
  <c r="M1421" i="24"/>
  <c r="K1421" i="24"/>
  <c r="J1421" i="24"/>
  <c r="H1421" i="24"/>
  <c r="F1421" i="24"/>
  <c r="AI1420" i="24"/>
  <c r="AH1420" i="24"/>
  <c r="AG1420" i="24"/>
  <c r="AF1420" i="24"/>
  <c r="AD1420" i="24"/>
  <c r="AC1420" i="24"/>
  <c r="AB1420" i="24"/>
  <c r="AA1420" i="24"/>
  <c r="Z1420" i="24"/>
  <c r="Y1420" i="24"/>
  <c r="X1420" i="24"/>
  <c r="T1420" i="24"/>
  <c r="S1420" i="24"/>
  <c r="R1420" i="24"/>
  <c r="Q1420" i="24"/>
  <c r="P1420" i="24"/>
  <c r="O1420" i="24"/>
  <c r="N1420" i="24"/>
  <c r="M1420" i="24"/>
  <c r="K1420" i="24"/>
  <c r="J1420" i="24"/>
  <c r="H1420" i="24"/>
  <c r="F1420" i="24"/>
  <c r="AI1419" i="24"/>
  <c r="AH1419" i="24"/>
  <c r="AG1419" i="24"/>
  <c r="AF1419" i="24"/>
  <c r="AD1419" i="24"/>
  <c r="AC1419" i="24"/>
  <c r="AB1419" i="24"/>
  <c r="AA1419" i="24"/>
  <c r="Z1419" i="24"/>
  <c r="Y1419" i="24"/>
  <c r="X1419" i="24"/>
  <c r="T1419" i="24"/>
  <c r="S1419" i="24"/>
  <c r="R1419" i="24"/>
  <c r="Q1419" i="24"/>
  <c r="P1419" i="24"/>
  <c r="O1419" i="24"/>
  <c r="N1419" i="24"/>
  <c r="M1419" i="24"/>
  <c r="K1419" i="24"/>
  <c r="J1419" i="24"/>
  <c r="H1419" i="24"/>
  <c r="F1419" i="24"/>
  <c r="AI1418" i="24"/>
  <c r="AH1418" i="24"/>
  <c r="AG1418" i="24"/>
  <c r="AF1418" i="24"/>
  <c r="AD1418" i="24"/>
  <c r="AC1418" i="24"/>
  <c r="AB1418" i="24"/>
  <c r="AA1418" i="24"/>
  <c r="Z1418" i="24"/>
  <c r="Y1418" i="24"/>
  <c r="X1418" i="24"/>
  <c r="T1418" i="24"/>
  <c r="S1418" i="24"/>
  <c r="R1418" i="24"/>
  <c r="Q1418" i="24"/>
  <c r="P1418" i="24"/>
  <c r="O1418" i="24"/>
  <c r="N1418" i="24"/>
  <c r="M1418" i="24"/>
  <c r="K1418" i="24"/>
  <c r="J1418" i="24"/>
  <c r="H1418" i="24"/>
  <c r="F1418" i="24"/>
  <c r="AI1417" i="24"/>
  <c r="AH1417" i="24"/>
  <c r="AG1417" i="24"/>
  <c r="AF1417" i="24"/>
  <c r="AD1417" i="24"/>
  <c r="AC1417" i="24"/>
  <c r="AB1417" i="24"/>
  <c r="AA1417" i="24"/>
  <c r="Z1417" i="24"/>
  <c r="Y1417" i="24"/>
  <c r="X1417" i="24"/>
  <c r="T1417" i="24"/>
  <c r="S1417" i="24"/>
  <c r="R1417" i="24"/>
  <c r="Q1417" i="24"/>
  <c r="P1417" i="24"/>
  <c r="O1417" i="24"/>
  <c r="N1417" i="24"/>
  <c r="M1417" i="24"/>
  <c r="K1417" i="24"/>
  <c r="J1417" i="24"/>
  <c r="H1417" i="24"/>
  <c r="F1417" i="24"/>
  <c r="AI1416" i="24"/>
  <c r="AH1416" i="24"/>
  <c r="AG1416" i="24"/>
  <c r="AF1416" i="24"/>
  <c r="AD1416" i="24"/>
  <c r="AC1416" i="24"/>
  <c r="AB1416" i="24"/>
  <c r="AA1416" i="24"/>
  <c r="Z1416" i="24"/>
  <c r="Y1416" i="24"/>
  <c r="X1416" i="24"/>
  <c r="T1416" i="24"/>
  <c r="S1416" i="24"/>
  <c r="R1416" i="24"/>
  <c r="Q1416" i="24"/>
  <c r="P1416" i="24"/>
  <c r="O1416" i="24"/>
  <c r="N1416" i="24"/>
  <c r="M1416" i="24"/>
  <c r="K1416" i="24"/>
  <c r="J1416" i="24"/>
  <c r="H1416" i="24"/>
  <c r="F1416" i="24"/>
  <c r="AI1415" i="24"/>
  <c r="AH1415" i="24"/>
  <c r="AG1415" i="24"/>
  <c r="AF1415" i="24"/>
  <c r="AD1415" i="24"/>
  <c r="AC1415" i="24"/>
  <c r="AB1415" i="24"/>
  <c r="AA1415" i="24"/>
  <c r="Z1415" i="24"/>
  <c r="Y1415" i="24"/>
  <c r="X1415" i="24"/>
  <c r="T1415" i="24"/>
  <c r="S1415" i="24"/>
  <c r="R1415" i="24"/>
  <c r="Q1415" i="24"/>
  <c r="P1415" i="24"/>
  <c r="O1415" i="24"/>
  <c r="N1415" i="24"/>
  <c r="M1415" i="24"/>
  <c r="K1415" i="24"/>
  <c r="J1415" i="24"/>
  <c r="H1415" i="24"/>
  <c r="F1415" i="24"/>
  <c r="AI1414" i="24"/>
  <c r="AH1414" i="24"/>
  <c r="AG1414" i="24"/>
  <c r="AF1414" i="24"/>
  <c r="AD1414" i="24"/>
  <c r="AC1414" i="24"/>
  <c r="AB1414" i="24"/>
  <c r="AA1414" i="24"/>
  <c r="Z1414" i="24"/>
  <c r="Y1414" i="24"/>
  <c r="X1414" i="24"/>
  <c r="T1414" i="24"/>
  <c r="S1414" i="24"/>
  <c r="R1414" i="24"/>
  <c r="Q1414" i="24"/>
  <c r="P1414" i="24"/>
  <c r="O1414" i="24"/>
  <c r="N1414" i="24"/>
  <c r="M1414" i="24"/>
  <c r="K1414" i="24"/>
  <c r="J1414" i="24"/>
  <c r="H1414" i="24"/>
  <c r="F1414" i="24"/>
  <c r="AI1413" i="24"/>
  <c r="AH1413" i="24"/>
  <c r="AG1413" i="24"/>
  <c r="AF1413" i="24"/>
  <c r="AD1413" i="24"/>
  <c r="AC1413" i="24"/>
  <c r="AB1413" i="24"/>
  <c r="AA1413" i="24"/>
  <c r="Z1413" i="24"/>
  <c r="Y1413" i="24"/>
  <c r="X1413" i="24"/>
  <c r="T1413" i="24"/>
  <c r="S1413" i="24"/>
  <c r="R1413" i="24"/>
  <c r="Q1413" i="24"/>
  <c r="P1413" i="24"/>
  <c r="O1413" i="24"/>
  <c r="N1413" i="24"/>
  <c r="M1413" i="24"/>
  <c r="K1413" i="24"/>
  <c r="J1413" i="24"/>
  <c r="H1413" i="24"/>
  <c r="F1413" i="24"/>
  <c r="AI1412" i="24"/>
  <c r="AH1412" i="24"/>
  <c r="AG1412" i="24"/>
  <c r="AF1412" i="24"/>
  <c r="AD1412" i="24"/>
  <c r="AC1412" i="24"/>
  <c r="AB1412" i="24"/>
  <c r="AA1412" i="24"/>
  <c r="Z1412" i="24"/>
  <c r="Y1412" i="24"/>
  <c r="X1412" i="24"/>
  <c r="T1412" i="24"/>
  <c r="S1412" i="24"/>
  <c r="R1412" i="24"/>
  <c r="Q1412" i="24"/>
  <c r="P1412" i="24"/>
  <c r="O1412" i="24"/>
  <c r="N1412" i="24"/>
  <c r="M1412" i="24"/>
  <c r="K1412" i="24"/>
  <c r="J1412" i="24"/>
  <c r="H1412" i="24"/>
  <c r="F1412" i="24"/>
  <c r="AI1411" i="24"/>
  <c r="AH1411" i="24"/>
  <c r="AG1411" i="24"/>
  <c r="AF1411" i="24"/>
  <c r="AD1411" i="24"/>
  <c r="AC1411" i="24"/>
  <c r="AB1411" i="24"/>
  <c r="AA1411" i="24"/>
  <c r="Z1411" i="24"/>
  <c r="Y1411" i="24"/>
  <c r="X1411" i="24"/>
  <c r="T1411" i="24"/>
  <c r="S1411" i="24"/>
  <c r="R1411" i="24"/>
  <c r="Q1411" i="24"/>
  <c r="P1411" i="24"/>
  <c r="O1411" i="24"/>
  <c r="N1411" i="24"/>
  <c r="M1411" i="24"/>
  <c r="K1411" i="24"/>
  <c r="J1411" i="24"/>
  <c r="H1411" i="24"/>
  <c r="F1411" i="24"/>
  <c r="AI1410" i="24"/>
  <c r="AH1410" i="24"/>
  <c r="AG1410" i="24"/>
  <c r="AF1410" i="24"/>
  <c r="AD1410" i="24"/>
  <c r="AC1410" i="24"/>
  <c r="AB1410" i="24"/>
  <c r="AA1410" i="24"/>
  <c r="Z1410" i="24"/>
  <c r="Y1410" i="24"/>
  <c r="X1410" i="24"/>
  <c r="T1410" i="24"/>
  <c r="S1410" i="24"/>
  <c r="R1410" i="24"/>
  <c r="Q1410" i="24"/>
  <c r="P1410" i="24"/>
  <c r="O1410" i="24"/>
  <c r="N1410" i="24"/>
  <c r="M1410" i="24"/>
  <c r="K1410" i="24"/>
  <c r="J1410" i="24"/>
  <c r="H1410" i="24"/>
  <c r="F1410" i="24"/>
  <c r="AI1409" i="24"/>
  <c r="AH1409" i="24"/>
  <c r="AG1409" i="24"/>
  <c r="AF1409" i="24"/>
  <c r="AD1409" i="24"/>
  <c r="AC1409" i="24"/>
  <c r="AB1409" i="24"/>
  <c r="AA1409" i="24"/>
  <c r="Z1409" i="24"/>
  <c r="Y1409" i="24"/>
  <c r="X1409" i="24"/>
  <c r="T1409" i="24"/>
  <c r="S1409" i="24"/>
  <c r="R1409" i="24"/>
  <c r="Q1409" i="24"/>
  <c r="P1409" i="24"/>
  <c r="O1409" i="24"/>
  <c r="N1409" i="24"/>
  <c r="M1409" i="24"/>
  <c r="K1409" i="24"/>
  <c r="J1409" i="24"/>
  <c r="H1409" i="24"/>
  <c r="F1409" i="24"/>
  <c r="AI1408" i="24"/>
  <c r="AH1408" i="24"/>
  <c r="AG1408" i="24"/>
  <c r="AF1408" i="24"/>
  <c r="AD1408" i="24"/>
  <c r="AC1408" i="24"/>
  <c r="AB1408" i="24"/>
  <c r="AA1408" i="24"/>
  <c r="Z1408" i="24"/>
  <c r="Y1408" i="24"/>
  <c r="X1408" i="24"/>
  <c r="T1408" i="24"/>
  <c r="S1408" i="24"/>
  <c r="R1408" i="24"/>
  <c r="Q1408" i="24"/>
  <c r="P1408" i="24"/>
  <c r="O1408" i="24"/>
  <c r="N1408" i="24"/>
  <c r="M1408" i="24"/>
  <c r="K1408" i="24"/>
  <c r="J1408" i="24"/>
  <c r="H1408" i="24"/>
  <c r="F1408" i="24"/>
  <c r="AI1407" i="24"/>
  <c r="AH1407" i="24"/>
  <c r="AG1407" i="24"/>
  <c r="AF1407" i="24"/>
  <c r="AD1407" i="24"/>
  <c r="AC1407" i="24"/>
  <c r="AB1407" i="24"/>
  <c r="AA1407" i="24"/>
  <c r="Z1407" i="24"/>
  <c r="Y1407" i="24"/>
  <c r="X1407" i="24"/>
  <c r="T1407" i="24"/>
  <c r="S1407" i="24"/>
  <c r="R1407" i="24"/>
  <c r="Q1407" i="24"/>
  <c r="P1407" i="24"/>
  <c r="O1407" i="24"/>
  <c r="N1407" i="24"/>
  <c r="M1407" i="24"/>
  <c r="K1407" i="24"/>
  <c r="J1407" i="24"/>
  <c r="H1407" i="24"/>
  <c r="F1407" i="24"/>
  <c r="AI1406" i="24"/>
  <c r="AH1406" i="24"/>
  <c r="AG1406" i="24"/>
  <c r="AF1406" i="24"/>
  <c r="AD1406" i="24"/>
  <c r="AC1406" i="24"/>
  <c r="AB1406" i="24"/>
  <c r="AA1406" i="24"/>
  <c r="Z1406" i="24"/>
  <c r="Y1406" i="24"/>
  <c r="X1406" i="24"/>
  <c r="T1406" i="24"/>
  <c r="S1406" i="24"/>
  <c r="R1406" i="24"/>
  <c r="Q1406" i="24"/>
  <c r="P1406" i="24"/>
  <c r="O1406" i="24"/>
  <c r="N1406" i="24"/>
  <c r="M1406" i="24"/>
  <c r="K1406" i="24"/>
  <c r="J1406" i="24"/>
  <c r="H1406" i="24"/>
  <c r="F1406" i="24"/>
  <c r="AI1405" i="24"/>
  <c r="AH1405" i="24"/>
  <c r="AG1405" i="24"/>
  <c r="AF1405" i="24"/>
  <c r="AD1405" i="24"/>
  <c r="AC1405" i="24"/>
  <c r="AB1405" i="24"/>
  <c r="AA1405" i="24"/>
  <c r="Z1405" i="24"/>
  <c r="Y1405" i="24"/>
  <c r="X1405" i="24"/>
  <c r="T1405" i="24"/>
  <c r="S1405" i="24"/>
  <c r="R1405" i="24"/>
  <c r="Q1405" i="24"/>
  <c r="P1405" i="24"/>
  <c r="O1405" i="24"/>
  <c r="N1405" i="24"/>
  <c r="M1405" i="24"/>
  <c r="K1405" i="24"/>
  <c r="J1405" i="24"/>
  <c r="H1405" i="24"/>
  <c r="F1405" i="24"/>
  <c r="AI1404" i="24"/>
  <c r="AH1404" i="24"/>
  <c r="AG1404" i="24"/>
  <c r="AF1404" i="24"/>
  <c r="AD1404" i="24"/>
  <c r="AC1404" i="24"/>
  <c r="AB1404" i="24"/>
  <c r="AA1404" i="24"/>
  <c r="Z1404" i="24"/>
  <c r="Y1404" i="24"/>
  <c r="X1404" i="24"/>
  <c r="T1404" i="24"/>
  <c r="S1404" i="24"/>
  <c r="R1404" i="24"/>
  <c r="Q1404" i="24"/>
  <c r="P1404" i="24"/>
  <c r="O1404" i="24"/>
  <c r="N1404" i="24"/>
  <c r="M1404" i="24"/>
  <c r="K1404" i="24"/>
  <c r="J1404" i="24"/>
  <c r="H1404" i="24"/>
  <c r="F1404" i="24"/>
  <c r="AI1403" i="24"/>
  <c r="AH1403" i="24"/>
  <c r="AG1403" i="24"/>
  <c r="AF1403" i="24"/>
  <c r="AD1403" i="24"/>
  <c r="AC1403" i="24"/>
  <c r="AB1403" i="24"/>
  <c r="AA1403" i="24"/>
  <c r="Z1403" i="24"/>
  <c r="Y1403" i="24"/>
  <c r="X1403" i="24"/>
  <c r="T1403" i="24"/>
  <c r="S1403" i="24"/>
  <c r="R1403" i="24"/>
  <c r="Q1403" i="24"/>
  <c r="P1403" i="24"/>
  <c r="O1403" i="24"/>
  <c r="N1403" i="24"/>
  <c r="M1403" i="24"/>
  <c r="K1403" i="24"/>
  <c r="J1403" i="24"/>
  <c r="H1403" i="24"/>
  <c r="F1403" i="24"/>
  <c r="AI1402" i="24"/>
  <c r="AH1402" i="24"/>
  <c r="AG1402" i="24"/>
  <c r="AF1402" i="24"/>
  <c r="AD1402" i="24"/>
  <c r="AC1402" i="24"/>
  <c r="AB1402" i="24"/>
  <c r="AA1402" i="24"/>
  <c r="Z1402" i="24"/>
  <c r="Y1402" i="24"/>
  <c r="X1402" i="24"/>
  <c r="T1402" i="24"/>
  <c r="S1402" i="24"/>
  <c r="R1402" i="24"/>
  <c r="Q1402" i="24"/>
  <c r="P1402" i="24"/>
  <c r="O1402" i="24"/>
  <c r="N1402" i="24"/>
  <c r="M1402" i="24"/>
  <c r="K1402" i="24"/>
  <c r="J1402" i="24"/>
  <c r="H1402" i="24"/>
  <c r="F1402" i="24"/>
  <c r="AI1401" i="24"/>
  <c r="AH1401" i="24"/>
  <c r="AG1401" i="24"/>
  <c r="AF1401" i="24"/>
  <c r="AD1401" i="24"/>
  <c r="AC1401" i="24"/>
  <c r="AB1401" i="24"/>
  <c r="AA1401" i="24"/>
  <c r="Z1401" i="24"/>
  <c r="Y1401" i="24"/>
  <c r="X1401" i="24"/>
  <c r="T1401" i="24"/>
  <c r="S1401" i="24"/>
  <c r="R1401" i="24"/>
  <c r="Q1401" i="24"/>
  <c r="P1401" i="24"/>
  <c r="O1401" i="24"/>
  <c r="N1401" i="24"/>
  <c r="M1401" i="24"/>
  <c r="K1401" i="24"/>
  <c r="J1401" i="24"/>
  <c r="H1401" i="24"/>
  <c r="F1401" i="24"/>
  <c r="AI1400" i="24"/>
  <c r="AH1400" i="24"/>
  <c r="AG1400" i="24"/>
  <c r="AF1400" i="24"/>
  <c r="AD1400" i="24"/>
  <c r="AC1400" i="24"/>
  <c r="AB1400" i="24"/>
  <c r="AA1400" i="24"/>
  <c r="Z1400" i="24"/>
  <c r="Y1400" i="24"/>
  <c r="X1400" i="24"/>
  <c r="T1400" i="24"/>
  <c r="S1400" i="24"/>
  <c r="R1400" i="24"/>
  <c r="Q1400" i="24"/>
  <c r="P1400" i="24"/>
  <c r="O1400" i="24"/>
  <c r="N1400" i="24"/>
  <c r="M1400" i="24"/>
  <c r="K1400" i="24"/>
  <c r="J1400" i="24"/>
  <c r="H1400" i="24"/>
  <c r="F1400" i="24"/>
  <c r="AI1399" i="24"/>
  <c r="AH1399" i="24"/>
  <c r="AG1399" i="24"/>
  <c r="AF1399" i="24"/>
  <c r="AD1399" i="24"/>
  <c r="AC1399" i="24"/>
  <c r="AB1399" i="24"/>
  <c r="AA1399" i="24"/>
  <c r="Z1399" i="24"/>
  <c r="Y1399" i="24"/>
  <c r="X1399" i="24"/>
  <c r="T1399" i="24"/>
  <c r="S1399" i="24"/>
  <c r="R1399" i="24"/>
  <c r="Q1399" i="24"/>
  <c r="P1399" i="24"/>
  <c r="O1399" i="24"/>
  <c r="N1399" i="24"/>
  <c r="M1399" i="24"/>
  <c r="K1399" i="24"/>
  <c r="J1399" i="24"/>
  <c r="H1399" i="24"/>
  <c r="F1399" i="24"/>
  <c r="AI1398" i="24"/>
  <c r="AH1398" i="24"/>
  <c r="AG1398" i="24"/>
  <c r="AF1398" i="24"/>
  <c r="AD1398" i="24"/>
  <c r="AC1398" i="24"/>
  <c r="AB1398" i="24"/>
  <c r="AA1398" i="24"/>
  <c r="Z1398" i="24"/>
  <c r="Y1398" i="24"/>
  <c r="X1398" i="24"/>
  <c r="T1398" i="24"/>
  <c r="S1398" i="24"/>
  <c r="R1398" i="24"/>
  <c r="Q1398" i="24"/>
  <c r="P1398" i="24"/>
  <c r="O1398" i="24"/>
  <c r="N1398" i="24"/>
  <c r="M1398" i="24"/>
  <c r="K1398" i="24"/>
  <c r="J1398" i="24"/>
  <c r="H1398" i="24"/>
  <c r="F1398" i="24"/>
  <c r="AI1397" i="24"/>
  <c r="AH1397" i="24"/>
  <c r="AG1397" i="24"/>
  <c r="AF1397" i="24"/>
  <c r="AD1397" i="24"/>
  <c r="AC1397" i="24"/>
  <c r="AB1397" i="24"/>
  <c r="AA1397" i="24"/>
  <c r="Z1397" i="24"/>
  <c r="Y1397" i="24"/>
  <c r="X1397" i="24"/>
  <c r="T1397" i="24"/>
  <c r="S1397" i="24"/>
  <c r="R1397" i="24"/>
  <c r="Q1397" i="24"/>
  <c r="P1397" i="24"/>
  <c r="O1397" i="24"/>
  <c r="N1397" i="24"/>
  <c r="M1397" i="24"/>
  <c r="K1397" i="24"/>
  <c r="J1397" i="24"/>
  <c r="H1397" i="24"/>
  <c r="F1397" i="24"/>
  <c r="AI1396" i="24"/>
  <c r="AH1396" i="24"/>
  <c r="AG1396" i="24"/>
  <c r="AF1396" i="24"/>
  <c r="AD1396" i="24"/>
  <c r="AC1396" i="24"/>
  <c r="AB1396" i="24"/>
  <c r="AA1396" i="24"/>
  <c r="Z1396" i="24"/>
  <c r="Y1396" i="24"/>
  <c r="X1396" i="24"/>
  <c r="T1396" i="24"/>
  <c r="S1396" i="24"/>
  <c r="R1396" i="24"/>
  <c r="Q1396" i="24"/>
  <c r="P1396" i="24"/>
  <c r="O1396" i="24"/>
  <c r="N1396" i="24"/>
  <c r="M1396" i="24"/>
  <c r="K1396" i="24"/>
  <c r="J1396" i="24"/>
  <c r="H1396" i="24"/>
  <c r="F1396" i="24"/>
  <c r="AI1395" i="24"/>
  <c r="AH1395" i="24"/>
  <c r="AG1395" i="24"/>
  <c r="AF1395" i="24"/>
  <c r="AD1395" i="24"/>
  <c r="AC1395" i="24"/>
  <c r="AB1395" i="24"/>
  <c r="AA1395" i="24"/>
  <c r="Z1395" i="24"/>
  <c r="Y1395" i="24"/>
  <c r="X1395" i="24"/>
  <c r="T1395" i="24"/>
  <c r="S1395" i="24"/>
  <c r="R1395" i="24"/>
  <c r="Q1395" i="24"/>
  <c r="P1395" i="24"/>
  <c r="O1395" i="24"/>
  <c r="N1395" i="24"/>
  <c r="M1395" i="24"/>
  <c r="K1395" i="24"/>
  <c r="J1395" i="24"/>
  <c r="H1395" i="24"/>
  <c r="F1395" i="24"/>
  <c r="AI1394" i="24"/>
  <c r="AH1394" i="24"/>
  <c r="AG1394" i="24"/>
  <c r="AF1394" i="24"/>
  <c r="AD1394" i="24"/>
  <c r="AC1394" i="24"/>
  <c r="AB1394" i="24"/>
  <c r="AA1394" i="24"/>
  <c r="Z1394" i="24"/>
  <c r="Y1394" i="24"/>
  <c r="X1394" i="24"/>
  <c r="T1394" i="24"/>
  <c r="S1394" i="24"/>
  <c r="R1394" i="24"/>
  <c r="Q1394" i="24"/>
  <c r="P1394" i="24"/>
  <c r="O1394" i="24"/>
  <c r="N1394" i="24"/>
  <c r="M1394" i="24"/>
  <c r="K1394" i="24"/>
  <c r="J1394" i="24"/>
  <c r="H1394" i="24"/>
  <c r="F1394" i="24"/>
  <c r="AI1393" i="24"/>
  <c r="AH1393" i="24"/>
  <c r="AG1393" i="24"/>
  <c r="AF1393" i="24"/>
  <c r="AD1393" i="24"/>
  <c r="AC1393" i="24"/>
  <c r="AB1393" i="24"/>
  <c r="AA1393" i="24"/>
  <c r="Z1393" i="24"/>
  <c r="Y1393" i="24"/>
  <c r="X1393" i="24"/>
  <c r="T1393" i="24"/>
  <c r="S1393" i="24"/>
  <c r="R1393" i="24"/>
  <c r="Q1393" i="24"/>
  <c r="P1393" i="24"/>
  <c r="O1393" i="24"/>
  <c r="N1393" i="24"/>
  <c r="M1393" i="24"/>
  <c r="K1393" i="24"/>
  <c r="J1393" i="24"/>
  <c r="H1393" i="24"/>
  <c r="F1393" i="24"/>
  <c r="AI1392" i="24"/>
  <c r="AH1392" i="24"/>
  <c r="AG1392" i="24"/>
  <c r="AF1392" i="24"/>
  <c r="AD1392" i="24"/>
  <c r="AC1392" i="24"/>
  <c r="AB1392" i="24"/>
  <c r="AA1392" i="24"/>
  <c r="Z1392" i="24"/>
  <c r="Y1392" i="24"/>
  <c r="X1392" i="24"/>
  <c r="T1392" i="24"/>
  <c r="S1392" i="24"/>
  <c r="R1392" i="24"/>
  <c r="Q1392" i="24"/>
  <c r="P1392" i="24"/>
  <c r="O1392" i="24"/>
  <c r="N1392" i="24"/>
  <c r="M1392" i="24"/>
  <c r="K1392" i="24"/>
  <c r="J1392" i="24"/>
  <c r="H1392" i="24"/>
  <c r="F1392" i="24"/>
  <c r="AI1391" i="24"/>
  <c r="AH1391" i="24"/>
  <c r="AG1391" i="24"/>
  <c r="AF1391" i="24"/>
  <c r="AD1391" i="24"/>
  <c r="AC1391" i="24"/>
  <c r="AB1391" i="24"/>
  <c r="AA1391" i="24"/>
  <c r="Z1391" i="24"/>
  <c r="Y1391" i="24"/>
  <c r="X1391" i="24"/>
  <c r="T1391" i="24"/>
  <c r="S1391" i="24"/>
  <c r="R1391" i="24"/>
  <c r="Q1391" i="24"/>
  <c r="P1391" i="24"/>
  <c r="O1391" i="24"/>
  <c r="N1391" i="24"/>
  <c r="M1391" i="24"/>
  <c r="K1391" i="24"/>
  <c r="J1391" i="24"/>
  <c r="H1391" i="24"/>
  <c r="F1391" i="24"/>
  <c r="AI1390" i="24"/>
  <c r="AH1390" i="24"/>
  <c r="AG1390" i="24"/>
  <c r="AF1390" i="24"/>
  <c r="AD1390" i="24"/>
  <c r="AC1390" i="24"/>
  <c r="AB1390" i="24"/>
  <c r="AA1390" i="24"/>
  <c r="Z1390" i="24"/>
  <c r="Y1390" i="24"/>
  <c r="X1390" i="24"/>
  <c r="T1390" i="24"/>
  <c r="S1390" i="24"/>
  <c r="R1390" i="24"/>
  <c r="Q1390" i="24"/>
  <c r="P1390" i="24"/>
  <c r="O1390" i="24"/>
  <c r="N1390" i="24"/>
  <c r="M1390" i="24"/>
  <c r="K1390" i="24"/>
  <c r="J1390" i="24"/>
  <c r="H1390" i="24"/>
  <c r="F1390" i="24"/>
  <c r="AI1389" i="24"/>
  <c r="AH1389" i="24"/>
  <c r="AG1389" i="24"/>
  <c r="AF1389" i="24"/>
  <c r="AD1389" i="24"/>
  <c r="AC1389" i="24"/>
  <c r="AB1389" i="24"/>
  <c r="AA1389" i="24"/>
  <c r="Z1389" i="24"/>
  <c r="Y1389" i="24"/>
  <c r="X1389" i="24"/>
  <c r="T1389" i="24"/>
  <c r="S1389" i="24"/>
  <c r="R1389" i="24"/>
  <c r="Q1389" i="24"/>
  <c r="P1389" i="24"/>
  <c r="O1389" i="24"/>
  <c r="N1389" i="24"/>
  <c r="M1389" i="24"/>
  <c r="K1389" i="24"/>
  <c r="J1389" i="24"/>
  <c r="H1389" i="24"/>
  <c r="F1389" i="24"/>
  <c r="AI1388" i="24"/>
  <c r="AH1388" i="24"/>
  <c r="AG1388" i="24"/>
  <c r="AF1388" i="24"/>
  <c r="AD1388" i="24"/>
  <c r="AC1388" i="24"/>
  <c r="AB1388" i="24"/>
  <c r="AA1388" i="24"/>
  <c r="Z1388" i="24"/>
  <c r="Y1388" i="24"/>
  <c r="X1388" i="24"/>
  <c r="T1388" i="24"/>
  <c r="S1388" i="24"/>
  <c r="R1388" i="24"/>
  <c r="Q1388" i="24"/>
  <c r="P1388" i="24"/>
  <c r="O1388" i="24"/>
  <c r="N1388" i="24"/>
  <c r="M1388" i="24"/>
  <c r="K1388" i="24"/>
  <c r="J1388" i="24"/>
  <c r="H1388" i="24"/>
  <c r="F1388" i="24"/>
  <c r="AI1387" i="24"/>
  <c r="AH1387" i="24"/>
  <c r="AG1387" i="24"/>
  <c r="AF1387" i="24"/>
  <c r="AD1387" i="24"/>
  <c r="AC1387" i="24"/>
  <c r="AB1387" i="24"/>
  <c r="AA1387" i="24"/>
  <c r="Z1387" i="24"/>
  <c r="Y1387" i="24"/>
  <c r="X1387" i="24"/>
  <c r="T1387" i="24"/>
  <c r="S1387" i="24"/>
  <c r="R1387" i="24"/>
  <c r="Q1387" i="24"/>
  <c r="P1387" i="24"/>
  <c r="O1387" i="24"/>
  <c r="N1387" i="24"/>
  <c r="M1387" i="24"/>
  <c r="K1387" i="24"/>
  <c r="J1387" i="24"/>
  <c r="H1387" i="24"/>
  <c r="F1387" i="24"/>
  <c r="AI1386" i="24"/>
  <c r="AH1386" i="24"/>
  <c r="AG1386" i="24"/>
  <c r="AF1386" i="24"/>
  <c r="AD1386" i="24"/>
  <c r="AC1386" i="24"/>
  <c r="AB1386" i="24"/>
  <c r="AA1386" i="24"/>
  <c r="Z1386" i="24"/>
  <c r="Y1386" i="24"/>
  <c r="X1386" i="24"/>
  <c r="T1386" i="24"/>
  <c r="S1386" i="24"/>
  <c r="R1386" i="24"/>
  <c r="Q1386" i="24"/>
  <c r="P1386" i="24"/>
  <c r="O1386" i="24"/>
  <c r="N1386" i="24"/>
  <c r="M1386" i="24"/>
  <c r="K1386" i="24"/>
  <c r="J1386" i="24"/>
  <c r="H1386" i="24"/>
  <c r="F1386" i="24"/>
  <c r="AI1385" i="24"/>
  <c r="AH1385" i="24"/>
  <c r="AG1385" i="24"/>
  <c r="AF1385" i="24"/>
  <c r="AD1385" i="24"/>
  <c r="AC1385" i="24"/>
  <c r="AB1385" i="24"/>
  <c r="AA1385" i="24"/>
  <c r="Z1385" i="24"/>
  <c r="Y1385" i="24"/>
  <c r="X1385" i="24"/>
  <c r="T1385" i="24"/>
  <c r="S1385" i="24"/>
  <c r="R1385" i="24"/>
  <c r="Q1385" i="24"/>
  <c r="P1385" i="24"/>
  <c r="O1385" i="24"/>
  <c r="N1385" i="24"/>
  <c r="M1385" i="24"/>
  <c r="K1385" i="24"/>
  <c r="J1385" i="24"/>
  <c r="H1385" i="24"/>
  <c r="F1385" i="24"/>
  <c r="AI1384" i="24"/>
  <c r="AH1384" i="24"/>
  <c r="AG1384" i="24"/>
  <c r="AF1384" i="24"/>
  <c r="AD1384" i="24"/>
  <c r="AC1384" i="24"/>
  <c r="AB1384" i="24"/>
  <c r="AA1384" i="24"/>
  <c r="Z1384" i="24"/>
  <c r="Y1384" i="24"/>
  <c r="X1384" i="24"/>
  <c r="T1384" i="24"/>
  <c r="S1384" i="24"/>
  <c r="R1384" i="24"/>
  <c r="Q1384" i="24"/>
  <c r="P1384" i="24"/>
  <c r="O1384" i="24"/>
  <c r="N1384" i="24"/>
  <c r="M1384" i="24"/>
  <c r="K1384" i="24"/>
  <c r="J1384" i="24"/>
  <c r="H1384" i="24"/>
  <c r="F1384" i="24"/>
  <c r="AI1383" i="24"/>
  <c r="AH1383" i="24"/>
  <c r="AG1383" i="24"/>
  <c r="AF1383" i="24"/>
  <c r="AD1383" i="24"/>
  <c r="AC1383" i="24"/>
  <c r="AB1383" i="24"/>
  <c r="AA1383" i="24"/>
  <c r="Z1383" i="24"/>
  <c r="Y1383" i="24"/>
  <c r="X1383" i="24"/>
  <c r="T1383" i="24"/>
  <c r="S1383" i="24"/>
  <c r="R1383" i="24"/>
  <c r="Q1383" i="24"/>
  <c r="P1383" i="24"/>
  <c r="O1383" i="24"/>
  <c r="N1383" i="24"/>
  <c r="M1383" i="24"/>
  <c r="K1383" i="24"/>
  <c r="J1383" i="24"/>
  <c r="H1383" i="24"/>
  <c r="F1383" i="24"/>
  <c r="AI1382" i="24"/>
  <c r="AH1382" i="24"/>
  <c r="AG1382" i="24"/>
  <c r="AF1382" i="24"/>
  <c r="AD1382" i="24"/>
  <c r="AC1382" i="24"/>
  <c r="AB1382" i="24"/>
  <c r="AA1382" i="24"/>
  <c r="Z1382" i="24"/>
  <c r="Y1382" i="24"/>
  <c r="X1382" i="24"/>
  <c r="T1382" i="24"/>
  <c r="S1382" i="24"/>
  <c r="R1382" i="24"/>
  <c r="Q1382" i="24"/>
  <c r="P1382" i="24"/>
  <c r="O1382" i="24"/>
  <c r="N1382" i="24"/>
  <c r="M1382" i="24"/>
  <c r="K1382" i="24"/>
  <c r="J1382" i="24"/>
  <c r="H1382" i="24"/>
  <c r="F1382" i="24"/>
  <c r="AI1381" i="24"/>
  <c r="AH1381" i="24"/>
  <c r="AG1381" i="24"/>
  <c r="AF1381" i="24"/>
  <c r="AD1381" i="24"/>
  <c r="AC1381" i="24"/>
  <c r="AB1381" i="24"/>
  <c r="AA1381" i="24"/>
  <c r="Z1381" i="24"/>
  <c r="Y1381" i="24"/>
  <c r="X1381" i="24"/>
  <c r="T1381" i="24"/>
  <c r="S1381" i="24"/>
  <c r="R1381" i="24"/>
  <c r="Q1381" i="24"/>
  <c r="P1381" i="24"/>
  <c r="O1381" i="24"/>
  <c r="N1381" i="24"/>
  <c r="M1381" i="24"/>
  <c r="K1381" i="24"/>
  <c r="J1381" i="24"/>
  <c r="H1381" i="24"/>
  <c r="F1381" i="24"/>
  <c r="AI1380" i="24"/>
  <c r="AH1380" i="24"/>
  <c r="AG1380" i="24"/>
  <c r="AF1380" i="24"/>
  <c r="AD1380" i="24"/>
  <c r="AC1380" i="24"/>
  <c r="AB1380" i="24"/>
  <c r="AA1380" i="24"/>
  <c r="Z1380" i="24"/>
  <c r="Y1380" i="24"/>
  <c r="X1380" i="24"/>
  <c r="T1380" i="24"/>
  <c r="S1380" i="24"/>
  <c r="R1380" i="24"/>
  <c r="Q1380" i="24"/>
  <c r="P1380" i="24"/>
  <c r="O1380" i="24"/>
  <c r="N1380" i="24"/>
  <c r="M1380" i="24"/>
  <c r="K1380" i="24"/>
  <c r="J1380" i="24"/>
  <c r="H1380" i="24"/>
  <c r="F1380" i="24"/>
  <c r="AI1379" i="24"/>
  <c r="AH1379" i="24"/>
  <c r="AG1379" i="24"/>
  <c r="AF1379" i="24"/>
  <c r="AD1379" i="24"/>
  <c r="AC1379" i="24"/>
  <c r="AB1379" i="24"/>
  <c r="AA1379" i="24"/>
  <c r="Z1379" i="24"/>
  <c r="Y1379" i="24"/>
  <c r="X1379" i="24"/>
  <c r="T1379" i="24"/>
  <c r="S1379" i="24"/>
  <c r="R1379" i="24"/>
  <c r="Q1379" i="24"/>
  <c r="P1379" i="24"/>
  <c r="O1379" i="24"/>
  <c r="N1379" i="24"/>
  <c r="M1379" i="24"/>
  <c r="K1379" i="24"/>
  <c r="J1379" i="24"/>
  <c r="H1379" i="24"/>
  <c r="F1379" i="24"/>
  <c r="AI1378" i="24"/>
  <c r="AH1378" i="24"/>
  <c r="AG1378" i="24"/>
  <c r="AF1378" i="24"/>
  <c r="AD1378" i="24"/>
  <c r="AC1378" i="24"/>
  <c r="AB1378" i="24"/>
  <c r="AA1378" i="24"/>
  <c r="Z1378" i="24"/>
  <c r="Y1378" i="24"/>
  <c r="X1378" i="24"/>
  <c r="T1378" i="24"/>
  <c r="S1378" i="24"/>
  <c r="R1378" i="24"/>
  <c r="Q1378" i="24"/>
  <c r="P1378" i="24"/>
  <c r="O1378" i="24"/>
  <c r="N1378" i="24"/>
  <c r="M1378" i="24"/>
  <c r="K1378" i="24"/>
  <c r="J1378" i="24"/>
  <c r="H1378" i="24"/>
  <c r="F1378" i="24"/>
  <c r="AI1377" i="24"/>
  <c r="AH1377" i="24"/>
  <c r="AG1377" i="24"/>
  <c r="AF1377" i="24"/>
  <c r="AD1377" i="24"/>
  <c r="AC1377" i="24"/>
  <c r="AB1377" i="24"/>
  <c r="AA1377" i="24"/>
  <c r="Z1377" i="24"/>
  <c r="Y1377" i="24"/>
  <c r="X1377" i="24"/>
  <c r="T1377" i="24"/>
  <c r="S1377" i="24"/>
  <c r="R1377" i="24"/>
  <c r="Q1377" i="24"/>
  <c r="P1377" i="24"/>
  <c r="O1377" i="24"/>
  <c r="N1377" i="24"/>
  <c r="M1377" i="24"/>
  <c r="K1377" i="24"/>
  <c r="J1377" i="24"/>
  <c r="H1377" i="24"/>
  <c r="F1377" i="24"/>
  <c r="AI1376" i="24"/>
  <c r="AH1376" i="24"/>
  <c r="AG1376" i="24"/>
  <c r="AF1376" i="24"/>
  <c r="AD1376" i="24"/>
  <c r="AC1376" i="24"/>
  <c r="AB1376" i="24"/>
  <c r="AA1376" i="24"/>
  <c r="Z1376" i="24"/>
  <c r="Y1376" i="24"/>
  <c r="X1376" i="24"/>
  <c r="T1376" i="24"/>
  <c r="S1376" i="24"/>
  <c r="R1376" i="24"/>
  <c r="Q1376" i="24"/>
  <c r="P1376" i="24"/>
  <c r="O1376" i="24"/>
  <c r="N1376" i="24"/>
  <c r="M1376" i="24"/>
  <c r="K1376" i="24"/>
  <c r="J1376" i="24"/>
  <c r="H1376" i="24"/>
  <c r="F1376" i="24"/>
  <c r="AI1375" i="24"/>
  <c r="AH1375" i="24"/>
  <c r="AG1375" i="24"/>
  <c r="AF1375" i="24"/>
  <c r="AD1375" i="24"/>
  <c r="AC1375" i="24"/>
  <c r="AB1375" i="24"/>
  <c r="AA1375" i="24"/>
  <c r="Z1375" i="24"/>
  <c r="Y1375" i="24"/>
  <c r="X1375" i="24"/>
  <c r="T1375" i="24"/>
  <c r="S1375" i="24"/>
  <c r="R1375" i="24"/>
  <c r="Q1375" i="24"/>
  <c r="P1375" i="24"/>
  <c r="O1375" i="24"/>
  <c r="N1375" i="24"/>
  <c r="M1375" i="24"/>
  <c r="K1375" i="24"/>
  <c r="J1375" i="24"/>
  <c r="H1375" i="24"/>
  <c r="F1375" i="24"/>
  <c r="AI1374" i="24"/>
  <c r="AH1374" i="24"/>
  <c r="AG1374" i="24"/>
  <c r="AF1374" i="24"/>
  <c r="AD1374" i="24"/>
  <c r="AC1374" i="24"/>
  <c r="AB1374" i="24"/>
  <c r="AA1374" i="24"/>
  <c r="Z1374" i="24"/>
  <c r="Y1374" i="24"/>
  <c r="X1374" i="24"/>
  <c r="T1374" i="24"/>
  <c r="S1374" i="24"/>
  <c r="R1374" i="24"/>
  <c r="Q1374" i="24"/>
  <c r="P1374" i="24"/>
  <c r="O1374" i="24"/>
  <c r="N1374" i="24"/>
  <c r="M1374" i="24"/>
  <c r="K1374" i="24"/>
  <c r="J1374" i="24"/>
  <c r="H1374" i="24"/>
  <c r="F1374" i="24"/>
  <c r="AI1373" i="24"/>
  <c r="AH1373" i="24"/>
  <c r="AG1373" i="24"/>
  <c r="AF1373" i="24"/>
  <c r="AD1373" i="24"/>
  <c r="AC1373" i="24"/>
  <c r="AB1373" i="24"/>
  <c r="AA1373" i="24"/>
  <c r="Z1373" i="24"/>
  <c r="Y1373" i="24"/>
  <c r="X1373" i="24"/>
  <c r="T1373" i="24"/>
  <c r="S1373" i="24"/>
  <c r="R1373" i="24"/>
  <c r="Q1373" i="24"/>
  <c r="P1373" i="24"/>
  <c r="O1373" i="24"/>
  <c r="N1373" i="24"/>
  <c r="M1373" i="24"/>
  <c r="K1373" i="24"/>
  <c r="J1373" i="24"/>
  <c r="H1373" i="24"/>
  <c r="F1373" i="24"/>
  <c r="AI1372" i="24"/>
  <c r="AH1372" i="24"/>
  <c r="AG1372" i="24"/>
  <c r="AF1372" i="24"/>
  <c r="AD1372" i="24"/>
  <c r="AC1372" i="24"/>
  <c r="AB1372" i="24"/>
  <c r="AA1372" i="24"/>
  <c r="Z1372" i="24"/>
  <c r="Y1372" i="24"/>
  <c r="X1372" i="24"/>
  <c r="T1372" i="24"/>
  <c r="S1372" i="24"/>
  <c r="R1372" i="24"/>
  <c r="Q1372" i="24"/>
  <c r="P1372" i="24"/>
  <c r="O1372" i="24"/>
  <c r="N1372" i="24"/>
  <c r="M1372" i="24"/>
  <c r="K1372" i="24"/>
  <c r="J1372" i="24"/>
  <c r="H1372" i="24"/>
  <c r="F1372" i="24"/>
  <c r="AI1371" i="24"/>
  <c r="AH1371" i="24"/>
  <c r="AG1371" i="24"/>
  <c r="AF1371" i="24"/>
  <c r="AD1371" i="24"/>
  <c r="AC1371" i="24"/>
  <c r="AB1371" i="24"/>
  <c r="AA1371" i="24"/>
  <c r="Z1371" i="24"/>
  <c r="Y1371" i="24"/>
  <c r="X1371" i="24"/>
  <c r="T1371" i="24"/>
  <c r="S1371" i="24"/>
  <c r="R1371" i="24"/>
  <c r="Q1371" i="24"/>
  <c r="P1371" i="24"/>
  <c r="O1371" i="24"/>
  <c r="N1371" i="24"/>
  <c r="M1371" i="24"/>
  <c r="K1371" i="24"/>
  <c r="J1371" i="24"/>
  <c r="H1371" i="24"/>
  <c r="F1371" i="24"/>
  <c r="AI1370" i="24"/>
  <c r="AH1370" i="24"/>
  <c r="AG1370" i="24"/>
  <c r="AF1370" i="24"/>
  <c r="AD1370" i="24"/>
  <c r="AC1370" i="24"/>
  <c r="AB1370" i="24"/>
  <c r="AA1370" i="24"/>
  <c r="Z1370" i="24"/>
  <c r="Y1370" i="24"/>
  <c r="X1370" i="24"/>
  <c r="T1370" i="24"/>
  <c r="S1370" i="24"/>
  <c r="R1370" i="24"/>
  <c r="Q1370" i="24"/>
  <c r="P1370" i="24"/>
  <c r="O1370" i="24"/>
  <c r="N1370" i="24"/>
  <c r="M1370" i="24"/>
  <c r="K1370" i="24"/>
  <c r="J1370" i="24"/>
  <c r="H1370" i="24"/>
  <c r="F1370" i="24"/>
  <c r="AI1369" i="24"/>
  <c r="AH1369" i="24"/>
  <c r="AG1369" i="24"/>
  <c r="AF1369" i="24"/>
  <c r="AD1369" i="24"/>
  <c r="AC1369" i="24"/>
  <c r="AB1369" i="24"/>
  <c r="AA1369" i="24"/>
  <c r="Z1369" i="24"/>
  <c r="Y1369" i="24"/>
  <c r="X1369" i="24"/>
  <c r="T1369" i="24"/>
  <c r="S1369" i="24"/>
  <c r="R1369" i="24"/>
  <c r="Q1369" i="24"/>
  <c r="P1369" i="24"/>
  <c r="O1369" i="24"/>
  <c r="N1369" i="24"/>
  <c r="M1369" i="24"/>
  <c r="K1369" i="24"/>
  <c r="J1369" i="24"/>
  <c r="H1369" i="24"/>
  <c r="F1369" i="24"/>
  <c r="AI1368" i="24"/>
  <c r="AH1368" i="24"/>
  <c r="AG1368" i="24"/>
  <c r="AF1368" i="24"/>
  <c r="AD1368" i="24"/>
  <c r="AC1368" i="24"/>
  <c r="AB1368" i="24"/>
  <c r="AA1368" i="24"/>
  <c r="Z1368" i="24"/>
  <c r="Y1368" i="24"/>
  <c r="X1368" i="24"/>
  <c r="T1368" i="24"/>
  <c r="S1368" i="24"/>
  <c r="R1368" i="24"/>
  <c r="Q1368" i="24"/>
  <c r="P1368" i="24"/>
  <c r="O1368" i="24"/>
  <c r="N1368" i="24"/>
  <c r="M1368" i="24"/>
  <c r="K1368" i="24"/>
  <c r="J1368" i="24"/>
  <c r="H1368" i="24"/>
  <c r="F1368" i="24"/>
  <c r="AI1367" i="24"/>
  <c r="AH1367" i="24"/>
  <c r="AG1367" i="24"/>
  <c r="AF1367" i="24"/>
  <c r="AD1367" i="24"/>
  <c r="AC1367" i="24"/>
  <c r="AB1367" i="24"/>
  <c r="AA1367" i="24"/>
  <c r="Z1367" i="24"/>
  <c r="Y1367" i="24"/>
  <c r="X1367" i="24"/>
  <c r="T1367" i="24"/>
  <c r="S1367" i="24"/>
  <c r="R1367" i="24"/>
  <c r="Q1367" i="24"/>
  <c r="P1367" i="24"/>
  <c r="O1367" i="24"/>
  <c r="N1367" i="24"/>
  <c r="M1367" i="24"/>
  <c r="K1367" i="24"/>
  <c r="J1367" i="24"/>
  <c r="H1367" i="24"/>
  <c r="F1367" i="24"/>
  <c r="AI1366" i="24"/>
  <c r="AH1366" i="24"/>
  <c r="AG1366" i="24"/>
  <c r="AF1366" i="24"/>
  <c r="AD1366" i="24"/>
  <c r="AC1366" i="24"/>
  <c r="AB1366" i="24"/>
  <c r="AA1366" i="24"/>
  <c r="Z1366" i="24"/>
  <c r="Y1366" i="24"/>
  <c r="X1366" i="24"/>
  <c r="T1366" i="24"/>
  <c r="S1366" i="24"/>
  <c r="R1366" i="24"/>
  <c r="Q1366" i="24"/>
  <c r="P1366" i="24"/>
  <c r="O1366" i="24"/>
  <c r="N1366" i="24"/>
  <c r="M1366" i="24"/>
  <c r="K1366" i="24"/>
  <c r="J1366" i="24"/>
  <c r="H1366" i="24"/>
  <c r="F1366" i="24"/>
  <c r="AI1365" i="24"/>
  <c r="AH1365" i="24"/>
  <c r="AG1365" i="24"/>
  <c r="AF1365" i="24"/>
  <c r="AD1365" i="24"/>
  <c r="AC1365" i="24"/>
  <c r="AB1365" i="24"/>
  <c r="AA1365" i="24"/>
  <c r="Z1365" i="24"/>
  <c r="Y1365" i="24"/>
  <c r="X1365" i="24"/>
  <c r="T1365" i="24"/>
  <c r="S1365" i="24"/>
  <c r="R1365" i="24"/>
  <c r="Q1365" i="24"/>
  <c r="P1365" i="24"/>
  <c r="O1365" i="24"/>
  <c r="N1365" i="24"/>
  <c r="M1365" i="24"/>
  <c r="K1365" i="24"/>
  <c r="J1365" i="24"/>
  <c r="H1365" i="24"/>
  <c r="F1365" i="24"/>
  <c r="AI1364" i="24"/>
  <c r="AH1364" i="24"/>
  <c r="AG1364" i="24"/>
  <c r="AF1364" i="24"/>
  <c r="AD1364" i="24"/>
  <c r="AC1364" i="24"/>
  <c r="AB1364" i="24"/>
  <c r="AA1364" i="24"/>
  <c r="Z1364" i="24"/>
  <c r="Y1364" i="24"/>
  <c r="X1364" i="24"/>
  <c r="T1364" i="24"/>
  <c r="S1364" i="24"/>
  <c r="R1364" i="24"/>
  <c r="Q1364" i="24"/>
  <c r="P1364" i="24"/>
  <c r="O1364" i="24"/>
  <c r="N1364" i="24"/>
  <c r="M1364" i="24"/>
  <c r="K1364" i="24"/>
  <c r="J1364" i="24"/>
  <c r="H1364" i="24"/>
  <c r="F1364" i="24"/>
  <c r="AG1363" i="24"/>
  <c r="AF1363" i="24"/>
  <c r="AD1363" i="24"/>
  <c r="AC1363" i="24"/>
  <c r="Z1363" i="24"/>
  <c r="X1363" i="24"/>
  <c r="T1363" i="24"/>
  <c r="S1363" i="24"/>
  <c r="R1363" i="24"/>
  <c r="P1363" i="24"/>
  <c r="N1363" i="24"/>
  <c r="O1363" i="24" s="1"/>
  <c r="M1363" i="24"/>
  <c r="K1363" i="24"/>
  <c r="J1363" i="24"/>
  <c r="H1363" i="24"/>
  <c r="F1363" i="24"/>
  <c r="AG1362" i="24"/>
  <c r="AF1362" i="24"/>
  <c r="AD1362" i="24"/>
  <c r="AC1362" i="24"/>
  <c r="Z1362" i="24"/>
  <c r="X1362" i="24"/>
  <c r="T1362" i="24"/>
  <c r="S1362" i="24"/>
  <c r="R1362" i="24"/>
  <c r="P1362" i="24"/>
  <c r="N1362" i="24"/>
  <c r="M1362" i="24"/>
  <c r="K1362" i="24"/>
  <c r="J1362" i="24"/>
  <c r="H1362" i="24"/>
  <c r="F1362" i="24"/>
  <c r="AG1361" i="24"/>
  <c r="AF1361" i="24"/>
  <c r="AD1361" i="24"/>
  <c r="AC1361" i="24"/>
  <c r="Z1361" i="24"/>
  <c r="X1361" i="24"/>
  <c r="T1361" i="24"/>
  <c r="S1361" i="24"/>
  <c r="R1361" i="24"/>
  <c r="P1361" i="24"/>
  <c r="N1361" i="24"/>
  <c r="O1361" i="24" s="1"/>
  <c r="M1361" i="24"/>
  <c r="K1361" i="24"/>
  <c r="J1361" i="24"/>
  <c r="H1361" i="24"/>
  <c r="F1361" i="24"/>
  <c r="AG1360" i="24"/>
  <c r="AF1360" i="24"/>
  <c r="AD1360" i="24"/>
  <c r="AC1360" i="24"/>
  <c r="Z1360" i="24"/>
  <c r="X1360" i="24"/>
  <c r="T1360" i="24"/>
  <c r="S1360" i="24"/>
  <c r="R1360" i="24"/>
  <c r="P1360" i="24"/>
  <c r="N1360" i="24"/>
  <c r="O1360" i="24" s="1"/>
  <c r="M1360" i="24"/>
  <c r="K1360" i="24"/>
  <c r="J1360" i="24"/>
  <c r="H1360" i="24"/>
  <c r="F1360" i="24"/>
  <c r="AG1359" i="24"/>
  <c r="AF1359" i="24"/>
  <c r="AD1359" i="24"/>
  <c r="AC1359" i="24"/>
  <c r="Z1359" i="24"/>
  <c r="X1359" i="24"/>
  <c r="T1359" i="24"/>
  <c r="S1359" i="24"/>
  <c r="R1359" i="24"/>
  <c r="P1359" i="24"/>
  <c r="N1359" i="24"/>
  <c r="O1359" i="24" s="1"/>
  <c r="M1359" i="24"/>
  <c r="K1359" i="24"/>
  <c r="J1359" i="24"/>
  <c r="H1359" i="24"/>
  <c r="F1359" i="24"/>
  <c r="AG1358" i="24"/>
  <c r="AF1358" i="24"/>
  <c r="AD1358" i="24"/>
  <c r="AC1358" i="24"/>
  <c r="Z1358" i="24"/>
  <c r="X1358" i="24"/>
  <c r="T1358" i="24"/>
  <c r="S1358" i="24"/>
  <c r="R1358" i="24"/>
  <c r="P1358" i="24"/>
  <c r="N1358" i="24"/>
  <c r="O1358" i="24" s="1"/>
  <c r="M1358" i="24"/>
  <c r="K1358" i="24"/>
  <c r="J1358" i="24"/>
  <c r="H1358" i="24"/>
  <c r="F1358" i="24"/>
  <c r="AG1357" i="24"/>
  <c r="AF1357" i="24"/>
  <c r="AD1357" i="24"/>
  <c r="AC1357" i="24"/>
  <c r="Z1357" i="24"/>
  <c r="X1357" i="24"/>
  <c r="T1357" i="24"/>
  <c r="S1357" i="24"/>
  <c r="R1357" i="24"/>
  <c r="P1357" i="24"/>
  <c r="N1357" i="24"/>
  <c r="O1357" i="24" s="1"/>
  <c r="M1357" i="24"/>
  <c r="K1357" i="24"/>
  <c r="J1357" i="24"/>
  <c r="H1357" i="24"/>
  <c r="F1357" i="24"/>
  <c r="AG1356" i="24"/>
  <c r="AF1356" i="24"/>
  <c r="AD1356" i="24"/>
  <c r="AC1356" i="24"/>
  <c r="AB1356" i="24"/>
  <c r="Z1356" i="24"/>
  <c r="X1356" i="24"/>
  <c r="T1356" i="24"/>
  <c r="S1356" i="24"/>
  <c r="R1356" i="24"/>
  <c r="P1356" i="24"/>
  <c r="N1356" i="24"/>
  <c r="O1356" i="24" s="1"/>
  <c r="M1356" i="24"/>
  <c r="K1356" i="24"/>
  <c r="J1356" i="24"/>
  <c r="H1356" i="24"/>
  <c r="F1356" i="24"/>
  <c r="AG1355" i="24"/>
  <c r="AF1355" i="24"/>
  <c r="AD1355" i="24"/>
  <c r="AC1355" i="24"/>
  <c r="Z1355" i="24"/>
  <c r="X1355" i="24"/>
  <c r="T1354" i="24"/>
  <c r="S1354" i="24"/>
  <c r="R1354" i="24"/>
  <c r="P1354" i="24"/>
  <c r="N1354" i="24"/>
  <c r="O1354" i="24" s="1"/>
  <c r="M1354" i="24"/>
  <c r="K1354" i="24"/>
  <c r="J1354" i="24"/>
  <c r="H1354" i="24"/>
  <c r="F1354" i="24"/>
  <c r="AG1354" i="24"/>
  <c r="AF1354" i="24"/>
  <c r="AD1354" i="24"/>
  <c r="AC1354" i="24"/>
  <c r="Z1354" i="24"/>
  <c r="X1354" i="24"/>
  <c r="T1355" i="24"/>
  <c r="S1355" i="24"/>
  <c r="R1355" i="24"/>
  <c r="P1355" i="24"/>
  <c r="N1355" i="24"/>
  <c r="O1355" i="24" s="1"/>
  <c r="M1355" i="24"/>
  <c r="K1355" i="24"/>
  <c r="J1355" i="24"/>
  <c r="H1355" i="24"/>
  <c r="F1355" i="24"/>
  <c r="AG1353" i="24"/>
  <c r="AF1353" i="24"/>
  <c r="AD1353" i="24"/>
  <c r="AC1353" i="24"/>
  <c r="Z1353" i="24"/>
  <c r="X1353" i="24"/>
  <c r="T1353" i="24"/>
  <c r="S1353" i="24"/>
  <c r="R1353" i="24"/>
  <c r="P1353" i="24"/>
  <c r="N1353" i="24"/>
  <c r="O1353" i="24" s="1"/>
  <c r="M1353" i="24"/>
  <c r="K1353" i="24"/>
  <c r="J1353" i="24"/>
  <c r="H1353" i="24"/>
  <c r="F1353" i="24"/>
  <c r="AG1352" i="24"/>
  <c r="AF1352" i="24"/>
  <c r="AD1352" i="24"/>
  <c r="AC1352" i="24"/>
  <c r="Z1352" i="24"/>
  <c r="X1352" i="24"/>
  <c r="T1352" i="24"/>
  <c r="S1352" i="24"/>
  <c r="R1352" i="24"/>
  <c r="P1352" i="24"/>
  <c r="N1352" i="24"/>
  <c r="O1352" i="24" s="1"/>
  <c r="M1352" i="24"/>
  <c r="K1352" i="24"/>
  <c r="J1352" i="24"/>
  <c r="H1352" i="24"/>
  <c r="F1352" i="24"/>
  <c r="AG1351" i="24"/>
  <c r="AF1351" i="24"/>
  <c r="AD1351" i="24"/>
  <c r="AC1351" i="24"/>
  <c r="Z1351" i="24"/>
  <c r="X1351" i="24"/>
  <c r="T1351" i="24"/>
  <c r="S1351" i="24"/>
  <c r="R1351" i="24"/>
  <c r="P1351" i="24"/>
  <c r="N1351" i="24"/>
  <c r="M1351" i="24"/>
  <c r="K1351" i="24"/>
  <c r="J1351" i="24"/>
  <c r="H1351" i="24"/>
  <c r="F1351" i="24"/>
  <c r="AG1350" i="24"/>
  <c r="AF1350" i="24"/>
  <c r="AD1350" i="24"/>
  <c r="AC1350" i="24"/>
  <c r="Z1350" i="24"/>
  <c r="X1350" i="24"/>
  <c r="T1225" i="24"/>
  <c r="S1225" i="24"/>
  <c r="R1225" i="24"/>
  <c r="P1225" i="24"/>
  <c r="N1225" i="24"/>
  <c r="O1225" i="24" s="1"/>
  <c r="M1225" i="24"/>
  <c r="K1225" i="24"/>
  <c r="J1225" i="24"/>
  <c r="H1225" i="24"/>
  <c r="F1225" i="24"/>
  <c r="AG1349" i="24"/>
  <c r="AF1349" i="24"/>
  <c r="AD1349" i="24"/>
  <c r="AC1349" i="24"/>
  <c r="Z1349" i="24"/>
  <c r="X1349" i="24"/>
  <c r="T1171" i="24"/>
  <c r="S1171" i="24"/>
  <c r="R1171" i="24"/>
  <c r="P1171" i="24"/>
  <c r="N1171" i="24"/>
  <c r="M1171" i="24"/>
  <c r="K1171" i="24"/>
  <c r="J1171" i="24"/>
  <c r="H1171" i="24"/>
  <c r="F1171" i="24"/>
  <c r="AG1348" i="24"/>
  <c r="AF1348" i="24"/>
  <c r="AD1348" i="24"/>
  <c r="AC1348" i="24"/>
  <c r="Z1348" i="24"/>
  <c r="X1348" i="24"/>
  <c r="T1348" i="24"/>
  <c r="S1348" i="24"/>
  <c r="R1348" i="24"/>
  <c r="P1348" i="24"/>
  <c r="N1348" i="24"/>
  <c r="M1348" i="24"/>
  <c r="K1348" i="24"/>
  <c r="J1348" i="24"/>
  <c r="H1348" i="24"/>
  <c r="F1348" i="24"/>
  <c r="AG1347" i="24"/>
  <c r="AF1347" i="24"/>
  <c r="AD1347" i="24"/>
  <c r="AC1347" i="24"/>
  <c r="Z1347" i="24"/>
  <c r="X1347" i="24"/>
  <c r="T459" i="24"/>
  <c r="S459" i="24"/>
  <c r="R459" i="24"/>
  <c r="P459" i="24"/>
  <c r="N459" i="24"/>
  <c r="O459" i="24" s="1"/>
  <c r="M459" i="24"/>
  <c r="K459" i="24"/>
  <c r="J459" i="24"/>
  <c r="H459" i="24"/>
  <c r="F459" i="24"/>
  <c r="AG1346" i="24"/>
  <c r="AF1346" i="24"/>
  <c r="AD1346" i="24"/>
  <c r="AC1346" i="24"/>
  <c r="AB1346" i="24"/>
  <c r="Z1346" i="24"/>
  <c r="X1346" i="24"/>
  <c r="T1346" i="24"/>
  <c r="S1346" i="24"/>
  <c r="R1346" i="24"/>
  <c r="P1346" i="24"/>
  <c r="N1346" i="24"/>
  <c r="AA1346" i="24" s="1"/>
  <c r="M1346" i="24"/>
  <c r="K1346" i="24"/>
  <c r="J1346" i="24"/>
  <c r="H1346" i="24"/>
  <c r="F1346" i="24"/>
  <c r="AG1345" i="24"/>
  <c r="AF1345" i="24"/>
  <c r="AD1345" i="24"/>
  <c r="AC1345" i="24"/>
  <c r="Z1345" i="24"/>
  <c r="X1345" i="24"/>
  <c r="T75" i="24"/>
  <c r="S75" i="24"/>
  <c r="R75" i="24"/>
  <c r="P75" i="24"/>
  <c r="N75" i="24"/>
  <c r="M75" i="24"/>
  <c r="K75" i="24"/>
  <c r="J75" i="24"/>
  <c r="H75" i="24"/>
  <c r="F75" i="24"/>
  <c r="AG1344" i="24"/>
  <c r="AF1344" i="24"/>
  <c r="AD1344" i="24"/>
  <c r="AC1344" i="24"/>
  <c r="Z1344" i="24"/>
  <c r="X1344" i="24"/>
  <c r="T1344" i="24"/>
  <c r="S1344" i="24"/>
  <c r="R1344" i="24"/>
  <c r="P1344" i="24"/>
  <c r="N1344" i="24"/>
  <c r="O1344" i="24" s="1"/>
  <c r="M1344" i="24"/>
  <c r="K1344" i="24"/>
  <c r="J1344" i="24"/>
  <c r="H1344" i="24"/>
  <c r="F1344" i="24"/>
  <c r="AG1343" i="24"/>
  <c r="AF1343" i="24"/>
  <c r="AD1343" i="24"/>
  <c r="AC1343" i="24"/>
  <c r="Z1343" i="24"/>
  <c r="X1343" i="24"/>
  <c r="T899" i="24"/>
  <c r="S899" i="24"/>
  <c r="R899" i="24"/>
  <c r="P899" i="24"/>
  <c r="N899" i="24"/>
  <c r="O899" i="24" s="1"/>
  <c r="M899" i="24"/>
  <c r="K899" i="24"/>
  <c r="J899" i="24"/>
  <c r="H899" i="24"/>
  <c r="F899" i="24"/>
  <c r="AG1342" i="24"/>
  <c r="AF1342" i="24"/>
  <c r="AD1342" i="24"/>
  <c r="AC1342" i="24"/>
  <c r="Z1342" i="24"/>
  <c r="X1342" i="24"/>
  <c r="T275" i="24"/>
  <c r="S275" i="24"/>
  <c r="R275" i="24"/>
  <c r="P275" i="24"/>
  <c r="N275" i="24"/>
  <c r="M275" i="24"/>
  <c r="K275" i="24"/>
  <c r="J275" i="24"/>
  <c r="H275" i="24"/>
  <c r="F275" i="24"/>
  <c r="AG1341" i="24"/>
  <c r="AF1341" i="24"/>
  <c r="AD1341" i="24"/>
  <c r="AC1341" i="24"/>
  <c r="Z1341" i="24"/>
  <c r="X1341" i="24"/>
  <c r="T1341" i="24"/>
  <c r="S1341" i="24"/>
  <c r="R1341" i="24"/>
  <c r="P1341" i="24"/>
  <c r="N1341" i="24"/>
  <c r="M1341" i="24"/>
  <c r="K1341" i="24"/>
  <c r="J1341" i="24"/>
  <c r="H1341" i="24"/>
  <c r="F1341" i="24"/>
  <c r="AG1340" i="24"/>
  <c r="AF1340" i="24"/>
  <c r="AD1340" i="24"/>
  <c r="AC1340" i="24"/>
  <c r="Z1340" i="24"/>
  <c r="X1340" i="24"/>
  <c r="T1340" i="24"/>
  <c r="S1340" i="24"/>
  <c r="R1340" i="24"/>
  <c r="P1340" i="24"/>
  <c r="N1340" i="24"/>
  <c r="M1340" i="24"/>
  <c r="K1340" i="24"/>
  <c r="J1340" i="24"/>
  <c r="H1340" i="24"/>
  <c r="F1340" i="24"/>
  <c r="AG1339" i="24"/>
  <c r="AF1339" i="24"/>
  <c r="AD1339" i="24"/>
  <c r="AC1339" i="24"/>
  <c r="Z1339" i="24"/>
  <c r="X1339" i="24"/>
  <c r="T1339" i="24"/>
  <c r="S1339" i="24"/>
  <c r="R1339" i="24"/>
  <c r="P1339" i="24"/>
  <c r="N1339" i="24"/>
  <c r="O1339" i="24" s="1"/>
  <c r="M1339" i="24"/>
  <c r="K1339" i="24"/>
  <c r="J1339" i="24"/>
  <c r="H1339" i="24"/>
  <c r="F1339" i="24"/>
  <c r="AG1338" i="24"/>
  <c r="AF1338" i="24"/>
  <c r="AD1338" i="24"/>
  <c r="AC1338" i="24"/>
  <c r="Z1338" i="24"/>
  <c r="X1338" i="24"/>
  <c r="T1338" i="24"/>
  <c r="S1338" i="24"/>
  <c r="R1338" i="24"/>
  <c r="P1338" i="24"/>
  <c r="N1338" i="24"/>
  <c r="O1338" i="24" s="1"/>
  <c r="M1338" i="24"/>
  <c r="K1338" i="24"/>
  <c r="J1338" i="24"/>
  <c r="H1338" i="24"/>
  <c r="F1338" i="24"/>
  <c r="AG1337" i="24"/>
  <c r="AF1337" i="24"/>
  <c r="AD1337" i="24"/>
  <c r="AC1337" i="24"/>
  <c r="Z1337" i="24"/>
  <c r="X1337" i="24"/>
  <c r="T1337" i="24"/>
  <c r="S1337" i="24"/>
  <c r="R1337" i="24"/>
  <c r="P1337" i="24"/>
  <c r="N1337" i="24"/>
  <c r="O1337" i="24" s="1"/>
  <c r="M1337" i="24"/>
  <c r="K1337" i="24"/>
  <c r="J1337" i="24"/>
  <c r="H1337" i="24"/>
  <c r="F1337" i="24"/>
  <c r="AG1336" i="24"/>
  <c r="AF1336" i="24"/>
  <c r="AD1336" i="24"/>
  <c r="AC1336" i="24"/>
  <c r="Z1336" i="24"/>
  <c r="X1336" i="24"/>
  <c r="T1336" i="24"/>
  <c r="S1336" i="24"/>
  <c r="R1336" i="24"/>
  <c r="P1336" i="24"/>
  <c r="N1336" i="24"/>
  <c r="O1336" i="24" s="1"/>
  <c r="M1336" i="24"/>
  <c r="K1336" i="24"/>
  <c r="J1336" i="24"/>
  <c r="H1336" i="24"/>
  <c r="F1336" i="24"/>
  <c r="AG1335" i="24"/>
  <c r="AF1335" i="24"/>
  <c r="AD1335" i="24"/>
  <c r="AC1335" i="24"/>
  <c r="Z1335" i="24"/>
  <c r="X1335" i="24"/>
  <c r="T1335" i="24"/>
  <c r="S1335" i="24"/>
  <c r="R1335" i="24"/>
  <c r="P1335" i="24"/>
  <c r="N1335" i="24"/>
  <c r="O1335" i="24" s="1"/>
  <c r="M1335" i="24"/>
  <c r="K1335" i="24"/>
  <c r="J1335" i="24"/>
  <c r="H1335" i="24"/>
  <c r="F1335" i="24"/>
  <c r="AG1334" i="24"/>
  <c r="AF1334" i="24"/>
  <c r="AD1334" i="24"/>
  <c r="AC1334" i="24"/>
  <c r="Z1334" i="24"/>
  <c r="X1334" i="24"/>
  <c r="T1334" i="24"/>
  <c r="S1334" i="24"/>
  <c r="R1334" i="24"/>
  <c r="P1334" i="24"/>
  <c r="N1334" i="24"/>
  <c r="O1334" i="24" s="1"/>
  <c r="M1334" i="24"/>
  <c r="K1334" i="24"/>
  <c r="J1334" i="24"/>
  <c r="H1334" i="24"/>
  <c r="F1334" i="24"/>
  <c r="AG1333" i="24"/>
  <c r="AF1333" i="24"/>
  <c r="AD1333" i="24"/>
  <c r="AC1333" i="24"/>
  <c r="Z1333" i="24"/>
  <c r="X1333" i="24"/>
  <c r="T1333" i="24"/>
  <c r="S1333" i="24"/>
  <c r="R1333" i="24"/>
  <c r="P1333" i="24"/>
  <c r="N1333" i="24"/>
  <c r="O1333" i="24" s="1"/>
  <c r="M1333" i="24"/>
  <c r="K1333" i="24"/>
  <c r="J1333" i="24"/>
  <c r="H1333" i="24"/>
  <c r="F1333" i="24"/>
  <c r="AG1332" i="24"/>
  <c r="AF1332" i="24"/>
  <c r="AD1332" i="24"/>
  <c r="AC1332" i="24"/>
  <c r="Z1332" i="24"/>
  <c r="X1332" i="24"/>
  <c r="T1332" i="24"/>
  <c r="S1332" i="24"/>
  <c r="R1332" i="24"/>
  <c r="P1332" i="24"/>
  <c r="N1332" i="24"/>
  <c r="O1332" i="24" s="1"/>
  <c r="M1332" i="24"/>
  <c r="K1332" i="24"/>
  <c r="J1332" i="24"/>
  <c r="H1332" i="24"/>
  <c r="F1332" i="24"/>
  <c r="AG1331" i="24"/>
  <c r="AF1331" i="24"/>
  <c r="AD1331" i="24"/>
  <c r="AC1331" i="24"/>
  <c r="Z1331" i="24"/>
  <c r="X1331" i="24"/>
  <c r="T1331" i="24"/>
  <c r="S1331" i="24"/>
  <c r="R1331" i="24"/>
  <c r="P1331" i="24"/>
  <c r="N1331" i="24"/>
  <c r="O1331" i="24" s="1"/>
  <c r="M1331" i="24"/>
  <c r="K1331" i="24"/>
  <c r="J1331" i="24"/>
  <c r="H1331" i="24"/>
  <c r="F1331" i="24"/>
  <c r="AG1330" i="24"/>
  <c r="AF1330" i="24"/>
  <c r="AD1330" i="24"/>
  <c r="AC1330" i="24"/>
  <c r="Z1330" i="24"/>
  <c r="X1330" i="24"/>
  <c r="T1330" i="24"/>
  <c r="S1330" i="24"/>
  <c r="R1330" i="24"/>
  <c r="P1330" i="24"/>
  <c r="N1330" i="24"/>
  <c r="O1330" i="24" s="1"/>
  <c r="M1330" i="24"/>
  <c r="K1330" i="24"/>
  <c r="J1330" i="24"/>
  <c r="H1330" i="24"/>
  <c r="F1330" i="24"/>
  <c r="AG1329" i="24"/>
  <c r="AF1329" i="24"/>
  <c r="AD1329" i="24"/>
  <c r="AC1329" i="24"/>
  <c r="Z1329" i="24"/>
  <c r="X1329" i="24"/>
  <c r="T1329" i="24"/>
  <c r="S1329" i="24"/>
  <c r="R1329" i="24"/>
  <c r="P1329" i="24"/>
  <c r="N1329" i="24"/>
  <c r="O1329" i="24" s="1"/>
  <c r="M1329" i="24"/>
  <c r="K1329" i="24"/>
  <c r="J1329" i="24"/>
  <c r="H1329" i="24"/>
  <c r="F1329" i="24"/>
  <c r="AG1328" i="24"/>
  <c r="AF1328" i="24"/>
  <c r="AD1328" i="24"/>
  <c r="AC1328" i="24"/>
  <c r="Z1328" i="24"/>
  <c r="X1328" i="24"/>
  <c r="T1328" i="24"/>
  <c r="S1328" i="24"/>
  <c r="R1328" i="24"/>
  <c r="P1328" i="24"/>
  <c r="N1328" i="24"/>
  <c r="O1328" i="24" s="1"/>
  <c r="M1328" i="24"/>
  <c r="K1328" i="24"/>
  <c r="J1328" i="24"/>
  <c r="H1328" i="24"/>
  <c r="F1328" i="24"/>
  <c r="AG1327" i="24"/>
  <c r="AF1327" i="24"/>
  <c r="AD1327" i="24"/>
  <c r="AC1327" i="24"/>
  <c r="Z1327" i="24"/>
  <c r="X1327" i="24"/>
  <c r="T1350" i="24"/>
  <c r="S1350" i="24"/>
  <c r="R1350" i="24"/>
  <c r="P1350" i="24"/>
  <c r="N1350" i="24"/>
  <c r="M1350" i="24"/>
  <c r="K1350" i="24"/>
  <c r="J1350" i="24"/>
  <c r="H1350" i="24"/>
  <c r="F1350" i="24"/>
  <c r="AG1326" i="24"/>
  <c r="AF1326" i="24"/>
  <c r="AD1326" i="24"/>
  <c r="AC1326" i="24"/>
  <c r="Z1326" i="24"/>
  <c r="X1326" i="24"/>
  <c r="T1326" i="24"/>
  <c r="S1326" i="24"/>
  <c r="R1326" i="24"/>
  <c r="P1326" i="24"/>
  <c r="N1326" i="24"/>
  <c r="O1326" i="24" s="1"/>
  <c r="M1326" i="24"/>
  <c r="K1326" i="24"/>
  <c r="J1326" i="24"/>
  <c r="H1326" i="24"/>
  <c r="F1326" i="24"/>
  <c r="AG1325" i="24"/>
  <c r="AF1325" i="24"/>
  <c r="AD1325" i="24"/>
  <c r="AC1325" i="24"/>
  <c r="Z1325" i="24"/>
  <c r="X1325" i="24"/>
  <c r="T1325" i="24"/>
  <c r="S1325" i="24"/>
  <c r="R1325" i="24"/>
  <c r="P1325" i="24"/>
  <c r="N1325" i="24"/>
  <c r="O1325" i="24" s="1"/>
  <c r="M1325" i="24"/>
  <c r="K1325" i="24"/>
  <c r="J1325" i="24"/>
  <c r="H1325" i="24"/>
  <c r="F1325" i="24"/>
  <c r="AG1324" i="24"/>
  <c r="AF1324" i="24"/>
  <c r="AD1324" i="24"/>
  <c r="AC1324" i="24"/>
  <c r="Z1324" i="24"/>
  <c r="X1324" i="24"/>
  <c r="T1324" i="24"/>
  <c r="S1324" i="24"/>
  <c r="R1324" i="24"/>
  <c r="P1324" i="24"/>
  <c r="N1324" i="24"/>
  <c r="M1324" i="24"/>
  <c r="K1324" i="24"/>
  <c r="J1324" i="24"/>
  <c r="H1324" i="24"/>
  <c r="F1324" i="24"/>
  <c r="AG1323" i="24"/>
  <c r="AF1323" i="24"/>
  <c r="AD1323" i="24"/>
  <c r="AC1323" i="24"/>
  <c r="Z1323" i="24"/>
  <c r="X1323" i="24"/>
  <c r="T1323" i="24"/>
  <c r="S1323" i="24"/>
  <c r="R1323" i="24"/>
  <c r="P1323" i="24"/>
  <c r="N1323" i="24"/>
  <c r="O1323" i="24" s="1"/>
  <c r="M1323" i="24"/>
  <c r="K1323" i="24"/>
  <c r="J1323" i="24"/>
  <c r="H1323" i="24"/>
  <c r="F1323" i="24"/>
  <c r="AG1322" i="24"/>
  <c r="AF1322" i="24"/>
  <c r="AD1322" i="24"/>
  <c r="AC1322" i="24"/>
  <c r="Z1322" i="24"/>
  <c r="X1322" i="24"/>
  <c r="T1322" i="24"/>
  <c r="S1322" i="24"/>
  <c r="R1322" i="24"/>
  <c r="P1322" i="24"/>
  <c r="N1322" i="24"/>
  <c r="O1322" i="24" s="1"/>
  <c r="M1322" i="24"/>
  <c r="K1322" i="24"/>
  <c r="J1322" i="24"/>
  <c r="H1322" i="24"/>
  <c r="F1322" i="24"/>
  <c r="AG1321" i="24"/>
  <c r="AF1321" i="24"/>
  <c r="AD1321" i="24"/>
  <c r="AC1321" i="24"/>
  <c r="Z1321" i="24"/>
  <c r="X1321" i="24"/>
  <c r="T1321" i="24"/>
  <c r="S1321" i="24"/>
  <c r="R1321" i="24"/>
  <c r="P1321" i="24"/>
  <c r="N1321" i="24"/>
  <c r="M1321" i="24"/>
  <c r="K1321" i="24"/>
  <c r="J1321" i="24"/>
  <c r="H1321" i="24"/>
  <c r="F1321" i="24"/>
  <c r="AG1320" i="24"/>
  <c r="AF1320" i="24"/>
  <c r="AD1320" i="24"/>
  <c r="AC1320" i="24"/>
  <c r="Z1320" i="24"/>
  <c r="X1320" i="24"/>
  <c r="T1320" i="24"/>
  <c r="S1320" i="24"/>
  <c r="R1320" i="24"/>
  <c r="P1320" i="24"/>
  <c r="N1320" i="24"/>
  <c r="O1320" i="24" s="1"/>
  <c r="M1320" i="24"/>
  <c r="K1320" i="24"/>
  <c r="J1320" i="24"/>
  <c r="H1320" i="24"/>
  <c r="F1320" i="24"/>
  <c r="AG1319" i="24"/>
  <c r="AF1319" i="24"/>
  <c r="AD1319" i="24"/>
  <c r="AC1319" i="24"/>
  <c r="Z1319" i="24"/>
  <c r="X1319" i="24"/>
  <c r="T1319" i="24"/>
  <c r="S1319" i="24"/>
  <c r="R1319" i="24"/>
  <c r="P1319" i="24"/>
  <c r="N1319" i="24"/>
  <c r="O1319" i="24" s="1"/>
  <c r="M1319" i="24"/>
  <c r="K1319" i="24"/>
  <c r="J1319" i="24"/>
  <c r="H1319" i="24"/>
  <c r="F1319" i="24"/>
  <c r="AG1318" i="24"/>
  <c r="AF1318" i="24"/>
  <c r="AD1318" i="24"/>
  <c r="AC1318" i="24"/>
  <c r="Z1318" i="24"/>
  <c r="X1318" i="24"/>
  <c r="T1318" i="24"/>
  <c r="S1318" i="24"/>
  <c r="R1318" i="24"/>
  <c r="P1318" i="24"/>
  <c r="N1318" i="24"/>
  <c r="M1318" i="24"/>
  <c r="K1318" i="24"/>
  <c r="J1318" i="24"/>
  <c r="H1318" i="24"/>
  <c r="F1318" i="24"/>
  <c r="AG1317" i="24"/>
  <c r="AF1317" i="24"/>
  <c r="AD1317" i="24"/>
  <c r="AC1317" i="24"/>
  <c r="Z1317" i="24"/>
  <c r="X1317" i="24"/>
  <c r="T1317" i="24"/>
  <c r="S1317" i="24"/>
  <c r="R1317" i="24"/>
  <c r="P1317" i="24"/>
  <c r="N1317" i="24"/>
  <c r="M1317" i="24"/>
  <c r="K1317" i="24"/>
  <c r="J1317" i="24"/>
  <c r="H1317" i="24"/>
  <c r="F1317" i="24"/>
  <c r="AG1316" i="24"/>
  <c r="AF1316" i="24"/>
  <c r="AD1316" i="24"/>
  <c r="AC1316" i="24"/>
  <c r="Z1316" i="24"/>
  <c r="X1316" i="24"/>
  <c r="T1316" i="24"/>
  <c r="S1316" i="24"/>
  <c r="R1316" i="24"/>
  <c r="P1316" i="24"/>
  <c r="N1316" i="24"/>
  <c r="M1316" i="24"/>
  <c r="K1316" i="24"/>
  <c r="J1316" i="24"/>
  <c r="H1316" i="24"/>
  <c r="F1316" i="24"/>
  <c r="AG1315" i="24"/>
  <c r="AF1315" i="24"/>
  <c r="AD1315" i="24"/>
  <c r="AC1315" i="24"/>
  <c r="Z1315" i="24"/>
  <c r="X1315" i="24"/>
  <c r="T1315" i="24"/>
  <c r="S1315" i="24"/>
  <c r="R1315" i="24"/>
  <c r="P1315" i="24"/>
  <c r="N1315" i="24"/>
  <c r="O1315" i="24" s="1"/>
  <c r="M1315" i="24"/>
  <c r="K1315" i="24"/>
  <c r="J1315" i="24"/>
  <c r="H1315" i="24"/>
  <c r="F1315" i="24"/>
  <c r="AG1314" i="24"/>
  <c r="AF1314" i="24"/>
  <c r="AD1314" i="24"/>
  <c r="AC1314" i="24"/>
  <c r="Z1314" i="24"/>
  <c r="X1314" i="24"/>
  <c r="T1314" i="24"/>
  <c r="S1314" i="24"/>
  <c r="R1314" i="24"/>
  <c r="P1314" i="24"/>
  <c r="N1314" i="24"/>
  <c r="M1314" i="24"/>
  <c r="K1314" i="24"/>
  <c r="J1314" i="24"/>
  <c r="H1314" i="24"/>
  <c r="F1314" i="24"/>
  <c r="AG1313" i="24"/>
  <c r="AF1313" i="24"/>
  <c r="AD1313" i="24"/>
  <c r="AC1313" i="24"/>
  <c r="Z1313" i="24"/>
  <c r="X1313" i="24"/>
  <c r="T1313" i="24"/>
  <c r="S1313" i="24"/>
  <c r="R1313" i="24"/>
  <c r="P1313" i="24"/>
  <c r="N1313" i="24"/>
  <c r="M1313" i="24"/>
  <c r="K1313" i="24"/>
  <c r="J1313" i="24"/>
  <c r="H1313" i="24"/>
  <c r="F1313" i="24"/>
  <c r="AG1312" i="24"/>
  <c r="AF1312" i="24"/>
  <c r="AD1312" i="24"/>
  <c r="AC1312" i="24"/>
  <c r="Z1312" i="24"/>
  <c r="X1312" i="24"/>
  <c r="T1312" i="24"/>
  <c r="S1312" i="24"/>
  <c r="R1312" i="24"/>
  <c r="P1312" i="24"/>
  <c r="N1312" i="24"/>
  <c r="O1312" i="24" s="1"/>
  <c r="M1312" i="24"/>
  <c r="K1312" i="24"/>
  <c r="J1312" i="24"/>
  <c r="H1312" i="24"/>
  <c r="F1312" i="24"/>
  <c r="AG1311" i="24"/>
  <c r="AF1311" i="24"/>
  <c r="AD1311" i="24"/>
  <c r="AC1311" i="24"/>
  <c r="Z1311" i="24"/>
  <c r="X1311" i="24"/>
  <c r="T1311" i="24"/>
  <c r="S1311" i="24"/>
  <c r="R1311" i="24"/>
  <c r="P1311" i="24"/>
  <c r="N1311" i="24"/>
  <c r="O1311" i="24" s="1"/>
  <c r="M1311" i="24"/>
  <c r="K1311" i="24"/>
  <c r="J1311" i="24"/>
  <c r="H1311" i="24"/>
  <c r="F1311" i="24"/>
  <c r="AG1310" i="24"/>
  <c r="AF1310" i="24"/>
  <c r="AD1310" i="24"/>
  <c r="AC1310" i="24"/>
  <c r="Z1310" i="24"/>
  <c r="X1310" i="24"/>
  <c r="T1310" i="24"/>
  <c r="S1310" i="24"/>
  <c r="R1310" i="24"/>
  <c r="P1310" i="24"/>
  <c r="N1310" i="24"/>
  <c r="O1310" i="24" s="1"/>
  <c r="M1310" i="24"/>
  <c r="K1310" i="24"/>
  <c r="J1310" i="24"/>
  <c r="H1310" i="24"/>
  <c r="F1310" i="24"/>
  <c r="AG1309" i="24"/>
  <c r="AF1309" i="24"/>
  <c r="AD1309" i="24"/>
  <c r="AC1309" i="24"/>
  <c r="Z1309" i="24"/>
  <c r="X1309" i="24"/>
  <c r="T1309" i="24"/>
  <c r="S1309" i="24"/>
  <c r="R1309" i="24"/>
  <c r="P1309" i="24"/>
  <c r="N1309" i="24"/>
  <c r="O1309" i="24" s="1"/>
  <c r="M1309" i="24"/>
  <c r="K1309" i="24"/>
  <c r="J1309" i="24"/>
  <c r="H1309" i="24"/>
  <c r="F1309" i="24"/>
  <c r="AG1308" i="24"/>
  <c r="AF1308" i="24"/>
  <c r="AD1308" i="24"/>
  <c r="AC1308" i="24"/>
  <c r="Z1308" i="24"/>
  <c r="X1308" i="24"/>
  <c r="T1308" i="24"/>
  <c r="S1308" i="24"/>
  <c r="R1308" i="24"/>
  <c r="P1308" i="24"/>
  <c r="N1308" i="24"/>
  <c r="M1308" i="24"/>
  <c r="K1308" i="24"/>
  <c r="J1308" i="24"/>
  <c r="H1308" i="24"/>
  <c r="F1308" i="24"/>
  <c r="AG1307" i="24"/>
  <c r="AF1307" i="24"/>
  <c r="AD1307" i="24"/>
  <c r="AC1307" i="24"/>
  <c r="Z1307" i="24"/>
  <c r="X1307" i="24"/>
  <c r="T1307" i="24"/>
  <c r="S1307" i="24"/>
  <c r="R1307" i="24"/>
  <c r="P1307" i="24"/>
  <c r="N1307" i="24"/>
  <c r="O1307" i="24" s="1"/>
  <c r="M1307" i="24"/>
  <c r="K1307" i="24"/>
  <c r="J1307" i="24"/>
  <c r="H1307" i="24"/>
  <c r="F1307" i="24"/>
  <c r="AG1306" i="24"/>
  <c r="AF1306" i="24"/>
  <c r="AD1306" i="24"/>
  <c r="AC1306" i="24"/>
  <c r="Z1306" i="24"/>
  <c r="X1306" i="24"/>
  <c r="T1306" i="24"/>
  <c r="S1306" i="24"/>
  <c r="R1306" i="24"/>
  <c r="P1306" i="24"/>
  <c r="N1306" i="24"/>
  <c r="O1306" i="24" s="1"/>
  <c r="M1306" i="24"/>
  <c r="K1306" i="24"/>
  <c r="J1306" i="24"/>
  <c r="H1306" i="24"/>
  <c r="F1306" i="24"/>
  <c r="AG1305" i="24"/>
  <c r="AF1305" i="24"/>
  <c r="AD1305" i="24"/>
  <c r="AC1305" i="24"/>
  <c r="Z1305" i="24"/>
  <c r="X1305" i="24"/>
  <c r="T1305" i="24"/>
  <c r="S1305" i="24"/>
  <c r="R1305" i="24"/>
  <c r="P1305" i="24"/>
  <c r="N1305" i="24"/>
  <c r="O1305" i="24" s="1"/>
  <c r="M1305" i="24"/>
  <c r="K1305" i="24"/>
  <c r="J1305" i="24"/>
  <c r="H1305" i="24"/>
  <c r="F1305" i="24"/>
  <c r="AG1304" i="24"/>
  <c r="AF1304" i="24"/>
  <c r="AD1304" i="24"/>
  <c r="AC1304" i="24"/>
  <c r="Z1304" i="24"/>
  <c r="X1304" i="24"/>
  <c r="T1304" i="24"/>
  <c r="S1304" i="24"/>
  <c r="R1304" i="24"/>
  <c r="P1304" i="24"/>
  <c r="N1304" i="24"/>
  <c r="O1304" i="24" s="1"/>
  <c r="M1304" i="24"/>
  <c r="K1304" i="24"/>
  <c r="J1304" i="24"/>
  <c r="H1304" i="24"/>
  <c r="F1304" i="24"/>
  <c r="AG1303" i="24"/>
  <c r="AF1303" i="24"/>
  <c r="AD1303" i="24"/>
  <c r="AC1303" i="24"/>
  <c r="Z1303" i="24"/>
  <c r="X1303" i="24"/>
  <c r="T1303" i="24"/>
  <c r="S1303" i="24"/>
  <c r="R1303" i="24"/>
  <c r="P1303" i="24"/>
  <c r="N1303" i="24"/>
  <c r="O1303" i="24" s="1"/>
  <c r="M1303" i="24"/>
  <c r="K1303" i="24"/>
  <c r="J1303" i="24"/>
  <c r="H1303" i="24"/>
  <c r="F1303" i="24"/>
  <c r="AG1302" i="24"/>
  <c r="AF1302" i="24"/>
  <c r="AD1302" i="24"/>
  <c r="AC1302" i="24"/>
  <c r="AB1302" i="24"/>
  <c r="Z1302" i="24"/>
  <c r="X1302" i="24"/>
  <c r="T1302" i="24"/>
  <c r="S1302" i="24"/>
  <c r="R1302" i="24"/>
  <c r="P1302" i="24"/>
  <c r="N1302" i="24"/>
  <c r="AA1302" i="24" s="1"/>
  <c r="M1302" i="24"/>
  <c r="K1302" i="24"/>
  <c r="J1302" i="24"/>
  <c r="H1302" i="24"/>
  <c r="F1302" i="24"/>
  <c r="AG1301" i="24"/>
  <c r="AF1301" i="24"/>
  <c r="AD1301" i="24"/>
  <c r="AC1301" i="24"/>
  <c r="Z1301" i="24"/>
  <c r="X1301" i="24"/>
  <c r="T1301" i="24"/>
  <c r="S1301" i="24"/>
  <c r="R1301" i="24"/>
  <c r="P1301" i="24"/>
  <c r="N1301" i="24"/>
  <c r="M1301" i="24"/>
  <c r="K1301" i="24"/>
  <c r="J1301" i="24"/>
  <c r="H1301" i="24"/>
  <c r="F1301" i="24"/>
  <c r="AG1300" i="24"/>
  <c r="AF1300" i="24"/>
  <c r="AD1300" i="24"/>
  <c r="AC1300" i="24"/>
  <c r="Z1300" i="24"/>
  <c r="X1300" i="24"/>
  <c r="T1300" i="24"/>
  <c r="S1300" i="24"/>
  <c r="R1300" i="24"/>
  <c r="P1300" i="24"/>
  <c r="N1300" i="24"/>
  <c r="O1300" i="24" s="1"/>
  <c r="M1300" i="24"/>
  <c r="K1300" i="24"/>
  <c r="J1300" i="24"/>
  <c r="H1300" i="24"/>
  <c r="F1300" i="24"/>
  <c r="AG1299" i="24"/>
  <c r="AF1299" i="24"/>
  <c r="AD1299" i="24"/>
  <c r="AC1299" i="24"/>
  <c r="Z1299" i="24"/>
  <c r="X1299" i="24"/>
  <c r="T1299" i="24"/>
  <c r="S1299" i="24"/>
  <c r="R1299" i="24"/>
  <c r="P1299" i="24"/>
  <c r="N1299" i="24"/>
  <c r="O1299" i="24" s="1"/>
  <c r="M1299" i="24"/>
  <c r="K1299" i="24"/>
  <c r="J1299" i="24"/>
  <c r="H1299" i="24"/>
  <c r="F1299" i="24"/>
  <c r="AG1298" i="24"/>
  <c r="AF1298" i="24"/>
  <c r="AD1298" i="24"/>
  <c r="AC1298" i="24"/>
  <c r="Z1298" i="24"/>
  <c r="X1298" i="24"/>
  <c r="T1298" i="24"/>
  <c r="S1298" i="24"/>
  <c r="R1298" i="24"/>
  <c r="P1298" i="24"/>
  <c r="N1298" i="24"/>
  <c r="O1298" i="24" s="1"/>
  <c r="M1298" i="24"/>
  <c r="K1298" i="24"/>
  <c r="J1298" i="24"/>
  <c r="H1298" i="24"/>
  <c r="F1298" i="24"/>
  <c r="AG1297" i="24"/>
  <c r="AF1297" i="24"/>
  <c r="AD1297" i="24"/>
  <c r="AC1297" i="24"/>
  <c r="Z1297" i="24"/>
  <c r="X1297" i="24"/>
  <c r="T1297" i="24"/>
  <c r="S1297" i="24"/>
  <c r="R1297" i="24"/>
  <c r="P1297" i="24"/>
  <c r="N1297" i="24"/>
  <c r="M1297" i="24"/>
  <c r="K1297" i="24"/>
  <c r="J1297" i="24"/>
  <c r="H1297" i="24"/>
  <c r="F1297" i="24"/>
  <c r="AG1296" i="24"/>
  <c r="AF1296" i="24"/>
  <c r="AD1296" i="24"/>
  <c r="AC1296" i="24"/>
  <c r="AB1296" i="24"/>
  <c r="Z1296" i="24"/>
  <c r="X1296" i="24"/>
  <c r="T1296" i="24"/>
  <c r="S1296" i="24"/>
  <c r="R1296" i="24"/>
  <c r="P1296" i="24"/>
  <c r="N1296" i="24"/>
  <c r="O1296" i="24" s="1"/>
  <c r="M1296" i="24"/>
  <c r="K1296" i="24"/>
  <c r="J1296" i="24"/>
  <c r="H1296" i="24"/>
  <c r="F1296" i="24"/>
  <c r="AG1295" i="24"/>
  <c r="AF1295" i="24"/>
  <c r="AD1295" i="24"/>
  <c r="AC1295" i="24"/>
  <c r="Z1295" i="24"/>
  <c r="X1295" i="24"/>
  <c r="T1349" i="24"/>
  <c r="S1349" i="24"/>
  <c r="R1349" i="24"/>
  <c r="P1349" i="24"/>
  <c r="N1349" i="24"/>
  <c r="O1349" i="24" s="1"/>
  <c r="M1349" i="24"/>
  <c r="K1349" i="24"/>
  <c r="J1349" i="24"/>
  <c r="H1349" i="24"/>
  <c r="F1349" i="24"/>
  <c r="AG1294" i="24"/>
  <c r="AF1294" i="24"/>
  <c r="AD1294" i="24"/>
  <c r="AC1294" i="24"/>
  <c r="Z1294" i="24"/>
  <c r="X1294" i="24"/>
  <c r="T1294" i="24"/>
  <c r="S1294" i="24"/>
  <c r="R1294" i="24"/>
  <c r="P1294" i="24"/>
  <c r="N1294" i="24"/>
  <c r="O1294" i="24" s="1"/>
  <c r="M1294" i="24"/>
  <c r="K1294" i="24"/>
  <c r="J1294" i="24"/>
  <c r="H1294" i="24"/>
  <c r="F1294" i="24"/>
  <c r="AG1293" i="24"/>
  <c r="AF1293" i="24"/>
  <c r="AD1293" i="24"/>
  <c r="AC1293" i="24"/>
  <c r="Z1293" i="24"/>
  <c r="X1293" i="24"/>
  <c r="T1293" i="24"/>
  <c r="S1293" i="24"/>
  <c r="R1293" i="24"/>
  <c r="P1293" i="24"/>
  <c r="N1293" i="24"/>
  <c r="O1293" i="24" s="1"/>
  <c r="M1293" i="24"/>
  <c r="K1293" i="24"/>
  <c r="J1293" i="24"/>
  <c r="H1293" i="24"/>
  <c r="F1293" i="24"/>
  <c r="AG1292" i="24"/>
  <c r="AF1292" i="24"/>
  <c r="AD1292" i="24"/>
  <c r="AC1292" i="24"/>
  <c r="Z1292" i="24"/>
  <c r="X1292" i="24"/>
  <c r="T1292" i="24"/>
  <c r="S1292" i="24"/>
  <c r="R1292" i="24"/>
  <c r="P1292" i="24"/>
  <c r="N1292" i="24"/>
  <c r="M1292" i="24"/>
  <c r="K1292" i="24"/>
  <c r="J1292" i="24"/>
  <c r="H1292" i="24"/>
  <c r="F1292" i="24"/>
  <c r="AG1291" i="24"/>
  <c r="AF1291" i="24"/>
  <c r="AD1291" i="24"/>
  <c r="AC1291" i="24"/>
  <c r="Z1291" i="24"/>
  <c r="X1291" i="24"/>
  <c r="T1291" i="24"/>
  <c r="S1291" i="24"/>
  <c r="R1291" i="24"/>
  <c r="P1291" i="24"/>
  <c r="N1291" i="24"/>
  <c r="O1291" i="24" s="1"/>
  <c r="M1291" i="24"/>
  <c r="K1291" i="24"/>
  <c r="J1291" i="24"/>
  <c r="H1291" i="24"/>
  <c r="F1291" i="24"/>
  <c r="AG1290" i="24"/>
  <c r="AF1290" i="24"/>
  <c r="AD1290" i="24"/>
  <c r="AC1290" i="24"/>
  <c r="Z1290" i="24"/>
  <c r="X1290" i="24"/>
  <c r="T1290" i="24"/>
  <c r="S1290" i="24"/>
  <c r="R1290" i="24"/>
  <c r="P1290" i="24"/>
  <c r="N1290" i="24"/>
  <c r="M1290" i="24"/>
  <c r="K1290" i="24"/>
  <c r="J1290" i="24"/>
  <c r="H1290" i="24"/>
  <c r="F1290" i="24"/>
  <c r="AG1289" i="24"/>
  <c r="AF1289" i="24"/>
  <c r="AD1289" i="24"/>
  <c r="AC1289" i="24"/>
  <c r="Z1289" i="24"/>
  <c r="X1289" i="24"/>
  <c r="T1347" i="24"/>
  <c r="S1347" i="24"/>
  <c r="R1347" i="24"/>
  <c r="P1347" i="24"/>
  <c r="N1347" i="24"/>
  <c r="O1347" i="24" s="1"/>
  <c r="M1347" i="24"/>
  <c r="K1347" i="24"/>
  <c r="J1347" i="24"/>
  <c r="H1347" i="24"/>
  <c r="F1347" i="24"/>
  <c r="AG1288" i="24"/>
  <c r="AF1288" i="24"/>
  <c r="AD1288" i="24"/>
  <c r="AC1288" i="24"/>
  <c r="Z1288" i="24"/>
  <c r="X1288" i="24"/>
  <c r="T1288" i="24"/>
  <c r="S1288" i="24"/>
  <c r="R1288" i="24"/>
  <c r="P1288" i="24"/>
  <c r="N1288" i="24"/>
  <c r="O1288" i="24" s="1"/>
  <c r="M1288" i="24"/>
  <c r="K1288" i="24"/>
  <c r="J1288" i="24"/>
  <c r="H1288" i="24"/>
  <c r="F1288" i="24"/>
  <c r="AG1287" i="24"/>
  <c r="AF1287" i="24"/>
  <c r="AD1287" i="24"/>
  <c r="AC1287" i="24"/>
  <c r="Z1287" i="24"/>
  <c r="X1287" i="24"/>
  <c r="T1287" i="24"/>
  <c r="S1287" i="24"/>
  <c r="R1287" i="24"/>
  <c r="P1287" i="24"/>
  <c r="N1287" i="24"/>
  <c r="O1287" i="24" s="1"/>
  <c r="M1287" i="24"/>
  <c r="K1287" i="24"/>
  <c r="J1287" i="24"/>
  <c r="H1287" i="24"/>
  <c r="F1287" i="24"/>
  <c r="AG1286" i="24"/>
  <c r="AF1286" i="24"/>
  <c r="AD1286" i="24"/>
  <c r="AC1286" i="24"/>
  <c r="Z1286" i="24"/>
  <c r="X1286" i="24"/>
  <c r="T1286" i="24"/>
  <c r="S1286" i="24"/>
  <c r="R1286" i="24"/>
  <c r="P1286" i="24"/>
  <c r="N1286" i="24"/>
  <c r="O1286" i="24" s="1"/>
  <c r="M1286" i="24"/>
  <c r="K1286" i="24"/>
  <c r="J1286" i="24"/>
  <c r="H1286" i="24"/>
  <c r="F1286" i="24"/>
  <c r="AG1285" i="24"/>
  <c r="AF1285" i="24"/>
  <c r="AD1285" i="24"/>
  <c r="AC1285" i="24"/>
  <c r="AB1285" i="24"/>
  <c r="Z1285" i="24"/>
  <c r="X1285" i="24"/>
  <c r="T1285" i="24"/>
  <c r="S1285" i="24"/>
  <c r="R1285" i="24"/>
  <c r="P1285" i="24"/>
  <c r="N1285" i="24"/>
  <c r="M1285" i="24"/>
  <c r="K1285" i="24"/>
  <c r="J1285" i="24"/>
  <c r="H1285" i="24"/>
  <c r="F1285" i="24"/>
  <c r="AG1284" i="24"/>
  <c r="AF1284" i="24"/>
  <c r="AD1284" i="24"/>
  <c r="AC1284" i="24"/>
  <c r="Z1284" i="24"/>
  <c r="X1284" i="24"/>
  <c r="T1284" i="24"/>
  <c r="S1284" i="24"/>
  <c r="R1284" i="24"/>
  <c r="P1284" i="24"/>
  <c r="N1284" i="24"/>
  <c r="M1284" i="24"/>
  <c r="K1284" i="24"/>
  <c r="J1284" i="24"/>
  <c r="H1284" i="24"/>
  <c r="F1284" i="24"/>
  <c r="AG1283" i="24"/>
  <c r="AF1283" i="24"/>
  <c r="AD1283" i="24"/>
  <c r="AC1283" i="24"/>
  <c r="Z1283" i="24"/>
  <c r="X1283" i="24"/>
  <c r="T1283" i="24"/>
  <c r="S1283" i="24"/>
  <c r="R1283" i="24"/>
  <c r="P1283" i="24"/>
  <c r="N1283" i="24"/>
  <c r="O1283" i="24" s="1"/>
  <c r="M1283" i="24"/>
  <c r="K1283" i="24"/>
  <c r="J1283" i="24"/>
  <c r="H1283" i="24"/>
  <c r="F1283" i="24"/>
  <c r="AG1282" i="24"/>
  <c r="AF1282" i="24"/>
  <c r="AD1282" i="24"/>
  <c r="AC1282" i="24"/>
  <c r="Z1282" i="24"/>
  <c r="X1282" i="24"/>
  <c r="T1282" i="24"/>
  <c r="S1282" i="24"/>
  <c r="R1282" i="24"/>
  <c r="P1282" i="24"/>
  <c r="N1282" i="24"/>
  <c r="O1282" i="24" s="1"/>
  <c r="M1282" i="24"/>
  <c r="K1282" i="24"/>
  <c r="J1282" i="24"/>
  <c r="H1282" i="24"/>
  <c r="F1282" i="24"/>
  <c r="AG1281" i="24"/>
  <c r="AF1281" i="24"/>
  <c r="AD1281" i="24"/>
  <c r="AC1281" i="24"/>
  <c r="Z1281" i="24"/>
  <c r="X1281" i="24"/>
  <c r="T1281" i="24"/>
  <c r="S1281" i="24"/>
  <c r="R1281" i="24"/>
  <c r="P1281" i="24"/>
  <c r="N1281" i="24"/>
  <c r="O1281" i="24" s="1"/>
  <c r="M1281" i="24"/>
  <c r="K1281" i="24"/>
  <c r="J1281" i="24"/>
  <c r="H1281" i="24"/>
  <c r="F1281" i="24"/>
  <c r="AG1280" i="24"/>
  <c r="AF1280" i="24"/>
  <c r="AD1280" i="24"/>
  <c r="AC1280" i="24"/>
  <c r="Z1280" i="24"/>
  <c r="X1280" i="24"/>
  <c r="T1280" i="24"/>
  <c r="S1280" i="24"/>
  <c r="R1280" i="24"/>
  <c r="P1280" i="24"/>
  <c r="N1280" i="24"/>
  <c r="O1280" i="24" s="1"/>
  <c r="M1280" i="24"/>
  <c r="K1280" i="24"/>
  <c r="J1280" i="24"/>
  <c r="H1280" i="24"/>
  <c r="F1280" i="24"/>
  <c r="AG1279" i="24"/>
  <c r="AF1279" i="24"/>
  <c r="AD1279" i="24"/>
  <c r="AC1279" i="24"/>
  <c r="Z1279" i="24"/>
  <c r="X1279" i="24"/>
  <c r="T1279" i="24"/>
  <c r="S1279" i="24"/>
  <c r="R1279" i="24"/>
  <c r="P1279" i="24"/>
  <c r="N1279" i="24"/>
  <c r="O1279" i="24" s="1"/>
  <c r="M1279" i="24"/>
  <c r="K1279" i="24"/>
  <c r="J1279" i="24"/>
  <c r="H1279" i="24"/>
  <c r="F1279" i="24"/>
  <c r="AG1278" i="24"/>
  <c r="AF1278" i="24"/>
  <c r="AD1278" i="24"/>
  <c r="AC1278" i="24"/>
  <c r="Z1278" i="24"/>
  <c r="X1278" i="24"/>
  <c r="T1278" i="24"/>
  <c r="S1278" i="24"/>
  <c r="R1278" i="24"/>
  <c r="P1278" i="24"/>
  <c r="N1278" i="24"/>
  <c r="O1278" i="24" s="1"/>
  <c r="M1278" i="24"/>
  <c r="K1278" i="24"/>
  <c r="J1278" i="24"/>
  <c r="H1278" i="24"/>
  <c r="F1278" i="24"/>
  <c r="AG1277" i="24"/>
  <c r="AF1277" i="24"/>
  <c r="AD1277" i="24"/>
  <c r="AC1277" i="24"/>
  <c r="Z1277" i="24"/>
  <c r="X1277" i="24"/>
  <c r="T1277" i="24"/>
  <c r="S1277" i="24"/>
  <c r="R1277" i="24"/>
  <c r="P1277" i="24"/>
  <c r="N1277" i="24"/>
  <c r="M1277" i="24"/>
  <c r="K1277" i="24"/>
  <c r="J1277" i="24"/>
  <c r="H1277" i="24"/>
  <c r="F1277" i="24"/>
  <c r="AG1276" i="24"/>
  <c r="AF1276" i="24"/>
  <c r="AD1276" i="24"/>
  <c r="AC1276" i="24"/>
  <c r="Z1276" i="24"/>
  <c r="X1276" i="24"/>
  <c r="T1276" i="24"/>
  <c r="S1276" i="24"/>
  <c r="R1276" i="24"/>
  <c r="P1276" i="24"/>
  <c r="N1276" i="24"/>
  <c r="O1276" i="24" s="1"/>
  <c r="M1276" i="24"/>
  <c r="K1276" i="24"/>
  <c r="J1276" i="24"/>
  <c r="H1276" i="24"/>
  <c r="F1276" i="24"/>
  <c r="AG1275" i="24"/>
  <c r="AF1275" i="24"/>
  <c r="AD1275" i="24"/>
  <c r="AC1275" i="24"/>
  <c r="Z1275" i="24"/>
  <c r="X1275" i="24"/>
  <c r="T1275" i="24"/>
  <c r="S1275" i="24"/>
  <c r="R1275" i="24"/>
  <c r="P1275" i="24"/>
  <c r="N1275" i="24"/>
  <c r="O1275" i="24" s="1"/>
  <c r="M1275" i="24"/>
  <c r="K1275" i="24"/>
  <c r="J1275" i="24"/>
  <c r="H1275" i="24"/>
  <c r="F1275" i="24"/>
  <c r="AG1274" i="24"/>
  <c r="AF1274" i="24"/>
  <c r="AD1274" i="24"/>
  <c r="AC1274" i="24"/>
  <c r="Z1274" i="24"/>
  <c r="X1274" i="24"/>
  <c r="T1274" i="24"/>
  <c r="S1274" i="24"/>
  <c r="R1274" i="24"/>
  <c r="P1274" i="24"/>
  <c r="N1274" i="24"/>
  <c r="O1274" i="24" s="1"/>
  <c r="M1274" i="24"/>
  <c r="K1274" i="24"/>
  <c r="J1274" i="24"/>
  <c r="H1274" i="24"/>
  <c r="F1274" i="24"/>
  <c r="AG1273" i="24"/>
  <c r="AF1273" i="24"/>
  <c r="AD1273" i="24"/>
  <c r="AC1273" i="24"/>
  <c r="Z1273" i="24"/>
  <c r="X1273" i="24"/>
  <c r="T1273" i="24"/>
  <c r="S1273" i="24"/>
  <c r="R1273" i="24"/>
  <c r="P1273" i="24"/>
  <c r="N1273" i="24"/>
  <c r="M1273" i="24"/>
  <c r="K1273" i="24"/>
  <c r="J1273" i="24"/>
  <c r="H1273" i="24"/>
  <c r="F1273" i="24"/>
  <c r="AG1272" i="24"/>
  <c r="AF1272" i="24"/>
  <c r="AD1272" i="24"/>
  <c r="AC1272" i="24"/>
  <c r="Z1272" i="24"/>
  <c r="X1272" i="24"/>
  <c r="T1345" i="24"/>
  <c r="S1345" i="24"/>
  <c r="R1345" i="24"/>
  <c r="P1345" i="24"/>
  <c r="N1345" i="24"/>
  <c r="O1345" i="24" s="1"/>
  <c r="M1345" i="24"/>
  <c r="K1345" i="24"/>
  <c r="J1345" i="24"/>
  <c r="H1345" i="24"/>
  <c r="F1345" i="24"/>
  <c r="AG1271" i="24"/>
  <c r="AF1271" i="24"/>
  <c r="AD1271" i="24"/>
  <c r="AC1271" i="24"/>
  <c r="Z1271" i="24"/>
  <c r="X1271" i="24"/>
  <c r="T1343" i="24"/>
  <c r="S1343" i="24"/>
  <c r="R1343" i="24"/>
  <c r="P1343" i="24"/>
  <c r="N1343" i="24"/>
  <c r="O1343" i="24" s="1"/>
  <c r="M1343" i="24"/>
  <c r="K1343" i="24"/>
  <c r="J1343" i="24"/>
  <c r="H1343" i="24"/>
  <c r="F1343" i="24"/>
  <c r="AG1270" i="24"/>
  <c r="AF1270" i="24"/>
  <c r="AD1270" i="24"/>
  <c r="AC1270" i="24"/>
  <c r="Z1270" i="24"/>
  <c r="X1270" i="24"/>
  <c r="T1270" i="24"/>
  <c r="S1270" i="24"/>
  <c r="R1270" i="24"/>
  <c r="P1270" i="24"/>
  <c r="N1270" i="24"/>
  <c r="O1270" i="24" s="1"/>
  <c r="M1270" i="24"/>
  <c r="K1270" i="24"/>
  <c r="J1270" i="24"/>
  <c r="H1270" i="24"/>
  <c r="F1270" i="24"/>
  <c r="AG1269" i="24"/>
  <c r="AF1269" i="24"/>
  <c r="AD1269" i="24"/>
  <c r="AC1269" i="24"/>
  <c r="Z1269" i="24"/>
  <c r="X1269" i="24"/>
  <c r="T1269" i="24"/>
  <c r="S1269" i="24"/>
  <c r="R1269" i="24"/>
  <c r="P1269" i="24"/>
  <c r="N1269" i="24"/>
  <c r="M1269" i="24"/>
  <c r="K1269" i="24"/>
  <c r="J1269" i="24"/>
  <c r="H1269" i="24"/>
  <c r="F1269" i="24"/>
  <c r="AG1268" i="24"/>
  <c r="AF1268" i="24"/>
  <c r="AD1268" i="24"/>
  <c r="AC1268" i="24"/>
  <c r="Z1268" i="24"/>
  <c r="X1268" i="24"/>
  <c r="T1268" i="24"/>
  <c r="S1268" i="24"/>
  <c r="R1268" i="24"/>
  <c r="P1268" i="24"/>
  <c r="N1268" i="24"/>
  <c r="O1268" i="24" s="1"/>
  <c r="M1268" i="24"/>
  <c r="K1268" i="24"/>
  <c r="J1268" i="24"/>
  <c r="H1268" i="24"/>
  <c r="F1268" i="24"/>
  <c r="AG1267" i="24"/>
  <c r="AF1267" i="24"/>
  <c r="AD1267" i="24"/>
  <c r="AC1267" i="24"/>
  <c r="Z1267" i="24"/>
  <c r="X1267" i="24"/>
  <c r="T1267" i="24"/>
  <c r="S1267" i="24"/>
  <c r="R1267" i="24"/>
  <c r="P1267" i="24"/>
  <c r="N1267" i="24"/>
  <c r="O1267" i="24" s="1"/>
  <c r="M1267" i="24"/>
  <c r="K1267" i="24"/>
  <c r="J1267" i="24"/>
  <c r="H1267" i="24"/>
  <c r="F1267" i="24"/>
  <c r="AG1266" i="24"/>
  <c r="AF1266" i="24"/>
  <c r="AD1266" i="24"/>
  <c r="AC1266" i="24"/>
  <c r="Z1266" i="24"/>
  <c r="X1266" i="24"/>
  <c r="T1266" i="24"/>
  <c r="S1266" i="24"/>
  <c r="R1266" i="24"/>
  <c r="P1266" i="24"/>
  <c r="N1266" i="24"/>
  <c r="M1266" i="24"/>
  <c r="K1266" i="24"/>
  <c r="J1266" i="24"/>
  <c r="H1266" i="24"/>
  <c r="F1266" i="24"/>
  <c r="AG1265" i="24"/>
  <c r="AF1265" i="24"/>
  <c r="AD1265" i="24"/>
  <c r="AC1265" i="24"/>
  <c r="Z1265" i="24"/>
  <c r="X1265" i="24"/>
  <c r="T1265" i="24"/>
  <c r="S1265" i="24"/>
  <c r="R1265" i="24"/>
  <c r="P1265" i="24"/>
  <c r="N1265" i="24"/>
  <c r="O1265" i="24" s="1"/>
  <c r="M1265" i="24"/>
  <c r="K1265" i="24"/>
  <c r="J1265" i="24"/>
  <c r="H1265" i="24"/>
  <c r="F1265" i="24"/>
  <c r="AG1264" i="24"/>
  <c r="AF1264" i="24"/>
  <c r="AD1264" i="24"/>
  <c r="AC1264" i="24"/>
  <c r="Z1264" i="24"/>
  <c r="X1264" i="24"/>
  <c r="T1264" i="24"/>
  <c r="S1264" i="24"/>
  <c r="R1264" i="24"/>
  <c r="P1264" i="24"/>
  <c r="N1264" i="24"/>
  <c r="O1264" i="24" s="1"/>
  <c r="M1264" i="24"/>
  <c r="K1264" i="24"/>
  <c r="J1264" i="24"/>
  <c r="H1264" i="24"/>
  <c r="F1264" i="24"/>
  <c r="AG1263" i="24"/>
  <c r="AF1263" i="24"/>
  <c r="AD1263" i="24"/>
  <c r="AC1263" i="24"/>
  <c r="Z1263" i="24"/>
  <c r="X1263" i="24"/>
  <c r="T1263" i="24"/>
  <c r="S1263" i="24"/>
  <c r="R1263" i="24"/>
  <c r="P1263" i="24"/>
  <c r="N1263" i="24"/>
  <c r="O1263" i="24" s="1"/>
  <c r="M1263" i="24"/>
  <c r="K1263" i="24"/>
  <c r="J1263" i="24"/>
  <c r="H1263" i="24"/>
  <c r="F1263" i="24"/>
  <c r="AG1262" i="24"/>
  <c r="AF1262" i="24"/>
  <c r="AD1262" i="24"/>
  <c r="AC1262" i="24"/>
  <c r="Z1262" i="24"/>
  <c r="X1262" i="24"/>
  <c r="T1262" i="24"/>
  <c r="S1262" i="24"/>
  <c r="R1262" i="24"/>
  <c r="P1262" i="24"/>
  <c r="N1262" i="24"/>
  <c r="O1262" i="24" s="1"/>
  <c r="M1262" i="24"/>
  <c r="K1262" i="24"/>
  <c r="J1262" i="24"/>
  <c r="H1262" i="24"/>
  <c r="F1262" i="24"/>
  <c r="AG1261" i="24"/>
  <c r="AF1261" i="24"/>
  <c r="AD1261" i="24"/>
  <c r="AC1261" i="24"/>
  <c r="Z1261" i="24"/>
  <c r="X1261" i="24"/>
  <c r="T1261" i="24"/>
  <c r="S1261" i="24"/>
  <c r="R1261" i="24"/>
  <c r="P1261" i="24"/>
  <c r="N1261" i="24"/>
  <c r="M1261" i="24"/>
  <c r="K1261" i="24"/>
  <c r="J1261" i="24"/>
  <c r="H1261" i="24"/>
  <c r="F1261" i="24"/>
  <c r="AG1260" i="24"/>
  <c r="AF1260" i="24"/>
  <c r="AD1260" i="24"/>
  <c r="AC1260" i="24"/>
  <c r="Z1260" i="24"/>
  <c r="X1260" i="24"/>
  <c r="T1260" i="24"/>
  <c r="S1260" i="24"/>
  <c r="R1260" i="24"/>
  <c r="P1260" i="24"/>
  <c r="N1260" i="24"/>
  <c r="O1260" i="24" s="1"/>
  <c r="M1260" i="24"/>
  <c r="K1260" i="24"/>
  <c r="J1260" i="24"/>
  <c r="H1260" i="24"/>
  <c r="F1260" i="24"/>
  <c r="AG1259" i="24"/>
  <c r="AF1259" i="24"/>
  <c r="AD1259" i="24"/>
  <c r="AC1259" i="24"/>
  <c r="Z1259" i="24"/>
  <c r="X1259" i="24"/>
  <c r="T1259" i="24"/>
  <c r="S1259" i="24"/>
  <c r="R1259" i="24"/>
  <c r="P1259" i="24"/>
  <c r="N1259" i="24"/>
  <c r="O1259" i="24" s="1"/>
  <c r="M1259" i="24"/>
  <c r="K1259" i="24"/>
  <c r="J1259" i="24"/>
  <c r="H1259" i="24"/>
  <c r="F1259" i="24"/>
  <c r="AG1258" i="24"/>
  <c r="AF1258" i="24"/>
  <c r="AD1258" i="24"/>
  <c r="AC1258" i="24"/>
  <c r="Z1258" i="24"/>
  <c r="X1258" i="24"/>
  <c r="T1258" i="24"/>
  <c r="S1258" i="24"/>
  <c r="R1258" i="24"/>
  <c r="P1258" i="24"/>
  <c r="N1258" i="24"/>
  <c r="O1258" i="24" s="1"/>
  <c r="M1258" i="24"/>
  <c r="K1258" i="24"/>
  <c r="J1258" i="24"/>
  <c r="H1258" i="24"/>
  <c r="F1258" i="24"/>
  <c r="AG1257" i="24"/>
  <c r="AF1257" i="24"/>
  <c r="AD1257" i="24"/>
  <c r="AC1257" i="24"/>
  <c r="Z1257" i="24"/>
  <c r="X1257" i="24"/>
  <c r="T1257" i="24"/>
  <c r="S1257" i="24"/>
  <c r="R1257" i="24"/>
  <c r="P1257" i="24"/>
  <c r="N1257" i="24"/>
  <c r="O1257" i="24" s="1"/>
  <c r="M1257" i="24"/>
  <c r="K1257" i="24"/>
  <c r="J1257" i="24"/>
  <c r="H1257" i="24"/>
  <c r="F1257" i="24"/>
  <c r="AG1256" i="24"/>
  <c r="AF1256" i="24"/>
  <c r="AD1256" i="24"/>
  <c r="AC1256" i="24"/>
  <c r="AB1256" i="24"/>
  <c r="Z1256" i="24"/>
  <c r="X1256" i="24"/>
  <c r="T1256" i="24"/>
  <c r="S1256" i="24"/>
  <c r="R1256" i="24"/>
  <c r="P1256" i="24"/>
  <c r="N1256" i="24"/>
  <c r="AA1256" i="24" s="1"/>
  <c r="M1256" i="24"/>
  <c r="K1256" i="24"/>
  <c r="J1256" i="24"/>
  <c r="H1256" i="24"/>
  <c r="F1256" i="24"/>
  <c r="AG1255" i="24"/>
  <c r="AF1255" i="24"/>
  <c r="AD1255" i="24"/>
  <c r="AC1255" i="24"/>
  <c r="Z1255" i="24"/>
  <c r="X1255" i="24"/>
  <c r="T1255" i="24"/>
  <c r="S1255" i="24"/>
  <c r="R1255" i="24"/>
  <c r="P1255" i="24"/>
  <c r="N1255" i="24"/>
  <c r="M1255" i="24"/>
  <c r="K1255" i="24"/>
  <c r="J1255" i="24"/>
  <c r="H1255" i="24"/>
  <c r="F1255" i="24"/>
  <c r="AG1254" i="24"/>
  <c r="AF1254" i="24"/>
  <c r="AD1254" i="24"/>
  <c r="AC1254" i="24"/>
  <c r="Z1254" i="24"/>
  <c r="X1254" i="24"/>
  <c r="T1254" i="24"/>
  <c r="S1254" i="24"/>
  <c r="R1254" i="24"/>
  <c r="P1254" i="24"/>
  <c r="N1254" i="24"/>
  <c r="O1254" i="24" s="1"/>
  <c r="M1254" i="24"/>
  <c r="K1254" i="24"/>
  <c r="J1254" i="24"/>
  <c r="H1254" i="24"/>
  <c r="F1254" i="24"/>
  <c r="AG1253" i="24"/>
  <c r="AF1253" i="24"/>
  <c r="AD1253" i="24"/>
  <c r="AC1253" i="24"/>
  <c r="Z1253" i="24"/>
  <c r="X1253" i="24"/>
  <c r="T1253" i="24"/>
  <c r="S1253" i="24"/>
  <c r="R1253" i="24"/>
  <c r="P1253" i="24"/>
  <c r="N1253" i="24"/>
  <c r="O1253" i="24" s="1"/>
  <c r="M1253" i="24"/>
  <c r="K1253" i="24"/>
  <c r="J1253" i="24"/>
  <c r="H1253" i="24"/>
  <c r="F1253" i="24"/>
  <c r="AG1252" i="24"/>
  <c r="AF1252" i="24"/>
  <c r="AD1252" i="24"/>
  <c r="AC1252" i="24"/>
  <c r="Z1252" i="24"/>
  <c r="X1252" i="24"/>
  <c r="T1252" i="24"/>
  <c r="S1252" i="24"/>
  <c r="R1252" i="24"/>
  <c r="P1252" i="24"/>
  <c r="N1252" i="24"/>
  <c r="O1252" i="24" s="1"/>
  <c r="M1252" i="24"/>
  <c r="K1252" i="24"/>
  <c r="J1252" i="24"/>
  <c r="H1252" i="24"/>
  <c r="F1252" i="24"/>
  <c r="AG1251" i="24"/>
  <c r="AF1251" i="24"/>
  <c r="AD1251" i="24"/>
  <c r="AC1251" i="24"/>
  <c r="Z1251" i="24"/>
  <c r="X1251" i="24"/>
  <c r="T1251" i="24"/>
  <c r="S1251" i="24"/>
  <c r="R1251" i="24"/>
  <c r="P1251" i="24"/>
  <c r="N1251" i="24"/>
  <c r="O1251" i="24" s="1"/>
  <c r="M1251" i="24"/>
  <c r="K1251" i="24"/>
  <c r="J1251" i="24"/>
  <c r="H1251" i="24"/>
  <c r="F1251" i="24"/>
  <c r="AG1250" i="24"/>
  <c r="AF1250" i="24"/>
  <c r="AD1250" i="24"/>
  <c r="AC1250" i="24"/>
  <c r="Z1250" i="24"/>
  <c r="X1250" i="24"/>
  <c r="T1250" i="24"/>
  <c r="S1250" i="24"/>
  <c r="R1250" i="24"/>
  <c r="P1250" i="24"/>
  <c r="N1250" i="24"/>
  <c r="M1250" i="24"/>
  <c r="K1250" i="24"/>
  <c r="J1250" i="24"/>
  <c r="H1250" i="24"/>
  <c r="F1250" i="24"/>
  <c r="AG1249" i="24"/>
  <c r="AF1249" i="24"/>
  <c r="AD1249" i="24"/>
  <c r="AC1249" i="24"/>
  <c r="Z1249" i="24"/>
  <c r="X1249" i="24"/>
  <c r="T1249" i="24"/>
  <c r="S1249" i="24"/>
  <c r="R1249" i="24"/>
  <c r="P1249" i="24"/>
  <c r="N1249" i="24"/>
  <c r="O1249" i="24" s="1"/>
  <c r="M1249" i="24"/>
  <c r="K1249" i="24"/>
  <c r="J1249" i="24"/>
  <c r="H1249" i="24"/>
  <c r="F1249" i="24"/>
  <c r="AG1248" i="24"/>
  <c r="AF1248" i="24"/>
  <c r="AD1248" i="24"/>
  <c r="AC1248" i="24"/>
  <c r="Z1248" i="24"/>
  <c r="X1248" i="24"/>
  <c r="T1248" i="24"/>
  <c r="S1248" i="24"/>
  <c r="R1248" i="24"/>
  <c r="P1248" i="24"/>
  <c r="N1248" i="24"/>
  <c r="O1248" i="24" s="1"/>
  <c r="M1248" i="24"/>
  <c r="K1248" i="24"/>
  <c r="J1248" i="24"/>
  <c r="H1248" i="24"/>
  <c r="F1248" i="24"/>
  <c r="AG1247" i="24"/>
  <c r="AF1247" i="24"/>
  <c r="AD1247" i="24"/>
  <c r="AC1247" i="24"/>
  <c r="Z1247" i="24"/>
  <c r="X1247" i="24"/>
  <c r="T1247" i="24"/>
  <c r="S1247" i="24"/>
  <c r="R1247" i="24"/>
  <c r="P1247" i="24"/>
  <c r="N1247" i="24"/>
  <c r="O1247" i="24" s="1"/>
  <c r="M1247" i="24"/>
  <c r="K1247" i="24"/>
  <c r="J1247" i="24"/>
  <c r="H1247" i="24"/>
  <c r="F1247" i="24"/>
  <c r="AG1246" i="24"/>
  <c r="AF1246" i="24"/>
  <c r="AD1246" i="24"/>
  <c r="AC1246" i="24"/>
  <c r="Z1246" i="24"/>
  <c r="X1246" i="24"/>
  <c r="T1246" i="24"/>
  <c r="S1246" i="24"/>
  <c r="R1246" i="24"/>
  <c r="P1246" i="24"/>
  <c r="N1246" i="24"/>
  <c r="M1246" i="24"/>
  <c r="K1246" i="24"/>
  <c r="J1246" i="24"/>
  <c r="H1246" i="24"/>
  <c r="F1246" i="24"/>
  <c r="AG1245" i="24"/>
  <c r="AF1245" i="24"/>
  <c r="AD1245" i="24"/>
  <c r="AC1245" i="24"/>
  <c r="Z1245" i="24"/>
  <c r="X1245" i="24"/>
  <c r="T1245" i="24"/>
  <c r="S1245" i="24"/>
  <c r="R1245" i="24"/>
  <c r="P1245" i="24"/>
  <c r="N1245" i="24"/>
  <c r="M1245" i="24"/>
  <c r="K1245" i="24"/>
  <c r="J1245" i="24"/>
  <c r="H1245" i="24"/>
  <c r="F1245" i="24"/>
  <c r="AG1244" i="24"/>
  <c r="AF1244" i="24"/>
  <c r="AD1244" i="24"/>
  <c r="AC1244" i="24"/>
  <c r="Z1244" i="24"/>
  <c r="X1244" i="24"/>
  <c r="T1244" i="24"/>
  <c r="S1244" i="24"/>
  <c r="R1244" i="24"/>
  <c r="P1244" i="24"/>
  <c r="N1244" i="24"/>
  <c r="O1244" i="24" s="1"/>
  <c r="M1244" i="24"/>
  <c r="K1244" i="24"/>
  <c r="J1244" i="24"/>
  <c r="H1244" i="24"/>
  <c r="F1244" i="24"/>
  <c r="AG1243" i="24"/>
  <c r="AF1243" i="24"/>
  <c r="AD1243" i="24"/>
  <c r="AC1243" i="24"/>
  <c r="Z1243" i="24"/>
  <c r="X1243" i="24"/>
  <c r="T1243" i="24"/>
  <c r="S1243" i="24"/>
  <c r="R1243" i="24"/>
  <c r="P1243" i="24"/>
  <c r="N1243" i="24"/>
  <c r="O1243" i="24" s="1"/>
  <c r="M1243" i="24"/>
  <c r="K1243" i="24"/>
  <c r="J1243" i="24"/>
  <c r="H1243" i="24"/>
  <c r="F1243" i="24"/>
  <c r="AG1242" i="24"/>
  <c r="AF1242" i="24"/>
  <c r="AD1242" i="24"/>
  <c r="AC1242" i="24"/>
  <c r="Z1242" i="24"/>
  <c r="X1242" i="24"/>
  <c r="T1242" i="24"/>
  <c r="S1242" i="24"/>
  <c r="R1242" i="24"/>
  <c r="P1242" i="24"/>
  <c r="N1242" i="24"/>
  <c r="O1242" i="24" s="1"/>
  <c r="M1242" i="24"/>
  <c r="K1242" i="24"/>
  <c r="J1242" i="24"/>
  <c r="H1242" i="24"/>
  <c r="F1242" i="24"/>
  <c r="AG1241" i="24"/>
  <c r="AF1241" i="24"/>
  <c r="AD1241" i="24"/>
  <c r="AC1241" i="24"/>
  <c r="Z1241" i="24"/>
  <c r="X1241" i="24"/>
  <c r="T1241" i="24"/>
  <c r="S1241" i="24"/>
  <c r="R1241" i="24"/>
  <c r="P1241" i="24"/>
  <c r="N1241" i="24"/>
  <c r="M1241" i="24"/>
  <c r="K1241" i="24"/>
  <c r="J1241" i="24"/>
  <c r="H1241" i="24"/>
  <c r="F1241" i="24"/>
  <c r="AG1240" i="24"/>
  <c r="AF1240" i="24"/>
  <c r="AD1240" i="24"/>
  <c r="AC1240" i="24"/>
  <c r="Z1240" i="24"/>
  <c r="X1240" i="24"/>
  <c r="T1240" i="24"/>
  <c r="S1240" i="24"/>
  <c r="R1240" i="24"/>
  <c r="P1240" i="24"/>
  <c r="N1240" i="24"/>
  <c r="O1240" i="24" s="1"/>
  <c r="M1240" i="24"/>
  <c r="K1240" i="24"/>
  <c r="J1240" i="24"/>
  <c r="H1240" i="24"/>
  <c r="F1240" i="24"/>
  <c r="AG1239" i="24"/>
  <c r="AF1239" i="24"/>
  <c r="AD1239" i="24"/>
  <c r="AC1239" i="24"/>
  <c r="Z1239" i="24"/>
  <c r="X1239" i="24"/>
  <c r="T1239" i="24"/>
  <c r="S1239" i="24"/>
  <c r="R1239" i="24"/>
  <c r="P1239" i="24"/>
  <c r="N1239" i="24"/>
  <c r="O1239" i="24" s="1"/>
  <c r="M1239" i="24"/>
  <c r="K1239" i="24"/>
  <c r="J1239" i="24"/>
  <c r="H1239" i="24"/>
  <c r="F1239" i="24"/>
  <c r="AG1238" i="24"/>
  <c r="AF1238" i="24"/>
  <c r="AD1238" i="24"/>
  <c r="AC1238" i="24"/>
  <c r="Z1238" i="24"/>
  <c r="X1238" i="24"/>
  <c r="T1238" i="24"/>
  <c r="S1238" i="24"/>
  <c r="R1238" i="24"/>
  <c r="P1238" i="24"/>
  <c r="N1238" i="24"/>
  <c r="O1238" i="24" s="1"/>
  <c r="M1238" i="24"/>
  <c r="K1238" i="24"/>
  <c r="J1238" i="24"/>
  <c r="H1238" i="24"/>
  <c r="F1238" i="24"/>
  <c r="AG1237" i="24"/>
  <c r="AF1237" i="24"/>
  <c r="AD1237" i="24"/>
  <c r="AC1237" i="24"/>
  <c r="Z1237" i="24"/>
  <c r="X1237" i="24"/>
  <c r="T1237" i="24"/>
  <c r="S1237" i="24"/>
  <c r="R1237" i="24"/>
  <c r="P1237" i="24"/>
  <c r="N1237" i="24"/>
  <c r="M1237" i="24"/>
  <c r="K1237" i="24"/>
  <c r="J1237" i="24"/>
  <c r="H1237" i="24"/>
  <c r="F1237" i="24"/>
  <c r="AG1236" i="24"/>
  <c r="AF1236" i="24"/>
  <c r="AD1236" i="24"/>
  <c r="AC1236" i="24"/>
  <c r="Z1236" i="24"/>
  <c r="X1236" i="24"/>
  <c r="T1236" i="24"/>
  <c r="S1236" i="24"/>
  <c r="R1236" i="24"/>
  <c r="P1236" i="24"/>
  <c r="N1236" i="24"/>
  <c r="O1236" i="24" s="1"/>
  <c r="M1236" i="24"/>
  <c r="K1236" i="24"/>
  <c r="J1236" i="24"/>
  <c r="H1236" i="24"/>
  <c r="F1236" i="24"/>
  <c r="AG1235" i="24"/>
  <c r="AF1235" i="24"/>
  <c r="AD1235" i="24"/>
  <c r="AC1235" i="24"/>
  <c r="Z1235" i="24"/>
  <c r="X1235" i="24"/>
  <c r="T1235" i="24"/>
  <c r="S1235" i="24"/>
  <c r="R1235" i="24"/>
  <c r="P1235" i="24"/>
  <c r="N1235" i="24"/>
  <c r="O1235" i="24" s="1"/>
  <c r="M1235" i="24"/>
  <c r="K1235" i="24"/>
  <c r="J1235" i="24"/>
  <c r="H1235" i="24"/>
  <c r="F1235" i="24"/>
  <c r="AG1234" i="24"/>
  <c r="AF1234" i="24"/>
  <c r="AD1234" i="24"/>
  <c r="AC1234" i="24"/>
  <c r="Z1234" i="24"/>
  <c r="X1234" i="24"/>
  <c r="T1234" i="24"/>
  <c r="S1234" i="24"/>
  <c r="R1234" i="24"/>
  <c r="P1234" i="24"/>
  <c r="N1234" i="24"/>
  <c r="O1234" i="24" s="1"/>
  <c r="M1234" i="24"/>
  <c r="K1234" i="24"/>
  <c r="J1234" i="24"/>
  <c r="H1234" i="24"/>
  <c r="F1234" i="24"/>
  <c r="AG1233" i="24"/>
  <c r="AF1233" i="24"/>
  <c r="AD1233" i="24"/>
  <c r="AC1233" i="24"/>
  <c r="Z1233" i="24"/>
  <c r="X1233" i="24"/>
  <c r="T1233" i="24"/>
  <c r="S1233" i="24"/>
  <c r="R1233" i="24"/>
  <c r="P1233" i="24"/>
  <c r="N1233" i="24"/>
  <c r="O1233" i="24" s="1"/>
  <c r="M1233" i="24"/>
  <c r="K1233" i="24"/>
  <c r="J1233" i="24"/>
  <c r="H1233" i="24"/>
  <c r="F1233" i="24"/>
  <c r="AG1232" i="24"/>
  <c r="AF1232" i="24"/>
  <c r="AD1232" i="24"/>
  <c r="AC1232" i="24"/>
  <c r="Z1232" i="24"/>
  <c r="X1232" i="24"/>
  <c r="T1232" i="24"/>
  <c r="S1232" i="24"/>
  <c r="R1232" i="24"/>
  <c r="P1232" i="24"/>
  <c r="N1232" i="24"/>
  <c r="O1232" i="24" s="1"/>
  <c r="M1232" i="24"/>
  <c r="K1232" i="24"/>
  <c r="J1232" i="24"/>
  <c r="H1232" i="24"/>
  <c r="F1232" i="24"/>
  <c r="AG1231" i="24"/>
  <c r="AF1231" i="24"/>
  <c r="AD1231" i="24"/>
  <c r="AC1231" i="24"/>
  <c r="AB1231" i="24"/>
  <c r="Z1231" i="24"/>
  <c r="X1231" i="24"/>
  <c r="T1231" i="24"/>
  <c r="S1231" i="24"/>
  <c r="R1231" i="24"/>
  <c r="P1231" i="24"/>
  <c r="N1231" i="24"/>
  <c r="O1231" i="24" s="1"/>
  <c r="M1231" i="24"/>
  <c r="K1231" i="24"/>
  <c r="J1231" i="24"/>
  <c r="H1231" i="24"/>
  <c r="F1231" i="24"/>
  <c r="AG1230" i="24"/>
  <c r="AF1230" i="24"/>
  <c r="AD1230" i="24"/>
  <c r="AC1230" i="24"/>
  <c r="Z1230" i="24"/>
  <c r="X1230" i="24"/>
  <c r="T1230" i="24"/>
  <c r="S1230" i="24"/>
  <c r="R1230" i="24"/>
  <c r="P1230" i="24"/>
  <c r="N1230" i="24"/>
  <c r="O1230" i="24" s="1"/>
  <c r="M1230" i="24"/>
  <c r="K1230" i="24"/>
  <c r="J1230" i="24"/>
  <c r="H1230" i="24"/>
  <c r="F1230" i="24"/>
  <c r="AG1229" i="24"/>
  <c r="AF1229" i="24"/>
  <c r="AD1229" i="24"/>
  <c r="AC1229" i="24"/>
  <c r="Z1229" i="24"/>
  <c r="X1229" i="24"/>
  <c r="T1229" i="24"/>
  <c r="S1229" i="24"/>
  <c r="R1229" i="24"/>
  <c r="P1229" i="24"/>
  <c r="N1229" i="24"/>
  <c r="O1229" i="24" s="1"/>
  <c r="M1229" i="24"/>
  <c r="K1229" i="24"/>
  <c r="J1229" i="24"/>
  <c r="H1229" i="24"/>
  <c r="F1229" i="24"/>
  <c r="AG1228" i="24"/>
  <c r="AF1228" i="24"/>
  <c r="AD1228" i="24"/>
  <c r="AC1228" i="24"/>
  <c r="Z1228" i="24"/>
  <c r="X1228" i="24"/>
  <c r="T1228" i="24"/>
  <c r="S1228" i="24"/>
  <c r="R1228" i="24"/>
  <c r="P1228" i="24"/>
  <c r="N1228" i="24"/>
  <c r="O1228" i="24" s="1"/>
  <c r="M1228" i="24"/>
  <c r="K1228" i="24"/>
  <c r="J1228" i="24"/>
  <c r="H1228" i="24"/>
  <c r="F1228" i="24"/>
  <c r="AG1227" i="24"/>
  <c r="AF1227" i="24"/>
  <c r="AD1227" i="24"/>
  <c r="AC1227" i="24"/>
  <c r="Z1227" i="24"/>
  <c r="X1227" i="24"/>
  <c r="T1227" i="24"/>
  <c r="S1227" i="24"/>
  <c r="R1227" i="24"/>
  <c r="P1227" i="24"/>
  <c r="N1227" i="24"/>
  <c r="O1227" i="24" s="1"/>
  <c r="M1227" i="24"/>
  <c r="K1227" i="24"/>
  <c r="J1227" i="24"/>
  <c r="H1227" i="24"/>
  <c r="F1227" i="24"/>
  <c r="AG1226" i="24"/>
  <c r="AF1226" i="24"/>
  <c r="AD1226" i="24"/>
  <c r="AC1226" i="24"/>
  <c r="AB1226" i="24"/>
  <c r="Z1226" i="24"/>
  <c r="X1226" i="24"/>
  <c r="T1226" i="24"/>
  <c r="S1226" i="24"/>
  <c r="R1226" i="24"/>
  <c r="P1226" i="24"/>
  <c r="N1226" i="24"/>
  <c r="M1226" i="24"/>
  <c r="K1226" i="24"/>
  <c r="J1226" i="24"/>
  <c r="H1226" i="24"/>
  <c r="F1226" i="24"/>
  <c r="AG1225" i="24"/>
  <c r="AF1225" i="24"/>
  <c r="AD1225" i="24"/>
  <c r="AC1225" i="24"/>
  <c r="Z1225" i="24"/>
  <c r="X1225" i="24"/>
  <c r="T1342" i="24"/>
  <c r="S1342" i="24"/>
  <c r="R1342" i="24"/>
  <c r="P1342" i="24"/>
  <c r="N1342" i="24"/>
  <c r="O1342" i="24" s="1"/>
  <c r="M1342" i="24"/>
  <c r="K1342" i="24"/>
  <c r="J1342" i="24"/>
  <c r="H1342" i="24"/>
  <c r="F1342" i="24"/>
  <c r="AG1224" i="24"/>
  <c r="AF1224" i="24"/>
  <c r="AD1224" i="24"/>
  <c r="AC1224" i="24"/>
  <c r="Z1224" i="24"/>
  <c r="X1224" i="24"/>
  <c r="T1224" i="24"/>
  <c r="S1224" i="24"/>
  <c r="R1224" i="24"/>
  <c r="P1224" i="24"/>
  <c r="N1224" i="24"/>
  <c r="O1224" i="24" s="1"/>
  <c r="M1224" i="24"/>
  <c r="K1224" i="24"/>
  <c r="J1224" i="24"/>
  <c r="H1224" i="24"/>
  <c r="F1224" i="24"/>
  <c r="AG1223" i="24"/>
  <c r="AF1223" i="24"/>
  <c r="AD1223" i="24"/>
  <c r="AC1223" i="24"/>
  <c r="Z1223" i="24"/>
  <c r="X1223" i="24"/>
  <c r="T1223" i="24"/>
  <c r="S1223" i="24"/>
  <c r="R1223" i="24"/>
  <c r="P1223" i="24"/>
  <c r="N1223" i="24"/>
  <c r="O1223" i="24" s="1"/>
  <c r="M1223" i="24"/>
  <c r="K1223" i="24"/>
  <c r="J1223" i="24"/>
  <c r="H1223" i="24"/>
  <c r="F1223" i="24"/>
  <c r="AG1222" i="24"/>
  <c r="AF1222" i="24"/>
  <c r="AD1222" i="24"/>
  <c r="AC1222" i="24"/>
  <c r="Z1222" i="24"/>
  <c r="X1222" i="24"/>
  <c r="T1222" i="24"/>
  <c r="S1222" i="24"/>
  <c r="R1222" i="24"/>
  <c r="P1222" i="24"/>
  <c r="N1222" i="24"/>
  <c r="M1222" i="24"/>
  <c r="K1222" i="24"/>
  <c r="J1222" i="24"/>
  <c r="H1222" i="24"/>
  <c r="F1222" i="24"/>
  <c r="AG1221" i="24"/>
  <c r="AF1221" i="24"/>
  <c r="AD1221" i="24"/>
  <c r="AC1221" i="24"/>
  <c r="Z1221" i="24"/>
  <c r="X1221" i="24"/>
  <c r="T1221" i="24"/>
  <c r="S1221" i="24"/>
  <c r="R1221" i="24"/>
  <c r="P1221" i="24"/>
  <c r="N1221" i="24"/>
  <c r="M1221" i="24"/>
  <c r="K1221" i="24"/>
  <c r="J1221" i="24"/>
  <c r="H1221" i="24"/>
  <c r="F1221" i="24"/>
  <c r="AG1220" i="24"/>
  <c r="AF1220" i="24"/>
  <c r="AD1220" i="24"/>
  <c r="AC1220" i="24"/>
  <c r="Z1220" i="24"/>
  <c r="X1220" i="24"/>
  <c r="T1220" i="24"/>
  <c r="S1220" i="24"/>
  <c r="R1220" i="24"/>
  <c r="P1220" i="24"/>
  <c r="N1220" i="24"/>
  <c r="O1220" i="24" s="1"/>
  <c r="M1220" i="24"/>
  <c r="K1220" i="24"/>
  <c r="J1220" i="24"/>
  <c r="H1220" i="24"/>
  <c r="F1220" i="24"/>
  <c r="AG1219" i="24"/>
  <c r="AF1219" i="24"/>
  <c r="AD1219" i="24"/>
  <c r="AC1219" i="24"/>
  <c r="Z1219" i="24"/>
  <c r="X1219" i="24"/>
  <c r="T1219" i="24"/>
  <c r="S1219" i="24"/>
  <c r="R1219" i="24"/>
  <c r="P1219" i="24"/>
  <c r="N1219" i="24"/>
  <c r="M1219" i="24"/>
  <c r="K1219" i="24"/>
  <c r="J1219" i="24"/>
  <c r="H1219" i="24"/>
  <c r="F1219" i="24"/>
  <c r="AG1218" i="24"/>
  <c r="AF1218" i="24"/>
  <c r="AD1218" i="24"/>
  <c r="AC1218" i="24"/>
  <c r="Z1218" i="24"/>
  <c r="X1218" i="24"/>
  <c r="T1218" i="24"/>
  <c r="S1218" i="24"/>
  <c r="R1218" i="24"/>
  <c r="P1218" i="24"/>
  <c r="N1218" i="24"/>
  <c r="O1218" i="24" s="1"/>
  <c r="M1218" i="24"/>
  <c r="K1218" i="24"/>
  <c r="J1218" i="24"/>
  <c r="H1218" i="24"/>
  <c r="F1218" i="24"/>
  <c r="AG1217" i="24"/>
  <c r="AF1217" i="24"/>
  <c r="AD1217" i="24"/>
  <c r="AC1217" i="24"/>
  <c r="Z1217" i="24"/>
  <c r="X1217" i="24"/>
  <c r="T1217" i="24"/>
  <c r="S1217" i="24"/>
  <c r="R1217" i="24"/>
  <c r="P1217" i="24"/>
  <c r="N1217" i="24"/>
  <c r="O1217" i="24" s="1"/>
  <c r="M1217" i="24"/>
  <c r="K1217" i="24"/>
  <c r="J1217" i="24"/>
  <c r="H1217" i="24"/>
  <c r="F1217" i="24"/>
  <c r="AG1216" i="24"/>
  <c r="AF1216" i="24"/>
  <c r="AD1216" i="24"/>
  <c r="AC1216" i="24"/>
  <c r="Z1216" i="24"/>
  <c r="X1216" i="24"/>
  <c r="T1216" i="24"/>
  <c r="S1216" i="24"/>
  <c r="R1216" i="24"/>
  <c r="P1216" i="24"/>
  <c r="N1216" i="24"/>
  <c r="O1216" i="24" s="1"/>
  <c r="M1216" i="24"/>
  <c r="K1216" i="24"/>
  <c r="J1216" i="24"/>
  <c r="H1216" i="24"/>
  <c r="F1216" i="24"/>
  <c r="AG1215" i="24"/>
  <c r="AF1215" i="24"/>
  <c r="AD1215" i="24"/>
  <c r="AC1215" i="24"/>
  <c r="Z1215" i="24"/>
  <c r="X1215" i="24"/>
  <c r="T1215" i="24"/>
  <c r="S1215" i="24"/>
  <c r="R1215" i="24"/>
  <c r="P1215" i="24"/>
  <c r="N1215" i="24"/>
  <c r="M1215" i="24"/>
  <c r="K1215" i="24"/>
  <c r="J1215" i="24"/>
  <c r="H1215" i="24"/>
  <c r="F1215" i="24"/>
  <c r="AG1214" i="24"/>
  <c r="AF1214" i="24"/>
  <c r="AD1214" i="24"/>
  <c r="AC1214" i="24"/>
  <c r="Z1214" i="24"/>
  <c r="X1214" i="24"/>
  <c r="T1214" i="24"/>
  <c r="S1214" i="24"/>
  <c r="R1214" i="24"/>
  <c r="P1214" i="24"/>
  <c r="N1214" i="24"/>
  <c r="O1214" i="24" s="1"/>
  <c r="M1214" i="24"/>
  <c r="K1214" i="24"/>
  <c r="J1214" i="24"/>
  <c r="H1214" i="24"/>
  <c r="F1214" i="24"/>
  <c r="AG1213" i="24"/>
  <c r="AF1213" i="24"/>
  <c r="AD1213" i="24"/>
  <c r="AC1213" i="24"/>
  <c r="Z1213" i="24"/>
  <c r="X1213" i="24"/>
  <c r="T1213" i="24"/>
  <c r="S1213" i="24"/>
  <c r="R1213" i="24"/>
  <c r="P1213" i="24"/>
  <c r="N1213" i="24"/>
  <c r="M1213" i="24"/>
  <c r="K1213" i="24"/>
  <c r="J1213" i="24"/>
  <c r="H1213" i="24"/>
  <c r="F1213" i="24"/>
  <c r="AG1212" i="24"/>
  <c r="AF1212" i="24"/>
  <c r="AD1212" i="24"/>
  <c r="AC1212" i="24"/>
  <c r="Z1212" i="24"/>
  <c r="X1212" i="24"/>
  <c r="T1212" i="24"/>
  <c r="S1212" i="24"/>
  <c r="R1212" i="24"/>
  <c r="P1212" i="24"/>
  <c r="N1212" i="24"/>
  <c r="O1212" i="24" s="1"/>
  <c r="M1212" i="24"/>
  <c r="K1212" i="24"/>
  <c r="J1212" i="24"/>
  <c r="H1212" i="24"/>
  <c r="F1212" i="24"/>
  <c r="AG1211" i="24"/>
  <c r="AF1211" i="24"/>
  <c r="AD1211" i="24"/>
  <c r="AC1211" i="24"/>
  <c r="Z1211" i="24"/>
  <c r="X1211" i="24"/>
  <c r="T1211" i="24"/>
  <c r="S1211" i="24"/>
  <c r="R1211" i="24"/>
  <c r="P1211" i="24"/>
  <c r="N1211" i="24"/>
  <c r="O1211" i="24" s="1"/>
  <c r="M1211" i="24"/>
  <c r="K1211" i="24"/>
  <c r="J1211" i="24"/>
  <c r="H1211" i="24"/>
  <c r="F1211" i="24"/>
  <c r="AG1210" i="24"/>
  <c r="AF1210" i="24"/>
  <c r="AD1210" i="24"/>
  <c r="AC1210" i="24"/>
  <c r="Z1210" i="24"/>
  <c r="X1210" i="24"/>
  <c r="T1210" i="24"/>
  <c r="S1210" i="24"/>
  <c r="R1210" i="24"/>
  <c r="P1210" i="24"/>
  <c r="N1210" i="24"/>
  <c r="O1210" i="24" s="1"/>
  <c r="M1210" i="24"/>
  <c r="K1210" i="24"/>
  <c r="J1210" i="24"/>
  <c r="H1210" i="24"/>
  <c r="F1210" i="24"/>
  <c r="AG1209" i="24"/>
  <c r="AF1209" i="24"/>
  <c r="AD1209" i="24"/>
  <c r="AC1209" i="24"/>
  <c r="Z1209" i="24"/>
  <c r="X1209" i="24"/>
  <c r="T1209" i="24"/>
  <c r="S1209" i="24"/>
  <c r="R1209" i="24"/>
  <c r="P1209" i="24"/>
  <c r="N1209" i="24"/>
  <c r="O1209" i="24" s="1"/>
  <c r="M1209" i="24"/>
  <c r="K1209" i="24"/>
  <c r="J1209" i="24"/>
  <c r="H1209" i="24"/>
  <c r="F1209" i="24"/>
  <c r="AG1208" i="24"/>
  <c r="AF1208" i="24"/>
  <c r="AD1208" i="24"/>
  <c r="AC1208" i="24"/>
  <c r="Z1208" i="24"/>
  <c r="X1208" i="24"/>
  <c r="T1208" i="24"/>
  <c r="S1208" i="24"/>
  <c r="R1208" i="24"/>
  <c r="P1208" i="24"/>
  <c r="N1208" i="24"/>
  <c r="M1208" i="24"/>
  <c r="K1208" i="24"/>
  <c r="J1208" i="24"/>
  <c r="H1208" i="24"/>
  <c r="F1208" i="24"/>
  <c r="AG1207" i="24"/>
  <c r="AF1207" i="24"/>
  <c r="AD1207" i="24"/>
  <c r="AC1207" i="24"/>
  <c r="Z1207" i="24"/>
  <c r="X1207" i="24"/>
  <c r="T1207" i="24"/>
  <c r="S1207" i="24"/>
  <c r="R1207" i="24"/>
  <c r="P1207" i="24"/>
  <c r="N1207" i="24"/>
  <c r="M1207" i="24"/>
  <c r="K1207" i="24"/>
  <c r="J1207" i="24"/>
  <c r="H1207" i="24"/>
  <c r="F1207" i="24"/>
  <c r="AG1206" i="24"/>
  <c r="AF1206" i="24"/>
  <c r="AD1206" i="24"/>
  <c r="AC1206" i="24"/>
  <c r="Z1206" i="24"/>
  <c r="X1206" i="24"/>
  <c r="T1206" i="24"/>
  <c r="S1206" i="24"/>
  <c r="R1206" i="24"/>
  <c r="P1206" i="24"/>
  <c r="N1206" i="24"/>
  <c r="O1206" i="24" s="1"/>
  <c r="M1206" i="24"/>
  <c r="K1206" i="24"/>
  <c r="J1206" i="24"/>
  <c r="H1206" i="24"/>
  <c r="F1206" i="24"/>
  <c r="AG1205" i="24"/>
  <c r="AF1205" i="24"/>
  <c r="AD1205" i="24"/>
  <c r="AC1205" i="24"/>
  <c r="Z1205" i="24"/>
  <c r="X1205" i="24"/>
  <c r="T1205" i="24"/>
  <c r="S1205" i="24"/>
  <c r="R1205" i="24"/>
  <c r="P1205" i="24"/>
  <c r="N1205" i="24"/>
  <c r="O1205" i="24" s="1"/>
  <c r="M1205" i="24"/>
  <c r="K1205" i="24"/>
  <c r="J1205" i="24"/>
  <c r="H1205" i="24"/>
  <c r="F1205" i="24"/>
  <c r="AG1204" i="24"/>
  <c r="AF1204" i="24"/>
  <c r="AD1204" i="24"/>
  <c r="AC1204" i="24"/>
  <c r="Z1204" i="24"/>
  <c r="X1204" i="24"/>
  <c r="T1204" i="24"/>
  <c r="S1204" i="24"/>
  <c r="R1204" i="24"/>
  <c r="P1204" i="24"/>
  <c r="N1204" i="24"/>
  <c r="O1204" i="24" s="1"/>
  <c r="M1204" i="24"/>
  <c r="K1204" i="24"/>
  <c r="J1204" i="24"/>
  <c r="H1204" i="24"/>
  <c r="F1204" i="24"/>
  <c r="AG1203" i="24"/>
  <c r="AF1203" i="24"/>
  <c r="AD1203" i="24"/>
  <c r="AC1203" i="24"/>
  <c r="Z1203" i="24"/>
  <c r="X1203" i="24"/>
  <c r="T1203" i="24"/>
  <c r="S1203" i="24"/>
  <c r="R1203" i="24"/>
  <c r="P1203" i="24"/>
  <c r="N1203" i="24"/>
  <c r="O1203" i="24" s="1"/>
  <c r="M1203" i="24"/>
  <c r="K1203" i="24"/>
  <c r="J1203" i="24"/>
  <c r="H1203" i="24"/>
  <c r="F1203" i="24"/>
  <c r="AG1202" i="24"/>
  <c r="AF1202" i="24"/>
  <c r="AD1202" i="24"/>
  <c r="AC1202" i="24"/>
  <c r="Z1202" i="24"/>
  <c r="X1202" i="24"/>
  <c r="T1202" i="24"/>
  <c r="S1202" i="24"/>
  <c r="R1202" i="24"/>
  <c r="P1202" i="24"/>
  <c r="N1202" i="24"/>
  <c r="M1202" i="24"/>
  <c r="K1202" i="24"/>
  <c r="J1202" i="24"/>
  <c r="H1202" i="24"/>
  <c r="F1202" i="24"/>
  <c r="AG1201" i="24"/>
  <c r="AF1201" i="24"/>
  <c r="AD1201" i="24"/>
  <c r="AC1201" i="24"/>
  <c r="Z1201" i="24"/>
  <c r="X1201" i="24"/>
  <c r="T1201" i="24"/>
  <c r="S1201" i="24"/>
  <c r="R1201" i="24"/>
  <c r="P1201" i="24"/>
  <c r="N1201" i="24"/>
  <c r="O1201" i="24" s="1"/>
  <c r="M1201" i="24"/>
  <c r="K1201" i="24"/>
  <c r="J1201" i="24"/>
  <c r="H1201" i="24"/>
  <c r="F1201" i="24"/>
  <c r="AG1200" i="24"/>
  <c r="AF1200" i="24"/>
  <c r="AD1200" i="24"/>
  <c r="AC1200" i="24"/>
  <c r="Z1200" i="24"/>
  <c r="X1200" i="24"/>
  <c r="T1200" i="24"/>
  <c r="S1200" i="24"/>
  <c r="R1200" i="24"/>
  <c r="P1200" i="24"/>
  <c r="N1200" i="24"/>
  <c r="M1200" i="24"/>
  <c r="K1200" i="24"/>
  <c r="J1200" i="24"/>
  <c r="H1200" i="24"/>
  <c r="F1200" i="24"/>
  <c r="AG1199" i="24"/>
  <c r="AF1199" i="24"/>
  <c r="AD1199" i="24"/>
  <c r="AC1199" i="24"/>
  <c r="Z1199" i="24"/>
  <c r="X1199" i="24"/>
  <c r="T1199" i="24"/>
  <c r="S1199" i="24"/>
  <c r="R1199" i="24"/>
  <c r="P1199" i="24"/>
  <c r="N1199" i="24"/>
  <c r="O1199" i="24" s="1"/>
  <c r="M1199" i="24"/>
  <c r="K1199" i="24"/>
  <c r="J1199" i="24"/>
  <c r="H1199" i="24"/>
  <c r="F1199" i="24"/>
  <c r="AG1198" i="24"/>
  <c r="AF1198" i="24"/>
  <c r="AD1198" i="24"/>
  <c r="AC1198" i="24"/>
  <c r="Z1198" i="24"/>
  <c r="X1198" i="24"/>
  <c r="T1198" i="24"/>
  <c r="S1198" i="24"/>
  <c r="R1198" i="24"/>
  <c r="P1198" i="24"/>
  <c r="N1198" i="24"/>
  <c r="O1198" i="24" s="1"/>
  <c r="M1198" i="24"/>
  <c r="K1198" i="24"/>
  <c r="J1198" i="24"/>
  <c r="H1198" i="24"/>
  <c r="F1198" i="24"/>
  <c r="AG1197" i="24"/>
  <c r="AF1197" i="24"/>
  <c r="AD1197" i="24"/>
  <c r="AC1197" i="24"/>
  <c r="Z1197" i="24"/>
  <c r="X1197" i="24"/>
  <c r="T1197" i="24"/>
  <c r="S1197" i="24"/>
  <c r="R1197" i="24"/>
  <c r="P1197" i="24"/>
  <c r="N1197" i="24"/>
  <c r="M1197" i="24"/>
  <c r="K1197" i="24"/>
  <c r="J1197" i="24"/>
  <c r="H1197" i="24"/>
  <c r="F1197" i="24"/>
  <c r="AG1196" i="24"/>
  <c r="AF1196" i="24"/>
  <c r="AD1196" i="24"/>
  <c r="AC1196" i="24"/>
  <c r="Z1196" i="24"/>
  <c r="X1196" i="24"/>
  <c r="T1196" i="24"/>
  <c r="S1196" i="24"/>
  <c r="R1196" i="24"/>
  <c r="P1196" i="24"/>
  <c r="N1196" i="24"/>
  <c r="O1196" i="24" s="1"/>
  <c r="M1196" i="24"/>
  <c r="K1196" i="24"/>
  <c r="J1196" i="24"/>
  <c r="H1196" i="24"/>
  <c r="F1196" i="24"/>
  <c r="AG1195" i="24"/>
  <c r="AF1195" i="24"/>
  <c r="AD1195" i="24"/>
  <c r="AC1195" i="24"/>
  <c r="Z1195" i="24"/>
  <c r="X1195" i="24"/>
  <c r="T1195" i="24"/>
  <c r="S1195" i="24"/>
  <c r="R1195" i="24"/>
  <c r="P1195" i="24"/>
  <c r="N1195" i="24"/>
  <c r="O1195" i="24" s="1"/>
  <c r="M1195" i="24"/>
  <c r="K1195" i="24"/>
  <c r="J1195" i="24"/>
  <c r="H1195" i="24"/>
  <c r="F1195" i="24"/>
  <c r="AG1194" i="24"/>
  <c r="AF1194" i="24"/>
  <c r="AD1194" i="24"/>
  <c r="AC1194" i="24"/>
  <c r="Z1194" i="24"/>
  <c r="X1194" i="24"/>
  <c r="T1194" i="24"/>
  <c r="S1194" i="24"/>
  <c r="R1194" i="24"/>
  <c r="P1194" i="24"/>
  <c r="N1194" i="24"/>
  <c r="O1194" i="24" s="1"/>
  <c r="M1194" i="24"/>
  <c r="K1194" i="24"/>
  <c r="J1194" i="24"/>
  <c r="H1194" i="24"/>
  <c r="F1194" i="24"/>
  <c r="AG1193" i="24"/>
  <c r="AF1193" i="24"/>
  <c r="AD1193" i="24"/>
  <c r="AC1193" i="24"/>
  <c r="Z1193" i="24"/>
  <c r="X1193" i="24"/>
  <c r="T1193" i="24"/>
  <c r="S1193" i="24"/>
  <c r="R1193" i="24"/>
  <c r="P1193" i="24"/>
  <c r="N1193" i="24"/>
  <c r="M1193" i="24"/>
  <c r="K1193" i="24"/>
  <c r="J1193" i="24"/>
  <c r="H1193" i="24"/>
  <c r="F1193" i="24"/>
  <c r="AG1192" i="24"/>
  <c r="AF1192" i="24"/>
  <c r="AD1192" i="24"/>
  <c r="AC1192" i="24"/>
  <c r="Z1192" i="24"/>
  <c r="X1192" i="24"/>
  <c r="T1192" i="24"/>
  <c r="S1192" i="24"/>
  <c r="R1192" i="24"/>
  <c r="P1192" i="24"/>
  <c r="N1192" i="24"/>
  <c r="O1192" i="24" s="1"/>
  <c r="M1192" i="24"/>
  <c r="K1192" i="24"/>
  <c r="J1192" i="24"/>
  <c r="H1192" i="24"/>
  <c r="F1192" i="24"/>
  <c r="AG1191" i="24"/>
  <c r="AF1191" i="24"/>
  <c r="AD1191" i="24"/>
  <c r="AC1191" i="24"/>
  <c r="Z1191" i="24"/>
  <c r="X1191" i="24"/>
  <c r="T1191" i="24"/>
  <c r="S1191" i="24"/>
  <c r="R1191" i="24"/>
  <c r="P1191" i="24"/>
  <c r="N1191" i="24"/>
  <c r="O1191" i="24" s="1"/>
  <c r="M1191" i="24"/>
  <c r="K1191" i="24"/>
  <c r="J1191" i="24"/>
  <c r="H1191" i="24"/>
  <c r="F1191" i="24"/>
  <c r="AG1190" i="24"/>
  <c r="AF1190" i="24"/>
  <c r="AD1190" i="24"/>
  <c r="AC1190" i="24"/>
  <c r="Z1190" i="24"/>
  <c r="X1190" i="24"/>
  <c r="T1190" i="24"/>
  <c r="S1190" i="24"/>
  <c r="R1190" i="24"/>
  <c r="P1190" i="24"/>
  <c r="N1190" i="24"/>
  <c r="O1190" i="24" s="1"/>
  <c r="M1190" i="24"/>
  <c r="K1190" i="24"/>
  <c r="J1190" i="24"/>
  <c r="H1190" i="24"/>
  <c r="F1190" i="24"/>
  <c r="AG1189" i="24"/>
  <c r="AF1189" i="24"/>
  <c r="AD1189" i="24"/>
  <c r="AC1189" i="24"/>
  <c r="Z1189" i="24"/>
  <c r="X1189" i="24"/>
  <c r="T1189" i="24"/>
  <c r="S1189" i="24"/>
  <c r="R1189" i="24"/>
  <c r="P1189" i="24"/>
  <c r="N1189" i="24"/>
  <c r="M1189" i="24"/>
  <c r="K1189" i="24"/>
  <c r="J1189" i="24"/>
  <c r="H1189" i="24"/>
  <c r="F1189" i="24"/>
  <c r="AG1188" i="24"/>
  <c r="AF1188" i="24"/>
  <c r="AD1188" i="24"/>
  <c r="AC1188" i="24"/>
  <c r="Z1188" i="24"/>
  <c r="X1188" i="24"/>
  <c r="T1188" i="24"/>
  <c r="S1188" i="24"/>
  <c r="R1188" i="24"/>
  <c r="P1188" i="24"/>
  <c r="N1188" i="24"/>
  <c r="O1188" i="24" s="1"/>
  <c r="M1188" i="24"/>
  <c r="K1188" i="24"/>
  <c r="J1188" i="24"/>
  <c r="H1188" i="24"/>
  <c r="F1188" i="24"/>
  <c r="AG1187" i="24"/>
  <c r="AF1187" i="24"/>
  <c r="AD1187" i="24"/>
  <c r="AC1187" i="24"/>
  <c r="Z1187" i="24"/>
  <c r="X1187" i="24"/>
  <c r="T1187" i="24"/>
  <c r="S1187" i="24"/>
  <c r="R1187" i="24"/>
  <c r="P1187" i="24"/>
  <c r="N1187" i="24"/>
  <c r="O1187" i="24" s="1"/>
  <c r="M1187" i="24"/>
  <c r="K1187" i="24"/>
  <c r="J1187" i="24"/>
  <c r="H1187" i="24"/>
  <c r="F1187" i="24"/>
  <c r="AG1186" i="24"/>
  <c r="AF1186" i="24"/>
  <c r="AD1186" i="24"/>
  <c r="AC1186" i="24"/>
  <c r="Z1186" i="24"/>
  <c r="X1186" i="24"/>
  <c r="T1186" i="24"/>
  <c r="S1186" i="24"/>
  <c r="R1186" i="24"/>
  <c r="P1186" i="24"/>
  <c r="N1186" i="24"/>
  <c r="O1186" i="24" s="1"/>
  <c r="M1186" i="24"/>
  <c r="K1186" i="24"/>
  <c r="J1186" i="24"/>
  <c r="H1186" i="24"/>
  <c r="F1186" i="24"/>
  <c r="AG1185" i="24"/>
  <c r="AF1185" i="24"/>
  <c r="AD1185" i="24"/>
  <c r="AC1185" i="24"/>
  <c r="Z1185" i="24"/>
  <c r="X1185" i="24"/>
  <c r="T1185" i="24"/>
  <c r="S1185" i="24"/>
  <c r="R1185" i="24"/>
  <c r="P1185" i="24"/>
  <c r="N1185" i="24"/>
  <c r="M1185" i="24"/>
  <c r="K1185" i="24"/>
  <c r="J1185" i="24"/>
  <c r="H1185" i="24"/>
  <c r="F1185" i="24"/>
  <c r="AG1184" i="24"/>
  <c r="AF1184" i="24"/>
  <c r="AD1184" i="24"/>
  <c r="AC1184" i="24"/>
  <c r="Z1184" i="24"/>
  <c r="X1184" i="24"/>
  <c r="T1184" i="24"/>
  <c r="S1184" i="24"/>
  <c r="R1184" i="24"/>
  <c r="P1184" i="24"/>
  <c r="N1184" i="24"/>
  <c r="O1184" i="24" s="1"/>
  <c r="M1184" i="24"/>
  <c r="K1184" i="24"/>
  <c r="J1184" i="24"/>
  <c r="H1184" i="24"/>
  <c r="F1184" i="24"/>
  <c r="AG1183" i="24"/>
  <c r="AF1183" i="24"/>
  <c r="AD1183" i="24"/>
  <c r="AC1183" i="24"/>
  <c r="Z1183" i="24"/>
  <c r="X1183" i="24"/>
  <c r="T1183" i="24"/>
  <c r="S1183" i="24"/>
  <c r="R1183" i="24"/>
  <c r="P1183" i="24"/>
  <c r="N1183" i="24"/>
  <c r="O1183" i="24" s="1"/>
  <c r="M1183" i="24"/>
  <c r="K1183" i="24"/>
  <c r="J1183" i="24"/>
  <c r="H1183" i="24"/>
  <c r="F1183" i="24"/>
  <c r="AG1182" i="24"/>
  <c r="AF1182" i="24"/>
  <c r="AD1182" i="24"/>
  <c r="AC1182" i="24"/>
  <c r="Z1182" i="24"/>
  <c r="X1182" i="24"/>
  <c r="T1182" i="24"/>
  <c r="S1182" i="24"/>
  <c r="R1182" i="24"/>
  <c r="P1182" i="24"/>
  <c r="N1182" i="24"/>
  <c r="M1182" i="24"/>
  <c r="K1182" i="24"/>
  <c r="J1182" i="24"/>
  <c r="H1182" i="24"/>
  <c r="F1182" i="24"/>
  <c r="AG1181" i="24"/>
  <c r="AF1181" i="24"/>
  <c r="AD1181" i="24"/>
  <c r="AC1181" i="24"/>
  <c r="Z1181" i="24"/>
  <c r="X1181" i="24"/>
  <c r="T1181" i="24"/>
  <c r="S1181" i="24"/>
  <c r="R1181" i="24"/>
  <c r="P1181" i="24"/>
  <c r="N1181" i="24"/>
  <c r="M1181" i="24"/>
  <c r="K1181" i="24"/>
  <c r="J1181" i="24"/>
  <c r="H1181" i="24"/>
  <c r="F1181" i="24"/>
  <c r="AG1180" i="24"/>
  <c r="AF1180" i="24"/>
  <c r="AD1180" i="24"/>
  <c r="AC1180" i="24"/>
  <c r="Z1180" i="24"/>
  <c r="X1180" i="24"/>
  <c r="T1180" i="24"/>
  <c r="S1180" i="24"/>
  <c r="R1180" i="24"/>
  <c r="P1180" i="24"/>
  <c r="N1180" i="24"/>
  <c r="M1180" i="24"/>
  <c r="K1180" i="24"/>
  <c r="J1180" i="24"/>
  <c r="H1180" i="24"/>
  <c r="F1180" i="24"/>
  <c r="AG1179" i="24"/>
  <c r="AF1179" i="24"/>
  <c r="AD1179" i="24"/>
  <c r="AC1179" i="24"/>
  <c r="Z1179" i="24"/>
  <c r="X1179" i="24"/>
  <c r="T1179" i="24"/>
  <c r="S1179" i="24"/>
  <c r="R1179" i="24"/>
  <c r="P1179" i="24"/>
  <c r="N1179" i="24"/>
  <c r="O1179" i="24" s="1"/>
  <c r="M1179" i="24"/>
  <c r="K1179" i="24"/>
  <c r="J1179" i="24"/>
  <c r="H1179" i="24"/>
  <c r="F1179" i="24"/>
  <c r="AG1178" i="24"/>
  <c r="AF1178" i="24"/>
  <c r="AD1178" i="24"/>
  <c r="AC1178" i="24"/>
  <c r="Z1178" i="24"/>
  <c r="X1178" i="24"/>
  <c r="T1178" i="24"/>
  <c r="S1178" i="24"/>
  <c r="R1178" i="24"/>
  <c r="P1178" i="24"/>
  <c r="N1178" i="24"/>
  <c r="M1178" i="24"/>
  <c r="K1178" i="24"/>
  <c r="J1178" i="24"/>
  <c r="H1178" i="24"/>
  <c r="F1178" i="24"/>
  <c r="AG1177" i="24"/>
  <c r="AF1177" i="24"/>
  <c r="AD1177" i="24"/>
  <c r="AC1177" i="24"/>
  <c r="Z1177" i="24"/>
  <c r="X1177" i="24"/>
  <c r="T1177" i="24"/>
  <c r="S1177" i="24"/>
  <c r="R1177" i="24"/>
  <c r="P1177" i="24"/>
  <c r="N1177" i="24"/>
  <c r="M1177" i="24"/>
  <c r="K1177" i="24"/>
  <c r="J1177" i="24"/>
  <c r="H1177" i="24"/>
  <c r="F1177" i="24"/>
  <c r="AG1176" i="24"/>
  <c r="AF1176" i="24"/>
  <c r="AD1176" i="24"/>
  <c r="AC1176" i="24"/>
  <c r="AB1176" i="24"/>
  <c r="Z1176" i="24"/>
  <c r="X1176" i="24"/>
  <c r="T1176" i="24"/>
  <c r="S1176" i="24"/>
  <c r="R1176" i="24"/>
  <c r="P1176" i="24"/>
  <c r="N1176" i="24"/>
  <c r="AA1176" i="24" s="1"/>
  <c r="M1176" i="24"/>
  <c r="K1176" i="24"/>
  <c r="J1176" i="24"/>
  <c r="H1176" i="24"/>
  <c r="F1176" i="24"/>
  <c r="AG1175" i="24"/>
  <c r="AF1175" i="24"/>
  <c r="AD1175" i="24"/>
  <c r="AC1175" i="24"/>
  <c r="Z1175" i="24"/>
  <c r="X1175" i="24"/>
  <c r="T1175" i="24"/>
  <c r="S1175" i="24"/>
  <c r="R1175" i="24"/>
  <c r="P1175" i="24"/>
  <c r="N1175" i="24"/>
  <c r="O1175" i="24" s="1"/>
  <c r="M1175" i="24"/>
  <c r="K1175" i="24"/>
  <c r="J1175" i="24"/>
  <c r="H1175" i="24"/>
  <c r="F1175" i="24"/>
  <c r="AG1174" i="24"/>
  <c r="AF1174" i="24"/>
  <c r="AD1174" i="24"/>
  <c r="AC1174" i="24"/>
  <c r="Z1174" i="24"/>
  <c r="X1174" i="24"/>
  <c r="T1174" i="24"/>
  <c r="S1174" i="24"/>
  <c r="R1174" i="24"/>
  <c r="P1174" i="24"/>
  <c r="N1174" i="24"/>
  <c r="M1174" i="24"/>
  <c r="K1174" i="24"/>
  <c r="J1174" i="24"/>
  <c r="H1174" i="24"/>
  <c r="F1174" i="24"/>
  <c r="AG1173" i="24"/>
  <c r="AF1173" i="24"/>
  <c r="AD1173" i="24"/>
  <c r="AC1173" i="24"/>
  <c r="Z1173" i="24"/>
  <c r="X1173" i="24"/>
  <c r="T1173" i="24"/>
  <c r="S1173" i="24"/>
  <c r="R1173" i="24"/>
  <c r="P1173" i="24"/>
  <c r="N1173" i="24"/>
  <c r="O1173" i="24" s="1"/>
  <c r="M1173" i="24"/>
  <c r="K1173" i="24"/>
  <c r="J1173" i="24"/>
  <c r="H1173" i="24"/>
  <c r="F1173" i="24"/>
  <c r="AG1172" i="24"/>
  <c r="AF1172" i="24"/>
  <c r="AD1172" i="24"/>
  <c r="AC1172" i="24"/>
  <c r="Z1172" i="24"/>
  <c r="X1172" i="24"/>
  <c r="T1172" i="24"/>
  <c r="S1172" i="24"/>
  <c r="R1172" i="24"/>
  <c r="P1172" i="24"/>
  <c r="N1172" i="24"/>
  <c r="O1172" i="24" s="1"/>
  <c r="M1172" i="24"/>
  <c r="K1172" i="24"/>
  <c r="J1172" i="24"/>
  <c r="H1172" i="24"/>
  <c r="F1172" i="24"/>
  <c r="AG1171" i="24"/>
  <c r="AF1171" i="24"/>
  <c r="AD1171" i="24"/>
  <c r="AC1171" i="24"/>
  <c r="Z1171" i="24"/>
  <c r="X1171" i="24"/>
  <c r="T1327" i="24"/>
  <c r="S1327" i="24"/>
  <c r="R1327" i="24"/>
  <c r="P1327" i="24"/>
  <c r="N1327" i="24"/>
  <c r="M1327" i="24"/>
  <c r="K1327" i="24"/>
  <c r="J1327" i="24"/>
  <c r="H1327" i="24"/>
  <c r="F1327" i="24"/>
  <c r="AG1170" i="24"/>
  <c r="AF1170" i="24"/>
  <c r="AD1170" i="24"/>
  <c r="AC1170" i="24"/>
  <c r="Z1170" i="24"/>
  <c r="X1170" i="24"/>
  <c r="T1170" i="24"/>
  <c r="S1170" i="24"/>
  <c r="R1170" i="24"/>
  <c r="P1170" i="24"/>
  <c r="N1170" i="24"/>
  <c r="M1170" i="24"/>
  <c r="K1170" i="24"/>
  <c r="J1170" i="24"/>
  <c r="H1170" i="24"/>
  <c r="F1170" i="24"/>
  <c r="AG1169" i="24"/>
  <c r="AF1169" i="24"/>
  <c r="AD1169" i="24"/>
  <c r="AC1169" i="24"/>
  <c r="Z1169" i="24"/>
  <c r="X1169" i="24"/>
  <c r="T1169" i="24"/>
  <c r="S1169" i="24"/>
  <c r="R1169" i="24"/>
  <c r="P1169" i="24"/>
  <c r="N1169" i="24"/>
  <c r="O1169" i="24" s="1"/>
  <c r="M1169" i="24"/>
  <c r="K1169" i="24"/>
  <c r="J1169" i="24"/>
  <c r="H1169" i="24"/>
  <c r="F1169" i="24"/>
  <c r="AG1168" i="24"/>
  <c r="AF1168" i="24"/>
  <c r="AD1168" i="24"/>
  <c r="AC1168" i="24"/>
  <c r="Z1168" i="24"/>
  <c r="X1168" i="24"/>
  <c r="T1168" i="24"/>
  <c r="S1168" i="24"/>
  <c r="R1168" i="24"/>
  <c r="P1168" i="24"/>
  <c r="N1168" i="24"/>
  <c r="O1168" i="24" s="1"/>
  <c r="M1168" i="24"/>
  <c r="K1168" i="24"/>
  <c r="J1168" i="24"/>
  <c r="H1168" i="24"/>
  <c r="F1168" i="24"/>
  <c r="AG1167" i="24"/>
  <c r="AF1167" i="24"/>
  <c r="AD1167" i="24"/>
  <c r="AC1167" i="24"/>
  <c r="Z1167" i="24"/>
  <c r="X1167" i="24"/>
  <c r="T1167" i="24"/>
  <c r="S1167" i="24"/>
  <c r="R1167" i="24"/>
  <c r="P1167" i="24"/>
  <c r="N1167" i="24"/>
  <c r="O1167" i="24" s="1"/>
  <c r="M1167" i="24"/>
  <c r="K1167" i="24"/>
  <c r="J1167" i="24"/>
  <c r="H1167" i="24"/>
  <c r="F1167" i="24"/>
  <c r="AG1166" i="24"/>
  <c r="AF1166" i="24"/>
  <c r="AD1166" i="24"/>
  <c r="AC1166" i="24"/>
  <c r="Z1166" i="24"/>
  <c r="X1166" i="24"/>
  <c r="T1166" i="24"/>
  <c r="S1166" i="24"/>
  <c r="R1166" i="24"/>
  <c r="P1166" i="24"/>
  <c r="N1166" i="24"/>
  <c r="O1166" i="24" s="1"/>
  <c r="M1166" i="24"/>
  <c r="K1166" i="24"/>
  <c r="J1166" i="24"/>
  <c r="H1166" i="24"/>
  <c r="F1166" i="24"/>
  <c r="AG1165" i="24"/>
  <c r="AF1165" i="24"/>
  <c r="AD1165" i="24"/>
  <c r="AC1165" i="24"/>
  <c r="Z1165" i="24"/>
  <c r="X1165" i="24"/>
  <c r="T1165" i="24"/>
  <c r="S1165" i="24"/>
  <c r="R1165" i="24"/>
  <c r="P1165" i="24"/>
  <c r="N1165" i="24"/>
  <c r="O1165" i="24" s="1"/>
  <c r="M1165" i="24"/>
  <c r="K1165" i="24"/>
  <c r="J1165" i="24"/>
  <c r="H1165" i="24"/>
  <c r="F1165" i="24"/>
  <c r="AG1164" i="24"/>
  <c r="AF1164" i="24"/>
  <c r="AD1164" i="24"/>
  <c r="AC1164" i="24"/>
  <c r="Z1164" i="24"/>
  <c r="X1164" i="24"/>
  <c r="T1164" i="24"/>
  <c r="S1164" i="24"/>
  <c r="R1164" i="24"/>
  <c r="P1164" i="24"/>
  <c r="N1164" i="24"/>
  <c r="O1164" i="24" s="1"/>
  <c r="M1164" i="24"/>
  <c r="K1164" i="24"/>
  <c r="J1164" i="24"/>
  <c r="H1164" i="24"/>
  <c r="F1164" i="24"/>
  <c r="AG1163" i="24"/>
  <c r="AF1163" i="24"/>
  <c r="AD1163" i="24"/>
  <c r="AC1163" i="24"/>
  <c r="Z1163" i="24"/>
  <c r="X1163" i="24"/>
  <c r="T1163" i="24"/>
  <c r="S1163" i="24"/>
  <c r="R1163" i="24"/>
  <c r="P1163" i="24"/>
  <c r="N1163" i="24"/>
  <c r="O1163" i="24" s="1"/>
  <c r="M1163" i="24"/>
  <c r="K1163" i="24"/>
  <c r="J1163" i="24"/>
  <c r="H1163" i="24"/>
  <c r="F1163" i="24"/>
  <c r="AG1162" i="24"/>
  <c r="AF1162" i="24"/>
  <c r="AD1162" i="24"/>
  <c r="AC1162" i="24"/>
  <c r="Z1162" i="24"/>
  <c r="X1162" i="24"/>
  <c r="T1162" i="24"/>
  <c r="S1162" i="24"/>
  <c r="R1162" i="24"/>
  <c r="P1162" i="24"/>
  <c r="N1162" i="24"/>
  <c r="O1162" i="24" s="1"/>
  <c r="M1162" i="24"/>
  <c r="K1162" i="24"/>
  <c r="J1162" i="24"/>
  <c r="H1162" i="24"/>
  <c r="F1162" i="24"/>
  <c r="AG1161" i="24"/>
  <c r="AF1161" i="24"/>
  <c r="AD1161" i="24"/>
  <c r="AC1161" i="24"/>
  <c r="Z1161" i="24"/>
  <c r="X1161" i="24"/>
  <c r="T1161" i="24"/>
  <c r="S1161" i="24"/>
  <c r="R1161" i="24"/>
  <c r="P1161" i="24"/>
  <c r="N1161" i="24"/>
  <c r="O1161" i="24" s="1"/>
  <c r="M1161" i="24"/>
  <c r="K1161" i="24"/>
  <c r="J1161" i="24"/>
  <c r="H1161" i="24"/>
  <c r="F1161" i="24"/>
  <c r="AG1160" i="24"/>
  <c r="AF1160" i="24"/>
  <c r="AD1160" i="24"/>
  <c r="AC1160" i="24"/>
  <c r="Z1160" i="24"/>
  <c r="X1160" i="24"/>
  <c r="T1160" i="24"/>
  <c r="S1160" i="24"/>
  <c r="R1160" i="24"/>
  <c r="P1160" i="24"/>
  <c r="N1160" i="24"/>
  <c r="O1160" i="24" s="1"/>
  <c r="M1160" i="24"/>
  <c r="K1160" i="24"/>
  <c r="J1160" i="24"/>
  <c r="H1160" i="24"/>
  <c r="F1160" i="24"/>
  <c r="AG1159" i="24"/>
  <c r="AF1159" i="24"/>
  <c r="AD1159" i="24"/>
  <c r="AC1159" i="24"/>
  <c r="AB1159" i="24"/>
  <c r="Z1159" i="24"/>
  <c r="X1159" i="24"/>
  <c r="T1159" i="24"/>
  <c r="S1159" i="24"/>
  <c r="R1159" i="24"/>
  <c r="P1159" i="24"/>
  <c r="N1159" i="24"/>
  <c r="O1159" i="24" s="1"/>
  <c r="M1159" i="24"/>
  <c r="K1159" i="24"/>
  <c r="J1159" i="24"/>
  <c r="H1159" i="24"/>
  <c r="F1159" i="24"/>
  <c r="AG1158" i="24"/>
  <c r="AF1158" i="24"/>
  <c r="AD1158" i="24"/>
  <c r="AC1158" i="24"/>
  <c r="Z1158" i="24"/>
  <c r="X1158" i="24"/>
  <c r="T1158" i="24"/>
  <c r="S1158" i="24"/>
  <c r="R1158" i="24"/>
  <c r="P1158" i="24"/>
  <c r="N1158" i="24"/>
  <c r="O1158" i="24" s="1"/>
  <c r="M1158" i="24"/>
  <c r="K1158" i="24"/>
  <c r="J1158" i="24"/>
  <c r="H1158" i="24"/>
  <c r="F1158" i="24"/>
  <c r="AG1157" i="24"/>
  <c r="AF1157" i="24"/>
  <c r="AD1157" i="24"/>
  <c r="AC1157" i="24"/>
  <c r="Z1157" i="24"/>
  <c r="X1157" i="24"/>
  <c r="T1157" i="24"/>
  <c r="S1157" i="24"/>
  <c r="R1157" i="24"/>
  <c r="P1157" i="24"/>
  <c r="N1157" i="24"/>
  <c r="M1157" i="24"/>
  <c r="K1157" i="24"/>
  <c r="J1157" i="24"/>
  <c r="H1157" i="24"/>
  <c r="F1157" i="24"/>
  <c r="AG1156" i="24"/>
  <c r="AF1156" i="24"/>
  <c r="AD1156" i="24"/>
  <c r="AC1156" i="24"/>
  <c r="Z1156" i="24"/>
  <c r="X1156" i="24"/>
  <c r="T1156" i="24"/>
  <c r="S1156" i="24"/>
  <c r="R1156" i="24"/>
  <c r="P1156" i="24"/>
  <c r="N1156" i="24"/>
  <c r="M1156" i="24"/>
  <c r="K1156" i="24"/>
  <c r="J1156" i="24"/>
  <c r="H1156" i="24"/>
  <c r="F1156" i="24"/>
  <c r="AG1155" i="24"/>
  <c r="AF1155" i="24"/>
  <c r="AD1155" i="24"/>
  <c r="AC1155" i="24"/>
  <c r="Z1155" i="24"/>
  <c r="X1155" i="24"/>
  <c r="T1155" i="24"/>
  <c r="S1155" i="24"/>
  <c r="R1155" i="24"/>
  <c r="P1155" i="24"/>
  <c r="N1155" i="24"/>
  <c r="O1155" i="24" s="1"/>
  <c r="M1155" i="24"/>
  <c r="K1155" i="24"/>
  <c r="J1155" i="24"/>
  <c r="H1155" i="24"/>
  <c r="F1155" i="24"/>
  <c r="AG1154" i="24"/>
  <c r="AF1154" i="24"/>
  <c r="AD1154" i="24"/>
  <c r="AC1154" i="24"/>
  <c r="Z1154" i="24"/>
  <c r="X1154" i="24"/>
  <c r="T1154" i="24"/>
  <c r="S1154" i="24"/>
  <c r="R1154" i="24"/>
  <c r="P1154" i="24"/>
  <c r="N1154" i="24"/>
  <c r="O1154" i="24" s="1"/>
  <c r="M1154" i="24"/>
  <c r="K1154" i="24"/>
  <c r="J1154" i="24"/>
  <c r="H1154" i="24"/>
  <c r="F1154" i="24"/>
  <c r="AG1153" i="24"/>
  <c r="AF1153" i="24"/>
  <c r="AD1153" i="24"/>
  <c r="AC1153" i="24"/>
  <c r="Z1153" i="24"/>
  <c r="X1153" i="24"/>
  <c r="T1153" i="24"/>
  <c r="S1153" i="24"/>
  <c r="R1153" i="24"/>
  <c r="P1153" i="24"/>
  <c r="N1153" i="24"/>
  <c r="O1153" i="24" s="1"/>
  <c r="M1153" i="24"/>
  <c r="K1153" i="24"/>
  <c r="J1153" i="24"/>
  <c r="H1153" i="24"/>
  <c r="F1153" i="24"/>
  <c r="AG1152" i="24"/>
  <c r="AF1152" i="24"/>
  <c r="AD1152" i="24"/>
  <c r="AC1152" i="24"/>
  <c r="Z1152" i="24"/>
  <c r="X1152" i="24"/>
  <c r="T1152" i="24"/>
  <c r="S1152" i="24"/>
  <c r="R1152" i="24"/>
  <c r="P1152" i="24"/>
  <c r="N1152" i="24"/>
  <c r="M1152" i="24"/>
  <c r="K1152" i="24"/>
  <c r="J1152" i="24"/>
  <c r="H1152" i="24"/>
  <c r="F1152" i="24"/>
  <c r="AG1151" i="24"/>
  <c r="AF1151" i="24"/>
  <c r="AD1151" i="24"/>
  <c r="AC1151" i="24"/>
  <c r="Z1151" i="24"/>
  <c r="X1151" i="24"/>
  <c r="T1151" i="24"/>
  <c r="S1151" i="24"/>
  <c r="R1151" i="24"/>
  <c r="P1151" i="24"/>
  <c r="N1151" i="24"/>
  <c r="O1151" i="24" s="1"/>
  <c r="M1151" i="24"/>
  <c r="K1151" i="24"/>
  <c r="J1151" i="24"/>
  <c r="H1151" i="24"/>
  <c r="F1151" i="24"/>
  <c r="AG1150" i="24"/>
  <c r="AF1150" i="24"/>
  <c r="AD1150" i="24"/>
  <c r="AC1150" i="24"/>
  <c r="Z1150" i="24"/>
  <c r="X1150" i="24"/>
  <c r="T1150" i="24"/>
  <c r="S1150" i="24"/>
  <c r="R1150" i="24"/>
  <c r="P1150" i="24"/>
  <c r="N1150" i="24"/>
  <c r="O1150" i="24" s="1"/>
  <c r="M1150" i="24"/>
  <c r="K1150" i="24"/>
  <c r="J1150" i="24"/>
  <c r="H1150" i="24"/>
  <c r="F1150" i="24"/>
  <c r="AG1149" i="24"/>
  <c r="AF1149" i="24"/>
  <c r="AD1149" i="24"/>
  <c r="AC1149" i="24"/>
  <c r="Z1149" i="24"/>
  <c r="X1149" i="24"/>
  <c r="T1149" i="24"/>
  <c r="S1149" i="24"/>
  <c r="R1149" i="24"/>
  <c r="P1149" i="24"/>
  <c r="N1149" i="24"/>
  <c r="M1149" i="24"/>
  <c r="K1149" i="24"/>
  <c r="J1149" i="24"/>
  <c r="H1149" i="24"/>
  <c r="F1149" i="24"/>
  <c r="AG1148" i="24"/>
  <c r="AF1148" i="24"/>
  <c r="AD1148" i="24"/>
  <c r="AC1148" i="24"/>
  <c r="Z1148" i="24"/>
  <c r="X1148" i="24"/>
  <c r="T1148" i="24"/>
  <c r="S1148" i="24"/>
  <c r="R1148" i="24"/>
  <c r="P1148" i="24"/>
  <c r="N1148" i="24"/>
  <c r="O1148" i="24" s="1"/>
  <c r="M1148" i="24"/>
  <c r="K1148" i="24"/>
  <c r="J1148" i="24"/>
  <c r="H1148" i="24"/>
  <c r="F1148" i="24"/>
  <c r="AG1147" i="24"/>
  <c r="AF1147" i="24"/>
  <c r="AD1147" i="24"/>
  <c r="AC1147" i="24"/>
  <c r="Z1147" i="24"/>
  <c r="X1147" i="24"/>
  <c r="T1147" i="24"/>
  <c r="S1147" i="24"/>
  <c r="R1147" i="24"/>
  <c r="P1147" i="24"/>
  <c r="N1147" i="24"/>
  <c r="O1147" i="24" s="1"/>
  <c r="M1147" i="24"/>
  <c r="K1147" i="24"/>
  <c r="J1147" i="24"/>
  <c r="H1147" i="24"/>
  <c r="F1147" i="24"/>
  <c r="AG1146" i="24"/>
  <c r="AF1146" i="24"/>
  <c r="AD1146" i="24"/>
  <c r="AC1146" i="24"/>
  <c r="Z1146" i="24"/>
  <c r="X1146" i="24"/>
  <c r="T1146" i="24"/>
  <c r="S1146" i="24"/>
  <c r="R1146" i="24"/>
  <c r="P1146" i="24"/>
  <c r="N1146" i="24"/>
  <c r="O1146" i="24" s="1"/>
  <c r="M1146" i="24"/>
  <c r="K1146" i="24"/>
  <c r="J1146" i="24"/>
  <c r="H1146" i="24"/>
  <c r="F1146" i="24"/>
  <c r="AG1145" i="24"/>
  <c r="AF1145" i="24"/>
  <c r="AD1145" i="24"/>
  <c r="AC1145" i="24"/>
  <c r="Z1145" i="24"/>
  <c r="X1145" i="24"/>
  <c r="T1145" i="24"/>
  <c r="S1145" i="24"/>
  <c r="R1145" i="24"/>
  <c r="P1145" i="24"/>
  <c r="N1145" i="24"/>
  <c r="O1145" i="24" s="1"/>
  <c r="M1145" i="24"/>
  <c r="K1145" i="24"/>
  <c r="J1145" i="24"/>
  <c r="H1145" i="24"/>
  <c r="F1145" i="24"/>
  <c r="AG1144" i="24"/>
  <c r="AF1144" i="24"/>
  <c r="AD1144" i="24"/>
  <c r="AC1144" i="24"/>
  <c r="Z1144" i="24"/>
  <c r="X1144" i="24"/>
  <c r="T1144" i="24"/>
  <c r="S1144" i="24"/>
  <c r="R1144" i="24"/>
  <c r="P1144" i="24"/>
  <c r="N1144" i="24"/>
  <c r="O1144" i="24" s="1"/>
  <c r="M1144" i="24"/>
  <c r="K1144" i="24"/>
  <c r="J1144" i="24"/>
  <c r="H1144" i="24"/>
  <c r="F1144" i="24"/>
  <c r="AG1143" i="24"/>
  <c r="AF1143" i="24"/>
  <c r="AD1143" i="24"/>
  <c r="AC1143" i="24"/>
  <c r="Z1143" i="24"/>
  <c r="X1143" i="24"/>
  <c r="T1143" i="24"/>
  <c r="S1143" i="24"/>
  <c r="R1143" i="24"/>
  <c r="P1143" i="24"/>
  <c r="N1143" i="24"/>
  <c r="O1143" i="24" s="1"/>
  <c r="M1143" i="24"/>
  <c r="K1143" i="24"/>
  <c r="J1143" i="24"/>
  <c r="H1143" i="24"/>
  <c r="F1143" i="24"/>
  <c r="AG1142" i="24"/>
  <c r="AF1142" i="24"/>
  <c r="AD1142" i="24"/>
  <c r="AC1142" i="24"/>
  <c r="Z1142" i="24"/>
  <c r="X1142" i="24"/>
  <c r="T1142" i="24"/>
  <c r="S1142" i="24"/>
  <c r="R1142" i="24"/>
  <c r="P1142" i="24"/>
  <c r="N1142" i="24"/>
  <c r="O1142" i="24" s="1"/>
  <c r="M1142" i="24"/>
  <c r="K1142" i="24"/>
  <c r="J1142" i="24"/>
  <c r="H1142" i="24"/>
  <c r="F1142" i="24"/>
  <c r="AG1141" i="24"/>
  <c r="AF1141" i="24"/>
  <c r="AD1141" i="24"/>
  <c r="AC1141" i="24"/>
  <c r="Z1141" i="24"/>
  <c r="X1141" i="24"/>
  <c r="T1141" i="24"/>
  <c r="S1141" i="24"/>
  <c r="R1141" i="24"/>
  <c r="P1141" i="24"/>
  <c r="N1141" i="24"/>
  <c r="O1141" i="24" s="1"/>
  <c r="M1141" i="24"/>
  <c r="K1141" i="24"/>
  <c r="J1141" i="24"/>
  <c r="H1141" i="24"/>
  <c r="F1141" i="24"/>
  <c r="AG1140" i="24"/>
  <c r="AF1140" i="24"/>
  <c r="AD1140" i="24"/>
  <c r="AC1140" i="24"/>
  <c r="Z1140" i="24"/>
  <c r="X1140" i="24"/>
  <c r="T1140" i="24"/>
  <c r="S1140" i="24"/>
  <c r="R1140" i="24"/>
  <c r="P1140" i="24"/>
  <c r="N1140" i="24"/>
  <c r="O1140" i="24" s="1"/>
  <c r="M1140" i="24"/>
  <c r="K1140" i="24"/>
  <c r="J1140" i="24"/>
  <c r="H1140" i="24"/>
  <c r="F1140" i="24"/>
  <c r="AG1139" i="24"/>
  <c r="AF1139" i="24"/>
  <c r="AD1139" i="24"/>
  <c r="AC1139" i="24"/>
  <c r="Z1139" i="24"/>
  <c r="X1139" i="24"/>
  <c r="T1139" i="24"/>
  <c r="S1139" i="24"/>
  <c r="R1139" i="24"/>
  <c r="P1139" i="24"/>
  <c r="N1139" i="24"/>
  <c r="M1139" i="24"/>
  <c r="K1139" i="24"/>
  <c r="J1139" i="24"/>
  <c r="H1139" i="24"/>
  <c r="F1139" i="24"/>
  <c r="AG1138" i="24"/>
  <c r="AF1138" i="24"/>
  <c r="AD1138" i="24"/>
  <c r="AC1138" i="24"/>
  <c r="Z1138" i="24"/>
  <c r="X1138" i="24"/>
  <c r="T1295" i="24"/>
  <c r="S1295" i="24"/>
  <c r="R1295" i="24"/>
  <c r="P1295" i="24"/>
  <c r="N1295" i="24"/>
  <c r="M1295" i="24"/>
  <c r="K1295" i="24"/>
  <c r="J1295" i="24"/>
  <c r="H1295" i="24"/>
  <c r="F1295" i="24"/>
  <c r="AG1137" i="24"/>
  <c r="AF1137" i="24"/>
  <c r="AD1137" i="24"/>
  <c r="AC1137" i="24"/>
  <c r="Z1137" i="24"/>
  <c r="X1137" i="24"/>
  <c r="T1137" i="24"/>
  <c r="S1137" i="24"/>
  <c r="R1137" i="24"/>
  <c r="P1137" i="24"/>
  <c r="N1137" i="24"/>
  <c r="O1137" i="24" s="1"/>
  <c r="M1137" i="24"/>
  <c r="K1137" i="24"/>
  <c r="J1137" i="24"/>
  <c r="H1137" i="24"/>
  <c r="F1137" i="24"/>
  <c r="AG1136" i="24"/>
  <c r="AF1136" i="24"/>
  <c r="AD1136" i="24"/>
  <c r="AC1136" i="24"/>
  <c r="Z1136" i="24"/>
  <c r="X1136" i="24"/>
  <c r="T1289" i="24"/>
  <c r="S1289" i="24"/>
  <c r="R1289" i="24"/>
  <c r="P1289" i="24"/>
  <c r="N1289" i="24"/>
  <c r="O1289" i="24" s="1"/>
  <c r="M1289" i="24"/>
  <c r="K1289" i="24"/>
  <c r="J1289" i="24"/>
  <c r="H1289" i="24"/>
  <c r="F1289" i="24"/>
  <c r="AG1135" i="24"/>
  <c r="AF1135" i="24"/>
  <c r="AD1135" i="24"/>
  <c r="AC1135" i="24"/>
  <c r="Z1135" i="24"/>
  <c r="X1135" i="24"/>
  <c r="T1135" i="24"/>
  <c r="S1135" i="24"/>
  <c r="R1135" i="24"/>
  <c r="P1135" i="24"/>
  <c r="N1135" i="24"/>
  <c r="M1135" i="24"/>
  <c r="K1135" i="24"/>
  <c r="J1135" i="24"/>
  <c r="H1135" i="24"/>
  <c r="F1135" i="24"/>
  <c r="AG1134" i="24"/>
  <c r="AF1134" i="24"/>
  <c r="AD1134" i="24"/>
  <c r="AC1134" i="24"/>
  <c r="Z1134" i="24"/>
  <c r="X1134" i="24"/>
  <c r="T1134" i="24"/>
  <c r="S1134" i="24"/>
  <c r="R1134" i="24"/>
  <c r="P1134" i="24"/>
  <c r="N1134" i="24"/>
  <c r="O1134" i="24" s="1"/>
  <c r="M1134" i="24"/>
  <c r="K1134" i="24"/>
  <c r="J1134" i="24"/>
  <c r="H1134" i="24"/>
  <c r="F1134" i="24"/>
  <c r="AG1133" i="24"/>
  <c r="AF1133" i="24"/>
  <c r="AD1133" i="24"/>
  <c r="AC1133" i="24"/>
  <c r="Z1133" i="24"/>
  <c r="X1133" i="24"/>
  <c r="T1272" i="24"/>
  <c r="S1272" i="24"/>
  <c r="R1272" i="24"/>
  <c r="P1272" i="24"/>
  <c r="N1272" i="24"/>
  <c r="O1272" i="24" s="1"/>
  <c r="M1272" i="24"/>
  <c r="K1272" i="24"/>
  <c r="J1272" i="24"/>
  <c r="H1272" i="24"/>
  <c r="F1272" i="24"/>
  <c r="AG1132" i="24"/>
  <c r="AF1132" i="24"/>
  <c r="AD1132" i="24"/>
  <c r="AC1132" i="24"/>
  <c r="Z1132" i="24"/>
  <c r="X1132" i="24"/>
  <c r="T1132" i="24"/>
  <c r="S1132" i="24"/>
  <c r="R1132" i="24"/>
  <c r="P1132" i="24"/>
  <c r="N1132" i="24"/>
  <c r="M1132" i="24"/>
  <c r="K1132" i="24"/>
  <c r="J1132" i="24"/>
  <c r="H1132" i="24"/>
  <c r="F1132" i="24"/>
  <c r="AG1131" i="24"/>
  <c r="AF1131" i="24"/>
  <c r="AD1131" i="24"/>
  <c r="AC1131" i="24"/>
  <c r="Z1131" i="24"/>
  <c r="X1131" i="24"/>
  <c r="T1131" i="24"/>
  <c r="S1131" i="24"/>
  <c r="R1131" i="24"/>
  <c r="P1131" i="24"/>
  <c r="N1131" i="24"/>
  <c r="M1131" i="24"/>
  <c r="K1131" i="24"/>
  <c r="J1131" i="24"/>
  <c r="H1131" i="24"/>
  <c r="F1131" i="24"/>
  <c r="AG1130" i="24"/>
  <c r="AF1130" i="24"/>
  <c r="AD1130" i="24"/>
  <c r="AC1130" i="24"/>
  <c r="Z1130" i="24"/>
  <c r="X1130" i="24"/>
  <c r="T1130" i="24"/>
  <c r="S1130" i="24"/>
  <c r="R1130" i="24"/>
  <c r="P1130" i="24"/>
  <c r="N1130" i="24"/>
  <c r="M1130" i="24"/>
  <c r="K1130" i="24"/>
  <c r="J1130" i="24"/>
  <c r="H1130" i="24"/>
  <c r="F1130" i="24"/>
  <c r="AG1129" i="24"/>
  <c r="AF1129" i="24"/>
  <c r="AD1129" i="24"/>
  <c r="AC1129" i="24"/>
  <c r="Z1129" i="24"/>
  <c r="X1129" i="24"/>
  <c r="T1129" i="24"/>
  <c r="S1129" i="24"/>
  <c r="R1129" i="24"/>
  <c r="P1129" i="24"/>
  <c r="N1129" i="24"/>
  <c r="M1129" i="24"/>
  <c r="K1129" i="24"/>
  <c r="J1129" i="24"/>
  <c r="H1129" i="24"/>
  <c r="F1129" i="24"/>
  <c r="AG1128" i="24"/>
  <c r="AF1128" i="24"/>
  <c r="AD1128" i="24"/>
  <c r="AC1128" i="24"/>
  <c r="Z1128" i="24"/>
  <c r="X1128" i="24"/>
  <c r="T1128" i="24"/>
  <c r="S1128" i="24"/>
  <c r="R1128" i="24"/>
  <c r="P1128" i="24"/>
  <c r="N1128" i="24"/>
  <c r="O1128" i="24" s="1"/>
  <c r="M1128" i="24"/>
  <c r="K1128" i="24"/>
  <c r="J1128" i="24"/>
  <c r="H1128" i="24"/>
  <c r="F1128" i="24"/>
  <c r="AG1127" i="24"/>
  <c r="AF1127" i="24"/>
  <c r="AD1127" i="24"/>
  <c r="AC1127" i="24"/>
  <c r="Z1127" i="24"/>
  <c r="X1127" i="24"/>
  <c r="T1127" i="24"/>
  <c r="S1127" i="24"/>
  <c r="R1127" i="24"/>
  <c r="P1127" i="24"/>
  <c r="N1127" i="24"/>
  <c r="M1127" i="24"/>
  <c r="K1127" i="24"/>
  <c r="J1127" i="24"/>
  <c r="H1127" i="24"/>
  <c r="F1127" i="24"/>
  <c r="AG1126" i="24"/>
  <c r="AF1126" i="24"/>
  <c r="AD1126" i="24"/>
  <c r="AC1126" i="24"/>
  <c r="Z1126" i="24"/>
  <c r="X1126" i="24"/>
  <c r="T1126" i="24"/>
  <c r="S1126" i="24"/>
  <c r="R1126" i="24"/>
  <c r="P1126" i="24"/>
  <c r="N1126" i="24"/>
  <c r="O1126" i="24" s="1"/>
  <c r="M1126" i="24"/>
  <c r="K1126" i="24"/>
  <c r="J1126" i="24"/>
  <c r="H1126" i="24"/>
  <c r="F1126" i="24"/>
  <c r="AG1125" i="24"/>
  <c r="AF1125" i="24"/>
  <c r="AD1125" i="24"/>
  <c r="AC1125" i="24"/>
  <c r="Z1125" i="24"/>
  <c r="X1125" i="24"/>
  <c r="T1125" i="24"/>
  <c r="S1125" i="24"/>
  <c r="R1125" i="24"/>
  <c r="P1125" i="24"/>
  <c r="N1125" i="24"/>
  <c r="O1125" i="24" s="1"/>
  <c r="M1125" i="24"/>
  <c r="K1125" i="24"/>
  <c r="J1125" i="24"/>
  <c r="H1125" i="24"/>
  <c r="F1125" i="24"/>
  <c r="AG1124" i="24"/>
  <c r="AF1124" i="24"/>
  <c r="AD1124" i="24"/>
  <c r="AC1124" i="24"/>
  <c r="Z1124" i="24"/>
  <c r="X1124" i="24"/>
  <c r="T1124" i="24"/>
  <c r="S1124" i="24"/>
  <c r="R1124" i="24"/>
  <c r="P1124" i="24"/>
  <c r="N1124" i="24"/>
  <c r="O1124" i="24" s="1"/>
  <c r="M1124" i="24"/>
  <c r="K1124" i="24"/>
  <c r="J1124" i="24"/>
  <c r="H1124" i="24"/>
  <c r="F1124" i="24"/>
  <c r="AG1123" i="24"/>
  <c r="AF1123" i="24"/>
  <c r="AD1123" i="24"/>
  <c r="AC1123" i="24"/>
  <c r="Z1123" i="24"/>
  <c r="X1123" i="24"/>
  <c r="T1123" i="24"/>
  <c r="S1123" i="24"/>
  <c r="R1123" i="24"/>
  <c r="P1123" i="24"/>
  <c r="N1123" i="24"/>
  <c r="O1123" i="24" s="1"/>
  <c r="M1123" i="24"/>
  <c r="K1123" i="24"/>
  <c r="J1123" i="24"/>
  <c r="H1123" i="24"/>
  <c r="F1123" i="24"/>
  <c r="AG1122" i="24"/>
  <c r="AF1122" i="24"/>
  <c r="AD1122" i="24"/>
  <c r="AC1122" i="24"/>
  <c r="Z1122" i="24"/>
  <c r="X1122" i="24"/>
  <c r="T1122" i="24"/>
  <c r="S1122" i="24"/>
  <c r="R1122" i="24"/>
  <c r="P1122" i="24"/>
  <c r="N1122" i="24"/>
  <c r="O1122" i="24" s="1"/>
  <c r="M1122" i="24"/>
  <c r="K1122" i="24"/>
  <c r="J1122" i="24"/>
  <c r="H1122" i="24"/>
  <c r="F1122" i="24"/>
  <c r="AG1121" i="24"/>
  <c r="AF1121" i="24"/>
  <c r="AD1121" i="24"/>
  <c r="AC1121" i="24"/>
  <c r="Z1121" i="24"/>
  <c r="X1121" i="24"/>
  <c r="T1121" i="24"/>
  <c r="S1121" i="24"/>
  <c r="R1121" i="24"/>
  <c r="P1121" i="24"/>
  <c r="N1121" i="24"/>
  <c r="O1121" i="24" s="1"/>
  <c r="M1121" i="24"/>
  <c r="K1121" i="24"/>
  <c r="J1121" i="24"/>
  <c r="H1121" i="24"/>
  <c r="F1121" i="24"/>
  <c r="AG1120" i="24"/>
  <c r="AF1120" i="24"/>
  <c r="AD1120" i="24"/>
  <c r="AC1120" i="24"/>
  <c r="Z1120" i="24"/>
  <c r="X1120" i="24"/>
  <c r="T1120" i="24"/>
  <c r="S1120" i="24"/>
  <c r="R1120" i="24"/>
  <c r="P1120" i="24"/>
  <c r="N1120" i="24"/>
  <c r="O1120" i="24" s="1"/>
  <c r="M1120" i="24"/>
  <c r="K1120" i="24"/>
  <c r="J1120" i="24"/>
  <c r="H1120" i="24"/>
  <c r="F1120" i="24"/>
  <c r="AG1119" i="24"/>
  <c r="AF1119" i="24"/>
  <c r="AD1119" i="24"/>
  <c r="AC1119" i="24"/>
  <c r="Z1119" i="24"/>
  <c r="X1119" i="24"/>
  <c r="T1119" i="24"/>
  <c r="S1119" i="24"/>
  <c r="R1119" i="24"/>
  <c r="P1119" i="24"/>
  <c r="N1119" i="24"/>
  <c r="M1119" i="24"/>
  <c r="K1119" i="24"/>
  <c r="J1119" i="24"/>
  <c r="H1119" i="24"/>
  <c r="F1119" i="24"/>
  <c r="AG1118" i="24"/>
  <c r="AF1118" i="24"/>
  <c r="AD1118" i="24"/>
  <c r="AC1118" i="24"/>
  <c r="Z1118" i="24"/>
  <c r="X1118" i="24"/>
  <c r="T1118" i="24"/>
  <c r="S1118" i="24"/>
  <c r="R1118" i="24"/>
  <c r="P1118" i="24"/>
  <c r="N1118" i="24"/>
  <c r="O1118" i="24" s="1"/>
  <c r="M1118" i="24"/>
  <c r="K1118" i="24"/>
  <c r="J1118" i="24"/>
  <c r="H1118" i="24"/>
  <c r="F1118" i="24"/>
  <c r="AG1117" i="24"/>
  <c r="AF1117" i="24"/>
  <c r="AD1117" i="24"/>
  <c r="AC1117" i="24"/>
  <c r="Z1117" i="24"/>
  <c r="X1117" i="24"/>
  <c r="T1117" i="24"/>
  <c r="S1117" i="24"/>
  <c r="R1117" i="24"/>
  <c r="P1117" i="24"/>
  <c r="N1117" i="24"/>
  <c r="O1117" i="24" s="1"/>
  <c r="M1117" i="24"/>
  <c r="K1117" i="24"/>
  <c r="J1117" i="24"/>
  <c r="H1117" i="24"/>
  <c r="F1117" i="24"/>
  <c r="AG1116" i="24"/>
  <c r="AF1116" i="24"/>
  <c r="AD1116" i="24"/>
  <c r="AC1116" i="24"/>
  <c r="Z1116" i="24"/>
  <c r="X1116" i="24"/>
  <c r="T1116" i="24"/>
  <c r="S1116" i="24"/>
  <c r="R1116" i="24"/>
  <c r="P1116" i="24"/>
  <c r="N1116" i="24"/>
  <c r="O1116" i="24" s="1"/>
  <c r="M1116" i="24"/>
  <c r="K1116" i="24"/>
  <c r="J1116" i="24"/>
  <c r="H1116" i="24"/>
  <c r="F1116" i="24"/>
  <c r="AG1115" i="24"/>
  <c r="AF1115" i="24"/>
  <c r="AD1115" i="24"/>
  <c r="AC1115" i="24"/>
  <c r="Z1115" i="24"/>
  <c r="X1115" i="24"/>
  <c r="T1115" i="24"/>
  <c r="S1115" i="24"/>
  <c r="R1115" i="24"/>
  <c r="P1115" i="24"/>
  <c r="N1115" i="24"/>
  <c r="O1115" i="24" s="1"/>
  <c r="M1115" i="24"/>
  <c r="K1115" i="24"/>
  <c r="J1115" i="24"/>
  <c r="H1115" i="24"/>
  <c r="F1115" i="24"/>
  <c r="AG1114" i="24"/>
  <c r="AF1114" i="24"/>
  <c r="AD1114" i="24"/>
  <c r="AC1114" i="24"/>
  <c r="Z1114" i="24"/>
  <c r="X1114" i="24"/>
  <c r="T1114" i="24"/>
  <c r="S1114" i="24"/>
  <c r="R1114" i="24"/>
  <c r="P1114" i="24"/>
  <c r="N1114" i="24"/>
  <c r="M1114" i="24"/>
  <c r="K1114" i="24"/>
  <c r="J1114" i="24"/>
  <c r="H1114" i="24"/>
  <c r="F1114" i="24"/>
  <c r="AG1113" i="24"/>
  <c r="AF1113" i="24"/>
  <c r="AD1113" i="24"/>
  <c r="AC1113" i="24"/>
  <c r="Z1113" i="24"/>
  <c r="X1113" i="24"/>
  <c r="T1113" i="24"/>
  <c r="S1113" i="24"/>
  <c r="R1113" i="24"/>
  <c r="P1113" i="24"/>
  <c r="N1113" i="24"/>
  <c r="M1113" i="24"/>
  <c r="K1113" i="24"/>
  <c r="J1113" i="24"/>
  <c r="H1113" i="24"/>
  <c r="F1113" i="24"/>
  <c r="AG1112" i="24"/>
  <c r="AF1112" i="24"/>
  <c r="AD1112" i="24"/>
  <c r="AC1112" i="24"/>
  <c r="Z1112" i="24"/>
  <c r="X1112" i="24"/>
  <c r="T1112" i="24"/>
  <c r="S1112" i="24"/>
  <c r="R1112" i="24"/>
  <c r="P1112" i="24"/>
  <c r="N1112" i="24"/>
  <c r="O1112" i="24" s="1"/>
  <c r="M1112" i="24"/>
  <c r="K1112" i="24"/>
  <c r="J1112" i="24"/>
  <c r="H1112" i="24"/>
  <c r="F1112" i="24"/>
  <c r="AG1111" i="24"/>
  <c r="AF1111" i="24"/>
  <c r="AD1111" i="24"/>
  <c r="AC1111" i="24"/>
  <c r="Z1111" i="24"/>
  <c r="X1111" i="24"/>
  <c r="T1111" i="24"/>
  <c r="S1111" i="24"/>
  <c r="R1111" i="24"/>
  <c r="P1111" i="24"/>
  <c r="N1111" i="24"/>
  <c r="O1111" i="24" s="1"/>
  <c r="M1111" i="24"/>
  <c r="K1111" i="24"/>
  <c r="J1111" i="24"/>
  <c r="H1111" i="24"/>
  <c r="F1111" i="24"/>
  <c r="AG1110" i="24"/>
  <c r="AF1110" i="24"/>
  <c r="AD1110" i="24"/>
  <c r="AC1110" i="24"/>
  <c r="Z1110" i="24"/>
  <c r="X1110" i="24"/>
  <c r="T1110" i="24"/>
  <c r="S1110" i="24"/>
  <c r="R1110" i="24"/>
  <c r="P1110" i="24"/>
  <c r="N1110" i="24"/>
  <c r="O1110" i="24" s="1"/>
  <c r="M1110" i="24"/>
  <c r="K1110" i="24"/>
  <c r="J1110" i="24"/>
  <c r="H1110" i="24"/>
  <c r="F1110" i="24"/>
  <c r="AG1109" i="24"/>
  <c r="AF1109" i="24"/>
  <c r="AD1109" i="24"/>
  <c r="AC1109" i="24"/>
  <c r="Z1109" i="24"/>
  <c r="X1109" i="24"/>
  <c r="T1109" i="24"/>
  <c r="S1109" i="24"/>
  <c r="R1109" i="24"/>
  <c r="P1109" i="24"/>
  <c r="N1109" i="24"/>
  <c r="M1109" i="24"/>
  <c r="K1109" i="24"/>
  <c r="J1109" i="24"/>
  <c r="H1109" i="24"/>
  <c r="F1109" i="24"/>
  <c r="AG1108" i="24"/>
  <c r="AF1108" i="24"/>
  <c r="AD1108" i="24"/>
  <c r="AC1108" i="24"/>
  <c r="Z1108" i="24"/>
  <c r="X1108" i="24"/>
  <c r="T1271" i="24"/>
  <c r="S1271" i="24"/>
  <c r="R1271" i="24"/>
  <c r="P1271" i="24"/>
  <c r="N1271" i="24"/>
  <c r="O1271" i="24" s="1"/>
  <c r="M1271" i="24"/>
  <c r="K1271" i="24"/>
  <c r="J1271" i="24"/>
  <c r="H1271" i="24"/>
  <c r="F1271" i="24"/>
  <c r="AG1107" i="24"/>
  <c r="AF1107" i="24"/>
  <c r="AD1107" i="24"/>
  <c r="AC1107" i="24"/>
  <c r="Z1107" i="24"/>
  <c r="X1107" i="24"/>
  <c r="T1107" i="24"/>
  <c r="S1107" i="24"/>
  <c r="R1107" i="24"/>
  <c r="P1107" i="24"/>
  <c r="N1107" i="24"/>
  <c r="O1107" i="24" s="1"/>
  <c r="M1107" i="24"/>
  <c r="K1107" i="24"/>
  <c r="J1107" i="24"/>
  <c r="H1107" i="24"/>
  <c r="F1107" i="24"/>
  <c r="AG1106" i="24"/>
  <c r="AF1106" i="24"/>
  <c r="AD1106" i="24"/>
  <c r="AC1106" i="24"/>
  <c r="Z1106" i="24"/>
  <c r="X1106" i="24"/>
  <c r="T1106" i="24"/>
  <c r="S1106" i="24"/>
  <c r="R1106" i="24"/>
  <c r="P1106" i="24"/>
  <c r="N1106" i="24"/>
  <c r="O1106" i="24" s="1"/>
  <c r="M1106" i="24"/>
  <c r="K1106" i="24"/>
  <c r="J1106" i="24"/>
  <c r="H1106" i="24"/>
  <c r="F1106" i="24"/>
  <c r="AG1105" i="24"/>
  <c r="AF1105" i="24"/>
  <c r="AD1105" i="24"/>
  <c r="AC1105" i="24"/>
  <c r="Z1105" i="24"/>
  <c r="X1105" i="24"/>
  <c r="T1105" i="24"/>
  <c r="S1105" i="24"/>
  <c r="R1105" i="24"/>
  <c r="P1105" i="24"/>
  <c r="N1105" i="24"/>
  <c r="M1105" i="24"/>
  <c r="K1105" i="24"/>
  <c r="J1105" i="24"/>
  <c r="H1105" i="24"/>
  <c r="F1105" i="24"/>
  <c r="AG1104" i="24"/>
  <c r="AF1104" i="24"/>
  <c r="AD1104" i="24"/>
  <c r="AC1104" i="24"/>
  <c r="Z1104" i="24"/>
  <c r="X1104" i="24"/>
  <c r="T1104" i="24"/>
  <c r="S1104" i="24"/>
  <c r="R1104" i="24"/>
  <c r="P1104" i="24"/>
  <c r="N1104" i="24"/>
  <c r="M1104" i="24"/>
  <c r="K1104" i="24"/>
  <c r="J1104" i="24"/>
  <c r="H1104" i="24"/>
  <c r="F1104" i="24"/>
  <c r="AG1103" i="24"/>
  <c r="AF1103" i="24"/>
  <c r="AD1103" i="24"/>
  <c r="AC1103" i="24"/>
  <c r="Z1103" i="24"/>
  <c r="X1103" i="24"/>
  <c r="T1103" i="24"/>
  <c r="S1103" i="24"/>
  <c r="R1103" i="24"/>
  <c r="P1103" i="24"/>
  <c r="N1103" i="24"/>
  <c r="O1103" i="24" s="1"/>
  <c r="M1103" i="24"/>
  <c r="K1103" i="24"/>
  <c r="J1103" i="24"/>
  <c r="H1103" i="24"/>
  <c r="F1103" i="24"/>
  <c r="AG1102" i="24"/>
  <c r="AF1102" i="24"/>
  <c r="AD1102" i="24"/>
  <c r="AC1102" i="24"/>
  <c r="Z1102" i="24"/>
  <c r="X1102" i="24"/>
  <c r="T1102" i="24"/>
  <c r="S1102" i="24"/>
  <c r="R1102" i="24"/>
  <c r="P1102" i="24"/>
  <c r="N1102" i="24"/>
  <c r="O1102" i="24" s="1"/>
  <c r="M1102" i="24"/>
  <c r="K1102" i="24"/>
  <c r="J1102" i="24"/>
  <c r="H1102" i="24"/>
  <c r="F1102" i="24"/>
  <c r="AG1101" i="24"/>
  <c r="AF1101" i="24"/>
  <c r="AD1101" i="24"/>
  <c r="AC1101" i="24"/>
  <c r="Z1101" i="24"/>
  <c r="X1101" i="24"/>
  <c r="T1101" i="24"/>
  <c r="S1101" i="24"/>
  <c r="R1101" i="24"/>
  <c r="P1101" i="24"/>
  <c r="N1101" i="24"/>
  <c r="O1101" i="24" s="1"/>
  <c r="M1101" i="24"/>
  <c r="K1101" i="24"/>
  <c r="J1101" i="24"/>
  <c r="H1101" i="24"/>
  <c r="F1101" i="24"/>
  <c r="AG1100" i="24"/>
  <c r="AF1100" i="24"/>
  <c r="AD1100" i="24"/>
  <c r="AC1100" i="24"/>
  <c r="Z1100" i="24"/>
  <c r="X1100" i="24"/>
  <c r="T1100" i="24"/>
  <c r="S1100" i="24"/>
  <c r="R1100" i="24"/>
  <c r="P1100" i="24"/>
  <c r="N1100" i="24"/>
  <c r="O1100" i="24" s="1"/>
  <c r="M1100" i="24"/>
  <c r="K1100" i="24"/>
  <c r="J1100" i="24"/>
  <c r="H1100" i="24"/>
  <c r="F1100" i="24"/>
  <c r="AG1099" i="24"/>
  <c r="AF1099" i="24"/>
  <c r="AD1099" i="24"/>
  <c r="AC1099" i="24"/>
  <c r="Z1099" i="24"/>
  <c r="X1099" i="24"/>
  <c r="T1099" i="24"/>
  <c r="S1099" i="24"/>
  <c r="R1099" i="24"/>
  <c r="P1099" i="24"/>
  <c r="N1099" i="24"/>
  <c r="M1099" i="24"/>
  <c r="K1099" i="24"/>
  <c r="J1099" i="24"/>
  <c r="H1099" i="24"/>
  <c r="F1099" i="24"/>
  <c r="AG1098" i="24"/>
  <c r="AF1098" i="24"/>
  <c r="AD1098" i="24"/>
  <c r="AC1098" i="24"/>
  <c r="AB1098" i="24"/>
  <c r="Z1098" i="24"/>
  <c r="X1098" i="24"/>
  <c r="T1098" i="24"/>
  <c r="S1098" i="24"/>
  <c r="R1098" i="24"/>
  <c r="P1098" i="24"/>
  <c r="N1098" i="24"/>
  <c r="AA1098" i="24" s="1"/>
  <c r="M1098" i="24"/>
  <c r="K1098" i="24"/>
  <c r="J1098" i="24"/>
  <c r="H1098" i="24"/>
  <c r="F1098" i="24"/>
  <c r="AG1097" i="24"/>
  <c r="AF1097" i="24"/>
  <c r="AD1097" i="24"/>
  <c r="AC1097" i="24"/>
  <c r="Z1097" i="24"/>
  <c r="X1097" i="24"/>
  <c r="T1097" i="24"/>
  <c r="S1097" i="24"/>
  <c r="R1097" i="24"/>
  <c r="P1097" i="24"/>
  <c r="N1097" i="24"/>
  <c r="O1097" i="24" s="1"/>
  <c r="M1097" i="24"/>
  <c r="K1097" i="24"/>
  <c r="J1097" i="24"/>
  <c r="H1097" i="24"/>
  <c r="F1097" i="24"/>
  <c r="AG1096" i="24"/>
  <c r="AF1096" i="24"/>
  <c r="AD1096" i="24"/>
  <c r="AC1096" i="24"/>
  <c r="Z1096" i="24"/>
  <c r="X1096" i="24"/>
  <c r="T1096" i="24"/>
  <c r="S1096" i="24"/>
  <c r="R1096" i="24"/>
  <c r="P1096" i="24"/>
  <c r="N1096" i="24"/>
  <c r="O1096" i="24" s="1"/>
  <c r="M1096" i="24"/>
  <c r="K1096" i="24"/>
  <c r="J1096" i="24"/>
  <c r="H1096" i="24"/>
  <c r="F1096" i="24"/>
  <c r="AG1095" i="24"/>
  <c r="AF1095" i="24"/>
  <c r="AD1095" i="24"/>
  <c r="AC1095" i="24"/>
  <c r="AB1095" i="24"/>
  <c r="Z1095" i="24"/>
  <c r="X1095" i="24"/>
  <c r="T1095" i="24"/>
  <c r="S1095" i="24"/>
  <c r="R1095" i="24"/>
  <c r="P1095" i="24"/>
  <c r="N1095" i="24"/>
  <c r="AA1095" i="24" s="1"/>
  <c r="M1095" i="24"/>
  <c r="K1095" i="24"/>
  <c r="J1095" i="24"/>
  <c r="H1095" i="24"/>
  <c r="F1095" i="24"/>
  <c r="AG1094" i="24"/>
  <c r="AF1094" i="24"/>
  <c r="AD1094" i="24"/>
  <c r="AC1094" i="24"/>
  <c r="Z1094" i="24"/>
  <c r="X1094" i="24"/>
  <c r="T1094" i="24"/>
  <c r="S1094" i="24"/>
  <c r="R1094" i="24"/>
  <c r="P1094" i="24"/>
  <c r="N1094" i="24"/>
  <c r="M1094" i="24"/>
  <c r="K1094" i="24"/>
  <c r="J1094" i="24"/>
  <c r="H1094" i="24"/>
  <c r="F1094" i="24"/>
  <c r="AG1093" i="24"/>
  <c r="AF1093" i="24"/>
  <c r="AD1093" i="24"/>
  <c r="AC1093" i="24"/>
  <c r="Z1093" i="24"/>
  <c r="X1093" i="24"/>
  <c r="T1093" i="24"/>
  <c r="S1093" i="24"/>
  <c r="R1093" i="24"/>
  <c r="P1093" i="24"/>
  <c r="N1093" i="24"/>
  <c r="O1093" i="24" s="1"/>
  <c r="M1093" i="24"/>
  <c r="K1093" i="24"/>
  <c r="J1093" i="24"/>
  <c r="H1093" i="24"/>
  <c r="F1093" i="24"/>
  <c r="AG1092" i="24"/>
  <c r="AF1092" i="24"/>
  <c r="AD1092" i="24"/>
  <c r="AC1092" i="24"/>
  <c r="Z1092" i="24"/>
  <c r="X1092" i="24"/>
  <c r="T1092" i="24"/>
  <c r="S1092" i="24"/>
  <c r="R1092" i="24"/>
  <c r="P1092" i="24"/>
  <c r="N1092" i="24"/>
  <c r="O1092" i="24" s="1"/>
  <c r="M1092" i="24"/>
  <c r="K1092" i="24"/>
  <c r="J1092" i="24"/>
  <c r="H1092" i="24"/>
  <c r="F1092" i="24"/>
  <c r="AG1091" i="24"/>
  <c r="AF1091" i="24"/>
  <c r="AD1091" i="24"/>
  <c r="AC1091" i="24"/>
  <c r="Z1091" i="24"/>
  <c r="X1091" i="24"/>
  <c r="T1091" i="24"/>
  <c r="S1091" i="24"/>
  <c r="R1091" i="24"/>
  <c r="P1091" i="24"/>
  <c r="N1091" i="24"/>
  <c r="O1091" i="24" s="1"/>
  <c r="M1091" i="24"/>
  <c r="K1091" i="24"/>
  <c r="J1091" i="24"/>
  <c r="H1091" i="24"/>
  <c r="F1091" i="24"/>
  <c r="AG1090" i="24"/>
  <c r="AF1090" i="24"/>
  <c r="AD1090" i="24"/>
  <c r="AC1090" i="24"/>
  <c r="Z1090" i="24"/>
  <c r="X1090" i="24"/>
  <c r="T1090" i="24"/>
  <c r="S1090" i="24"/>
  <c r="R1090" i="24"/>
  <c r="P1090" i="24"/>
  <c r="N1090" i="24"/>
  <c r="O1090" i="24" s="1"/>
  <c r="M1090" i="24"/>
  <c r="K1090" i="24"/>
  <c r="J1090" i="24"/>
  <c r="H1090" i="24"/>
  <c r="F1090" i="24"/>
  <c r="AG1089" i="24"/>
  <c r="AF1089" i="24"/>
  <c r="AD1089" i="24"/>
  <c r="AC1089" i="24"/>
  <c r="AB1089" i="24"/>
  <c r="Z1089" i="24"/>
  <c r="X1089" i="24"/>
  <c r="T1089" i="24"/>
  <c r="S1089" i="24"/>
  <c r="R1089" i="24"/>
  <c r="P1089" i="24"/>
  <c r="N1089" i="24"/>
  <c r="AA1089" i="24" s="1"/>
  <c r="M1089" i="24"/>
  <c r="K1089" i="24"/>
  <c r="J1089" i="24"/>
  <c r="H1089" i="24"/>
  <c r="F1089" i="24"/>
  <c r="AG1088" i="24"/>
  <c r="AF1088" i="24"/>
  <c r="AD1088" i="24"/>
  <c r="AC1088" i="24"/>
  <c r="Z1088" i="24"/>
  <c r="X1088" i="24"/>
  <c r="T1088" i="24"/>
  <c r="S1088" i="24"/>
  <c r="R1088" i="24"/>
  <c r="P1088" i="24"/>
  <c r="N1088" i="24"/>
  <c r="M1088" i="24"/>
  <c r="K1088" i="24"/>
  <c r="J1088" i="24"/>
  <c r="H1088" i="24"/>
  <c r="F1088" i="24"/>
  <c r="AG1087" i="24"/>
  <c r="AF1087" i="24"/>
  <c r="AD1087" i="24"/>
  <c r="AC1087" i="24"/>
  <c r="Z1087" i="24"/>
  <c r="X1087" i="24"/>
  <c r="T1087" i="24"/>
  <c r="S1087" i="24"/>
  <c r="R1087" i="24"/>
  <c r="P1087" i="24"/>
  <c r="N1087" i="24"/>
  <c r="O1087" i="24" s="1"/>
  <c r="M1087" i="24"/>
  <c r="K1087" i="24"/>
  <c r="J1087" i="24"/>
  <c r="H1087" i="24"/>
  <c r="F1087" i="24"/>
  <c r="AG1086" i="24"/>
  <c r="AF1086" i="24"/>
  <c r="AD1086" i="24"/>
  <c r="AC1086" i="24"/>
  <c r="Z1086" i="24"/>
  <c r="X1086" i="24"/>
  <c r="T1086" i="24"/>
  <c r="S1086" i="24"/>
  <c r="R1086" i="24"/>
  <c r="P1086" i="24"/>
  <c r="N1086" i="24"/>
  <c r="M1086" i="24"/>
  <c r="K1086" i="24"/>
  <c r="J1086" i="24"/>
  <c r="H1086" i="24"/>
  <c r="F1086" i="24"/>
  <c r="AG1085" i="24"/>
  <c r="AF1085" i="24"/>
  <c r="AD1085" i="24"/>
  <c r="AC1085" i="24"/>
  <c r="Z1085" i="24"/>
  <c r="X1085" i="24"/>
  <c r="T1085" i="24"/>
  <c r="S1085" i="24"/>
  <c r="R1085" i="24"/>
  <c r="P1085" i="24"/>
  <c r="N1085" i="24"/>
  <c r="O1085" i="24" s="1"/>
  <c r="M1085" i="24"/>
  <c r="K1085" i="24"/>
  <c r="J1085" i="24"/>
  <c r="H1085" i="24"/>
  <c r="F1085" i="24"/>
  <c r="AG1084" i="24"/>
  <c r="AF1084" i="24"/>
  <c r="AD1084" i="24"/>
  <c r="AC1084" i="24"/>
  <c r="Z1084" i="24"/>
  <c r="X1084" i="24"/>
  <c r="T1084" i="24"/>
  <c r="S1084" i="24"/>
  <c r="R1084" i="24"/>
  <c r="P1084" i="24"/>
  <c r="N1084" i="24"/>
  <c r="M1084" i="24"/>
  <c r="K1084" i="24"/>
  <c r="J1084" i="24"/>
  <c r="H1084" i="24"/>
  <c r="F1084" i="24"/>
  <c r="AG1083" i="24"/>
  <c r="AF1083" i="24"/>
  <c r="AD1083" i="24"/>
  <c r="AC1083" i="24"/>
  <c r="Z1083" i="24"/>
  <c r="X1083" i="24"/>
  <c r="T1083" i="24"/>
  <c r="S1083" i="24"/>
  <c r="R1083" i="24"/>
  <c r="P1083" i="24"/>
  <c r="N1083" i="24"/>
  <c r="O1083" i="24" s="1"/>
  <c r="M1083" i="24"/>
  <c r="K1083" i="24"/>
  <c r="J1083" i="24"/>
  <c r="H1083" i="24"/>
  <c r="F1083" i="24"/>
  <c r="AG1082" i="24"/>
  <c r="AF1082" i="24"/>
  <c r="AD1082" i="24"/>
  <c r="AC1082" i="24"/>
  <c r="Z1082" i="24"/>
  <c r="X1082" i="24"/>
  <c r="T1082" i="24"/>
  <c r="S1082" i="24"/>
  <c r="R1082" i="24"/>
  <c r="P1082" i="24"/>
  <c r="N1082" i="24"/>
  <c r="O1082" i="24" s="1"/>
  <c r="M1082" i="24"/>
  <c r="K1082" i="24"/>
  <c r="J1082" i="24"/>
  <c r="H1082" i="24"/>
  <c r="F1082" i="24"/>
  <c r="AG1081" i="24"/>
  <c r="AF1081" i="24"/>
  <c r="AD1081" i="24"/>
  <c r="AC1081" i="24"/>
  <c r="Z1081" i="24"/>
  <c r="X1081" i="24"/>
  <c r="T1081" i="24"/>
  <c r="S1081" i="24"/>
  <c r="R1081" i="24"/>
  <c r="P1081" i="24"/>
  <c r="N1081" i="24"/>
  <c r="M1081" i="24"/>
  <c r="K1081" i="24"/>
  <c r="J1081" i="24"/>
  <c r="H1081" i="24"/>
  <c r="F1081" i="24"/>
  <c r="AG1080" i="24"/>
  <c r="AF1080" i="24"/>
  <c r="AD1080" i="24"/>
  <c r="AC1080" i="24"/>
  <c r="Z1080" i="24"/>
  <c r="X1080" i="24"/>
  <c r="T1080" i="24"/>
  <c r="S1080" i="24"/>
  <c r="R1080" i="24"/>
  <c r="P1080" i="24"/>
  <c r="N1080" i="24"/>
  <c r="O1080" i="24" s="1"/>
  <c r="M1080" i="24"/>
  <c r="K1080" i="24"/>
  <c r="J1080" i="24"/>
  <c r="H1080" i="24"/>
  <c r="F1080" i="24"/>
  <c r="AG1079" i="24"/>
  <c r="AF1079" i="24"/>
  <c r="AD1079" i="24"/>
  <c r="AC1079" i="24"/>
  <c r="Z1079" i="24"/>
  <c r="X1079" i="24"/>
  <c r="T1079" i="24"/>
  <c r="S1079" i="24"/>
  <c r="R1079" i="24"/>
  <c r="P1079" i="24"/>
  <c r="N1079" i="24"/>
  <c r="O1079" i="24" s="1"/>
  <c r="M1079" i="24"/>
  <c r="K1079" i="24"/>
  <c r="J1079" i="24"/>
  <c r="H1079" i="24"/>
  <c r="F1079" i="24"/>
  <c r="AG1078" i="24"/>
  <c r="AF1078" i="24"/>
  <c r="AD1078" i="24"/>
  <c r="AC1078" i="24"/>
  <c r="Z1078" i="24"/>
  <c r="X1078" i="24"/>
  <c r="T1078" i="24"/>
  <c r="S1078" i="24"/>
  <c r="R1078" i="24"/>
  <c r="P1078" i="24"/>
  <c r="N1078" i="24"/>
  <c r="O1078" i="24" s="1"/>
  <c r="M1078" i="24"/>
  <c r="K1078" i="24"/>
  <c r="J1078" i="24"/>
  <c r="H1078" i="24"/>
  <c r="F1078" i="24"/>
  <c r="AG1077" i="24"/>
  <c r="AF1077" i="24"/>
  <c r="AD1077" i="24"/>
  <c r="AC1077" i="24"/>
  <c r="Z1077" i="24"/>
  <c r="X1077" i="24"/>
  <c r="T1077" i="24"/>
  <c r="S1077" i="24"/>
  <c r="R1077" i="24"/>
  <c r="P1077" i="24"/>
  <c r="N1077" i="24"/>
  <c r="O1077" i="24" s="1"/>
  <c r="M1077" i="24"/>
  <c r="K1077" i="24"/>
  <c r="J1077" i="24"/>
  <c r="H1077" i="24"/>
  <c r="F1077" i="24"/>
  <c r="AG1076" i="24"/>
  <c r="AF1076" i="24"/>
  <c r="AD1076" i="24"/>
  <c r="AC1076" i="24"/>
  <c r="Z1076" i="24"/>
  <c r="X1076" i="24"/>
  <c r="T1076" i="24"/>
  <c r="S1076" i="24"/>
  <c r="R1076" i="24"/>
  <c r="P1076" i="24"/>
  <c r="N1076" i="24"/>
  <c r="O1076" i="24" s="1"/>
  <c r="M1076" i="24"/>
  <c r="K1076" i="24"/>
  <c r="J1076" i="24"/>
  <c r="H1076" i="24"/>
  <c r="F1076" i="24"/>
  <c r="AG1075" i="24"/>
  <c r="AF1075" i="24"/>
  <c r="AD1075" i="24"/>
  <c r="AC1075" i="24"/>
  <c r="Z1075" i="24"/>
  <c r="X1075" i="24"/>
  <c r="T1075" i="24"/>
  <c r="S1075" i="24"/>
  <c r="R1075" i="24"/>
  <c r="P1075" i="24"/>
  <c r="N1075" i="24"/>
  <c r="O1075" i="24" s="1"/>
  <c r="M1075" i="24"/>
  <c r="K1075" i="24"/>
  <c r="J1075" i="24"/>
  <c r="H1075" i="24"/>
  <c r="F1075" i="24"/>
  <c r="AG1074" i="24"/>
  <c r="AF1074" i="24"/>
  <c r="AD1074" i="24"/>
  <c r="AC1074" i="24"/>
  <c r="Z1074" i="24"/>
  <c r="X1074" i="24"/>
  <c r="T1074" i="24"/>
  <c r="S1074" i="24"/>
  <c r="R1074" i="24"/>
  <c r="P1074" i="24"/>
  <c r="N1074" i="24"/>
  <c r="O1074" i="24" s="1"/>
  <c r="M1074" i="24"/>
  <c r="K1074" i="24"/>
  <c r="J1074" i="24"/>
  <c r="H1074" i="24"/>
  <c r="F1074" i="24"/>
  <c r="AG1073" i="24"/>
  <c r="AF1073" i="24"/>
  <c r="AD1073" i="24"/>
  <c r="AC1073" i="24"/>
  <c r="Z1073" i="24"/>
  <c r="X1073" i="24"/>
  <c r="T1073" i="24"/>
  <c r="S1073" i="24"/>
  <c r="R1073" i="24"/>
  <c r="P1073" i="24"/>
  <c r="N1073" i="24"/>
  <c r="O1073" i="24" s="1"/>
  <c r="M1073" i="24"/>
  <c r="K1073" i="24"/>
  <c r="J1073" i="24"/>
  <c r="H1073" i="24"/>
  <c r="F1073" i="24"/>
  <c r="AG1072" i="24"/>
  <c r="AF1072" i="24"/>
  <c r="AD1072" i="24"/>
  <c r="AC1072" i="24"/>
  <c r="Z1072" i="24"/>
  <c r="X1072" i="24"/>
  <c r="T1072" i="24"/>
  <c r="S1072" i="24"/>
  <c r="R1072" i="24"/>
  <c r="P1072" i="24"/>
  <c r="N1072" i="24"/>
  <c r="O1072" i="24" s="1"/>
  <c r="M1072" i="24"/>
  <c r="K1072" i="24"/>
  <c r="J1072" i="24"/>
  <c r="H1072" i="24"/>
  <c r="F1072" i="24"/>
  <c r="AG1071" i="24"/>
  <c r="AF1071" i="24"/>
  <c r="AD1071" i="24"/>
  <c r="AC1071" i="24"/>
  <c r="Z1071" i="24"/>
  <c r="X1071" i="24"/>
  <c r="T1071" i="24"/>
  <c r="S1071" i="24"/>
  <c r="R1071" i="24"/>
  <c r="P1071" i="24"/>
  <c r="N1071" i="24"/>
  <c r="O1071" i="24" s="1"/>
  <c r="M1071" i="24"/>
  <c r="K1071" i="24"/>
  <c r="J1071" i="24"/>
  <c r="H1071" i="24"/>
  <c r="F1071" i="24"/>
  <c r="AG1070" i="24"/>
  <c r="AF1070" i="24"/>
  <c r="AD1070" i="24"/>
  <c r="AC1070" i="24"/>
  <c r="Z1070" i="24"/>
  <c r="X1070" i="24"/>
  <c r="T1070" i="24"/>
  <c r="S1070" i="24"/>
  <c r="R1070" i="24"/>
  <c r="P1070" i="24"/>
  <c r="N1070" i="24"/>
  <c r="O1070" i="24" s="1"/>
  <c r="M1070" i="24"/>
  <c r="K1070" i="24"/>
  <c r="J1070" i="24"/>
  <c r="H1070" i="24"/>
  <c r="F1070" i="24"/>
  <c r="AG1069" i="24"/>
  <c r="AF1069" i="24"/>
  <c r="AD1069" i="24"/>
  <c r="AC1069" i="24"/>
  <c r="Z1069" i="24"/>
  <c r="X1069" i="24"/>
  <c r="T1069" i="24"/>
  <c r="S1069" i="24"/>
  <c r="R1069" i="24"/>
  <c r="P1069" i="24"/>
  <c r="N1069" i="24"/>
  <c r="M1069" i="24"/>
  <c r="K1069" i="24"/>
  <c r="J1069" i="24"/>
  <c r="H1069" i="24"/>
  <c r="F1069" i="24"/>
  <c r="AG1068" i="24"/>
  <c r="AF1068" i="24"/>
  <c r="AD1068" i="24"/>
  <c r="AC1068" i="24"/>
  <c r="Z1068" i="24"/>
  <c r="X1068" i="24"/>
  <c r="T1138" i="24"/>
  <c r="S1138" i="24"/>
  <c r="R1138" i="24"/>
  <c r="P1138" i="24"/>
  <c r="N1138" i="24"/>
  <c r="M1138" i="24"/>
  <c r="K1138" i="24"/>
  <c r="J1138" i="24"/>
  <c r="H1138" i="24"/>
  <c r="F1138" i="24"/>
  <c r="AG1067" i="24"/>
  <c r="AF1067" i="24"/>
  <c r="AD1067" i="24"/>
  <c r="AC1067" i="24"/>
  <c r="AB1067" i="24"/>
  <c r="Z1067" i="24"/>
  <c r="X1067" i="24"/>
  <c r="T1067" i="24"/>
  <c r="S1067" i="24"/>
  <c r="R1067" i="24"/>
  <c r="P1067" i="24"/>
  <c r="N1067" i="24"/>
  <c r="M1067" i="24"/>
  <c r="K1067" i="24"/>
  <c r="J1067" i="24"/>
  <c r="H1067" i="24"/>
  <c r="F1067" i="24"/>
  <c r="AG1066" i="24"/>
  <c r="AF1066" i="24"/>
  <c r="AD1066" i="24"/>
  <c r="AC1066" i="24"/>
  <c r="Z1066" i="24"/>
  <c r="X1066" i="24"/>
  <c r="T1066" i="24"/>
  <c r="S1066" i="24"/>
  <c r="R1066" i="24"/>
  <c r="P1066" i="24"/>
  <c r="N1066" i="24"/>
  <c r="O1066" i="24" s="1"/>
  <c r="M1066" i="24"/>
  <c r="K1066" i="24"/>
  <c r="J1066" i="24"/>
  <c r="H1066" i="24"/>
  <c r="F1066" i="24"/>
  <c r="AG1065" i="24"/>
  <c r="AF1065" i="24"/>
  <c r="AD1065" i="24"/>
  <c r="AC1065" i="24"/>
  <c r="Z1065" i="24"/>
  <c r="X1065" i="24"/>
  <c r="T1136" i="24"/>
  <c r="S1136" i="24"/>
  <c r="R1136" i="24"/>
  <c r="P1136" i="24"/>
  <c r="N1136" i="24"/>
  <c r="O1136" i="24" s="1"/>
  <c r="M1136" i="24"/>
  <c r="K1136" i="24"/>
  <c r="J1136" i="24"/>
  <c r="H1136" i="24"/>
  <c r="F1136" i="24"/>
  <c r="AG1064" i="24"/>
  <c r="AF1064" i="24"/>
  <c r="AD1064" i="24"/>
  <c r="AC1064" i="24"/>
  <c r="Z1064" i="24"/>
  <c r="X1064" i="24"/>
  <c r="T1064" i="24"/>
  <c r="S1064" i="24"/>
  <c r="R1064" i="24"/>
  <c r="P1064" i="24"/>
  <c r="N1064" i="24"/>
  <c r="M1064" i="24"/>
  <c r="K1064" i="24"/>
  <c r="J1064" i="24"/>
  <c r="H1064" i="24"/>
  <c r="F1064" i="24"/>
  <c r="AG1063" i="24"/>
  <c r="AF1063" i="24"/>
  <c r="AD1063" i="24"/>
  <c r="AC1063" i="24"/>
  <c r="Z1063" i="24"/>
  <c r="X1063" i="24"/>
  <c r="T1063" i="24"/>
  <c r="S1063" i="24"/>
  <c r="R1063" i="24"/>
  <c r="P1063" i="24"/>
  <c r="N1063" i="24"/>
  <c r="O1063" i="24" s="1"/>
  <c r="M1063" i="24"/>
  <c r="K1063" i="24"/>
  <c r="J1063" i="24"/>
  <c r="H1063" i="24"/>
  <c r="F1063" i="24"/>
  <c r="AG1062" i="24"/>
  <c r="AF1062" i="24"/>
  <c r="AD1062" i="24"/>
  <c r="AC1062" i="24"/>
  <c r="Z1062" i="24"/>
  <c r="X1062" i="24"/>
  <c r="T1062" i="24"/>
  <c r="S1062" i="24"/>
  <c r="R1062" i="24"/>
  <c r="P1062" i="24"/>
  <c r="N1062" i="24"/>
  <c r="M1062" i="24"/>
  <c r="K1062" i="24"/>
  <c r="J1062" i="24"/>
  <c r="H1062" i="24"/>
  <c r="F1062" i="24"/>
  <c r="AG1061" i="24"/>
  <c r="AF1061" i="24"/>
  <c r="AD1061" i="24"/>
  <c r="AC1061" i="24"/>
  <c r="AB1061" i="24"/>
  <c r="Z1061" i="24"/>
  <c r="X1061" i="24"/>
  <c r="T1061" i="24"/>
  <c r="S1061" i="24"/>
  <c r="R1061" i="24"/>
  <c r="P1061" i="24"/>
  <c r="N1061" i="24"/>
  <c r="M1061" i="24"/>
  <c r="K1061" i="24"/>
  <c r="J1061" i="24"/>
  <c r="H1061" i="24"/>
  <c r="F1061" i="24"/>
  <c r="AG1060" i="24"/>
  <c r="AF1060" i="24"/>
  <c r="AD1060" i="24"/>
  <c r="AC1060" i="24"/>
  <c r="Z1060" i="24"/>
  <c r="X1060" i="24"/>
  <c r="T1060" i="24"/>
  <c r="S1060" i="24"/>
  <c r="R1060" i="24"/>
  <c r="P1060" i="24"/>
  <c r="N1060" i="24"/>
  <c r="O1060" i="24" s="1"/>
  <c r="M1060" i="24"/>
  <c r="K1060" i="24"/>
  <c r="J1060" i="24"/>
  <c r="H1060" i="24"/>
  <c r="F1060" i="24"/>
  <c r="AG1059" i="24"/>
  <c r="AF1059" i="24"/>
  <c r="AD1059" i="24"/>
  <c r="AC1059" i="24"/>
  <c r="Z1059" i="24"/>
  <c r="X1059" i="24"/>
  <c r="T1059" i="24"/>
  <c r="S1059" i="24"/>
  <c r="R1059" i="24"/>
  <c r="P1059" i="24"/>
  <c r="N1059" i="24"/>
  <c r="M1059" i="24"/>
  <c r="K1059" i="24"/>
  <c r="J1059" i="24"/>
  <c r="H1059" i="24"/>
  <c r="F1059" i="24"/>
  <c r="AG1058" i="24"/>
  <c r="AF1058" i="24"/>
  <c r="AD1058" i="24"/>
  <c r="AC1058" i="24"/>
  <c r="Z1058" i="24"/>
  <c r="X1058" i="24"/>
  <c r="T1133" i="24"/>
  <c r="S1133" i="24"/>
  <c r="R1133" i="24"/>
  <c r="P1133" i="24"/>
  <c r="N1133" i="24"/>
  <c r="O1133" i="24" s="1"/>
  <c r="M1133" i="24"/>
  <c r="K1133" i="24"/>
  <c r="J1133" i="24"/>
  <c r="H1133" i="24"/>
  <c r="F1133" i="24"/>
  <c r="AG1057" i="24"/>
  <c r="AF1057" i="24"/>
  <c r="AD1057" i="24"/>
  <c r="AC1057" i="24"/>
  <c r="AB1057" i="24"/>
  <c r="Z1057" i="24"/>
  <c r="X1057" i="24"/>
  <c r="T1057" i="24"/>
  <c r="S1057" i="24"/>
  <c r="R1057" i="24"/>
  <c r="P1057" i="24"/>
  <c r="N1057" i="24"/>
  <c r="AA1057" i="24" s="1"/>
  <c r="M1057" i="24"/>
  <c r="K1057" i="24"/>
  <c r="J1057" i="24"/>
  <c r="H1057" i="24"/>
  <c r="F1057" i="24"/>
  <c r="AG1056" i="24"/>
  <c r="AF1056" i="24"/>
  <c r="AD1056" i="24"/>
  <c r="AC1056" i="24"/>
  <c r="Z1056" i="24"/>
  <c r="X1056" i="24"/>
  <c r="T1056" i="24"/>
  <c r="S1056" i="24"/>
  <c r="R1056" i="24"/>
  <c r="P1056" i="24"/>
  <c r="N1056" i="24"/>
  <c r="O1056" i="24" s="1"/>
  <c r="M1056" i="24"/>
  <c r="K1056" i="24"/>
  <c r="J1056" i="24"/>
  <c r="H1056" i="24"/>
  <c r="F1056" i="24"/>
  <c r="AG1055" i="24"/>
  <c r="AF1055" i="24"/>
  <c r="AD1055" i="24"/>
  <c r="AC1055" i="24"/>
  <c r="Z1055" i="24"/>
  <c r="X1055" i="24"/>
  <c r="T1055" i="24"/>
  <c r="S1055" i="24"/>
  <c r="R1055" i="24"/>
  <c r="P1055" i="24"/>
  <c r="N1055" i="24"/>
  <c r="O1055" i="24" s="1"/>
  <c r="M1055" i="24"/>
  <c r="K1055" i="24"/>
  <c r="J1055" i="24"/>
  <c r="H1055" i="24"/>
  <c r="F1055" i="24"/>
  <c r="AG1054" i="24"/>
  <c r="AF1054" i="24"/>
  <c r="AD1054" i="24"/>
  <c r="AC1054" i="24"/>
  <c r="Z1054" i="24"/>
  <c r="X1054" i="24"/>
  <c r="T1054" i="24"/>
  <c r="S1054" i="24"/>
  <c r="R1054" i="24"/>
  <c r="P1054" i="24"/>
  <c r="N1054" i="24"/>
  <c r="O1054" i="24" s="1"/>
  <c r="M1054" i="24"/>
  <c r="K1054" i="24"/>
  <c r="J1054" i="24"/>
  <c r="H1054" i="24"/>
  <c r="F1054" i="24"/>
  <c r="AG1053" i="24"/>
  <c r="AF1053" i="24"/>
  <c r="AD1053" i="24"/>
  <c r="AC1053" i="24"/>
  <c r="Z1053" i="24"/>
  <c r="X1053" i="24"/>
  <c r="T1053" i="24"/>
  <c r="S1053" i="24"/>
  <c r="R1053" i="24"/>
  <c r="P1053" i="24"/>
  <c r="N1053" i="24"/>
  <c r="O1053" i="24" s="1"/>
  <c r="M1053" i="24"/>
  <c r="K1053" i="24"/>
  <c r="J1053" i="24"/>
  <c r="H1053" i="24"/>
  <c r="F1053" i="24"/>
  <c r="AG1052" i="24"/>
  <c r="AF1052" i="24"/>
  <c r="AD1052" i="24"/>
  <c r="AC1052" i="24"/>
  <c r="AB1052" i="24"/>
  <c r="Z1052" i="24"/>
  <c r="X1052" i="24"/>
  <c r="T1052" i="24"/>
  <c r="S1052" i="24"/>
  <c r="R1052" i="24"/>
  <c r="P1052" i="24"/>
  <c r="N1052" i="24"/>
  <c r="M1052" i="24"/>
  <c r="K1052" i="24"/>
  <c r="J1052" i="24"/>
  <c r="H1052" i="24"/>
  <c r="F1052" i="24"/>
  <c r="AG1051" i="24"/>
  <c r="AF1051" i="24"/>
  <c r="AD1051" i="24"/>
  <c r="AC1051" i="24"/>
  <c r="Z1051" i="24"/>
  <c r="X1051" i="24"/>
  <c r="T1051" i="24"/>
  <c r="S1051" i="24"/>
  <c r="R1051" i="24"/>
  <c r="P1051" i="24"/>
  <c r="N1051" i="24"/>
  <c r="O1051" i="24" s="1"/>
  <c r="M1051" i="24"/>
  <c r="K1051" i="24"/>
  <c r="J1051" i="24"/>
  <c r="H1051" i="24"/>
  <c r="F1051" i="24"/>
  <c r="AG1050" i="24"/>
  <c r="AF1050" i="24"/>
  <c r="AD1050" i="24"/>
  <c r="AC1050" i="24"/>
  <c r="Z1050" i="24"/>
  <c r="X1050" i="24"/>
  <c r="T1050" i="24"/>
  <c r="S1050" i="24"/>
  <c r="R1050" i="24"/>
  <c r="P1050" i="24"/>
  <c r="N1050" i="24"/>
  <c r="O1050" i="24" s="1"/>
  <c r="M1050" i="24"/>
  <c r="K1050" i="24"/>
  <c r="J1050" i="24"/>
  <c r="H1050" i="24"/>
  <c r="F1050" i="24"/>
  <c r="AG1049" i="24"/>
  <c r="AF1049" i="24"/>
  <c r="AD1049" i="24"/>
  <c r="AC1049" i="24"/>
  <c r="Z1049" i="24"/>
  <c r="X1049" i="24"/>
  <c r="T1108" i="24"/>
  <c r="S1108" i="24"/>
  <c r="R1108" i="24"/>
  <c r="P1108" i="24"/>
  <c r="N1108" i="24"/>
  <c r="O1108" i="24" s="1"/>
  <c r="M1108" i="24"/>
  <c r="K1108" i="24"/>
  <c r="J1108" i="24"/>
  <c r="H1108" i="24"/>
  <c r="F1108" i="24"/>
  <c r="AG1048" i="24"/>
  <c r="AF1048" i="24"/>
  <c r="AD1048" i="24"/>
  <c r="AC1048" i="24"/>
  <c r="Z1048" i="24"/>
  <c r="X1048" i="24"/>
  <c r="T1048" i="24"/>
  <c r="S1048" i="24"/>
  <c r="R1048" i="24"/>
  <c r="P1048" i="24"/>
  <c r="N1048" i="24"/>
  <c r="O1048" i="24" s="1"/>
  <c r="M1048" i="24"/>
  <c r="K1048" i="24"/>
  <c r="J1048" i="24"/>
  <c r="H1048" i="24"/>
  <c r="F1048" i="24"/>
  <c r="AG1047" i="24"/>
  <c r="AF1047" i="24"/>
  <c r="AD1047" i="24"/>
  <c r="AC1047" i="24"/>
  <c r="Z1047" i="24"/>
  <c r="X1047" i="24"/>
  <c r="T1047" i="24"/>
  <c r="S1047" i="24"/>
  <c r="R1047" i="24"/>
  <c r="P1047" i="24"/>
  <c r="N1047" i="24"/>
  <c r="M1047" i="24"/>
  <c r="K1047" i="24"/>
  <c r="J1047" i="24"/>
  <c r="H1047" i="24"/>
  <c r="F1047" i="24"/>
  <c r="AG1046" i="24"/>
  <c r="AF1046" i="24"/>
  <c r="AD1046" i="24"/>
  <c r="AC1046" i="24"/>
  <c r="Z1046" i="24"/>
  <c r="X1046" i="24"/>
  <c r="T1068" i="24"/>
  <c r="S1068" i="24"/>
  <c r="R1068" i="24"/>
  <c r="P1068" i="24"/>
  <c r="N1068" i="24"/>
  <c r="O1068" i="24" s="1"/>
  <c r="M1068" i="24"/>
  <c r="K1068" i="24"/>
  <c r="J1068" i="24"/>
  <c r="H1068" i="24"/>
  <c r="F1068" i="24"/>
  <c r="AG1045" i="24"/>
  <c r="AF1045" i="24"/>
  <c r="AD1045" i="24"/>
  <c r="AC1045" i="24"/>
  <c r="AB1045" i="24"/>
  <c r="Z1045" i="24"/>
  <c r="X1045" i="24"/>
  <c r="T1045" i="24"/>
  <c r="S1045" i="24"/>
  <c r="R1045" i="24"/>
  <c r="P1045" i="24"/>
  <c r="N1045" i="24"/>
  <c r="O1045" i="24" s="1"/>
  <c r="M1045" i="24"/>
  <c r="K1045" i="24"/>
  <c r="J1045" i="24"/>
  <c r="H1045" i="24"/>
  <c r="F1045" i="24"/>
  <c r="AG1044" i="24"/>
  <c r="AF1044" i="24"/>
  <c r="AD1044" i="24"/>
  <c r="AC1044" i="24"/>
  <c r="Z1044" i="24"/>
  <c r="X1044" i="24"/>
  <c r="T1044" i="24"/>
  <c r="S1044" i="24"/>
  <c r="R1044" i="24"/>
  <c r="P1044" i="24"/>
  <c r="N1044" i="24"/>
  <c r="O1044" i="24" s="1"/>
  <c r="M1044" i="24"/>
  <c r="K1044" i="24"/>
  <c r="J1044" i="24"/>
  <c r="H1044" i="24"/>
  <c r="F1044" i="24"/>
  <c r="AG1043" i="24"/>
  <c r="AF1043" i="24"/>
  <c r="AD1043" i="24"/>
  <c r="AC1043" i="24"/>
  <c r="Z1043" i="24"/>
  <c r="X1043" i="24"/>
  <c r="T1043" i="24"/>
  <c r="S1043" i="24"/>
  <c r="R1043" i="24"/>
  <c r="P1043" i="24"/>
  <c r="N1043" i="24"/>
  <c r="O1043" i="24" s="1"/>
  <c r="M1043" i="24"/>
  <c r="K1043" i="24"/>
  <c r="J1043" i="24"/>
  <c r="H1043" i="24"/>
  <c r="F1043" i="24"/>
  <c r="AG1042" i="24"/>
  <c r="AF1042" i="24"/>
  <c r="AD1042" i="24"/>
  <c r="AC1042" i="24"/>
  <c r="Z1042" i="24"/>
  <c r="X1042" i="24"/>
  <c r="T1042" i="24"/>
  <c r="S1042" i="24"/>
  <c r="R1042" i="24"/>
  <c r="P1042" i="24"/>
  <c r="N1042" i="24"/>
  <c r="O1042" i="24" s="1"/>
  <c r="M1042" i="24"/>
  <c r="K1042" i="24"/>
  <c r="J1042" i="24"/>
  <c r="H1042" i="24"/>
  <c r="F1042" i="24"/>
  <c r="AG1041" i="24"/>
  <c r="AF1041" i="24"/>
  <c r="AD1041" i="24"/>
  <c r="AC1041" i="24"/>
  <c r="Z1041" i="24"/>
  <c r="X1041" i="24"/>
  <c r="T1041" i="24"/>
  <c r="S1041" i="24"/>
  <c r="R1041" i="24"/>
  <c r="P1041" i="24"/>
  <c r="N1041" i="24"/>
  <c r="M1041" i="24"/>
  <c r="K1041" i="24"/>
  <c r="J1041" i="24"/>
  <c r="H1041" i="24"/>
  <c r="F1041" i="24"/>
  <c r="AG1040" i="24"/>
  <c r="AF1040" i="24"/>
  <c r="AD1040" i="24"/>
  <c r="AC1040" i="24"/>
  <c r="Z1040" i="24"/>
  <c r="X1040" i="24"/>
  <c r="T1040" i="24"/>
  <c r="S1040" i="24"/>
  <c r="R1040" i="24"/>
  <c r="P1040" i="24"/>
  <c r="N1040" i="24"/>
  <c r="O1040" i="24" s="1"/>
  <c r="M1040" i="24"/>
  <c r="K1040" i="24"/>
  <c r="J1040" i="24"/>
  <c r="H1040" i="24"/>
  <c r="F1040" i="24"/>
  <c r="AG1039" i="24"/>
  <c r="AF1039" i="24"/>
  <c r="AD1039" i="24"/>
  <c r="AC1039" i="24"/>
  <c r="Z1039" i="24"/>
  <c r="X1039" i="24"/>
  <c r="T1039" i="24"/>
  <c r="S1039" i="24"/>
  <c r="R1039" i="24"/>
  <c r="P1039" i="24"/>
  <c r="N1039" i="24"/>
  <c r="M1039" i="24"/>
  <c r="K1039" i="24"/>
  <c r="J1039" i="24"/>
  <c r="H1039" i="24"/>
  <c r="F1039" i="24"/>
  <c r="AG1038" i="24"/>
  <c r="AF1038" i="24"/>
  <c r="AD1038" i="24"/>
  <c r="AC1038" i="24"/>
  <c r="Z1038" i="24"/>
  <c r="X1038" i="24"/>
  <c r="T1038" i="24"/>
  <c r="S1038" i="24"/>
  <c r="R1038" i="24"/>
  <c r="P1038" i="24"/>
  <c r="N1038" i="24"/>
  <c r="M1038" i="24"/>
  <c r="K1038" i="24"/>
  <c r="J1038" i="24"/>
  <c r="H1038" i="24"/>
  <c r="F1038" i="24"/>
  <c r="AG1037" i="24"/>
  <c r="AF1037" i="24"/>
  <c r="AD1037" i="24"/>
  <c r="AC1037" i="24"/>
  <c r="Z1037" i="24"/>
  <c r="X1037" i="24"/>
  <c r="T1037" i="24"/>
  <c r="S1037" i="24"/>
  <c r="R1037" i="24"/>
  <c r="P1037" i="24"/>
  <c r="N1037" i="24"/>
  <c r="M1037" i="24"/>
  <c r="K1037" i="24"/>
  <c r="J1037" i="24"/>
  <c r="H1037" i="24"/>
  <c r="F1037" i="24"/>
  <c r="AG1036" i="24"/>
  <c r="AF1036" i="24"/>
  <c r="AD1036" i="24"/>
  <c r="AC1036" i="24"/>
  <c r="Z1036" i="24"/>
  <c r="X1036" i="24"/>
  <c r="T1036" i="24"/>
  <c r="S1036" i="24"/>
  <c r="R1036" i="24"/>
  <c r="P1036" i="24"/>
  <c r="N1036" i="24"/>
  <c r="O1036" i="24" s="1"/>
  <c r="M1036" i="24"/>
  <c r="K1036" i="24"/>
  <c r="J1036" i="24"/>
  <c r="H1036" i="24"/>
  <c r="F1036" i="24"/>
  <c r="AG1035" i="24"/>
  <c r="AF1035" i="24"/>
  <c r="AD1035" i="24"/>
  <c r="AC1035" i="24"/>
  <c r="Z1035" i="24"/>
  <c r="X1035" i="24"/>
  <c r="T1035" i="24"/>
  <c r="S1035" i="24"/>
  <c r="R1035" i="24"/>
  <c r="P1035" i="24"/>
  <c r="N1035" i="24"/>
  <c r="M1035" i="24"/>
  <c r="K1035" i="24"/>
  <c r="J1035" i="24"/>
  <c r="H1035" i="24"/>
  <c r="F1035" i="24"/>
  <c r="AG1034" i="24"/>
  <c r="AF1034" i="24"/>
  <c r="AD1034" i="24"/>
  <c r="AC1034" i="24"/>
  <c r="Z1034" i="24"/>
  <c r="X1034" i="24"/>
  <c r="T1065" i="24"/>
  <c r="S1065" i="24"/>
  <c r="R1065" i="24"/>
  <c r="P1065" i="24"/>
  <c r="N1065" i="24"/>
  <c r="O1065" i="24" s="1"/>
  <c r="M1065" i="24"/>
  <c r="K1065" i="24"/>
  <c r="J1065" i="24"/>
  <c r="H1065" i="24"/>
  <c r="F1065" i="24"/>
  <c r="AG1033" i="24"/>
  <c r="AF1033" i="24"/>
  <c r="AD1033" i="24"/>
  <c r="AC1033" i="24"/>
  <c r="Z1033" i="24"/>
  <c r="X1033" i="24"/>
  <c r="T1033" i="24"/>
  <c r="S1033" i="24"/>
  <c r="R1033" i="24"/>
  <c r="P1033" i="24"/>
  <c r="N1033" i="24"/>
  <c r="M1033" i="24"/>
  <c r="K1033" i="24"/>
  <c r="J1033" i="24"/>
  <c r="H1033" i="24"/>
  <c r="F1033" i="24"/>
  <c r="AG1032" i="24"/>
  <c r="AF1032" i="24"/>
  <c r="AD1032" i="24"/>
  <c r="AC1032" i="24"/>
  <c r="Z1032" i="24"/>
  <c r="X1032" i="24"/>
  <c r="T1032" i="24"/>
  <c r="S1032" i="24"/>
  <c r="R1032" i="24"/>
  <c r="P1032" i="24"/>
  <c r="N1032" i="24"/>
  <c r="O1032" i="24" s="1"/>
  <c r="M1032" i="24"/>
  <c r="K1032" i="24"/>
  <c r="J1032" i="24"/>
  <c r="H1032" i="24"/>
  <c r="F1032" i="24"/>
  <c r="AG1031" i="24"/>
  <c r="AF1031" i="24"/>
  <c r="AD1031" i="24"/>
  <c r="AC1031" i="24"/>
  <c r="Z1031" i="24"/>
  <c r="X1031" i="24"/>
  <c r="T1031" i="24"/>
  <c r="S1031" i="24"/>
  <c r="R1031" i="24"/>
  <c r="P1031" i="24"/>
  <c r="N1031" i="24"/>
  <c r="O1031" i="24" s="1"/>
  <c r="M1031" i="24"/>
  <c r="K1031" i="24"/>
  <c r="J1031" i="24"/>
  <c r="H1031" i="24"/>
  <c r="F1031" i="24"/>
  <c r="AG1030" i="24"/>
  <c r="AF1030" i="24"/>
  <c r="AD1030" i="24"/>
  <c r="AC1030" i="24"/>
  <c r="Z1030" i="24"/>
  <c r="X1030" i="24"/>
  <c r="T1030" i="24"/>
  <c r="S1030" i="24"/>
  <c r="R1030" i="24"/>
  <c r="P1030" i="24"/>
  <c r="N1030" i="24"/>
  <c r="O1030" i="24" s="1"/>
  <c r="M1030" i="24"/>
  <c r="K1030" i="24"/>
  <c r="J1030" i="24"/>
  <c r="H1030" i="24"/>
  <c r="F1030" i="24"/>
  <c r="AG1029" i="24"/>
  <c r="AF1029" i="24"/>
  <c r="AD1029" i="24"/>
  <c r="AC1029" i="24"/>
  <c r="Z1029" i="24"/>
  <c r="X1029" i="24"/>
  <c r="T1058" i="24"/>
  <c r="S1058" i="24"/>
  <c r="R1058" i="24"/>
  <c r="P1058" i="24"/>
  <c r="N1058" i="24"/>
  <c r="M1058" i="24"/>
  <c r="K1058" i="24"/>
  <c r="J1058" i="24"/>
  <c r="H1058" i="24"/>
  <c r="F1058" i="24"/>
  <c r="AG1028" i="24"/>
  <c r="AF1028" i="24"/>
  <c r="AD1028" i="24"/>
  <c r="AC1028" i="24"/>
  <c r="Z1028" i="24"/>
  <c r="X1028" i="24"/>
  <c r="T1028" i="24"/>
  <c r="S1028" i="24"/>
  <c r="R1028" i="24"/>
  <c r="P1028" i="24"/>
  <c r="N1028" i="24"/>
  <c r="M1028" i="24"/>
  <c r="K1028" i="24"/>
  <c r="J1028" i="24"/>
  <c r="H1028" i="24"/>
  <c r="F1028" i="24"/>
  <c r="AG1027" i="24"/>
  <c r="AF1027" i="24"/>
  <c r="AD1027" i="24"/>
  <c r="AC1027" i="24"/>
  <c r="Z1027" i="24"/>
  <c r="X1027" i="24"/>
  <c r="T1027" i="24"/>
  <c r="S1027" i="24"/>
  <c r="R1027" i="24"/>
  <c r="P1027" i="24"/>
  <c r="N1027" i="24"/>
  <c r="M1027" i="24"/>
  <c r="K1027" i="24"/>
  <c r="J1027" i="24"/>
  <c r="H1027" i="24"/>
  <c r="F1027" i="24"/>
  <c r="AG1026" i="24"/>
  <c r="AF1026" i="24"/>
  <c r="AD1026" i="24"/>
  <c r="AC1026" i="24"/>
  <c r="Z1026" i="24"/>
  <c r="X1026" i="24"/>
  <c r="T1026" i="24"/>
  <c r="S1026" i="24"/>
  <c r="R1026" i="24"/>
  <c r="P1026" i="24"/>
  <c r="N1026" i="24"/>
  <c r="O1026" i="24" s="1"/>
  <c r="M1026" i="24"/>
  <c r="K1026" i="24"/>
  <c r="J1026" i="24"/>
  <c r="H1026" i="24"/>
  <c r="F1026" i="24"/>
  <c r="AG1025" i="24"/>
  <c r="AF1025" i="24"/>
  <c r="AD1025" i="24"/>
  <c r="AC1025" i="24"/>
  <c r="Z1025" i="24"/>
  <c r="X1025" i="24"/>
  <c r="T1025" i="24"/>
  <c r="S1025" i="24"/>
  <c r="R1025" i="24"/>
  <c r="P1025" i="24"/>
  <c r="N1025" i="24"/>
  <c r="O1025" i="24" s="1"/>
  <c r="M1025" i="24"/>
  <c r="K1025" i="24"/>
  <c r="J1025" i="24"/>
  <c r="H1025" i="24"/>
  <c r="F1025" i="24"/>
  <c r="AG1024" i="24"/>
  <c r="AF1024" i="24"/>
  <c r="AD1024" i="24"/>
  <c r="AC1024" i="24"/>
  <c r="Z1024" i="24"/>
  <c r="X1024" i="24"/>
  <c r="T1024" i="24"/>
  <c r="S1024" i="24"/>
  <c r="R1024" i="24"/>
  <c r="P1024" i="24"/>
  <c r="N1024" i="24"/>
  <c r="O1024" i="24" s="1"/>
  <c r="M1024" i="24"/>
  <c r="K1024" i="24"/>
  <c r="J1024" i="24"/>
  <c r="H1024" i="24"/>
  <c r="F1024" i="24"/>
  <c r="AG1023" i="24"/>
  <c r="AF1023" i="24"/>
  <c r="AD1023" i="24"/>
  <c r="AC1023" i="24"/>
  <c r="Z1023" i="24"/>
  <c r="X1023" i="24"/>
  <c r="T1023" i="24"/>
  <c r="S1023" i="24"/>
  <c r="R1023" i="24"/>
  <c r="P1023" i="24"/>
  <c r="N1023" i="24"/>
  <c r="M1023" i="24"/>
  <c r="K1023" i="24"/>
  <c r="J1023" i="24"/>
  <c r="H1023" i="24"/>
  <c r="F1023" i="24"/>
  <c r="AG1022" i="24"/>
  <c r="AF1022" i="24"/>
  <c r="AD1022" i="24"/>
  <c r="AC1022" i="24"/>
  <c r="Z1022" i="24"/>
  <c r="X1022" i="24"/>
  <c r="T1049" i="24"/>
  <c r="S1049" i="24"/>
  <c r="R1049" i="24"/>
  <c r="P1049" i="24"/>
  <c r="N1049" i="24"/>
  <c r="O1049" i="24" s="1"/>
  <c r="M1049" i="24"/>
  <c r="K1049" i="24"/>
  <c r="J1049" i="24"/>
  <c r="H1049" i="24"/>
  <c r="F1049" i="24"/>
  <c r="AG1021" i="24"/>
  <c r="AF1021" i="24"/>
  <c r="AD1021" i="24"/>
  <c r="AC1021" i="24"/>
  <c r="Z1021" i="24"/>
  <c r="X1021" i="24"/>
  <c r="T1021" i="24"/>
  <c r="S1021" i="24"/>
  <c r="R1021" i="24"/>
  <c r="P1021" i="24"/>
  <c r="N1021" i="24"/>
  <c r="M1021" i="24"/>
  <c r="K1021" i="24"/>
  <c r="J1021" i="24"/>
  <c r="H1021" i="24"/>
  <c r="F1021" i="24"/>
  <c r="AG1020" i="24"/>
  <c r="AF1020" i="24"/>
  <c r="AD1020" i="24"/>
  <c r="AC1020" i="24"/>
  <c r="Z1020" i="24"/>
  <c r="X1020" i="24"/>
  <c r="T1046" i="24"/>
  <c r="S1046" i="24"/>
  <c r="R1046" i="24"/>
  <c r="P1046" i="24"/>
  <c r="N1046" i="24"/>
  <c r="O1046" i="24" s="1"/>
  <c r="M1046" i="24"/>
  <c r="K1046" i="24"/>
  <c r="J1046" i="24"/>
  <c r="H1046" i="24"/>
  <c r="F1046" i="24"/>
  <c r="AG1019" i="24"/>
  <c r="AF1019" i="24"/>
  <c r="AD1019" i="24"/>
  <c r="AC1019" i="24"/>
  <c r="Z1019" i="24"/>
  <c r="X1019" i="24"/>
  <c r="T1019" i="24"/>
  <c r="S1019" i="24"/>
  <c r="R1019" i="24"/>
  <c r="P1019" i="24"/>
  <c r="N1019" i="24"/>
  <c r="O1019" i="24" s="1"/>
  <c r="M1019" i="24"/>
  <c r="K1019" i="24"/>
  <c r="J1019" i="24"/>
  <c r="H1019" i="24"/>
  <c r="F1019" i="24"/>
  <c r="AG1018" i="24"/>
  <c r="AF1018" i="24"/>
  <c r="AD1018" i="24"/>
  <c r="AC1018" i="24"/>
  <c r="Z1018" i="24"/>
  <c r="X1018" i="24"/>
  <c r="T1018" i="24"/>
  <c r="S1018" i="24"/>
  <c r="R1018" i="24"/>
  <c r="P1018" i="24"/>
  <c r="N1018" i="24"/>
  <c r="O1018" i="24" s="1"/>
  <c r="M1018" i="24"/>
  <c r="K1018" i="24"/>
  <c r="J1018" i="24"/>
  <c r="H1018" i="24"/>
  <c r="F1018" i="24"/>
  <c r="AG1017" i="24"/>
  <c r="AF1017" i="24"/>
  <c r="AD1017" i="24"/>
  <c r="AC1017" i="24"/>
  <c r="AB1017" i="24"/>
  <c r="Z1017" i="24"/>
  <c r="X1017" i="24"/>
  <c r="T1017" i="24"/>
  <c r="S1017" i="24"/>
  <c r="R1017" i="24"/>
  <c r="P1017" i="24"/>
  <c r="N1017" i="24"/>
  <c r="M1017" i="24"/>
  <c r="K1017" i="24"/>
  <c r="J1017" i="24"/>
  <c r="H1017" i="24"/>
  <c r="F1017" i="24"/>
  <c r="AG1016" i="24"/>
  <c r="AF1016" i="24"/>
  <c r="AD1016" i="24"/>
  <c r="AC1016" i="24"/>
  <c r="Z1016" i="24"/>
  <c r="X1016" i="24"/>
  <c r="T1016" i="24"/>
  <c r="S1016" i="24"/>
  <c r="R1016" i="24"/>
  <c r="P1016" i="24"/>
  <c r="N1016" i="24"/>
  <c r="O1016" i="24" s="1"/>
  <c r="M1016" i="24"/>
  <c r="K1016" i="24"/>
  <c r="J1016" i="24"/>
  <c r="H1016" i="24"/>
  <c r="F1016" i="24"/>
  <c r="AG1015" i="24"/>
  <c r="AF1015" i="24"/>
  <c r="AD1015" i="24"/>
  <c r="AC1015" i="24"/>
  <c r="Z1015" i="24"/>
  <c r="X1015" i="24"/>
  <c r="T1015" i="24"/>
  <c r="S1015" i="24"/>
  <c r="R1015" i="24"/>
  <c r="P1015" i="24"/>
  <c r="N1015" i="24"/>
  <c r="O1015" i="24" s="1"/>
  <c r="M1015" i="24"/>
  <c r="K1015" i="24"/>
  <c r="J1015" i="24"/>
  <c r="H1015" i="24"/>
  <c r="F1015" i="24"/>
  <c r="AG1014" i="24"/>
  <c r="AF1014" i="24"/>
  <c r="AD1014" i="24"/>
  <c r="AC1014" i="24"/>
  <c r="Z1014" i="24"/>
  <c r="X1014" i="24"/>
  <c r="T1014" i="24"/>
  <c r="S1014" i="24"/>
  <c r="R1014" i="24"/>
  <c r="P1014" i="24"/>
  <c r="N1014" i="24"/>
  <c r="M1014" i="24"/>
  <c r="K1014" i="24"/>
  <c r="J1014" i="24"/>
  <c r="H1014" i="24"/>
  <c r="F1014" i="24"/>
  <c r="AG1013" i="24"/>
  <c r="AF1013" i="24"/>
  <c r="AD1013" i="24"/>
  <c r="AC1013" i="24"/>
  <c r="Z1013" i="24"/>
  <c r="X1013" i="24"/>
  <c r="T1013" i="24"/>
  <c r="S1013" i="24"/>
  <c r="R1013" i="24"/>
  <c r="P1013" i="24"/>
  <c r="N1013" i="24"/>
  <c r="M1013" i="24"/>
  <c r="K1013" i="24"/>
  <c r="J1013" i="24"/>
  <c r="H1013" i="24"/>
  <c r="F1013" i="24"/>
  <c r="AG1012" i="24"/>
  <c r="AF1012" i="24"/>
  <c r="AD1012" i="24"/>
  <c r="AC1012" i="24"/>
  <c r="Z1012" i="24"/>
  <c r="X1012" i="24"/>
  <c r="T1012" i="24"/>
  <c r="S1012" i="24"/>
  <c r="R1012" i="24"/>
  <c r="P1012" i="24"/>
  <c r="N1012" i="24"/>
  <c r="M1012" i="24"/>
  <c r="K1012" i="24"/>
  <c r="J1012" i="24"/>
  <c r="H1012" i="24"/>
  <c r="F1012" i="24"/>
  <c r="AG1011" i="24"/>
  <c r="AF1011" i="24"/>
  <c r="AD1011" i="24"/>
  <c r="AC1011" i="24"/>
  <c r="Z1011" i="24"/>
  <c r="X1011" i="24"/>
  <c r="T1011" i="24"/>
  <c r="S1011" i="24"/>
  <c r="R1011" i="24"/>
  <c r="P1011" i="24"/>
  <c r="N1011" i="24"/>
  <c r="O1011" i="24" s="1"/>
  <c r="M1011" i="24"/>
  <c r="K1011" i="24"/>
  <c r="J1011" i="24"/>
  <c r="H1011" i="24"/>
  <c r="F1011" i="24"/>
  <c r="AG1010" i="24"/>
  <c r="AF1010" i="24"/>
  <c r="AD1010" i="24"/>
  <c r="AC1010" i="24"/>
  <c r="Z1010" i="24"/>
  <c r="X1010" i="24"/>
  <c r="T1010" i="24"/>
  <c r="S1010" i="24"/>
  <c r="R1010" i="24"/>
  <c r="P1010" i="24"/>
  <c r="N1010" i="24"/>
  <c r="O1010" i="24" s="1"/>
  <c r="M1010" i="24"/>
  <c r="K1010" i="24"/>
  <c r="J1010" i="24"/>
  <c r="H1010" i="24"/>
  <c r="F1010" i="24"/>
  <c r="AG1009" i="24"/>
  <c r="AF1009" i="24"/>
  <c r="AD1009" i="24"/>
  <c r="AC1009" i="24"/>
  <c r="Z1009" i="24"/>
  <c r="X1009" i="24"/>
  <c r="T1009" i="24"/>
  <c r="S1009" i="24"/>
  <c r="R1009" i="24"/>
  <c r="P1009" i="24"/>
  <c r="N1009" i="24"/>
  <c r="M1009" i="24"/>
  <c r="K1009" i="24"/>
  <c r="J1009" i="24"/>
  <c r="H1009" i="24"/>
  <c r="F1009" i="24"/>
  <c r="AG1008" i="24"/>
  <c r="AF1008" i="24"/>
  <c r="AD1008" i="24"/>
  <c r="AC1008" i="24"/>
  <c r="Z1008" i="24"/>
  <c r="X1008" i="24"/>
  <c r="T1008" i="24"/>
  <c r="S1008" i="24"/>
  <c r="R1008" i="24"/>
  <c r="P1008" i="24"/>
  <c r="N1008" i="24"/>
  <c r="M1008" i="24"/>
  <c r="K1008" i="24"/>
  <c r="J1008" i="24"/>
  <c r="H1008" i="24"/>
  <c r="F1008" i="24"/>
  <c r="AG1007" i="24"/>
  <c r="AF1007" i="24"/>
  <c r="AD1007" i="24"/>
  <c r="AC1007" i="24"/>
  <c r="Z1007" i="24"/>
  <c r="X1007" i="24"/>
  <c r="T1007" i="24"/>
  <c r="S1007" i="24"/>
  <c r="R1007" i="24"/>
  <c r="P1007" i="24"/>
  <c r="N1007" i="24"/>
  <c r="O1007" i="24" s="1"/>
  <c r="M1007" i="24"/>
  <c r="K1007" i="24"/>
  <c r="J1007" i="24"/>
  <c r="H1007" i="24"/>
  <c r="F1007" i="24"/>
  <c r="AG1006" i="24"/>
  <c r="AF1006" i="24"/>
  <c r="AD1006" i="24"/>
  <c r="AC1006" i="24"/>
  <c r="Z1006" i="24"/>
  <c r="X1006" i="24"/>
  <c r="T1006" i="24"/>
  <c r="S1006" i="24"/>
  <c r="R1006" i="24"/>
  <c r="P1006" i="24"/>
  <c r="N1006" i="24"/>
  <c r="M1006" i="24"/>
  <c r="K1006" i="24"/>
  <c r="J1006" i="24"/>
  <c r="H1006" i="24"/>
  <c r="F1006" i="24"/>
  <c r="AG1005" i="24"/>
  <c r="AF1005" i="24"/>
  <c r="AD1005" i="24"/>
  <c r="AC1005" i="24"/>
  <c r="AB1005" i="24"/>
  <c r="Z1005" i="24"/>
  <c r="X1005" i="24"/>
  <c r="T1005" i="24"/>
  <c r="S1005" i="24"/>
  <c r="R1005" i="24"/>
  <c r="P1005" i="24"/>
  <c r="N1005" i="24"/>
  <c r="M1005" i="24"/>
  <c r="K1005" i="24"/>
  <c r="J1005" i="24"/>
  <c r="H1005" i="24"/>
  <c r="F1005" i="24"/>
  <c r="AG1004" i="24"/>
  <c r="AF1004" i="24"/>
  <c r="AD1004" i="24"/>
  <c r="AC1004" i="24"/>
  <c r="Z1004" i="24"/>
  <c r="X1004" i="24"/>
  <c r="T1004" i="24"/>
  <c r="S1004" i="24"/>
  <c r="R1004" i="24"/>
  <c r="P1004" i="24"/>
  <c r="N1004" i="24"/>
  <c r="O1004" i="24" s="1"/>
  <c r="M1004" i="24"/>
  <c r="K1004" i="24"/>
  <c r="J1004" i="24"/>
  <c r="H1004" i="24"/>
  <c r="F1004" i="24"/>
  <c r="AG1003" i="24"/>
  <c r="AF1003" i="24"/>
  <c r="AD1003" i="24"/>
  <c r="AC1003" i="24"/>
  <c r="Z1003" i="24"/>
  <c r="X1003" i="24"/>
  <c r="T1003" i="24"/>
  <c r="S1003" i="24"/>
  <c r="R1003" i="24"/>
  <c r="P1003" i="24"/>
  <c r="N1003" i="24"/>
  <c r="O1003" i="24" s="1"/>
  <c r="M1003" i="24"/>
  <c r="K1003" i="24"/>
  <c r="J1003" i="24"/>
  <c r="H1003" i="24"/>
  <c r="F1003" i="24"/>
  <c r="AG1002" i="24"/>
  <c r="AF1002" i="24"/>
  <c r="AD1002" i="24"/>
  <c r="AC1002" i="24"/>
  <c r="Z1002" i="24"/>
  <c r="X1002" i="24"/>
  <c r="T1002" i="24"/>
  <c r="S1002" i="24"/>
  <c r="R1002" i="24"/>
  <c r="P1002" i="24"/>
  <c r="N1002" i="24"/>
  <c r="M1002" i="24"/>
  <c r="K1002" i="24"/>
  <c r="J1002" i="24"/>
  <c r="H1002" i="24"/>
  <c r="F1002" i="24"/>
  <c r="AG1001" i="24"/>
  <c r="AF1001" i="24"/>
  <c r="AD1001" i="24"/>
  <c r="AC1001" i="24"/>
  <c r="Z1001" i="24"/>
  <c r="X1001" i="24"/>
  <c r="T1001" i="24"/>
  <c r="S1001" i="24"/>
  <c r="R1001" i="24"/>
  <c r="P1001" i="24"/>
  <c r="N1001" i="24"/>
  <c r="O1001" i="24" s="1"/>
  <c r="M1001" i="24"/>
  <c r="K1001" i="24"/>
  <c r="J1001" i="24"/>
  <c r="H1001" i="24"/>
  <c r="F1001" i="24"/>
  <c r="AG1000" i="24"/>
  <c r="AF1000" i="24"/>
  <c r="AD1000" i="24"/>
  <c r="AC1000" i="24"/>
  <c r="Z1000" i="24"/>
  <c r="X1000" i="24"/>
  <c r="T1000" i="24"/>
  <c r="S1000" i="24"/>
  <c r="R1000" i="24"/>
  <c r="P1000" i="24"/>
  <c r="N1000" i="24"/>
  <c r="O1000" i="24" s="1"/>
  <c r="M1000" i="24"/>
  <c r="K1000" i="24"/>
  <c r="J1000" i="24"/>
  <c r="H1000" i="24"/>
  <c r="F1000" i="24"/>
  <c r="AG999" i="24"/>
  <c r="AF999" i="24"/>
  <c r="AD999" i="24"/>
  <c r="AC999" i="24"/>
  <c r="Z999" i="24"/>
  <c r="X999" i="24"/>
  <c r="T999" i="24"/>
  <c r="S999" i="24"/>
  <c r="R999" i="24"/>
  <c r="P999" i="24"/>
  <c r="N999" i="24"/>
  <c r="O999" i="24" s="1"/>
  <c r="M999" i="24"/>
  <c r="K999" i="24"/>
  <c r="J999" i="24"/>
  <c r="H999" i="24"/>
  <c r="F999" i="24"/>
  <c r="AG998" i="24"/>
  <c r="AF998" i="24"/>
  <c r="AD998" i="24"/>
  <c r="AC998" i="24"/>
  <c r="Z998" i="24"/>
  <c r="X998" i="24"/>
  <c r="T998" i="24"/>
  <c r="S998" i="24"/>
  <c r="R998" i="24"/>
  <c r="P998" i="24"/>
  <c r="N998" i="24"/>
  <c r="O998" i="24" s="1"/>
  <c r="M998" i="24"/>
  <c r="K998" i="24"/>
  <c r="J998" i="24"/>
  <c r="H998" i="24"/>
  <c r="F998" i="24"/>
  <c r="AG997" i="24"/>
  <c r="AF997" i="24"/>
  <c r="AD997" i="24"/>
  <c r="AC997" i="24"/>
  <c r="Z997" i="24"/>
  <c r="X997" i="24"/>
  <c r="T997" i="24"/>
  <c r="S997" i="24"/>
  <c r="R997" i="24"/>
  <c r="P997" i="24"/>
  <c r="N997" i="24"/>
  <c r="O997" i="24" s="1"/>
  <c r="M997" i="24"/>
  <c r="K997" i="24"/>
  <c r="J997" i="24"/>
  <c r="H997" i="24"/>
  <c r="F997" i="24"/>
  <c r="AG996" i="24"/>
  <c r="AF996" i="24"/>
  <c r="AD996" i="24"/>
  <c r="AC996" i="24"/>
  <c r="Z996" i="24"/>
  <c r="X996" i="24"/>
  <c r="T996" i="24"/>
  <c r="S996" i="24"/>
  <c r="R996" i="24"/>
  <c r="P996" i="24"/>
  <c r="N996" i="24"/>
  <c r="O996" i="24" s="1"/>
  <c r="M996" i="24"/>
  <c r="K996" i="24"/>
  <c r="J996" i="24"/>
  <c r="H996" i="24"/>
  <c r="F996" i="24"/>
  <c r="AG995" i="24"/>
  <c r="AF995" i="24"/>
  <c r="AD995" i="24"/>
  <c r="AC995" i="24"/>
  <c r="Z995" i="24"/>
  <c r="X995" i="24"/>
  <c r="T995" i="24"/>
  <c r="S995" i="24"/>
  <c r="R995" i="24"/>
  <c r="P995" i="24"/>
  <c r="N995" i="24"/>
  <c r="M995" i="24"/>
  <c r="K995" i="24"/>
  <c r="J995" i="24"/>
  <c r="H995" i="24"/>
  <c r="F995" i="24"/>
  <c r="AG994" i="24"/>
  <c r="AF994" i="24"/>
  <c r="AD994" i="24"/>
  <c r="AC994" i="24"/>
  <c r="Z994" i="24"/>
  <c r="X994" i="24"/>
  <c r="T994" i="24"/>
  <c r="S994" i="24"/>
  <c r="R994" i="24"/>
  <c r="P994" i="24"/>
  <c r="N994" i="24"/>
  <c r="O994" i="24" s="1"/>
  <c r="M994" i="24"/>
  <c r="K994" i="24"/>
  <c r="J994" i="24"/>
  <c r="H994" i="24"/>
  <c r="F994" i="24"/>
  <c r="AG993" i="24"/>
  <c r="AF993" i="24"/>
  <c r="AD993" i="24"/>
  <c r="AC993" i="24"/>
  <c r="Z993" i="24"/>
  <c r="X993" i="24"/>
  <c r="T993" i="24"/>
  <c r="S993" i="24"/>
  <c r="R993" i="24"/>
  <c r="P993" i="24"/>
  <c r="N993" i="24"/>
  <c r="M993" i="24"/>
  <c r="K993" i="24"/>
  <c r="J993" i="24"/>
  <c r="H993" i="24"/>
  <c r="F993" i="24"/>
  <c r="AG992" i="24"/>
  <c r="AF992" i="24"/>
  <c r="AD992" i="24"/>
  <c r="AC992" i="24"/>
  <c r="AB992" i="24"/>
  <c r="Z992" i="24"/>
  <c r="X992" i="24"/>
  <c r="T992" i="24"/>
  <c r="S992" i="24"/>
  <c r="R992" i="24"/>
  <c r="P992" i="24"/>
  <c r="N992" i="24"/>
  <c r="M992" i="24"/>
  <c r="K992" i="24"/>
  <c r="J992" i="24"/>
  <c r="H992" i="24"/>
  <c r="F992" i="24"/>
  <c r="AG991" i="24"/>
  <c r="AF991" i="24"/>
  <c r="AD991" i="24"/>
  <c r="AC991" i="24"/>
  <c r="Z991" i="24"/>
  <c r="X991" i="24"/>
  <c r="T991" i="24"/>
  <c r="S991" i="24"/>
  <c r="R991" i="24"/>
  <c r="P991" i="24"/>
  <c r="N991" i="24"/>
  <c r="O991" i="24" s="1"/>
  <c r="M991" i="24"/>
  <c r="K991" i="24"/>
  <c r="J991" i="24"/>
  <c r="H991" i="24"/>
  <c r="F991" i="24"/>
  <c r="AG990" i="24"/>
  <c r="AF990" i="24"/>
  <c r="AD990" i="24"/>
  <c r="AC990" i="24"/>
  <c r="Z990" i="24"/>
  <c r="X990" i="24"/>
  <c r="T990" i="24"/>
  <c r="S990" i="24"/>
  <c r="R990" i="24"/>
  <c r="P990" i="24"/>
  <c r="N990" i="24"/>
  <c r="O990" i="24" s="1"/>
  <c r="M990" i="24"/>
  <c r="K990" i="24"/>
  <c r="J990" i="24"/>
  <c r="H990" i="24"/>
  <c r="F990" i="24"/>
  <c r="AG989" i="24"/>
  <c r="AF989" i="24"/>
  <c r="AD989" i="24"/>
  <c r="AC989" i="24"/>
  <c r="Z989" i="24"/>
  <c r="X989" i="24"/>
  <c r="T989" i="24"/>
  <c r="S989" i="24"/>
  <c r="R989" i="24"/>
  <c r="P989" i="24"/>
  <c r="N989" i="24"/>
  <c r="O989" i="24" s="1"/>
  <c r="M989" i="24"/>
  <c r="K989" i="24"/>
  <c r="J989" i="24"/>
  <c r="H989" i="24"/>
  <c r="F989" i="24"/>
  <c r="AG988" i="24"/>
  <c r="AF988" i="24"/>
  <c r="AD988" i="24"/>
  <c r="AC988" i="24"/>
  <c r="Z988" i="24"/>
  <c r="X988" i="24"/>
  <c r="T988" i="24"/>
  <c r="S988" i="24"/>
  <c r="R988" i="24"/>
  <c r="P988" i="24"/>
  <c r="N988" i="24"/>
  <c r="M988" i="24"/>
  <c r="K988" i="24"/>
  <c r="J988" i="24"/>
  <c r="H988" i="24"/>
  <c r="F988" i="24"/>
  <c r="AG987" i="24"/>
  <c r="AF987" i="24"/>
  <c r="AD987" i="24"/>
  <c r="AC987" i="24"/>
  <c r="Z987" i="24"/>
  <c r="X987" i="24"/>
  <c r="T987" i="24"/>
  <c r="S987" i="24"/>
  <c r="R987" i="24"/>
  <c r="P987" i="24"/>
  <c r="N987" i="24"/>
  <c r="M987" i="24"/>
  <c r="K987" i="24"/>
  <c r="J987" i="24"/>
  <c r="H987" i="24"/>
  <c r="F987" i="24"/>
  <c r="AG986" i="24"/>
  <c r="AF986" i="24"/>
  <c r="AD986" i="24"/>
  <c r="AC986" i="24"/>
  <c r="Z986" i="24"/>
  <c r="X986" i="24"/>
  <c r="T986" i="24"/>
  <c r="S986" i="24"/>
  <c r="R986" i="24"/>
  <c r="P986" i="24"/>
  <c r="N986" i="24"/>
  <c r="O986" i="24" s="1"/>
  <c r="M986" i="24"/>
  <c r="K986" i="24"/>
  <c r="J986" i="24"/>
  <c r="H986" i="24"/>
  <c r="F986" i="24"/>
  <c r="AG985" i="24"/>
  <c r="AF985" i="24"/>
  <c r="AD985" i="24"/>
  <c r="AC985" i="24"/>
  <c r="Z985" i="24"/>
  <c r="X985" i="24"/>
  <c r="T985" i="24"/>
  <c r="S985" i="24"/>
  <c r="R985" i="24"/>
  <c r="P985" i="24"/>
  <c r="N985" i="24"/>
  <c r="M985" i="24"/>
  <c r="K985" i="24"/>
  <c r="J985" i="24"/>
  <c r="H985" i="24"/>
  <c r="F985" i="24"/>
  <c r="AG984" i="24"/>
  <c r="AF984" i="24"/>
  <c r="AD984" i="24"/>
  <c r="AC984" i="24"/>
  <c r="Z984" i="24"/>
  <c r="X984" i="24"/>
  <c r="T984" i="24"/>
  <c r="S984" i="24"/>
  <c r="R984" i="24"/>
  <c r="P984" i="24"/>
  <c r="N984" i="24"/>
  <c r="O984" i="24" s="1"/>
  <c r="M984" i="24"/>
  <c r="K984" i="24"/>
  <c r="J984" i="24"/>
  <c r="H984" i="24"/>
  <c r="F984" i="24"/>
  <c r="AG983" i="24"/>
  <c r="AF983" i="24"/>
  <c r="AD983" i="24"/>
  <c r="AC983" i="24"/>
  <c r="Z983" i="24"/>
  <c r="X983" i="24"/>
  <c r="T983" i="24"/>
  <c r="S983" i="24"/>
  <c r="R983" i="24"/>
  <c r="P983" i="24"/>
  <c r="N983" i="24"/>
  <c r="O983" i="24" s="1"/>
  <c r="M983" i="24"/>
  <c r="K983" i="24"/>
  <c r="J983" i="24"/>
  <c r="H983" i="24"/>
  <c r="F983" i="24"/>
  <c r="AG982" i="24"/>
  <c r="AF982" i="24"/>
  <c r="AD982" i="24"/>
  <c r="AC982" i="24"/>
  <c r="Z982" i="24"/>
  <c r="X982" i="24"/>
  <c r="T982" i="24"/>
  <c r="S982" i="24"/>
  <c r="R982" i="24"/>
  <c r="P982" i="24"/>
  <c r="N982" i="24"/>
  <c r="O982" i="24" s="1"/>
  <c r="M982" i="24"/>
  <c r="K982" i="24"/>
  <c r="J982" i="24"/>
  <c r="H982" i="24"/>
  <c r="F982" i="24"/>
  <c r="AG981" i="24"/>
  <c r="AF981" i="24"/>
  <c r="AD981" i="24"/>
  <c r="AC981" i="24"/>
  <c r="Z981" i="24"/>
  <c r="X981" i="24"/>
  <c r="T981" i="24"/>
  <c r="S981" i="24"/>
  <c r="R981" i="24"/>
  <c r="P981" i="24"/>
  <c r="N981" i="24"/>
  <c r="O981" i="24" s="1"/>
  <c r="M981" i="24"/>
  <c r="K981" i="24"/>
  <c r="J981" i="24"/>
  <c r="H981" i="24"/>
  <c r="F981" i="24"/>
  <c r="AG980" i="24"/>
  <c r="AF980" i="24"/>
  <c r="AD980" i="24"/>
  <c r="AC980" i="24"/>
  <c r="Z980" i="24"/>
  <c r="X980" i="24"/>
  <c r="T980" i="24"/>
  <c r="S980" i="24"/>
  <c r="R980" i="24"/>
  <c r="P980" i="24"/>
  <c r="N980" i="24"/>
  <c r="O980" i="24" s="1"/>
  <c r="M980" i="24"/>
  <c r="K980" i="24"/>
  <c r="J980" i="24"/>
  <c r="H980" i="24"/>
  <c r="F980" i="24"/>
  <c r="AG979" i="24"/>
  <c r="AF979" i="24"/>
  <c r="AD979" i="24"/>
  <c r="AC979" i="24"/>
  <c r="Z979" i="24"/>
  <c r="X979" i="24"/>
  <c r="T979" i="24"/>
  <c r="S979" i="24"/>
  <c r="R979" i="24"/>
  <c r="P979" i="24"/>
  <c r="N979" i="24"/>
  <c r="O979" i="24" s="1"/>
  <c r="M979" i="24"/>
  <c r="K979" i="24"/>
  <c r="J979" i="24"/>
  <c r="H979" i="24"/>
  <c r="F979" i="24"/>
  <c r="AG978" i="24"/>
  <c r="AF978" i="24"/>
  <c r="AD978" i="24"/>
  <c r="AC978" i="24"/>
  <c r="AB978" i="24"/>
  <c r="Z978" i="24"/>
  <c r="X978" i="24"/>
  <c r="T978" i="24"/>
  <c r="S978" i="24"/>
  <c r="R978" i="24"/>
  <c r="P978" i="24"/>
  <c r="N978" i="24"/>
  <c r="M978" i="24"/>
  <c r="K978" i="24"/>
  <c r="J978" i="24"/>
  <c r="H978" i="24"/>
  <c r="F978" i="24"/>
  <c r="AG977" i="24"/>
  <c r="AF977" i="24"/>
  <c r="AD977" i="24"/>
  <c r="AC977" i="24"/>
  <c r="Z977" i="24"/>
  <c r="X977" i="24"/>
  <c r="T977" i="24"/>
  <c r="S977" i="24"/>
  <c r="R977" i="24"/>
  <c r="P977" i="24"/>
  <c r="N977" i="24"/>
  <c r="O977" i="24" s="1"/>
  <c r="M977" i="24"/>
  <c r="K977" i="24"/>
  <c r="J977" i="24"/>
  <c r="H977" i="24"/>
  <c r="F977" i="24"/>
  <c r="AG976" i="24"/>
  <c r="AF976" i="24"/>
  <c r="AD976" i="24"/>
  <c r="AC976" i="24"/>
  <c r="Z976" i="24"/>
  <c r="X976" i="24"/>
  <c r="T976" i="24"/>
  <c r="S976" i="24"/>
  <c r="R976" i="24"/>
  <c r="P976" i="24"/>
  <c r="N976" i="24"/>
  <c r="O976" i="24" s="1"/>
  <c r="M976" i="24"/>
  <c r="K976" i="24"/>
  <c r="J976" i="24"/>
  <c r="H976" i="24"/>
  <c r="F976" i="24"/>
  <c r="AG975" i="24"/>
  <c r="AF975" i="24"/>
  <c r="AD975" i="24"/>
  <c r="AC975" i="24"/>
  <c r="Z975" i="24"/>
  <c r="X975" i="24"/>
  <c r="T975" i="24"/>
  <c r="S975" i="24"/>
  <c r="R975" i="24"/>
  <c r="P975" i="24"/>
  <c r="N975" i="24"/>
  <c r="O975" i="24" s="1"/>
  <c r="M975" i="24"/>
  <c r="K975" i="24"/>
  <c r="J975" i="24"/>
  <c r="H975" i="24"/>
  <c r="F975" i="24"/>
  <c r="AG974" i="24"/>
  <c r="AF974" i="24"/>
  <c r="AD974" i="24"/>
  <c r="AC974" i="24"/>
  <c r="Z974" i="24"/>
  <c r="X974" i="24"/>
  <c r="T974" i="24"/>
  <c r="S974" i="24"/>
  <c r="R974" i="24"/>
  <c r="P974" i="24"/>
  <c r="N974" i="24"/>
  <c r="O974" i="24" s="1"/>
  <c r="M974" i="24"/>
  <c r="K974" i="24"/>
  <c r="J974" i="24"/>
  <c r="H974" i="24"/>
  <c r="F974" i="24"/>
  <c r="AG973" i="24"/>
  <c r="AF973" i="24"/>
  <c r="AD973" i="24"/>
  <c r="AC973" i="24"/>
  <c r="Z973" i="24"/>
  <c r="X973" i="24"/>
  <c r="T973" i="24"/>
  <c r="S973" i="24"/>
  <c r="R973" i="24"/>
  <c r="P973" i="24"/>
  <c r="N973" i="24"/>
  <c r="M973" i="24"/>
  <c r="K973" i="24"/>
  <c r="J973" i="24"/>
  <c r="H973" i="24"/>
  <c r="F973" i="24"/>
  <c r="AG972" i="24"/>
  <c r="AF972" i="24"/>
  <c r="AD972" i="24"/>
  <c r="AC972" i="24"/>
  <c r="AB972" i="24"/>
  <c r="Z972" i="24"/>
  <c r="X972" i="24"/>
  <c r="T972" i="24"/>
  <c r="S972" i="24"/>
  <c r="R972" i="24"/>
  <c r="P972" i="24"/>
  <c r="N972" i="24"/>
  <c r="AA972" i="24" s="1"/>
  <c r="M972" i="24"/>
  <c r="K972" i="24"/>
  <c r="J972" i="24"/>
  <c r="H972" i="24"/>
  <c r="F972" i="24"/>
  <c r="AG971" i="24"/>
  <c r="AF971" i="24"/>
  <c r="AD971" i="24"/>
  <c r="AC971" i="24"/>
  <c r="Z971" i="24"/>
  <c r="X971" i="24"/>
  <c r="T971" i="24"/>
  <c r="S971" i="24"/>
  <c r="R971" i="24"/>
  <c r="P971" i="24"/>
  <c r="N971" i="24"/>
  <c r="M971" i="24"/>
  <c r="K971" i="24"/>
  <c r="J971" i="24"/>
  <c r="H971" i="24"/>
  <c r="F971" i="24"/>
  <c r="AG970" i="24"/>
  <c r="AF970" i="24"/>
  <c r="AD970" i="24"/>
  <c r="AC970" i="24"/>
  <c r="Z970" i="24"/>
  <c r="X970" i="24"/>
  <c r="T1034" i="24"/>
  <c r="S1034" i="24"/>
  <c r="R1034" i="24"/>
  <c r="P1034" i="24"/>
  <c r="N1034" i="24"/>
  <c r="O1034" i="24" s="1"/>
  <c r="M1034" i="24"/>
  <c r="K1034" i="24"/>
  <c r="J1034" i="24"/>
  <c r="H1034" i="24"/>
  <c r="F1034" i="24"/>
  <c r="AG969" i="24"/>
  <c r="AF969" i="24"/>
  <c r="AD969" i="24"/>
  <c r="AC969" i="24"/>
  <c r="Z969" i="24"/>
  <c r="X969" i="24"/>
  <c r="T969" i="24"/>
  <c r="S969" i="24"/>
  <c r="R969" i="24"/>
  <c r="P969" i="24"/>
  <c r="N969" i="24"/>
  <c r="M969" i="24"/>
  <c r="K969" i="24"/>
  <c r="J969" i="24"/>
  <c r="H969" i="24"/>
  <c r="F969" i="24"/>
  <c r="AG968" i="24"/>
  <c r="AF968" i="24"/>
  <c r="AD968" i="24"/>
  <c r="AC968" i="24"/>
  <c r="Z968" i="24"/>
  <c r="X968" i="24"/>
  <c r="T968" i="24"/>
  <c r="S968" i="24"/>
  <c r="R968" i="24"/>
  <c r="P968" i="24"/>
  <c r="N968" i="24"/>
  <c r="O968" i="24" s="1"/>
  <c r="M968" i="24"/>
  <c r="K968" i="24"/>
  <c r="J968" i="24"/>
  <c r="H968" i="24"/>
  <c r="F968" i="24"/>
  <c r="AG967" i="24"/>
  <c r="AF967" i="24"/>
  <c r="AD967" i="24"/>
  <c r="AC967" i="24"/>
  <c r="Z967" i="24"/>
  <c r="X967" i="24"/>
  <c r="T967" i="24"/>
  <c r="S967" i="24"/>
  <c r="R967" i="24"/>
  <c r="P967" i="24"/>
  <c r="N967" i="24"/>
  <c r="O967" i="24" s="1"/>
  <c r="M967" i="24"/>
  <c r="K967" i="24"/>
  <c r="J967" i="24"/>
  <c r="H967" i="24"/>
  <c r="F967" i="24"/>
  <c r="AG966" i="24"/>
  <c r="AF966" i="24"/>
  <c r="AD966" i="24"/>
  <c r="AC966" i="24"/>
  <c r="Z966" i="24"/>
  <c r="X966" i="24"/>
  <c r="T966" i="24"/>
  <c r="S966" i="24"/>
  <c r="R966" i="24"/>
  <c r="P966" i="24"/>
  <c r="N966" i="24"/>
  <c r="O966" i="24" s="1"/>
  <c r="M966" i="24"/>
  <c r="K966" i="24"/>
  <c r="J966" i="24"/>
  <c r="H966" i="24"/>
  <c r="F966" i="24"/>
  <c r="AG965" i="24"/>
  <c r="AF965" i="24"/>
  <c r="AD965" i="24"/>
  <c r="AC965" i="24"/>
  <c r="Z965" i="24"/>
  <c r="X965" i="24"/>
  <c r="T965" i="24"/>
  <c r="S965" i="24"/>
  <c r="R965" i="24"/>
  <c r="P965" i="24"/>
  <c r="N965" i="24"/>
  <c r="O965" i="24" s="1"/>
  <c r="M965" i="24"/>
  <c r="K965" i="24"/>
  <c r="J965" i="24"/>
  <c r="H965" i="24"/>
  <c r="F965" i="24"/>
  <c r="AG964" i="24"/>
  <c r="AF964" i="24"/>
  <c r="AD964" i="24"/>
  <c r="AC964" i="24"/>
  <c r="AB964" i="24"/>
  <c r="Z964" i="24"/>
  <c r="X964" i="24"/>
  <c r="T964" i="24"/>
  <c r="S964" i="24"/>
  <c r="R964" i="24"/>
  <c r="P964" i="24"/>
  <c r="N964" i="24"/>
  <c r="AA964" i="24" s="1"/>
  <c r="M964" i="24"/>
  <c r="K964" i="24"/>
  <c r="J964" i="24"/>
  <c r="H964" i="24"/>
  <c r="F964" i="24"/>
  <c r="AG963" i="24"/>
  <c r="AF963" i="24"/>
  <c r="AD963" i="24"/>
  <c r="AC963" i="24"/>
  <c r="AB963" i="24"/>
  <c r="Z963" i="24"/>
  <c r="X963" i="24"/>
  <c r="T963" i="24"/>
  <c r="S963" i="24"/>
  <c r="R963" i="24"/>
  <c r="P963" i="24"/>
  <c r="N963" i="24"/>
  <c r="AA963" i="24" s="1"/>
  <c r="M963" i="24"/>
  <c r="K963" i="24"/>
  <c r="J963" i="24"/>
  <c r="H963" i="24"/>
  <c r="F963" i="24"/>
  <c r="AG962" i="24"/>
  <c r="AF962" i="24"/>
  <c r="AD962" i="24"/>
  <c r="AC962" i="24"/>
  <c r="Z962" i="24"/>
  <c r="X962" i="24"/>
  <c r="T962" i="24"/>
  <c r="S962" i="24"/>
  <c r="R962" i="24"/>
  <c r="P962" i="24"/>
  <c r="N962" i="24"/>
  <c r="O962" i="24" s="1"/>
  <c r="M962" i="24"/>
  <c r="K962" i="24"/>
  <c r="J962" i="24"/>
  <c r="H962" i="24"/>
  <c r="F962" i="24"/>
  <c r="AG961" i="24"/>
  <c r="AF961" i="24"/>
  <c r="AD961" i="24"/>
  <c r="AC961" i="24"/>
  <c r="Z961" i="24"/>
  <c r="X961" i="24"/>
  <c r="T961" i="24"/>
  <c r="S961" i="24"/>
  <c r="R961" i="24"/>
  <c r="P961" i="24"/>
  <c r="N961" i="24"/>
  <c r="M961" i="24"/>
  <c r="K961" i="24"/>
  <c r="J961" i="24"/>
  <c r="H961" i="24"/>
  <c r="F961" i="24"/>
  <c r="AG960" i="24"/>
  <c r="AF960" i="24"/>
  <c r="AD960" i="24"/>
  <c r="AC960" i="24"/>
  <c r="Z960" i="24"/>
  <c r="X960" i="24"/>
  <c r="T1029" i="24"/>
  <c r="S1029" i="24"/>
  <c r="R1029" i="24"/>
  <c r="P1029" i="24"/>
  <c r="N1029" i="24"/>
  <c r="O1029" i="24" s="1"/>
  <c r="M1029" i="24"/>
  <c r="K1029" i="24"/>
  <c r="J1029" i="24"/>
  <c r="H1029" i="24"/>
  <c r="F1029" i="24"/>
  <c r="AG959" i="24"/>
  <c r="AF959" i="24"/>
  <c r="AD959" i="24"/>
  <c r="AC959" i="24"/>
  <c r="Z959" i="24"/>
  <c r="X959" i="24"/>
  <c r="T959" i="24"/>
  <c r="S959" i="24"/>
  <c r="R959" i="24"/>
  <c r="P959" i="24"/>
  <c r="N959" i="24"/>
  <c r="O959" i="24" s="1"/>
  <c r="M959" i="24"/>
  <c r="K959" i="24"/>
  <c r="J959" i="24"/>
  <c r="H959" i="24"/>
  <c r="F959" i="24"/>
  <c r="AG958" i="24"/>
  <c r="AF958" i="24"/>
  <c r="AD958" i="24"/>
  <c r="AC958" i="24"/>
  <c r="Z958" i="24"/>
  <c r="X958" i="24"/>
  <c r="T958" i="24"/>
  <c r="S958" i="24"/>
  <c r="R958" i="24"/>
  <c r="P958" i="24"/>
  <c r="N958" i="24"/>
  <c r="O958" i="24" s="1"/>
  <c r="M958" i="24"/>
  <c r="K958" i="24"/>
  <c r="J958" i="24"/>
  <c r="H958" i="24"/>
  <c r="F958" i="24"/>
  <c r="AG957" i="24"/>
  <c r="AF957" i="24"/>
  <c r="AD957" i="24"/>
  <c r="AC957" i="24"/>
  <c r="Z957" i="24"/>
  <c r="X957" i="24"/>
  <c r="T957" i="24"/>
  <c r="S957" i="24"/>
  <c r="R957" i="24"/>
  <c r="P957" i="24"/>
  <c r="N957" i="24"/>
  <c r="O957" i="24" s="1"/>
  <c r="M957" i="24"/>
  <c r="K957" i="24"/>
  <c r="J957" i="24"/>
  <c r="H957" i="24"/>
  <c r="F957" i="24"/>
  <c r="AG956" i="24"/>
  <c r="AF956" i="24"/>
  <c r="AD956" i="24"/>
  <c r="AC956" i="24"/>
  <c r="Z956" i="24"/>
  <c r="X956" i="24"/>
  <c r="T1022" i="24"/>
  <c r="S1022" i="24"/>
  <c r="R1022" i="24"/>
  <c r="P1022" i="24"/>
  <c r="N1022" i="24"/>
  <c r="O1022" i="24" s="1"/>
  <c r="M1022" i="24"/>
  <c r="K1022" i="24"/>
  <c r="J1022" i="24"/>
  <c r="H1022" i="24"/>
  <c r="F1022" i="24"/>
  <c r="AG955" i="24"/>
  <c r="AF955" i="24"/>
  <c r="AD955" i="24"/>
  <c r="AC955" i="24"/>
  <c r="Z955" i="24"/>
  <c r="X955" i="24"/>
  <c r="T955" i="24"/>
  <c r="S955" i="24"/>
  <c r="R955" i="24"/>
  <c r="P955" i="24"/>
  <c r="N955" i="24"/>
  <c r="O955" i="24" s="1"/>
  <c r="M955" i="24"/>
  <c r="K955" i="24"/>
  <c r="J955" i="24"/>
  <c r="H955" i="24"/>
  <c r="F955" i="24"/>
  <c r="AG954" i="24"/>
  <c r="AF954" i="24"/>
  <c r="AD954" i="24"/>
  <c r="AC954" i="24"/>
  <c r="Z954" i="24"/>
  <c r="X954" i="24"/>
  <c r="T954" i="24"/>
  <c r="S954" i="24"/>
  <c r="R954" i="24"/>
  <c r="P954" i="24"/>
  <c r="N954" i="24"/>
  <c r="O954" i="24" s="1"/>
  <c r="M954" i="24"/>
  <c r="K954" i="24"/>
  <c r="J954" i="24"/>
  <c r="H954" i="24"/>
  <c r="F954" i="24"/>
  <c r="AG953" i="24"/>
  <c r="AF953" i="24"/>
  <c r="AD953" i="24"/>
  <c r="AC953" i="24"/>
  <c r="Z953" i="24"/>
  <c r="X953" i="24"/>
  <c r="T953" i="24"/>
  <c r="S953" i="24"/>
  <c r="R953" i="24"/>
  <c r="P953" i="24"/>
  <c r="N953" i="24"/>
  <c r="O953" i="24" s="1"/>
  <c r="M953" i="24"/>
  <c r="K953" i="24"/>
  <c r="J953" i="24"/>
  <c r="H953" i="24"/>
  <c r="F953" i="24"/>
  <c r="AG952" i="24"/>
  <c r="AF952" i="24"/>
  <c r="AD952" i="24"/>
  <c r="AC952" i="24"/>
  <c r="Z952" i="24"/>
  <c r="X952" i="24"/>
  <c r="T952" i="24"/>
  <c r="S952" i="24"/>
  <c r="R952" i="24"/>
  <c r="P952" i="24"/>
  <c r="N952" i="24"/>
  <c r="M952" i="24"/>
  <c r="K952" i="24"/>
  <c r="J952" i="24"/>
  <c r="H952" i="24"/>
  <c r="F952" i="24"/>
  <c r="AG951" i="24"/>
  <c r="AF951" i="24"/>
  <c r="AD951" i="24"/>
  <c r="AC951" i="24"/>
  <c r="Z951" i="24"/>
  <c r="X951" i="24"/>
  <c r="T951" i="24"/>
  <c r="S951" i="24"/>
  <c r="R951" i="24"/>
  <c r="P951" i="24"/>
  <c r="N951" i="24"/>
  <c r="O951" i="24" s="1"/>
  <c r="M951" i="24"/>
  <c r="K951" i="24"/>
  <c r="J951" i="24"/>
  <c r="H951" i="24"/>
  <c r="F951" i="24"/>
  <c r="AG950" i="24"/>
  <c r="AF950" i="24"/>
  <c r="AD950" i="24"/>
  <c r="AC950" i="24"/>
  <c r="Z950" i="24"/>
  <c r="X950" i="24"/>
  <c r="T950" i="24"/>
  <c r="S950" i="24"/>
  <c r="R950" i="24"/>
  <c r="P950" i="24"/>
  <c r="N950" i="24"/>
  <c r="M950" i="24"/>
  <c r="K950" i="24"/>
  <c r="J950" i="24"/>
  <c r="H950" i="24"/>
  <c r="F950" i="24"/>
  <c r="AG949" i="24"/>
  <c r="AF949" i="24"/>
  <c r="AD949" i="24"/>
  <c r="AC949" i="24"/>
  <c r="Z949" i="24"/>
  <c r="X949" i="24"/>
  <c r="T949" i="24"/>
  <c r="S949" i="24"/>
  <c r="R949" i="24"/>
  <c r="P949" i="24"/>
  <c r="N949" i="24"/>
  <c r="O949" i="24" s="1"/>
  <c r="M949" i="24"/>
  <c r="K949" i="24"/>
  <c r="J949" i="24"/>
  <c r="H949" i="24"/>
  <c r="F949" i="24"/>
  <c r="AG948" i="24"/>
  <c r="AF948" i="24"/>
  <c r="AD948" i="24"/>
  <c r="AC948" i="24"/>
  <c r="Z948" i="24"/>
  <c r="X948" i="24"/>
  <c r="T948" i="24"/>
  <c r="S948" i="24"/>
  <c r="R948" i="24"/>
  <c r="P948" i="24"/>
  <c r="N948" i="24"/>
  <c r="M948" i="24"/>
  <c r="K948" i="24"/>
  <c r="J948" i="24"/>
  <c r="H948" i="24"/>
  <c r="F948" i="24"/>
  <c r="AG947" i="24"/>
  <c r="AF947" i="24"/>
  <c r="AD947" i="24"/>
  <c r="AC947" i="24"/>
  <c r="Z947" i="24"/>
  <c r="X947" i="24"/>
  <c r="T947" i="24"/>
  <c r="S947" i="24"/>
  <c r="R947" i="24"/>
  <c r="P947" i="24"/>
  <c r="N947" i="24"/>
  <c r="M947" i="24"/>
  <c r="K947" i="24"/>
  <c r="J947" i="24"/>
  <c r="H947" i="24"/>
  <c r="F947" i="24"/>
  <c r="AG946" i="24"/>
  <c r="AF946" i="24"/>
  <c r="AD946" i="24"/>
  <c r="AC946" i="24"/>
  <c r="Z946" i="24"/>
  <c r="X946" i="24"/>
  <c r="T946" i="24"/>
  <c r="S946" i="24"/>
  <c r="R946" i="24"/>
  <c r="P946" i="24"/>
  <c r="N946" i="24"/>
  <c r="O946" i="24" s="1"/>
  <c r="M946" i="24"/>
  <c r="K946" i="24"/>
  <c r="J946" i="24"/>
  <c r="H946" i="24"/>
  <c r="F946" i="24"/>
  <c r="AG945" i="24"/>
  <c r="AF945" i="24"/>
  <c r="AD945" i="24"/>
  <c r="AC945" i="24"/>
  <c r="Z945" i="24"/>
  <c r="X945" i="24"/>
  <c r="T945" i="24"/>
  <c r="S945" i="24"/>
  <c r="R945" i="24"/>
  <c r="P945" i="24"/>
  <c r="N945" i="24"/>
  <c r="M945" i="24"/>
  <c r="K945" i="24"/>
  <c r="J945" i="24"/>
  <c r="H945" i="24"/>
  <c r="F945" i="24"/>
  <c r="AG944" i="24"/>
  <c r="AF944" i="24"/>
  <c r="AD944" i="24"/>
  <c r="AC944" i="24"/>
  <c r="Z944" i="24"/>
  <c r="X944" i="24"/>
  <c r="T944" i="24"/>
  <c r="S944" i="24"/>
  <c r="R944" i="24"/>
  <c r="P944" i="24"/>
  <c r="N944" i="24"/>
  <c r="O944" i="24" s="1"/>
  <c r="M944" i="24"/>
  <c r="K944" i="24"/>
  <c r="J944" i="24"/>
  <c r="H944" i="24"/>
  <c r="F944" i="24"/>
  <c r="AG943" i="24"/>
  <c r="AF943" i="24"/>
  <c r="AD943" i="24"/>
  <c r="AC943" i="24"/>
  <c r="Z943" i="24"/>
  <c r="X943" i="24"/>
  <c r="T943" i="24"/>
  <c r="S943" i="24"/>
  <c r="R943" i="24"/>
  <c r="P943" i="24"/>
  <c r="N943" i="24"/>
  <c r="O943" i="24" s="1"/>
  <c r="M943" i="24"/>
  <c r="K943" i="24"/>
  <c r="J943" i="24"/>
  <c r="H943" i="24"/>
  <c r="F943" i="24"/>
  <c r="AG942" i="24"/>
  <c r="AF942" i="24"/>
  <c r="AD942" i="24"/>
  <c r="AC942" i="24"/>
  <c r="Z942" i="24"/>
  <c r="X942" i="24"/>
  <c r="T942" i="24"/>
  <c r="S942" i="24"/>
  <c r="R942" i="24"/>
  <c r="P942" i="24"/>
  <c r="N942" i="24"/>
  <c r="O942" i="24" s="1"/>
  <c r="M942" i="24"/>
  <c r="K942" i="24"/>
  <c r="J942" i="24"/>
  <c r="H942" i="24"/>
  <c r="F942" i="24"/>
  <c r="AG941" i="24"/>
  <c r="AF941" i="24"/>
  <c r="AD941" i="24"/>
  <c r="AC941" i="24"/>
  <c r="Z941" i="24"/>
  <c r="X941" i="24"/>
  <c r="T941" i="24"/>
  <c r="S941" i="24"/>
  <c r="R941" i="24"/>
  <c r="P941" i="24"/>
  <c r="N941" i="24"/>
  <c r="M941" i="24"/>
  <c r="K941" i="24"/>
  <c r="J941" i="24"/>
  <c r="H941" i="24"/>
  <c r="F941" i="24"/>
  <c r="AG940" i="24"/>
  <c r="AF940" i="24"/>
  <c r="AD940" i="24"/>
  <c r="AC940" i="24"/>
  <c r="Z940" i="24"/>
  <c r="X940" i="24"/>
  <c r="T940" i="24"/>
  <c r="S940" i="24"/>
  <c r="R940" i="24"/>
  <c r="P940" i="24"/>
  <c r="N940" i="24"/>
  <c r="M940" i="24"/>
  <c r="K940" i="24"/>
  <c r="J940" i="24"/>
  <c r="H940" i="24"/>
  <c r="F940" i="24"/>
  <c r="AG939" i="24"/>
  <c r="AF939" i="24"/>
  <c r="AD939" i="24"/>
  <c r="AC939" i="24"/>
  <c r="Z939" i="24"/>
  <c r="X939" i="24"/>
  <c r="T939" i="24"/>
  <c r="S939" i="24"/>
  <c r="R939" i="24"/>
  <c r="P939" i="24"/>
  <c r="N939" i="24"/>
  <c r="O939" i="24" s="1"/>
  <c r="M939" i="24"/>
  <c r="K939" i="24"/>
  <c r="J939" i="24"/>
  <c r="H939" i="24"/>
  <c r="F939" i="24"/>
  <c r="AG938" i="24"/>
  <c r="AF938" i="24"/>
  <c r="AD938" i="24"/>
  <c r="AC938" i="24"/>
  <c r="Z938" i="24"/>
  <c r="X938" i="24"/>
  <c r="T1020" i="24"/>
  <c r="S1020" i="24"/>
  <c r="R1020" i="24"/>
  <c r="P1020" i="24"/>
  <c r="N1020" i="24"/>
  <c r="O1020" i="24" s="1"/>
  <c r="M1020" i="24"/>
  <c r="K1020" i="24"/>
  <c r="J1020" i="24"/>
  <c r="H1020" i="24"/>
  <c r="F1020" i="24"/>
  <c r="AG937" i="24"/>
  <c r="AF937" i="24"/>
  <c r="AD937" i="24"/>
  <c r="AC937" i="24"/>
  <c r="Z937" i="24"/>
  <c r="X937" i="24"/>
  <c r="T937" i="24"/>
  <c r="S937" i="24"/>
  <c r="R937" i="24"/>
  <c r="P937" i="24"/>
  <c r="N937" i="24"/>
  <c r="M937" i="24"/>
  <c r="K937" i="24"/>
  <c r="J937" i="24"/>
  <c r="H937" i="24"/>
  <c r="F937" i="24"/>
  <c r="AG936" i="24"/>
  <c r="AF936" i="24"/>
  <c r="AD936" i="24"/>
  <c r="AC936" i="24"/>
  <c r="Z936" i="24"/>
  <c r="X936" i="24"/>
  <c r="T936" i="24"/>
  <c r="S936" i="24"/>
  <c r="R936" i="24"/>
  <c r="P936" i="24"/>
  <c r="N936" i="24"/>
  <c r="O936" i="24" s="1"/>
  <c r="M936" i="24"/>
  <c r="K936" i="24"/>
  <c r="J936" i="24"/>
  <c r="H936" i="24"/>
  <c r="F936" i="24"/>
  <c r="AG935" i="24"/>
  <c r="AF935" i="24"/>
  <c r="AD935" i="24"/>
  <c r="AC935" i="24"/>
  <c r="Z935" i="24"/>
  <c r="X935" i="24"/>
  <c r="T935" i="24"/>
  <c r="S935" i="24"/>
  <c r="R935" i="24"/>
  <c r="P935" i="24"/>
  <c r="N935" i="24"/>
  <c r="O935" i="24" s="1"/>
  <c r="M935" i="24"/>
  <c r="K935" i="24"/>
  <c r="J935" i="24"/>
  <c r="H935" i="24"/>
  <c r="F935" i="24"/>
  <c r="AG934" i="24"/>
  <c r="AF934" i="24"/>
  <c r="AD934" i="24"/>
  <c r="AC934" i="24"/>
  <c r="Z934" i="24"/>
  <c r="X934" i="24"/>
  <c r="T934" i="24"/>
  <c r="S934" i="24"/>
  <c r="R934" i="24"/>
  <c r="P934" i="24"/>
  <c r="N934" i="24"/>
  <c r="M934" i="24"/>
  <c r="K934" i="24"/>
  <c r="J934" i="24"/>
  <c r="H934" i="24"/>
  <c r="F934" i="24"/>
  <c r="AG933" i="24"/>
  <c r="AF933" i="24"/>
  <c r="AD933" i="24"/>
  <c r="AC933" i="24"/>
  <c r="Z933" i="24"/>
  <c r="X933" i="24"/>
  <c r="T933" i="24"/>
  <c r="S933" i="24"/>
  <c r="R933" i="24"/>
  <c r="P933" i="24"/>
  <c r="N933" i="24"/>
  <c r="O933" i="24" s="1"/>
  <c r="M933" i="24"/>
  <c r="K933" i="24"/>
  <c r="J933" i="24"/>
  <c r="H933" i="24"/>
  <c r="F933" i="24"/>
  <c r="AG932" i="24"/>
  <c r="AF932" i="24"/>
  <c r="AD932" i="24"/>
  <c r="AC932" i="24"/>
  <c r="Z932" i="24"/>
  <c r="X932" i="24"/>
  <c r="T932" i="24"/>
  <c r="S932" i="24"/>
  <c r="R932" i="24"/>
  <c r="P932" i="24"/>
  <c r="N932" i="24"/>
  <c r="O932" i="24" s="1"/>
  <c r="M932" i="24"/>
  <c r="K932" i="24"/>
  <c r="J932" i="24"/>
  <c r="H932" i="24"/>
  <c r="F932" i="24"/>
  <c r="AG931" i="24"/>
  <c r="AF931" i="24"/>
  <c r="AD931" i="24"/>
  <c r="AC931" i="24"/>
  <c r="Z931" i="24"/>
  <c r="X931" i="24"/>
  <c r="T931" i="24"/>
  <c r="S931" i="24"/>
  <c r="R931" i="24"/>
  <c r="P931" i="24"/>
  <c r="N931" i="24"/>
  <c r="O931" i="24" s="1"/>
  <c r="M931" i="24"/>
  <c r="K931" i="24"/>
  <c r="J931" i="24"/>
  <c r="H931" i="24"/>
  <c r="F931" i="24"/>
  <c r="AG930" i="24"/>
  <c r="AF930" i="24"/>
  <c r="AD930" i="24"/>
  <c r="AC930" i="24"/>
  <c r="Z930" i="24"/>
  <c r="X930" i="24"/>
  <c r="T930" i="24"/>
  <c r="S930" i="24"/>
  <c r="R930" i="24"/>
  <c r="P930" i="24"/>
  <c r="N930" i="24"/>
  <c r="O930" i="24" s="1"/>
  <c r="M930" i="24"/>
  <c r="K930" i="24"/>
  <c r="J930" i="24"/>
  <c r="H930" i="24"/>
  <c r="F930" i="24"/>
  <c r="AG929" i="24"/>
  <c r="AF929" i="24"/>
  <c r="AD929" i="24"/>
  <c r="AC929" i="24"/>
  <c r="Z929" i="24"/>
  <c r="X929" i="24"/>
  <c r="T929" i="24"/>
  <c r="S929" i="24"/>
  <c r="R929" i="24"/>
  <c r="P929" i="24"/>
  <c r="N929" i="24"/>
  <c r="O929" i="24" s="1"/>
  <c r="M929" i="24"/>
  <c r="K929" i="24"/>
  <c r="J929" i="24"/>
  <c r="H929" i="24"/>
  <c r="F929" i="24"/>
  <c r="AG928" i="24"/>
  <c r="AF928" i="24"/>
  <c r="AD928" i="24"/>
  <c r="AC928" i="24"/>
  <c r="AB928" i="24"/>
  <c r="Z928" i="24"/>
  <c r="X928" i="24"/>
  <c r="T928" i="24"/>
  <c r="S928" i="24"/>
  <c r="R928" i="24"/>
  <c r="P928" i="24"/>
  <c r="N928" i="24"/>
  <c r="M928" i="24"/>
  <c r="K928" i="24"/>
  <c r="J928" i="24"/>
  <c r="H928" i="24"/>
  <c r="F928" i="24"/>
  <c r="AG927" i="24"/>
  <c r="AF927" i="24"/>
  <c r="AD927" i="24"/>
  <c r="AC927" i="24"/>
  <c r="Z927" i="24"/>
  <c r="X927" i="24"/>
  <c r="T927" i="24"/>
  <c r="S927" i="24"/>
  <c r="R927" i="24"/>
  <c r="P927" i="24"/>
  <c r="N927" i="24"/>
  <c r="O927" i="24" s="1"/>
  <c r="M927" i="24"/>
  <c r="K927" i="24"/>
  <c r="J927" i="24"/>
  <c r="H927" i="24"/>
  <c r="F927" i="24"/>
  <c r="AG926" i="24"/>
  <c r="AF926" i="24"/>
  <c r="AD926" i="24"/>
  <c r="AC926" i="24"/>
  <c r="Z926" i="24"/>
  <c r="X926" i="24"/>
  <c r="T926" i="24"/>
  <c r="S926" i="24"/>
  <c r="R926" i="24"/>
  <c r="P926" i="24"/>
  <c r="N926" i="24"/>
  <c r="M926" i="24"/>
  <c r="K926" i="24"/>
  <c r="J926" i="24"/>
  <c r="H926" i="24"/>
  <c r="F926" i="24"/>
  <c r="AG925" i="24"/>
  <c r="AF925" i="24"/>
  <c r="AD925" i="24"/>
  <c r="AC925" i="24"/>
  <c r="Z925" i="24"/>
  <c r="X925" i="24"/>
  <c r="T925" i="24"/>
  <c r="S925" i="24"/>
  <c r="R925" i="24"/>
  <c r="P925" i="24"/>
  <c r="N925" i="24"/>
  <c r="O925" i="24" s="1"/>
  <c r="M925" i="24"/>
  <c r="K925" i="24"/>
  <c r="J925" i="24"/>
  <c r="H925" i="24"/>
  <c r="F925" i="24"/>
  <c r="AG924" i="24"/>
  <c r="AF924" i="24"/>
  <c r="AD924" i="24"/>
  <c r="AC924" i="24"/>
  <c r="Z924" i="24"/>
  <c r="X924" i="24"/>
  <c r="T924" i="24"/>
  <c r="S924" i="24"/>
  <c r="R924" i="24"/>
  <c r="P924" i="24"/>
  <c r="N924" i="24"/>
  <c r="M924" i="24"/>
  <c r="K924" i="24"/>
  <c r="J924" i="24"/>
  <c r="H924" i="24"/>
  <c r="F924" i="24"/>
  <c r="AG923" i="24"/>
  <c r="AF923" i="24"/>
  <c r="AD923" i="24"/>
  <c r="AC923" i="24"/>
  <c r="Z923" i="24"/>
  <c r="X923" i="24"/>
  <c r="T923" i="24"/>
  <c r="S923" i="24"/>
  <c r="R923" i="24"/>
  <c r="P923" i="24"/>
  <c r="N923" i="24"/>
  <c r="O923" i="24" s="1"/>
  <c r="M923" i="24"/>
  <c r="K923" i="24"/>
  <c r="J923" i="24"/>
  <c r="H923" i="24"/>
  <c r="F923" i="24"/>
  <c r="AG922" i="24"/>
  <c r="AF922" i="24"/>
  <c r="AD922" i="24"/>
  <c r="AC922" i="24"/>
  <c r="Z922" i="24"/>
  <c r="X922" i="24"/>
  <c r="T922" i="24"/>
  <c r="S922" i="24"/>
  <c r="R922" i="24"/>
  <c r="P922" i="24"/>
  <c r="N922" i="24"/>
  <c r="O922" i="24" s="1"/>
  <c r="M922" i="24"/>
  <c r="K922" i="24"/>
  <c r="J922" i="24"/>
  <c r="H922" i="24"/>
  <c r="F922" i="24"/>
  <c r="AG921" i="24"/>
  <c r="AF921" i="24"/>
  <c r="AD921" i="24"/>
  <c r="AC921" i="24"/>
  <c r="Z921" i="24"/>
  <c r="X921" i="24"/>
  <c r="T921" i="24"/>
  <c r="S921" i="24"/>
  <c r="R921" i="24"/>
  <c r="P921" i="24"/>
  <c r="N921" i="24"/>
  <c r="O921" i="24" s="1"/>
  <c r="M921" i="24"/>
  <c r="K921" i="24"/>
  <c r="J921" i="24"/>
  <c r="H921" i="24"/>
  <c r="F921" i="24"/>
  <c r="AG920" i="24"/>
  <c r="AF920" i="24"/>
  <c r="AD920" i="24"/>
  <c r="AC920" i="24"/>
  <c r="Z920" i="24"/>
  <c r="X920" i="24"/>
  <c r="T920" i="24"/>
  <c r="S920" i="24"/>
  <c r="R920" i="24"/>
  <c r="P920" i="24"/>
  <c r="N920" i="24"/>
  <c r="M920" i="24"/>
  <c r="K920" i="24"/>
  <c r="J920" i="24"/>
  <c r="H920" i="24"/>
  <c r="F920" i="24"/>
  <c r="AG919" i="24"/>
  <c r="AF919" i="24"/>
  <c r="AD919" i="24"/>
  <c r="AC919" i="24"/>
  <c r="Z919" i="24"/>
  <c r="X919" i="24"/>
  <c r="T919" i="24"/>
  <c r="S919" i="24"/>
  <c r="R919" i="24"/>
  <c r="P919" i="24"/>
  <c r="N919" i="24"/>
  <c r="M919" i="24"/>
  <c r="K919" i="24"/>
  <c r="J919" i="24"/>
  <c r="H919" i="24"/>
  <c r="F919" i="24"/>
  <c r="AG918" i="24"/>
  <c r="AF918" i="24"/>
  <c r="AD918" i="24"/>
  <c r="AC918" i="24"/>
  <c r="Z918" i="24"/>
  <c r="X918" i="24"/>
  <c r="T918" i="24"/>
  <c r="S918" i="24"/>
  <c r="R918" i="24"/>
  <c r="P918" i="24"/>
  <c r="N918" i="24"/>
  <c r="O918" i="24" s="1"/>
  <c r="M918" i="24"/>
  <c r="K918" i="24"/>
  <c r="J918" i="24"/>
  <c r="H918" i="24"/>
  <c r="F918" i="24"/>
  <c r="AG917" i="24"/>
  <c r="AF917" i="24"/>
  <c r="AD917" i="24"/>
  <c r="AC917" i="24"/>
  <c r="Z917" i="24"/>
  <c r="X917" i="24"/>
  <c r="T917" i="24"/>
  <c r="S917" i="24"/>
  <c r="R917" i="24"/>
  <c r="P917" i="24"/>
  <c r="N917" i="24"/>
  <c r="O917" i="24" s="1"/>
  <c r="M917" i="24"/>
  <c r="K917" i="24"/>
  <c r="J917" i="24"/>
  <c r="H917" i="24"/>
  <c r="F917" i="24"/>
  <c r="AG916" i="24"/>
  <c r="AF916" i="24"/>
  <c r="AD916" i="24"/>
  <c r="AC916" i="24"/>
  <c r="Z916" i="24"/>
  <c r="X916" i="24"/>
  <c r="T916" i="24"/>
  <c r="S916" i="24"/>
  <c r="R916" i="24"/>
  <c r="P916" i="24"/>
  <c r="N916" i="24"/>
  <c r="O916" i="24" s="1"/>
  <c r="M916" i="24"/>
  <c r="K916" i="24"/>
  <c r="J916" i="24"/>
  <c r="H916" i="24"/>
  <c r="F916" i="24"/>
  <c r="AG915" i="24"/>
  <c r="AF915" i="24"/>
  <c r="AD915" i="24"/>
  <c r="AC915" i="24"/>
  <c r="Z915" i="24"/>
  <c r="X915" i="24"/>
  <c r="T915" i="24"/>
  <c r="S915" i="24"/>
  <c r="R915" i="24"/>
  <c r="P915" i="24"/>
  <c r="N915" i="24"/>
  <c r="O915" i="24" s="1"/>
  <c r="M915" i="24"/>
  <c r="K915" i="24"/>
  <c r="J915" i="24"/>
  <c r="H915" i="24"/>
  <c r="F915" i="24"/>
  <c r="AG914" i="24"/>
  <c r="AF914" i="24"/>
  <c r="AD914" i="24"/>
  <c r="AC914" i="24"/>
  <c r="Z914" i="24"/>
  <c r="X914" i="24"/>
  <c r="T960" i="24"/>
  <c r="S960" i="24"/>
  <c r="R960" i="24"/>
  <c r="P960" i="24"/>
  <c r="N960" i="24"/>
  <c r="O960" i="24" s="1"/>
  <c r="M960" i="24"/>
  <c r="K960" i="24"/>
  <c r="J960" i="24"/>
  <c r="H960" i="24"/>
  <c r="F960" i="24"/>
  <c r="AG913" i="24"/>
  <c r="AF913" i="24"/>
  <c r="AD913" i="24"/>
  <c r="AC913" i="24"/>
  <c r="Z913" i="24"/>
  <c r="X913" i="24"/>
  <c r="T913" i="24"/>
  <c r="S913" i="24"/>
  <c r="R913" i="24"/>
  <c r="P913" i="24"/>
  <c r="N913" i="24"/>
  <c r="M913" i="24"/>
  <c r="K913" i="24"/>
  <c r="J913" i="24"/>
  <c r="H913" i="24"/>
  <c r="F913" i="24"/>
  <c r="AG912" i="24"/>
  <c r="AF912" i="24"/>
  <c r="AD912" i="24"/>
  <c r="AC912" i="24"/>
  <c r="Z912" i="24"/>
  <c r="X912" i="24"/>
  <c r="T912" i="24"/>
  <c r="S912" i="24"/>
  <c r="R912" i="24"/>
  <c r="P912" i="24"/>
  <c r="N912" i="24"/>
  <c r="O912" i="24" s="1"/>
  <c r="M912" i="24"/>
  <c r="K912" i="24"/>
  <c r="J912" i="24"/>
  <c r="H912" i="24"/>
  <c r="F912" i="24"/>
  <c r="AG911" i="24"/>
  <c r="AF911" i="24"/>
  <c r="AD911" i="24"/>
  <c r="AC911" i="24"/>
  <c r="Z911" i="24"/>
  <c r="X911" i="24"/>
  <c r="T911" i="24"/>
  <c r="S911" i="24"/>
  <c r="R911" i="24"/>
  <c r="P911" i="24"/>
  <c r="N911" i="24"/>
  <c r="M911" i="24"/>
  <c r="K911" i="24"/>
  <c r="J911" i="24"/>
  <c r="H911" i="24"/>
  <c r="F911" i="24"/>
  <c r="AG910" i="24"/>
  <c r="AF910" i="24"/>
  <c r="AD910" i="24"/>
  <c r="AC910" i="24"/>
  <c r="Z910" i="24"/>
  <c r="X910" i="24"/>
  <c r="T910" i="24"/>
  <c r="S910" i="24"/>
  <c r="R910" i="24"/>
  <c r="P910" i="24"/>
  <c r="N910" i="24"/>
  <c r="M910" i="24"/>
  <c r="K910" i="24"/>
  <c r="J910" i="24"/>
  <c r="H910" i="24"/>
  <c r="F910" i="24"/>
  <c r="AG909" i="24"/>
  <c r="AF909" i="24"/>
  <c r="AD909" i="24"/>
  <c r="AC909" i="24"/>
  <c r="Z909" i="24"/>
  <c r="X909" i="24"/>
  <c r="T909" i="24"/>
  <c r="S909" i="24"/>
  <c r="R909" i="24"/>
  <c r="P909" i="24"/>
  <c r="N909" i="24"/>
  <c r="O909" i="24" s="1"/>
  <c r="M909" i="24"/>
  <c r="K909" i="24"/>
  <c r="J909" i="24"/>
  <c r="H909" i="24"/>
  <c r="F909" i="24"/>
  <c r="AG908" i="24"/>
  <c r="AF908" i="24"/>
  <c r="AD908" i="24"/>
  <c r="AC908" i="24"/>
  <c r="Z908" i="24"/>
  <c r="X908" i="24"/>
  <c r="T908" i="24"/>
  <c r="S908" i="24"/>
  <c r="R908" i="24"/>
  <c r="P908" i="24"/>
  <c r="N908" i="24"/>
  <c r="M908" i="24"/>
  <c r="K908" i="24"/>
  <c r="J908" i="24"/>
  <c r="H908" i="24"/>
  <c r="F908" i="24"/>
  <c r="AG907" i="24"/>
  <c r="AF907" i="24"/>
  <c r="AD907" i="24"/>
  <c r="AC907" i="24"/>
  <c r="Z907" i="24"/>
  <c r="X907" i="24"/>
  <c r="T907" i="24"/>
  <c r="S907" i="24"/>
  <c r="R907" i="24"/>
  <c r="P907" i="24"/>
  <c r="N907" i="24"/>
  <c r="M907" i="24"/>
  <c r="K907" i="24"/>
  <c r="J907" i="24"/>
  <c r="H907" i="24"/>
  <c r="F907" i="24"/>
  <c r="AG906" i="24"/>
  <c r="AF906" i="24"/>
  <c r="AD906" i="24"/>
  <c r="AC906" i="24"/>
  <c r="Z906" i="24"/>
  <c r="X906" i="24"/>
  <c r="T906" i="24"/>
  <c r="S906" i="24"/>
  <c r="R906" i="24"/>
  <c r="P906" i="24"/>
  <c r="N906" i="24"/>
  <c r="O906" i="24" s="1"/>
  <c r="M906" i="24"/>
  <c r="K906" i="24"/>
  <c r="J906" i="24"/>
  <c r="H906" i="24"/>
  <c r="F906" i="24"/>
  <c r="AG905" i="24"/>
  <c r="AF905" i="24"/>
  <c r="AD905" i="24"/>
  <c r="AC905" i="24"/>
  <c r="Z905" i="24"/>
  <c r="X905" i="24"/>
  <c r="T905" i="24"/>
  <c r="S905" i="24"/>
  <c r="R905" i="24"/>
  <c r="P905" i="24"/>
  <c r="N905" i="24"/>
  <c r="O905" i="24" s="1"/>
  <c r="M905" i="24"/>
  <c r="K905" i="24"/>
  <c r="J905" i="24"/>
  <c r="H905" i="24"/>
  <c r="F905" i="24"/>
  <c r="AG904" i="24"/>
  <c r="AF904" i="24"/>
  <c r="AD904" i="24"/>
  <c r="AC904" i="24"/>
  <c r="Z904" i="24"/>
  <c r="X904" i="24"/>
  <c r="T904" i="24"/>
  <c r="S904" i="24"/>
  <c r="R904" i="24"/>
  <c r="P904" i="24"/>
  <c r="N904" i="24"/>
  <c r="O904" i="24" s="1"/>
  <c r="M904" i="24"/>
  <c r="K904" i="24"/>
  <c r="J904" i="24"/>
  <c r="H904" i="24"/>
  <c r="F904" i="24"/>
  <c r="AG903" i="24"/>
  <c r="AF903" i="24"/>
  <c r="AD903" i="24"/>
  <c r="AC903" i="24"/>
  <c r="Z903" i="24"/>
  <c r="X903" i="24"/>
  <c r="T903" i="24"/>
  <c r="S903" i="24"/>
  <c r="R903" i="24"/>
  <c r="P903" i="24"/>
  <c r="N903" i="24"/>
  <c r="O903" i="24" s="1"/>
  <c r="M903" i="24"/>
  <c r="K903" i="24"/>
  <c r="J903" i="24"/>
  <c r="H903" i="24"/>
  <c r="F903" i="24"/>
  <c r="AG902" i="24"/>
  <c r="AF902" i="24"/>
  <c r="AD902" i="24"/>
  <c r="AC902" i="24"/>
  <c r="Z902" i="24"/>
  <c r="X902" i="24"/>
  <c r="T902" i="24"/>
  <c r="S902" i="24"/>
  <c r="R902" i="24"/>
  <c r="P902" i="24"/>
  <c r="N902" i="24"/>
  <c r="O902" i="24" s="1"/>
  <c r="M902" i="24"/>
  <c r="K902" i="24"/>
  <c r="J902" i="24"/>
  <c r="H902" i="24"/>
  <c r="F902" i="24"/>
  <c r="AG901" i="24"/>
  <c r="AF901" i="24"/>
  <c r="AD901" i="24"/>
  <c r="AC901" i="24"/>
  <c r="Z901" i="24"/>
  <c r="X901" i="24"/>
  <c r="T901" i="24"/>
  <c r="S901" i="24"/>
  <c r="R901" i="24"/>
  <c r="P901" i="24"/>
  <c r="N901" i="24"/>
  <c r="O901" i="24" s="1"/>
  <c r="M901" i="24"/>
  <c r="K901" i="24"/>
  <c r="J901" i="24"/>
  <c r="H901" i="24"/>
  <c r="F901" i="24"/>
  <c r="AG900" i="24"/>
  <c r="AF900" i="24"/>
  <c r="AD900" i="24"/>
  <c r="AC900" i="24"/>
  <c r="Z900" i="24"/>
  <c r="X900" i="24"/>
  <c r="T900" i="24"/>
  <c r="S900" i="24"/>
  <c r="R900" i="24"/>
  <c r="P900" i="24"/>
  <c r="N900" i="24"/>
  <c r="O900" i="24" s="1"/>
  <c r="M900" i="24"/>
  <c r="K900" i="24"/>
  <c r="J900" i="24"/>
  <c r="H900" i="24"/>
  <c r="F900" i="24"/>
  <c r="AG899" i="24"/>
  <c r="AF899" i="24"/>
  <c r="AD899" i="24"/>
  <c r="AC899" i="24"/>
  <c r="Z899" i="24"/>
  <c r="X899" i="24"/>
  <c r="T970" i="24"/>
  <c r="S970" i="24"/>
  <c r="R970" i="24"/>
  <c r="P970" i="24"/>
  <c r="N970" i="24"/>
  <c r="O970" i="24" s="1"/>
  <c r="M970" i="24"/>
  <c r="K970" i="24"/>
  <c r="J970" i="24"/>
  <c r="H970" i="24"/>
  <c r="F970" i="24"/>
  <c r="AG898" i="24"/>
  <c r="AF898" i="24"/>
  <c r="AD898" i="24"/>
  <c r="AC898" i="24"/>
  <c r="Z898" i="24"/>
  <c r="X898" i="24"/>
  <c r="T898" i="24"/>
  <c r="S898" i="24"/>
  <c r="R898" i="24"/>
  <c r="P898" i="24"/>
  <c r="N898" i="24"/>
  <c r="O898" i="24" s="1"/>
  <c r="M898" i="24"/>
  <c r="K898" i="24"/>
  <c r="J898" i="24"/>
  <c r="H898" i="24"/>
  <c r="F898" i="24"/>
  <c r="AG897" i="24"/>
  <c r="AF897" i="24"/>
  <c r="AD897" i="24"/>
  <c r="AC897" i="24"/>
  <c r="Z897" i="24"/>
  <c r="X897" i="24"/>
  <c r="T897" i="24"/>
  <c r="S897" i="24"/>
  <c r="R897" i="24"/>
  <c r="P897" i="24"/>
  <c r="N897" i="24"/>
  <c r="O897" i="24" s="1"/>
  <c r="M897" i="24"/>
  <c r="K897" i="24"/>
  <c r="J897" i="24"/>
  <c r="H897" i="24"/>
  <c r="F897" i="24"/>
  <c r="AG896" i="24"/>
  <c r="AF896" i="24"/>
  <c r="AD896" i="24"/>
  <c r="AC896" i="24"/>
  <c r="Z896" i="24"/>
  <c r="X896" i="24"/>
  <c r="T896" i="24"/>
  <c r="S896" i="24"/>
  <c r="R896" i="24"/>
  <c r="P896" i="24"/>
  <c r="N896" i="24"/>
  <c r="O896" i="24" s="1"/>
  <c r="M896" i="24"/>
  <c r="K896" i="24"/>
  <c r="J896" i="24"/>
  <c r="H896" i="24"/>
  <c r="F896" i="24"/>
  <c r="AG895" i="24"/>
  <c r="AF895" i="24"/>
  <c r="AD895" i="24"/>
  <c r="AC895" i="24"/>
  <c r="Z895" i="24"/>
  <c r="X895" i="24"/>
  <c r="T895" i="24"/>
  <c r="S895" i="24"/>
  <c r="R895" i="24"/>
  <c r="P895" i="24"/>
  <c r="N895" i="24"/>
  <c r="O895" i="24" s="1"/>
  <c r="M895" i="24"/>
  <c r="K895" i="24"/>
  <c r="J895" i="24"/>
  <c r="H895" i="24"/>
  <c r="F895" i="24"/>
  <c r="AG894" i="24"/>
  <c r="AF894" i="24"/>
  <c r="AD894" i="24"/>
  <c r="AC894" i="24"/>
  <c r="Z894" i="24"/>
  <c r="X894" i="24"/>
  <c r="T894" i="24"/>
  <c r="S894" i="24"/>
  <c r="R894" i="24"/>
  <c r="P894" i="24"/>
  <c r="N894" i="24"/>
  <c r="O894" i="24" s="1"/>
  <c r="M894" i="24"/>
  <c r="K894" i="24"/>
  <c r="J894" i="24"/>
  <c r="H894" i="24"/>
  <c r="F894" i="24"/>
  <c r="AG893" i="24"/>
  <c r="AF893" i="24"/>
  <c r="AD893" i="24"/>
  <c r="AC893" i="24"/>
  <c r="Z893" i="24"/>
  <c r="X893" i="24"/>
  <c r="T893" i="24"/>
  <c r="S893" i="24"/>
  <c r="R893" i="24"/>
  <c r="P893" i="24"/>
  <c r="N893" i="24"/>
  <c r="M893" i="24"/>
  <c r="K893" i="24"/>
  <c r="J893" i="24"/>
  <c r="H893" i="24"/>
  <c r="F893" i="24"/>
  <c r="AG892" i="24"/>
  <c r="AF892" i="24"/>
  <c r="AD892" i="24"/>
  <c r="AC892" i="24"/>
  <c r="Z892" i="24"/>
  <c r="X892" i="24"/>
  <c r="T892" i="24"/>
  <c r="S892" i="24"/>
  <c r="R892" i="24"/>
  <c r="P892" i="24"/>
  <c r="N892" i="24"/>
  <c r="O892" i="24" s="1"/>
  <c r="M892" i="24"/>
  <c r="K892" i="24"/>
  <c r="J892" i="24"/>
  <c r="H892" i="24"/>
  <c r="F892" i="24"/>
  <c r="AG891" i="24"/>
  <c r="AF891" i="24"/>
  <c r="AD891" i="24"/>
  <c r="AC891" i="24"/>
  <c r="AB891" i="24"/>
  <c r="Z891" i="24"/>
  <c r="X891" i="24"/>
  <c r="T891" i="24"/>
  <c r="S891" i="24"/>
  <c r="R891" i="24"/>
  <c r="P891" i="24"/>
  <c r="N891" i="24"/>
  <c r="M891" i="24"/>
  <c r="K891" i="24"/>
  <c r="J891" i="24"/>
  <c r="H891" i="24"/>
  <c r="F891" i="24"/>
  <c r="AG890" i="24"/>
  <c r="AF890" i="24"/>
  <c r="AD890" i="24"/>
  <c r="AC890" i="24"/>
  <c r="Z890" i="24"/>
  <c r="X890" i="24"/>
  <c r="T890" i="24"/>
  <c r="S890" i="24"/>
  <c r="R890" i="24"/>
  <c r="P890" i="24"/>
  <c r="N890" i="24"/>
  <c r="O890" i="24" s="1"/>
  <c r="M890" i="24"/>
  <c r="K890" i="24"/>
  <c r="J890" i="24"/>
  <c r="H890" i="24"/>
  <c r="F890" i="24"/>
  <c r="AG889" i="24"/>
  <c r="AF889" i="24"/>
  <c r="AD889" i="24"/>
  <c r="AC889" i="24"/>
  <c r="Z889" i="24"/>
  <c r="X889" i="24"/>
  <c r="T889" i="24"/>
  <c r="S889" i="24"/>
  <c r="R889" i="24"/>
  <c r="P889" i="24"/>
  <c r="N889" i="24"/>
  <c r="O889" i="24" s="1"/>
  <c r="M889" i="24"/>
  <c r="K889" i="24"/>
  <c r="J889" i="24"/>
  <c r="H889" i="24"/>
  <c r="F889" i="24"/>
  <c r="AG888" i="24"/>
  <c r="AF888" i="24"/>
  <c r="AD888" i="24"/>
  <c r="AC888" i="24"/>
  <c r="Z888" i="24"/>
  <c r="X888" i="24"/>
  <c r="T888" i="24"/>
  <c r="S888" i="24"/>
  <c r="R888" i="24"/>
  <c r="P888" i="24"/>
  <c r="N888" i="24"/>
  <c r="O888" i="24" s="1"/>
  <c r="M888" i="24"/>
  <c r="K888" i="24"/>
  <c r="J888" i="24"/>
  <c r="H888" i="24"/>
  <c r="F888" i="24"/>
  <c r="AG887" i="24"/>
  <c r="AF887" i="24"/>
  <c r="AD887" i="24"/>
  <c r="AC887" i="24"/>
  <c r="Z887" i="24"/>
  <c r="X887" i="24"/>
  <c r="T887" i="24"/>
  <c r="S887" i="24"/>
  <c r="R887" i="24"/>
  <c r="P887" i="24"/>
  <c r="N887" i="24"/>
  <c r="O887" i="24" s="1"/>
  <c r="M887" i="24"/>
  <c r="K887" i="24"/>
  <c r="J887" i="24"/>
  <c r="H887" i="24"/>
  <c r="F887" i="24"/>
  <c r="AG886" i="24"/>
  <c r="AF886" i="24"/>
  <c r="AD886" i="24"/>
  <c r="AC886" i="24"/>
  <c r="Z886" i="24"/>
  <c r="X886" i="24"/>
  <c r="T886" i="24"/>
  <c r="S886" i="24"/>
  <c r="R886" i="24"/>
  <c r="P886" i="24"/>
  <c r="N886" i="24"/>
  <c r="O886" i="24" s="1"/>
  <c r="M886" i="24"/>
  <c r="K886" i="24"/>
  <c r="J886" i="24"/>
  <c r="H886" i="24"/>
  <c r="F886" i="24"/>
  <c r="AG885" i="24"/>
  <c r="AF885" i="24"/>
  <c r="AD885" i="24"/>
  <c r="AC885" i="24"/>
  <c r="Z885" i="24"/>
  <c r="X885" i="24"/>
  <c r="T885" i="24"/>
  <c r="S885" i="24"/>
  <c r="R885" i="24"/>
  <c r="P885" i="24"/>
  <c r="N885" i="24"/>
  <c r="O885" i="24" s="1"/>
  <c r="M885" i="24"/>
  <c r="K885" i="24"/>
  <c r="J885" i="24"/>
  <c r="H885" i="24"/>
  <c r="F885" i="24"/>
  <c r="AG884" i="24"/>
  <c r="AF884" i="24"/>
  <c r="AD884" i="24"/>
  <c r="AC884" i="24"/>
  <c r="Z884" i="24"/>
  <c r="X884" i="24"/>
  <c r="T884" i="24"/>
  <c r="S884" i="24"/>
  <c r="R884" i="24"/>
  <c r="P884" i="24"/>
  <c r="N884" i="24"/>
  <c r="O884" i="24" s="1"/>
  <c r="M884" i="24"/>
  <c r="K884" i="24"/>
  <c r="J884" i="24"/>
  <c r="H884" i="24"/>
  <c r="F884" i="24"/>
  <c r="AG883" i="24"/>
  <c r="AF883" i="24"/>
  <c r="AD883" i="24"/>
  <c r="AC883" i="24"/>
  <c r="Z883" i="24"/>
  <c r="X883" i="24"/>
  <c r="T883" i="24"/>
  <c r="S883" i="24"/>
  <c r="R883" i="24"/>
  <c r="P883" i="24"/>
  <c r="N883" i="24"/>
  <c r="O883" i="24" s="1"/>
  <c r="M883" i="24"/>
  <c r="K883" i="24"/>
  <c r="J883" i="24"/>
  <c r="H883" i="24"/>
  <c r="F883" i="24"/>
  <c r="AG882" i="24"/>
  <c r="AF882" i="24"/>
  <c r="AD882" i="24"/>
  <c r="AC882" i="24"/>
  <c r="Z882" i="24"/>
  <c r="X882" i="24"/>
  <c r="T882" i="24"/>
  <c r="S882" i="24"/>
  <c r="R882" i="24"/>
  <c r="P882" i="24"/>
  <c r="N882" i="24"/>
  <c r="O882" i="24" s="1"/>
  <c r="M882" i="24"/>
  <c r="K882" i="24"/>
  <c r="J882" i="24"/>
  <c r="H882" i="24"/>
  <c r="F882" i="24"/>
  <c r="AG881" i="24"/>
  <c r="AF881" i="24"/>
  <c r="AD881" i="24"/>
  <c r="AC881" i="24"/>
  <c r="Z881" i="24"/>
  <c r="X881" i="24"/>
  <c r="T881" i="24"/>
  <c r="S881" i="24"/>
  <c r="R881" i="24"/>
  <c r="P881" i="24"/>
  <c r="N881" i="24"/>
  <c r="O881" i="24" s="1"/>
  <c r="M881" i="24"/>
  <c r="K881" i="24"/>
  <c r="J881" i="24"/>
  <c r="H881" i="24"/>
  <c r="F881" i="24"/>
  <c r="AG880" i="24"/>
  <c r="AF880" i="24"/>
  <c r="AD880" i="24"/>
  <c r="AC880" i="24"/>
  <c r="Z880" i="24"/>
  <c r="X880" i="24"/>
  <c r="T880" i="24"/>
  <c r="S880" i="24"/>
  <c r="R880" i="24"/>
  <c r="P880" i="24"/>
  <c r="N880" i="24"/>
  <c r="M880" i="24"/>
  <c r="K880" i="24"/>
  <c r="J880" i="24"/>
  <c r="H880" i="24"/>
  <c r="F880" i="24"/>
  <c r="AG879" i="24"/>
  <c r="AF879" i="24"/>
  <c r="AD879" i="24"/>
  <c r="AC879" i="24"/>
  <c r="Z879" i="24"/>
  <c r="X879" i="24"/>
  <c r="T879" i="24"/>
  <c r="S879" i="24"/>
  <c r="R879" i="24"/>
  <c r="P879" i="24"/>
  <c r="N879" i="24"/>
  <c r="M879" i="24"/>
  <c r="K879" i="24"/>
  <c r="J879" i="24"/>
  <c r="H879" i="24"/>
  <c r="F879" i="24"/>
  <c r="AG878" i="24"/>
  <c r="AF878" i="24"/>
  <c r="AD878" i="24"/>
  <c r="AC878" i="24"/>
  <c r="Z878" i="24"/>
  <c r="X878" i="24"/>
  <c r="T878" i="24"/>
  <c r="S878" i="24"/>
  <c r="R878" i="24"/>
  <c r="P878" i="24"/>
  <c r="N878" i="24"/>
  <c r="O878" i="24" s="1"/>
  <c r="M878" i="24"/>
  <c r="K878" i="24"/>
  <c r="J878" i="24"/>
  <c r="H878" i="24"/>
  <c r="F878" i="24"/>
  <c r="AG877" i="24"/>
  <c r="AF877" i="24"/>
  <c r="AD877" i="24"/>
  <c r="AC877" i="24"/>
  <c r="Z877" i="24"/>
  <c r="X877" i="24"/>
  <c r="T877" i="24"/>
  <c r="S877" i="24"/>
  <c r="R877" i="24"/>
  <c r="P877" i="24"/>
  <c r="N877" i="24"/>
  <c r="M877" i="24"/>
  <c r="K877" i="24"/>
  <c r="J877" i="24"/>
  <c r="H877" i="24"/>
  <c r="F877" i="24"/>
  <c r="AG876" i="24"/>
  <c r="AF876" i="24"/>
  <c r="AD876" i="24"/>
  <c r="AC876" i="24"/>
  <c r="Z876" i="24"/>
  <c r="X876" i="24"/>
  <c r="T876" i="24"/>
  <c r="S876" i="24"/>
  <c r="R876" i="24"/>
  <c r="P876" i="24"/>
  <c r="N876" i="24"/>
  <c r="O876" i="24" s="1"/>
  <c r="M876" i="24"/>
  <c r="K876" i="24"/>
  <c r="J876" i="24"/>
  <c r="H876" i="24"/>
  <c r="F876" i="24"/>
  <c r="AG875" i="24"/>
  <c r="AF875" i="24"/>
  <c r="AD875" i="24"/>
  <c r="AC875" i="24"/>
  <c r="Z875" i="24"/>
  <c r="X875" i="24"/>
  <c r="T875" i="24"/>
  <c r="S875" i="24"/>
  <c r="R875" i="24"/>
  <c r="P875" i="24"/>
  <c r="N875" i="24"/>
  <c r="O875" i="24" s="1"/>
  <c r="M875" i="24"/>
  <c r="K875" i="24"/>
  <c r="J875" i="24"/>
  <c r="H875" i="24"/>
  <c r="F875" i="24"/>
  <c r="AG874" i="24"/>
  <c r="AF874" i="24"/>
  <c r="AD874" i="24"/>
  <c r="AC874" i="24"/>
  <c r="Z874" i="24"/>
  <c r="X874" i="24"/>
  <c r="T874" i="24"/>
  <c r="S874" i="24"/>
  <c r="R874" i="24"/>
  <c r="P874" i="24"/>
  <c r="N874" i="24"/>
  <c r="M874" i="24"/>
  <c r="K874" i="24"/>
  <c r="J874" i="24"/>
  <c r="H874" i="24"/>
  <c r="F874" i="24"/>
  <c r="AG873" i="24"/>
  <c r="AF873" i="24"/>
  <c r="AD873" i="24"/>
  <c r="AC873" i="24"/>
  <c r="Z873" i="24"/>
  <c r="X873" i="24"/>
  <c r="T873" i="24"/>
  <c r="S873" i="24"/>
  <c r="R873" i="24"/>
  <c r="P873" i="24"/>
  <c r="N873" i="24"/>
  <c r="M873" i="24"/>
  <c r="K873" i="24"/>
  <c r="J873" i="24"/>
  <c r="H873" i="24"/>
  <c r="F873" i="24"/>
  <c r="AG872" i="24"/>
  <c r="AF872" i="24"/>
  <c r="AD872" i="24"/>
  <c r="AC872" i="24"/>
  <c r="Z872" i="24"/>
  <c r="X872" i="24"/>
  <c r="T872" i="24"/>
  <c r="S872" i="24"/>
  <c r="R872" i="24"/>
  <c r="P872" i="24"/>
  <c r="N872" i="24"/>
  <c r="O872" i="24" s="1"/>
  <c r="M872" i="24"/>
  <c r="K872" i="24"/>
  <c r="J872" i="24"/>
  <c r="H872" i="24"/>
  <c r="F872" i="24"/>
  <c r="AG871" i="24"/>
  <c r="AF871" i="24"/>
  <c r="AD871" i="24"/>
  <c r="AC871" i="24"/>
  <c r="Z871" i="24"/>
  <c r="X871" i="24"/>
  <c r="T871" i="24"/>
  <c r="S871" i="24"/>
  <c r="R871" i="24"/>
  <c r="P871" i="24"/>
  <c r="N871" i="24"/>
  <c r="O871" i="24" s="1"/>
  <c r="M871" i="24"/>
  <c r="K871" i="24"/>
  <c r="J871" i="24"/>
  <c r="H871" i="24"/>
  <c r="F871" i="24"/>
  <c r="AG870" i="24"/>
  <c r="AF870" i="24"/>
  <c r="AD870" i="24"/>
  <c r="AC870" i="24"/>
  <c r="Z870" i="24"/>
  <c r="X870" i="24"/>
  <c r="T956" i="24"/>
  <c r="S956" i="24"/>
  <c r="R956" i="24"/>
  <c r="P956" i="24"/>
  <c r="N956" i="24"/>
  <c r="O956" i="24" s="1"/>
  <c r="M956" i="24"/>
  <c r="K956" i="24"/>
  <c r="J956" i="24"/>
  <c r="H956" i="24"/>
  <c r="F956" i="24"/>
  <c r="AG869" i="24"/>
  <c r="AF869" i="24"/>
  <c r="AD869" i="24"/>
  <c r="AC869" i="24"/>
  <c r="Z869" i="24"/>
  <c r="X869" i="24"/>
  <c r="T938" i="24"/>
  <c r="S938" i="24"/>
  <c r="R938" i="24"/>
  <c r="P938" i="24"/>
  <c r="N938" i="24"/>
  <c r="O938" i="24" s="1"/>
  <c r="M938" i="24"/>
  <c r="K938" i="24"/>
  <c r="J938" i="24"/>
  <c r="H938" i="24"/>
  <c r="F938" i="24"/>
  <c r="AG868" i="24"/>
  <c r="AF868" i="24"/>
  <c r="AD868" i="24"/>
  <c r="AC868" i="24"/>
  <c r="Z868" i="24"/>
  <c r="X868" i="24"/>
  <c r="T868" i="24"/>
  <c r="S868" i="24"/>
  <c r="R868" i="24"/>
  <c r="P868" i="24"/>
  <c r="N868" i="24"/>
  <c r="O868" i="24" s="1"/>
  <c r="M868" i="24"/>
  <c r="K868" i="24"/>
  <c r="J868" i="24"/>
  <c r="H868" i="24"/>
  <c r="F868" i="24"/>
  <c r="AG867" i="24"/>
  <c r="AF867" i="24"/>
  <c r="AD867" i="24"/>
  <c r="AC867" i="24"/>
  <c r="Z867" i="24"/>
  <c r="X867" i="24"/>
  <c r="T867" i="24"/>
  <c r="S867" i="24"/>
  <c r="R867" i="24"/>
  <c r="P867" i="24"/>
  <c r="N867" i="24"/>
  <c r="O867" i="24" s="1"/>
  <c r="M867" i="24"/>
  <c r="K867" i="24"/>
  <c r="J867" i="24"/>
  <c r="H867" i="24"/>
  <c r="F867" i="24"/>
  <c r="AG866" i="24"/>
  <c r="AF866" i="24"/>
  <c r="AD866" i="24"/>
  <c r="AC866" i="24"/>
  <c r="Z866" i="24"/>
  <c r="X866" i="24"/>
  <c r="T866" i="24"/>
  <c r="S866" i="24"/>
  <c r="R866" i="24"/>
  <c r="P866" i="24"/>
  <c r="N866" i="24"/>
  <c r="O866" i="24" s="1"/>
  <c r="M866" i="24"/>
  <c r="K866" i="24"/>
  <c r="J866" i="24"/>
  <c r="H866" i="24"/>
  <c r="F866" i="24"/>
  <c r="AG865" i="24"/>
  <c r="AF865" i="24"/>
  <c r="AD865" i="24"/>
  <c r="AC865" i="24"/>
  <c r="Z865" i="24"/>
  <c r="X865" i="24"/>
  <c r="T914" i="24"/>
  <c r="S914" i="24"/>
  <c r="R914" i="24"/>
  <c r="P914" i="24"/>
  <c r="N914" i="24"/>
  <c r="O914" i="24" s="1"/>
  <c r="M914" i="24"/>
  <c r="K914" i="24"/>
  <c r="J914" i="24"/>
  <c r="H914" i="24"/>
  <c r="F914" i="24"/>
  <c r="AG864" i="24"/>
  <c r="AF864" i="24"/>
  <c r="AD864" i="24"/>
  <c r="AC864" i="24"/>
  <c r="Z864" i="24"/>
  <c r="X864" i="24"/>
  <c r="T864" i="24"/>
  <c r="S864" i="24"/>
  <c r="R864" i="24"/>
  <c r="P864" i="24"/>
  <c r="N864" i="24"/>
  <c r="O864" i="24" s="1"/>
  <c r="M864" i="24"/>
  <c r="K864" i="24"/>
  <c r="J864" i="24"/>
  <c r="H864" i="24"/>
  <c r="F864" i="24"/>
  <c r="AG863" i="24"/>
  <c r="AF863" i="24"/>
  <c r="AD863" i="24"/>
  <c r="AC863" i="24"/>
  <c r="Z863" i="24"/>
  <c r="X863" i="24"/>
  <c r="T863" i="24"/>
  <c r="S863" i="24"/>
  <c r="R863" i="24"/>
  <c r="P863" i="24"/>
  <c r="N863" i="24"/>
  <c r="O863" i="24" s="1"/>
  <c r="M863" i="24"/>
  <c r="K863" i="24"/>
  <c r="J863" i="24"/>
  <c r="H863" i="24"/>
  <c r="F863" i="24"/>
  <c r="AG862" i="24"/>
  <c r="AF862" i="24"/>
  <c r="AD862" i="24"/>
  <c r="AC862" i="24"/>
  <c r="Z862" i="24"/>
  <c r="X862" i="24"/>
  <c r="T862" i="24"/>
  <c r="S862" i="24"/>
  <c r="R862" i="24"/>
  <c r="P862" i="24"/>
  <c r="N862" i="24"/>
  <c r="O862" i="24" s="1"/>
  <c r="M862" i="24"/>
  <c r="K862" i="24"/>
  <c r="J862" i="24"/>
  <c r="H862" i="24"/>
  <c r="F862" i="24"/>
  <c r="AG861" i="24"/>
  <c r="AF861" i="24"/>
  <c r="AD861" i="24"/>
  <c r="AC861" i="24"/>
  <c r="Z861" i="24"/>
  <c r="X861" i="24"/>
  <c r="T861" i="24"/>
  <c r="S861" i="24"/>
  <c r="R861" i="24"/>
  <c r="P861" i="24"/>
  <c r="N861" i="24"/>
  <c r="O861" i="24" s="1"/>
  <c r="M861" i="24"/>
  <c r="K861" i="24"/>
  <c r="J861" i="24"/>
  <c r="H861" i="24"/>
  <c r="F861" i="24"/>
  <c r="AG860" i="24"/>
  <c r="AF860" i="24"/>
  <c r="AD860" i="24"/>
  <c r="AC860" i="24"/>
  <c r="Z860" i="24"/>
  <c r="X860" i="24"/>
  <c r="T860" i="24"/>
  <c r="S860" i="24"/>
  <c r="R860" i="24"/>
  <c r="P860" i="24"/>
  <c r="N860" i="24"/>
  <c r="O860" i="24" s="1"/>
  <c r="M860" i="24"/>
  <c r="K860" i="24"/>
  <c r="J860" i="24"/>
  <c r="H860" i="24"/>
  <c r="F860" i="24"/>
  <c r="AG859" i="24"/>
  <c r="AF859" i="24"/>
  <c r="AD859" i="24"/>
  <c r="AC859" i="24"/>
  <c r="Z859" i="24"/>
  <c r="X859" i="24"/>
  <c r="T859" i="24"/>
  <c r="S859" i="24"/>
  <c r="R859" i="24"/>
  <c r="P859" i="24"/>
  <c r="N859" i="24"/>
  <c r="O859" i="24" s="1"/>
  <c r="M859" i="24"/>
  <c r="K859" i="24"/>
  <c r="J859" i="24"/>
  <c r="H859" i="24"/>
  <c r="F859" i="24"/>
  <c r="AG858" i="24"/>
  <c r="AF858" i="24"/>
  <c r="AD858" i="24"/>
  <c r="AC858" i="24"/>
  <c r="Z858" i="24"/>
  <c r="X858" i="24"/>
  <c r="T858" i="24"/>
  <c r="S858" i="24"/>
  <c r="R858" i="24"/>
  <c r="P858" i="24"/>
  <c r="N858" i="24"/>
  <c r="O858" i="24" s="1"/>
  <c r="M858" i="24"/>
  <c r="K858" i="24"/>
  <c r="J858" i="24"/>
  <c r="H858" i="24"/>
  <c r="F858" i="24"/>
  <c r="AG857" i="24"/>
  <c r="AF857" i="24"/>
  <c r="AD857" i="24"/>
  <c r="AC857" i="24"/>
  <c r="Z857" i="24"/>
  <c r="X857" i="24"/>
  <c r="T857" i="24"/>
  <c r="S857" i="24"/>
  <c r="R857" i="24"/>
  <c r="P857" i="24"/>
  <c r="N857" i="24"/>
  <c r="O857" i="24" s="1"/>
  <c r="M857" i="24"/>
  <c r="K857" i="24"/>
  <c r="J857" i="24"/>
  <c r="H857" i="24"/>
  <c r="F857" i="24"/>
  <c r="AG856" i="24"/>
  <c r="AF856" i="24"/>
  <c r="AD856" i="24"/>
  <c r="AC856" i="24"/>
  <c r="Z856" i="24"/>
  <c r="X856" i="24"/>
  <c r="T856" i="24"/>
  <c r="S856" i="24"/>
  <c r="R856" i="24"/>
  <c r="P856" i="24"/>
  <c r="N856" i="24"/>
  <c r="M856" i="24"/>
  <c r="K856" i="24"/>
  <c r="J856" i="24"/>
  <c r="H856" i="24"/>
  <c r="F856" i="24"/>
  <c r="AG855" i="24"/>
  <c r="AF855" i="24"/>
  <c r="AD855" i="24"/>
  <c r="AC855" i="24"/>
  <c r="Z855" i="24"/>
  <c r="X855" i="24"/>
  <c r="T855" i="24"/>
  <c r="S855" i="24"/>
  <c r="R855" i="24"/>
  <c r="P855" i="24"/>
  <c r="N855" i="24"/>
  <c r="M855" i="24"/>
  <c r="K855" i="24"/>
  <c r="J855" i="24"/>
  <c r="H855" i="24"/>
  <c r="F855" i="24"/>
  <c r="AG854" i="24"/>
  <c r="AF854" i="24"/>
  <c r="AD854" i="24"/>
  <c r="AC854" i="24"/>
  <c r="AB854" i="24"/>
  <c r="Z854" i="24"/>
  <c r="X854" i="24"/>
  <c r="T854" i="24"/>
  <c r="S854" i="24"/>
  <c r="R854" i="24"/>
  <c r="P854" i="24"/>
  <c r="N854" i="24"/>
  <c r="AA854" i="24" s="1"/>
  <c r="M854" i="24"/>
  <c r="K854" i="24"/>
  <c r="J854" i="24"/>
  <c r="H854" i="24"/>
  <c r="F854" i="24"/>
  <c r="AG853" i="24"/>
  <c r="AF853" i="24"/>
  <c r="AD853" i="24"/>
  <c r="AC853" i="24"/>
  <c r="Z853" i="24"/>
  <c r="X853" i="24"/>
  <c r="T853" i="24"/>
  <c r="S853" i="24"/>
  <c r="R853" i="24"/>
  <c r="P853" i="24"/>
  <c r="N853" i="24"/>
  <c r="M853" i="24"/>
  <c r="K853" i="24"/>
  <c r="J853" i="24"/>
  <c r="H853" i="24"/>
  <c r="F853" i="24"/>
  <c r="AG852" i="24"/>
  <c r="AF852" i="24"/>
  <c r="AD852" i="24"/>
  <c r="AC852" i="24"/>
  <c r="Z852" i="24"/>
  <c r="X852" i="24"/>
  <c r="T852" i="24"/>
  <c r="S852" i="24"/>
  <c r="R852" i="24"/>
  <c r="P852" i="24"/>
  <c r="N852" i="24"/>
  <c r="O852" i="24" s="1"/>
  <c r="M852" i="24"/>
  <c r="K852" i="24"/>
  <c r="J852" i="24"/>
  <c r="H852" i="24"/>
  <c r="F852" i="24"/>
  <c r="AG851" i="24"/>
  <c r="AF851" i="24"/>
  <c r="AD851" i="24"/>
  <c r="AC851" i="24"/>
  <c r="Z851" i="24"/>
  <c r="X851" i="24"/>
  <c r="T851" i="24"/>
  <c r="S851" i="24"/>
  <c r="R851" i="24"/>
  <c r="P851" i="24"/>
  <c r="N851" i="24"/>
  <c r="O851" i="24" s="1"/>
  <c r="M851" i="24"/>
  <c r="K851" i="24"/>
  <c r="J851" i="24"/>
  <c r="H851" i="24"/>
  <c r="F851" i="24"/>
  <c r="AG850" i="24"/>
  <c r="AF850" i="24"/>
  <c r="AD850" i="24"/>
  <c r="AC850" i="24"/>
  <c r="AB850" i="24"/>
  <c r="Z850" i="24"/>
  <c r="X850" i="24"/>
  <c r="T850" i="24"/>
  <c r="S850" i="24"/>
  <c r="R850" i="24"/>
  <c r="P850" i="24"/>
  <c r="N850" i="24"/>
  <c r="AA850" i="24" s="1"/>
  <c r="M850" i="24"/>
  <c r="K850" i="24"/>
  <c r="J850" i="24"/>
  <c r="H850" i="24"/>
  <c r="F850" i="24"/>
  <c r="AG849" i="24"/>
  <c r="AF849" i="24"/>
  <c r="AD849" i="24"/>
  <c r="AC849" i="24"/>
  <c r="Z849" i="24"/>
  <c r="X849" i="24"/>
  <c r="T849" i="24"/>
  <c r="S849" i="24"/>
  <c r="R849" i="24"/>
  <c r="P849" i="24"/>
  <c r="N849" i="24"/>
  <c r="M849" i="24"/>
  <c r="K849" i="24"/>
  <c r="J849" i="24"/>
  <c r="H849" i="24"/>
  <c r="F849" i="24"/>
  <c r="AG848" i="24"/>
  <c r="AF848" i="24"/>
  <c r="AD848" i="24"/>
  <c r="AC848" i="24"/>
  <c r="Z848" i="24"/>
  <c r="X848" i="24"/>
  <c r="T848" i="24"/>
  <c r="S848" i="24"/>
  <c r="R848" i="24"/>
  <c r="P848" i="24"/>
  <c r="N848" i="24"/>
  <c r="O848" i="24" s="1"/>
  <c r="M848" i="24"/>
  <c r="K848" i="24"/>
  <c r="J848" i="24"/>
  <c r="H848" i="24"/>
  <c r="F848" i="24"/>
  <c r="AG847" i="24"/>
  <c r="AF847" i="24"/>
  <c r="AD847" i="24"/>
  <c r="AC847" i="24"/>
  <c r="Z847" i="24"/>
  <c r="X847" i="24"/>
  <c r="T847" i="24"/>
  <c r="S847" i="24"/>
  <c r="R847" i="24"/>
  <c r="P847" i="24"/>
  <c r="N847" i="24"/>
  <c r="O847" i="24" s="1"/>
  <c r="M847" i="24"/>
  <c r="K847" i="24"/>
  <c r="J847" i="24"/>
  <c r="H847" i="24"/>
  <c r="F847" i="24"/>
  <c r="AG846" i="24"/>
  <c r="AF846" i="24"/>
  <c r="AD846" i="24"/>
  <c r="AC846" i="24"/>
  <c r="Z846" i="24"/>
  <c r="X846" i="24"/>
  <c r="T846" i="24"/>
  <c r="S846" i="24"/>
  <c r="R846" i="24"/>
  <c r="P846" i="24"/>
  <c r="N846" i="24"/>
  <c r="O846" i="24" s="1"/>
  <c r="M846" i="24"/>
  <c r="K846" i="24"/>
  <c r="J846" i="24"/>
  <c r="H846" i="24"/>
  <c r="F846" i="24"/>
  <c r="AG845" i="24"/>
  <c r="AF845" i="24"/>
  <c r="AD845" i="24"/>
  <c r="AC845" i="24"/>
  <c r="Z845" i="24"/>
  <c r="X845" i="24"/>
  <c r="T870" i="24"/>
  <c r="S870" i="24"/>
  <c r="R870" i="24"/>
  <c r="P870" i="24"/>
  <c r="N870" i="24"/>
  <c r="O870" i="24" s="1"/>
  <c r="M870" i="24"/>
  <c r="K870" i="24"/>
  <c r="J870" i="24"/>
  <c r="H870" i="24"/>
  <c r="F870" i="24"/>
  <c r="AG844" i="24"/>
  <c r="AF844" i="24"/>
  <c r="AD844" i="24"/>
  <c r="AC844" i="24"/>
  <c r="Z844" i="24"/>
  <c r="X844" i="24"/>
  <c r="T844" i="24"/>
  <c r="S844" i="24"/>
  <c r="R844" i="24"/>
  <c r="P844" i="24"/>
  <c r="N844" i="24"/>
  <c r="O844" i="24" s="1"/>
  <c r="M844" i="24"/>
  <c r="K844" i="24"/>
  <c r="J844" i="24"/>
  <c r="H844" i="24"/>
  <c r="F844" i="24"/>
  <c r="AG843" i="24"/>
  <c r="AF843" i="24"/>
  <c r="AD843" i="24"/>
  <c r="AC843" i="24"/>
  <c r="Z843" i="24"/>
  <c r="X843" i="24"/>
  <c r="T843" i="24"/>
  <c r="S843" i="24"/>
  <c r="R843" i="24"/>
  <c r="P843" i="24"/>
  <c r="N843" i="24"/>
  <c r="O843" i="24" s="1"/>
  <c r="M843" i="24"/>
  <c r="K843" i="24"/>
  <c r="J843" i="24"/>
  <c r="H843" i="24"/>
  <c r="F843" i="24"/>
  <c r="AG842" i="24"/>
  <c r="AF842" i="24"/>
  <c r="AD842" i="24"/>
  <c r="AC842" i="24"/>
  <c r="Z842" i="24"/>
  <c r="X842" i="24"/>
  <c r="T842" i="24"/>
  <c r="S842" i="24"/>
  <c r="R842" i="24"/>
  <c r="P842" i="24"/>
  <c r="N842" i="24"/>
  <c r="O842" i="24" s="1"/>
  <c r="M842" i="24"/>
  <c r="K842" i="24"/>
  <c r="J842" i="24"/>
  <c r="H842" i="24"/>
  <c r="F842" i="24"/>
  <c r="AG841" i="24"/>
  <c r="AF841" i="24"/>
  <c r="AD841" i="24"/>
  <c r="AC841" i="24"/>
  <c r="Z841" i="24"/>
  <c r="X841" i="24"/>
  <c r="T841" i="24"/>
  <c r="S841" i="24"/>
  <c r="R841" i="24"/>
  <c r="P841" i="24"/>
  <c r="N841" i="24"/>
  <c r="O841" i="24" s="1"/>
  <c r="M841" i="24"/>
  <c r="K841" i="24"/>
  <c r="J841" i="24"/>
  <c r="H841" i="24"/>
  <c r="F841" i="24"/>
  <c r="AG840" i="24"/>
  <c r="AF840" i="24"/>
  <c r="AD840" i="24"/>
  <c r="AC840" i="24"/>
  <c r="Z840" i="24"/>
  <c r="X840" i="24"/>
  <c r="T840" i="24"/>
  <c r="S840" i="24"/>
  <c r="R840" i="24"/>
  <c r="P840" i="24"/>
  <c r="N840" i="24"/>
  <c r="O840" i="24" s="1"/>
  <c r="M840" i="24"/>
  <c r="K840" i="24"/>
  <c r="J840" i="24"/>
  <c r="H840" i="24"/>
  <c r="F840" i="24"/>
  <c r="AG839" i="24"/>
  <c r="AF839" i="24"/>
  <c r="AD839" i="24"/>
  <c r="AC839" i="24"/>
  <c r="Z839" i="24"/>
  <c r="X839" i="24"/>
  <c r="T839" i="24"/>
  <c r="S839" i="24"/>
  <c r="R839" i="24"/>
  <c r="P839" i="24"/>
  <c r="N839" i="24"/>
  <c r="O839" i="24" s="1"/>
  <c r="M839" i="24"/>
  <c r="K839" i="24"/>
  <c r="J839" i="24"/>
  <c r="H839" i="24"/>
  <c r="F839" i="24"/>
  <c r="AG838" i="24"/>
  <c r="AF838" i="24"/>
  <c r="AD838" i="24"/>
  <c r="AC838" i="24"/>
  <c r="Z838" i="24"/>
  <c r="X838" i="24"/>
  <c r="T838" i="24"/>
  <c r="S838" i="24"/>
  <c r="R838" i="24"/>
  <c r="P838" i="24"/>
  <c r="N838" i="24"/>
  <c r="O838" i="24" s="1"/>
  <c r="M838" i="24"/>
  <c r="K838" i="24"/>
  <c r="J838" i="24"/>
  <c r="H838" i="24"/>
  <c r="F838" i="24"/>
  <c r="AG837" i="24"/>
  <c r="AF837" i="24"/>
  <c r="AD837" i="24"/>
  <c r="AC837" i="24"/>
  <c r="Z837" i="24"/>
  <c r="X837" i="24"/>
  <c r="T837" i="24"/>
  <c r="S837" i="24"/>
  <c r="R837" i="24"/>
  <c r="P837" i="24"/>
  <c r="N837" i="24"/>
  <c r="O837" i="24" s="1"/>
  <c r="M837" i="24"/>
  <c r="K837" i="24"/>
  <c r="J837" i="24"/>
  <c r="H837" i="24"/>
  <c r="F837" i="24"/>
  <c r="AG836" i="24"/>
  <c r="AF836" i="24"/>
  <c r="AD836" i="24"/>
  <c r="AC836" i="24"/>
  <c r="Z836" i="24"/>
  <c r="X836" i="24"/>
  <c r="T836" i="24"/>
  <c r="S836" i="24"/>
  <c r="R836" i="24"/>
  <c r="P836" i="24"/>
  <c r="N836" i="24"/>
  <c r="O836" i="24" s="1"/>
  <c r="M836" i="24"/>
  <c r="K836" i="24"/>
  <c r="J836" i="24"/>
  <c r="H836" i="24"/>
  <c r="F836" i="24"/>
  <c r="AG835" i="24"/>
  <c r="AF835" i="24"/>
  <c r="AD835" i="24"/>
  <c r="AC835" i="24"/>
  <c r="Z835" i="24"/>
  <c r="X835" i="24"/>
  <c r="T835" i="24"/>
  <c r="S835" i="24"/>
  <c r="R835" i="24"/>
  <c r="P835" i="24"/>
  <c r="N835" i="24"/>
  <c r="M835" i="24"/>
  <c r="K835" i="24"/>
  <c r="J835" i="24"/>
  <c r="H835" i="24"/>
  <c r="F835" i="24"/>
  <c r="AG834" i="24"/>
  <c r="AF834" i="24"/>
  <c r="AD834" i="24"/>
  <c r="AC834" i="24"/>
  <c r="Z834" i="24"/>
  <c r="X834" i="24"/>
  <c r="T834" i="24"/>
  <c r="S834" i="24"/>
  <c r="R834" i="24"/>
  <c r="P834" i="24"/>
  <c r="N834" i="24"/>
  <c r="O834" i="24" s="1"/>
  <c r="M834" i="24"/>
  <c r="K834" i="24"/>
  <c r="J834" i="24"/>
  <c r="H834" i="24"/>
  <c r="F834" i="24"/>
  <c r="AG833" i="24"/>
  <c r="AF833" i="24"/>
  <c r="AD833" i="24"/>
  <c r="AC833" i="24"/>
  <c r="Z833" i="24"/>
  <c r="X833" i="24"/>
  <c r="T833" i="24"/>
  <c r="S833" i="24"/>
  <c r="R833" i="24"/>
  <c r="P833" i="24"/>
  <c r="N833" i="24"/>
  <c r="O833" i="24" s="1"/>
  <c r="M833" i="24"/>
  <c r="K833" i="24"/>
  <c r="J833" i="24"/>
  <c r="H833" i="24"/>
  <c r="F833" i="24"/>
  <c r="AG832" i="24"/>
  <c r="AF832" i="24"/>
  <c r="AD832" i="24"/>
  <c r="AC832" i="24"/>
  <c r="Z832" i="24"/>
  <c r="X832" i="24"/>
  <c r="T832" i="24"/>
  <c r="S832" i="24"/>
  <c r="R832" i="24"/>
  <c r="P832" i="24"/>
  <c r="N832" i="24"/>
  <c r="O832" i="24" s="1"/>
  <c r="M832" i="24"/>
  <c r="K832" i="24"/>
  <c r="J832" i="24"/>
  <c r="H832" i="24"/>
  <c r="F832" i="24"/>
  <c r="AG831" i="24"/>
  <c r="AF831" i="24"/>
  <c r="AD831" i="24"/>
  <c r="AC831" i="24"/>
  <c r="AB831" i="24"/>
  <c r="Z831" i="24"/>
  <c r="X831" i="24"/>
  <c r="T831" i="24"/>
  <c r="S831" i="24"/>
  <c r="R831" i="24"/>
  <c r="P831" i="24"/>
  <c r="N831" i="24"/>
  <c r="M831" i="24"/>
  <c r="K831" i="24"/>
  <c r="J831" i="24"/>
  <c r="H831" i="24"/>
  <c r="F831" i="24"/>
  <c r="AG830" i="24"/>
  <c r="AF830" i="24"/>
  <c r="AD830" i="24"/>
  <c r="AC830" i="24"/>
  <c r="Z830" i="24"/>
  <c r="X830" i="24"/>
  <c r="T830" i="24"/>
  <c r="S830" i="24"/>
  <c r="R830" i="24"/>
  <c r="P830" i="24"/>
  <c r="N830" i="24"/>
  <c r="O830" i="24" s="1"/>
  <c r="M830" i="24"/>
  <c r="K830" i="24"/>
  <c r="J830" i="24"/>
  <c r="H830" i="24"/>
  <c r="F830" i="24"/>
  <c r="AG829" i="24"/>
  <c r="AF829" i="24"/>
  <c r="AD829" i="24"/>
  <c r="AC829" i="24"/>
  <c r="Z829" i="24"/>
  <c r="X829" i="24"/>
  <c r="T829" i="24"/>
  <c r="S829" i="24"/>
  <c r="R829" i="24"/>
  <c r="P829" i="24"/>
  <c r="N829" i="24"/>
  <c r="M829" i="24"/>
  <c r="K829" i="24"/>
  <c r="J829" i="24"/>
  <c r="H829" i="24"/>
  <c r="F829" i="24"/>
  <c r="AG828" i="24"/>
  <c r="AF828" i="24"/>
  <c r="AD828" i="24"/>
  <c r="AC828" i="24"/>
  <c r="Z828" i="24"/>
  <c r="X828" i="24"/>
  <c r="T828" i="24"/>
  <c r="S828" i="24"/>
  <c r="R828" i="24"/>
  <c r="P828" i="24"/>
  <c r="N828" i="24"/>
  <c r="O828" i="24" s="1"/>
  <c r="M828" i="24"/>
  <c r="K828" i="24"/>
  <c r="J828" i="24"/>
  <c r="H828" i="24"/>
  <c r="F828" i="24"/>
  <c r="AG827" i="24"/>
  <c r="AF827" i="24"/>
  <c r="AD827" i="24"/>
  <c r="AC827" i="24"/>
  <c r="Z827" i="24"/>
  <c r="X827" i="24"/>
  <c r="T827" i="24"/>
  <c r="S827" i="24"/>
  <c r="R827" i="24"/>
  <c r="P827" i="24"/>
  <c r="N827" i="24"/>
  <c r="O827" i="24" s="1"/>
  <c r="M827" i="24"/>
  <c r="K827" i="24"/>
  <c r="J827" i="24"/>
  <c r="H827" i="24"/>
  <c r="F827" i="24"/>
  <c r="AG826" i="24"/>
  <c r="AF826" i="24"/>
  <c r="AD826" i="24"/>
  <c r="AC826" i="24"/>
  <c r="Z826" i="24"/>
  <c r="X826" i="24"/>
  <c r="T826" i="24"/>
  <c r="S826" i="24"/>
  <c r="R826" i="24"/>
  <c r="P826" i="24"/>
  <c r="N826" i="24"/>
  <c r="M826" i="24"/>
  <c r="K826" i="24"/>
  <c r="J826" i="24"/>
  <c r="H826" i="24"/>
  <c r="F826" i="24"/>
  <c r="AG825" i="24"/>
  <c r="AF825" i="24"/>
  <c r="AD825" i="24"/>
  <c r="AC825" i="24"/>
  <c r="Z825" i="24"/>
  <c r="X825" i="24"/>
  <c r="T825" i="24"/>
  <c r="S825" i="24"/>
  <c r="R825" i="24"/>
  <c r="P825" i="24"/>
  <c r="N825" i="24"/>
  <c r="M825" i="24"/>
  <c r="K825" i="24"/>
  <c r="J825" i="24"/>
  <c r="H825" i="24"/>
  <c r="F825" i="24"/>
  <c r="AG824" i="24"/>
  <c r="AF824" i="24"/>
  <c r="AD824" i="24"/>
  <c r="AC824" i="24"/>
  <c r="Z824" i="24"/>
  <c r="X824" i="24"/>
  <c r="T824" i="24"/>
  <c r="S824" i="24"/>
  <c r="R824" i="24"/>
  <c r="P824" i="24"/>
  <c r="N824" i="24"/>
  <c r="O824" i="24" s="1"/>
  <c r="M824" i="24"/>
  <c r="K824" i="24"/>
  <c r="J824" i="24"/>
  <c r="H824" i="24"/>
  <c r="F824" i="24"/>
  <c r="AG823" i="24"/>
  <c r="AF823" i="24"/>
  <c r="AD823" i="24"/>
  <c r="AC823" i="24"/>
  <c r="Z823" i="24"/>
  <c r="X823" i="24"/>
  <c r="T823" i="24"/>
  <c r="S823" i="24"/>
  <c r="R823" i="24"/>
  <c r="P823" i="24"/>
  <c r="N823" i="24"/>
  <c r="O823" i="24" s="1"/>
  <c r="M823" i="24"/>
  <c r="K823" i="24"/>
  <c r="J823" i="24"/>
  <c r="H823" i="24"/>
  <c r="F823" i="24"/>
  <c r="AG822" i="24"/>
  <c r="AF822" i="24"/>
  <c r="AD822" i="24"/>
  <c r="AC822" i="24"/>
  <c r="Z822" i="24"/>
  <c r="X822" i="24"/>
  <c r="T822" i="24"/>
  <c r="S822" i="24"/>
  <c r="R822" i="24"/>
  <c r="P822" i="24"/>
  <c r="N822" i="24"/>
  <c r="O822" i="24" s="1"/>
  <c r="M822" i="24"/>
  <c r="K822" i="24"/>
  <c r="J822" i="24"/>
  <c r="H822" i="24"/>
  <c r="F822" i="24"/>
  <c r="AG821" i="24"/>
  <c r="AF821" i="24"/>
  <c r="AD821" i="24"/>
  <c r="AC821" i="24"/>
  <c r="Z821" i="24"/>
  <c r="X821" i="24"/>
  <c r="T821" i="24"/>
  <c r="S821" i="24"/>
  <c r="R821" i="24"/>
  <c r="P821" i="24"/>
  <c r="N821" i="24"/>
  <c r="O821" i="24" s="1"/>
  <c r="M821" i="24"/>
  <c r="K821" i="24"/>
  <c r="J821" i="24"/>
  <c r="H821" i="24"/>
  <c r="F821" i="24"/>
  <c r="AG820" i="24"/>
  <c r="AF820" i="24"/>
  <c r="AD820" i="24"/>
  <c r="AC820" i="24"/>
  <c r="Z820" i="24"/>
  <c r="X820" i="24"/>
  <c r="T820" i="24"/>
  <c r="S820" i="24"/>
  <c r="R820" i="24"/>
  <c r="P820" i="24"/>
  <c r="N820" i="24"/>
  <c r="O820" i="24" s="1"/>
  <c r="M820" i="24"/>
  <c r="K820" i="24"/>
  <c r="J820" i="24"/>
  <c r="H820" i="24"/>
  <c r="F820" i="24"/>
  <c r="AG819" i="24"/>
  <c r="AF819" i="24"/>
  <c r="AD819" i="24"/>
  <c r="AC819" i="24"/>
  <c r="Z819" i="24"/>
  <c r="X819" i="24"/>
  <c r="T819" i="24"/>
  <c r="S819" i="24"/>
  <c r="R819" i="24"/>
  <c r="P819" i="24"/>
  <c r="N819" i="24"/>
  <c r="O819" i="24" s="1"/>
  <c r="M819" i="24"/>
  <c r="K819" i="24"/>
  <c r="J819" i="24"/>
  <c r="H819" i="24"/>
  <c r="F819" i="24"/>
  <c r="AG818" i="24"/>
  <c r="AF818" i="24"/>
  <c r="AD818" i="24"/>
  <c r="AC818" i="24"/>
  <c r="Z818" i="24"/>
  <c r="X818" i="24"/>
  <c r="T818" i="24"/>
  <c r="S818" i="24"/>
  <c r="R818" i="24"/>
  <c r="P818" i="24"/>
  <c r="N818" i="24"/>
  <c r="O818" i="24" s="1"/>
  <c r="M818" i="24"/>
  <c r="K818" i="24"/>
  <c r="J818" i="24"/>
  <c r="H818" i="24"/>
  <c r="F818" i="24"/>
  <c r="AG817" i="24"/>
  <c r="AF817" i="24"/>
  <c r="AD817" i="24"/>
  <c r="AC817" i="24"/>
  <c r="Z817" i="24"/>
  <c r="X817" i="24"/>
  <c r="T817" i="24"/>
  <c r="S817" i="24"/>
  <c r="R817" i="24"/>
  <c r="P817" i="24"/>
  <c r="N817" i="24"/>
  <c r="O817" i="24" s="1"/>
  <c r="M817" i="24"/>
  <c r="K817" i="24"/>
  <c r="J817" i="24"/>
  <c r="H817" i="24"/>
  <c r="F817" i="24"/>
  <c r="AG816" i="24"/>
  <c r="AF816" i="24"/>
  <c r="AD816" i="24"/>
  <c r="AC816" i="24"/>
  <c r="Z816" i="24"/>
  <c r="X816" i="24"/>
  <c r="T816" i="24"/>
  <c r="S816" i="24"/>
  <c r="R816" i="24"/>
  <c r="P816" i="24"/>
  <c r="N816" i="24"/>
  <c r="O816" i="24" s="1"/>
  <c r="M816" i="24"/>
  <c r="K816" i="24"/>
  <c r="J816" i="24"/>
  <c r="H816" i="24"/>
  <c r="F816" i="24"/>
  <c r="AG815" i="24"/>
  <c r="AF815" i="24"/>
  <c r="AD815" i="24"/>
  <c r="AC815" i="24"/>
  <c r="Z815" i="24"/>
  <c r="X815" i="24"/>
  <c r="T815" i="24"/>
  <c r="S815" i="24"/>
  <c r="R815" i="24"/>
  <c r="P815" i="24"/>
  <c r="N815" i="24"/>
  <c r="O815" i="24" s="1"/>
  <c r="M815" i="24"/>
  <c r="K815" i="24"/>
  <c r="J815" i="24"/>
  <c r="H815" i="24"/>
  <c r="F815" i="24"/>
  <c r="AG814" i="24"/>
  <c r="AF814" i="24"/>
  <c r="AD814" i="24"/>
  <c r="AC814" i="24"/>
  <c r="Z814" i="24"/>
  <c r="X814" i="24"/>
  <c r="T814" i="24"/>
  <c r="S814" i="24"/>
  <c r="R814" i="24"/>
  <c r="P814" i="24"/>
  <c r="N814" i="24"/>
  <c r="O814" i="24" s="1"/>
  <c r="M814" i="24"/>
  <c r="K814" i="24"/>
  <c r="J814" i="24"/>
  <c r="H814" i="24"/>
  <c r="F814" i="24"/>
  <c r="AG813" i="24"/>
  <c r="AF813" i="24"/>
  <c r="AD813" i="24"/>
  <c r="AC813" i="24"/>
  <c r="Z813" i="24"/>
  <c r="X813" i="24"/>
  <c r="T813" i="24"/>
  <c r="S813" i="24"/>
  <c r="R813" i="24"/>
  <c r="P813" i="24"/>
  <c r="N813" i="24"/>
  <c r="M813" i="24"/>
  <c r="K813" i="24"/>
  <c r="J813" i="24"/>
  <c r="H813" i="24"/>
  <c r="F813" i="24"/>
  <c r="AG812" i="24"/>
  <c r="AF812" i="24"/>
  <c r="AD812" i="24"/>
  <c r="AC812" i="24"/>
  <c r="Z812" i="24"/>
  <c r="X812" i="24"/>
  <c r="T812" i="24"/>
  <c r="S812" i="24"/>
  <c r="R812" i="24"/>
  <c r="P812" i="24"/>
  <c r="N812" i="24"/>
  <c r="O812" i="24" s="1"/>
  <c r="M812" i="24"/>
  <c r="K812" i="24"/>
  <c r="J812" i="24"/>
  <c r="H812" i="24"/>
  <c r="F812" i="24"/>
  <c r="AG811" i="24"/>
  <c r="AF811" i="24"/>
  <c r="AD811" i="24"/>
  <c r="AC811" i="24"/>
  <c r="Z811" i="24"/>
  <c r="X811" i="24"/>
  <c r="T811" i="24"/>
  <c r="S811" i="24"/>
  <c r="R811" i="24"/>
  <c r="P811" i="24"/>
  <c r="N811" i="24"/>
  <c r="M811" i="24"/>
  <c r="K811" i="24"/>
  <c r="J811" i="24"/>
  <c r="H811" i="24"/>
  <c r="F811" i="24"/>
  <c r="AG810" i="24"/>
  <c r="AF810" i="24"/>
  <c r="AD810" i="24"/>
  <c r="AC810" i="24"/>
  <c r="Z810" i="24"/>
  <c r="X810" i="24"/>
  <c r="T810" i="24"/>
  <c r="S810" i="24"/>
  <c r="R810" i="24"/>
  <c r="P810" i="24"/>
  <c r="N810" i="24"/>
  <c r="M810" i="24"/>
  <c r="K810" i="24"/>
  <c r="J810" i="24"/>
  <c r="H810" i="24"/>
  <c r="F810" i="24"/>
  <c r="AG809" i="24"/>
  <c r="AF809" i="24"/>
  <c r="AD809" i="24"/>
  <c r="AC809" i="24"/>
  <c r="Z809" i="24"/>
  <c r="X809" i="24"/>
  <c r="T869" i="24"/>
  <c r="S869" i="24"/>
  <c r="R869" i="24"/>
  <c r="P869" i="24"/>
  <c r="N869" i="24"/>
  <c r="M869" i="24"/>
  <c r="K869" i="24"/>
  <c r="J869" i="24"/>
  <c r="H869" i="24"/>
  <c r="F869" i="24"/>
  <c r="AG808" i="24"/>
  <c r="AF808" i="24"/>
  <c r="AD808" i="24"/>
  <c r="AC808" i="24"/>
  <c r="Z808" i="24"/>
  <c r="X808" i="24"/>
  <c r="T808" i="24"/>
  <c r="S808" i="24"/>
  <c r="R808" i="24"/>
  <c r="P808" i="24"/>
  <c r="N808" i="24"/>
  <c r="M808" i="24"/>
  <c r="K808" i="24"/>
  <c r="J808" i="24"/>
  <c r="H808" i="24"/>
  <c r="F808" i="24"/>
  <c r="AG807" i="24"/>
  <c r="AF807" i="24"/>
  <c r="AD807" i="24"/>
  <c r="AC807" i="24"/>
  <c r="Z807" i="24"/>
  <c r="X807" i="24"/>
  <c r="T807" i="24"/>
  <c r="S807" i="24"/>
  <c r="R807" i="24"/>
  <c r="P807" i="24"/>
  <c r="N807" i="24"/>
  <c r="M807" i="24"/>
  <c r="K807" i="24"/>
  <c r="J807" i="24"/>
  <c r="H807" i="24"/>
  <c r="F807" i="24"/>
  <c r="AG806" i="24"/>
  <c r="AF806" i="24"/>
  <c r="AD806" i="24"/>
  <c r="AC806" i="24"/>
  <c r="Z806" i="24"/>
  <c r="X806" i="24"/>
  <c r="T806" i="24"/>
  <c r="S806" i="24"/>
  <c r="R806" i="24"/>
  <c r="P806" i="24"/>
  <c r="N806" i="24"/>
  <c r="O806" i="24" s="1"/>
  <c r="M806" i="24"/>
  <c r="K806" i="24"/>
  <c r="J806" i="24"/>
  <c r="H806" i="24"/>
  <c r="F806" i="24"/>
  <c r="AG805" i="24"/>
  <c r="AF805" i="24"/>
  <c r="AD805" i="24"/>
  <c r="AC805" i="24"/>
  <c r="Z805" i="24"/>
  <c r="X805" i="24"/>
  <c r="T805" i="24"/>
  <c r="S805" i="24"/>
  <c r="R805" i="24"/>
  <c r="P805" i="24"/>
  <c r="N805" i="24"/>
  <c r="O805" i="24" s="1"/>
  <c r="M805" i="24"/>
  <c r="K805" i="24"/>
  <c r="J805" i="24"/>
  <c r="H805" i="24"/>
  <c r="F805" i="24"/>
  <c r="AG804" i="24"/>
  <c r="AF804" i="24"/>
  <c r="AD804" i="24"/>
  <c r="AC804" i="24"/>
  <c r="AB804" i="24"/>
  <c r="Z804" i="24"/>
  <c r="X804" i="24"/>
  <c r="T804" i="24"/>
  <c r="S804" i="24"/>
  <c r="R804" i="24"/>
  <c r="P804" i="24"/>
  <c r="N804" i="24"/>
  <c r="AA804" i="24" s="1"/>
  <c r="M804" i="24"/>
  <c r="K804" i="24"/>
  <c r="J804" i="24"/>
  <c r="H804" i="24"/>
  <c r="F804" i="24"/>
  <c r="AG803" i="24"/>
  <c r="AF803" i="24"/>
  <c r="AD803" i="24"/>
  <c r="AC803" i="24"/>
  <c r="Z803" i="24"/>
  <c r="X803" i="24"/>
  <c r="T803" i="24"/>
  <c r="S803" i="24"/>
  <c r="R803" i="24"/>
  <c r="P803" i="24"/>
  <c r="N803" i="24"/>
  <c r="O803" i="24" s="1"/>
  <c r="M803" i="24"/>
  <c r="K803" i="24"/>
  <c r="J803" i="24"/>
  <c r="H803" i="24"/>
  <c r="F803" i="24"/>
  <c r="AG802" i="24"/>
  <c r="AF802" i="24"/>
  <c r="AD802" i="24"/>
  <c r="AC802" i="24"/>
  <c r="Z802" i="24"/>
  <c r="X802" i="24"/>
  <c r="T802" i="24"/>
  <c r="S802" i="24"/>
  <c r="R802" i="24"/>
  <c r="P802" i="24"/>
  <c r="N802" i="24"/>
  <c r="M802" i="24"/>
  <c r="K802" i="24"/>
  <c r="J802" i="24"/>
  <c r="H802" i="24"/>
  <c r="F802" i="24"/>
  <c r="AG801" i="24"/>
  <c r="AF801" i="24"/>
  <c r="AD801" i="24"/>
  <c r="AC801" i="24"/>
  <c r="Z801" i="24"/>
  <c r="X801" i="24"/>
  <c r="T801" i="24"/>
  <c r="S801" i="24"/>
  <c r="R801" i="24"/>
  <c r="P801" i="24"/>
  <c r="N801" i="24"/>
  <c r="M801" i="24"/>
  <c r="K801" i="24"/>
  <c r="J801" i="24"/>
  <c r="H801" i="24"/>
  <c r="F801" i="24"/>
  <c r="AG800" i="24"/>
  <c r="AF800" i="24"/>
  <c r="AD800" i="24"/>
  <c r="AC800" i="24"/>
  <c r="Z800" i="24"/>
  <c r="X800" i="24"/>
  <c r="T800" i="24"/>
  <c r="S800" i="24"/>
  <c r="R800" i="24"/>
  <c r="P800" i="24"/>
  <c r="N800" i="24"/>
  <c r="O800" i="24" s="1"/>
  <c r="M800" i="24"/>
  <c r="K800" i="24"/>
  <c r="J800" i="24"/>
  <c r="H800" i="24"/>
  <c r="F800" i="24"/>
  <c r="AG799" i="24"/>
  <c r="AF799" i="24"/>
  <c r="AD799" i="24"/>
  <c r="AC799" i="24"/>
  <c r="Z799" i="24"/>
  <c r="X799" i="24"/>
  <c r="T799" i="24"/>
  <c r="S799" i="24"/>
  <c r="R799" i="24"/>
  <c r="P799" i="24"/>
  <c r="N799" i="24"/>
  <c r="O799" i="24" s="1"/>
  <c r="M799" i="24"/>
  <c r="K799" i="24"/>
  <c r="J799" i="24"/>
  <c r="H799" i="24"/>
  <c r="F799" i="24"/>
  <c r="AG798" i="24"/>
  <c r="AF798" i="24"/>
  <c r="AD798" i="24"/>
  <c r="AC798" i="24"/>
  <c r="Z798" i="24"/>
  <c r="X798" i="24"/>
  <c r="T798" i="24"/>
  <c r="S798" i="24"/>
  <c r="R798" i="24"/>
  <c r="P798" i="24"/>
  <c r="N798" i="24"/>
  <c r="O798" i="24" s="1"/>
  <c r="M798" i="24"/>
  <c r="K798" i="24"/>
  <c r="J798" i="24"/>
  <c r="H798" i="24"/>
  <c r="F798" i="24"/>
  <c r="AG797" i="24"/>
  <c r="AF797" i="24"/>
  <c r="AD797" i="24"/>
  <c r="AC797" i="24"/>
  <c r="Z797" i="24"/>
  <c r="X797" i="24"/>
  <c r="T797" i="24"/>
  <c r="S797" i="24"/>
  <c r="R797" i="24"/>
  <c r="P797" i="24"/>
  <c r="N797" i="24"/>
  <c r="O797" i="24" s="1"/>
  <c r="M797" i="24"/>
  <c r="K797" i="24"/>
  <c r="J797" i="24"/>
  <c r="H797" i="24"/>
  <c r="F797" i="24"/>
  <c r="AG796" i="24"/>
  <c r="AF796" i="24"/>
  <c r="AD796" i="24"/>
  <c r="AC796" i="24"/>
  <c r="Z796" i="24"/>
  <c r="X796" i="24"/>
  <c r="T796" i="24"/>
  <c r="S796" i="24"/>
  <c r="R796" i="24"/>
  <c r="P796" i="24"/>
  <c r="N796" i="24"/>
  <c r="M796" i="24"/>
  <c r="K796" i="24"/>
  <c r="J796" i="24"/>
  <c r="H796" i="24"/>
  <c r="F796" i="24"/>
  <c r="AG795" i="24"/>
  <c r="AF795" i="24"/>
  <c r="AD795" i="24"/>
  <c r="AC795" i="24"/>
  <c r="Z795" i="24"/>
  <c r="X795" i="24"/>
  <c r="T795" i="24"/>
  <c r="S795" i="24"/>
  <c r="R795" i="24"/>
  <c r="P795" i="24"/>
  <c r="N795" i="24"/>
  <c r="O795" i="24" s="1"/>
  <c r="M795" i="24"/>
  <c r="K795" i="24"/>
  <c r="J795" i="24"/>
  <c r="H795" i="24"/>
  <c r="F795" i="24"/>
  <c r="AG794" i="24"/>
  <c r="AF794" i="24"/>
  <c r="AD794" i="24"/>
  <c r="AC794" i="24"/>
  <c r="Z794" i="24"/>
  <c r="X794" i="24"/>
  <c r="T794" i="24"/>
  <c r="S794" i="24"/>
  <c r="R794" i="24"/>
  <c r="P794" i="24"/>
  <c r="N794" i="24"/>
  <c r="O794" i="24" s="1"/>
  <c r="M794" i="24"/>
  <c r="K794" i="24"/>
  <c r="J794" i="24"/>
  <c r="H794" i="24"/>
  <c r="F794" i="24"/>
  <c r="AG793" i="24"/>
  <c r="AF793" i="24"/>
  <c r="AD793" i="24"/>
  <c r="AC793" i="24"/>
  <c r="Z793" i="24"/>
  <c r="X793" i="24"/>
  <c r="T793" i="24"/>
  <c r="S793" i="24"/>
  <c r="R793" i="24"/>
  <c r="P793" i="24"/>
  <c r="N793" i="24"/>
  <c r="O793" i="24" s="1"/>
  <c r="M793" i="24"/>
  <c r="K793" i="24"/>
  <c r="J793" i="24"/>
  <c r="H793" i="24"/>
  <c r="F793" i="24"/>
  <c r="AG792" i="24"/>
  <c r="AF792" i="24"/>
  <c r="AD792" i="24"/>
  <c r="AC792" i="24"/>
  <c r="Z792" i="24"/>
  <c r="X792" i="24"/>
  <c r="T792" i="24"/>
  <c r="S792" i="24"/>
  <c r="R792" i="24"/>
  <c r="P792" i="24"/>
  <c r="N792" i="24"/>
  <c r="O792" i="24" s="1"/>
  <c r="M792" i="24"/>
  <c r="K792" i="24"/>
  <c r="J792" i="24"/>
  <c r="H792" i="24"/>
  <c r="F792" i="24"/>
  <c r="AG791" i="24"/>
  <c r="AF791" i="24"/>
  <c r="AD791" i="24"/>
  <c r="AC791" i="24"/>
  <c r="Z791" i="24"/>
  <c r="X791" i="24"/>
  <c r="T791" i="24"/>
  <c r="S791" i="24"/>
  <c r="R791" i="24"/>
  <c r="P791" i="24"/>
  <c r="N791" i="24"/>
  <c r="O791" i="24" s="1"/>
  <c r="M791" i="24"/>
  <c r="K791" i="24"/>
  <c r="J791" i="24"/>
  <c r="H791" i="24"/>
  <c r="F791" i="24"/>
  <c r="AG790" i="24"/>
  <c r="AF790" i="24"/>
  <c r="AD790" i="24"/>
  <c r="AC790" i="24"/>
  <c r="Z790" i="24"/>
  <c r="X790" i="24"/>
  <c r="T790" i="24"/>
  <c r="S790" i="24"/>
  <c r="R790" i="24"/>
  <c r="P790" i="24"/>
  <c r="N790" i="24"/>
  <c r="O790" i="24" s="1"/>
  <c r="M790" i="24"/>
  <c r="K790" i="24"/>
  <c r="J790" i="24"/>
  <c r="H790" i="24"/>
  <c r="F790" i="24"/>
  <c r="AG789" i="24"/>
  <c r="AF789" i="24"/>
  <c r="AD789" i="24"/>
  <c r="AC789" i="24"/>
  <c r="Z789" i="24"/>
  <c r="X789" i="24"/>
  <c r="T789" i="24"/>
  <c r="S789" i="24"/>
  <c r="R789" i="24"/>
  <c r="P789" i="24"/>
  <c r="N789" i="24"/>
  <c r="M789" i="24"/>
  <c r="K789" i="24"/>
  <c r="J789" i="24"/>
  <c r="H789" i="24"/>
  <c r="F789" i="24"/>
  <c r="AG788" i="24"/>
  <c r="AF788" i="24"/>
  <c r="AD788" i="24"/>
  <c r="AC788" i="24"/>
  <c r="Z788" i="24"/>
  <c r="X788" i="24"/>
  <c r="T788" i="24"/>
  <c r="S788" i="24"/>
  <c r="R788" i="24"/>
  <c r="P788" i="24"/>
  <c r="N788" i="24"/>
  <c r="M788" i="24"/>
  <c r="K788" i="24"/>
  <c r="J788" i="24"/>
  <c r="H788" i="24"/>
  <c r="F788" i="24"/>
  <c r="AG787" i="24"/>
  <c r="AF787" i="24"/>
  <c r="AD787" i="24"/>
  <c r="AC787" i="24"/>
  <c r="Z787" i="24"/>
  <c r="X787" i="24"/>
  <c r="T787" i="24"/>
  <c r="S787" i="24"/>
  <c r="R787" i="24"/>
  <c r="P787" i="24"/>
  <c r="N787" i="24"/>
  <c r="O787" i="24" s="1"/>
  <c r="M787" i="24"/>
  <c r="K787" i="24"/>
  <c r="J787" i="24"/>
  <c r="H787" i="24"/>
  <c r="F787" i="24"/>
  <c r="AG786" i="24"/>
  <c r="AF786" i="24"/>
  <c r="AD786" i="24"/>
  <c r="AC786" i="24"/>
  <c r="Z786" i="24"/>
  <c r="X786" i="24"/>
  <c r="T786" i="24"/>
  <c r="S786" i="24"/>
  <c r="R786" i="24"/>
  <c r="P786" i="24"/>
  <c r="N786" i="24"/>
  <c r="O786" i="24" s="1"/>
  <c r="M786" i="24"/>
  <c r="K786" i="24"/>
  <c r="J786" i="24"/>
  <c r="H786" i="24"/>
  <c r="F786" i="24"/>
  <c r="AG785" i="24"/>
  <c r="AF785" i="24"/>
  <c r="AD785" i="24"/>
  <c r="AC785" i="24"/>
  <c r="Z785" i="24"/>
  <c r="X785" i="24"/>
  <c r="T785" i="24"/>
  <c r="S785" i="24"/>
  <c r="R785" i="24"/>
  <c r="P785" i="24"/>
  <c r="N785" i="24"/>
  <c r="M785" i="24"/>
  <c r="K785" i="24"/>
  <c r="J785" i="24"/>
  <c r="H785" i="24"/>
  <c r="F785" i="24"/>
  <c r="AG784" i="24"/>
  <c r="AF784" i="24"/>
  <c r="AD784" i="24"/>
  <c r="AC784" i="24"/>
  <c r="Z784" i="24"/>
  <c r="X784" i="24"/>
  <c r="T784" i="24"/>
  <c r="S784" i="24"/>
  <c r="R784" i="24"/>
  <c r="P784" i="24"/>
  <c r="N784" i="24"/>
  <c r="O784" i="24" s="1"/>
  <c r="M784" i="24"/>
  <c r="K784" i="24"/>
  <c r="J784" i="24"/>
  <c r="H784" i="24"/>
  <c r="F784" i="24"/>
  <c r="AG783" i="24"/>
  <c r="AF783" i="24"/>
  <c r="AD783" i="24"/>
  <c r="AC783" i="24"/>
  <c r="Z783" i="24"/>
  <c r="X783" i="24"/>
  <c r="T865" i="24"/>
  <c r="S865" i="24"/>
  <c r="R865" i="24"/>
  <c r="P865" i="24"/>
  <c r="N865" i="24"/>
  <c r="M865" i="24"/>
  <c r="K865" i="24"/>
  <c r="J865" i="24"/>
  <c r="H865" i="24"/>
  <c r="F865" i="24"/>
  <c r="AG782" i="24"/>
  <c r="AF782" i="24"/>
  <c r="AD782" i="24"/>
  <c r="AC782" i="24"/>
  <c r="Z782" i="24"/>
  <c r="X782" i="24"/>
  <c r="T782" i="24"/>
  <c r="S782" i="24"/>
  <c r="R782" i="24"/>
  <c r="P782" i="24"/>
  <c r="N782" i="24"/>
  <c r="O782" i="24" s="1"/>
  <c r="M782" i="24"/>
  <c r="K782" i="24"/>
  <c r="J782" i="24"/>
  <c r="H782" i="24"/>
  <c r="F782" i="24"/>
  <c r="AG781" i="24"/>
  <c r="AF781" i="24"/>
  <c r="AD781" i="24"/>
  <c r="AC781" i="24"/>
  <c r="Z781" i="24"/>
  <c r="X781" i="24"/>
  <c r="T781" i="24"/>
  <c r="S781" i="24"/>
  <c r="R781" i="24"/>
  <c r="P781" i="24"/>
  <c r="N781" i="24"/>
  <c r="M781" i="24"/>
  <c r="K781" i="24"/>
  <c r="J781" i="24"/>
  <c r="H781" i="24"/>
  <c r="F781" i="24"/>
  <c r="AG780" i="24"/>
  <c r="AF780" i="24"/>
  <c r="AD780" i="24"/>
  <c r="AC780" i="24"/>
  <c r="Z780" i="24"/>
  <c r="X780" i="24"/>
  <c r="T780" i="24"/>
  <c r="S780" i="24"/>
  <c r="R780" i="24"/>
  <c r="P780" i="24"/>
  <c r="N780" i="24"/>
  <c r="O780" i="24" s="1"/>
  <c r="M780" i="24"/>
  <c r="K780" i="24"/>
  <c r="J780" i="24"/>
  <c r="H780" i="24"/>
  <c r="F780" i="24"/>
  <c r="AG779" i="24"/>
  <c r="AF779" i="24"/>
  <c r="AD779" i="24"/>
  <c r="AC779" i="24"/>
  <c r="Z779" i="24"/>
  <c r="X779" i="24"/>
  <c r="T845" i="24"/>
  <c r="S845" i="24"/>
  <c r="R845" i="24"/>
  <c r="P845" i="24"/>
  <c r="N845" i="24"/>
  <c r="M845" i="24"/>
  <c r="K845" i="24"/>
  <c r="J845" i="24"/>
  <c r="H845" i="24"/>
  <c r="F845" i="24"/>
  <c r="AG778" i="24"/>
  <c r="AF778" i="24"/>
  <c r="AD778" i="24"/>
  <c r="AC778" i="24"/>
  <c r="Z778" i="24"/>
  <c r="X778" i="24"/>
  <c r="T778" i="24"/>
  <c r="S778" i="24"/>
  <c r="R778" i="24"/>
  <c r="P778" i="24"/>
  <c r="N778" i="24"/>
  <c r="O778" i="24" s="1"/>
  <c r="M778" i="24"/>
  <c r="K778" i="24"/>
  <c r="J778" i="24"/>
  <c r="H778" i="24"/>
  <c r="F778" i="24"/>
  <c r="AG777" i="24"/>
  <c r="AF777" i="24"/>
  <c r="AD777" i="24"/>
  <c r="AC777" i="24"/>
  <c r="Z777" i="24"/>
  <c r="X777" i="24"/>
  <c r="T777" i="24"/>
  <c r="S777" i="24"/>
  <c r="R777" i="24"/>
  <c r="P777" i="24"/>
  <c r="N777" i="24"/>
  <c r="M777" i="24"/>
  <c r="K777" i="24"/>
  <c r="J777" i="24"/>
  <c r="H777" i="24"/>
  <c r="F777" i="24"/>
  <c r="AG776" i="24"/>
  <c r="AF776" i="24"/>
  <c r="AD776" i="24"/>
  <c r="AC776" i="24"/>
  <c r="Z776" i="24"/>
  <c r="X776" i="24"/>
  <c r="T776" i="24"/>
  <c r="S776" i="24"/>
  <c r="R776" i="24"/>
  <c r="P776" i="24"/>
  <c r="N776" i="24"/>
  <c r="O776" i="24" s="1"/>
  <c r="M776" i="24"/>
  <c r="K776" i="24"/>
  <c r="J776" i="24"/>
  <c r="H776" i="24"/>
  <c r="F776" i="24"/>
  <c r="AG775" i="24"/>
  <c r="AF775" i="24"/>
  <c r="AD775" i="24"/>
  <c r="AC775" i="24"/>
  <c r="Z775" i="24"/>
  <c r="X775" i="24"/>
  <c r="T809" i="24"/>
  <c r="S809" i="24"/>
  <c r="R809" i="24"/>
  <c r="P809" i="24"/>
  <c r="N809" i="24"/>
  <c r="O809" i="24" s="1"/>
  <c r="M809" i="24"/>
  <c r="K809" i="24"/>
  <c r="J809" i="24"/>
  <c r="H809" i="24"/>
  <c r="F809" i="24"/>
  <c r="AG774" i="24"/>
  <c r="AF774" i="24"/>
  <c r="AD774" i="24"/>
  <c r="AC774" i="24"/>
  <c r="Z774" i="24"/>
  <c r="X774" i="24"/>
  <c r="T774" i="24"/>
  <c r="S774" i="24"/>
  <c r="R774" i="24"/>
  <c r="P774" i="24"/>
  <c r="N774" i="24"/>
  <c r="O774" i="24" s="1"/>
  <c r="M774" i="24"/>
  <c r="K774" i="24"/>
  <c r="J774" i="24"/>
  <c r="H774" i="24"/>
  <c r="F774" i="24"/>
  <c r="AG773" i="24"/>
  <c r="AF773" i="24"/>
  <c r="AD773" i="24"/>
  <c r="AC773" i="24"/>
  <c r="Z773" i="24"/>
  <c r="X773" i="24"/>
  <c r="T773" i="24"/>
  <c r="S773" i="24"/>
  <c r="R773" i="24"/>
  <c r="P773" i="24"/>
  <c r="N773" i="24"/>
  <c r="O773" i="24" s="1"/>
  <c r="M773" i="24"/>
  <c r="K773" i="24"/>
  <c r="J773" i="24"/>
  <c r="H773" i="24"/>
  <c r="F773" i="24"/>
  <c r="AG772" i="24"/>
  <c r="AF772" i="24"/>
  <c r="AD772" i="24"/>
  <c r="AC772" i="24"/>
  <c r="Z772" i="24"/>
  <c r="X772" i="24"/>
  <c r="T772" i="24"/>
  <c r="S772" i="24"/>
  <c r="R772" i="24"/>
  <c r="P772" i="24"/>
  <c r="N772" i="24"/>
  <c r="O772" i="24" s="1"/>
  <c r="M772" i="24"/>
  <c r="K772" i="24"/>
  <c r="J772" i="24"/>
  <c r="H772" i="24"/>
  <c r="F772" i="24"/>
  <c r="AG771" i="24"/>
  <c r="AF771" i="24"/>
  <c r="AD771" i="24"/>
  <c r="AC771" i="24"/>
  <c r="Z771" i="24"/>
  <c r="X771" i="24"/>
  <c r="T771" i="24"/>
  <c r="S771" i="24"/>
  <c r="R771" i="24"/>
  <c r="P771" i="24"/>
  <c r="N771" i="24"/>
  <c r="O771" i="24" s="1"/>
  <c r="M771" i="24"/>
  <c r="K771" i="24"/>
  <c r="J771" i="24"/>
  <c r="H771" i="24"/>
  <c r="F771" i="24"/>
  <c r="AG770" i="24"/>
  <c r="AF770" i="24"/>
  <c r="AD770" i="24"/>
  <c r="AC770" i="24"/>
  <c r="Z770" i="24"/>
  <c r="X770" i="24"/>
  <c r="T770" i="24"/>
  <c r="S770" i="24"/>
  <c r="R770" i="24"/>
  <c r="P770" i="24"/>
  <c r="N770" i="24"/>
  <c r="O770" i="24" s="1"/>
  <c r="M770" i="24"/>
  <c r="K770" i="24"/>
  <c r="J770" i="24"/>
  <c r="H770" i="24"/>
  <c r="F770" i="24"/>
  <c r="AG769" i="24"/>
  <c r="AF769" i="24"/>
  <c r="AD769" i="24"/>
  <c r="AC769" i="24"/>
  <c r="Z769" i="24"/>
  <c r="X769" i="24"/>
  <c r="T769" i="24"/>
  <c r="S769" i="24"/>
  <c r="R769" i="24"/>
  <c r="P769" i="24"/>
  <c r="N769" i="24"/>
  <c r="O769" i="24" s="1"/>
  <c r="M769" i="24"/>
  <c r="K769" i="24"/>
  <c r="J769" i="24"/>
  <c r="H769" i="24"/>
  <c r="F769" i="24"/>
  <c r="AG768" i="24"/>
  <c r="AF768" i="24"/>
  <c r="AD768" i="24"/>
  <c r="AC768" i="24"/>
  <c r="Z768" i="24"/>
  <c r="X768" i="24"/>
  <c r="T768" i="24"/>
  <c r="S768" i="24"/>
  <c r="R768" i="24"/>
  <c r="P768" i="24"/>
  <c r="N768" i="24"/>
  <c r="O768" i="24" s="1"/>
  <c r="M768" i="24"/>
  <c r="K768" i="24"/>
  <c r="J768" i="24"/>
  <c r="H768" i="24"/>
  <c r="F768" i="24"/>
  <c r="AG767" i="24"/>
  <c r="AF767" i="24"/>
  <c r="AD767" i="24"/>
  <c r="AC767" i="24"/>
  <c r="Z767" i="24"/>
  <c r="X767" i="24"/>
  <c r="T767" i="24"/>
  <c r="S767" i="24"/>
  <c r="R767" i="24"/>
  <c r="P767" i="24"/>
  <c r="N767" i="24"/>
  <c r="O767" i="24" s="1"/>
  <c r="M767" i="24"/>
  <c r="K767" i="24"/>
  <c r="J767" i="24"/>
  <c r="H767" i="24"/>
  <c r="F767" i="24"/>
  <c r="AG766" i="24"/>
  <c r="AF766" i="24"/>
  <c r="AD766" i="24"/>
  <c r="AC766" i="24"/>
  <c r="Z766" i="24"/>
  <c r="X766" i="24"/>
  <c r="T766" i="24"/>
  <c r="S766" i="24"/>
  <c r="R766" i="24"/>
  <c r="P766" i="24"/>
  <c r="N766" i="24"/>
  <c r="M766" i="24"/>
  <c r="K766" i="24"/>
  <c r="J766" i="24"/>
  <c r="H766" i="24"/>
  <c r="F766" i="24"/>
  <c r="AG765" i="24"/>
  <c r="AF765" i="24"/>
  <c r="AD765" i="24"/>
  <c r="AC765" i="24"/>
  <c r="Z765" i="24"/>
  <c r="X765" i="24"/>
  <c r="T765" i="24"/>
  <c r="S765" i="24"/>
  <c r="R765" i="24"/>
  <c r="P765" i="24"/>
  <c r="N765" i="24"/>
  <c r="O765" i="24" s="1"/>
  <c r="M765" i="24"/>
  <c r="K765" i="24"/>
  <c r="J765" i="24"/>
  <c r="H765" i="24"/>
  <c r="F765" i="24"/>
  <c r="AG764" i="24"/>
  <c r="AF764" i="24"/>
  <c r="AD764" i="24"/>
  <c r="AC764" i="24"/>
  <c r="Z764" i="24"/>
  <c r="X764" i="24"/>
  <c r="T764" i="24"/>
  <c r="S764" i="24"/>
  <c r="R764" i="24"/>
  <c r="P764" i="24"/>
  <c r="N764" i="24"/>
  <c r="O764" i="24" s="1"/>
  <c r="M764" i="24"/>
  <c r="K764" i="24"/>
  <c r="J764" i="24"/>
  <c r="H764" i="24"/>
  <c r="F764" i="24"/>
  <c r="AG763" i="24"/>
  <c r="AF763" i="24"/>
  <c r="AD763" i="24"/>
  <c r="AC763" i="24"/>
  <c r="Z763" i="24"/>
  <c r="X763" i="24"/>
  <c r="T763" i="24"/>
  <c r="S763" i="24"/>
  <c r="R763" i="24"/>
  <c r="P763" i="24"/>
  <c r="N763" i="24"/>
  <c r="O763" i="24" s="1"/>
  <c r="M763" i="24"/>
  <c r="K763" i="24"/>
  <c r="J763" i="24"/>
  <c r="H763" i="24"/>
  <c r="F763" i="24"/>
  <c r="AG762" i="24"/>
  <c r="AF762" i="24"/>
  <c r="AD762" i="24"/>
  <c r="AC762" i="24"/>
  <c r="AB762" i="24"/>
  <c r="Z762" i="24"/>
  <c r="X762" i="24"/>
  <c r="T762" i="24"/>
  <c r="S762" i="24"/>
  <c r="R762" i="24"/>
  <c r="P762" i="24"/>
  <c r="N762" i="24"/>
  <c r="AA762" i="24" s="1"/>
  <c r="M762" i="24"/>
  <c r="K762" i="24"/>
  <c r="J762" i="24"/>
  <c r="H762" i="24"/>
  <c r="F762" i="24"/>
  <c r="AG761" i="24"/>
  <c r="AF761" i="24"/>
  <c r="AD761" i="24"/>
  <c r="AC761" i="24"/>
  <c r="Z761" i="24"/>
  <c r="X761" i="24"/>
  <c r="T783" i="24"/>
  <c r="S783" i="24"/>
  <c r="R783" i="24"/>
  <c r="P783" i="24"/>
  <c r="N783" i="24"/>
  <c r="O783" i="24" s="1"/>
  <c r="M783" i="24"/>
  <c r="K783" i="24"/>
  <c r="J783" i="24"/>
  <c r="H783" i="24"/>
  <c r="F783" i="24"/>
  <c r="AG760" i="24"/>
  <c r="AF760" i="24"/>
  <c r="AD760" i="24"/>
  <c r="AC760" i="24"/>
  <c r="Z760" i="24"/>
  <c r="X760" i="24"/>
  <c r="T760" i="24"/>
  <c r="S760" i="24"/>
  <c r="R760" i="24"/>
  <c r="P760" i="24"/>
  <c r="N760" i="24"/>
  <c r="O760" i="24" s="1"/>
  <c r="M760" i="24"/>
  <c r="K760" i="24"/>
  <c r="J760" i="24"/>
  <c r="H760" i="24"/>
  <c r="F760" i="24"/>
  <c r="AG759" i="24"/>
  <c r="AF759" i="24"/>
  <c r="AD759" i="24"/>
  <c r="AC759" i="24"/>
  <c r="Z759" i="24"/>
  <c r="X759" i="24"/>
  <c r="T759" i="24"/>
  <c r="S759" i="24"/>
  <c r="R759" i="24"/>
  <c r="P759" i="24"/>
  <c r="N759" i="24"/>
  <c r="O759" i="24" s="1"/>
  <c r="M759" i="24"/>
  <c r="K759" i="24"/>
  <c r="J759" i="24"/>
  <c r="H759" i="24"/>
  <c r="F759" i="24"/>
  <c r="AG758" i="24"/>
  <c r="AF758" i="24"/>
  <c r="AD758" i="24"/>
  <c r="AC758" i="24"/>
  <c r="Z758" i="24"/>
  <c r="X758" i="24"/>
  <c r="T758" i="24"/>
  <c r="S758" i="24"/>
  <c r="R758" i="24"/>
  <c r="P758" i="24"/>
  <c r="N758" i="24"/>
  <c r="M758" i="24"/>
  <c r="K758" i="24"/>
  <c r="J758" i="24"/>
  <c r="H758" i="24"/>
  <c r="F758" i="24"/>
  <c r="AG757" i="24"/>
  <c r="AF757" i="24"/>
  <c r="AD757" i="24"/>
  <c r="AC757" i="24"/>
  <c r="Z757" i="24"/>
  <c r="X757" i="24"/>
  <c r="T757" i="24"/>
  <c r="S757" i="24"/>
  <c r="R757" i="24"/>
  <c r="P757" i="24"/>
  <c r="N757" i="24"/>
  <c r="O757" i="24" s="1"/>
  <c r="M757" i="24"/>
  <c r="K757" i="24"/>
  <c r="J757" i="24"/>
  <c r="H757" i="24"/>
  <c r="F757" i="24"/>
  <c r="AG756" i="24"/>
  <c r="AF756" i="24"/>
  <c r="AD756" i="24"/>
  <c r="AC756" i="24"/>
  <c r="Z756" i="24"/>
  <c r="X756" i="24"/>
  <c r="T756" i="24"/>
  <c r="S756" i="24"/>
  <c r="R756" i="24"/>
  <c r="P756" i="24"/>
  <c r="N756" i="24"/>
  <c r="O756" i="24" s="1"/>
  <c r="M756" i="24"/>
  <c r="K756" i="24"/>
  <c r="J756" i="24"/>
  <c r="H756" i="24"/>
  <c r="F756" i="24"/>
  <c r="AG755" i="24"/>
  <c r="AF755" i="24"/>
  <c r="AD755" i="24"/>
  <c r="AC755" i="24"/>
  <c r="Z755" i="24"/>
  <c r="X755" i="24"/>
  <c r="T755" i="24"/>
  <c r="S755" i="24"/>
  <c r="R755" i="24"/>
  <c r="P755" i="24"/>
  <c r="N755" i="24"/>
  <c r="M755" i="24"/>
  <c r="K755" i="24"/>
  <c r="J755" i="24"/>
  <c r="H755" i="24"/>
  <c r="F755" i="24"/>
  <c r="AG754" i="24"/>
  <c r="AF754" i="24"/>
  <c r="AD754" i="24"/>
  <c r="AC754" i="24"/>
  <c r="Z754" i="24"/>
  <c r="X754" i="24"/>
  <c r="T754" i="24"/>
  <c r="S754" i="24"/>
  <c r="R754" i="24"/>
  <c r="P754" i="24"/>
  <c r="N754" i="24"/>
  <c r="O754" i="24" s="1"/>
  <c r="M754" i="24"/>
  <c r="K754" i="24"/>
  <c r="J754" i="24"/>
  <c r="H754" i="24"/>
  <c r="F754" i="24"/>
  <c r="AG753" i="24"/>
  <c r="AF753" i="24"/>
  <c r="AD753" i="24"/>
  <c r="AC753" i="24"/>
  <c r="Z753" i="24"/>
  <c r="X753" i="24"/>
  <c r="T753" i="24"/>
  <c r="S753" i="24"/>
  <c r="R753" i="24"/>
  <c r="P753" i="24"/>
  <c r="N753" i="24"/>
  <c r="O753" i="24" s="1"/>
  <c r="M753" i="24"/>
  <c r="K753" i="24"/>
  <c r="J753" i="24"/>
  <c r="H753" i="24"/>
  <c r="F753" i="24"/>
  <c r="AG752" i="24"/>
  <c r="AF752" i="24"/>
  <c r="AD752" i="24"/>
  <c r="AC752" i="24"/>
  <c r="Z752" i="24"/>
  <c r="X752" i="24"/>
  <c r="T752" i="24"/>
  <c r="S752" i="24"/>
  <c r="R752" i="24"/>
  <c r="P752" i="24"/>
  <c r="N752" i="24"/>
  <c r="O752" i="24" s="1"/>
  <c r="M752" i="24"/>
  <c r="K752" i="24"/>
  <c r="J752" i="24"/>
  <c r="H752" i="24"/>
  <c r="F752" i="24"/>
  <c r="AG751" i="24"/>
  <c r="AF751" i="24"/>
  <c r="AD751" i="24"/>
  <c r="AC751" i="24"/>
  <c r="Z751" i="24"/>
  <c r="X751" i="24"/>
  <c r="T751" i="24"/>
  <c r="S751" i="24"/>
  <c r="R751" i="24"/>
  <c r="P751" i="24"/>
  <c r="N751" i="24"/>
  <c r="O751" i="24" s="1"/>
  <c r="M751" i="24"/>
  <c r="K751" i="24"/>
  <c r="J751" i="24"/>
  <c r="H751" i="24"/>
  <c r="F751" i="24"/>
  <c r="AG750" i="24"/>
  <c r="AF750" i="24"/>
  <c r="AD750" i="24"/>
  <c r="AC750" i="24"/>
  <c r="Z750" i="24"/>
  <c r="X750" i="24"/>
  <c r="T750" i="24"/>
  <c r="S750" i="24"/>
  <c r="R750" i="24"/>
  <c r="P750" i="24"/>
  <c r="N750" i="24"/>
  <c r="O750" i="24" s="1"/>
  <c r="M750" i="24"/>
  <c r="K750" i="24"/>
  <c r="J750" i="24"/>
  <c r="H750" i="24"/>
  <c r="F750" i="24"/>
  <c r="AG749" i="24"/>
  <c r="AF749" i="24"/>
  <c r="AD749" i="24"/>
  <c r="AC749" i="24"/>
  <c r="Z749" i="24"/>
  <c r="X749" i="24"/>
  <c r="T779" i="24"/>
  <c r="S779" i="24"/>
  <c r="R779" i="24"/>
  <c r="P779" i="24"/>
  <c r="N779" i="24"/>
  <c r="M779" i="24"/>
  <c r="K779" i="24"/>
  <c r="J779" i="24"/>
  <c r="H779" i="24"/>
  <c r="F779" i="24"/>
  <c r="AG748" i="24"/>
  <c r="AF748" i="24"/>
  <c r="AD748" i="24"/>
  <c r="AC748" i="24"/>
  <c r="Z748" i="24"/>
  <c r="X748" i="24"/>
  <c r="T748" i="24"/>
  <c r="S748" i="24"/>
  <c r="R748" i="24"/>
  <c r="P748" i="24"/>
  <c r="N748" i="24"/>
  <c r="M748" i="24"/>
  <c r="K748" i="24"/>
  <c r="J748" i="24"/>
  <c r="H748" i="24"/>
  <c r="F748" i="24"/>
  <c r="AG747" i="24"/>
  <c r="AF747" i="24"/>
  <c r="AD747" i="24"/>
  <c r="AC747" i="24"/>
  <c r="Z747" i="24"/>
  <c r="X747" i="24"/>
  <c r="T747" i="24"/>
  <c r="S747" i="24"/>
  <c r="R747" i="24"/>
  <c r="P747" i="24"/>
  <c r="N747" i="24"/>
  <c r="O747" i="24" s="1"/>
  <c r="M747" i="24"/>
  <c r="K747" i="24"/>
  <c r="J747" i="24"/>
  <c r="H747" i="24"/>
  <c r="F747" i="24"/>
  <c r="AG746" i="24"/>
  <c r="AF746" i="24"/>
  <c r="AD746" i="24"/>
  <c r="AC746" i="24"/>
  <c r="Z746" i="24"/>
  <c r="X746" i="24"/>
  <c r="T746" i="24"/>
  <c r="S746" i="24"/>
  <c r="R746" i="24"/>
  <c r="P746" i="24"/>
  <c r="N746" i="24"/>
  <c r="O746" i="24" s="1"/>
  <c r="M746" i="24"/>
  <c r="K746" i="24"/>
  <c r="J746" i="24"/>
  <c r="H746" i="24"/>
  <c r="F746" i="24"/>
  <c r="AG745" i="24"/>
  <c r="AF745" i="24"/>
  <c r="AD745" i="24"/>
  <c r="AC745" i="24"/>
  <c r="Z745" i="24"/>
  <c r="X745" i="24"/>
  <c r="T745" i="24"/>
  <c r="S745" i="24"/>
  <c r="R745" i="24"/>
  <c r="P745" i="24"/>
  <c r="N745" i="24"/>
  <c r="O745" i="24" s="1"/>
  <c r="M745" i="24"/>
  <c r="K745" i="24"/>
  <c r="J745" i="24"/>
  <c r="H745" i="24"/>
  <c r="F745" i="24"/>
  <c r="AG744" i="24"/>
  <c r="AF744" i="24"/>
  <c r="AD744" i="24"/>
  <c r="AC744" i="24"/>
  <c r="Z744" i="24"/>
  <c r="X744" i="24"/>
  <c r="T744" i="24"/>
  <c r="S744" i="24"/>
  <c r="R744" i="24"/>
  <c r="P744" i="24"/>
  <c r="N744" i="24"/>
  <c r="O744" i="24" s="1"/>
  <c r="M744" i="24"/>
  <c r="K744" i="24"/>
  <c r="J744" i="24"/>
  <c r="H744" i="24"/>
  <c r="F744" i="24"/>
  <c r="AG743" i="24"/>
  <c r="AF743" i="24"/>
  <c r="AD743" i="24"/>
  <c r="AC743" i="24"/>
  <c r="Z743" i="24"/>
  <c r="X743" i="24"/>
  <c r="T743" i="24"/>
  <c r="S743" i="24"/>
  <c r="R743" i="24"/>
  <c r="P743" i="24"/>
  <c r="N743" i="24"/>
  <c r="O743" i="24" s="1"/>
  <c r="M743" i="24"/>
  <c r="K743" i="24"/>
  <c r="J743" i="24"/>
  <c r="H743" i="24"/>
  <c r="F743" i="24"/>
  <c r="AG742" i="24"/>
  <c r="AF742" i="24"/>
  <c r="AD742" i="24"/>
  <c r="AC742" i="24"/>
  <c r="Z742" i="24"/>
  <c r="X742" i="24"/>
  <c r="T742" i="24"/>
  <c r="S742" i="24"/>
  <c r="R742" i="24"/>
  <c r="P742" i="24"/>
  <c r="N742" i="24"/>
  <c r="M742" i="24"/>
  <c r="K742" i="24"/>
  <c r="J742" i="24"/>
  <c r="H742" i="24"/>
  <c r="F742" i="24"/>
  <c r="AG741" i="24"/>
  <c r="AF741" i="24"/>
  <c r="AD741" i="24"/>
  <c r="AC741" i="24"/>
  <c r="Z741" i="24"/>
  <c r="X741" i="24"/>
  <c r="T741" i="24"/>
  <c r="S741" i="24"/>
  <c r="R741" i="24"/>
  <c r="P741" i="24"/>
  <c r="N741" i="24"/>
  <c r="O741" i="24" s="1"/>
  <c r="M741" i="24"/>
  <c r="K741" i="24"/>
  <c r="J741" i="24"/>
  <c r="H741" i="24"/>
  <c r="F741" i="24"/>
  <c r="AG740" i="24"/>
  <c r="AF740" i="24"/>
  <c r="AD740" i="24"/>
  <c r="AC740" i="24"/>
  <c r="Z740" i="24"/>
  <c r="X740" i="24"/>
  <c r="T740" i="24"/>
  <c r="S740" i="24"/>
  <c r="R740" i="24"/>
  <c r="P740" i="24"/>
  <c r="N740" i="24"/>
  <c r="O740" i="24" s="1"/>
  <c r="M740" i="24"/>
  <c r="K740" i="24"/>
  <c r="J740" i="24"/>
  <c r="H740" i="24"/>
  <c r="F740" i="24"/>
  <c r="AG739" i="24"/>
  <c r="AF739" i="24"/>
  <c r="AD739" i="24"/>
  <c r="AC739" i="24"/>
  <c r="Z739" i="24"/>
  <c r="X739" i="24"/>
  <c r="T739" i="24"/>
  <c r="S739" i="24"/>
  <c r="R739" i="24"/>
  <c r="P739" i="24"/>
  <c r="N739" i="24"/>
  <c r="O739" i="24" s="1"/>
  <c r="M739" i="24"/>
  <c r="K739" i="24"/>
  <c r="J739" i="24"/>
  <c r="H739" i="24"/>
  <c r="F739" i="24"/>
  <c r="AG738" i="24"/>
  <c r="AF738" i="24"/>
  <c r="AD738" i="24"/>
  <c r="AC738" i="24"/>
  <c r="Z738" i="24"/>
  <c r="X738" i="24"/>
  <c r="T738" i="24"/>
  <c r="S738" i="24"/>
  <c r="R738" i="24"/>
  <c r="P738" i="24"/>
  <c r="N738" i="24"/>
  <c r="O738" i="24" s="1"/>
  <c r="M738" i="24"/>
  <c r="K738" i="24"/>
  <c r="J738" i="24"/>
  <c r="H738" i="24"/>
  <c r="F738" i="24"/>
  <c r="AG737" i="24"/>
  <c r="AF737" i="24"/>
  <c r="AD737" i="24"/>
  <c r="AC737" i="24"/>
  <c r="Z737" i="24"/>
  <c r="X737" i="24"/>
  <c r="T737" i="24"/>
  <c r="S737" i="24"/>
  <c r="R737" i="24"/>
  <c r="P737" i="24"/>
  <c r="N737" i="24"/>
  <c r="O737" i="24" s="1"/>
  <c r="M737" i="24"/>
  <c r="K737" i="24"/>
  <c r="J737" i="24"/>
  <c r="H737" i="24"/>
  <c r="F737" i="24"/>
  <c r="AG736" i="24"/>
  <c r="AF736" i="24"/>
  <c r="AD736" i="24"/>
  <c r="AC736" i="24"/>
  <c r="Z736" i="24"/>
  <c r="X736" i="24"/>
  <c r="T775" i="24"/>
  <c r="S775" i="24"/>
  <c r="R775" i="24"/>
  <c r="P775" i="24"/>
  <c r="N775" i="24"/>
  <c r="O775" i="24" s="1"/>
  <c r="M775" i="24"/>
  <c r="K775" i="24"/>
  <c r="J775" i="24"/>
  <c r="H775" i="24"/>
  <c r="F775" i="24"/>
  <c r="AG735" i="24"/>
  <c r="AF735" i="24"/>
  <c r="AD735" i="24"/>
  <c r="AC735" i="24"/>
  <c r="Z735" i="24"/>
  <c r="X735" i="24"/>
  <c r="T735" i="24"/>
  <c r="S735" i="24"/>
  <c r="R735" i="24"/>
  <c r="P735" i="24"/>
  <c r="N735" i="24"/>
  <c r="M735" i="24"/>
  <c r="K735" i="24"/>
  <c r="J735" i="24"/>
  <c r="H735" i="24"/>
  <c r="F735" i="24"/>
  <c r="AG734" i="24"/>
  <c r="AF734" i="24"/>
  <c r="AD734" i="24"/>
  <c r="AC734" i="24"/>
  <c r="Z734" i="24"/>
  <c r="X734" i="24"/>
  <c r="T734" i="24"/>
  <c r="S734" i="24"/>
  <c r="R734" i="24"/>
  <c r="P734" i="24"/>
  <c r="N734" i="24"/>
  <c r="O734" i="24" s="1"/>
  <c r="M734" i="24"/>
  <c r="K734" i="24"/>
  <c r="J734" i="24"/>
  <c r="H734" i="24"/>
  <c r="F734" i="24"/>
  <c r="AG733" i="24"/>
  <c r="AF733" i="24"/>
  <c r="AD733" i="24"/>
  <c r="AC733" i="24"/>
  <c r="Z733" i="24"/>
  <c r="X733" i="24"/>
  <c r="T733" i="24"/>
  <c r="S733" i="24"/>
  <c r="R733" i="24"/>
  <c r="P733" i="24"/>
  <c r="N733" i="24"/>
  <c r="O733" i="24" s="1"/>
  <c r="M733" i="24"/>
  <c r="K733" i="24"/>
  <c r="J733" i="24"/>
  <c r="H733" i="24"/>
  <c r="F733" i="24"/>
  <c r="AG732" i="24"/>
  <c r="AF732" i="24"/>
  <c r="AD732" i="24"/>
  <c r="AC732" i="24"/>
  <c r="Z732" i="24"/>
  <c r="X732" i="24"/>
  <c r="T732" i="24"/>
  <c r="S732" i="24"/>
  <c r="R732" i="24"/>
  <c r="P732" i="24"/>
  <c r="N732" i="24"/>
  <c r="O732" i="24" s="1"/>
  <c r="M732" i="24"/>
  <c r="K732" i="24"/>
  <c r="J732" i="24"/>
  <c r="H732" i="24"/>
  <c r="F732" i="24"/>
  <c r="AG731" i="24"/>
  <c r="AF731" i="24"/>
  <c r="AD731" i="24"/>
  <c r="AC731" i="24"/>
  <c r="Z731" i="24"/>
  <c r="X731" i="24"/>
  <c r="T731" i="24"/>
  <c r="S731" i="24"/>
  <c r="R731" i="24"/>
  <c r="P731" i="24"/>
  <c r="N731" i="24"/>
  <c r="M731" i="24"/>
  <c r="K731" i="24"/>
  <c r="J731" i="24"/>
  <c r="H731" i="24"/>
  <c r="F731" i="24"/>
  <c r="AG730" i="24"/>
  <c r="AF730" i="24"/>
  <c r="AD730" i="24"/>
  <c r="AC730" i="24"/>
  <c r="Z730" i="24"/>
  <c r="X730" i="24"/>
  <c r="T730" i="24"/>
  <c r="S730" i="24"/>
  <c r="R730" i="24"/>
  <c r="P730" i="24"/>
  <c r="N730" i="24"/>
  <c r="M730" i="24"/>
  <c r="K730" i="24"/>
  <c r="J730" i="24"/>
  <c r="H730" i="24"/>
  <c r="F730" i="24"/>
  <c r="AG729" i="24"/>
  <c r="AF729" i="24"/>
  <c r="AD729" i="24"/>
  <c r="AC729" i="24"/>
  <c r="Z729" i="24"/>
  <c r="X729" i="24"/>
  <c r="T729" i="24"/>
  <c r="S729" i="24"/>
  <c r="R729" i="24"/>
  <c r="P729" i="24"/>
  <c r="N729" i="24"/>
  <c r="O729" i="24" s="1"/>
  <c r="M729" i="24"/>
  <c r="K729" i="24"/>
  <c r="J729" i="24"/>
  <c r="H729" i="24"/>
  <c r="F729" i="24"/>
  <c r="AG728" i="24"/>
  <c r="AF728" i="24"/>
  <c r="AD728" i="24"/>
  <c r="AC728" i="24"/>
  <c r="Z728" i="24"/>
  <c r="X728" i="24"/>
  <c r="T728" i="24"/>
  <c r="S728" i="24"/>
  <c r="R728" i="24"/>
  <c r="P728" i="24"/>
  <c r="N728" i="24"/>
  <c r="O728" i="24" s="1"/>
  <c r="M728" i="24"/>
  <c r="K728" i="24"/>
  <c r="J728" i="24"/>
  <c r="H728" i="24"/>
  <c r="F728" i="24"/>
  <c r="AG727" i="24"/>
  <c r="AF727" i="24"/>
  <c r="AD727" i="24"/>
  <c r="AC727" i="24"/>
  <c r="Z727" i="24"/>
  <c r="X727" i="24"/>
  <c r="T727" i="24"/>
  <c r="S727" i="24"/>
  <c r="R727" i="24"/>
  <c r="P727" i="24"/>
  <c r="N727" i="24"/>
  <c r="O727" i="24" s="1"/>
  <c r="M727" i="24"/>
  <c r="K727" i="24"/>
  <c r="J727" i="24"/>
  <c r="H727" i="24"/>
  <c r="F727" i="24"/>
  <c r="AG726" i="24"/>
  <c r="AF726" i="24"/>
  <c r="AD726" i="24"/>
  <c r="AC726" i="24"/>
  <c r="Z726" i="24"/>
  <c r="X726" i="24"/>
  <c r="T726" i="24"/>
  <c r="S726" i="24"/>
  <c r="R726" i="24"/>
  <c r="P726" i="24"/>
  <c r="N726" i="24"/>
  <c r="O726" i="24" s="1"/>
  <c r="M726" i="24"/>
  <c r="K726" i="24"/>
  <c r="J726" i="24"/>
  <c r="H726" i="24"/>
  <c r="F726" i="24"/>
  <c r="AG725" i="24"/>
  <c r="AF725" i="24"/>
  <c r="AD725" i="24"/>
  <c r="AC725" i="24"/>
  <c r="Z725" i="24"/>
  <c r="X725" i="24"/>
  <c r="T761" i="24"/>
  <c r="S761" i="24"/>
  <c r="R761" i="24"/>
  <c r="P761" i="24"/>
  <c r="N761" i="24"/>
  <c r="O761" i="24" s="1"/>
  <c r="M761" i="24"/>
  <c r="K761" i="24"/>
  <c r="J761" i="24"/>
  <c r="H761" i="24"/>
  <c r="F761" i="24"/>
  <c r="AG724" i="24"/>
  <c r="AF724" i="24"/>
  <c r="AD724" i="24"/>
  <c r="AC724" i="24"/>
  <c r="Z724" i="24"/>
  <c r="X724" i="24"/>
  <c r="T724" i="24"/>
  <c r="S724" i="24"/>
  <c r="R724" i="24"/>
  <c r="P724" i="24"/>
  <c r="N724" i="24"/>
  <c r="O724" i="24" s="1"/>
  <c r="M724" i="24"/>
  <c r="K724" i="24"/>
  <c r="J724" i="24"/>
  <c r="H724" i="24"/>
  <c r="F724" i="24"/>
  <c r="AG723" i="24"/>
  <c r="AF723" i="24"/>
  <c r="AD723" i="24"/>
  <c r="AC723" i="24"/>
  <c r="Z723" i="24"/>
  <c r="X723" i="24"/>
  <c r="T723" i="24"/>
  <c r="S723" i="24"/>
  <c r="R723" i="24"/>
  <c r="P723" i="24"/>
  <c r="N723" i="24"/>
  <c r="M723" i="24"/>
  <c r="K723" i="24"/>
  <c r="J723" i="24"/>
  <c r="H723" i="24"/>
  <c r="F723" i="24"/>
  <c r="AG722" i="24"/>
  <c r="AF722" i="24"/>
  <c r="AD722" i="24"/>
  <c r="AC722" i="24"/>
  <c r="Z722" i="24"/>
  <c r="X722" i="24"/>
  <c r="T722" i="24"/>
  <c r="S722" i="24"/>
  <c r="R722" i="24"/>
  <c r="P722" i="24"/>
  <c r="N722" i="24"/>
  <c r="O722" i="24" s="1"/>
  <c r="M722" i="24"/>
  <c r="K722" i="24"/>
  <c r="J722" i="24"/>
  <c r="H722" i="24"/>
  <c r="F722" i="24"/>
  <c r="AG721" i="24"/>
  <c r="AF721" i="24"/>
  <c r="AD721" i="24"/>
  <c r="AC721" i="24"/>
  <c r="Z721" i="24"/>
  <c r="X721" i="24"/>
  <c r="T721" i="24"/>
  <c r="S721" i="24"/>
  <c r="R721" i="24"/>
  <c r="P721" i="24"/>
  <c r="N721" i="24"/>
  <c r="O721" i="24" s="1"/>
  <c r="M721" i="24"/>
  <c r="K721" i="24"/>
  <c r="J721" i="24"/>
  <c r="H721" i="24"/>
  <c r="F721" i="24"/>
  <c r="AG720" i="24"/>
  <c r="AF720" i="24"/>
  <c r="AD720" i="24"/>
  <c r="AC720" i="24"/>
  <c r="Z720" i="24"/>
  <c r="X720" i="24"/>
  <c r="T720" i="24"/>
  <c r="S720" i="24"/>
  <c r="R720" i="24"/>
  <c r="P720" i="24"/>
  <c r="N720" i="24"/>
  <c r="O720" i="24" s="1"/>
  <c r="M720" i="24"/>
  <c r="K720" i="24"/>
  <c r="J720" i="24"/>
  <c r="H720" i="24"/>
  <c r="F720" i="24"/>
  <c r="AG719" i="24"/>
  <c r="AF719" i="24"/>
  <c r="AD719" i="24"/>
  <c r="AC719" i="24"/>
  <c r="Z719" i="24"/>
  <c r="X719" i="24"/>
  <c r="T719" i="24"/>
  <c r="S719" i="24"/>
  <c r="R719" i="24"/>
  <c r="P719" i="24"/>
  <c r="N719" i="24"/>
  <c r="O719" i="24" s="1"/>
  <c r="M719" i="24"/>
  <c r="K719" i="24"/>
  <c r="J719" i="24"/>
  <c r="H719" i="24"/>
  <c r="F719" i="24"/>
  <c r="AG718" i="24"/>
  <c r="AF718" i="24"/>
  <c r="AD718" i="24"/>
  <c r="AC718" i="24"/>
  <c r="Z718" i="24"/>
  <c r="X718" i="24"/>
  <c r="T718" i="24"/>
  <c r="S718" i="24"/>
  <c r="R718" i="24"/>
  <c r="P718" i="24"/>
  <c r="N718" i="24"/>
  <c r="M718" i="24"/>
  <c r="K718" i="24"/>
  <c r="J718" i="24"/>
  <c r="H718" i="24"/>
  <c r="F718" i="24"/>
  <c r="AG717" i="24"/>
  <c r="AF717" i="24"/>
  <c r="AD717" i="24"/>
  <c r="AC717" i="24"/>
  <c r="Z717" i="24"/>
  <c r="X717" i="24"/>
  <c r="T749" i="24"/>
  <c r="S749" i="24"/>
  <c r="R749" i="24"/>
  <c r="P749" i="24"/>
  <c r="N749" i="24"/>
  <c r="O749" i="24" s="1"/>
  <c r="M749" i="24"/>
  <c r="K749" i="24"/>
  <c r="J749" i="24"/>
  <c r="H749" i="24"/>
  <c r="F749" i="24"/>
  <c r="AG716" i="24"/>
  <c r="AF716" i="24"/>
  <c r="AD716" i="24"/>
  <c r="AC716" i="24"/>
  <c r="Z716" i="24"/>
  <c r="X716" i="24"/>
  <c r="T716" i="24"/>
  <c r="S716" i="24"/>
  <c r="R716" i="24"/>
  <c r="P716" i="24"/>
  <c r="N716" i="24"/>
  <c r="O716" i="24" s="1"/>
  <c r="M716" i="24"/>
  <c r="K716" i="24"/>
  <c r="J716" i="24"/>
  <c r="H716" i="24"/>
  <c r="F716" i="24"/>
  <c r="AG715" i="24"/>
  <c r="AF715" i="24"/>
  <c r="AD715" i="24"/>
  <c r="AC715" i="24"/>
  <c r="Z715" i="24"/>
  <c r="X715" i="24"/>
  <c r="T715" i="24"/>
  <c r="S715" i="24"/>
  <c r="R715" i="24"/>
  <c r="P715" i="24"/>
  <c r="N715" i="24"/>
  <c r="M715" i="24"/>
  <c r="K715" i="24"/>
  <c r="J715" i="24"/>
  <c r="H715" i="24"/>
  <c r="F715" i="24"/>
  <c r="AG714" i="24"/>
  <c r="AF714" i="24"/>
  <c r="AD714" i="24"/>
  <c r="AC714" i="24"/>
  <c r="Z714" i="24"/>
  <c r="X714" i="24"/>
  <c r="T714" i="24"/>
  <c r="S714" i="24"/>
  <c r="R714" i="24"/>
  <c r="P714" i="24"/>
  <c r="N714" i="24"/>
  <c r="O714" i="24" s="1"/>
  <c r="M714" i="24"/>
  <c r="K714" i="24"/>
  <c r="J714" i="24"/>
  <c r="H714" i="24"/>
  <c r="F714" i="24"/>
  <c r="AG713" i="24"/>
  <c r="AF713" i="24"/>
  <c r="AD713" i="24"/>
  <c r="AC713" i="24"/>
  <c r="Z713" i="24"/>
  <c r="X713" i="24"/>
  <c r="T713" i="24"/>
  <c r="S713" i="24"/>
  <c r="R713" i="24"/>
  <c r="P713" i="24"/>
  <c r="N713" i="24"/>
  <c r="O713" i="24" s="1"/>
  <c r="M713" i="24"/>
  <c r="K713" i="24"/>
  <c r="J713" i="24"/>
  <c r="H713" i="24"/>
  <c r="F713" i="24"/>
  <c r="AG712" i="24"/>
  <c r="AF712" i="24"/>
  <c r="AD712" i="24"/>
  <c r="AC712" i="24"/>
  <c r="Z712" i="24"/>
  <c r="X712" i="24"/>
  <c r="T712" i="24"/>
  <c r="S712" i="24"/>
  <c r="R712" i="24"/>
  <c r="P712" i="24"/>
  <c r="N712" i="24"/>
  <c r="O712" i="24" s="1"/>
  <c r="M712" i="24"/>
  <c r="K712" i="24"/>
  <c r="J712" i="24"/>
  <c r="H712" i="24"/>
  <c r="F712" i="24"/>
  <c r="AG711" i="24"/>
  <c r="AF711" i="24"/>
  <c r="AD711" i="24"/>
  <c r="AC711" i="24"/>
  <c r="Z711" i="24"/>
  <c r="X711" i="24"/>
  <c r="T711" i="24"/>
  <c r="S711" i="24"/>
  <c r="R711" i="24"/>
  <c r="P711" i="24"/>
  <c r="N711" i="24"/>
  <c r="O711" i="24" s="1"/>
  <c r="M711" i="24"/>
  <c r="K711" i="24"/>
  <c r="J711" i="24"/>
  <c r="H711" i="24"/>
  <c r="F711" i="24"/>
  <c r="AG710" i="24"/>
  <c r="AF710" i="24"/>
  <c r="AD710" i="24"/>
  <c r="AC710" i="24"/>
  <c r="Z710" i="24"/>
  <c r="X710" i="24"/>
  <c r="T725" i="24"/>
  <c r="S725" i="24"/>
  <c r="R725" i="24"/>
  <c r="P725" i="24"/>
  <c r="N725" i="24"/>
  <c r="O725" i="24" s="1"/>
  <c r="M725" i="24"/>
  <c r="K725" i="24"/>
  <c r="J725" i="24"/>
  <c r="H725" i="24"/>
  <c r="F725" i="24"/>
  <c r="AG709" i="24"/>
  <c r="AF709" i="24"/>
  <c r="AD709" i="24"/>
  <c r="AC709" i="24"/>
  <c r="Z709" i="24"/>
  <c r="X709" i="24"/>
  <c r="T709" i="24"/>
  <c r="S709" i="24"/>
  <c r="R709" i="24"/>
  <c r="P709" i="24"/>
  <c r="N709" i="24"/>
  <c r="M709" i="24"/>
  <c r="K709" i="24"/>
  <c r="J709" i="24"/>
  <c r="H709" i="24"/>
  <c r="F709" i="24"/>
  <c r="AG708" i="24"/>
  <c r="AF708" i="24"/>
  <c r="AD708" i="24"/>
  <c r="AC708" i="24"/>
  <c r="Z708" i="24"/>
  <c r="X708" i="24"/>
  <c r="T708" i="24"/>
  <c r="S708" i="24"/>
  <c r="R708" i="24"/>
  <c r="P708" i="24"/>
  <c r="N708" i="24"/>
  <c r="M708" i="24"/>
  <c r="K708" i="24"/>
  <c r="J708" i="24"/>
  <c r="H708" i="24"/>
  <c r="F708" i="24"/>
  <c r="AG707" i="24"/>
  <c r="AF707" i="24"/>
  <c r="AD707" i="24"/>
  <c r="AC707" i="24"/>
  <c r="Z707" i="24"/>
  <c r="X707" i="24"/>
  <c r="T707" i="24"/>
  <c r="S707" i="24"/>
  <c r="R707" i="24"/>
  <c r="P707" i="24"/>
  <c r="N707" i="24"/>
  <c r="O707" i="24" s="1"/>
  <c r="M707" i="24"/>
  <c r="K707" i="24"/>
  <c r="J707" i="24"/>
  <c r="H707" i="24"/>
  <c r="F707" i="24"/>
  <c r="AG706" i="24"/>
  <c r="AF706" i="24"/>
  <c r="AD706" i="24"/>
  <c r="AC706" i="24"/>
  <c r="Z706" i="24"/>
  <c r="X706" i="24"/>
  <c r="T706" i="24"/>
  <c r="S706" i="24"/>
  <c r="R706" i="24"/>
  <c r="P706" i="24"/>
  <c r="N706" i="24"/>
  <c r="O706" i="24" s="1"/>
  <c r="M706" i="24"/>
  <c r="K706" i="24"/>
  <c r="J706" i="24"/>
  <c r="H706" i="24"/>
  <c r="F706" i="24"/>
  <c r="AG705" i="24"/>
  <c r="AF705" i="24"/>
  <c r="AD705" i="24"/>
  <c r="AC705" i="24"/>
  <c r="Z705" i="24"/>
  <c r="X705" i="24"/>
  <c r="T705" i="24"/>
  <c r="S705" i="24"/>
  <c r="R705" i="24"/>
  <c r="P705" i="24"/>
  <c r="N705" i="24"/>
  <c r="O705" i="24" s="1"/>
  <c r="M705" i="24"/>
  <c r="K705" i="24"/>
  <c r="J705" i="24"/>
  <c r="H705" i="24"/>
  <c r="F705" i="24"/>
  <c r="AG704" i="24"/>
  <c r="AF704" i="24"/>
  <c r="AD704" i="24"/>
  <c r="AC704" i="24"/>
  <c r="Z704" i="24"/>
  <c r="X704" i="24"/>
  <c r="T704" i="24"/>
  <c r="S704" i="24"/>
  <c r="R704" i="24"/>
  <c r="P704" i="24"/>
  <c r="N704" i="24"/>
  <c r="M704" i="24"/>
  <c r="K704" i="24"/>
  <c r="J704" i="24"/>
  <c r="H704" i="24"/>
  <c r="F704" i="24"/>
  <c r="AG703" i="24"/>
  <c r="AF703" i="24"/>
  <c r="AD703" i="24"/>
  <c r="AC703" i="24"/>
  <c r="Z703" i="24"/>
  <c r="X703" i="24"/>
  <c r="T703" i="24"/>
  <c r="S703" i="24"/>
  <c r="R703" i="24"/>
  <c r="P703" i="24"/>
  <c r="N703" i="24"/>
  <c r="O703" i="24" s="1"/>
  <c r="M703" i="24"/>
  <c r="K703" i="24"/>
  <c r="J703" i="24"/>
  <c r="H703" i="24"/>
  <c r="F703" i="24"/>
  <c r="AG702" i="24"/>
  <c r="AF702" i="24"/>
  <c r="AD702" i="24"/>
  <c r="AC702" i="24"/>
  <c r="Z702" i="24"/>
  <c r="X702" i="24"/>
  <c r="T702" i="24"/>
  <c r="S702" i="24"/>
  <c r="R702" i="24"/>
  <c r="P702" i="24"/>
  <c r="N702" i="24"/>
  <c r="O702" i="24" s="1"/>
  <c r="M702" i="24"/>
  <c r="K702" i="24"/>
  <c r="J702" i="24"/>
  <c r="H702" i="24"/>
  <c r="F702" i="24"/>
  <c r="AG701" i="24"/>
  <c r="AF701" i="24"/>
  <c r="AD701" i="24"/>
  <c r="AC701" i="24"/>
  <c r="Z701" i="24"/>
  <c r="X701" i="24"/>
  <c r="T701" i="24"/>
  <c r="S701" i="24"/>
  <c r="R701" i="24"/>
  <c r="P701" i="24"/>
  <c r="N701" i="24"/>
  <c r="M701" i="24"/>
  <c r="K701" i="24"/>
  <c r="J701" i="24"/>
  <c r="H701" i="24"/>
  <c r="F701" i="24"/>
  <c r="AG700" i="24"/>
  <c r="AF700" i="24"/>
  <c r="AD700" i="24"/>
  <c r="AC700" i="24"/>
  <c r="Z700" i="24"/>
  <c r="X700" i="24"/>
  <c r="T700" i="24"/>
  <c r="S700" i="24"/>
  <c r="R700" i="24"/>
  <c r="P700" i="24"/>
  <c r="N700" i="24"/>
  <c r="O700" i="24" s="1"/>
  <c r="M700" i="24"/>
  <c r="K700" i="24"/>
  <c r="J700" i="24"/>
  <c r="H700" i="24"/>
  <c r="F700" i="24"/>
  <c r="AG699" i="24"/>
  <c r="AF699" i="24"/>
  <c r="AD699" i="24"/>
  <c r="AC699" i="24"/>
  <c r="Z699" i="24"/>
  <c r="X699" i="24"/>
  <c r="T699" i="24"/>
  <c r="S699" i="24"/>
  <c r="R699" i="24"/>
  <c r="P699" i="24"/>
  <c r="N699" i="24"/>
  <c r="O699" i="24" s="1"/>
  <c r="M699" i="24"/>
  <c r="K699" i="24"/>
  <c r="J699" i="24"/>
  <c r="H699" i="24"/>
  <c r="F699" i="24"/>
  <c r="AG698" i="24"/>
  <c r="AF698" i="24"/>
  <c r="AD698" i="24"/>
  <c r="AC698" i="24"/>
  <c r="Z698" i="24"/>
  <c r="X698" i="24"/>
  <c r="T698" i="24"/>
  <c r="S698" i="24"/>
  <c r="R698" i="24"/>
  <c r="P698" i="24"/>
  <c r="N698" i="24"/>
  <c r="M698" i="24"/>
  <c r="K698" i="24"/>
  <c r="J698" i="24"/>
  <c r="H698" i="24"/>
  <c r="F698" i="24"/>
  <c r="AG697" i="24"/>
  <c r="AF697" i="24"/>
  <c r="AD697" i="24"/>
  <c r="AC697" i="24"/>
  <c r="Z697" i="24"/>
  <c r="X697" i="24"/>
  <c r="T697" i="24"/>
  <c r="S697" i="24"/>
  <c r="R697" i="24"/>
  <c r="P697" i="24"/>
  <c r="N697" i="24"/>
  <c r="O697" i="24" s="1"/>
  <c r="M697" i="24"/>
  <c r="K697" i="24"/>
  <c r="J697" i="24"/>
  <c r="H697" i="24"/>
  <c r="F697" i="24"/>
  <c r="AG696" i="24"/>
  <c r="AF696" i="24"/>
  <c r="AD696" i="24"/>
  <c r="AC696" i="24"/>
  <c r="Z696" i="24"/>
  <c r="X696" i="24"/>
  <c r="T696" i="24"/>
  <c r="S696" i="24"/>
  <c r="R696" i="24"/>
  <c r="P696" i="24"/>
  <c r="N696" i="24"/>
  <c r="O696" i="24" s="1"/>
  <c r="M696" i="24"/>
  <c r="K696" i="24"/>
  <c r="J696" i="24"/>
  <c r="H696" i="24"/>
  <c r="F696" i="24"/>
  <c r="AG695" i="24"/>
  <c r="AF695" i="24"/>
  <c r="AD695" i="24"/>
  <c r="AC695" i="24"/>
  <c r="Z695" i="24"/>
  <c r="X695" i="24"/>
  <c r="T695" i="24"/>
  <c r="S695" i="24"/>
  <c r="R695" i="24"/>
  <c r="P695" i="24"/>
  <c r="N695" i="24"/>
  <c r="O695" i="24" s="1"/>
  <c r="M695" i="24"/>
  <c r="K695" i="24"/>
  <c r="J695" i="24"/>
  <c r="H695" i="24"/>
  <c r="F695" i="24"/>
  <c r="AG694" i="24"/>
  <c r="AF694" i="24"/>
  <c r="AD694" i="24"/>
  <c r="AC694" i="24"/>
  <c r="Z694" i="24"/>
  <c r="X694" i="24"/>
  <c r="T694" i="24"/>
  <c r="S694" i="24"/>
  <c r="R694" i="24"/>
  <c r="P694" i="24"/>
  <c r="N694" i="24"/>
  <c r="M694" i="24"/>
  <c r="K694" i="24"/>
  <c r="J694" i="24"/>
  <c r="H694" i="24"/>
  <c r="F694" i="24"/>
  <c r="AG693" i="24"/>
  <c r="AF693" i="24"/>
  <c r="AD693" i="24"/>
  <c r="AC693" i="24"/>
  <c r="Z693" i="24"/>
  <c r="X693" i="24"/>
  <c r="T693" i="24"/>
  <c r="S693" i="24"/>
  <c r="R693" i="24"/>
  <c r="P693" i="24"/>
  <c r="N693" i="24"/>
  <c r="O693" i="24" s="1"/>
  <c r="M693" i="24"/>
  <c r="K693" i="24"/>
  <c r="J693" i="24"/>
  <c r="H693" i="24"/>
  <c r="F693" i="24"/>
  <c r="AG692" i="24"/>
  <c r="AF692" i="24"/>
  <c r="AD692" i="24"/>
  <c r="AC692" i="24"/>
  <c r="Z692" i="24"/>
  <c r="X692" i="24"/>
  <c r="T692" i="24"/>
  <c r="S692" i="24"/>
  <c r="R692" i="24"/>
  <c r="P692" i="24"/>
  <c r="N692" i="24"/>
  <c r="O692" i="24" s="1"/>
  <c r="M692" i="24"/>
  <c r="K692" i="24"/>
  <c r="J692" i="24"/>
  <c r="H692" i="24"/>
  <c r="F692" i="24"/>
  <c r="AG691" i="24"/>
  <c r="AF691" i="24"/>
  <c r="AD691" i="24"/>
  <c r="AC691" i="24"/>
  <c r="Z691" i="24"/>
  <c r="X691" i="24"/>
  <c r="T691" i="24"/>
  <c r="S691" i="24"/>
  <c r="R691" i="24"/>
  <c r="P691" i="24"/>
  <c r="N691" i="24"/>
  <c r="O691" i="24" s="1"/>
  <c r="M691" i="24"/>
  <c r="K691" i="24"/>
  <c r="J691" i="24"/>
  <c r="H691" i="24"/>
  <c r="F691" i="24"/>
  <c r="AG690" i="24"/>
  <c r="AF690" i="24"/>
  <c r="AD690" i="24"/>
  <c r="AC690" i="24"/>
  <c r="Z690" i="24"/>
  <c r="X690" i="24"/>
  <c r="T690" i="24"/>
  <c r="S690" i="24"/>
  <c r="R690" i="24"/>
  <c r="P690" i="24"/>
  <c r="N690" i="24"/>
  <c r="O690" i="24" s="1"/>
  <c r="M690" i="24"/>
  <c r="K690" i="24"/>
  <c r="J690" i="24"/>
  <c r="H690" i="24"/>
  <c r="F690" i="24"/>
  <c r="AG689" i="24"/>
  <c r="AF689" i="24"/>
  <c r="AD689" i="24"/>
  <c r="AC689" i="24"/>
  <c r="Z689" i="24"/>
  <c r="X689" i="24"/>
  <c r="T736" i="24"/>
  <c r="S736" i="24"/>
  <c r="R736" i="24"/>
  <c r="P736" i="24"/>
  <c r="N736" i="24"/>
  <c r="M736" i="24"/>
  <c r="K736" i="24"/>
  <c r="J736" i="24"/>
  <c r="H736" i="24"/>
  <c r="F736" i="24"/>
  <c r="AG688" i="24"/>
  <c r="AF688" i="24"/>
  <c r="AD688" i="24"/>
  <c r="AC688" i="24"/>
  <c r="Z688" i="24"/>
  <c r="X688" i="24"/>
  <c r="T688" i="24"/>
  <c r="S688" i="24"/>
  <c r="R688" i="24"/>
  <c r="P688" i="24"/>
  <c r="N688" i="24"/>
  <c r="M688" i="24"/>
  <c r="K688" i="24"/>
  <c r="J688" i="24"/>
  <c r="H688" i="24"/>
  <c r="F688" i="24"/>
  <c r="AG687" i="24"/>
  <c r="AF687" i="24"/>
  <c r="AD687" i="24"/>
  <c r="AC687" i="24"/>
  <c r="Z687" i="24"/>
  <c r="X687" i="24"/>
  <c r="T687" i="24"/>
  <c r="S687" i="24"/>
  <c r="R687" i="24"/>
  <c r="P687" i="24"/>
  <c r="N687" i="24"/>
  <c r="O687" i="24" s="1"/>
  <c r="M687" i="24"/>
  <c r="K687" i="24"/>
  <c r="J687" i="24"/>
  <c r="H687" i="24"/>
  <c r="F687" i="24"/>
  <c r="AG686" i="24"/>
  <c r="AF686" i="24"/>
  <c r="AD686" i="24"/>
  <c r="AC686" i="24"/>
  <c r="Z686" i="24"/>
  <c r="X686" i="24"/>
  <c r="T686" i="24"/>
  <c r="S686" i="24"/>
  <c r="R686" i="24"/>
  <c r="P686" i="24"/>
  <c r="N686" i="24"/>
  <c r="M686" i="24"/>
  <c r="K686" i="24"/>
  <c r="J686" i="24"/>
  <c r="H686" i="24"/>
  <c r="F686" i="24"/>
  <c r="AG685" i="24"/>
  <c r="AF685" i="24"/>
  <c r="AD685" i="24"/>
  <c r="AC685" i="24"/>
  <c r="Z685" i="24"/>
  <c r="X685" i="24"/>
  <c r="T685" i="24"/>
  <c r="S685" i="24"/>
  <c r="R685" i="24"/>
  <c r="P685" i="24"/>
  <c r="N685" i="24"/>
  <c r="O685" i="24" s="1"/>
  <c r="M685" i="24"/>
  <c r="K685" i="24"/>
  <c r="J685" i="24"/>
  <c r="H685" i="24"/>
  <c r="F685" i="24"/>
  <c r="AG684" i="24"/>
  <c r="AF684" i="24"/>
  <c r="AD684" i="24"/>
  <c r="AC684" i="24"/>
  <c r="Z684" i="24"/>
  <c r="X684" i="24"/>
  <c r="T684" i="24"/>
  <c r="S684" i="24"/>
  <c r="R684" i="24"/>
  <c r="P684" i="24"/>
  <c r="N684" i="24"/>
  <c r="O684" i="24" s="1"/>
  <c r="M684" i="24"/>
  <c r="K684" i="24"/>
  <c r="J684" i="24"/>
  <c r="H684" i="24"/>
  <c r="F684" i="24"/>
  <c r="AG683" i="24"/>
  <c r="AF683" i="24"/>
  <c r="AD683" i="24"/>
  <c r="AC683" i="24"/>
  <c r="Z683" i="24"/>
  <c r="X683" i="24"/>
  <c r="T683" i="24"/>
  <c r="S683" i="24"/>
  <c r="R683" i="24"/>
  <c r="P683" i="24"/>
  <c r="N683" i="24"/>
  <c r="O683" i="24" s="1"/>
  <c r="M683" i="24"/>
  <c r="K683" i="24"/>
  <c r="J683" i="24"/>
  <c r="H683" i="24"/>
  <c r="F683" i="24"/>
  <c r="AG682" i="24"/>
  <c r="AF682" i="24"/>
  <c r="AD682" i="24"/>
  <c r="AC682" i="24"/>
  <c r="Z682" i="24"/>
  <c r="X682" i="24"/>
  <c r="T682" i="24"/>
  <c r="S682" i="24"/>
  <c r="R682" i="24"/>
  <c r="P682" i="24"/>
  <c r="N682" i="24"/>
  <c r="M682" i="24"/>
  <c r="K682" i="24"/>
  <c r="J682" i="24"/>
  <c r="H682" i="24"/>
  <c r="F682" i="24"/>
  <c r="AG681" i="24"/>
  <c r="AF681" i="24"/>
  <c r="AD681" i="24"/>
  <c r="AC681" i="24"/>
  <c r="Z681" i="24"/>
  <c r="X681" i="24"/>
  <c r="T681" i="24"/>
  <c r="S681" i="24"/>
  <c r="R681" i="24"/>
  <c r="P681" i="24"/>
  <c r="N681" i="24"/>
  <c r="O681" i="24" s="1"/>
  <c r="M681" i="24"/>
  <c r="K681" i="24"/>
  <c r="J681" i="24"/>
  <c r="H681" i="24"/>
  <c r="F681" i="24"/>
  <c r="AG680" i="24"/>
  <c r="AF680" i="24"/>
  <c r="AD680" i="24"/>
  <c r="AC680" i="24"/>
  <c r="Z680" i="24"/>
  <c r="X680" i="24"/>
  <c r="T680" i="24"/>
  <c r="S680" i="24"/>
  <c r="R680" i="24"/>
  <c r="P680" i="24"/>
  <c r="N680" i="24"/>
  <c r="M680" i="24"/>
  <c r="K680" i="24"/>
  <c r="J680" i="24"/>
  <c r="H680" i="24"/>
  <c r="F680" i="24"/>
  <c r="AG679" i="24"/>
  <c r="AF679" i="24"/>
  <c r="AD679" i="24"/>
  <c r="AC679" i="24"/>
  <c r="Z679" i="24"/>
  <c r="X679" i="24"/>
  <c r="T679" i="24"/>
  <c r="S679" i="24"/>
  <c r="R679" i="24"/>
  <c r="P679" i="24"/>
  <c r="N679" i="24"/>
  <c r="O679" i="24" s="1"/>
  <c r="M679" i="24"/>
  <c r="K679" i="24"/>
  <c r="J679" i="24"/>
  <c r="H679" i="24"/>
  <c r="F679" i="24"/>
  <c r="AG678" i="24"/>
  <c r="AF678" i="24"/>
  <c r="AD678" i="24"/>
  <c r="AC678" i="24"/>
  <c r="Z678" i="24"/>
  <c r="X678" i="24"/>
  <c r="T678" i="24"/>
  <c r="S678" i="24"/>
  <c r="R678" i="24"/>
  <c r="P678" i="24"/>
  <c r="N678" i="24"/>
  <c r="O678" i="24" s="1"/>
  <c r="M678" i="24"/>
  <c r="K678" i="24"/>
  <c r="J678" i="24"/>
  <c r="H678" i="24"/>
  <c r="F678" i="24"/>
  <c r="AG677" i="24"/>
  <c r="AF677" i="24"/>
  <c r="AD677" i="24"/>
  <c r="AC677" i="24"/>
  <c r="Z677" i="24"/>
  <c r="X677" i="24"/>
  <c r="T677" i="24"/>
  <c r="S677" i="24"/>
  <c r="R677" i="24"/>
  <c r="P677" i="24"/>
  <c r="N677" i="24"/>
  <c r="M677" i="24"/>
  <c r="K677" i="24"/>
  <c r="J677" i="24"/>
  <c r="H677" i="24"/>
  <c r="F677" i="24"/>
  <c r="AG676" i="24"/>
  <c r="AF676" i="24"/>
  <c r="AD676" i="24"/>
  <c r="AC676" i="24"/>
  <c r="Z676" i="24"/>
  <c r="X676" i="24"/>
  <c r="T676" i="24"/>
  <c r="S676" i="24"/>
  <c r="R676" i="24"/>
  <c r="P676" i="24"/>
  <c r="N676" i="24"/>
  <c r="O676" i="24" s="1"/>
  <c r="M676" i="24"/>
  <c r="K676" i="24"/>
  <c r="J676" i="24"/>
  <c r="H676" i="24"/>
  <c r="F676" i="24"/>
  <c r="AG675" i="24"/>
  <c r="AF675" i="24"/>
  <c r="AD675" i="24"/>
  <c r="AC675" i="24"/>
  <c r="Z675" i="24"/>
  <c r="X675" i="24"/>
  <c r="T675" i="24"/>
  <c r="S675" i="24"/>
  <c r="R675" i="24"/>
  <c r="P675" i="24"/>
  <c r="N675" i="24"/>
  <c r="O675" i="24" s="1"/>
  <c r="M675" i="24"/>
  <c r="K675" i="24"/>
  <c r="J675" i="24"/>
  <c r="H675" i="24"/>
  <c r="F675" i="24"/>
  <c r="AG674" i="24"/>
  <c r="AF674" i="24"/>
  <c r="AD674" i="24"/>
  <c r="AC674" i="24"/>
  <c r="Z674" i="24"/>
  <c r="X674" i="24"/>
  <c r="T674" i="24"/>
  <c r="S674" i="24"/>
  <c r="R674" i="24"/>
  <c r="P674" i="24"/>
  <c r="N674" i="24"/>
  <c r="O674" i="24" s="1"/>
  <c r="M674" i="24"/>
  <c r="K674" i="24"/>
  <c r="J674" i="24"/>
  <c r="H674" i="24"/>
  <c r="F674" i="24"/>
  <c r="AG673" i="24"/>
  <c r="AF673" i="24"/>
  <c r="AD673" i="24"/>
  <c r="AC673" i="24"/>
  <c r="Z673" i="24"/>
  <c r="X673" i="24"/>
  <c r="T673" i="24"/>
  <c r="S673" i="24"/>
  <c r="R673" i="24"/>
  <c r="P673" i="24"/>
  <c r="N673" i="24"/>
  <c r="O673" i="24" s="1"/>
  <c r="M673" i="24"/>
  <c r="K673" i="24"/>
  <c r="J673" i="24"/>
  <c r="H673" i="24"/>
  <c r="F673" i="24"/>
  <c r="AG672" i="24"/>
  <c r="AF672" i="24"/>
  <c r="AD672" i="24"/>
  <c r="AC672" i="24"/>
  <c r="Z672" i="24"/>
  <c r="X672" i="24"/>
  <c r="T717" i="24"/>
  <c r="S717" i="24"/>
  <c r="R717" i="24"/>
  <c r="P717" i="24"/>
  <c r="N717" i="24"/>
  <c r="O717" i="24" s="1"/>
  <c r="M717" i="24"/>
  <c r="K717" i="24"/>
  <c r="J717" i="24"/>
  <c r="H717" i="24"/>
  <c r="F717" i="24"/>
  <c r="AG671" i="24"/>
  <c r="AF671" i="24"/>
  <c r="AD671" i="24"/>
  <c r="AC671" i="24"/>
  <c r="Z671" i="24"/>
  <c r="X671" i="24"/>
  <c r="T671" i="24"/>
  <c r="S671" i="24"/>
  <c r="R671" i="24"/>
  <c r="P671" i="24"/>
  <c r="N671" i="24"/>
  <c r="M671" i="24"/>
  <c r="K671" i="24"/>
  <c r="J671" i="24"/>
  <c r="H671" i="24"/>
  <c r="F671" i="24"/>
  <c r="AG670" i="24"/>
  <c r="AF670" i="24"/>
  <c r="AD670" i="24"/>
  <c r="AC670" i="24"/>
  <c r="Z670" i="24"/>
  <c r="X670" i="24"/>
  <c r="T670" i="24"/>
  <c r="S670" i="24"/>
  <c r="R670" i="24"/>
  <c r="P670" i="24"/>
  <c r="N670" i="24"/>
  <c r="O670" i="24" s="1"/>
  <c r="M670" i="24"/>
  <c r="K670" i="24"/>
  <c r="J670" i="24"/>
  <c r="H670" i="24"/>
  <c r="F670" i="24"/>
  <c r="AG669" i="24"/>
  <c r="AF669" i="24"/>
  <c r="AD669" i="24"/>
  <c r="AC669" i="24"/>
  <c r="Z669" i="24"/>
  <c r="X669" i="24"/>
  <c r="T669" i="24"/>
  <c r="S669" i="24"/>
  <c r="R669" i="24"/>
  <c r="P669" i="24"/>
  <c r="N669" i="24"/>
  <c r="M669" i="24"/>
  <c r="K669" i="24"/>
  <c r="J669" i="24"/>
  <c r="H669" i="24"/>
  <c r="F669" i="24"/>
  <c r="AG668" i="24"/>
  <c r="AF668" i="24"/>
  <c r="AD668" i="24"/>
  <c r="AC668" i="24"/>
  <c r="Z668" i="24"/>
  <c r="X668" i="24"/>
  <c r="T710" i="24"/>
  <c r="S710" i="24"/>
  <c r="R710" i="24"/>
  <c r="P710" i="24"/>
  <c r="N710" i="24"/>
  <c r="O710" i="24" s="1"/>
  <c r="M710" i="24"/>
  <c r="K710" i="24"/>
  <c r="J710" i="24"/>
  <c r="H710" i="24"/>
  <c r="F710" i="24"/>
  <c r="AG667" i="24"/>
  <c r="AF667" i="24"/>
  <c r="AD667" i="24"/>
  <c r="AC667" i="24"/>
  <c r="Z667" i="24"/>
  <c r="X667" i="24"/>
  <c r="T689" i="24"/>
  <c r="S689" i="24"/>
  <c r="R689" i="24"/>
  <c r="P689" i="24"/>
  <c r="N689" i="24"/>
  <c r="O689" i="24" s="1"/>
  <c r="M689" i="24"/>
  <c r="K689" i="24"/>
  <c r="J689" i="24"/>
  <c r="H689" i="24"/>
  <c r="F689" i="24"/>
  <c r="AG666" i="24"/>
  <c r="AF666" i="24"/>
  <c r="AD666" i="24"/>
  <c r="AC666" i="24"/>
  <c r="Z666" i="24"/>
  <c r="X666" i="24"/>
  <c r="T666" i="24"/>
  <c r="S666" i="24"/>
  <c r="R666" i="24"/>
  <c r="P666" i="24"/>
  <c r="N666" i="24"/>
  <c r="M666" i="24"/>
  <c r="K666" i="24"/>
  <c r="J666" i="24"/>
  <c r="H666" i="24"/>
  <c r="F666" i="24"/>
  <c r="AG665" i="24"/>
  <c r="AF665" i="24"/>
  <c r="AD665" i="24"/>
  <c r="AC665" i="24"/>
  <c r="Z665" i="24"/>
  <c r="X665" i="24"/>
  <c r="T665" i="24"/>
  <c r="S665" i="24"/>
  <c r="R665" i="24"/>
  <c r="P665" i="24"/>
  <c r="N665" i="24"/>
  <c r="M665" i="24"/>
  <c r="K665" i="24"/>
  <c r="J665" i="24"/>
  <c r="H665" i="24"/>
  <c r="F665" i="24"/>
  <c r="AG664" i="24"/>
  <c r="AF664" i="24"/>
  <c r="AD664" i="24"/>
  <c r="AC664" i="24"/>
  <c r="Z664" i="24"/>
  <c r="X664" i="24"/>
  <c r="T664" i="24"/>
  <c r="S664" i="24"/>
  <c r="R664" i="24"/>
  <c r="P664" i="24"/>
  <c r="N664" i="24"/>
  <c r="M664" i="24"/>
  <c r="K664" i="24"/>
  <c r="J664" i="24"/>
  <c r="H664" i="24"/>
  <c r="F664" i="24"/>
  <c r="AG663" i="24"/>
  <c r="AF663" i="24"/>
  <c r="AD663" i="24"/>
  <c r="AC663" i="24"/>
  <c r="Z663" i="24"/>
  <c r="X663" i="24"/>
  <c r="T663" i="24"/>
  <c r="S663" i="24"/>
  <c r="R663" i="24"/>
  <c r="P663" i="24"/>
  <c r="N663" i="24"/>
  <c r="O663" i="24" s="1"/>
  <c r="M663" i="24"/>
  <c r="K663" i="24"/>
  <c r="J663" i="24"/>
  <c r="H663" i="24"/>
  <c r="F663" i="24"/>
  <c r="AG662" i="24"/>
  <c r="AF662" i="24"/>
  <c r="AD662" i="24"/>
  <c r="AC662" i="24"/>
  <c r="Z662" i="24"/>
  <c r="X662" i="24"/>
  <c r="T662" i="24"/>
  <c r="S662" i="24"/>
  <c r="R662" i="24"/>
  <c r="P662" i="24"/>
  <c r="N662" i="24"/>
  <c r="O662" i="24" s="1"/>
  <c r="M662" i="24"/>
  <c r="K662" i="24"/>
  <c r="J662" i="24"/>
  <c r="H662" i="24"/>
  <c r="F662" i="24"/>
  <c r="AG661" i="24"/>
  <c r="AF661" i="24"/>
  <c r="AD661" i="24"/>
  <c r="AC661" i="24"/>
  <c r="AB661" i="24"/>
  <c r="Z661" i="24"/>
  <c r="X661" i="24"/>
  <c r="T661" i="24"/>
  <c r="S661" i="24"/>
  <c r="R661" i="24"/>
  <c r="P661" i="24"/>
  <c r="N661" i="24"/>
  <c r="O661" i="24" s="1"/>
  <c r="M661" i="24"/>
  <c r="K661" i="24"/>
  <c r="J661" i="24"/>
  <c r="H661" i="24"/>
  <c r="F661" i="24"/>
  <c r="AG660" i="24"/>
  <c r="AF660" i="24"/>
  <c r="AD660" i="24"/>
  <c r="AC660" i="24"/>
  <c r="Z660" i="24"/>
  <c r="X660" i="24"/>
  <c r="T660" i="24"/>
  <c r="S660" i="24"/>
  <c r="R660" i="24"/>
  <c r="P660" i="24"/>
  <c r="N660" i="24"/>
  <c r="O660" i="24" s="1"/>
  <c r="M660" i="24"/>
  <c r="K660" i="24"/>
  <c r="J660" i="24"/>
  <c r="H660" i="24"/>
  <c r="F660" i="24"/>
  <c r="AG659" i="24"/>
  <c r="AF659" i="24"/>
  <c r="AD659" i="24"/>
  <c r="AC659" i="24"/>
  <c r="Z659" i="24"/>
  <c r="X659" i="24"/>
  <c r="T659" i="24"/>
  <c r="S659" i="24"/>
  <c r="R659" i="24"/>
  <c r="P659" i="24"/>
  <c r="N659" i="24"/>
  <c r="O659" i="24" s="1"/>
  <c r="M659" i="24"/>
  <c r="K659" i="24"/>
  <c r="J659" i="24"/>
  <c r="H659" i="24"/>
  <c r="F659" i="24"/>
  <c r="AG658" i="24"/>
  <c r="AF658" i="24"/>
  <c r="AD658" i="24"/>
  <c r="AC658" i="24"/>
  <c r="Z658" i="24"/>
  <c r="X658" i="24"/>
  <c r="T658" i="24"/>
  <c r="S658" i="24"/>
  <c r="R658" i="24"/>
  <c r="P658" i="24"/>
  <c r="N658" i="24"/>
  <c r="O658" i="24" s="1"/>
  <c r="M658" i="24"/>
  <c r="K658" i="24"/>
  <c r="J658" i="24"/>
  <c r="H658" i="24"/>
  <c r="F658" i="24"/>
  <c r="AG657" i="24"/>
  <c r="AF657" i="24"/>
  <c r="AD657" i="24"/>
  <c r="AC657" i="24"/>
  <c r="Z657" i="24"/>
  <c r="X657" i="24"/>
  <c r="T657" i="24"/>
  <c r="S657" i="24"/>
  <c r="R657" i="24"/>
  <c r="P657" i="24"/>
  <c r="N657" i="24"/>
  <c r="M657" i="24"/>
  <c r="K657" i="24"/>
  <c r="J657" i="24"/>
  <c r="H657" i="24"/>
  <c r="F657" i="24"/>
  <c r="AG656" i="24"/>
  <c r="AF656" i="24"/>
  <c r="AD656" i="24"/>
  <c r="AC656" i="24"/>
  <c r="Z656" i="24"/>
  <c r="X656" i="24"/>
  <c r="T656" i="24"/>
  <c r="S656" i="24"/>
  <c r="R656" i="24"/>
  <c r="P656" i="24"/>
  <c r="N656" i="24"/>
  <c r="O656" i="24" s="1"/>
  <c r="M656" i="24"/>
  <c r="K656" i="24"/>
  <c r="J656" i="24"/>
  <c r="H656" i="24"/>
  <c r="F656" i="24"/>
  <c r="AG655" i="24"/>
  <c r="AF655" i="24"/>
  <c r="AD655" i="24"/>
  <c r="AC655" i="24"/>
  <c r="Z655" i="24"/>
  <c r="X655" i="24"/>
  <c r="T655" i="24"/>
  <c r="S655" i="24"/>
  <c r="R655" i="24"/>
  <c r="P655" i="24"/>
  <c r="N655" i="24"/>
  <c r="M655" i="24"/>
  <c r="K655" i="24"/>
  <c r="J655" i="24"/>
  <c r="H655" i="24"/>
  <c r="F655" i="24"/>
  <c r="AG654" i="24"/>
  <c r="AF654" i="24"/>
  <c r="AD654" i="24"/>
  <c r="AC654" i="24"/>
  <c r="Z654" i="24"/>
  <c r="X654" i="24"/>
  <c r="T654" i="24"/>
  <c r="S654" i="24"/>
  <c r="R654" i="24"/>
  <c r="P654" i="24"/>
  <c r="N654" i="24"/>
  <c r="O654" i="24" s="1"/>
  <c r="M654" i="24"/>
  <c r="K654" i="24"/>
  <c r="J654" i="24"/>
  <c r="H654" i="24"/>
  <c r="F654" i="24"/>
  <c r="AG653" i="24"/>
  <c r="AF653" i="24"/>
  <c r="AD653" i="24"/>
  <c r="AC653" i="24"/>
  <c r="Z653" i="24"/>
  <c r="X653" i="24"/>
  <c r="T653" i="24"/>
  <c r="S653" i="24"/>
  <c r="R653" i="24"/>
  <c r="P653" i="24"/>
  <c r="N653" i="24"/>
  <c r="M653" i="24"/>
  <c r="K653" i="24"/>
  <c r="J653" i="24"/>
  <c r="H653" i="24"/>
  <c r="F653" i="24"/>
  <c r="AG652" i="24"/>
  <c r="AF652" i="24"/>
  <c r="AD652" i="24"/>
  <c r="AC652" i="24"/>
  <c r="Z652" i="24"/>
  <c r="X652" i="24"/>
  <c r="T652" i="24"/>
  <c r="S652" i="24"/>
  <c r="R652" i="24"/>
  <c r="P652" i="24"/>
  <c r="N652" i="24"/>
  <c r="O652" i="24" s="1"/>
  <c r="M652" i="24"/>
  <c r="K652" i="24"/>
  <c r="J652" i="24"/>
  <c r="H652" i="24"/>
  <c r="F652" i="24"/>
  <c r="AG651" i="24"/>
  <c r="AF651" i="24"/>
  <c r="AD651" i="24"/>
  <c r="AC651" i="24"/>
  <c r="Z651" i="24"/>
  <c r="X651" i="24"/>
  <c r="T672" i="24"/>
  <c r="S672" i="24"/>
  <c r="R672" i="24"/>
  <c r="P672" i="24"/>
  <c r="N672" i="24"/>
  <c r="O672" i="24" s="1"/>
  <c r="M672" i="24"/>
  <c r="K672" i="24"/>
  <c r="J672" i="24"/>
  <c r="H672" i="24"/>
  <c r="F672" i="24"/>
  <c r="AG650" i="24"/>
  <c r="AF650" i="24"/>
  <c r="AD650" i="24"/>
  <c r="AC650" i="24"/>
  <c r="Z650" i="24"/>
  <c r="X650" i="24"/>
  <c r="T650" i="24"/>
  <c r="S650" i="24"/>
  <c r="R650" i="24"/>
  <c r="P650" i="24"/>
  <c r="N650" i="24"/>
  <c r="O650" i="24" s="1"/>
  <c r="M650" i="24"/>
  <c r="K650" i="24"/>
  <c r="J650" i="24"/>
  <c r="H650" i="24"/>
  <c r="F650" i="24"/>
  <c r="AG649" i="24"/>
  <c r="AF649" i="24"/>
  <c r="AD649" i="24"/>
  <c r="AC649" i="24"/>
  <c r="Z649" i="24"/>
  <c r="X649" i="24"/>
  <c r="T649" i="24"/>
  <c r="S649" i="24"/>
  <c r="R649" i="24"/>
  <c r="P649" i="24"/>
  <c r="N649" i="24"/>
  <c r="O649" i="24" s="1"/>
  <c r="M649" i="24"/>
  <c r="K649" i="24"/>
  <c r="J649" i="24"/>
  <c r="H649" i="24"/>
  <c r="F649" i="24"/>
  <c r="AG648" i="24"/>
  <c r="AF648" i="24"/>
  <c r="AD648" i="24"/>
  <c r="AC648" i="24"/>
  <c r="Z648" i="24"/>
  <c r="X648" i="24"/>
  <c r="T648" i="24"/>
  <c r="S648" i="24"/>
  <c r="R648" i="24"/>
  <c r="P648" i="24"/>
  <c r="N648" i="24"/>
  <c r="O648" i="24" s="1"/>
  <c r="M648" i="24"/>
  <c r="K648" i="24"/>
  <c r="J648" i="24"/>
  <c r="H648" i="24"/>
  <c r="F648" i="24"/>
  <c r="AG647" i="24"/>
  <c r="AF647" i="24"/>
  <c r="AD647" i="24"/>
  <c r="AC647" i="24"/>
  <c r="Z647" i="24"/>
  <c r="X647" i="24"/>
  <c r="T647" i="24"/>
  <c r="S647" i="24"/>
  <c r="R647" i="24"/>
  <c r="P647" i="24"/>
  <c r="N647" i="24"/>
  <c r="O647" i="24" s="1"/>
  <c r="M647" i="24"/>
  <c r="K647" i="24"/>
  <c r="J647" i="24"/>
  <c r="H647" i="24"/>
  <c r="F647" i="24"/>
  <c r="AG646" i="24"/>
  <c r="AF646" i="24"/>
  <c r="AD646" i="24"/>
  <c r="AC646" i="24"/>
  <c r="Z646" i="24"/>
  <c r="X646" i="24"/>
  <c r="T646" i="24"/>
  <c r="S646" i="24"/>
  <c r="R646" i="24"/>
  <c r="P646" i="24"/>
  <c r="N646" i="24"/>
  <c r="O646" i="24" s="1"/>
  <c r="M646" i="24"/>
  <c r="K646" i="24"/>
  <c r="J646" i="24"/>
  <c r="H646" i="24"/>
  <c r="F646" i="24"/>
  <c r="AG645" i="24"/>
  <c r="AF645" i="24"/>
  <c r="AD645" i="24"/>
  <c r="AC645" i="24"/>
  <c r="Z645" i="24"/>
  <c r="X645" i="24"/>
  <c r="T645" i="24"/>
  <c r="S645" i="24"/>
  <c r="R645" i="24"/>
  <c r="P645" i="24"/>
  <c r="N645" i="24"/>
  <c r="O645" i="24" s="1"/>
  <c r="M645" i="24"/>
  <c r="K645" i="24"/>
  <c r="J645" i="24"/>
  <c r="H645" i="24"/>
  <c r="F645" i="24"/>
  <c r="AG644" i="24"/>
  <c r="AF644" i="24"/>
  <c r="AD644" i="24"/>
  <c r="AC644" i="24"/>
  <c r="Z644" i="24"/>
  <c r="X644" i="24"/>
  <c r="T644" i="24"/>
  <c r="S644" i="24"/>
  <c r="R644" i="24"/>
  <c r="P644" i="24"/>
  <c r="N644" i="24"/>
  <c r="M644" i="24"/>
  <c r="K644" i="24"/>
  <c r="J644" i="24"/>
  <c r="H644" i="24"/>
  <c r="F644" i="24"/>
  <c r="AG643" i="24"/>
  <c r="AF643" i="24"/>
  <c r="AD643" i="24"/>
  <c r="AC643" i="24"/>
  <c r="Z643" i="24"/>
  <c r="X643" i="24"/>
  <c r="T643" i="24"/>
  <c r="S643" i="24"/>
  <c r="R643" i="24"/>
  <c r="P643" i="24"/>
  <c r="N643" i="24"/>
  <c r="O643" i="24" s="1"/>
  <c r="M643" i="24"/>
  <c r="K643" i="24"/>
  <c r="J643" i="24"/>
  <c r="H643" i="24"/>
  <c r="F643" i="24"/>
  <c r="AG642" i="24"/>
  <c r="AF642" i="24"/>
  <c r="AD642" i="24"/>
  <c r="AC642" i="24"/>
  <c r="Z642" i="24"/>
  <c r="X642" i="24"/>
  <c r="T642" i="24"/>
  <c r="S642" i="24"/>
  <c r="R642" i="24"/>
  <c r="P642" i="24"/>
  <c r="N642" i="24"/>
  <c r="O642" i="24" s="1"/>
  <c r="M642" i="24"/>
  <c r="K642" i="24"/>
  <c r="J642" i="24"/>
  <c r="H642" i="24"/>
  <c r="F642" i="24"/>
  <c r="AG641" i="24"/>
  <c r="AF641" i="24"/>
  <c r="AD641" i="24"/>
  <c r="AC641" i="24"/>
  <c r="Z641" i="24"/>
  <c r="X641" i="24"/>
  <c r="T641" i="24"/>
  <c r="S641" i="24"/>
  <c r="R641" i="24"/>
  <c r="P641" i="24"/>
  <c r="N641" i="24"/>
  <c r="O641" i="24" s="1"/>
  <c r="M641" i="24"/>
  <c r="K641" i="24"/>
  <c r="J641" i="24"/>
  <c r="H641" i="24"/>
  <c r="F641" i="24"/>
  <c r="AG640" i="24"/>
  <c r="AF640" i="24"/>
  <c r="AD640" i="24"/>
  <c r="AC640" i="24"/>
  <c r="Z640" i="24"/>
  <c r="X640" i="24"/>
  <c r="T640" i="24"/>
  <c r="S640" i="24"/>
  <c r="R640" i="24"/>
  <c r="P640" i="24"/>
  <c r="N640" i="24"/>
  <c r="O640" i="24" s="1"/>
  <c r="M640" i="24"/>
  <c r="K640" i="24"/>
  <c r="J640" i="24"/>
  <c r="H640" i="24"/>
  <c r="F640" i="24"/>
  <c r="AG639" i="24"/>
  <c r="AF639" i="24"/>
  <c r="AD639" i="24"/>
  <c r="AC639" i="24"/>
  <c r="Z639" i="24"/>
  <c r="X639" i="24"/>
  <c r="T639" i="24"/>
  <c r="S639" i="24"/>
  <c r="R639" i="24"/>
  <c r="P639" i="24"/>
  <c r="N639" i="24"/>
  <c r="O639" i="24" s="1"/>
  <c r="M639" i="24"/>
  <c r="K639" i="24"/>
  <c r="J639" i="24"/>
  <c r="H639" i="24"/>
  <c r="F639" i="24"/>
  <c r="AG638" i="24"/>
  <c r="AF638" i="24"/>
  <c r="AD638" i="24"/>
  <c r="AC638" i="24"/>
  <c r="Z638" i="24"/>
  <c r="X638" i="24"/>
  <c r="T638" i="24"/>
  <c r="S638" i="24"/>
  <c r="R638" i="24"/>
  <c r="P638" i="24"/>
  <c r="N638" i="24"/>
  <c r="O638" i="24" s="1"/>
  <c r="M638" i="24"/>
  <c r="K638" i="24"/>
  <c r="J638" i="24"/>
  <c r="H638" i="24"/>
  <c r="F638" i="24"/>
  <c r="AG637" i="24"/>
  <c r="AF637" i="24"/>
  <c r="AD637" i="24"/>
  <c r="AC637" i="24"/>
  <c r="Z637" i="24"/>
  <c r="X637" i="24"/>
  <c r="T637" i="24"/>
  <c r="S637" i="24"/>
  <c r="R637" i="24"/>
  <c r="P637" i="24"/>
  <c r="N637" i="24"/>
  <c r="O637" i="24" s="1"/>
  <c r="M637" i="24"/>
  <c r="K637" i="24"/>
  <c r="J637" i="24"/>
  <c r="H637" i="24"/>
  <c r="F637" i="24"/>
  <c r="AG636" i="24"/>
  <c r="AF636" i="24"/>
  <c r="AD636" i="24"/>
  <c r="AC636" i="24"/>
  <c r="Z636" i="24"/>
  <c r="X636" i="24"/>
  <c r="T636" i="24"/>
  <c r="S636" i="24"/>
  <c r="R636" i="24"/>
  <c r="P636" i="24"/>
  <c r="N636" i="24"/>
  <c r="O636" i="24" s="1"/>
  <c r="M636" i="24"/>
  <c r="K636" i="24"/>
  <c r="J636" i="24"/>
  <c r="H636" i="24"/>
  <c r="F636" i="24"/>
  <c r="AG635" i="24"/>
  <c r="AF635" i="24"/>
  <c r="AD635" i="24"/>
  <c r="AC635" i="24"/>
  <c r="Z635" i="24"/>
  <c r="X635" i="24"/>
  <c r="T635" i="24"/>
  <c r="S635" i="24"/>
  <c r="R635" i="24"/>
  <c r="P635" i="24"/>
  <c r="N635" i="24"/>
  <c r="O635" i="24" s="1"/>
  <c r="M635" i="24"/>
  <c r="K635" i="24"/>
  <c r="J635" i="24"/>
  <c r="H635" i="24"/>
  <c r="F635" i="24"/>
  <c r="AG634" i="24"/>
  <c r="AF634" i="24"/>
  <c r="AD634" i="24"/>
  <c r="AC634" i="24"/>
  <c r="Z634" i="24"/>
  <c r="X634" i="24"/>
  <c r="T634" i="24"/>
  <c r="S634" i="24"/>
  <c r="R634" i="24"/>
  <c r="P634" i="24"/>
  <c r="N634" i="24"/>
  <c r="M634" i="24"/>
  <c r="K634" i="24"/>
  <c r="J634" i="24"/>
  <c r="H634" i="24"/>
  <c r="F634" i="24"/>
  <c r="AG633" i="24"/>
  <c r="AF633" i="24"/>
  <c r="AD633" i="24"/>
  <c r="AC633" i="24"/>
  <c r="Z633" i="24"/>
  <c r="X633" i="24"/>
  <c r="T633" i="24"/>
  <c r="S633" i="24"/>
  <c r="R633" i="24"/>
  <c r="P633" i="24"/>
  <c r="N633" i="24"/>
  <c r="M633" i="24"/>
  <c r="K633" i="24"/>
  <c r="J633" i="24"/>
  <c r="H633" i="24"/>
  <c r="F633" i="24"/>
  <c r="AG632" i="24"/>
  <c r="AF632" i="24"/>
  <c r="AD632" i="24"/>
  <c r="AC632" i="24"/>
  <c r="Z632" i="24"/>
  <c r="X632" i="24"/>
  <c r="T668" i="24"/>
  <c r="S668" i="24"/>
  <c r="R668" i="24"/>
  <c r="P668" i="24"/>
  <c r="N668" i="24"/>
  <c r="O668" i="24" s="1"/>
  <c r="M668" i="24"/>
  <c r="K668" i="24"/>
  <c r="J668" i="24"/>
  <c r="H668" i="24"/>
  <c r="F668" i="24"/>
  <c r="AG631" i="24"/>
  <c r="AF631" i="24"/>
  <c r="AD631" i="24"/>
  <c r="AC631" i="24"/>
  <c r="Z631" i="24"/>
  <c r="X631" i="24"/>
  <c r="T631" i="24"/>
  <c r="S631" i="24"/>
  <c r="R631" i="24"/>
  <c r="P631" i="24"/>
  <c r="N631" i="24"/>
  <c r="M631" i="24"/>
  <c r="K631" i="24"/>
  <c r="J631" i="24"/>
  <c r="H631" i="24"/>
  <c r="F631" i="24"/>
  <c r="AG630" i="24"/>
  <c r="AF630" i="24"/>
  <c r="AD630" i="24"/>
  <c r="AC630" i="24"/>
  <c r="Z630" i="24"/>
  <c r="X630" i="24"/>
  <c r="T630" i="24"/>
  <c r="S630" i="24"/>
  <c r="R630" i="24"/>
  <c r="P630" i="24"/>
  <c r="N630" i="24"/>
  <c r="M630" i="24"/>
  <c r="K630" i="24"/>
  <c r="J630" i="24"/>
  <c r="H630" i="24"/>
  <c r="F630" i="24"/>
  <c r="AG629" i="24"/>
  <c r="AF629" i="24"/>
  <c r="AD629" i="24"/>
  <c r="AC629" i="24"/>
  <c r="Z629" i="24"/>
  <c r="X629" i="24"/>
  <c r="T629" i="24"/>
  <c r="S629" i="24"/>
  <c r="R629" i="24"/>
  <c r="P629" i="24"/>
  <c r="N629" i="24"/>
  <c r="O629" i="24" s="1"/>
  <c r="M629" i="24"/>
  <c r="K629" i="24"/>
  <c r="J629" i="24"/>
  <c r="H629" i="24"/>
  <c r="F629" i="24"/>
  <c r="AG628" i="24"/>
  <c r="AF628" i="24"/>
  <c r="AD628" i="24"/>
  <c r="AC628" i="24"/>
  <c r="Z628" i="24"/>
  <c r="X628" i="24"/>
  <c r="T628" i="24"/>
  <c r="S628" i="24"/>
  <c r="R628" i="24"/>
  <c r="P628" i="24"/>
  <c r="N628" i="24"/>
  <c r="M628" i="24"/>
  <c r="K628" i="24"/>
  <c r="J628" i="24"/>
  <c r="H628" i="24"/>
  <c r="F628" i="24"/>
  <c r="AG627" i="24"/>
  <c r="AF627" i="24"/>
  <c r="AD627" i="24"/>
  <c r="AC627" i="24"/>
  <c r="Z627" i="24"/>
  <c r="X627" i="24"/>
  <c r="T627" i="24"/>
  <c r="S627" i="24"/>
  <c r="R627" i="24"/>
  <c r="P627" i="24"/>
  <c r="N627" i="24"/>
  <c r="O627" i="24" s="1"/>
  <c r="M627" i="24"/>
  <c r="K627" i="24"/>
  <c r="J627" i="24"/>
  <c r="H627" i="24"/>
  <c r="F627" i="24"/>
  <c r="AG626" i="24"/>
  <c r="AF626" i="24"/>
  <c r="AD626" i="24"/>
  <c r="AC626" i="24"/>
  <c r="Z626" i="24"/>
  <c r="X626" i="24"/>
  <c r="T626" i="24"/>
  <c r="S626" i="24"/>
  <c r="R626" i="24"/>
  <c r="P626" i="24"/>
  <c r="N626" i="24"/>
  <c r="M626" i="24"/>
  <c r="K626" i="24"/>
  <c r="J626" i="24"/>
  <c r="H626" i="24"/>
  <c r="F626" i="24"/>
  <c r="AG625" i="24"/>
  <c r="AF625" i="24"/>
  <c r="AD625" i="24"/>
  <c r="AC625" i="24"/>
  <c r="Z625" i="24"/>
  <c r="X625" i="24"/>
  <c r="T625" i="24"/>
  <c r="S625" i="24"/>
  <c r="R625" i="24"/>
  <c r="P625" i="24"/>
  <c r="N625" i="24"/>
  <c r="O625" i="24" s="1"/>
  <c r="M625" i="24"/>
  <c r="K625" i="24"/>
  <c r="J625" i="24"/>
  <c r="H625" i="24"/>
  <c r="F625" i="24"/>
  <c r="AG624" i="24"/>
  <c r="AF624" i="24"/>
  <c r="AD624" i="24"/>
  <c r="AC624" i="24"/>
  <c r="Z624" i="24"/>
  <c r="X624" i="24"/>
  <c r="T624" i="24"/>
  <c r="S624" i="24"/>
  <c r="R624" i="24"/>
  <c r="P624" i="24"/>
  <c r="N624" i="24"/>
  <c r="O624" i="24" s="1"/>
  <c r="M624" i="24"/>
  <c r="K624" i="24"/>
  <c r="J624" i="24"/>
  <c r="H624" i="24"/>
  <c r="F624" i="24"/>
  <c r="AG623" i="24"/>
  <c r="AF623" i="24"/>
  <c r="AD623" i="24"/>
  <c r="AC623" i="24"/>
  <c r="Z623" i="24"/>
  <c r="X623" i="24"/>
  <c r="T623" i="24"/>
  <c r="S623" i="24"/>
  <c r="R623" i="24"/>
  <c r="P623" i="24"/>
  <c r="N623" i="24"/>
  <c r="O623" i="24" s="1"/>
  <c r="M623" i="24"/>
  <c r="K623" i="24"/>
  <c r="J623" i="24"/>
  <c r="H623" i="24"/>
  <c r="F623" i="24"/>
  <c r="AG622" i="24"/>
  <c r="AF622" i="24"/>
  <c r="AD622" i="24"/>
  <c r="AC622" i="24"/>
  <c r="Z622" i="24"/>
  <c r="X622" i="24"/>
  <c r="T622" i="24"/>
  <c r="S622" i="24"/>
  <c r="R622" i="24"/>
  <c r="P622" i="24"/>
  <c r="N622" i="24"/>
  <c r="O622" i="24" s="1"/>
  <c r="M622" i="24"/>
  <c r="K622" i="24"/>
  <c r="J622" i="24"/>
  <c r="H622" i="24"/>
  <c r="F622" i="24"/>
  <c r="AG621" i="24"/>
  <c r="AF621" i="24"/>
  <c r="AD621" i="24"/>
  <c r="AC621" i="24"/>
  <c r="Z621" i="24"/>
  <c r="X621" i="24"/>
  <c r="T621" i="24"/>
  <c r="S621" i="24"/>
  <c r="R621" i="24"/>
  <c r="P621" i="24"/>
  <c r="N621" i="24"/>
  <c r="M621" i="24"/>
  <c r="K621" i="24"/>
  <c r="J621" i="24"/>
  <c r="H621" i="24"/>
  <c r="F621" i="24"/>
  <c r="AG620" i="24"/>
  <c r="AF620" i="24"/>
  <c r="AD620" i="24"/>
  <c r="AC620" i="24"/>
  <c r="Z620" i="24"/>
  <c r="X620" i="24"/>
  <c r="T620" i="24"/>
  <c r="S620" i="24"/>
  <c r="R620" i="24"/>
  <c r="P620" i="24"/>
  <c r="N620" i="24"/>
  <c r="O620" i="24" s="1"/>
  <c r="M620" i="24"/>
  <c r="K620" i="24"/>
  <c r="J620" i="24"/>
  <c r="H620" i="24"/>
  <c r="F620" i="24"/>
  <c r="AG619" i="24"/>
  <c r="AF619" i="24"/>
  <c r="AD619" i="24"/>
  <c r="AC619" i="24"/>
  <c r="Z619" i="24"/>
  <c r="X619" i="24"/>
  <c r="T619" i="24"/>
  <c r="S619" i="24"/>
  <c r="R619" i="24"/>
  <c r="P619" i="24"/>
  <c r="N619" i="24"/>
  <c r="M619" i="24"/>
  <c r="K619" i="24"/>
  <c r="J619" i="24"/>
  <c r="H619" i="24"/>
  <c r="F619" i="24"/>
  <c r="AG618" i="24"/>
  <c r="AF618" i="24"/>
  <c r="AD618" i="24"/>
  <c r="AC618" i="24"/>
  <c r="Z618" i="24"/>
  <c r="X618" i="24"/>
  <c r="T618" i="24"/>
  <c r="S618" i="24"/>
  <c r="R618" i="24"/>
  <c r="P618" i="24"/>
  <c r="N618" i="24"/>
  <c r="O618" i="24" s="1"/>
  <c r="M618" i="24"/>
  <c r="K618" i="24"/>
  <c r="J618" i="24"/>
  <c r="H618" i="24"/>
  <c r="F618" i="24"/>
  <c r="AG617" i="24"/>
  <c r="AF617" i="24"/>
  <c r="AD617" i="24"/>
  <c r="AC617" i="24"/>
  <c r="Z617" i="24"/>
  <c r="X617" i="24"/>
  <c r="T617" i="24"/>
  <c r="S617" i="24"/>
  <c r="R617" i="24"/>
  <c r="P617" i="24"/>
  <c r="N617" i="24"/>
  <c r="M617" i="24"/>
  <c r="K617" i="24"/>
  <c r="J617" i="24"/>
  <c r="H617" i="24"/>
  <c r="F617" i="24"/>
  <c r="AG616" i="24"/>
  <c r="AF616" i="24"/>
  <c r="AD616" i="24"/>
  <c r="AC616" i="24"/>
  <c r="Z616" i="24"/>
  <c r="X616" i="24"/>
  <c r="T616" i="24"/>
  <c r="S616" i="24"/>
  <c r="R616" i="24"/>
  <c r="P616" i="24"/>
  <c r="N616" i="24"/>
  <c r="O616" i="24" s="1"/>
  <c r="M616" i="24"/>
  <c r="K616" i="24"/>
  <c r="J616" i="24"/>
  <c r="H616" i="24"/>
  <c r="F616" i="24"/>
  <c r="AG615" i="24"/>
  <c r="AF615" i="24"/>
  <c r="AD615" i="24"/>
  <c r="AC615" i="24"/>
  <c r="Z615" i="24"/>
  <c r="X615" i="24"/>
  <c r="T667" i="24"/>
  <c r="S667" i="24"/>
  <c r="R667" i="24"/>
  <c r="P667" i="24"/>
  <c r="N667" i="24"/>
  <c r="O667" i="24" s="1"/>
  <c r="M667" i="24"/>
  <c r="K667" i="24"/>
  <c r="J667" i="24"/>
  <c r="H667" i="24"/>
  <c r="F667" i="24"/>
  <c r="AG614" i="24"/>
  <c r="AF614" i="24"/>
  <c r="AD614" i="24"/>
  <c r="AC614" i="24"/>
  <c r="Z614" i="24"/>
  <c r="X614" i="24"/>
  <c r="T614" i="24"/>
  <c r="S614" i="24"/>
  <c r="R614" i="24"/>
  <c r="P614" i="24"/>
  <c r="N614" i="24"/>
  <c r="O614" i="24" s="1"/>
  <c r="M614" i="24"/>
  <c r="K614" i="24"/>
  <c r="J614" i="24"/>
  <c r="H614" i="24"/>
  <c r="F614" i="24"/>
  <c r="AG613" i="24"/>
  <c r="AF613" i="24"/>
  <c r="AD613" i="24"/>
  <c r="AC613" i="24"/>
  <c r="Z613" i="24"/>
  <c r="X613" i="24"/>
  <c r="T613" i="24"/>
  <c r="S613" i="24"/>
  <c r="R613" i="24"/>
  <c r="P613" i="24"/>
  <c r="N613" i="24"/>
  <c r="M613" i="24"/>
  <c r="K613" i="24"/>
  <c r="J613" i="24"/>
  <c r="H613" i="24"/>
  <c r="F613" i="24"/>
  <c r="AG612" i="24"/>
  <c r="AF612" i="24"/>
  <c r="AD612" i="24"/>
  <c r="AC612" i="24"/>
  <c r="Z612" i="24"/>
  <c r="X612" i="24"/>
  <c r="T612" i="24"/>
  <c r="S612" i="24"/>
  <c r="R612" i="24"/>
  <c r="P612" i="24"/>
  <c r="N612" i="24"/>
  <c r="O612" i="24" s="1"/>
  <c r="M612" i="24"/>
  <c r="K612" i="24"/>
  <c r="J612" i="24"/>
  <c r="H612" i="24"/>
  <c r="F612" i="24"/>
  <c r="AG611" i="24"/>
  <c r="AF611" i="24"/>
  <c r="AD611" i="24"/>
  <c r="AC611" i="24"/>
  <c r="Z611" i="24"/>
  <c r="X611" i="24"/>
  <c r="T611" i="24"/>
  <c r="S611" i="24"/>
  <c r="R611" i="24"/>
  <c r="P611" i="24"/>
  <c r="N611" i="24"/>
  <c r="O611" i="24" s="1"/>
  <c r="M611" i="24"/>
  <c r="K611" i="24"/>
  <c r="J611" i="24"/>
  <c r="H611" i="24"/>
  <c r="F611" i="24"/>
  <c r="AG610" i="24"/>
  <c r="AF610" i="24"/>
  <c r="AD610" i="24"/>
  <c r="AC610" i="24"/>
  <c r="Z610" i="24"/>
  <c r="X610" i="24"/>
  <c r="T610" i="24"/>
  <c r="S610" i="24"/>
  <c r="R610" i="24"/>
  <c r="P610" i="24"/>
  <c r="N610" i="24"/>
  <c r="O610" i="24" s="1"/>
  <c r="M610" i="24"/>
  <c r="K610" i="24"/>
  <c r="J610" i="24"/>
  <c r="H610" i="24"/>
  <c r="F610" i="24"/>
  <c r="AG609" i="24"/>
  <c r="AF609" i="24"/>
  <c r="AD609" i="24"/>
  <c r="AC609" i="24"/>
  <c r="Z609" i="24"/>
  <c r="X609" i="24"/>
  <c r="T609" i="24"/>
  <c r="S609" i="24"/>
  <c r="R609" i="24"/>
  <c r="P609" i="24"/>
  <c r="N609" i="24"/>
  <c r="O609" i="24" s="1"/>
  <c r="M609" i="24"/>
  <c r="K609" i="24"/>
  <c r="J609" i="24"/>
  <c r="H609" i="24"/>
  <c r="F609" i="24"/>
  <c r="AG608" i="24"/>
  <c r="AF608" i="24"/>
  <c r="AD608" i="24"/>
  <c r="AC608" i="24"/>
  <c r="AB608" i="24"/>
  <c r="Z608" i="24"/>
  <c r="X608" i="24"/>
  <c r="T608" i="24"/>
  <c r="S608" i="24"/>
  <c r="R608" i="24"/>
  <c r="P608" i="24"/>
  <c r="N608" i="24"/>
  <c r="AA608" i="24" s="1"/>
  <c r="M608" i="24"/>
  <c r="K608" i="24"/>
  <c r="J608" i="24"/>
  <c r="H608" i="24"/>
  <c r="F608" i="24"/>
  <c r="AG607" i="24"/>
  <c r="AF607" i="24"/>
  <c r="AD607" i="24"/>
  <c r="AC607" i="24"/>
  <c r="Z607" i="24"/>
  <c r="X607" i="24"/>
  <c r="T607" i="24"/>
  <c r="S607" i="24"/>
  <c r="R607" i="24"/>
  <c r="P607" i="24"/>
  <c r="N607" i="24"/>
  <c r="O607" i="24" s="1"/>
  <c r="M607" i="24"/>
  <c r="K607" i="24"/>
  <c r="J607" i="24"/>
  <c r="H607" i="24"/>
  <c r="F607" i="24"/>
  <c r="AG606" i="24"/>
  <c r="AF606" i="24"/>
  <c r="AD606" i="24"/>
  <c r="AC606" i="24"/>
  <c r="Z606" i="24"/>
  <c r="X606" i="24"/>
  <c r="T606" i="24"/>
  <c r="S606" i="24"/>
  <c r="R606" i="24"/>
  <c r="P606" i="24"/>
  <c r="N606" i="24"/>
  <c r="O606" i="24" s="1"/>
  <c r="M606" i="24"/>
  <c r="K606" i="24"/>
  <c r="J606" i="24"/>
  <c r="H606" i="24"/>
  <c r="F606" i="24"/>
  <c r="AG605" i="24"/>
  <c r="AF605" i="24"/>
  <c r="AD605" i="24"/>
  <c r="AC605" i="24"/>
  <c r="Z605" i="24"/>
  <c r="X605" i="24"/>
  <c r="T605" i="24"/>
  <c r="S605" i="24"/>
  <c r="R605" i="24"/>
  <c r="P605" i="24"/>
  <c r="N605" i="24"/>
  <c r="O605" i="24" s="1"/>
  <c r="M605" i="24"/>
  <c r="K605" i="24"/>
  <c r="J605" i="24"/>
  <c r="H605" i="24"/>
  <c r="F605" i="24"/>
  <c r="AG604" i="24"/>
  <c r="AF604" i="24"/>
  <c r="AD604" i="24"/>
  <c r="AC604" i="24"/>
  <c r="Z604" i="24"/>
  <c r="X604" i="24"/>
  <c r="T604" i="24"/>
  <c r="S604" i="24"/>
  <c r="R604" i="24"/>
  <c r="P604" i="24"/>
  <c r="N604" i="24"/>
  <c r="O604" i="24" s="1"/>
  <c r="M604" i="24"/>
  <c r="K604" i="24"/>
  <c r="J604" i="24"/>
  <c r="H604" i="24"/>
  <c r="F604" i="24"/>
  <c r="AG603" i="24"/>
  <c r="AF603" i="24"/>
  <c r="AD603" i="24"/>
  <c r="AC603" i="24"/>
  <c r="Z603" i="24"/>
  <c r="X603" i="24"/>
  <c r="T603" i="24"/>
  <c r="S603" i="24"/>
  <c r="R603" i="24"/>
  <c r="P603" i="24"/>
  <c r="N603" i="24"/>
  <c r="O603" i="24" s="1"/>
  <c r="M603" i="24"/>
  <c r="K603" i="24"/>
  <c r="J603" i="24"/>
  <c r="H603" i="24"/>
  <c r="F603" i="24"/>
  <c r="AG602" i="24"/>
  <c r="AF602" i="24"/>
  <c r="AD602" i="24"/>
  <c r="AC602" i="24"/>
  <c r="Z602" i="24"/>
  <c r="X602" i="24"/>
  <c r="T602" i="24"/>
  <c r="S602" i="24"/>
  <c r="R602" i="24"/>
  <c r="P602" i="24"/>
  <c r="N602" i="24"/>
  <c r="O602" i="24" s="1"/>
  <c r="M602" i="24"/>
  <c r="K602" i="24"/>
  <c r="J602" i="24"/>
  <c r="H602" i="24"/>
  <c r="F602" i="24"/>
  <c r="AG601" i="24"/>
  <c r="AF601" i="24"/>
  <c r="AD601" i="24"/>
  <c r="AC601" i="24"/>
  <c r="Z601" i="24"/>
  <c r="X601" i="24"/>
  <c r="T601" i="24"/>
  <c r="S601" i="24"/>
  <c r="R601" i="24"/>
  <c r="P601" i="24"/>
  <c r="N601" i="24"/>
  <c r="M601" i="24"/>
  <c r="K601" i="24"/>
  <c r="J601" i="24"/>
  <c r="H601" i="24"/>
  <c r="F601" i="24"/>
  <c r="AG600" i="24"/>
  <c r="AF600" i="24"/>
  <c r="AD600" i="24"/>
  <c r="AC600" i="24"/>
  <c r="Z600" i="24"/>
  <c r="X600" i="24"/>
  <c r="T600" i="24"/>
  <c r="S600" i="24"/>
  <c r="R600" i="24"/>
  <c r="P600" i="24"/>
  <c r="N600" i="24"/>
  <c r="M600" i="24"/>
  <c r="K600" i="24"/>
  <c r="J600" i="24"/>
  <c r="H600" i="24"/>
  <c r="F600" i="24"/>
  <c r="AG599" i="24"/>
  <c r="AF599" i="24"/>
  <c r="AD599" i="24"/>
  <c r="AC599" i="24"/>
  <c r="Z599" i="24"/>
  <c r="X599" i="24"/>
  <c r="T599" i="24"/>
  <c r="S599" i="24"/>
  <c r="R599" i="24"/>
  <c r="P599" i="24"/>
  <c r="N599" i="24"/>
  <c r="O599" i="24" s="1"/>
  <c r="M599" i="24"/>
  <c r="K599" i="24"/>
  <c r="J599" i="24"/>
  <c r="H599" i="24"/>
  <c r="F599" i="24"/>
  <c r="AG598" i="24"/>
  <c r="AF598" i="24"/>
  <c r="AD598" i="24"/>
  <c r="AC598" i="24"/>
  <c r="Z598" i="24"/>
  <c r="X598" i="24"/>
  <c r="T598" i="24"/>
  <c r="S598" i="24"/>
  <c r="R598" i="24"/>
  <c r="P598" i="24"/>
  <c r="N598" i="24"/>
  <c r="O598" i="24" s="1"/>
  <c r="M598" i="24"/>
  <c r="K598" i="24"/>
  <c r="J598" i="24"/>
  <c r="H598" i="24"/>
  <c r="F598" i="24"/>
  <c r="AG597" i="24"/>
  <c r="AF597" i="24"/>
  <c r="AD597" i="24"/>
  <c r="AC597" i="24"/>
  <c r="Z597" i="24"/>
  <c r="X597" i="24"/>
  <c r="T597" i="24"/>
  <c r="S597" i="24"/>
  <c r="R597" i="24"/>
  <c r="P597" i="24"/>
  <c r="N597" i="24"/>
  <c r="M597" i="24"/>
  <c r="K597" i="24"/>
  <c r="J597" i="24"/>
  <c r="H597" i="24"/>
  <c r="F597" i="24"/>
  <c r="AG596" i="24"/>
  <c r="AF596" i="24"/>
  <c r="AD596" i="24"/>
  <c r="AC596" i="24"/>
  <c r="Z596" i="24"/>
  <c r="X596" i="24"/>
  <c r="T651" i="24"/>
  <c r="S651" i="24"/>
  <c r="R651" i="24"/>
  <c r="P651" i="24"/>
  <c r="N651" i="24"/>
  <c r="O651" i="24" s="1"/>
  <c r="M651" i="24"/>
  <c r="K651" i="24"/>
  <c r="J651" i="24"/>
  <c r="H651" i="24"/>
  <c r="F651" i="24"/>
  <c r="AG595" i="24"/>
  <c r="AF595" i="24"/>
  <c r="AD595" i="24"/>
  <c r="AC595" i="24"/>
  <c r="Z595" i="24"/>
  <c r="X595" i="24"/>
  <c r="T595" i="24"/>
  <c r="S595" i="24"/>
  <c r="R595" i="24"/>
  <c r="P595" i="24"/>
  <c r="N595" i="24"/>
  <c r="O595" i="24" s="1"/>
  <c r="M595" i="24"/>
  <c r="K595" i="24"/>
  <c r="J595" i="24"/>
  <c r="H595" i="24"/>
  <c r="F595" i="24"/>
  <c r="AG594" i="24"/>
  <c r="AF594" i="24"/>
  <c r="AD594" i="24"/>
  <c r="AC594" i="24"/>
  <c r="Z594" i="24"/>
  <c r="X594" i="24"/>
  <c r="T594" i="24"/>
  <c r="S594" i="24"/>
  <c r="R594" i="24"/>
  <c r="P594" i="24"/>
  <c r="N594" i="24"/>
  <c r="O594" i="24" s="1"/>
  <c r="M594" i="24"/>
  <c r="K594" i="24"/>
  <c r="J594" i="24"/>
  <c r="H594" i="24"/>
  <c r="F594" i="24"/>
  <c r="AG593" i="24"/>
  <c r="AF593" i="24"/>
  <c r="AD593" i="24"/>
  <c r="AC593" i="24"/>
  <c r="Z593" i="24"/>
  <c r="X593" i="24"/>
  <c r="T593" i="24"/>
  <c r="S593" i="24"/>
  <c r="R593" i="24"/>
  <c r="P593" i="24"/>
  <c r="N593" i="24"/>
  <c r="O593" i="24" s="1"/>
  <c r="M593" i="24"/>
  <c r="K593" i="24"/>
  <c r="J593" i="24"/>
  <c r="H593" i="24"/>
  <c r="F593" i="24"/>
  <c r="AG592" i="24"/>
  <c r="AF592" i="24"/>
  <c r="AD592" i="24"/>
  <c r="AC592" i="24"/>
  <c r="Z592" i="24"/>
  <c r="X592" i="24"/>
  <c r="T592" i="24"/>
  <c r="S592" i="24"/>
  <c r="R592" i="24"/>
  <c r="P592" i="24"/>
  <c r="N592" i="24"/>
  <c r="M592" i="24"/>
  <c r="K592" i="24"/>
  <c r="J592" i="24"/>
  <c r="H592" i="24"/>
  <c r="F592" i="24"/>
  <c r="AG591" i="24"/>
  <c r="AF591" i="24"/>
  <c r="AD591" i="24"/>
  <c r="AC591" i="24"/>
  <c r="Z591" i="24"/>
  <c r="X591" i="24"/>
  <c r="T591" i="24"/>
  <c r="S591" i="24"/>
  <c r="R591" i="24"/>
  <c r="P591" i="24"/>
  <c r="N591" i="24"/>
  <c r="O591" i="24" s="1"/>
  <c r="M591" i="24"/>
  <c r="K591" i="24"/>
  <c r="J591" i="24"/>
  <c r="H591" i="24"/>
  <c r="F591" i="24"/>
  <c r="AG590" i="24"/>
  <c r="AF590" i="24"/>
  <c r="AD590" i="24"/>
  <c r="AC590" i="24"/>
  <c r="Z590" i="24"/>
  <c r="X590" i="24"/>
  <c r="T590" i="24"/>
  <c r="S590" i="24"/>
  <c r="R590" i="24"/>
  <c r="P590" i="24"/>
  <c r="N590" i="24"/>
  <c r="O590" i="24" s="1"/>
  <c r="M590" i="24"/>
  <c r="K590" i="24"/>
  <c r="J590" i="24"/>
  <c r="H590" i="24"/>
  <c r="F590" i="24"/>
  <c r="AG589" i="24"/>
  <c r="AF589" i="24"/>
  <c r="AD589" i="24"/>
  <c r="AC589" i="24"/>
  <c r="Z589" i="24"/>
  <c r="X589" i="24"/>
  <c r="T589" i="24"/>
  <c r="S589" i="24"/>
  <c r="R589" i="24"/>
  <c r="P589" i="24"/>
  <c r="N589" i="24"/>
  <c r="O589" i="24" s="1"/>
  <c r="M589" i="24"/>
  <c r="K589" i="24"/>
  <c r="J589" i="24"/>
  <c r="H589" i="24"/>
  <c r="F589" i="24"/>
  <c r="AG588" i="24"/>
  <c r="AF588" i="24"/>
  <c r="AD588" i="24"/>
  <c r="AC588" i="24"/>
  <c r="Z588" i="24"/>
  <c r="X588" i="24"/>
  <c r="T588" i="24"/>
  <c r="S588" i="24"/>
  <c r="R588" i="24"/>
  <c r="P588" i="24"/>
  <c r="N588" i="24"/>
  <c r="O588" i="24" s="1"/>
  <c r="M588" i="24"/>
  <c r="K588" i="24"/>
  <c r="J588" i="24"/>
  <c r="H588" i="24"/>
  <c r="F588" i="24"/>
  <c r="AG587" i="24"/>
  <c r="AF587" i="24"/>
  <c r="AD587" i="24"/>
  <c r="AC587" i="24"/>
  <c r="Z587" i="24"/>
  <c r="X587" i="24"/>
  <c r="T587" i="24"/>
  <c r="S587" i="24"/>
  <c r="R587" i="24"/>
  <c r="P587" i="24"/>
  <c r="N587" i="24"/>
  <c r="O587" i="24" s="1"/>
  <c r="M587" i="24"/>
  <c r="K587" i="24"/>
  <c r="J587" i="24"/>
  <c r="H587" i="24"/>
  <c r="F587" i="24"/>
  <c r="AG586" i="24"/>
  <c r="AF586" i="24"/>
  <c r="AD586" i="24"/>
  <c r="AC586" i="24"/>
  <c r="Z586" i="24"/>
  <c r="X586" i="24"/>
  <c r="T586" i="24"/>
  <c r="S586" i="24"/>
  <c r="R586" i="24"/>
  <c r="P586" i="24"/>
  <c r="N586" i="24"/>
  <c r="O586" i="24" s="1"/>
  <c r="M586" i="24"/>
  <c r="K586" i="24"/>
  <c r="J586" i="24"/>
  <c r="H586" i="24"/>
  <c r="F586" i="24"/>
  <c r="AG585" i="24"/>
  <c r="AF585" i="24"/>
  <c r="AD585" i="24"/>
  <c r="AC585" i="24"/>
  <c r="Z585" i="24"/>
  <c r="X585" i="24"/>
  <c r="T632" i="24"/>
  <c r="S632" i="24"/>
  <c r="R632" i="24"/>
  <c r="P632" i="24"/>
  <c r="N632" i="24"/>
  <c r="O632" i="24" s="1"/>
  <c r="M632" i="24"/>
  <c r="K632" i="24"/>
  <c r="J632" i="24"/>
  <c r="H632" i="24"/>
  <c r="F632" i="24"/>
  <c r="AG584" i="24"/>
  <c r="AF584" i="24"/>
  <c r="AD584" i="24"/>
  <c r="AC584" i="24"/>
  <c r="Z584" i="24"/>
  <c r="X584" i="24"/>
  <c r="T615" i="24"/>
  <c r="S615" i="24"/>
  <c r="R615" i="24"/>
  <c r="P615" i="24"/>
  <c r="N615" i="24"/>
  <c r="O615" i="24" s="1"/>
  <c r="M615" i="24"/>
  <c r="K615" i="24"/>
  <c r="J615" i="24"/>
  <c r="H615" i="24"/>
  <c r="F615" i="24"/>
  <c r="AG583" i="24"/>
  <c r="AF583" i="24"/>
  <c r="AD583" i="24"/>
  <c r="AC583" i="24"/>
  <c r="Z583" i="24"/>
  <c r="X583" i="24"/>
  <c r="T583" i="24"/>
  <c r="S583" i="24"/>
  <c r="R583" i="24"/>
  <c r="P583" i="24"/>
  <c r="N583" i="24"/>
  <c r="O583" i="24" s="1"/>
  <c r="M583" i="24"/>
  <c r="K583" i="24"/>
  <c r="J583" i="24"/>
  <c r="H583" i="24"/>
  <c r="F583" i="24"/>
  <c r="AG582" i="24"/>
  <c r="AF582" i="24"/>
  <c r="AD582" i="24"/>
  <c r="AC582" i="24"/>
  <c r="Z582" i="24"/>
  <c r="X582" i="24"/>
  <c r="T582" i="24"/>
  <c r="S582" i="24"/>
  <c r="R582" i="24"/>
  <c r="P582" i="24"/>
  <c r="N582" i="24"/>
  <c r="M582" i="24"/>
  <c r="K582" i="24"/>
  <c r="J582" i="24"/>
  <c r="H582" i="24"/>
  <c r="F582" i="24"/>
  <c r="AG581" i="24"/>
  <c r="AF581" i="24"/>
  <c r="AD581" i="24"/>
  <c r="AC581" i="24"/>
  <c r="Z581" i="24"/>
  <c r="X581" i="24"/>
  <c r="T581" i="24"/>
  <c r="S581" i="24"/>
  <c r="R581" i="24"/>
  <c r="P581" i="24"/>
  <c r="N581" i="24"/>
  <c r="M581" i="24"/>
  <c r="K581" i="24"/>
  <c r="J581" i="24"/>
  <c r="H581" i="24"/>
  <c r="F581" i="24"/>
  <c r="AG580" i="24"/>
  <c r="AF580" i="24"/>
  <c r="AD580" i="24"/>
  <c r="AC580" i="24"/>
  <c r="Z580" i="24"/>
  <c r="X580" i="24"/>
  <c r="T580" i="24"/>
  <c r="S580" i="24"/>
  <c r="R580" i="24"/>
  <c r="P580" i="24"/>
  <c r="N580" i="24"/>
  <c r="O580" i="24" s="1"/>
  <c r="M580" i="24"/>
  <c r="K580" i="24"/>
  <c r="J580" i="24"/>
  <c r="H580" i="24"/>
  <c r="F580" i="24"/>
  <c r="AG579" i="24"/>
  <c r="AF579" i="24"/>
  <c r="AD579" i="24"/>
  <c r="AC579" i="24"/>
  <c r="Z579" i="24"/>
  <c r="X579" i="24"/>
  <c r="T596" i="24"/>
  <c r="S596" i="24"/>
  <c r="R596" i="24"/>
  <c r="P596" i="24"/>
  <c r="N596" i="24"/>
  <c r="M596" i="24"/>
  <c r="K596" i="24"/>
  <c r="J596" i="24"/>
  <c r="H596" i="24"/>
  <c r="F596" i="24"/>
  <c r="AG578" i="24"/>
  <c r="AF578" i="24"/>
  <c r="AD578" i="24"/>
  <c r="AC578" i="24"/>
  <c r="Z578" i="24"/>
  <c r="X578" i="24"/>
  <c r="T578" i="24"/>
  <c r="S578" i="24"/>
  <c r="R578" i="24"/>
  <c r="P578" i="24"/>
  <c r="N578" i="24"/>
  <c r="O578" i="24" s="1"/>
  <c r="M578" i="24"/>
  <c r="K578" i="24"/>
  <c r="J578" i="24"/>
  <c r="H578" i="24"/>
  <c r="F578" i="24"/>
  <c r="AG577" i="24"/>
  <c r="AF577" i="24"/>
  <c r="AD577" i="24"/>
  <c r="AC577" i="24"/>
  <c r="Z577" i="24"/>
  <c r="X577" i="24"/>
  <c r="T577" i="24"/>
  <c r="S577" i="24"/>
  <c r="R577" i="24"/>
  <c r="P577" i="24"/>
  <c r="N577" i="24"/>
  <c r="M577" i="24"/>
  <c r="K577" i="24"/>
  <c r="J577" i="24"/>
  <c r="H577" i="24"/>
  <c r="F577" i="24"/>
  <c r="AG576" i="24"/>
  <c r="AF576" i="24"/>
  <c r="AD576" i="24"/>
  <c r="AC576" i="24"/>
  <c r="Z576" i="24"/>
  <c r="X576" i="24"/>
  <c r="T576" i="24"/>
  <c r="S576" i="24"/>
  <c r="R576" i="24"/>
  <c r="P576" i="24"/>
  <c r="N576" i="24"/>
  <c r="O576" i="24" s="1"/>
  <c r="M576" i="24"/>
  <c r="K576" i="24"/>
  <c r="J576" i="24"/>
  <c r="H576" i="24"/>
  <c r="F576" i="24"/>
  <c r="AG575" i="24"/>
  <c r="AF575" i="24"/>
  <c r="AD575" i="24"/>
  <c r="AC575" i="24"/>
  <c r="Z575" i="24"/>
  <c r="X575" i="24"/>
  <c r="T575" i="24"/>
  <c r="S575" i="24"/>
  <c r="R575" i="24"/>
  <c r="P575" i="24"/>
  <c r="N575" i="24"/>
  <c r="O575" i="24" s="1"/>
  <c r="M575" i="24"/>
  <c r="K575" i="24"/>
  <c r="J575" i="24"/>
  <c r="H575" i="24"/>
  <c r="F575" i="24"/>
  <c r="AG574" i="24"/>
  <c r="AF574" i="24"/>
  <c r="AD574" i="24"/>
  <c r="AC574" i="24"/>
  <c r="Z574" i="24"/>
  <c r="X574" i="24"/>
  <c r="T585" i="24"/>
  <c r="S585" i="24"/>
  <c r="R585" i="24"/>
  <c r="P585" i="24"/>
  <c r="N585" i="24"/>
  <c r="M585" i="24"/>
  <c r="K585" i="24"/>
  <c r="J585" i="24"/>
  <c r="H585" i="24"/>
  <c r="F585" i="24"/>
  <c r="AG573" i="24"/>
  <c r="AF573" i="24"/>
  <c r="AD573" i="24"/>
  <c r="AC573" i="24"/>
  <c r="Z573" i="24"/>
  <c r="X573" i="24"/>
  <c r="T573" i="24"/>
  <c r="S573" i="24"/>
  <c r="R573" i="24"/>
  <c r="P573" i="24"/>
  <c r="N573" i="24"/>
  <c r="O573" i="24" s="1"/>
  <c r="M573" i="24"/>
  <c r="K573" i="24"/>
  <c r="J573" i="24"/>
  <c r="H573" i="24"/>
  <c r="F573" i="24"/>
  <c r="AG572" i="24"/>
  <c r="AF572" i="24"/>
  <c r="AD572" i="24"/>
  <c r="AC572" i="24"/>
  <c r="Z572" i="24"/>
  <c r="X572" i="24"/>
  <c r="T572" i="24"/>
  <c r="S572" i="24"/>
  <c r="R572" i="24"/>
  <c r="P572" i="24"/>
  <c r="N572" i="24"/>
  <c r="O572" i="24" s="1"/>
  <c r="M572" i="24"/>
  <c r="K572" i="24"/>
  <c r="J572" i="24"/>
  <c r="H572" i="24"/>
  <c r="F572" i="24"/>
  <c r="AG571" i="24"/>
  <c r="AF571" i="24"/>
  <c r="AD571" i="24"/>
  <c r="AC571" i="24"/>
  <c r="Z571" i="24"/>
  <c r="X571" i="24"/>
  <c r="T571" i="24"/>
  <c r="S571" i="24"/>
  <c r="R571" i="24"/>
  <c r="P571" i="24"/>
  <c r="N571" i="24"/>
  <c r="O571" i="24" s="1"/>
  <c r="M571" i="24"/>
  <c r="K571" i="24"/>
  <c r="J571" i="24"/>
  <c r="H571" i="24"/>
  <c r="F571" i="24"/>
  <c r="AG570" i="24"/>
  <c r="AF570" i="24"/>
  <c r="AD570" i="24"/>
  <c r="AC570" i="24"/>
  <c r="Z570" i="24"/>
  <c r="X570" i="24"/>
  <c r="T570" i="24"/>
  <c r="S570" i="24"/>
  <c r="R570" i="24"/>
  <c r="P570" i="24"/>
  <c r="N570" i="24"/>
  <c r="M570" i="24"/>
  <c r="K570" i="24"/>
  <c r="J570" i="24"/>
  <c r="H570" i="24"/>
  <c r="F570" i="24"/>
  <c r="AG569" i="24"/>
  <c r="AF569" i="24"/>
  <c r="AD569" i="24"/>
  <c r="AC569" i="24"/>
  <c r="Z569" i="24"/>
  <c r="X569" i="24"/>
  <c r="T569" i="24"/>
  <c r="S569" i="24"/>
  <c r="R569" i="24"/>
  <c r="P569" i="24"/>
  <c r="N569" i="24"/>
  <c r="O569" i="24" s="1"/>
  <c r="M569" i="24"/>
  <c r="K569" i="24"/>
  <c r="J569" i="24"/>
  <c r="H569" i="24"/>
  <c r="F569" i="24"/>
  <c r="AG568" i="24"/>
  <c r="AF568" i="24"/>
  <c r="AD568" i="24"/>
  <c r="AC568" i="24"/>
  <c r="Z568" i="24"/>
  <c r="X568" i="24"/>
  <c r="T568" i="24"/>
  <c r="S568" i="24"/>
  <c r="R568" i="24"/>
  <c r="P568" i="24"/>
  <c r="N568" i="24"/>
  <c r="O568" i="24" s="1"/>
  <c r="M568" i="24"/>
  <c r="K568" i="24"/>
  <c r="J568" i="24"/>
  <c r="H568" i="24"/>
  <c r="F568" i="24"/>
  <c r="AG567" i="24"/>
  <c r="AF567" i="24"/>
  <c r="AD567" i="24"/>
  <c r="AC567" i="24"/>
  <c r="Z567" i="24"/>
  <c r="X567" i="24"/>
  <c r="T584" i="24"/>
  <c r="S584" i="24"/>
  <c r="R584" i="24"/>
  <c r="P584" i="24"/>
  <c r="N584" i="24"/>
  <c r="O584" i="24" s="1"/>
  <c r="M584" i="24"/>
  <c r="K584" i="24"/>
  <c r="J584" i="24"/>
  <c r="H584" i="24"/>
  <c r="F584" i="24"/>
  <c r="AG566" i="24"/>
  <c r="AF566" i="24"/>
  <c r="AD566" i="24"/>
  <c r="AC566" i="24"/>
  <c r="Z566" i="24"/>
  <c r="X566" i="24"/>
  <c r="T566" i="24"/>
  <c r="S566" i="24"/>
  <c r="R566" i="24"/>
  <c r="P566" i="24"/>
  <c r="N566" i="24"/>
  <c r="O566" i="24" s="1"/>
  <c r="M566" i="24"/>
  <c r="K566" i="24"/>
  <c r="J566" i="24"/>
  <c r="H566" i="24"/>
  <c r="F566" i="24"/>
  <c r="AG565" i="24"/>
  <c r="AF565" i="24"/>
  <c r="AD565" i="24"/>
  <c r="AC565" i="24"/>
  <c r="Z565" i="24"/>
  <c r="X565" i="24"/>
  <c r="T565" i="24"/>
  <c r="S565" i="24"/>
  <c r="R565" i="24"/>
  <c r="P565" i="24"/>
  <c r="N565" i="24"/>
  <c r="O565" i="24" s="1"/>
  <c r="M565" i="24"/>
  <c r="K565" i="24"/>
  <c r="J565" i="24"/>
  <c r="H565" i="24"/>
  <c r="F565" i="24"/>
  <c r="AG564" i="24"/>
  <c r="AF564" i="24"/>
  <c r="AD564" i="24"/>
  <c r="AC564" i="24"/>
  <c r="Z564" i="24"/>
  <c r="X564" i="24"/>
  <c r="T564" i="24"/>
  <c r="S564" i="24"/>
  <c r="R564" i="24"/>
  <c r="P564" i="24"/>
  <c r="N564" i="24"/>
  <c r="O564" i="24" s="1"/>
  <c r="M564" i="24"/>
  <c r="K564" i="24"/>
  <c r="J564" i="24"/>
  <c r="H564" i="24"/>
  <c r="F564" i="24"/>
  <c r="AG563" i="24"/>
  <c r="AF563" i="24"/>
  <c r="AD563" i="24"/>
  <c r="AC563" i="24"/>
  <c r="Z563" i="24"/>
  <c r="X563" i="24"/>
  <c r="T563" i="24"/>
  <c r="S563" i="24"/>
  <c r="R563" i="24"/>
  <c r="P563" i="24"/>
  <c r="N563" i="24"/>
  <c r="O563" i="24" s="1"/>
  <c r="M563" i="24"/>
  <c r="K563" i="24"/>
  <c r="J563" i="24"/>
  <c r="H563" i="24"/>
  <c r="F563" i="24"/>
  <c r="AG562" i="24"/>
  <c r="AF562" i="24"/>
  <c r="AD562" i="24"/>
  <c r="AC562" i="24"/>
  <c r="Z562" i="24"/>
  <c r="X562" i="24"/>
  <c r="T562" i="24"/>
  <c r="S562" i="24"/>
  <c r="R562" i="24"/>
  <c r="P562" i="24"/>
  <c r="N562" i="24"/>
  <c r="O562" i="24" s="1"/>
  <c r="M562" i="24"/>
  <c r="K562" i="24"/>
  <c r="J562" i="24"/>
  <c r="H562" i="24"/>
  <c r="F562" i="24"/>
  <c r="AG561" i="24"/>
  <c r="AF561" i="24"/>
  <c r="AD561" i="24"/>
  <c r="AC561" i="24"/>
  <c r="Z561" i="24"/>
  <c r="X561" i="24"/>
  <c r="T561" i="24"/>
  <c r="S561" i="24"/>
  <c r="R561" i="24"/>
  <c r="P561" i="24"/>
  <c r="N561" i="24"/>
  <c r="O561" i="24" s="1"/>
  <c r="M561" i="24"/>
  <c r="K561" i="24"/>
  <c r="J561" i="24"/>
  <c r="H561" i="24"/>
  <c r="F561" i="24"/>
  <c r="AG560" i="24"/>
  <c r="AF560" i="24"/>
  <c r="AD560" i="24"/>
  <c r="AC560" i="24"/>
  <c r="Z560" i="24"/>
  <c r="X560" i="24"/>
  <c r="T560" i="24"/>
  <c r="S560" i="24"/>
  <c r="R560" i="24"/>
  <c r="P560" i="24"/>
  <c r="N560" i="24"/>
  <c r="O560" i="24" s="1"/>
  <c r="M560" i="24"/>
  <c r="K560" i="24"/>
  <c r="J560" i="24"/>
  <c r="H560" i="24"/>
  <c r="F560" i="24"/>
  <c r="AG559" i="24"/>
  <c r="AF559" i="24"/>
  <c r="AD559" i="24"/>
  <c r="AC559" i="24"/>
  <c r="Z559" i="24"/>
  <c r="X559" i="24"/>
  <c r="T559" i="24"/>
  <c r="S559" i="24"/>
  <c r="R559" i="24"/>
  <c r="P559" i="24"/>
  <c r="N559" i="24"/>
  <c r="O559" i="24" s="1"/>
  <c r="M559" i="24"/>
  <c r="K559" i="24"/>
  <c r="J559" i="24"/>
  <c r="H559" i="24"/>
  <c r="F559" i="24"/>
  <c r="AG558" i="24"/>
  <c r="AF558" i="24"/>
  <c r="AD558" i="24"/>
  <c r="AC558" i="24"/>
  <c r="Z558" i="24"/>
  <c r="X558" i="24"/>
  <c r="T558" i="24"/>
  <c r="S558" i="24"/>
  <c r="R558" i="24"/>
  <c r="P558" i="24"/>
  <c r="N558" i="24"/>
  <c r="M558" i="24"/>
  <c r="K558" i="24"/>
  <c r="J558" i="24"/>
  <c r="H558" i="24"/>
  <c r="F558" i="24"/>
  <c r="AG557" i="24"/>
  <c r="AF557" i="24"/>
  <c r="AD557" i="24"/>
  <c r="AC557" i="24"/>
  <c r="Z557" i="24"/>
  <c r="X557" i="24"/>
  <c r="T557" i="24"/>
  <c r="S557" i="24"/>
  <c r="R557" i="24"/>
  <c r="P557" i="24"/>
  <c r="N557" i="24"/>
  <c r="O557" i="24" s="1"/>
  <c r="M557" i="24"/>
  <c r="K557" i="24"/>
  <c r="J557" i="24"/>
  <c r="H557" i="24"/>
  <c r="F557" i="24"/>
  <c r="AG556" i="24"/>
  <c r="AF556" i="24"/>
  <c r="AD556" i="24"/>
  <c r="AC556" i="24"/>
  <c r="Z556" i="24"/>
  <c r="X556" i="24"/>
  <c r="T556" i="24"/>
  <c r="S556" i="24"/>
  <c r="R556" i="24"/>
  <c r="P556" i="24"/>
  <c r="N556" i="24"/>
  <c r="O556" i="24" s="1"/>
  <c r="M556" i="24"/>
  <c r="K556" i="24"/>
  <c r="J556" i="24"/>
  <c r="H556" i="24"/>
  <c r="F556" i="24"/>
  <c r="AG555" i="24"/>
  <c r="AF555" i="24"/>
  <c r="AD555" i="24"/>
  <c r="AC555" i="24"/>
  <c r="Z555" i="24"/>
  <c r="X555" i="24"/>
  <c r="T555" i="24"/>
  <c r="S555" i="24"/>
  <c r="R555" i="24"/>
  <c r="P555" i="24"/>
  <c r="N555" i="24"/>
  <c r="O555" i="24" s="1"/>
  <c r="M555" i="24"/>
  <c r="K555" i="24"/>
  <c r="J555" i="24"/>
  <c r="H555" i="24"/>
  <c r="F555" i="24"/>
  <c r="AG554" i="24"/>
  <c r="AF554" i="24"/>
  <c r="AD554" i="24"/>
  <c r="AC554" i="24"/>
  <c r="Z554" i="24"/>
  <c r="X554" i="24"/>
  <c r="T554" i="24"/>
  <c r="S554" i="24"/>
  <c r="R554" i="24"/>
  <c r="P554" i="24"/>
  <c r="N554" i="24"/>
  <c r="O554" i="24" s="1"/>
  <c r="M554" i="24"/>
  <c r="K554" i="24"/>
  <c r="J554" i="24"/>
  <c r="H554" i="24"/>
  <c r="F554" i="24"/>
  <c r="AG553" i="24"/>
  <c r="AF553" i="24"/>
  <c r="AD553" i="24"/>
  <c r="AC553" i="24"/>
  <c r="Z553" i="24"/>
  <c r="X553" i="24"/>
  <c r="T553" i="24"/>
  <c r="S553" i="24"/>
  <c r="R553" i="24"/>
  <c r="P553" i="24"/>
  <c r="N553" i="24"/>
  <c r="O553" i="24" s="1"/>
  <c r="M553" i="24"/>
  <c r="K553" i="24"/>
  <c r="J553" i="24"/>
  <c r="H553" i="24"/>
  <c r="F553" i="24"/>
  <c r="AG552" i="24"/>
  <c r="AF552" i="24"/>
  <c r="AD552" i="24"/>
  <c r="AC552" i="24"/>
  <c r="Z552" i="24"/>
  <c r="X552" i="24"/>
  <c r="T552" i="24"/>
  <c r="S552" i="24"/>
  <c r="R552" i="24"/>
  <c r="P552" i="24"/>
  <c r="N552" i="24"/>
  <c r="O552" i="24" s="1"/>
  <c r="M552" i="24"/>
  <c r="K552" i="24"/>
  <c r="J552" i="24"/>
  <c r="H552" i="24"/>
  <c r="F552" i="24"/>
  <c r="AG551" i="24"/>
  <c r="AF551" i="24"/>
  <c r="AD551" i="24"/>
  <c r="AC551" i="24"/>
  <c r="Z551" i="24"/>
  <c r="X551" i="24"/>
  <c r="T551" i="24"/>
  <c r="S551" i="24"/>
  <c r="R551" i="24"/>
  <c r="P551" i="24"/>
  <c r="N551" i="24"/>
  <c r="O551" i="24" s="1"/>
  <c r="M551" i="24"/>
  <c r="K551" i="24"/>
  <c r="J551" i="24"/>
  <c r="H551" i="24"/>
  <c r="F551" i="24"/>
  <c r="AG550" i="24"/>
  <c r="AF550" i="24"/>
  <c r="AD550" i="24"/>
  <c r="AC550" i="24"/>
  <c r="Z550" i="24"/>
  <c r="X550" i="24"/>
  <c r="T550" i="24"/>
  <c r="S550" i="24"/>
  <c r="R550" i="24"/>
  <c r="P550" i="24"/>
  <c r="N550" i="24"/>
  <c r="M550" i="24"/>
  <c r="K550" i="24"/>
  <c r="J550" i="24"/>
  <c r="H550" i="24"/>
  <c r="F550" i="24"/>
  <c r="AG549" i="24"/>
  <c r="AF549" i="24"/>
  <c r="AD549" i="24"/>
  <c r="AC549" i="24"/>
  <c r="Z549" i="24"/>
  <c r="X549" i="24"/>
  <c r="T549" i="24"/>
  <c r="S549" i="24"/>
  <c r="R549" i="24"/>
  <c r="P549" i="24"/>
  <c r="N549" i="24"/>
  <c r="O549" i="24" s="1"/>
  <c r="M549" i="24"/>
  <c r="K549" i="24"/>
  <c r="J549" i="24"/>
  <c r="H549" i="24"/>
  <c r="F549" i="24"/>
  <c r="AG548" i="24"/>
  <c r="AF548" i="24"/>
  <c r="AD548" i="24"/>
  <c r="AC548" i="24"/>
  <c r="Z548" i="24"/>
  <c r="X548" i="24"/>
  <c r="T548" i="24"/>
  <c r="S548" i="24"/>
  <c r="R548" i="24"/>
  <c r="P548" i="24"/>
  <c r="N548" i="24"/>
  <c r="O548" i="24" s="1"/>
  <c r="M548" i="24"/>
  <c r="K548" i="24"/>
  <c r="J548" i="24"/>
  <c r="H548" i="24"/>
  <c r="F548" i="24"/>
  <c r="AG547" i="24"/>
  <c r="AF547" i="24"/>
  <c r="AD547" i="24"/>
  <c r="AC547" i="24"/>
  <c r="Z547" i="24"/>
  <c r="X547" i="24"/>
  <c r="T547" i="24"/>
  <c r="S547" i="24"/>
  <c r="R547" i="24"/>
  <c r="P547" i="24"/>
  <c r="N547" i="24"/>
  <c r="O547" i="24" s="1"/>
  <c r="M547" i="24"/>
  <c r="K547" i="24"/>
  <c r="J547" i="24"/>
  <c r="H547" i="24"/>
  <c r="F547" i="24"/>
  <c r="AG546" i="24"/>
  <c r="AF546" i="24"/>
  <c r="AD546" i="24"/>
  <c r="AC546" i="24"/>
  <c r="Z546" i="24"/>
  <c r="X546" i="24"/>
  <c r="T546" i="24"/>
  <c r="S546" i="24"/>
  <c r="R546" i="24"/>
  <c r="P546" i="24"/>
  <c r="N546" i="24"/>
  <c r="M546" i="24"/>
  <c r="K546" i="24"/>
  <c r="J546" i="24"/>
  <c r="H546" i="24"/>
  <c r="F546" i="24"/>
  <c r="AG545" i="24"/>
  <c r="AF545" i="24"/>
  <c r="AD545" i="24"/>
  <c r="AC545" i="24"/>
  <c r="Z545" i="24"/>
  <c r="X545" i="24"/>
  <c r="T545" i="24"/>
  <c r="S545" i="24"/>
  <c r="R545" i="24"/>
  <c r="P545" i="24"/>
  <c r="N545" i="24"/>
  <c r="O545" i="24" s="1"/>
  <c r="M545" i="24"/>
  <c r="K545" i="24"/>
  <c r="J545" i="24"/>
  <c r="H545" i="24"/>
  <c r="F545" i="24"/>
  <c r="AG544" i="24"/>
  <c r="AF544" i="24"/>
  <c r="AD544" i="24"/>
  <c r="AC544" i="24"/>
  <c r="Z544" i="24"/>
  <c r="X544" i="24"/>
  <c r="T544" i="24"/>
  <c r="S544" i="24"/>
  <c r="R544" i="24"/>
  <c r="P544" i="24"/>
  <c r="N544" i="24"/>
  <c r="O544" i="24" s="1"/>
  <c r="M544" i="24"/>
  <c r="K544" i="24"/>
  <c r="J544" i="24"/>
  <c r="H544" i="24"/>
  <c r="F544" i="24"/>
  <c r="AG543" i="24"/>
  <c r="AF543" i="24"/>
  <c r="AD543" i="24"/>
  <c r="AC543" i="24"/>
  <c r="Z543" i="24"/>
  <c r="X543" i="24"/>
  <c r="T579" i="24"/>
  <c r="S579" i="24"/>
  <c r="R579" i="24"/>
  <c r="P579" i="24"/>
  <c r="N579" i="24"/>
  <c r="O579" i="24" s="1"/>
  <c r="M579" i="24"/>
  <c r="K579" i="24"/>
  <c r="J579" i="24"/>
  <c r="H579" i="24"/>
  <c r="F579" i="24"/>
  <c r="AG542" i="24"/>
  <c r="AF542" i="24"/>
  <c r="AD542" i="24"/>
  <c r="AC542" i="24"/>
  <c r="Z542" i="24"/>
  <c r="X542" i="24"/>
  <c r="T542" i="24"/>
  <c r="S542" i="24"/>
  <c r="R542" i="24"/>
  <c r="P542" i="24"/>
  <c r="N542" i="24"/>
  <c r="M542" i="24"/>
  <c r="K542" i="24"/>
  <c r="J542" i="24"/>
  <c r="H542" i="24"/>
  <c r="F542" i="24"/>
  <c r="AG541" i="24"/>
  <c r="AF541" i="24"/>
  <c r="AD541" i="24"/>
  <c r="AC541" i="24"/>
  <c r="Z541" i="24"/>
  <c r="X541" i="24"/>
  <c r="T541" i="24"/>
  <c r="S541" i="24"/>
  <c r="R541" i="24"/>
  <c r="P541" i="24"/>
  <c r="N541" i="24"/>
  <c r="O541" i="24" s="1"/>
  <c r="M541" i="24"/>
  <c r="K541" i="24"/>
  <c r="J541" i="24"/>
  <c r="H541" i="24"/>
  <c r="F541" i="24"/>
  <c r="AG540" i="24"/>
  <c r="AF540" i="24"/>
  <c r="AD540" i="24"/>
  <c r="AC540" i="24"/>
  <c r="Z540" i="24"/>
  <c r="X540" i="24"/>
  <c r="T540" i="24"/>
  <c r="S540" i="24"/>
  <c r="R540" i="24"/>
  <c r="P540" i="24"/>
  <c r="N540" i="24"/>
  <c r="O540" i="24" s="1"/>
  <c r="M540" i="24"/>
  <c r="K540" i="24"/>
  <c r="J540" i="24"/>
  <c r="H540" i="24"/>
  <c r="F540" i="24"/>
  <c r="AG539" i="24"/>
  <c r="AF539" i="24"/>
  <c r="AD539" i="24"/>
  <c r="AC539" i="24"/>
  <c r="Z539" i="24"/>
  <c r="X539" i="24"/>
  <c r="T539" i="24"/>
  <c r="S539" i="24"/>
  <c r="R539" i="24"/>
  <c r="P539" i="24"/>
  <c r="N539" i="24"/>
  <c r="O539" i="24" s="1"/>
  <c r="M539" i="24"/>
  <c r="K539" i="24"/>
  <c r="J539" i="24"/>
  <c r="H539" i="24"/>
  <c r="F539" i="24"/>
  <c r="AG538" i="24"/>
  <c r="AF538" i="24"/>
  <c r="AD538" i="24"/>
  <c r="AC538" i="24"/>
  <c r="Z538" i="24"/>
  <c r="X538" i="24"/>
  <c r="T538" i="24"/>
  <c r="S538" i="24"/>
  <c r="R538" i="24"/>
  <c r="P538" i="24"/>
  <c r="N538" i="24"/>
  <c r="O538" i="24" s="1"/>
  <c r="M538" i="24"/>
  <c r="K538" i="24"/>
  <c r="J538" i="24"/>
  <c r="H538" i="24"/>
  <c r="F538" i="24"/>
  <c r="AG537" i="24"/>
  <c r="AF537" i="24"/>
  <c r="AD537" i="24"/>
  <c r="AC537" i="24"/>
  <c r="Z537" i="24"/>
  <c r="X537" i="24"/>
  <c r="T537" i="24"/>
  <c r="S537" i="24"/>
  <c r="R537" i="24"/>
  <c r="P537" i="24"/>
  <c r="N537" i="24"/>
  <c r="O537" i="24" s="1"/>
  <c r="M537" i="24"/>
  <c r="K537" i="24"/>
  <c r="J537" i="24"/>
  <c r="H537" i="24"/>
  <c r="F537" i="24"/>
  <c r="AG536" i="24"/>
  <c r="AF536" i="24"/>
  <c r="AD536" i="24"/>
  <c r="AC536" i="24"/>
  <c r="Z536" i="24"/>
  <c r="X536" i="24"/>
  <c r="T536" i="24"/>
  <c r="S536" i="24"/>
  <c r="R536" i="24"/>
  <c r="P536" i="24"/>
  <c r="N536" i="24"/>
  <c r="O536" i="24" s="1"/>
  <c r="M536" i="24"/>
  <c r="K536" i="24"/>
  <c r="J536" i="24"/>
  <c r="H536" i="24"/>
  <c r="F536" i="24"/>
  <c r="AG535" i="24"/>
  <c r="AF535" i="24"/>
  <c r="AD535" i="24"/>
  <c r="AC535" i="24"/>
  <c r="Z535" i="24"/>
  <c r="X535" i="24"/>
  <c r="T535" i="24"/>
  <c r="S535" i="24"/>
  <c r="R535" i="24"/>
  <c r="P535" i="24"/>
  <c r="N535" i="24"/>
  <c r="O535" i="24" s="1"/>
  <c r="M535" i="24"/>
  <c r="K535" i="24"/>
  <c r="J535" i="24"/>
  <c r="H535" i="24"/>
  <c r="F535" i="24"/>
  <c r="AG534" i="24"/>
  <c r="AF534" i="24"/>
  <c r="AD534" i="24"/>
  <c r="AC534" i="24"/>
  <c r="Z534" i="24"/>
  <c r="X534" i="24"/>
  <c r="T534" i="24"/>
  <c r="S534" i="24"/>
  <c r="R534" i="24"/>
  <c r="P534" i="24"/>
  <c r="N534" i="24"/>
  <c r="M534" i="24"/>
  <c r="K534" i="24"/>
  <c r="J534" i="24"/>
  <c r="H534" i="24"/>
  <c r="F534" i="24"/>
  <c r="AG533" i="24"/>
  <c r="AF533" i="24"/>
  <c r="AD533" i="24"/>
  <c r="AC533" i="24"/>
  <c r="Z533" i="24"/>
  <c r="X533" i="24"/>
  <c r="T533" i="24"/>
  <c r="S533" i="24"/>
  <c r="R533" i="24"/>
  <c r="P533" i="24"/>
  <c r="N533" i="24"/>
  <c r="O533" i="24" s="1"/>
  <c r="M533" i="24"/>
  <c r="K533" i="24"/>
  <c r="J533" i="24"/>
  <c r="H533" i="24"/>
  <c r="F533" i="24"/>
  <c r="AG532" i="24"/>
  <c r="AF532" i="24"/>
  <c r="AD532" i="24"/>
  <c r="AC532" i="24"/>
  <c r="Z532" i="24"/>
  <c r="X532" i="24"/>
  <c r="T532" i="24"/>
  <c r="S532" i="24"/>
  <c r="R532" i="24"/>
  <c r="P532" i="24"/>
  <c r="N532" i="24"/>
  <c r="O532" i="24" s="1"/>
  <c r="M532" i="24"/>
  <c r="K532" i="24"/>
  <c r="J532" i="24"/>
  <c r="H532" i="24"/>
  <c r="F532" i="24"/>
  <c r="AG531" i="24"/>
  <c r="AF531" i="24"/>
  <c r="AD531" i="24"/>
  <c r="AC531" i="24"/>
  <c r="Z531" i="24"/>
  <c r="X531" i="24"/>
  <c r="T531" i="24"/>
  <c r="S531" i="24"/>
  <c r="R531" i="24"/>
  <c r="P531" i="24"/>
  <c r="N531" i="24"/>
  <c r="M531" i="24"/>
  <c r="K531" i="24"/>
  <c r="J531" i="24"/>
  <c r="H531" i="24"/>
  <c r="F531" i="24"/>
  <c r="AG530" i="24"/>
  <c r="AF530" i="24"/>
  <c r="AD530" i="24"/>
  <c r="AC530" i="24"/>
  <c r="Z530" i="24"/>
  <c r="X530" i="24"/>
  <c r="T530" i="24"/>
  <c r="S530" i="24"/>
  <c r="R530" i="24"/>
  <c r="P530" i="24"/>
  <c r="N530" i="24"/>
  <c r="M530" i="24"/>
  <c r="K530" i="24"/>
  <c r="J530" i="24"/>
  <c r="H530" i="24"/>
  <c r="F530" i="24"/>
  <c r="AG529" i="24"/>
  <c r="AF529" i="24"/>
  <c r="AD529" i="24"/>
  <c r="AC529" i="24"/>
  <c r="Z529" i="24"/>
  <c r="X529" i="24"/>
  <c r="T529" i="24"/>
  <c r="S529" i="24"/>
  <c r="R529" i="24"/>
  <c r="P529" i="24"/>
  <c r="N529" i="24"/>
  <c r="O529" i="24" s="1"/>
  <c r="M529" i="24"/>
  <c r="K529" i="24"/>
  <c r="J529" i="24"/>
  <c r="H529" i="24"/>
  <c r="F529" i="24"/>
  <c r="AG528" i="24"/>
  <c r="AF528" i="24"/>
  <c r="AD528" i="24"/>
  <c r="AC528" i="24"/>
  <c r="Z528" i="24"/>
  <c r="X528" i="24"/>
  <c r="T528" i="24"/>
  <c r="S528" i="24"/>
  <c r="R528" i="24"/>
  <c r="P528" i="24"/>
  <c r="N528" i="24"/>
  <c r="O528" i="24" s="1"/>
  <c r="M528" i="24"/>
  <c r="K528" i="24"/>
  <c r="J528" i="24"/>
  <c r="H528" i="24"/>
  <c r="F528" i="24"/>
  <c r="AG527" i="24"/>
  <c r="AF527" i="24"/>
  <c r="AD527" i="24"/>
  <c r="AC527" i="24"/>
  <c r="Z527" i="24"/>
  <c r="X527" i="24"/>
  <c r="T574" i="24"/>
  <c r="S574" i="24"/>
  <c r="R574" i="24"/>
  <c r="P574" i="24"/>
  <c r="N574" i="24"/>
  <c r="O574" i="24" s="1"/>
  <c r="M574" i="24"/>
  <c r="K574" i="24"/>
  <c r="J574" i="24"/>
  <c r="H574" i="24"/>
  <c r="F574" i="24"/>
  <c r="AG526" i="24"/>
  <c r="AF526" i="24"/>
  <c r="AD526" i="24"/>
  <c r="AC526" i="24"/>
  <c r="Z526" i="24"/>
  <c r="X526" i="24"/>
  <c r="T526" i="24"/>
  <c r="S526" i="24"/>
  <c r="R526" i="24"/>
  <c r="P526" i="24"/>
  <c r="N526" i="24"/>
  <c r="M526" i="24"/>
  <c r="K526" i="24"/>
  <c r="J526" i="24"/>
  <c r="H526" i="24"/>
  <c r="F526" i="24"/>
  <c r="AG525" i="24"/>
  <c r="AF525" i="24"/>
  <c r="AD525" i="24"/>
  <c r="AC525" i="24"/>
  <c r="Z525" i="24"/>
  <c r="X525" i="24"/>
  <c r="T510" i="24"/>
  <c r="S510" i="24"/>
  <c r="R510" i="24"/>
  <c r="P510" i="24"/>
  <c r="N510" i="24"/>
  <c r="O510" i="24" s="1"/>
  <c r="M510" i="24"/>
  <c r="K510" i="24"/>
  <c r="J510" i="24"/>
  <c r="H510" i="24"/>
  <c r="F510" i="24"/>
  <c r="AG524" i="24"/>
  <c r="AF524" i="24"/>
  <c r="AD524" i="24"/>
  <c r="AC524" i="24"/>
  <c r="Z524" i="24"/>
  <c r="X524" i="24"/>
  <c r="T524" i="24"/>
  <c r="S524" i="24"/>
  <c r="R524" i="24"/>
  <c r="P524" i="24"/>
  <c r="N524" i="24"/>
  <c r="O524" i="24" s="1"/>
  <c r="M524" i="24"/>
  <c r="K524" i="24"/>
  <c r="J524" i="24"/>
  <c r="H524" i="24"/>
  <c r="F524" i="24"/>
  <c r="AG523" i="24"/>
  <c r="AF523" i="24"/>
  <c r="AD523" i="24"/>
  <c r="AC523" i="24"/>
  <c r="Z523" i="24"/>
  <c r="X523" i="24"/>
  <c r="T523" i="24"/>
  <c r="S523" i="24"/>
  <c r="R523" i="24"/>
  <c r="P523" i="24"/>
  <c r="N523" i="24"/>
  <c r="O523" i="24" s="1"/>
  <c r="M523" i="24"/>
  <c r="K523" i="24"/>
  <c r="J523" i="24"/>
  <c r="H523" i="24"/>
  <c r="F523" i="24"/>
  <c r="AG522" i="24"/>
  <c r="AF522" i="24"/>
  <c r="AD522" i="24"/>
  <c r="AC522" i="24"/>
  <c r="Z522" i="24"/>
  <c r="X522" i="24"/>
  <c r="T522" i="24"/>
  <c r="S522" i="24"/>
  <c r="R522" i="24"/>
  <c r="P522" i="24"/>
  <c r="N522" i="24"/>
  <c r="M522" i="24"/>
  <c r="K522" i="24"/>
  <c r="J522" i="24"/>
  <c r="H522" i="24"/>
  <c r="F522" i="24"/>
  <c r="AG521" i="24"/>
  <c r="AF521" i="24"/>
  <c r="AD521" i="24"/>
  <c r="AC521" i="24"/>
  <c r="Z521" i="24"/>
  <c r="X521" i="24"/>
  <c r="T521" i="24"/>
  <c r="S521" i="24"/>
  <c r="R521" i="24"/>
  <c r="P521" i="24"/>
  <c r="N521" i="24"/>
  <c r="O521" i="24" s="1"/>
  <c r="M521" i="24"/>
  <c r="K521" i="24"/>
  <c r="J521" i="24"/>
  <c r="H521" i="24"/>
  <c r="F521" i="24"/>
  <c r="AG520" i="24"/>
  <c r="AF520" i="24"/>
  <c r="AD520" i="24"/>
  <c r="AC520" i="24"/>
  <c r="Z520" i="24"/>
  <c r="X520" i="24"/>
  <c r="T520" i="24"/>
  <c r="S520" i="24"/>
  <c r="R520" i="24"/>
  <c r="P520" i="24"/>
  <c r="N520" i="24"/>
  <c r="O520" i="24" s="1"/>
  <c r="M520" i="24"/>
  <c r="K520" i="24"/>
  <c r="J520" i="24"/>
  <c r="H520" i="24"/>
  <c r="F520" i="24"/>
  <c r="AG519" i="24"/>
  <c r="AF519" i="24"/>
  <c r="AD519" i="24"/>
  <c r="AC519" i="24"/>
  <c r="Z519" i="24"/>
  <c r="X519" i="24"/>
  <c r="T519" i="24"/>
  <c r="S519" i="24"/>
  <c r="R519" i="24"/>
  <c r="P519" i="24"/>
  <c r="N519" i="24"/>
  <c r="O519" i="24" s="1"/>
  <c r="M519" i="24"/>
  <c r="K519" i="24"/>
  <c r="J519" i="24"/>
  <c r="H519" i="24"/>
  <c r="F519" i="24"/>
  <c r="AG518" i="24"/>
  <c r="AF518" i="24"/>
  <c r="AD518" i="24"/>
  <c r="AC518" i="24"/>
  <c r="Z518" i="24"/>
  <c r="X518" i="24"/>
  <c r="T518" i="24"/>
  <c r="S518" i="24"/>
  <c r="R518" i="24"/>
  <c r="P518" i="24"/>
  <c r="N518" i="24"/>
  <c r="O518" i="24" s="1"/>
  <c r="M518" i="24"/>
  <c r="K518" i="24"/>
  <c r="J518" i="24"/>
  <c r="H518" i="24"/>
  <c r="F518" i="24"/>
  <c r="AG517" i="24"/>
  <c r="AF517" i="24"/>
  <c r="AD517" i="24"/>
  <c r="AC517" i="24"/>
  <c r="Z517" i="24"/>
  <c r="X517" i="24"/>
  <c r="T517" i="24"/>
  <c r="S517" i="24"/>
  <c r="R517" i="24"/>
  <c r="P517" i="24"/>
  <c r="N517" i="24"/>
  <c r="O517" i="24" s="1"/>
  <c r="M517" i="24"/>
  <c r="K517" i="24"/>
  <c r="J517" i="24"/>
  <c r="H517" i="24"/>
  <c r="F517" i="24"/>
  <c r="AG516" i="24"/>
  <c r="AF516" i="24"/>
  <c r="AD516" i="24"/>
  <c r="AC516" i="24"/>
  <c r="Z516" i="24"/>
  <c r="X516" i="24"/>
  <c r="T516" i="24"/>
  <c r="S516" i="24"/>
  <c r="R516" i="24"/>
  <c r="P516" i="24"/>
  <c r="N516" i="24"/>
  <c r="O516" i="24" s="1"/>
  <c r="M516" i="24"/>
  <c r="K516" i="24"/>
  <c r="J516" i="24"/>
  <c r="H516" i="24"/>
  <c r="F516" i="24"/>
  <c r="AG515" i="24"/>
  <c r="AF515" i="24"/>
  <c r="AD515" i="24"/>
  <c r="AC515" i="24"/>
  <c r="Z515" i="24"/>
  <c r="X515" i="24"/>
  <c r="T515" i="24"/>
  <c r="S515" i="24"/>
  <c r="R515" i="24"/>
  <c r="P515" i="24"/>
  <c r="N515" i="24"/>
  <c r="O515" i="24" s="1"/>
  <c r="M515" i="24"/>
  <c r="K515" i="24"/>
  <c r="J515" i="24"/>
  <c r="H515" i="24"/>
  <c r="F515" i="24"/>
  <c r="AG514" i="24"/>
  <c r="AF514" i="24"/>
  <c r="AD514" i="24"/>
  <c r="AC514" i="24"/>
  <c r="Z514" i="24"/>
  <c r="X514" i="24"/>
  <c r="T514" i="24"/>
  <c r="S514" i="24"/>
  <c r="R514" i="24"/>
  <c r="P514" i="24"/>
  <c r="N514" i="24"/>
  <c r="O514" i="24" s="1"/>
  <c r="M514" i="24"/>
  <c r="K514" i="24"/>
  <c r="J514" i="24"/>
  <c r="H514" i="24"/>
  <c r="F514" i="24"/>
  <c r="AG513" i="24"/>
  <c r="AF513" i="24"/>
  <c r="AD513" i="24"/>
  <c r="AC513" i="24"/>
  <c r="Z513" i="24"/>
  <c r="X513" i="24"/>
  <c r="T513" i="24"/>
  <c r="S513" i="24"/>
  <c r="R513" i="24"/>
  <c r="P513" i="24"/>
  <c r="N513" i="24"/>
  <c r="O513" i="24" s="1"/>
  <c r="M513" i="24"/>
  <c r="K513" i="24"/>
  <c r="J513" i="24"/>
  <c r="H513" i="24"/>
  <c r="F513" i="24"/>
  <c r="AG512" i="24"/>
  <c r="AF512" i="24"/>
  <c r="AD512" i="24"/>
  <c r="AC512" i="24"/>
  <c r="Z512" i="24"/>
  <c r="X512" i="24"/>
  <c r="T512" i="24"/>
  <c r="S512" i="24"/>
  <c r="R512" i="24"/>
  <c r="P512" i="24"/>
  <c r="N512" i="24"/>
  <c r="O512" i="24" s="1"/>
  <c r="M512" i="24"/>
  <c r="K512" i="24"/>
  <c r="J512" i="24"/>
  <c r="H512" i="24"/>
  <c r="F512" i="24"/>
  <c r="AG511" i="24"/>
  <c r="AF511" i="24"/>
  <c r="AD511" i="24"/>
  <c r="AC511" i="24"/>
  <c r="Z511" i="24"/>
  <c r="X511" i="24"/>
  <c r="T511" i="24"/>
  <c r="S511" i="24"/>
  <c r="R511" i="24"/>
  <c r="P511" i="24"/>
  <c r="N511" i="24"/>
  <c r="O511" i="24" s="1"/>
  <c r="M511" i="24"/>
  <c r="K511" i="24"/>
  <c r="J511" i="24"/>
  <c r="H511" i="24"/>
  <c r="F511" i="24"/>
  <c r="AG510" i="24"/>
  <c r="AF510" i="24"/>
  <c r="AD510" i="24"/>
  <c r="AC510" i="24"/>
  <c r="Z510" i="24"/>
  <c r="X510" i="24"/>
  <c r="T567" i="24"/>
  <c r="S567" i="24"/>
  <c r="R567" i="24"/>
  <c r="P567" i="24"/>
  <c r="N567" i="24"/>
  <c r="M567" i="24"/>
  <c r="K567" i="24"/>
  <c r="J567" i="24"/>
  <c r="H567" i="24"/>
  <c r="F567" i="24"/>
  <c r="AG509" i="24"/>
  <c r="AF509" i="24"/>
  <c r="AD509" i="24"/>
  <c r="AC509" i="24"/>
  <c r="Z509" i="24"/>
  <c r="X509" i="24"/>
  <c r="T509" i="24"/>
  <c r="S509" i="24"/>
  <c r="R509" i="24"/>
  <c r="P509" i="24"/>
  <c r="N509" i="24"/>
  <c r="O509" i="24" s="1"/>
  <c r="M509" i="24"/>
  <c r="K509" i="24"/>
  <c r="J509" i="24"/>
  <c r="H509" i="24"/>
  <c r="F509" i="24"/>
  <c r="AG508" i="24"/>
  <c r="AF508" i="24"/>
  <c r="AD508" i="24"/>
  <c r="AC508" i="24"/>
  <c r="Z508" i="24"/>
  <c r="X508" i="24"/>
  <c r="T508" i="24"/>
  <c r="S508" i="24"/>
  <c r="R508" i="24"/>
  <c r="P508" i="24"/>
  <c r="N508" i="24"/>
  <c r="O508" i="24" s="1"/>
  <c r="M508" i="24"/>
  <c r="K508" i="24"/>
  <c r="J508" i="24"/>
  <c r="H508" i="24"/>
  <c r="F508" i="24"/>
  <c r="AG507" i="24"/>
  <c r="AF507" i="24"/>
  <c r="AD507" i="24"/>
  <c r="AC507" i="24"/>
  <c r="Z507" i="24"/>
  <c r="X507" i="24"/>
  <c r="T507" i="24"/>
  <c r="S507" i="24"/>
  <c r="R507" i="24"/>
  <c r="P507" i="24"/>
  <c r="N507" i="24"/>
  <c r="M507" i="24"/>
  <c r="K507" i="24"/>
  <c r="J507" i="24"/>
  <c r="H507" i="24"/>
  <c r="F507" i="24"/>
  <c r="AG506" i="24"/>
  <c r="AF506" i="24"/>
  <c r="AD506" i="24"/>
  <c r="AC506" i="24"/>
  <c r="Z506" i="24"/>
  <c r="X506" i="24"/>
  <c r="T506" i="24"/>
  <c r="S506" i="24"/>
  <c r="R506" i="24"/>
  <c r="P506" i="24"/>
  <c r="N506" i="24"/>
  <c r="O506" i="24" s="1"/>
  <c r="M506" i="24"/>
  <c r="K506" i="24"/>
  <c r="J506" i="24"/>
  <c r="H506" i="24"/>
  <c r="F506" i="24"/>
  <c r="AG505" i="24"/>
  <c r="AF505" i="24"/>
  <c r="AD505" i="24"/>
  <c r="AC505" i="24"/>
  <c r="Z505" i="24"/>
  <c r="X505" i="24"/>
  <c r="T505" i="24"/>
  <c r="S505" i="24"/>
  <c r="R505" i="24"/>
  <c r="P505" i="24"/>
  <c r="N505" i="24"/>
  <c r="O505" i="24" s="1"/>
  <c r="M505" i="24"/>
  <c r="K505" i="24"/>
  <c r="J505" i="24"/>
  <c r="H505" i="24"/>
  <c r="F505" i="24"/>
  <c r="AG504" i="24"/>
  <c r="AF504" i="24"/>
  <c r="AD504" i="24"/>
  <c r="AC504" i="24"/>
  <c r="Z504" i="24"/>
  <c r="X504" i="24"/>
  <c r="T543" i="24"/>
  <c r="S543" i="24"/>
  <c r="R543" i="24"/>
  <c r="P543" i="24"/>
  <c r="N543" i="24"/>
  <c r="O543" i="24" s="1"/>
  <c r="M543" i="24"/>
  <c r="K543" i="24"/>
  <c r="J543" i="24"/>
  <c r="H543" i="24"/>
  <c r="F543" i="24"/>
  <c r="AG503" i="24"/>
  <c r="AF503" i="24"/>
  <c r="AD503" i="24"/>
  <c r="AC503" i="24"/>
  <c r="Z503" i="24"/>
  <c r="X503" i="24"/>
  <c r="T503" i="24"/>
  <c r="S503" i="24"/>
  <c r="R503" i="24"/>
  <c r="P503" i="24"/>
  <c r="N503" i="24"/>
  <c r="O503" i="24" s="1"/>
  <c r="M503" i="24"/>
  <c r="K503" i="24"/>
  <c r="J503" i="24"/>
  <c r="H503" i="24"/>
  <c r="F503" i="24"/>
  <c r="AG502" i="24"/>
  <c r="AF502" i="24"/>
  <c r="AD502" i="24"/>
  <c r="AC502" i="24"/>
  <c r="Z502" i="24"/>
  <c r="X502" i="24"/>
  <c r="T502" i="24"/>
  <c r="S502" i="24"/>
  <c r="R502" i="24"/>
  <c r="P502" i="24"/>
  <c r="N502" i="24"/>
  <c r="M502" i="24"/>
  <c r="K502" i="24"/>
  <c r="J502" i="24"/>
  <c r="H502" i="24"/>
  <c r="F502" i="24"/>
  <c r="AG501" i="24"/>
  <c r="AF501" i="24"/>
  <c r="AD501" i="24"/>
  <c r="AC501" i="24"/>
  <c r="Z501" i="24"/>
  <c r="X501" i="24"/>
  <c r="T501" i="24"/>
  <c r="S501" i="24"/>
  <c r="R501" i="24"/>
  <c r="P501" i="24"/>
  <c r="N501" i="24"/>
  <c r="O501" i="24" s="1"/>
  <c r="M501" i="24"/>
  <c r="K501" i="24"/>
  <c r="J501" i="24"/>
  <c r="H501" i="24"/>
  <c r="F501" i="24"/>
  <c r="AG500" i="24"/>
  <c r="AF500" i="24"/>
  <c r="AD500" i="24"/>
  <c r="AC500" i="24"/>
  <c r="Z500" i="24"/>
  <c r="X500" i="24"/>
  <c r="T500" i="24"/>
  <c r="S500" i="24"/>
  <c r="R500" i="24"/>
  <c r="P500" i="24"/>
  <c r="N500" i="24"/>
  <c r="O500" i="24" s="1"/>
  <c r="M500" i="24"/>
  <c r="K500" i="24"/>
  <c r="J500" i="24"/>
  <c r="H500" i="24"/>
  <c r="F500" i="24"/>
  <c r="AG499" i="24"/>
  <c r="AF499" i="24"/>
  <c r="AD499" i="24"/>
  <c r="AC499" i="24"/>
  <c r="Z499" i="24"/>
  <c r="X499" i="24"/>
  <c r="T527" i="24"/>
  <c r="S527" i="24"/>
  <c r="R527" i="24"/>
  <c r="P527" i="24"/>
  <c r="N527" i="24"/>
  <c r="O527" i="24" s="1"/>
  <c r="M527" i="24"/>
  <c r="K527" i="24"/>
  <c r="J527" i="24"/>
  <c r="H527" i="24"/>
  <c r="F527" i="24"/>
  <c r="AG498" i="24"/>
  <c r="AF498" i="24"/>
  <c r="AD498" i="24"/>
  <c r="AC498" i="24"/>
  <c r="Z498" i="24"/>
  <c r="X498" i="24"/>
  <c r="T498" i="24"/>
  <c r="S498" i="24"/>
  <c r="R498" i="24"/>
  <c r="P498" i="24"/>
  <c r="N498" i="24"/>
  <c r="O498" i="24" s="1"/>
  <c r="M498" i="24"/>
  <c r="K498" i="24"/>
  <c r="J498" i="24"/>
  <c r="H498" i="24"/>
  <c r="F498" i="24"/>
  <c r="AG497" i="24"/>
  <c r="AF497" i="24"/>
  <c r="AD497" i="24"/>
  <c r="AC497" i="24"/>
  <c r="Z497" i="24"/>
  <c r="X497" i="24"/>
  <c r="T525" i="24"/>
  <c r="S525" i="24"/>
  <c r="R525" i="24"/>
  <c r="P525" i="24"/>
  <c r="N525" i="24"/>
  <c r="O525" i="24" s="1"/>
  <c r="M525" i="24"/>
  <c r="K525" i="24"/>
  <c r="J525" i="24"/>
  <c r="H525" i="24"/>
  <c r="F525" i="24"/>
  <c r="AG496" i="24"/>
  <c r="AF496" i="24"/>
  <c r="AD496" i="24"/>
  <c r="AC496" i="24"/>
  <c r="Z496" i="24"/>
  <c r="X496" i="24"/>
  <c r="T496" i="24"/>
  <c r="S496" i="24"/>
  <c r="R496" i="24"/>
  <c r="P496" i="24"/>
  <c r="N496" i="24"/>
  <c r="M496" i="24"/>
  <c r="K496" i="24"/>
  <c r="J496" i="24"/>
  <c r="H496" i="24"/>
  <c r="F496" i="24"/>
  <c r="AG495" i="24"/>
  <c r="AF495" i="24"/>
  <c r="AD495" i="24"/>
  <c r="AC495" i="24"/>
  <c r="Z495" i="24"/>
  <c r="X495" i="24"/>
  <c r="T495" i="24"/>
  <c r="S495" i="24"/>
  <c r="R495" i="24"/>
  <c r="P495" i="24"/>
  <c r="N495" i="24"/>
  <c r="O495" i="24" s="1"/>
  <c r="M495" i="24"/>
  <c r="K495" i="24"/>
  <c r="J495" i="24"/>
  <c r="H495" i="24"/>
  <c r="F495" i="24"/>
  <c r="AG494" i="24"/>
  <c r="AF494" i="24"/>
  <c r="AD494" i="24"/>
  <c r="AC494" i="24"/>
  <c r="Z494" i="24"/>
  <c r="X494" i="24"/>
  <c r="T494" i="24"/>
  <c r="S494" i="24"/>
  <c r="R494" i="24"/>
  <c r="P494" i="24"/>
  <c r="N494" i="24"/>
  <c r="O494" i="24" s="1"/>
  <c r="M494" i="24"/>
  <c r="K494" i="24"/>
  <c r="J494" i="24"/>
  <c r="H494" i="24"/>
  <c r="F494" i="24"/>
  <c r="AG493" i="24"/>
  <c r="AF493" i="24"/>
  <c r="AD493" i="24"/>
  <c r="AC493" i="24"/>
  <c r="Z493" i="24"/>
  <c r="X493" i="24"/>
  <c r="T493" i="24"/>
  <c r="S493" i="24"/>
  <c r="R493" i="24"/>
  <c r="P493" i="24"/>
  <c r="N493" i="24"/>
  <c r="O493" i="24" s="1"/>
  <c r="M493" i="24"/>
  <c r="K493" i="24"/>
  <c r="J493" i="24"/>
  <c r="H493" i="24"/>
  <c r="F493" i="24"/>
  <c r="AG492" i="24"/>
  <c r="AF492" i="24"/>
  <c r="AD492" i="24"/>
  <c r="AC492" i="24"/>
  <c r="Z492" i="24"/>
  <c r="X492" i="24"/>
  <c r="T492" i="24"/>
  <c r="S492" i="24"/>
  <c r="R492" i="24"/>
  <c r="P492" i="24"/>
  <c r="N492" i="24"/>
  <c r="O492" i="24" s="1"/>
  <c r="M492" i="24"/>
  <c r="K492" i="24"/>
  <c r="J492" i="24"/>
  <c r="H492" i="24"/>
  <c r="F492" i="24"/>
  <c r="AG491" i="24"/>
  <c r="AF491" i="24"/>
  <c r="AD491" i="24"/>
  <c r="AC491" i="24"/>
  <c r="Z491" i="24"/>
  <c r="X491" i="24"/>
  <c r="T491" i="24"/>
  <c r="S491" i="24"/>
  <c r="R491" i="24"/>
  <c r="P491" i="24"/>
  <c r="N491" i="24"/>
  <c r="O491" i="24" s="1"/>
  <c r="M491" i="24"/>
  <c r="K491" i="24"/>
  <c r="J491" i="24"/>
  <c r="H491" i="24"/>
  <c r="F491" i="24"/>
  <c r="AG490" i="24"/>
  <c r="AF490" i="24"/>
  <c r="AD490" i="24"/>
  <c r="AC490" i="24"/>
  <c r="Z490" i="24"/>
  <c r="X490" i="24"/>
  <c r="T490" i="24"/>
  <c r="S490" i="24"/>
  <c r="R490" i="24"/>
  <c r="P490" i="24"/>
  <c r="N490" i="24"/>
  <c r="M490" i="24"/>
  <c r="K490" i="24"/>
  <c r="J490" i="24"/>
  <c r="H490" i="24"/>
  <c r="F490" i="24"/>
  <c r="AG489" i="24"/>
  <c r="AF489" i="24"/>
  <c r="AD489" i="24"/>
  <c r="AC489" i="24"/>
  <c r="Z489" i="24"/>
  <c r="X489" i="24"/>
  <c r="T489" i="24"/>
  <c r="S489" i="24"/>
  <c r="R489" i="24"/>
  <c r="P489" i="24"/>
  <c r="N489" i="24"/>
  <c r="O489" i="24" s="1"/>
  <c r="M489" i="24"/>
  <c r="K489" i="24"/>
  <c r="J489" i="24"/>
  <c r="H489" i="24"/>
  <c r="F489" i="24"/>
  <c r="AG488" i="24"/>
  <c r="AF488" i="24"/>
  <c r="AD488" i="24"/>
  <c r="AC488" i="24"/>
  <c r="Z488" i="24"/>
  <c r="X488" i="24"/>
  <c r="T488" i="24"/>
  <c r="S488" i="24"/>
  <c r="R488" i="24"/>
  <c r="P488" i="24"/>
  <c r="N488" i="24"/>
  <c r="O488" i="24" s="1"/>
  <c r="M488" i="24"/>
  <c r="K488" i="24"/>
  <c r="J488" i="24"/>
  <c r="H488" i="24"/>
  <c r="F488" i="24"/>
  <c r="AG487" i="24"/>
  <c r="AF487" i="24"/>
  <c r="AD487" i="24"/>
  <c r="AC487" i="24"/>
  <c r="Z487" i="24"/>
  <c r="X487" i="24"/>
  <c r="T487" i="24"/>
  <c r="S487" i="24"/>
  <c r="R487" i="24"/>
  <c r="P487" i="24"/>
  <c r="N487" i="24"/>
  <c r="O487" i="24" s="1"/>
  <c r="M487" i="24"/>
  <c r="K487" i="24"/>
  <c r="J487" i="24"/>
  <c r="H487" i="24"/>
  <c r="F487" i="24"/>
  <c r="AG486" i="24"/>
  <c r="AF486" i="24"/>
  <c r="AD486" i="24"/>
  <c r="AC486" i="24"/>
  <c r="Z486" i="24"/>
  <c r="X486" i="24"/>
  <c r="T486" i="24"/>
  <c r="S486" i="24"/>
  <c r="R486" i="24"/>
  <c r="P486" i="24"/>
  <c r="N486" i="24"/>
  <c r="O486" i="24" s="1"/>
  <c r="M486" i="24"/>
  <c r="K486" i="24"/>
  <c r="J486" i="24"/>
  <c r="H486" i="24"/>
  <c r="F486" i="24"/>
  <c r="AG485" i="24"/>
  <c r="AF485" i="24"/>
  <c r="AD485" i="24"/>
  <c r="AC485" i="24"/>
  <c r="Z485" i="24"/>
  <c r="X485" i="24"/>
  <c r="T485" i="24"/>
  <c r="S485" i="24"/>
  <c r="R485" i="24"/>
  <c r="P485" i="24"/>
  <c r="N485" i="24"/>
  <c r="O485" i="24" s="1"/>
  <c r="M485" i="24"/>
  <c r="K485" i="24"/>
  <c r="J485" i="24"/>
  <c r="H485" i="24"/>
  <c r="F485" i="24"/>
  <c r="AG484" i="24"/>
  <c r="AF484" i="24"/>
  <c r="AD484" i="24"/>
  <c r="AC484" i="24"/>
  <c r="Z484" i="24"/>
  <c r="X484" i="24"/>
  <c r="T484" i="24"/>
  <c r="S484" i="24"/>
  <c r="R484" i="24"/>
  <c r="P484" i="24"/>
  <c r="N484" i="24"/>
  <c r="O484" i="24" s="1"/>
  <c r="M484" i="24"/>
  <c r="K484" i="24"/>
  <c r="J484" i="24"/>
  <c r="H484" i="24"/>
  <c r="F484" i="24"/>
  <c r="AG483" i="24"/>
  <c r="AF483" i="24"/>
  <c r="AD483" i="24"/>
  <c r="AC483" i="24"/>
  <c r="Z483" i="24"/>
  <c r="X483" i="24"/>
  <c r="T483" i="24"/>
  <c r="S483" i="24"/>
  <c r="R483" i="24"/>
  <c r="P483" i="24"/>
  <c r="N483" i="24"/>
  <c r="O483" i="24" s="1"/>
  <c r="M483" i="24"/>
  <c r="K483" i="24"/>
  <c r="J483" i="24"/>
  <c r="H483" i="24"/>
  <c r="F483" i="24"/>
  <c r="AG482" i="24"/>
  <c r="AF482" i="24"/>
  <c r="AD482" i="24"/>
  <c r="AC482" i="24"/>
  <c r="Z482" i="24"/>
  <c r="X482" i="24"/>
  <c r="T482" i="24"/>
  <c r="S482" i="24"/>
  <c r="R482" i="24"/>
  <c r="P482" i="24"/>
  <c r="N482" i="24"/>
  <c r="O482" i="24" s="1"/>
  <c r="M482" i="24"/>
  <c r="K482" i="24"/>
  <c r="J482" i="24"/>
  <c r="H482" i="24"/>
  <c r="F482" i="24"/>
  <c r="AG481" i="24"/>
  <c r="AF481" i="24"/>
  <c r="AD481" i="24"/>
  <c r="AC481" i="24"/>
  <c r="Z481" i="24"/>
  <c r="X481" i="24"/>
  <c r="T481" i="24"/>
  <c r="S481" i="24"/>
  <c r="R481" i="24"/>
  <c r="P481" i="24"/>
  <c r="N481" i="24"/>
  <c r="O481" i="24" s="1"/>
  <c r="M481" i="24"/>
  <c r="K481" i="24"/>
  <c r="J481" i="24"/>
  <c r="H481" i="24"/>
  <c r="F481" i="24"/>
  <c r="AG480" i="24"/>
  <c r="AF480" i="24"/>
  <c r="AD480" i="24"/>
  <c r="AC480" i="24"/>
  <c r="Z480" i="24"/>
  <c r="X480" i="24"/>
  <c r="T480" i="24"/>
  <c r="S480" i="24"/>
  <c r="R480" i="24"/>
  <c r="P480" i="24"/>
  <c r="N480" i="24"/>
  <c r="M480" i="24"/>
  <c r="K480" i="24"/>
  <c r="J480" i="24"/>
  <c r="H480" i="24"/>
  <c r="F480" i="24"/>
  <c r="AG479" i="24"/>
  <c r="AF479" i="24"/>
  <c r="AD479" i="24"/>
  <c r="AC479" i="24"/>
  <c r="Z479" i="24"/>
  <c r="X479" i="24"/>
  <c r="T479" i="24"/>
  <c r="S479" i="24"/>
  <c r="R479" i="24"/>
  <c r="P479" i="24"/>
  <c r="N479" i="24"/>
  <c r="M479" i="24"/>
  <c r="K479" i="24"/>
  <c r="J479" i="24"/>
  <c r="H479" i="24"/>
  <c r="F479" i="24"/>
  <c r="AG478" i="24"/>
  <c r="AF478" i="24"/>
  <c r="AD478" i="24"/>
  <c r="AC478" i="24"/>
  <c r="Z478" i="24"/>
  <c r="X478" i="24"/>
  <c r="T478" i="24"/>
  <c r="S478" i="24"/>
  <c r="R478" i="24"/>
  <c r="P478" i="24"/>
  <c r="N478" i="24"/>
  <c r="M478" i="24"/>
  <c r="K478" i="24"/>
  <c r="J478" i="24"/>
  <c r="H478" i="24"/>
  <c r="F478" i="24"/>
  <c r="AG477" i="24"/>
  <c r="AF477" i="24"/>
  <c r="AD477" i="24"/>
  <c r="AC477" i="24"/>
  <c r="Z477" i="24"/>
  <c r="X477" i="24"/>
  <c r="T477" i="24"/>
  <c r="S477" i="24"/>
  <c r="R477" i="24"/>
  <c r="P477" i="24"/>
  <c r="N477" i="24"/>
  <c r="O477" i="24" s="1"/>
  <c r="M477" i="24"/>
  <c r="K477" i="24"/>
  <c r="J477" i="24"/>
  <c r="H477" i="24"/>
  <c r="F477" i="24"/>
  <c r="AG476" i="24"/>
  <c r="AF476" i="24"/>
  <c r="AD476" i="24"/>
  <c r="AC476" i="24"/>
  <c r="Z476" i="24"/>
  <c r="X476" i="24"/>
  <c r="T476" i="24"/>
  <c r="S476" i="24"/>
  <c r="R476" i="24"/>
  <c r="P476" i="24"/>
  <c r="N476" i="24"/>
  <c r="O476" i="24" s="1"/>
  <c r="M476" i="24"/>
  <c r="K476" i="24"/>
  <c r="J476" i="24"/>
  <c r="H476" i="24"/>
  <c r="F476" i="24"/>
  <c r="AG475" i="24"/>
  <c r="AF475" i="24"/>
  <c r="AD475" i="24"/>
  <c r="AC475" i="24"/>
  <c r="Z475" i="24"/>
  <c r="X475" i="24"/>
  <c r="T475" i="24"/>
  <c r="S475" i="24"/>
  <c r="R475" i="24"/>
  <c r="P475" i="24"/>
  <c r="N475" i="24"/>
  <c r="M475" i="24"/>
  <c r="K475" i="24"/>
  <c r="J475" i="24"/>
  <c r="H475" i="24"/>
  <c r="F475" i="24"/>
  <c r="AG474" i="24"/>
  <c r="AF474" i="24"/>
  <c r="AD474" i="24"/>
  <c r="AC474" i="24"/>
  <c r="Z474" i="24"/>
  <c r="X474" i="24"/>
  <c r="T474" i="24"/>
  <c r="S474" i="24"/>
  <c r="R474" i="24"/>
  <c r="P474" i="24"/>
  <c r="N474" i="24"/>
  <c r="O474" i="24" s="1"/>
  <c r="M474" i="24"/>
  <c r="K474" i="24"/>
  <c r="J474" i="24"/>
  <c r="H474" i="24"/>
  <c r="F474" i="24"/>
  <c r="AG473" i="24"/>
  <c r="AF473" i="24"/>
  <c r="AD473" i="24"/>
  <c r="AC473" i="24"/>
  <c r="Z473" i="24"/>
  <c r="X473" i="24"/>
  <c r="T473" i="24"/>
  <c r="S473" i="24"/>
  <c r="R473" i="24"/>
  <c r="P473" i="24"/>
  <c r="N473" i="24"/>
  <c r="O473" i="24" s="1"/>
  <c r="M473" i="24"/>
  <c r="K473" i="24"/>
  <c r="J473" i="24"/>
  <c r="H473" i="24"/>
  <c r="F473" i="24"/>
  <c r="AG472" i="24"/>
  <c r="AF472" i="24"/>
  <c r="AD472" i="24"/>
  <c r="AC472" i="24"/>
  <c r="Z472" i="24"/>
  <c r="X472" i="24"/>
  <c r="T472" i="24"/>
  <c r="S472" i="24"/>
  <c r="R472" i="24"/>
  <c r="P472" i="24"/>
  <c r="N472" i="24"/>
  <c r="O472" i="24" s="1"/>
  <c r="M472" i="24"/>
  <c r="K472" i="24"/>
  <c r="J472" i="24"/>
  <c r="H472" i="24"/>
  <c r="F472" i="24"/>
  <c r="AG471" i="24"/>
  <c r="AF471" i="24"/>
  <c r="AD471" i="24"/>
  <c r="AC471" i="24"/>
  <c r="Z471" i="24"/>
  <c r="X471" i="24"/>
  <c r="T471" i="24"/>
  <c r="S471" i="24"/>
  <c r="R471" i="24"/>
  <c r="P471" i="24"/>
  <c r="N471" i="24"/>
  <c r="O471" i="24" s="1"/>
  <c r="M471" i="24"/>
  <c r="K471" i="24"/>
  <c r="J471" i="24"/>
  <c r="H471" i="24"/>
  <c r="F471" i="24"/>
  <c r="AG470" i="24"/>
  <c r="AF470" i="24"/>
  <c r="AD470" i="24"/>
  <c r="AC470" i="24"/>
  <c r="Z470" i="24"/>
  <c r="X470" i="24"/>
  <c r="T470" i="24"/>
  <c r="S470" i="24"/>
  <c r="R470" i="24"/>
  <c r="P470" i="24"/>
  <c r="N470" i="24"/>
  <c r="O470" i="24" s="1"/>
  <c r="M470" i="24"/>
  <c r="K470" i="24"/>
  <c r="J470" i="24"/>
  <c r="H470" i="24"/>
  <c r="F470" i="24"/>
  <c r="AG469" i="24"/>
  <c r="AF469" i="24"/>
  <c r="AD469" i="24"/>
  <c r="AC469" i="24"/>
  <c r="Z469" i="24"/>
  <c r="X469" i="24"/>
  <c r="T469" i="24"/>
  <c r="S469" i="24"/>
  <c r="R469" i="24"/>
  <c r="P469" i="24"/>
  <c r="N469" i="24"/>
  <c r="O469" i="24" s="1"/>
  <c r="M469" i="24"/>
  <c r="K469" i="24"/>
  <c r="J469" i="24"/>
  <c r="H469" i="24"/>
  <c r="F469" i="24"/>
  <c r="AG468" i="24"/>
  <c r="AF468" i="24"/>
  <c r="AD468" i="24"/>
  <c r="AC468" i="24"/>
  <c r="Z468" i="24"/>
  <c r="X468" i="24"/>
  <c r="T468" i="24"/>
  <c r="S468" i="24"/>
  <c r="R468" i="24"/>
  <c r="P468" i="24"/>
  <c r="N468" i="24"/>
  <c r="O468" i="24" s="1"/>
  <c r="M468" i="24"/>
  <c r="K468" i="24"/>
  <c r="J468" i="24"/>
  <c r="H468" i="24"/>
  <c r="F468" i="24"/>
  <c r="AG467" i="24"/>
  <c r="AF467" i="24"/>
  <c r="AD467" i="24"/>
  <c r="AC467" i="24"/>
  <c r="Z467" i="24"/>
  <c r="X467" i="24"/>
  <c r="T467" i="24"/>
  <c r="S467" i="24"/>
  <c r="R467" i="24"/>
  <c r="P467" i="24"/>
  <c r="N467" i="24"/>
  <c r="O467" i="24" s="1"/>
  <c r="M467" i="24"/>
  <c r="K467" i="24"/>
  <c r="J467" i="24"/>
  <c r="H467" i="24"/>
  <c r="F467" i="24"/>
  <c r="AG466" i="24"/>
  <c r="AF466" i="24"/>
  <c r="AD466" i="24"/>
  <c r="AC466" i="24"/>
  <c r="Z466" i="24"/>
  <c r="X466" i="24"/>
  <c r="T466" i="24"/>
  <c r="S466" i="24"/>
  <c r="R466" i="24"/>
  <c r="P466" i="24"/>
  <c r="N466" i="24"/>
  <c r="O466" i="24" s="1"/>
  <c r="M466" i="24"/>
  <c r="K466" i="24"/>
  <c r="J466" i="24"/>
  <c r="H466" i="24"/>
  <c r="F466" i="24"/>
  <c r="AG465" i="24"/>
  <c r="AF465" i="24"/>
  <c r="AD465" i="24"/>
  <c r="AC465" i="24"/>
  <c r="Z465" i="24"/>
  <c r="X465" i="24"/>
  <c r="T465" i="24"/>
  <c r="S465" i="24"/>
  <c r="R465" i="24"/>
  <c r="P465" i="24"/>
  <c r="N465" i="24"/>
  <c r="O465" i="24" s="1"/>
  <c r="M465" i="24"/>
  <c r="K465" i="24"/>
  <c r="J465" i="24"/>
  <c r="H465" i="24"/>
  <c r="F465" i="24"/>
  <c r="AG464" i="24"/>
  <c r="AF464" i="24"/>
  <c r="AD464" i="24"/>
  <c r="AC464" i="24"/>
  <c r="Z464" i="24"/>
  <c r="X464" i="24"/>
  <c r="T464" i="24"/>
  <c r="S464" i="24"/>
  <c r="R464" i="24"/>
  <c r="P464" i="24"/>
  <c r="N464" i="24"/>
  <c r="O464" i="24" s="1"/>
  <c r="M464" i="24"/>
  <c r="K464" i="24"/>
  <c r="J464" i="24"/>
  <c r="H464" i="24"/>
  <c r="F464" i="24"/>
  <c r="AG463" i="24"/>
  <c r="AF463" i="24"/>
  <c r="AD463" i="24"/>
  <c r="AC463" i="24"/>
  <c r="Z463" i="24"/>
  <c r="X463" i="24"/>
  <c r="T463" i="24"/>
  <c r="S463" i="24"/>
  <c r="R463" i="24"/>
  <c r="P463" i="24"/>
  <c r="N463" i="24"/>
  <c r="M463" i="24"/>
  <c r="K463" i="24"/>
  <c r="J463" i="24"/>
  <c r="H463" i="24"/>
  <c r="F463" i="24"/>
  <c r="AG462" i="24"/>
  <c r="AF462" i="24"/>
  <c r="AD462" i="24"/>
  <c r="AC462" i="24"/>
  <c r="Z462" i="24"/>
  <c r="X462" i="24"/>
  <c r="T462" i="24"/>
  <c r="S462" i="24"/>
  <c r="R462" i="24"/>
  <c r="P462" i="24"/>
  <c r="N462" i="24"/>
  <c r="M462" i="24"/>
  <c r="K462" i="24"/>
  <c r="J462" i="24"/>
  <c r="H462" i="24"/>
  <c r="F462" i="24"/>
  <c r="AG461" i="24"/>
  <c r="AF461" i="24"/>
  <c r="AD461" i="24"/>
  <c r="AC461" i="24"/>
  <c r="Z461" i="24"/>
  <c r="X461" i="24"/>
  <c r="T461" i="24"/>
  <c r="S461" i="24"/>
  <c r="R461" i="24"/>
  <c r="P461" i="24"/>
  <c r="N461" i="24"/>
  <c r="O461" i="24" s="1"/>
  <c r="M461" i="24"/>
  <c r="K461" i="24"/>
  <c r="J461" i="24"/>
  <c r="H461" i="24"/>
  <c r="F461" i="24"/>
  <c r="AG460" i="24"/>
  <c r="AF460" i="24"/>
  <c r="AD460" i="24"/>
  <c r="AC460" i="24"/>
  <c r="Z460" i="24"/>
  <c r="X460" i="24"/>
  <c r="T460" i="24"/>
  <c r="S460" i="24"/>
  <c r="R460" i="24"/>
  <c r="P460" i="24"/>
  <c r="N460" i="24"/>
  <c r="O460" i="24" s="1"/>
  <c r="M460" i="24"/>
  <c r="K460" i="24"/>
  <c r="J460" i="24"/>
  <c r="H460" i="24"/>
  <c r="F460" i="24"/>
  <c r="AG459" i="24"/>
  <c r="AF459" i="24"/>
  <c r="AD459" i="24"/>
  <c r="AC459" i="24"/>
  <c r="Z459" i="24"/>
  <c r="X459" i="24"/>
  <c r="T504" i="24"/>
  <c r="S504" i="24"/>
  <c r="R504" i="24"/>
  <c r="P504" i="24"/>
  <c r="N504" i="24"/>
  <c r="O504" i="24" s="1"/>
  <c r="M504" i="24"/>
  <c r="K504" i="24"/>
  <c r="J504" i="24"/>
  <c r="H504" i="24"/>
  <c r="F504" i="24"/>
  <c r="AG458" i="24"/>
  <c r="AF458" i="24"/>
  <c r="AD458" i="24"/>
  <c r="AC458" i="24"/>
  <c r="Z458" i="24"/>
  <c r="X458" i="24"/>
  <c r="T499" i="24"/>
  <c r="S499" i="24"/>
  <c r="R499" i="24"/>
  <c r="P499" i="24"/>
  <c r="N499" i="24"/>
  <c r="O499" i="24" s="1"/>
  <c r="M499" i="24"/>
  <c r="K499" i="24"/>
  <c r="J499" i="24"/>
  <c r="H499" i="24"/>
  <c r="F499" i="24"/>
  <c r="AG457" i="24"/>
  <c r="AF457" i="24"/>
  <c r="AD457" i="24"/>
  <c r="AC457" i="24"/>
  <c r="Z457" i="24"/>
  <c r="X457" i="24"/>
  <c r="T497" i="24"/>
  <c r="S497" i="24"/>
  <c r="R497" i="24"/>
  <c r="P497" i="24"/>
  <c r="N497" i="24"/>
  <c r="O497" i="24" s="1"/>
  <c r="M497" i="24"/>
  <c r="K497" i="24"/>
  <c r="J497" i="24"/>
  <c r="H497" i="24"/>
  <c r="F497" i="24"/>
  <c r="AG456" i="24"/>
  <c r="AF456" i="24"/>
  <c r="AD456" i="24"/>
  <c r="AC456" i="24"/>
  <c r="Z456" i="24"/>
  <c r="X456" i="24"/>
  <c r="T456" i="24"/>
  <c r="S456" i="24"/>
  <c r="R456" i="24"/>
  <c r="P456" i="24"/>
  <c r="N456" i="24"/>
  <c r="M456" i="24"/>
  <c r="K456" i="24"/>
  <c r="J456" i="24"/>
  <c r="H456" i="24"/>
  <c r="F456" i="24"/>
  <c r="AG455" i="24"/>
  <c r="AF455" i="24"/>
  <c r="AD455" i="24"/>
  <c r="AC455" i="24"/>
  <c r="Z455" i="24"/>
  <c r="X455" i="24"/>
  <c r="T455" i="24"/>
  <c r="S455" i="24"/>
  <c r="R455" i="24"/>
  <c r="P455" i="24"/>
  <c r="N455" i="24"/>
  <c r="O455" i="24" s="1"/>
  <c r="M455" i="24"/>
  <c r="K455" i="24"/>
  <c r="J455" i="24"/>
  <c r="H455" i="24"/>
  <c r="F455" i="24"/>
  <c r="AG454" i="24"/>
  <c r="AF454" i="24"/>
  <c r="AD454" i="24"/>
  <c r="AC454" i="24"/>
  <c r="Z454" i="24"/>
  <c r="X454" i="24"/>
  <c r="T454" i="24"/>
  <c r="S454" i="24"/>
  <c r="R454" i="24"/>
  <c r="P454" i="24"/>
  <c r="N454" i="24"/>
  <c r="O454" i="24" s="1"/>
  <c r="M454" i="24"/>
  <c r="K454" i="24"/>
  <c r="J454" i="24"/>
  <c r="H454" i="24"/>
  <c r="F454" i="24"/>
  <c r="AG453" i="24"/>
  <c r="AF453" i="24"/>
  <c r="AD453" i="24"/>
  <c r="AC453" i="24"/>
  <c r="Z453" i="24"/>
  <c r="X453" i="24"/>
  <c r="T453" i="24"/>
  <c r="S453" i="24"/>
  <c r="R453" i="24"/>
  <c r="P453" i="24"/>
  <c r="N453" i="24"/>
  <c r="O453" i="24" s="1"/>
  <c r="M453" i="24"/>
  <c r="K453" i="24"/>
  <c r="J453" i="24"/>
  <c r="H453" i="24"/>
  <c r="F453" i="24"/>
  <c r="AG452" i="24"/>
  <c r="AF452" i="24"/>
  <c r="AD452" i="24"/>
  <c r="AC452" i="24"/>
  <c r="Z452" i="24"/>
  <c r="X452" i="24"/>
  <c r="T452" i="24"/>
  <c r="S452" i="24"/>
  <c r="R452" i="24"/>
  <c r="P452" i="24"/>
  <c r="N452" i="24"/>
  <c r="O452" i="24" s="1"/>
  <c r="M452" i="24"/>
  <c r="K452" i="24"/>
  <c r="J452" i="24"/>
  <c r="H452" i="24"/>
  <c r="F452" i="24"/>
  <c r="AG451" i="24"/>
  <c r="AF451" i="24"/>
  <c r="AD451" i="24"/>
  <c r="AC451" i="24"/>
  <c r="Z451" i="24"/>
  <c r="X451" i="24"/>
  <c r="T451" i="24"/>
  <c r="S451" i="24"/>
  <c r="R451" i="24"/>
  <c r="P451" i="24"/>
  <c r="N451" i="24"/>
  <c r="O451" i="24" s="1"/>
  <c r="M451" i="24"/>
  <c r="K451" i="24"/>
  <c r="J451" i="24"/>
  <c r="H451" i="24"/>
  <c r="F451" i="24"/>
  <c r="AG450" i="24"/>
  <c r="AF450" i="24"/>
  <c r="AD450" i="24"/>
  <c r="AC450" i="24"/>
  <c r="Z450" i="24"/>
  <c r="X450" i="24"/>
  <c r="T450" i="24"/>
  <c r="S450" i="24"/>
  <c r="R450" i="24"/>
  <c r="P450" i="24"/>
  <c r="N450" i="24"/>
  <c r="O450" i="24" s="1"/>
  <c r="M450" i="24"/>
  <c r="K450" i="24"/>
  <c r="J450" i="24"/>
  <c r="H450" i="24"/>
  <c r="F450" i="24"/>
  <c r="AG449" i="24"/>
  <c r="AF449" i="24"/>
  <c r="AD449" i="24"/>
  <c r="AC449" i="24"/>
  <c r="Z449" i="24"/>
  <c r="X449" i="24"/>
  <c r="T449" i="24"/>
  <c r="S449" i="24"/>
  <c r="R449" i="24"/>
  <c r="P449" i="24"/>
  <c r="N449" i="24"/>
  <c r="O449" i="24" s="1"/>
  <c r="M449" i="24"/>
  <c r="K449" i="24"/>
  <c r="J449" i="24"/>
  <c r="H449" i="24"/>
  <c r="F449" i="24"/>
  <c r="AG448" i="24"/>
  <c r="AF448" i="24"/>
  <c r="AD448" i="24"/>
  <c r="AC448" i="24"/>
  <c r="Z448" i="24"/>
  <c r="X448" i="24"/>
  <c r="T448" i="24"/>
  <c r="S448" i="24"/>
  <c r="R448" i="24"/>
  <c r="P448" i="24"/>
  <c r="N448" i="24"/>
  <c r="O448" i="24" s="1"/>
  <c r="M448" i="24"/>
  <c r="K448" i="24"/>
  <c r="J448" i="24"/>
  <c r="H448" i="24"/>
  <c r="F448" i="24"/>
  <c r="AG447" i="24"/>
  <c r="AF447" i="24"/>
  <c r="AD447" i="24"/>
  <c r="AC447" i="24"/>
  <c r="Z447" i="24"/>
  <c r="X447" i="24"/>
  <c r="T447" i="24"/>
  <c r="S447" i="24"/>
  <c r="R447" i="24"/>
  <c r="P447" i="24"/>
  <c r="N447" i="24"/>
  <c r="O447" i="24" s="1"/>
  <c r="M447" i="24"/>
  <c r="K447" i="24"/>
  <c r="J447" i="24"/>
  <c r="H447" i="24"/>
  <c r="F447" i="24"/>
  <c r="AG446" i="24"/>
  <c r="AF446" i="24"/>
  <c r="AD446" i="24"/>
  <c r="AC446" i="24"/>
  <c r="Z446" i="24"/>
  <c r="X446" i="24"/>
  <c r="T446" i="24"/>
  <c r="S446" i="24"/>
  <c r="R446" i="24"/>
  <c r="P446" i="24"/>
  <c r="N446" i="24"/>
  <c r="O446" i="24" s="1"/>
  <c r="M446" i="24"/>
  <c r="K446" i="24"/>
  <c r="J446" i="24"/>
  <c r="H446" i="24"/>
  <c r="F446" i="24"/>
  <c r="AG445" i="24"/>
  <c r="AF445" i="24"/>
  <c r="AD445" i="24"/>
  <c r="AC445" i="24"/>
  <c r="Z445" i="24"/>
  <c r="X445" i="24"/>
  <c r="T445" i="24"/>
  <c r="S445" i="24"/>
  <c r="R445" i="24"/>
  <c r="P445" i="24"/>
  <c r="N445" i="24"/>
  <c r="O445" i="24" s="1"/>
  <c r="M445" i="24"/>
  <c r="K445" i="24"/>
  <c r="J445" i="24"/>
  <c r="H445" i="24"/>
  <c r="F445" i="24"/>
  <c r="AG444" i="24"/>
  <c r="AF444" i="24"/>
  <c r="AD444" i="24"/>
  <c r="AC444" i="24"/>
  <c r="Z444" i="24"/>
  <c r="X444" i="24"/>
  <c r="T444" i="24"/>
  <c r="S444" i="24"/>
  <c r="R444" i="24"/>
  <c r="P444" i="24"/>
  <c r="N444" i="24"/>
  <c r="O444" i="24" s="1"/>
  <c r="M444" i="24"/>
  <c r="K444" i="24"/>
  <c r="J444" i="24"/>
  <c r="H444" i="24"/>
  <c r="F444" i="24"/>
  <c r="AG443" i="24"/>
  <c r="AF443" i="24"/>
  <c r="AD443" i="24"/>
  <c r="AC443" i="24"/>
  <c r="Z443" i="24"/>
  <c r="X443" i="24"/>
  <c r="T443" i="24"/>
  <c r="S443" i="24"/>
  <c r="R443" i="24"/>
  <c r="P443" i="24"/>
  <c r="N443" i="24"/>
  <c r="M443" i="24"/>
  <c r="K443" i="24"/>
  <c r="J443" i="24"/>
  <c r="H443" i="24"/>
  <c r="F443" i="24"/>
  <c r="AG442" i="24"/>
  <c r="AF442" i="24"/>
  <c r="AD442" i="24"/>
  <c r="AC442" i="24"/>
  <c r="Z442" i="24"/>
  <c r="X442" i="24"/>
  <c r="T442" i="24"/>
  <c r="S442" i="24"/>
  <c r="R442" i="24"/>
  <c r="P442" i="24"/>
  <c r="N442" i="24"/>
  <c r="M442" i="24"/>
  <c r="K442" i="24"/>
  <c r="J442" i="24"/>
  <c r="H442" i="24"/>
  <c r="F442" i="24"/>
  <c r="AG441" i="24"/>
  <c r="AF441" i="24"/>
  <c r="AD441" i="24"/>
  <c r="AC441" i="24"/>
  <c r="Z441" i="24"/>
  <c r="X441" i="24"/>
  <c r="T441" i="24"/>
  <c r="S441" i="24"/>
  <c r="R441" i="24"/>
  <c r="P441" i="24"/>
  <c r="N441" i="24"/>
  <c r="O441" i="24" s="1"/>
  <c r="M441" i="24"/>
  <c r="K441" i="24"/>
  <c r="J441" i="24"/>
  <c r="H441" i="24"/>
  <c r="F441" i="24"/>
  <c r="AG440" i="24"/>
  <c r="AF440" i="24"/>
  <c r="AD440" i="24"/>
  <c r="AC440" i="24"/>
  <c r="Z440" i="24"/>
  <c r="X440" i="24"/>
  <c r="T440" i="24"/>
  <c r="S440" i="24"/>
  <c r="R440" i="24"/>
  <c r="P440" i="24"/>
  <c r="N440" i="24"/>
  <c r="M440" i="24"/>
  <c r="K440" i="24"/>
  <c r="J440" i="24"/>
  <c r="H440" i="24"/>
  <c r="F440" i="24"/>
  <c r="AG439" i="24"/>
  <c r="AF439" i="24"/>
  <c r="AD439" i="24"/>
  <c r="AC439" i="24"/>
  <c r="Z439" i="24"/>
  <c r="X439" i="24"/>
  <c r="T439" i="24"/>
  <c r="S439" i="24"/>
  <c r="R439" i="24"/>
  <c r="P439" i="24"/>
  <c r="N439" i="24"/>
  <c r="O439" i="24" s="1"/>
  <c r="M439" i="24"/>
  <c r="K439" i="24"/>
  <c r="J439" i="24"/>
  <c r="H439" i="24"/>
  <c r="F439" i="24"/>
  <c r="AG438" i="24"/>
  <c r="AF438" i="24"/>
  <c r="AD438" i="24"/>
  <c r="AC438" i="24"/>
  <c r="Z438" i="24"/>
  <c r="X438" i="24"/>
  <c r="T438" i="24"/>
  <c r="S438" i="24"/>
  <c r="R438" i="24"/>
  <c r="P438" i="24"/>
  <c r="N438" i="24"/>
  <c r="O438" i="24" s="1"/>
  <c r="M438" i="24"/>
  <c r="K438" i="24"/>
  <c r="J438" i="24"/>
  <c r="H438" i="24"/>
  <c r="F438" i="24"/>
  <c r="AG437" i="24"/>
  <c r="AF437" i="24"/>
  <c r="AD437" i="24"/>
  <c r="AC437" i="24"/>
  <c r="Z437" i="24"/>
  <c r="X437" i="24"/>
  <c r="T437" i="24"/>
  <c r="S437" i="24"/>
  <c r="R437" i="24"/>
  <c r="P437" i="24"/>
  <c r="N437" i="24"/>
  <c r="O437" i="24" s="1"/>
  <c r="M437" i="24"/>
  <c r="K437" i="24"/>
  <c r="J437" i="24"/>
  <c r="H437" i="24"/>
  <c r="F437" i="24"/>
  <c r="AG436" i="24"/>
  <c r="AF436" i="24"/>
  <c r="AD436" i="24"/>
  <c r="AC436" i="24"/>
  <c r="Z436" i="24"/>
  <c r="X436" i="24"/>
  <c r="T436" i="24"/>
  <c r="S436" i="24"/>
  <c r="R436" i="24"/>
  <c r="P436" i="24"/>
  <c r="N436" i="24"/>
  <c r="O436" i="24" s="1"/>
  <c r="M436" i="24"/>
  <c r="K436" i="24"/>
  <c r="J436" i="24"/>
  <c r="H436" i="24"/>
  <c r="F436" i="24"/>
  <c r="AG435" i="24"/>
  <c r="AF435" i="24"/>
  <c r="AD435" i="24"/>
  <c r="AC435" i="24"/>
  <c r="Z435" i="24"/>
  <c r="X435" i="24"/>
  <c r="T435" i="24"/>
  <c r="S435" i="24"/>
  <c r="R435" i="24"/>
  <c r="P435" i="24"/>
  <c r="N435" i="24"/>
  <c r="M435" i="24"/>
  <c r="K435" i="24"/>
  <c r="J435" i="24"/>
  <c r="H435" i="24"/>
  <c r="F435" i="24"/>
  <c r="AG434" i="24"/>
  <c r="AF434" i="24"/>
  <c r="AD434" i="24"/>
  <c r="AC434" i="24"/>
  <c r="Z434" i="24"/>
  <c r="X434" i="24"/>
  <c r="T434" i="24"/>
  <c r="S434" i="24"/>
  <c r="R434" i="24"/>
  <c r="P434" i="24"/>
  <c r="N434" i="24"/>
  <c r="O434" i="24" s="1"/>
  <c r="M434" i="24"/>
  <c r="K434" i="24"/>
  <c r="J434" i="24"/>
  <c r="H434" i="24"/>
  <c r="F434" i="24"/>
  <c r="AG433" i="24"/>
  <c r="AF433" i="24"/>
  <c r="AD433" i="24"/>
  <c r="AC433" i="24"/>
  <c r="Z433" i="24"/>
  <c r="X433" i="24"/>
  <c r="T433" i="24"/>
  <c r="S433" i="24"/>
  <c r="R433" i="24"/>
  <c r="P433" i="24"/>
  <c r="N433" i="24"/>
  <c r="M433" i="24"/>
  <c r="K433" i="24"/>
  <c r="J433" i="24"/>
  <c r="H433" i="24"/>
  <c r="F433" i="24"/>
  <c r="AG432" i="24"/>
  <c r="AF432" i="24"/>
  <c r="AD432" i="24"/>
  <c r="AC432" i="24"/>
  <c r="Z432" i="24"/>
  <c r="X432" i="24"/>
  <c r="T432" i="24"/>
  <c r="S432" i="24"/>
  <c r="R432" i="24"/>
  <c r="P432" i="24"/>
  <c r="N432" i="24"/>
  <c r="O432" i="24" s="1"/>
  <c r="M432" i="24"/>
  <c r="K432" i="24"/>
  <c r="J432" i="24"/>
  <c r="H432" i="24"/>
  <c r="F432" i="24"/>
  <c r="AG431" i="24"/>
  <c r="AF431" i="24"/>
  <c r="AD431" i="24"/>
  <c r="AC431" i="24"/>
  <c r="Z431" i="24"/>
  <c r="X431" i="24"/>
  <c r="T431" i="24"/>
  <c r="S431" i="24"/>
  <c r="R431" i="24"/>
  <c r="P431" i="24"/>
  <c r="N431" i="24"/>
  <c r="O431" i="24" s="1"/>
  <c r="M431" i="24"/>
  <c r="K431" i="24"/>
  <c r="J431" i="24"/>
  <c r="H431" i="24"/>
  <c r="F431" i="24"/>
  <c r="AG430" i="24"/>
  <c r="AF430" i="24"/>
  <c r="AD430" i="24"/>
  <c r="AC430" i="24"/>
  <c r="Z430" i="24"/>
  <c r="X430" i="24"/>
  <c r="T430" i="24"/>
  <c r="S430" i="24"/>
  <c r="R430" i="24"/>
  <c r="P430" i="24"/>
  <c r="N430" i="24"/>
  <c r="M430" i="24"/>
  <c r="K430" i="24"/>
  <c r="J430" i="24"/>
  <c r="H430" i="24"/>
  <c r="F430" i="24"/>
  <c r="AG429" i="24"/>
  <c r="AF429" i="24"/>
  <c r="AD429" i="24"/>
  <c r="AC429" i="24"/>
  <c r="Z429" i="24"/>
  <c r="X429" i="24"/>
  <c r="T429" i="24"/>
  <c r="S429" i="24"/>
  <c r="R429" i="24"/>
  <c r="P429" i="24"/>
  <c r="N429" i="24"/>
  <c r="O429" i="24" s="1"/>
  <c r="M429" i="24"/>
  <c r="K429" i="24"/>
  <c r="J429" i="24"/>
  <c r="H429" i="24"/>
  <c r="F429" i="24"/>
  <c r="AG428" i="24"/>
  <c r="AF428" i="24"/>
  <c r="AD428" i="24"/>
  <c r="AC428" i="24"/>
  <c r="Z428" i="24"/>
  <c r="X428" i="24"/>
  <c r="T428" i="24"/>
  <c r="S428" i="24"/>
  <c r="R428" i="24"/>
  <c r="P428" i="24"/>
  <c r="N428" i="24"/>
  <c r="O428" i="24" s="1"/>
  <c r="M428" i="24"/>
  <c r="K428" i="24"/>
  <c r="J428" i="24"/>
  <c r="H428" i="24"/>
  <c r="F428" i="24"/>
  <c r="AG427" i="24"/>
  <c r="AF427" i="24"/>
  <c r="AD427" i="24"/>
  <c r="AC427" i="24"/>
  <c r="Z427" i="24"/>
  <c r="X427" i="24"/>
  <c r="T427" i="24"/>
  <c r="S427" i="24"/>
  <c r="R427" i="24"/>
  <c r="P427" i="24"/>
  <c r="N427" i="24"/>
  <c r="O427" i="24" s="1"/>
  <c r="M427" i="24"/>
  <c r="K427" i="24"/>
  <c r="J427" i="24"/>
  <c r="H427" i="24"/>
  <c r="F427" i="24"/>
  <c r="AG426" i="24"/>
  <c r="AF426" i="24"/>
  <c r="AD426" i="24"/>
  <c r="AC426" i="24"/>
  <c r="Z426" i="24"/>
  <c r="X426" i="24"/>
  <c r="T426" i="24"/>
  <c r="S426" i="24"/>
  <c r="R426" i="24"/>
  <c r="P426" i="24"/>
  <c r="N426" i="24"/>
  <c r="O426" i="24" s="1"/>
  <c r="M426" i="24"/>
  <c r="K426" i="24"/>
  <c r="J426" i="24"/>
  <c r="H426" i="24"/>
  <c r="F426" i="24"/>
  <c r="AG425" i="24"/>
  <c r="AF425" i="24"/>
  <c r="AD425" i="24"/>
  <c r="AC425" i="24"/>
  <c r="Z425" i="24"/>
  <c r="X425" i="24"/>
  <c r="T425" i="24"/>
  <c r="S425" i="24"/>
  <c r="R425" i="24"/>
  <c r="P425" i="24"/>
  <c r="N425" i="24"/>
  <c r="O425" i="24" s="1"/>
  <c r="M425" i="24"/>
  <c r="K425" i="24"/>
  <c r="J425" i="24"/>
  <c r="H425" i="24"/>
  <c r="F425" i="24"/>
  <c r="AG424" i="24"/>
  <c r="AF424" i="24"/>
  <c r="AD424" i="24"/>
  <c r="AC424" i="24"/>
  <c r="Z424" i="24"/>
  <c r="X424" i="24"/>
  <c r="T458" i="24"/>
  <c r="S458" i="24"/>
  <c r="R458" i="24"/>
  <c r="P458" i="24"/>
  <c r="N458" i="24"/>
  <c r="O458" i="24" s="1"/>
  <c r="M458" i="24"/>
  <c r="K458" i="24"/>
  <c r="J458" i="24"/>
  <c r="H458" i="24"/>
  <c r="F458" i="24"/>
  <c r="AG423" i="24"/>
  <c r="AF423" i="24"/>
  <c r="AD423" i="24"/>
  <c r="AC423" i="24"/>
  <c r="Z423" i="24"/>
  <c r="X423" i="24"/>
  <c r="T423" i="24"/>
  <c r="S423" i="24"/>
  <c r="R423" i="24"/>
  <c r="P423" i="24"/>
  <c r="N423" i="24"/>
  <c r="O423" i="24" s="1"/>
  <c r="M423" i="24"/>
  <c r="K423" i="24"/>
  <c r="J423" i="24"/>
  <c r="H423" i="24"/>
  <c r="F423" i="24"/>
  <c r="AG422" i="24"/>
  <c r="AF422" i="24"/>
  <c r="AD422" i="24"/>
  <c r="AC422" i="24"/>
  <c r="Z422" i="24"/>
  <c r="X422" i="24"/>
  <c r="T422" i="24"/>
  <c r="S422" i="24"/>
  <c r="R422" i="24"/>
  <c r="P422" i="24"/>
  <c r="N422" i="24"/>
  <c r="O422" i="24" s="1"/>
  <c r="M422" i="24"/>
  <c r="K422" i="24"/>
  <c r="J422" i="24"/>
  <c r="H422" i="24"/>
  <c r="F422" i="24"/>
  <c r="AG421" i="24"/>
  <c r="AF421" i="24"/>
  <c r="AD421" i="24"/>
  <c r="AC421" i="24"/>
  <c r="Z421" i="24"/>
  <c r="X421" i="24"/>
  <c r="T421" i="24"/>
  <c r="S421" i="24"/>
  <c r="R421" i="24"/>
  <c r="P421" i="24"/>
  <c r="N421" i="24"/>
  <c r="O421" i="24" s="1"/>
  <c r="M421" i="24"/>
  <c r="K421" i="24"/>
  <c r="J421" i="24"/>
  <c r="H421" i="24"/>
  <c r="F421" i="24"/>
  <c r="AG420" i="24"/>
  <c r="AF420" i="24"/>
  <c r="AD420" i="24"/>
  <c r="AC420" i="24"/>
  <c r="Z420" i="24"/>
  <c r="X420" i="24"/>
  <c r="T420" i="24"/>
  <c r="S420" i="24"/>
  <c r="R420" i="24"/>
  <c r="P420" i="24"/>
  <c r="N420" i="24"/>
  <c r="O420" i="24" s="1"/>
  <c r="M420" i="24"/>
  <c r="K420" i="24"/>
  <c r="J420" i="24"/>
  <c r="H420" i="24"/>
  <c r="F420" i="24"/>
  <c r="AG419" i="24"/>
  <c r="AF419" i="24"/>
  <c r="AD419" i="24"/>
  <c r="AC419" i="24"/>
  <c r="Z419" i="24"/>
  <c r="X419" i="24"/>
  <c r="T419" i="24"/>
  <c r="S419" i="24"/>
  <c r="R419" i="24"/>
  <c r="P419" i="24"/>
  <c r="N419" i="24"/>
  <c r="M419" i="24"/>
  <c r="K419" i="24"/>
  <c r="J419" i="24"/>
  <c r="H419" i="24"/>
  <c r="F419" i="24"/>
  <c r="AG418" i="24"/>
  <c r="AF418" i="24"/>
  <c r="AD418" i="24"/>
  <c r="AC418" i="24"/>
  <c r="Z418" i="24"/>
  <c r="X418" i="24"/>
  <c r="T418" i="24"/>
  <c r="S418" i="24"/>
  <c r="R418" i="24"/>
  <c r="P418" i="24"/>
  <c r="N418" i="24"/>
  <c r="M418" i="24"/>
  <c r="K418" i="24"/>
  <c r="J418" i="24"/>
  <c r="H418" i="24"/>
  <c r="F418" i="24"/>
  <c r="AG417" i="24"/>
  <c r="AF417" i="24"/>
  <c r="AD417" i="24"/>
  <c r="AC417" i="24"/>
  <c r="Z417" i="24"/>
  <c r="X417" i="24"/>
  <c r="T417" i="24"/>
  <c r="S417" i="24"/>
  <c r="R417" i="24"/>
  <c r="P417" i="24"/>
  <c r="N417" i="24"/>
  <c r="O417" i="24" s="1"/>
  <c r="M417" i="24"/>
  <c r="K417" i="24"/>
  <c r="J417" i="24"/>
  <c r="H417" i="24"/>
  <c r="F417" i="24"/>
  <c r="AG416" i="24"/>
  <c r="AF416" i="24"/>
  <c r="AD416" i="24"/>
  <c r="AC416" i="24"/>
  <c r="Z416" i="24"/>
  <c r="X416" i="24"/>
  <c r="T416" i="24"/>
  <c r="S416" i="24"/>
  <c r="R416" i="24"/>
  <c r="P416" i="24"/>
  <c r="N416" i="24"/>
  <c r="O416" i="24" s="1"/>
  <c r="M416" i="24"/>
  <c r="K416" i="24"/>
  <c r="J416" i="24"/>
  <c r="H416" i="24"/>
  <c r="F416" i="24"/>
  <c r="AG415" i="24"/>
  <c r="AF415" i="24"/>
  <c r="AD415" i="24"/>
  <c r="AC415" i="24"/>
  <c r="Z415" i="24"/>
  <c r="X415" i="24"/>
  <c r="T415" i="24"/>
  <c r="S415" i="24"/>
  <c r="R415" i="24"/>
  <c r="P415" i="24"/>
  <c r="N415" i="24"/>
  <c r="O415" i="24" s="1"/>
  <c r="M415" i="24"/>
  <c r="K415" i="24"/>
  <c r="J415" i="24"/>
  <c r="H415" i="24"/>
  <c r="F415" i="24"/>
  <c r="AG414" i="24"/>
  <c r="AF414" i="24"/>
  <c r="AD414" i="24"/>
  <c r="AC414" i="24"/>
  <c r="Z414" i="24"/>
  <c r="X414" i="24"/>
  <c r="T414" i="24"/>
  <c r="S414" i="24"/>
  <c r="R414" i="24"/>
  <c r="P414" i="24"/>
  <c r="N414" i="24"/>
  <c r="O414" i="24" s="1"/>
  <c r="M414" i="24"/>
  <c r="K414" i="24"/>
  <c r="J414" i="24"/>
  <c r="H414" i="24"/>
  <c r="F414" i="24"/>
  <c r="AG413" i="24"/>
  <c r="AF413" i="24"/>
  <c r="AD413" i="24"/>
  <c r="AC413" i="24"/>
  <c r="Z413" i="24"/>
  <c r="X413" i="24"/>
  <c r="T413" i="24"/>
  <c r="S413" i="24"/>
  <c r="R413" i="24"/>
  <c r="P413" i="24"/>
  <c r="N413" i="24"/>
  <c r="O413" i="24" s="1"/>
  <c r="M413" i="24"/>
  <c r="K413" i="24"/>
  <c r="J413" i="24"/>
  <c r="H413" i="24"/>
  <c r="F413" i="24"/>
  <c r="AG412" i="24"/>
  <c r="AF412" i="24"/>
  <c r="AD412" i="24"/>
  <c r="AC412" i="24"/>
  <c r="Z412" i="24"/>
  <c r="X412" i="24"/>
  <c r="T412" i="24"/>
  <c r="S412" i="24"/>
  <c r="R412" i="24"/>
  <c r="P412" i="24"/>
  <c r="N412" i="24"/>
  <c r="M412" i="24"/>
  <c r="K412" i="24"/>
  <c r="J412" i="24"/>
  <c r="H412" i="24"/>
  <c r="F412" i="24"/>
  <c r="AG411" i="24"/>
  <c r="AF411" i="24"/>
  <c r="AD411" i="24"/>
  <c r="AC411" i="24"/>
  <c r="Z411" i="24"/>
  <c r="X411" i="24"/>
  <c r="T411" i="24"/>
  <c r="S411" i="24"/>
  <c r="R411" i="24"/>
  <c r="P411" i="24"/>
  <c r="N411" i="24"/>
  <c r="M411" i="24"/>
  <c r="K411" i="24"/>
  <c r="J411" i="24"/>
  <c r="H411" i="24"/>
  <c r="F411" i="24"/>
  <c r="AG410" i="24"/>
  <c r="AF410" i="24"/>
  <c r="AD410" i="24"/>
  <c r="AC410" i="24"/>
  <c r="Z410" i="24"/>
  <c r="X410" i="24"/>
  <c r="T410" i="24"/>
  <c r="S410" i="24"/>
  <c r="R410" i="24"/>
  <c r="P410" i="24"/>
  <c r="N410" i="24"/>
  <c r="O410" i="24" s="1"/>
  <c r="M410" i="24"/>
  <c r="K410" i="24"/>
  <c r="J410" i="24"/>
  <c r="H410" i="24"/>
  <c r="F410" i="24"/>
  <c r="AG409" i="24"/>
  <c r="AF409" i="24"/>
  <c r="AD409" i="24"/>
  <c r="AC409" i="24"/>
  <c r="Z409" i="24"/>
  <c r="X409" i="24"/>
  <c r="T409" i="24"/>
  <c r="S409" i="24"/>
  <c r="R409" i="24"/>
  <c r="P409" i="24"/>
  <c r="N409" i="24"/>
  <c r="M409" i="24"/>
  <c r="K409" i="24"/>
  <c r="J409" i="24"/>
  <c r="H409" i="24"/>
  <c r="F409" i="24"/>
  <c r="AG408" i="24"/>
  <c r="AF408" i="24"/>
  <c r="AD408" i="24"/>
  <c r="AC408" i="24"/>
  <c r="Z408" i="24"/>
  <c r="X408" i="24"/>
  <c r="T408" i="24"/>
  <c r="S408" i="24"/>
  <c r="R408" i="24"/>
  <c r="P408" i="24"/>
  <c r="N408" i="24"/>
  <c r="O408" i="24" s="1"/>
  <c r="M408" i="24"/>
  <c r="K408" i="24"/>
  <c r="J408" i="24"/>
  <c r="H408" i="24"/>
  <c r="F408" i="24"/>
  <c r="AG407" i="24"/>
  <c r="AF407" i="24"/>
  <c r="AD407" i="24"/>
  <c r="AC407" i="24"/>
  <c r="Z407" i="24"/>
  <c r="X407" i="24"/>
  <c r="T407" i="24"/>
  <c r="S407" i="24"/>
  <c r="R407" i="24"/>
  <c r="P407" i="24"/>
  <c r="N407" i="24"/>
  <c r="O407" i="24" s="1"/>
  <c r="M407" i="24"/>
  <c r="K407" i="24"/>
  <c r="J407" i="24"/>
  <c r="H407" i="24"/>
  <c r="F407" i="24"/>
  <c r="AG406" i="24"/>
  <c r="AF406" i="24"/>
  <c r="AD406" i="24"/>
  <c r="AC406" i="24"/>
  <c r="Z406" i="24"/>
  <c r="X406" i="24"/>
  <c r="T406" i="24"/>
  <c r="S406" i="24"/>
  <c r="R406" i="24"/>
  <c r="P406" i="24"/>
  <c r="N406" i="24"/>
  <c r="M406" i="24"/>
  <c r="K406" i="24"/>
  <c r="J406" i="24"/>
  <c r="H406" i="24"/>
  <c r="F406" i="24"/>
  <c r="AG405" i="24"/>
  <c r="AF405" i="24"/>
  <c r="AD405" i="24"/>
  <c r="AC405" i="24"/>
  <c r="Z405" i="24"/>
  <c r="X405" i="24"/>
  <c r="T424" i="24"/>
  <c r="S424" i="24"/>
  <c r="R424" i="24"/>
  <c r="P424" i="24"/>
  <c r="N424" i="24"/>
  <c r="M424" i="24"/>
  <c r="K424" i="24"/>
  <c r="J424" i="24"/>
  <c r="H424" i="24"/>
  <c r="F424" i="24"/>
  <c r="AG404" i="24"/>
  <c r="AF404" i="24"/>
  <c r="AD404" i="24"/>
  <c r="AC404" i="24"/>
  <c r="Z404" i="24"/>
  <c r="X404" i="24"/>
  <c r="T404" i="24"/>
  <c r="S404" i="24"/>
  <c r="R404" i="24"/>
  <c r="P404" i="24"/>
  <c r="N404" i="24"/>
  <c r="O404" i="24" s="1"/>
  <c r="M404" i="24"/>
  <c r="K404" i="24"/>
  <c r="J404" i="24"/>
  <c r="H404" i="24"/>
  <c r="F404" i="24"/>
  <c r="AG403" i="24"/>
  <c r="AF403" i="24"/>
  <c r="AD403" i="24"/>
  <c r="AC403" i="24"/>
  <c r="Z403" i="24"/>
  <c r="X403" i="24"/>
  <c r="T457" i="24"/>
  <c r="S457" i="24"/>
  <c r="R457" i="24"/>
  <c r="P457" i="24"/>
  <c r="N457" i="24"/>
  <c r="O457" i="24" s="1"/>
  <c r="M457" i="24"/>
  <c r="K457" i="24"/>
  <c r="J457" i="24"/>
  <c r="H457" i="24"/>
  <c r="F457" i="24"/>
  <c r="AG402" i="24"/>
  <c r="AF402" i="24"/>
  <c r="AD402" i="24"/>
  <c r="AC402" i="24"/>
  <c r="Z402" i="24"/>
  <c r="X402" i="24"/>
  <c r="T402" i="24"/>
  <c r="S402" i="24"/>
  <c r="R402" i="24"/>
  <c r="P402" i="24"/>
  <c r="N402" i="24"/>
  <c r="O402" i="24" s="1"/>
  <c r="M402" i="24"/>
  <c r="K402" i="24"/>
  <c r="J402" i="24"/>
  <c r="H402" i="24"/>
  <c r="F402" i="24"/>
  <c r="AG401" i="24"/>
  <c r="AF401" i="24"/>
  <c r="AD401" i="24"/>
  <c r="AC401" i="24"/>
  <c r="Z401" i="24"/>
  <c r="X401" i="24"/>
  <c r="T401" i="24"/>
  <c r="S401" i="24"/>
  <c r="R401" i="24"/>
  <c r="P401" i="24"/>
  <c r="N401" i="24"/>
  <c r="O401" i="24" s="1"/>
  <c r="M401" i="24"/>
  <c r="K401" i="24"/>
  <c r="J401" i="24"/>
  <c r="H401" i="24"/>
  <c r="F401" i="24"/>
  <c r="AG400" i="24"/>
  <c r="AF400" i="24"/>
  <c r="AD400" i="24"/>
  <c r="AC400" i="24"/>
  <c r="Z400" i="24"/>
  <c r="X400" i="24"/>
  <c r="T400" i="24"/>
  <c r="S400" i="24"/>
  <c r="R400" i="24"/>
  <c r="P400" i="24"/>
  <c r="N400" i="24"/>
  <c r="M400" i="24"/>
  <c r="K400" i="24"/>
  <c r="J400" i="24"/>
  <c r="H400" i="24"/>
  <c r="F400" i="24"/>
  <c r="AG399" i="24"/>
  <c r="AF399" i="24"/>
  <c r="AD399" i="24"/>
  <c r="AC399" i="24"/>
  <c r="Z399" i="24"/>
  <c r="X399" i="24"/>
  <c r="T405" i="24"/>
  <c r="S405" i="24"/>
  <c r="R405" i="24"/>
  <c r="P405" i="24"/>
  <c r="N405" i="24"/>
  <c r="O405" i="24" s="1"/>
  <c r="M405" i="24"/>
  <c r="K405" i="24"/>
  <c r="J405" i="24"/>
  <c r="H405" i="24"/>
  <c r="F405" i="24"/>
  <c r="AG398" i="24"/>
  <c r="AF398" i="24"/>
  <c r="AD398" i="24"/>
  <c r="AC398" i="24"/>
  <c r="Z398" i="24"/>
  <c r="X398" i="24"/>
  <c r="T398" i="24"/>
  <c r="S398" i="24"/>
  <c r="R398" i="24"/>
  <c r="P398" i="24"/>
  <c r="N398" i="24"/>
  <c r="M398" i="24"/>
  <c r="K398" i="24"/>
  <c r="J398" i="24"/>
  <c r="H398" i="24"/>
  <c r="F398" i="24"/>
  <c r="AG397" i="24"/>
  <c r="AF397" i="24"/>
  <c r="AD397" i="24"/>
  <c r="AC397" i="24"/>
  <c r="Z397" i="24"/>
  <c r="X397" i="24"/>
  <c r="T397" i="24"/>
  <c r="S397" i="24"/>
  <c r="R397" i="24"/>
  <c r="P397" i="24"/>
  <c r="N397" i="24"/>
  <c r="O397" i="24" s="1"/>
  <c r="M397" i="24"/>
  <c r="K397" i="24"/>
  <c r="J397" i="24"/>
  <c r="H397" i="24"/>
  <c r="F397" i="24"/>
  <c r="AG396" i="24"/>
  <c r="AF396" i="24"/>
  <c r="AD396" i="24"/>
  <c r="AC396" i="24"/>
  <c r="Z396" i="24"/>
  <c r="X396" i="24"/>
  <c r="T396" i="24"/>
  <c r="S396" i="24"/>
  <c r="R396" i="24"/>
  <c r="P396" i="24"/>
  <c r="N396" i="24"/>
  <c r="O396" i="24" s="1"/>
  <c r="M396" i="24"/>
  <c r="K396" i="24"/>
  <c r="J396" i="24"/>
  <c r="H396" i="24"/>
  <c r="F396" i="24"/>
  <c r="AG395" i="24"/>
  <c r="AF395" i="24"/>
  <c r="AD395" i="24"/>
  <c r="AC395" i="24"/>
  <c r="Z395" i="24"/>
  <c r="X395" i="24"/>
  <c r="T395" i="24"/>
  <c r="S395" i="24"/>
  <c r="R395" i="24"/>
  <c r="P395" i="24"/>
  <c r="N395" i="24"/>
  <c r="O395" i="24" s="1"/>
  <c r="M395" i="24"/>
  <c r="K395" i="24"/>
  <c r="J395" i="24"/>
  <c r="H395" i="24"/>
  <c r="F395" i="24"/>
  <c r="AG394" i="24"/>
  <c r="AF394" i="24"/>
  <c r="AD394" i="24"/>
  <c r="AC394" i="24"/>
  <c r="Z394" i="24"/>
  <c r="X394" i="24"/>
  <c r="T394" i="24"/>
  <c r="S394" i="24"/>
  <c r="R394" i="24"/>
  <c r="P394" i="24"/>
  <c r="N394" i="24"/>
  <c r="M394" i="24"/>
  <c r="K394" i="24"/>
  <c r="J394" i="24"/>
  <c r="H394" i="24"/>
  <c r="F394" i="24"/>
  <c r="AG393" i="24"/>
  <c r="AF393" i="24"/>
  <c r="AD393" i="24"/>
  <c r="AC393" i="24"/>
  <c r="Z393" i="24"/>
  <c r="X393" i="24"/>
  <c r="T393" i="24"/>
  <c r="S393" i="24"/>
  <c r="R393" i="24"/>
  <c r="P393" i="24"/>
  <c r="N393" i="24"/>
  <c r="O393" i="24" s="1"/>
  <c r="M393" i="24"/>
  <c r="K393" i="24"/>
  <c r="J393" i="24"/>
  <c r="H393" i="24"/>
  <c r="F393" i="24"/>
  <c r="AG392" i="24"/>
  <c r="AF392" i="24"/>
  <c r="AD392" i="24"/>
  <c r="AC392" i="24"/>
  <c r="Z392" i="24"/>
  <c r="X392" i="24"/>
  <c r="T392" i="24"/>
  <c r="S392" i="24"/>
  <c r="R392" i="24"/>
  <c r="P392" i="24"/>
  <c r="N392" i="24"/>
  <c r="O392" i="24" s="1"/>
  <c r="M392" i="24"/>
  <c r="K392" i="24"/>
  <c r="J392" i="24"/>
  <c r="H392" i="24"/>
  <c r="F392" i="24"/>
  <c r="AG391" i="24"/>
  <c r="AF391" i="24"/>
  <c r="AD391" i="24"/>
  <c r="AC391" i="24"/>
  <c r="Z391" i="24"/>
  <c r="X391" i="24"/>
  <c r="T391" i="24"/>
  <c r="S391" i="24"/>
  <c r="R391" i="24"/>
  <c r="P391" i="24"/>
  <c r="N391" i="24"/>
  <c r="O391" i="24" s="1"/>
  <c r="M391" i="24"/>
  <c r="K391" i="24"/>
  <c r="J391" i="24"/>
  <c r="H391" i="24"/>
  <c r="F391" i="24"/>
  <c r="AG390" i="24"/>
  <c r="AF390" i="24"/>
  <c r="AD390" i="24"/>
  <c r="AC390" i="24"/>
  <c r="Z390" i="24"/>
  <c r="X390" i="24"/>
  <c r="T390" i="24"/>
  <c r="S390" i="24"/>
  <c r="R390" i="24"/>
  <c r="P390" i="24"/>
  <c r="N390" i="24"/>
  <c r="O390" i="24" s="1"/>
  <c r="M390" i="24"/>
  <c r="K390" i="24"/>
  <c r="J390" i="24"/>
  <c r="H390" i="24"/>
  <c r="F390" i="24"/>
  <c r="AG389" i="24"/>
  <c r="AF389" i="24"/>
  <c r="AD389" i="24"/>
  <c r="AC389" i="24"/>
  <c r="Z389" i="24"/>
  <c r="X389" i="24"/>
  <c r="T389" i="24"/>
  <c r="S389" i="24"/>
  <c r="R389" i="24"/>
  <c r="P389" i="24"/>
  <c r="N389" i="24"/>
  <c r="O389" i="24" s="1"/>
  <c r="M389" i="24"/>
  <c r="K389" i="24"/>
  <c r="J389" i="24"/>
  <c r="H389" i="24"/>
  <c r="F389" i="24"/>
  <c r="AG388" i="24"/>
  <c r="AF388" i="24"/>
  <c r="AD388" i="24"/>
  <c r="AC388" i="24"/>
  <c r="Z388" i="24"/>
  <c r="X388" i="24"/>
  <c r="T388" i="24"/>
  <c r="S388" i="24"/>
  <c r="R388" i="24"/>
  <c r="P388" i="24"/>
  <c r="N388" i="24"/>
  <c r="O388" i="24" s="1"/>
  <c r="M388" i="24"/>
  <c r="K388" i="24"/>
  <c r="J388" i="24"/>
  <c r="H388" i="24"/>
  <c r="F388" i="24"/>
  <c r="AG387" i="24"/>
  <c r="AF387" i="24"/>
  <c r="AD387" i="24"/>
  <c r="AC387" i="24"/>
  <c r="Z387" i="24"/>
  <c r="X387" i="24"/>
  <c r="T387" i="24"/>
  <c r="S387" i="24"/>
  <c r="R387" i="24"/>
  <c r="P387" i="24"/>
  <c r="N387" i="24"/>
  <c r="M387" i="24"/>
  <c r="K387" i="24"/>
  <c r="J387" i="24"/>
  <c r="H387" i="24"/>
  <c r="F387" i="24"/>
  <c r="AG386" i="24"/>
  <c r="AF386" i="24"/>
  <c r="AD386" i="24"/>
  <c r="AC386" i="24"/>
  <c r="AB386" i="24"/>
  <c r="Z386" i="24"/>
  <c r="X386" i="24"/>
  <c r="T386" i="24"/>
  <c r="S386" i="24"/>
  <c r="R386" i="24"/>
  <c r="P386" i="24"/>
  <c r="N386" i="24"/>
  <c r="AA386" i="24" s="1"/>
  <c r="M386" i="24"/>
  <c r="K386" i="24"/>
  <c r="J386" i="24"/>
  <c r="H386" i="24"/>
  <c r="F386" i="24"/>
  <c r="AG385" i="24"/>
  <c r="AF385" i="24"/>
  <c r="AD385" i="24"/>
  <c r="AC385" i="24"/>
  <c r="Z385" i="24"/>
  <c r="X385" i="24"/>
  <c r="T385" i="24"/>
  <c r="S385" i="24"/>
  <c r="R385" i="24"/>
  <c r="P385" i="24"/>
  <c r="N385" i="24"/>
  <c r="M385" i="24"/>
  <c r="K385" i="24"/>
  <c r="J385" i="24"/>
  <c r="H385" i="24"/>
  <c r="F385" i="24"/>
  <c r="AG384" i="24"/>
  <c r="AF384" i="24"/>
  <c r="AD384" i="24"/>
  <c r="AC384" i="24"/>
  <c r="Z384" i="24"/>
  <c r="X384" i="24"/>
  <c r="T384" i="24"/>
  <c r="S384" i="24"/>
  <c r="R384" i="24"/>
  <c r="P384" i="24"/>
  <c r="N384" i="24"/>
  <c r="O384" i="24" s="1"/>
  <c r="M384" i="24"/>
  <c r="K384" i="24"/>
  <c r="J384" i="24"/>
  <c r="H384" i="24"/>
  <c r="F384" i="24"/>
  <c r="AG383" i="24"/>
  <c r="AF383" i="24"/>
  <c r="AD383" i="24"/>
  <c r="AC383" i="24"/>
  <c r="Z383" i="24"/>
  <c r="X383" i="24"/>
  <c r="T383" i="24"/>
  <c r="S383" i="24"/>
  <c r="R383" i="24"/>
  <c r="P383" i="24"/>
  <c r="N383" i="24"/>
  <c r="O383" i="24" s="1"/>
  <c r="M383" i="24"/>
  <c r="K383" i="24"/>
  <c r="J383" i="24"/>
  <c r="H383" i="24"/>
  <c r="F383" i="24"/>
  <c r="AG382" i="24"/>
  <c r="AF382" i="24"/>
  <c r="AD382" i="24"/>
  <c r="AC382" i="24"/>
  <c r="Z382" i="24"/>
  <c r="X382" i="24"/>
  <c r="T382" i="24"/>
  <c r="S382" i="24"/>
  <c r="R382" i="24"/>
  <c r="P382" i="24"/>
  <c r="N382" i="24"/>
  <c r="O382" i="24" s="1"/>
  <c r="M382" i="24"/>
  <c r="K382" i="24"/>
  <c r="J382" i="24"/>
  <c r="H382" i="24"/>
  <c r="F382" i="24"/>
  <c r="AG381" i="24"/>
  <c r="AF381" i="24"/>
  <c r="AD381" i="24"/>
  <c r="AC381" i="24"/>
  <c r="Z381" i="24"/>
  <c r="X381" i="24"/>
  <c r="T381" i="24"/>
  <c r="S381" i="24"/>
  <c r="R381" i="24"/>
  <c r="P381" i="24"/>
  <c r="N381" i="24"/>
  <c r="O381" i="24" s="1"/>
  <c r="M381" i="24"/>
  <c r="K381" i="24"/>
  <c r="J381" i="24"/>
  <c r="H381" i="24"/>
  <c r="F381" i="24"/>
  <c r="AG380" i="24"/>
  <c r="AF380" i="24"/>
  <c r="AD380" i="24"/>
  <c r="AC380" i="24"/>
  <c r="Z380" i="24"/>
  <c r="X380" i="24"/>
  <c r="T380" i="24"/>
  <c r="S380" i="24"/>
  <c r="R380" i="24"/>
  <c r="P380" i="24"/>
  <c r="N380" i="24"/>
  <c r="M380" i="24"/>
  <c r="K380" i="24"/>
  <c r="J380" i="24"/>
  <c r="H380" i="24"/>
  <c r="F380" i="24"/>
  <c r="AG379" i="24"/>
  <c r="AF379" i="24"/>
  <c r="AD379" i="24"/>
  <c r="AC379" i="24"/>
  <c r="Z379" i="24"/>
  <c r="X379" i="24"/>
  <c r="T379" i="24"/>
  <c r="S379" i="24"/>
  <c r="R379" i="24"/>
  <c r="P379" i="24"/>
  <c r="N379" i="24"/>
  <c r="O379" i="24" s="1"/>
  <c r="M379" i="24"/>
  <c r="K379" i="24"/>
  <c r="J379" i="24"/>
  <c r="H379" i="24"/>
  <c r="F379" i="24"/>
  <c r="AG378" i="24"/>
  <c r="AF378" i="24"/>
  <c r="AD378" i="24"/>
  <c r="AC378" i="24"/>
  <c r="Z378" i="24"/>
  <c r="X378" i="24"/>
  <c r="T378" i="24"/>
  <c r="S378" i="24"/>
  <c r="R378" i="24"/>
  <c r="P378" i="24"/>
  <c r="N378" i="24"/>
  <c r="M378" i="24"/>
  <c r="K378" i="24"/>
  <c r="J378" i="24"/>
  <c r="H378" i="24"/>
  <c r="F378" i="24"/>
  <c r="AG377" i="24"/>
  <c r="AF377" i="24"/>
  <c r="AD377" i="24"/>
  <c r="AC377" i="24"/>
  <c r="Z377" i="24"/>
  <c r="X377" i="24"/>
  <c r="T377" i="24"/>
  <c r="S377" i="24"/>
  <c r="R377" i="24"/>
  <c r="P377" i="24"/>
  <c r="N377" i="24"/>
  <c r="O377" i="24" s="1"/>
  <c r="M377" i="24"/>
  <c r="K377" i="24"/>
  <c r="J377" i="24"/>
  <c r="H377" i="24"/>
  <c r="F377" i="24"/>
  <c r="AG376" i="24"/>
  <c r="AF376" i="24"/>
  <c r="AD376" i="24"/>
  <c r="AC376" i="24"/>
  <c r="Z376" i="24"/>
  <c r="X376" i="24"/>
  <c r="T376" i="24"/>
  <c r="S376" i="24"/>
  <c r="R376" i="24"/>
  <c r="P376" i="24"/>
  <c r="N376" i="24"/>
  <c r="M376" i="24"/>
  <c r="K376" i="24"/>
  <c r="J376" i="24"/>
  <c r="H376" i="24"/>
  <c r="F376" i="24"/>
  <c r="AG375" i="24"/>
  <c r="AF375" i="24"/>
  <c r="AD375" i="24"/>
  <c r="AC375" i="24"/>
  <c r="Z375" i="24"/>
  <c r="X375" i="24"/>
  <c r="T375" i="24"/>
  <c r="S375" i="24"/>
  <c r="R375" i="24"/>
  <c r="P375" i="24"/>
  <c r="N375" i="24"/>
  <c r="O375" i="24" s="1"/>
  <c r="M375" i="24"/>
  <c r="K375" i="24"/>
  <c r="J375" i="24"/>
  <c r="H375" i="24"/>
  <c r="F375" i="24"/>
  <c r="AG374" i="24"/>
  <c r="AF374" i="24"/>
  <c r="AD374" i="24"/>
  <c r="AC374" i="24"/>
  <c r="Z374" i="24"/>
  <c r="X374" i="24"/>
  <c r="T374" i="24"/>
  <c r="S374" i="24"/>
  <c r="R374" i="24"/>
  <c r="P374" i="24"/>
  <c r="N374" i="24"/>
  <c r="O374" i="24" s="1"/>
  <c r="M374" i="24"/>
  <c r="K374" i="24"/>
  <c r="J374" i="24"/>
  <c r="H374" i="24"/>
  <c r="F374" i="24"/>
  <c r="AG373" i="24"/>
  <c r="AF373" i="24"/>
  <c r="AD373" i="24"/>
  <c r="AC373" i="24"/>
  <c r="Z373" i="24"/>
  <c r="X373" i="24"/>
  <c r="T373" i="24"/>
  <c r="S373" i="24"/>
  <c r="R373" i="24"/>
  <c r="P373" i="24"/>
  <c r="N373" i="24"/>
  <c r="O373" i="24" s="1"/>
  <c r="M373" i="24"/>
  <c r="K373" i="24"/>
  <c r="J373" i="24"/>
  <c r="H373" i="24"/>
  <c r="F373" i="24"/>
  <c r="AG372" i="24"/>
  <c r="AF372" i="24"/>
  <c r="AD372" i="24"/>
  <c r="AC372" i="24"/>
  <c r="Z372" i="24"/>
  <c r="X372" i="24"/>
  <c r="T372" i="24"/>
  <c r="S372" i="24"/>
  <c r="R372" i="24"/>
  <c r="P372" i="24"/>
  <c r="N372" i="24"/>
  <c r="O372" i="24" s="1"/>
  <c r="M372" i="24"/>
  <c r="K372" i="24"/>
  <c r="J372" i="24"/>
  <c r="H372" i="24"/>
  <c r="F372" i="24"/>
  <c r="AG371" i="24"/>
  <c r="AF371" i="24"/>
  <c r="AD371" i="24"/>
  <c r="AC371" i="24"/>
  <c r="Z371" i="24"/>
  <c r="X371" i="24"/>
  <c r="T371" i="24"/>
  <c r="S371" i="24"/>
  <c r="R371" i="24"/>
  <c r="P371" i="24"/>
  <c r="N371" i="24"/>
  <c r="O371" i="24" s="1"/>
  <c r="M371" i="24"/>
  <c r="K371" i="24"/>
  <c r="J371" i="24"/>
  <c r="H371" i="24"/>
  <c r="F371" i="24"/>
  <c r="AG370" i="24"/>
  <c r="AF370" i="24"/>
  <c r="AD370" i="24"/>
  <c r="AC370" i="24"/>
  <c r="Z370" i="24"/>
  <c r="X370" i="24"/>
  <c r="T370" i="24"/>
  <c r="S370" i="24"/>
  <c r="R370" i="24"/>
  <c r="P370" i="24"/>
  <c r="N370" i="24"/>
  <c r="M370" i="24"/>
  <c r="K370" i="24"/>
  <c r="J370" i="24"/>
  <c r="H370" i="24"/>
  <c r="F370" i="24"/>
  <c r="AG369" i="24"/>
  <c r="AF369" i="24"/>
  <c r="AD369" i="24"/>
  <c r="AC369" i="24"/>
  <c r="Z369" i="24"/>
  <c r="X369" i="24"/>
  <c r="T369" i="24"/>
  <c r="S369" i="24"/>
  <c r="R369" i="24"/>
  <c r="P369" i="24"/>
  <c r="N369" i="24"/>
  <c r="O369" i="24" s="1"/>
  <c r="M369" i="24"/>
  <c r="K369" i="24"/>
  <c r="J369" i="24"/>
  <c r="H369" i="24"/>
  <c r="F369" i="24"/>
  <c r="AG368" i="24"/>
  <c r="AF368" i="24"/>
  <c r="AD368" i="24"/>
  <c r="AC368" i="24"/>
  <c r="Z368" i="24"/>
  <c r="X368" i="24"/>
  <c r="T368" i="24"/>
  <c r="S368" i="24"/>
  <c r="R368" i="24"/>
  <c r="P368" i="24"/>
  <c r="N368" i="24"/>
  <c r="O368" i="24" s="1"/>
  <c r="M368" i="24"/>
  <c r="K368" i="24"/>
  <c r="J368" i="24"/>
  <c r="H368" i="24"/>
  <c r="F368" i="24"/>
  <c r="AG367" i="24"/>
  <c r="AF367" i="24"/>
  <c r="AD367" i="24"/>
  <c r="AC367" i="24"/>
  <c r="Z367" i="24"/>
  <c r="X367" i="24"/>
  <c r="T367" i="24"/>
  <c r="S367" i="24"/>
  <c r="R367" i="24"/>
  <c r="P367" i="24"/>
  <c r="N367" i="24"/>
  <c r="O367" i="24" s="1"/>
  <c r="M367" i="24"/>
  <c r="K367" i="24"/>
  <c r="J367" i="24"/>
  <c r="H367" i="24"/>
  <c r="F367" i="24"/>
  <c r="AG366" i="24"/>
  <c r="AF366" i="24"/>
  <c r="AD366" i="24"/>
  <c r="AC366" i="24"/>
  <c r="Z366" i="24"/>
  <c r="X366" i="24"/>
  <c r="T366" i="24"/>
  <c r="S366" i="24"/>
  <c r="R366" i="24"/>
  <c r="P366" i="24"/>
  <c r="N366" i="24"/>
  <c r="O366" i="24" s="1"/>
  <c r="M366" i="24"/>
  <c r="K366" i="24"/>
  <c r="J366" i="24"/>
  <c r="H366" i="24"/>
  <c r="F366" i="24"/>
  <c r="AG365" i="24"/>
  <c r="AF365" i="24"/>
  <c r="AD365" i="24"/>
  <c r="AC365" i="24"/>
  <c r="Z365" i="24"/>
  <c r="X365" i="24"/>
  <c r="T365" i="24"/>
  <c r="S365" i="24"/>
  <c r="R365" i="24"/>
  <c r="P365" i="24"/>
  <c r="N365" i="24"/>
  <c r="O365" i="24" s="1"/>
  <c r="M365" i="24"/>
  <c r="K365" i="24"/>
  <c r="J365" i="24"/>
  <c r="H365" i="24"/>
  <c r="F365" i="24"/>
  <c r="AG364" i="24"/>
  <c r="AF364" i="24"/>
  <c r="AD364" i="24"/>
  <c r="AC364" i="24"/>
  <c r="Z364" i="24"/>
  <c r="X364" i="24"/>
  <c r="T364" i="24"/>
  <c r="S364" i="24"/>
  <c r="R364" i="24"/>
  <c r="P364" i="24"/>
  <c r="N364" i="24"/>
  <c r="M364" i="24"/>
  <c r="K364" i="24"/>
  <c r="J364" i="24"/>
  <c r="H364" i="24"/>
  <c r="F364" i="24"/>
  <c r="AG363" i="24"/>
  <c r="AF363" i="24"/>
  <c r="AD363" i="24"/>
  <c r="AC363" i="24"/>
  <c r="Z363" i="24"/>
  <c r="X363" i="24"/>
  <c r="T363" i="24"/>
  <c r="S363" i="24"/>
  <c r="R363" i="24"/>
  <c r="P363" i="24"/>
  <c r="N363" i="24"/>
  <c r="M363" i="24"/>
  <c r="K363" i="24"/>
  <c r="J363" i="24"/>
  <c r="H363" i="24"/>
  <c r="F363" i="24"/>
  <c r="AG362" i="24"/>
  <c r="AF362" i="24"/>
  <c r="AD362" i="24"/>
  <c r="AC362" i="24"/>
  <c r="Z362" i="24"/>
  <c r="X362" i="24"/>
  <c r="T362" i="24"/>
  <c r="S362" i="24"/>
  <c r="R362" i="24"/>
  <c r="P362" i="24"/>
  <c r="N362" i="24"/>
  <c r="O362" i="24" s="1"/>
  <c r="M362" i="24"/>
  <c r="K362" i="24"/>
  <c r="J362" i="24"/>
  <c r="H362" i="24"/>
  <c r="F362" i="24"/>
  <c r="AG361" i="24"/>
  <c r="AF361" i="24"/>
  <c r="AD361" i="24"/>
  <c r="AC361" i="24"/>
  <c r="Z361" i="24"/>
  <c r="X361" i="24"/>
  <c r="T361" i="24"/>
  <c r="S361" i="24"/>
  <c r="R361" i="24"/>
  <c r="P361" i="24"/>
  <c r="N361" i="24"/>
  <c r="M361" i="24"/>
  <c r="K361" i="24"/>
  <c r="J361" i="24"/>
  <c r="H361" i="24"/>
  <c r="F361" i="24"/>
  <c r="AG360" i="24"/>
  <c r="AF360" i="24"/>
  <c r="AD360" i="24"/>
  <c r="AC360" i="24"/>
  <c r="Z360" i="24"/>
  <c r="X360" i="24"/>
  <c r="T360" i="24"/>
  <c r="S360" i="24"/>
  <c r="R360" i="24"/>
  <c r="P360" i="24"/>
  <c r="N360" i="24"/>
  <c r="O360" i="24" s="1"/>
  <c r="M360" i="24"/>
  <c r="K360" i="24"/>
  <c r="J360" i="24"/>
  <c r="H360" i="24"/>
  <c r="F360" i="24"/>
  <c r="AG359" i="24"/>
  <c r="AF359" i="24"/>
  <c r="AD359" i="24"/>
  <c r="AC359" i="24"/>
  <c r="Z359" i="24"/>
  <c r="X359" i="24"/>
  <c r="T359" i="24"/>
  <c r="S359" i="24"/>
  <c r="R359" i="24"/>
  <c r="P359" i="24"/>
  <c r="N359" i="24"/>
  <c r="M359" i="24"/>
  <c r="K359" i="24"/>
  <c r="J359" i="24"/>
  <c r="H359" i="24"/>
  <c r="F359" i="24"/>
  <c r="AG358" i="24"/>
  <c r="AF358" i="24"/>
  <c r="AD358" i="24"/>
  <c r="AC358" i="24"/>
  <c r="Z358" i="24"/>
  <c r="X358" i="24"/>
  <c r="T358" i="24"/>
  <c r="S358" i="24"/>
  <c r="R358" i="24"/>
  <c r="P358" i="24"/>
  <c r="N358" i="24"/>
  <c r="O358" i="24" s="1"/>
  <c r="M358" i="24"/>
  <c r="K358" i="24"/>
  <c r="J358" i="24"/>
  <c r="H358" i="24"/>
  <c r="F358" i="24"/>
  <c r="AG357" i="24"/>
  <c r="AF357" i="24"/>
  <c r="AD357" i="24"/>
  <c r="AC357" i="24"/>
  <c r="Z357" i="24"/>
  <c r="X357" i="24"/>
  <c r="T357" i="24"/>
  <c r="S357" i="24"/>
  <c r="R357" i="24"/>
  <c r="P357" i="24"/>
  <c r="N357" i="24"/>
  <c r="O357" i="24" s="1"/>
  <c r="M357" i="24"/>
  <c r="K357" i="24"/>
  <c r="J357" i="24"/>
  <c r="H357" i="24"/>
  <c r="F357" i="24"/>
  <c r="AG356" i="24"/>
  <c r="AF356" i="24"/>
  <c r="AD356" i="24"/>
  <c r="AC356" i="24"/>
  <c r="Z356" i="24"/>
  <c r="X356" i="24"/>
  <c r="T356" i="24"/>
  <c r="S356" i="24"/>
  <c r="R356" i="24"/>
  <c r="P356" i="24"/>
  <c r="N356" i="24"/>
  <c r="M356" i="24"/>
  <c r="K356" i="24"/>
  <c r="J356" i="24"/>
  <c r="H356" i="24"/>
  <c r="F356" i="24"/>
  <c r="AG355" i="24"/>
  <c r="AF355" i="24"/>
  <c r="AD355" i="24"/>
  <c r="AC355" i="24"/>
  <c r="Z355" i="24"/>
  <c r="X355" i="24"/>
  <c r="T355" i="24"/>
  <c r="S355" i="24"/>
  <c r="R355" i="24"/>
  <c r="P355" i="24"/>
  <c r="N355" i="24"/>
  <c r="O355" i="24" s="1"/>
  <c r="M355" i="24"/>
  <c r="K355" i="24"/>
  <c r="J355" i="24"/>
  <c r="H355" i="24"/>
  <c r="F355" i="24"/>
  <c r="AG354" i="24"/>
  <c r="AF354" i="24"/>
  <c r="AD354" i="24"/>
  <c r="AC354" i="24"/>
  <c r="Z354" i="24"/>
  <c r="X354" i="24"/>
  <c r="T354" i="24"/>
  <c r="S354" i="24"/>
  <c r="R354" i="24"/>
  <c r="P354" i="24"/>
  <c r="N354" i="24"/>
  <c r="M354" i="24"/>
  <c r="K354" i="24"/>
  <c r="J354" i="24"/>
  <c r="H354" i="24"/>
  <c r="F354" i="24"/>
  <c r="AG353" i="24"/>
  <c r="AF353" i="24"/>
  <c r="AD353" i="24"/>
  <c r="AC353" i="24"/>
  <c r="Z353" i="24"/>
  <c r="X353" i="24"/>
  <c r="T353" i="24"/>
  <c r="S353" i="24"/>
  <c r="R353" i="24"/>
  <c r="P353" i="24"/>
  <c r="N353" i="24"/>
  <c r="O353" i="24" s="1"/>
  <c r="M353" i="24"/>
  <c r="K353" i="24"/>
  <c r="J353" i="24"/>
  <c r="H353" i="24"/>
  <c r="F353" i="24"/>
  <c r="AG352" i="24"/>
  <c r="AF352" i="24"/>
  <c r="AD352" i="24"/>
  <c r="AC352" i="24"/>
  <c r="Z352" i="24"/>
  <c r="X352" i="24"/>
  <c r="T352" i="24"/>
  <c r="S352" i="24"/>
  <c r="R352" i="24"/>
  <c r="P352" i="24"/>
  <c r="N352" i="24"/>
  <c r="O352" i="24" s="1"/>
  <c r="M352" i="24"/>
  <c r="K352" i="24"/>
  <c r="J352" i="24"/>
  <c r="H352" i="24"/>
  <c r="F352" i="24"/>
  <c r="AG351" i="24"/>
  <c r="AF351" i="24"/>
  <c r="AD351" i="24"/>
  <c r="AC351" i="24"/>
  <c r="Z351" i="24"/>
  <c r="X351" i="24"/>
  <c r="T351" i="24"/>
  <c r="S351" i="24"/>
  <c r="R351" i="24"/>
  <c r="P351" i="24"/>
  <c r="N351" i="24"/>
  <c r="O351" i="24" s="1"/>
  <c r="M351" i="24"/>
  <c r="K351" i="24"/>
  <c r="J351" i="24"/>
  <c r="H351" i="24"/>
  <c r="F351" i="24"/>
  <c r="AG350" i="24"/>
  <c r="AF350" i="24"/>
  <c r="AD350" i="24"/>
  <c r="AC350" i="24"/>
  <c r="Z350" i="24"/>
  <c r="X350" i="24"/>
  <c r="T350" i="24"/>
  <c r="S350" i="24"/>
  <c r="R350" i="24"/>
  <c r="P350" i="24"/>
  <c r="N350" i="24"/>
  <c r="O350" i="24" s="1"/>
  <c r="M350" i="24"/>
  <c r="K350" i="24"/>
  <c r="J350" i="24"/>
  <c r="H350" i="24"/>
  <c r="F350" i="24"/>
  <c r="AG349" i="24"/>
  <c r="AF349" i="24"/>
  <c r="AD349" i="24"/>
  <c r="AC349" i="24"/>
  <c r="Z349" i="24"/>
  <c r="X349" i="24"/>
  <c r="T349" i="24"/>
  <c r="S349" i="24"/>
  <c r="R349" i="24"/>
  <c r="P349" i="24"/>
  <c r="N349" i="24"/>
  <c r="O349" i="24" s="1"/>
  <c r="M349" i="24"/>
  <c r="K349" i="24"/>
  <c r="J349" i="24"/>
  <c r="H349" i="24"/>
  <c r="F349" i="24"/>
  <c r="AG348" i="24"/>
  <c r="AF348" i="24"/>
  <c r="AD348" i="24"/>
  <c r="AC348" i="24"/>
  <c r="Z348" i="24"/>
  <c r="X348" i="24"/>
  <c r="T348" i="24"/>
  <c r="S348" i="24"/>
  <c r="R348" i="24"/>
  <c r="P348" i="24"/>
  <c r="N348" i="24"/>
  <c r="O348" i="24" s="1"/>
  <c r="M348" i="24"/>
  <c r="K348" i="24"/>
  <c r="J348" i="24"/>
  <c r="H348" i="24"/>
  <c r="F348" i="24"/>
  <c r="AG347" i="24"/>
  <c r="AF347" i="24"/>
  <c r="AD347" i="24"/>
  <c r="AC347" i="24"/>
  <c r="Z347" i="24"/>
  <c r="X347" i="24"/>
  <c r="T347" i="24"/>
  <c r="S347" i="24"/>
  <c r="R347" i="24"/>
  <c r="P347" i="24"/>
  <c r="N347" i="24"/>
  <c r="O347" i="24" s="1"/>
  <c r="M347" i="24"/>
  <c r="K347" i="24"/>
  <c r="J347" i="24"/>
  <c r="H347" i="24"/>
  <c r="F347" i="24"/>
  <c r="AG346" i="24"/>
  <c r="AF346" i="24"/>
  <c r="AD346" i="24"/>
  <c r="AC346" i="24"/>
  <c r="Z346" i="24"/>
  <c r="X346" i="24"/>
  <c r="T346" i="24"/>
  <c r="S346" i="24"/>
  <c r="R346" i="24"/>
  <c r="P346" i="24"/>
  <c r="N346" i="24"/>
  <c r="O346" i="24" s="1"/>
  <c r="M346" i="24"/>
  <c r="K346" i="24"/>
  <c r="J346" i="24"/>
  <c r="H346" i="24"/>
  <c r="F346" i="24"/>
  <c r="AG345" i="24"/>
  <c r="AF345" i="24"/>
  <c r="AD345" i="24"/>
  <c r="AC345" i="24"/>
  <c r="Z345" i="24"/>
  <c r="X345" i="24"/>
  <c r="T345" i="24"/>
  <c r="S345" i="24"/>
  <c r="R345" i="24"/>
  <c r="P345" i="24"/>
  <c r="N345" i="24"/>
  <c r="O345" i="24" s="1"/>
  <c r="M345" i="24"/>
  <c r="K345" i="24"/>
  <c r="J345" i="24"/>
  <c r="H345" i="24"/>
  <c r="F345" i="24"/>
  <c r="AG344" i="24"/>
  <c r="AF344" i="24"/>
  <c r="AD344" i="24"/>
  <c r="AC344" i="24"/>
  <c r="Z344" i="24"/>
  <c r="X344" i="24"/>
  <c r="T344" i="24"/>
  <c r="S344" i="24"/>
  <c r="R344" i="24"/>
  <c r="P344" i="24"/>
  <c r="N344" i="24"/>
  <c r="M344" i="24"/>
  <c r="K344" i="24"/>
  <c r="J344" i="24"/>
  <c r="H344" i="24"/>
  <c r="F344" i="24"/>
  <c r="AG343" i="24"/>
  <c r="AF343" i="24"/>
  <c r="AD343" i="24"/>
  <c r="AC343" i="24"/>
  <c r="Z343" i="24"/>
  <c r="X343" i="24"/>
  <c r="T403" i="24"/>
  <c r="S403" i="24"/>
  <c r="R403" i="24"/>
  <c r="P403" i="24"/>
  <c r="N403" i="24"/>
  <c r="O403" i="24" s="1"/>
  <c r="M403" i="24"/>
  <c r="K403" i="24"/>
  <c r="J403" i="24"/>
  <c r="H403" i="24"/>
  <c r="F403" i="24"/>
  <c r="AG342" i="24"/>
  <c r="AF342" i="24"/>
  <c r="AD342" i="24"/>
  <c r="AC342" i="24"/>
  <c r="Z342" i="24"/>
  <c r="X342" i="24"/>
  <c r="T342" i="24"/>
  <c r="S342" i="24"/>
  <c r="R342" i="24"/>
  <c r="P342" i="24"/>
  <c r="N342" i="24"/>
  <c r="M342" i="24"/>
  <c r="K342" i="24"/>
  <c r="J342" i="24"/>
  <c r="H342" i="24"/>
  <c r="F342" i="24"/>
  <c r="AG341" i="24"/>
  <c r="AF341" i="24"/>
  <c r="AD341" i="24"/>
  <c r="AC341" i="24"/>
  <c r="Z341" i="24"/>
  <c r="X341" i="24"/>
  <c r="T341" i="24"/>
  <c r="S341" i="24"/>
  <c r="R341" i="24"/>
  <c r="P341" i="24"/>
  <c r="N341" i="24"/>
  <c r="O341" i="24" s="1"/>
  <c r="M341" i="24"/>
  <c r="K341" i="24"/>
  <c r="J341" i="24"/>
  <c r="H341" i="24"/>
  <c r="F341" i="24"/>
  <c r="AG340" i="24"/>
  <c r="AF340" i="24"/>
  <c r="AD340" i="24"/>
  <c r="AC340" i="24"/>
  <c r="Z340" i="24"/>
  <c r="X340" i="24"/>
  <c r="T340" i="24"/>
  <c r="S340" i="24"/>
  <c r="R340" i="24"/>
  <c r="P340" i="24"/>
  <c r="N340" i="24"/>
  <c r="M340" i="24"/>
  <c r="K340" i="24"/>
  <c r="J340" i="24"/>
  <c r="H340" i="24"/>
  <c r="F340" i="24"/>
  <c r="AG339" i="24"/>
  <c r="AF339" i="24"/>
  <c r="AD339" i="24"/>
  <c r="AC339" i="24"/>
  <c r="Z339" i="24"/>
  <c r="X339" i="24"/>
  <c r="T339" i="24"/>
  <c r="S339" i="24"/>
  <c r="R339" i="24"/>
  <c r="P339" i="24"/>
  <c r="N339" i="24"/>
  <c r="O339" i="24" s="1"/>
  <c r="M339" i="24"/>
  <c r="K339" i="24"/>
  <c r="J339" i="24"/>
  <c r="H339" i="24"/>
  <c r="F339" i="24"/>
  <c r="AG338" i="24"/>
  <c r="AF338" i="24"/>
  <c r="AD338" i="24"/>
  <c r="AC338" i="24"/>
  <c r="Z338" i="24"/>
  <c r="X338" i="24"/>
  <c r="T338" i="24"/>
  <c r="S338" i="24"/>
  <c r="R338" i="24"/>
  <c r="P338" i="24"/>
  <c r="N338" i="24"/>
  <c r="O338" i="24" s="1"/>
  <c r="M338" i="24"/>
  <c r="K338" i="24"/>
  <c r="J338" i="24"/>
  <c r="H338" i="24"/>
  <c r="F338" i="24"/>
  <c r="AG337" i="24"/>
  <c r="AF337" i="24"/>
  <c r="AD337" i="24"/>
  <c r="AC337" i="24"/>
  <c r="Z337" i="24"/>
  <c r="X337" i="24"/>
  <c r="T337" i="24"/>
  <c r="S337" i="24"/>
  <c r="R337" i="24"/>
  <c r="P337" i="24"/>
  <c r="N337" i="24"/>
  <c r="O337" i="24" s="1"/>
  <c r="M337" i="24"/>
  <c r="K337" i="24"/>
  <c r="J337" i="24"/>
  <c r="H337" i="24"/>
  <c r="F337" i="24"/>
  <c r="AG336" i="24"/>
  <c r="AF336" i="24"/>
  <c r="AD336" i="24"/>
  <c r="AC336" i="24"/>
  <c r="Z336" i="24"/>
  <c r="X336" i="24"/>
  <c r="T336" i="24"/>
  <c r="S336" i="24"/>
  <c r="R336" i="24"/>
  <c r="P336" i="24"/>
  <c r="N336" i="24"/>
  <c r="M336" i="24"/>
  <c r="K336" i="24"/>
  <c r="J336" i="24"/>
  <c r="H336" i="24"/>
  <c r="F336" i="24"/>
  <c r="AG335" i="24"/>
  <c r="AF335" i="24"/>
  <c r="AD335" i="24"/>
  <c r="AC335" i="24"/>
  <c r="Z335" i="24"/>
  <c r="X335" i="24"/>
  <c r="T335" i="24"/>
  <c r="S335" i="24"/>
  <c r="R335" i="24"/>
  <c r="P335" i="24"/>
  <c r="N335" i="24"/>
  <c r="O335" i="24" s="1"/>
  <c r="M335" i="24"/>
  <c r="K335" i="24"/>
  <c r="J335" i="24"/>
  <c r="H335" i="24"/>
  <c r="F335" i="24"/>
  <c r="AG334" i="24"/>
  <c r="AF334" i="24"/>
  <c r="AD334" i="24"/>
  <c r="AC334" i="24"/>
  <c r="Z334" i="24"/>
  <c r="X334" i="24"/>
  <c r="T334" i="24"/>
  <c r="S334" i="24"/>
  <c r="R334" i="24"/>
  <c r="P334" i="24"/>
  <c r="N334" i="24"/>
  <c r="O334" i="24" s="1"/>
  <c r="M334" i="24"/>
  <c r="K334" i="24"/>
  <c r="J334" i="24"/>
  <c r="H334" i="24"/>
  <c r="F334" i="24"/>
  <c r="AG333" i="24"/>
  <c r="AF333" i="24"/>
  <c r="AD333" i="24"/>
  <c r="AC333" i="24"/>
  <c r="Z333" i="24"/>
  <c r="X333" i="24"/>
  <c r="T333" i="24"/>
  <c r="S333" i="24"/>
  <c r="R333" i="24"/>
  <c r="P333" i="24"/>
  <c r="N333" i="24"/>
  <c r="O333" i="24" s="1"/>
  <c r="M333" i="24"/>
  <c r="K333" i="24"/>
  <c r="J333" i="24"/>
  <c r="H333" i="24"/>
  <c r="F333" i="24"/>
  <c r="AG332" i="24"/>
  <c r="AF332" i="24"/>
  <c r="AD332" i="24"/>
  <c r="AC332" i="24"/>
  <c r="Z332" i="24"/>
  <c r="X332" i="24"/>
  <c r="T332" i="24"/>
  <c r="S332" i="24"/>
  <c r="R332" i="24"/>
  <c r="P332" i="24"/>
  <c r="N332" i="24"/>
  <c r="O332" i="24" s="1"/>
  <c r="M332" i="24"/>
  <c r="K332" i="24"/>
  <c r="J332" i="24"/>
  <c r="H332" i="24"/>
  <c r="F332" i="24"/>
  <c r="AG331" i="24"/>
  <c r="AF331" i="24"/>
  <c r="AD331" i="24"/>
  <c r="AC331" i="24"/>
  <c r="Z331" i="24"/>
  <c r="X331" i="24"/>
  <c r="T331" i="24"/>
  <c r="S331" i="24"/>
  <c r="R331" i="24"/>
  <c r="P331" i="24"/>
  <c r="N331" i="24"/>
  <c r="M331" i="24"/>
  <c r="K331" i="24"/>
  <c r="J331" i="24"/>
  <c r="H331" i="24"/>
  <c r="F331" i="24"/>
  <c r="AG330" i="24"/>
  <c r="AF330" i="24"/>
  <c r="AD330" i="24"/>
  <c r="AC330" i="24"/>
  <c r="Z330" i="24"/>
  <c r="X330" i="24"/>
  <c r="T399" i="24"/>
  <c r="S399" i="24"/>
  <c r="R399" i="24"/>
  <c r="P399" i="24"/>
  <c r="N399" i="24"/>
  <c r="O399" i="24" s="1"/>
  <c r="M399" i="24"/>
  <c r="K399" i="24"/>
  <c r="J399" i="24"/>
  <c r="H399" i="24"/>
  <c r="F399" i="24"/>
  <c r="AG329" i="24"/>
  <c r="AF329" i="24"/>
  <c r="AD329" i="24"/>
  <c r="AC329" i="24"/>
  <c r="Z329" i="24"/>
  <c r="X329" i="24"/>
  <c r="T329" i="24"/>
  <c r="S329" i="24"/>
  <c r="R329" i="24"/>
  <c r="P329" i="24"/>
  <c r="N329" i="24"/>
  <c r="O329" i="24" s="1"/>
  <c r="M329" i="24"/>
  <c r="K329" i="24"/>
  <c r="J329" i="24"/>
  <c r="H329" i="24"/>
  <c r="F329" i="24"/>
  <c r="AG328" i="24"/>
  <c r="AF328" i="24"/>
  <c r="AD328" i="24"/>
  <c r="AC328" i="24"/>
  <c r="Z328" i="24"/>
  <c r="X328" i="24"/>
  <c r="T328" i="24"/>
  <c r="S328" i="24"/>
  <c r="R328" i="24"/>
  <c r="P328" i="24"/>
  <c r="N328" i="24"/>
  <c r="O328" i="24" s="1"/>
  <c r="M328" i="24"/>
  <c r="K328" i="24"/>
  <c r="J328" i="24"/>
  <c r="H328" i="24"/>
  <c r="F328" i="24"/>
  <c r="AG327" i="24"/>
  <c r="AF327" i="24"/>
  <c r="AD327" i="24"/>
  <c r="AC327" i="24"/>
  <c r="Z327" i="24"/>
  <c r="X327" i="24"/>
  <c r="T327" i="24"/>
  <c r="S327" i="24"/>
  <c r="R327" i="24"/>
  <c r="P327" i="24"/>
  <c r="N327" i="24"/>
  <c r="O327" i="24" s="1"/>
  <c r="M327" i="24"/>
  <c r="K327" i="24"/>
  <c r="J327" i="24"/>
  <c r="H327" i="24"/>
  <c r="F327" i="24"/>
  <c r="AG326" i="24"/>
  <c r="AF326" i="24"/>
  <c r="AD326" i="24"/>
  <c r="AC326" i="24"/>
  <c r="Z326" i="24"/>
  <c r="X326" i="24"/>
  <c r="T326" i="24"/>
  <c r="S326" i="24"/>
  <c r="R326" i="24"/>
  <c r="P326" i="24"/>
  <c r="N326" i="24"/>
  <c r="M326" i="24"/>
  <c r="K326" i="24"/>
  <c r="J326" i="24"/>
  <c r="H326" i="24"/>
  <c r="F326" i="24"/>
  <c r="AG325" i="24"/>
  <c r="AF325" i="24"/>
  <c r="AD325" i="24"/>
  <c r="AC325" i="24"/>
  <c r="Z325" i="24"/>
  <c r="X325" i="24"/>
  <c r="T325" i="24"/>
  <c r="S325" i="24"/>
  <c r="R325" i="24"/>
  <c r="P325" i="24"/>
  <c r="N325" i="24"/>
  <c r="M325" i="24"/>
  <c r="K325" i="24"/>
  <c r="J325" i="24"/>
  <c r="H325" i="24"/>
  <c r="F325" i="24"/>
  <c r="AG324" i="24"/>
  <c r="AF324" i="24"/>
  <c r="AD324" i="24"/>
  <c r="AC324" i="24"/>
  <c r="Z324" i="24"/>
  <c r="X324" i="24"/>
  <c r="T324" i="24"/>
  <c r="S324" i="24"/>
  <c r="R324" i="24"/>
  <c r="P324" i="24"/>
  <c r="N324" i="24"/>
  <c r="O324" i="24" s="1"/>
  <c r="M324" i="24"/>
  <c r="K324" i="24"/>
  <c r="J324" i="24"/>
  <c r="H324" i="24"/>
  <c r="F324" i="24"/>
  <c r="AG323" i="24"/>
  <c r="AF323" i="24"/>
  <c r="AD323" i="24"/>
  <c r="AC323" i="24"/>
  <c r="Z323" i="24"/>
  <c r="X323" i="24"/>
  <c r="T323" i="24"/>
  <c r="S323" i="24"/>
  <c r="R323" i="24"/>
  <c r="P323" i="24"/>
  <c r="N323" i="24"/>
  <c r="M323" i="24"/>
  <c r="K323" i="24"/>
  <c r="J323" i="24"/>
  <c r="H323" i="24"/>
  <c r="F323" i="24"/>
  <c r="AG322" i="24"/>
  <c r="AF322" i="24"/>
  <c r="AD322" i="24"/>
  <c r="AC322" i="24"/>
  <c r="Z322" i="24"/>
  <c r="X322" i="24"/>
  <c r="T322" i="24"/>
  <c r="S322" i="24"/>
  <c r="R322" i="24"/>
  <c r="P322" i="24"/>
  <c r="N322" i="24"/>
  <c r="O322" i="24" s="1"/>
  <c r="M322" i="24"/>
  <c r="K322" i="24"/>
  <c r="J322" i="24"/>
  <c r="H322" i="24"/>
  <c r="F322" i="24"/>
  <c r="AG321" i="24"/>
  <c r="AF321" i="24"/>
  <c r="AD321" i="24"/>
  <c r="AC321" i="24"/>
  <c r="Z321" i="24"/>
  <c r="X321" i="24"/>
  <c r="T321" i="24"/>
  <c r="S321" i="24"/>
  <c r="R321" i="24"/>
  <c r="P321" i="24"/>
  <c r="N321" i="24"/>
  <c r="M321" i="24"/>
  <c r="K321" i="24"/>
  <c r="J321" i="24"/>
  <c r="H321" i="24"/>
  <c r="F321" i="24"/>
  <c r="AG320" i="24"/>
  <c r="AF320" i="24"/>
  <c r="AD320" i="24"/>
  <c r="AC320" i="24"/>
  <c r="Z320" i="24"/>
  <c r="X320" i="24"/>
  <c r="T320" i="24"/>
  <c r="S320" i="24"/>
  <c r="R320" i="24"/>
  <c r="P320" i="24"/>
  <c r="N320" i="24"/>
  <c r="O320" i="24" s="1"/>
  <c r="M320" i="24"/>
  <c r="K320" i="24"/>
  <c r="J320" i="24"/>
  <c r="H320" i="24"/>
  <c r="F320" i="24"/>
  <c r="AG319" i="24"/>
  <c r="AF319" i="24"/>
  <c r="AD319" i="24"/>
  <c r="AC319" i="24"/>
  <c r="Z319" i="24"/>
  <c r="X319" i="24"/>
  <c r="T319" i="24"/>
  <c r="S319" i="24"/>
  <c r="R319" i="24"/>
  <c r="P319" i="24"/>
  <c r="N319" i="24"/>
  <c r="O319" i="24" s="1"/>
  <c r="M319" i="24"/>
  <c r="K319" i="24"/>
  <c r="J319" i="24"/>
  <c r="H319" i="24"/>
  <c r="F319" i="24"/>
  <c r="AG318" i="24"/>
  <c r="AF318" i="24"/>
  <c r="AD318" i="24"/>
  <c r="AC318" i="24"/>
  <c r="Z318" i="24"/>
  <c r="X318" i="24"/>
  <c r="T318" i="24"/>
  <c r="S318" i="24"/>
  <c r="R318" i="24"/>
  <c r="P318" i="24"/>
  <c r="N318" i="24"/>
  <c r="O318" i="24" s="1"/>
  <c r="M318" i="24"/>
  <c r="K318" i="24"/>
  <c r="J318" i="24"/>
  <c r="H318" i="24"/>
  <c r="F318" i="24"/>
  <c r="AG317" i="24"/>
  <c r="AF317" i="24"/>
  <c r="AD317" i="24"/>
  <c r="AC317" i="24"/>
  <c r="Z317" i="24"/>
  <c r="X317" i="24"/>
  <c r="T317" i="24"/>
  <c r="S317" i="24"/>
  <c r="R317" i="24"/>
  <c r="P317" i="24"/>
  <c r="N317" i="24"/>
  <c r="M317" i="24"/>
  <c r="K317" i="24"/>
  <c r="J317" i="24"/>
  <c r="H317" i="24"/>
  <c r="F317" i="24"/>
  <c r="AG316" i="24"/>
  <c r="AF316" i="24"/>
  <c r="AD316" i="24"/>
  <c r="AC316" i="24"/>
  <c r="Z316" i="24"/>
  <c r="X316" i="24"/>
  <c r="T316" i="24"/>
  <c r="S316" i="24"/>
  <c r="R316" i="24"/>
  <c r="P316" i="24"/>
  <c r="N316" i="24"/>
  <c r="O316" i="24" s="1"/>
  <c r="M316" i="24"/>
  <c r="K316" i="24"/>
  <c r="J316" i="24"/>
  <c r="H316" i="24"/>
  <c r="F316" i="24"/>
  <c r="AG315" i="24"/>
  <c r="AF315" i="24"/>
  <c r="AD315" i="24"/>
  <c r="AC315" i="24"/>
  <c r="Z315" i="24"/>
  <c r="X315" i="24"/>
  <c r="T315" i="24"/>
  <c r="S315" i="24"/>
  <c r="R315" i="24"/>
  <c r="P315" i="24"/>
  <c r="N315" i="24"/>
  <c r="M315" i="24"/>
  <c r="K315" i="24"/>
  <c r="J315" i="24"/>
  <c r="H315" i="24"/>
  <c r="F315" i="24"/>
  <c r="AG314" i="24"/>
  <c r="AF314" i="24"/>
  <c r="AD314" i="24"/>
  <c r="AC314" i="24"/>
  <c r="Z314" i="24"/>
  <c r="X314" i="24"/>
  <c r="T314" i="24"/>
  <c r="S314" i="24"/>
  <c r="R314" i="24"/>
  <c r="P314" i="24"/>
  <c r="N314" i="24"/>
  <c r="O314" i="24" s="1"/>
  <c r="M314" i="24"/>
  <c r="K314" i="24"/>
  <c r="J314" i="24"/>
  <c r="H314" i="24"/>
  <c r="F314" i="24"/>
  <c r="AG313" i="24"/>
  <c r="AF313" i="24"/>
  <c r="AD313" i="24"/>
  <c r="AC313" i="24"/>
  <c r="Z313" i="24"/>
  <c r="X313" i="24"/>
  <c r="T313" i="24"/>
  <c r="S313" i="24"/>
  <c r="R313" i="24"/>
  <c r="P313" i="24"/>
  <c r="N313" i="24"/>
  <c r="O313" i="24" s="1"/>
  <c r="M313" i="24"/>
  <c r="K313" i="24"/>
  <c r="J313" i="24"/>
  <c r="H313" i="24"/>
  <c r="F313" i="24"/>
  <c r="AG312" i="24"/>
  <c r="AF312" i="24"/>
  <c r="AD312" i="24"/>
  <c r="AC312" i="24"/>
  <c r="Z312" i="24"/>
  <c r="X312" i="24"/>
  <c r="T312" i="24"/>
  <c r="S312" i="24"/>
  <c r="R312" i="24"/>
  <c r="P312" i="24"/>
  <c r="N312" i="24"/>
  <c r="O312" i="24" s="1"/>
  <c r="M312" i="24"/>
  <c r="K312" i="24"/>
  <c r="J312" i="24"/>
  <c r="H312" i="24"/>
  <c r="F312" i="24"/>
  <c r="AG311" i="24"/>
  <c r="AF311" i="24"/>
  <c r="AD311" i="24"/>
  <c r="AC311" i="24"/>
  <c r="Z311" i="24"/>
  <c r="X311" i="24"/>
  <c r="T311" i="24"/>
  <c r="S311" i="24"/>
  <c r="R311" i="24"/>
  <c r="P311" i="24"/>
  <c r="N311" i="24"/>
  <c r="O311" i="24" s="1"/>
  <c r="M311" i="24"/>
  <c r="K311" i="24"/>
  <c r="J311" i="24"/>
  <c r="H311" i="24"/>
  <c r="F311" i="24"/>
  <c r="AG310" i="24"/>
  <c r="AF310" i="24"/>
  <c r="AD310" i="24"/>
  <c r="AC310" i="24"/>
  <c r="Z310" i="24"/>
  <c r="X310" i="24"/>
  <c r="T310" i="24"/>
  <c r="S310" i="24"/>
  <c r="R310" i="24"/>
  <c r="P310" i="24"/>
  <c r="N310" i="24"/>
  <c r="O310" i="24" s="1"/>
  <c r="M310" i="24"/>
  <c r="K310" i="24"/>
  <c r="J310" i="24"/>
  <c r="H310" i="24"/>
  <c r="F310" i="24"/>
  <c r="AG309" i="24"/>
  <c r="AF309" i="24"/>
  <c r="AD309" i="24"/>
  <c r="AC309" i="24"/>
  <c r="Z309" i="24"/>
  <c r="X309" i="24"/>
  <c r="T309" i="24"/>
  <c r="S309" i="24"/>
  <c r="R309" i="24"/>
  <c r="P309" i="24"/>
  <c r="N309" i="24"/>
  <c r="O309" i="24" s="1"/>
  <c r="M309" i="24"/>
  <c r="K309" i="24"/>
  <c r="J309" i="24"/>
  <c r="H309" i="24"/>
  <c r="F309" i="24"/>
  <c r="AG308" i="24"/>
  <c r="AF308" i="24"/>
  <c r="AD308" i="24"/>
  <c r="AC308" i="24"/>
  <c r="Z308" i="24"/>
  <c r="X308" i="24"/>
  <c r="T308" i="24"/>
  <c r="S308" i="24"/>
  <c r="R308" i="24"/>
  <c r="P308" i="24"/>
  <c r="N308" i="24"/>
  <c r="O308" i="24" s="1"/>
  <c r="M308" i="24"/>
  <c r="K308" i="24"/>
  <c r="J308" i="24"/>
  <c r="H308" i="24"/>
  <c r="F308" i="24"/>
  <c r="AG307" i="24"/>
  <c r="AF307" i="24"/>
  <c r="AD307" i="24"/>
  <c r="AC307" i="24"/>
  <c r="Z307" i="24"/>
  <c r="X307" i="24"/>
  <c r="T307" i="24"/>
  <c r="S307" i="24"/>
  <c r="R307" i="24"/>
  <c r="P307" i="24"/>
  <c r="N307" i="24"/>
  <c r="O307" i="24" s="1"/>
  <c r="M307" i="24"/>
  <c r="K307" i="24"/>
  <c r="J307" i="24"/>
  <c r="H307" i="24"/>
  <c r="F307" i="24"/>
  <c r="AG306" i="24"/>
  <c r="AF306" i="24"/>
  <c r="AD306" i="24"/>
  <c r="AC306" i="24"/>
  <c r="Z306" i="24"/>
  <c r="X306" i="24"/>
  <c r="T306" i="24"/>
  <c r="S306" i="24"/>
  <c r="R306" i="24"/>
  <c r="P306" i="24"/>
  <c r="N306" i="24"/>
  <c r="O306" i="24" s="1"/>
  <c r="M306" i="24"/>
  <c r="K306" i="24"/>
  <c r="J306" i="24"/>
  <c r="H306" i="24"/>
  <c r="F306" i="24"/>
  <c r="AG305" i="24"/>
  <c r="AF305" i="24"/>
  <c r="AD305" i="24"/>
  <c r="AC305" i="24"/>
  <c r="Z305" i="24"/>
  <c r="X305" i="24"/>
  <c r="T305" i="24"/>
  <c r="S305" i="24"/>
  <c r="R305" i="24"/>
  <c r="P305" i="24"/>
  <c r="N305" i="24"/>
  <c r="O305" i="24" s="1"/>
  <c r="M305" i="24"/>
  <c r="K305" i="24"/>
  <c r="J305" i="24"/>
  <c r="H305" i="24"/>
  <c r="F305" i="24"/>
  <c r="AG304" i="24"/>
  <c r="AF304" i="24"/>
  <c r="AD304" i="24"/>
  <c r="AC304" i="24"/>
  <c r="Z304" i="24"/>
  <c r="X304" i="24"/>
  <c r="T304" i="24"/>
  <c r="S304" i="24"/>
  <c r="R304" i="24"/>
  <c r="P304" i="24"/>
  <c r="N304" i="24"/>
  <c r="O304" i="24" s="1"/>
  <c r="M304" i="24"/>
  <c r="K304" i="24"/>
  <c r="J304" i="24"/>
  <c r="H304" i="24"/>
  <c r="F304" i="24"/>
  <c r="AG303" i="24"/>
  <c r="AF303" i="24"/>
  <c r="AD303" i="24"/>
  <c r="AC303" i="24"/>
  <c r="Z303" i="24"/>
  <c r="X303" i="24"/>
  <c r="T303" i="24"/>
  <c r="S303" i="24"/>
  <c r="R303" i="24"/>
  <c r="P303" i="24"/>
  <c r="N303" i="24"/>
  <c r="O303" i="24" s="1"/>
  <c r="M303" i="24"/>
  <c r="K303" i="24"/>
  <c r="J303" i="24"/>
  <c r="H303" i="24"/>
  <c r="F303" i="24"/>
  <c r="AG302" i="24"/>
  <c r="AF302" i="24"/>
  <c r="AD302" i="24"/>
  <c r="AC302" i="24"/>
  <c r="Z302" i="24"/>
  <c r="X302" i="24"/>
  <c r="T302" i="24"/>
  <c r="S302" i="24"/>
  <c r="R302" i="24"/>
  <c r="P302" i="24"/>
  <c r="N302" i="24"/>
  <c r="M302" i="24"/>
  <c r="K302" i="24"/>
  <c r="J302" i="24"/>
  <c r="H302" i="24"/>
  <c r="F302" i="24"/>
  <c r="AG301" i="24"/>
  <c r="AF301" i="24"/>
  <c r="AD301" i="24"/>
  <c r="AC301" i="24"/>
  <c r="Z301" i="24"/>
  <c r="X301" i="24"/>
  <c r="T301" i="24"/>
  <c r="S301" i="24"/>
  <c r="R301" i="24"/>
  <c r="P301" i="24"/>
  <c r="N301" i="24"/>
  <c r="M301" i="24"/>
  <c r="K301" i="24"/>
  <c r="J301" i="24"/>
  <c r="H301" i="24"/>
  <c r="F301" i="24"/>
  <c r="AG300" i="24"/>
  <c r="AF300" i="24"/>
  <c r="AD300" i="24"/>
  <c r="AC300" i="24"/>
  <c r="Z300" i="24"/>
  <c r="X300" i="24"/>
  <c r="T300" i="24"/>
  <c r="S300" i="24"/>
  <c r="R300" i="24"/>
  <c r="P300" i="24"/>
  <c r="N300" i="24"/>
  <c r="O300" i="24" s="1"/>
  <c r="M300" i="24"/>
  <c r="K300" i="24"/>
  <c r="J300" i="24"/>
  <c r="H300" i="24"/>
  <c r="F300" i="24"/>
  <c r="AG299" i="24"/>
  <c r="AF299" i="24"/>
  <c r="AD299" i="24"/>
  <c r="AC299" i="24"/>
  <c r="Z299" i="24"/>
  <c r="X299" i="24"/>
  <c r="T299" i="24"/>
  <c r="S299" i="24"/>
  <c r="R299" i="24"/>
  <c r="P299" i="24"/>
  <c r="N299" i="24"/>
  <c r="M299" i="24"/>
  <c r="K299" i="24"/>
  <c r="J299" i="24"/>
  <c r="H299" i="24"/>
  <c r="F299" i="24"/>
  <c r="AG298" i="24"/>
  <c r="AF298" i="24"/>
  <c r="AD298" i="24"/>
  <c r="AC298" i="24"/>
  <c r="Z298" i="24"/>
  <c r="X298" i="24"/>
  <c r="T298" i="24"/>
  <c r="S298" i="24"/>
  <c r="R298" i="24"/>
  <c r="P298" i="24"/>
  <c r="N298" i="24"/>
  <c r="O298" i="24" s="1"/>
  <c r="M298" i="24"/>
  <c r="K298" i="24"/>
  <c r="J298" i="24"/>
  <c r="H298" i="24"/>
  <c r="F298" i="24"/>
  <c r="AG297" i="24"/>
  <c r="AF297" i="24"/>
  <c r="AD297" i="24"/>
  <c r="AC297" i="24"/>
  <c r="Z297" i="24"/>
  <c r="X297" i="24"/>
  <c r="T297" i="24"/>
  <c r="S297" i="24"/>
  <c r="R297" i="24"/>
  <c r="P297" i="24"/>
  <c r="N297" i="24"/>
  <c r="M297" i="24"/>
  <c r="K297" i="24"/>
  <c r="J297" i="24"/>
  <c r="H297" i="24"/>
  <c r="F297" i="24"/>
  <c r="AG296" i="24"/>
  <c r="AF296" i="24"/>
  <c r="AD296" i="24"/>
  <c r="AC296" i="24"/>
  <c r="Z296" i="24"/>
  <c r="X296" i="24"/>
  <c r="T296" i="24"/>
  <c r="S296" i="24"/>
  <c r="R296" i="24"/>
  <c r="P296" i="24"/>
  <c r="N296" i="24"/>
  <c r="O296" i="24" s="1"/>
  <c r="M296" i="24"/>
  <c r="K296" i="24"/>
  <c r="J296" i="24"/>
  <c r="H296" i="24"/>
  <c r="F296" i="24"/>
  <c r="AG295" i="24"/>
  <c r="AF295" i="24"/>
  <c r="AD295" i="24"/>
  <c r="AC295" i="24"/>
  <c r="Z295" i="24"/>
  <c r="X295" i="24"/>
  <c r="T295" i="24"/>
  <c r="S295" i="24"/>
  <c r="R295" i="24"/>
  <c r="P295" i="24"/>
  <c r="N295" i="24"/>
  <c r="O295" i="24" s="1"/>
  <c r="M295" i="24"/>
  <c r="K295" i="24"/>
  <c r="J295" i="24"/>
  <c r="H295" i="24"/>
  <c r="F295" i="24"/>
  <c r="AG294" i="24"/>
  <c r="AF294" i="24"/>
  <c r="AD294" i="24"/>
  <c r="AC294" i="24"/>
  <c r="Z294" i="24"/>
  <c r="X294" i="24"/>
  <c r="T294" i="24"/>
  <c r="S294" i="24"/>
  <c r="R294" i="24"/>
  <c r="P294" i="24"/>
  <c r="N294" i="24"/>
  <c r="O294" i="24" s="1"/>
  <c r="M294" i="24"/>
  <c r="K294" i="24"/>
  <c r="J294" i="24"/>
  <c r="H294" i="24"/>
  <c r="F294" i="24"/>
  <c r="AG293" i="24"/>
  <c r="AF293" i="24"/>
  <c r="AD293" i="24"/>
  <c r="AC293" i="24"/>
  <c r="Z293" i="24"/>
  <c r="X293" i="24"/>
  <c r="T293" i="24"/>
  <c r="S293" i="24"/>
  <c r="R293" i="24"/>
  <c r="P293" i="24"/>
  <c r="N293" i="24"/>
  <c r="M293" i="24"/>
  <c r="K293" i="24"/>
  <c r="J293" i="24"/>
  <c r="H293" i="24"/>
  <c r="F293" i="24"/>
  <c r="AG292" i="24"/>
  <c r="AF292" i="24"/>
  <c r="AD292" i="24"/>
  <c r="AC292" i="24"/>
  <c r="Z292" i="24"/>
  <c r="X292" i="24"/>
  <c r="T343" i="24"/>
  <c r="S343" i="24"/>
  <c r="R343" i="24"/>
  <c r="P343" i="24"/>
  <c r="N343" i="24"/>
  <c r="O343" i="24" s="1"/>
  <c r="M343" i="24"/>
  <c r="K343" i="24"/>
  <c r="J343" i="24"/>
  <c r="H343" i="24"/>
  <c r="F343" i="24"/>
  <c r="AG291" i="24"/>
  <c r="AF291" i="24"/>
  <c r="AD291" i="24"/>
  <c r="AC291" i="24"/>
  <c r="Z291" i="24"/>
  <c r="X291" i="24"/>
  <c r="T330" i="24"/>
  <c r="S330" i="24"/>
  <c r="R330" i="24"/>
  <c r="P330" i="24"/>
  <c r="N330" i="24"/>
  <c r="M330" i="24"/>
  <c r="K330" i="24"/>
  <c r="J330" i="24"/>
  <c r="H330" i="24"/>
  <c r="F330" i="24"/>
  <c r="AG290" i="24"/>
  <c r="AF290" i="24"/>
  <c r="AD290" i="24"/>
  <c r="AC290" i="24"/>
  <c r="Z290" i="24"/>
  <c r="X290" i="24"/>
  <c r="T290" i="24"/>
  <c r="S290" i="24"/>
  <c r="R290" i="24"/>
  <c r="P290" i="24"/>
  <c r="N290" i="24"/>
  <c r="O290" i="24" s="1"/>
  <c r="M290" i="24"/>
  <c r="K290" i="24"/>
  <c r="J290" i="24"/>
  <c r="H290" i="24"/>
  <c r="F290" i="24"/>
  <c r="AG289" i="24"/>
  <c r="AF289" i="24"/>
  <c r="AD289" i="24"/>
  <c r="AC289" i="24"/>
  <c r="Z289" i="24"/>
  <c r="X289" i="24"/>
  <c r="T292" i="24"/>
  <c r="S292" i="24"/>
  <c r="R292" i="24"/>
  <c r="P292" i="24"/>
  <c r="N292" i="24"/>
  <c r="O292" i="24" s="1"/>
  <c r="M292" i="24"/>
  <c r="K292" i="24"/>
  <c r="J292" i="24"/>
  <c r="H292" i="24"/>
  <c r="F292" i="24"/>
  <c r="AG288" i="24"/>
  <c r="AF288" i="24"/>
  <c r="AD288" i="24"/>
  <c r="AC288" i="24"/>
  <c r="Z288" i="24"/>
  <c r="X288" i="24"/>
  <c r="T288" i="24"/>
  <c r="S288" i="24"/>
  <c r="R288" i="24"/>
  <c r="P288" i="24"/>
  <c r="N288" i="24"/>
  <c r="O288" i="24" s="1"/>
  <c r="M288" i="24"/>
  <c r="K288" i="24"/>
  <c r="J288" i="24"/>
  <c r="H288" i="24"/>
  <c r="F288" i="24"/>
  <c r="AG287" i="24"/>
  <c r="AF287" i="24"/>
  <c r="AD287" i="24"/>
  <c r="AC287" i="24"/>
  <c r="Z287" i="24"/>
  <c r="X287" i="24"/>
  <c r="T287" i="24"/>
  <c r="S287" i="24"/>
  <c r="R287" i="24"/>
  <c r="P287" i="24"/>
  <c r="N287" i="24"/>
  <c r="O287" i="24" s="1"/>
  <c r="M287" i="24"/>
  <c r="K287" i="24"/>
  <c r="J287" i="24"/>
  <c r="H287" i="24"/>
  <c r="F287" i="24"/>
  <c r="AG286" i="24"/>
  <c r="AF286" i="24"/>
  <c r="AD286" i="24"/>
  <c r="AC286" i="24"/>
  <c r="Z286" i="24"/>
  <c r="X286" i="24"/>
  <c r="T286" i="24"/>
  <c r="S286" i="24"/>
  <c r="R286" i="24"/>
  <c r="P286" i="24"/>
  <c r="N286" i="24"/>
  <c r="O286" i="24" s="1"/>
  <c r="M286" i="24"/>
  <c r="K286" i="24"/>
  <c r="J286" i="24"/>
  <c r="H286" i="24"/>
  <c r="F286" i="24"/>
  <c r="AG285" i="24"/>
  <c r="AF285" i="24"/>
  <c r="AD285" i="24"/>
  <c r="AC285" i="24"/>
  <c r="Z285" i="24"/>
  <c r="X285" i="24"/>
  <c r="T285" i="24"/>
  <c r="S285" i="24"/>
  <c r="R285" i="24"/>
  <c r="P285" i="24"/>
  <c r="N285" i="24"/>
  <c r="O285" i="24" s="1"/>
  <c r="M285" i="24"/>
  <c r="K285" i="24"/>
  <c r="J285" i="24"/>
  <c r="H285" i="24"/>
  <c r="F285" i="24"/>
  <c r="AG284" i="24"/>
  <c r="AF284" i="24"/>
  <c r="AD284" i="24"/>
  <c r="AC284" i="24"/>
  <c r="Z284" i="24"/>
  <c r="X284" i="24"/>
  <c r="T284" i="24"/>
  <c r="S284" i="24"/>
  <c r="R284" i="24"/>
  <c r="P284" i="24"/>
  <c r="N284" i="24"/>
  <c r="M284" i="24"/>
  <c r="K284" i="24"/>
  <c r="J284" i="24"/>
  <c r="H284" i="24"/>
  <c r="F284" i="24"/>
  <c r="AG283" i="24"/>
  <c r="AF283" i="24"/>
  <c r="AD283" i="24"/>
  <c r="AC283" i="24"/>
  <c r="Z283" i="24"/>
  <c r="X283" i="24"/>
  <c r="T283" i="24"/>
  <c r="S283" i="24"/>
  <c r="R283" i="24"/>
  <c r="P283" i="24"/>
  <c r="N283" i="24"/>
  <c r="O283" i="24" s="1"/>
  <c r="M283" i="24"/>
  <c r="K283" i="24"/>
  <c r="J283" i="24"/>
  <c r="H283" i="24"/>
  <c r="F283" i="24"/>
  <c r="AG282" i="24"/>
  <c r="AF282" i="24"/>
  <c r="AD282" i="24"/>
  <c r="AC282" i="24"/>
  <c r="Z282" i="24"/>
  <c r="X282" i="24"/>
  <c r="T282" i="24"/>
  <c r="S282" i="24"/>
  <c r="R282" i="24"/>
  <c r="P282" i="24"/>
  <c r="N282" i="24"/>
  <c r="O282" i="24" s="1"/>
  <c r="M282" i="24"/>
  <c r="K282" i="24"/>
  <c r="J282" i="24"/>
  <c r="H282" i="24"/>
  <c r="F282" i="24"/>
  <c r="AG281" i="24"/>
  <c r="AF281" i="24"/>
  <c r="AD281" i="24"/>
  <c r="AC281" i="24"/>
  <c r="Z281" i="24"/>
  <c r="X281" i="24"/>
  <c r="T291" i="24"/>
  <c r="S291" i="24"/>
  <c r="R291" i="24"/>
  <c r="P291" i="24"/>
  <c r="N291" i="24"/>
  <c r="O291" i="24" s="1"/>
  <c r="M291" i="24"/>
  <c r="K291" i="24"/>
  <c r="J291" i="24"/>
  <c r="H291" i="24"/>
  <c r="F291" i="24"/>
  <c r="AG280" i="24"/>
  <c r="AF280" i="24"/>
  <c r="AD280" i="24"/>
  <c r="AC280" i="24"/>
  <c r="Z280" i="24"/>
  <c r="X280" i="24"/>
  <c r="T280" i="24"/>
  <c r="S280" i="24"/>
  <c r="R280" i="24"/>
  <c r="P280" i="24"/>
  <c r="N280" i="24"/>
  <c r="O280" i="24" s="1"/>
  <c r="M280" i="24"/>
  <c r="K280" i="24"/>
  <c r="J280" i="24"/>
  <c r="H280" i="24"/>
  <c r="F280" i="24"/>
  <c r="AG279" i="24"/>
  <c r="AF279" i="24"/>
  <c r="AD279" i="24"/>
  <c r="AC279" i="24"/>
  <c r="Z279" i="24"/>
  <c r="X279" i="24"/>
  <c r="T279" i="24"/>
  <c r="S279" i="24"/>
  <c r="R279" i="24"/>
  <c r="P279" i="24"/>
  <c r="N279" i="24"/>
  <c r="O279" i="24" s="1"/>
  <c r="M279" i="24"/>
  <c r="K279" i="24"/>
  <c r="J279" i="24"/>
  <c r="H279" i="24"/>
  <c r="F279" i="24"/>
  <c r="AG278" i="24"/>
  <c r="AF278" i="24"/>
  <c r="AD278" i="24"/>
  <c r="AC278" i="24"/>
  <c r="Z278" i="24"/>
  <c r="X278" i="24"/>
  <c r="T278" i="24"/>
  <c r="S278" i="24"/>
  <c r="R278" i="24"/>
  <c r="P278" i="24"/>
  <c r="N278" i="24"/>
  <c r="O278" i="24" s="1"/>
  <c r="M278" i="24"/>
  <c r="K278" i="24"/>
  <c r="J278" i="24"/>
  <c r="H278" i="24"/>
  <c r="F278" i="24"/>
  <c r="AG277" i="24"/>
  <c r="AF277" i="24"/>
  <c r="AD277" i="24"/>
  <c r="AC277" i="24"/>
  <c r="Z277" i="24"/>
  <c r="X277" i="24"/>
  <c r="T277" i="24"/>
  <c r="S277" i="24"/>
  <c r="R277" i="24"/>
  <c r="P277" i="24"/>
  <c r="N277" i="24"/>
  <c r="M277" i="24"/>
  <c r="K277" i="24"/>
  <c r="J277" i="24"/>
  <c r="H277" i="24"/>
  <c r="F277" i="24"/>
  <c r="AG276" i="24"/>
  <c r="AF276" i="24"/>
  <c r="AD276" i="24"/>
  <c r="AC276" i="24"/>
  <c r="Z276" i="24"/>
  <c r="X276" i="24"/>
  <c r="T276" i="24"/>
  <c r="S276" i="24"/>
  <c r="R276" i="24"/>
  <c r="P276" i="24"/>
  <c r="N276" i="24"/>
  <c r="O276" i="24" s="1"/>
  <c r="M276" i="24"/>
  <c r="K276" i="24"/>
  <c r="J276" i="24"/>
  <c r="H276" i="24"/>
  <c r="F276" i="24"/>
  <c r="AG275" i="24"/>
  <c r="AF275" i="24"/>
  <c r="AD275" i="24"/>
  <c r="AC275" i="24"/>
  <c r="Z275" i="24"/>
  <c r="X275" i="24"/>
  <c r="T289" i="24"/>
  <c r="S289" i="24"/>
  <c r="R289" i="24"/>
  <c r="P289" i="24"/>
  <c r="N289" i="24"/>
  <c r="M289" i="24"/>
  <c r="K289" i="24"/>
  <c r="J289" i="24"/>
  <c r="H289" i="24"/>
  <c r="F289" i="24"/>
  <c r="AG274" i="24"/>
  <c r="AF274" i="24"/>
  <c r="AD274" i="24"/>
  <c r="AC274" i="24"/>
  <c r="Z274" i="24"/>
  <c r="X274" i="24"/>
  <c r="T274" i="24"/>
  <c r="S274" i="24"/>
  <c r="R274" i="24"/>
  <c r="P274" i="24"/>
  <c r="N274" i="24"/>
  <c r="O274" i="24" s="1"/>
  <c r="M274" i="24"/>
  <c r="K274" i="24"/>
  <c r="J274" i="24"/>
  <c r="H274" i="24"/>
  <c r="F274" i="24"/>
  <c r="AG273" i="24"/>
  <c r="AF273" i="24"/>
  <c r="AD273" i="24"/>
  <c r="AC273" i="24"/>
  <c r="Z273" i="24"/>
  <c r="X273" i="24"/>
  <c r="T273" i="24"/>
  <c r="S273" i="24"/>
  <c r="R273" i="24"/>
  <c r="P273" i="24"/>
  <c r="N273" i="24"/>
  <c r="M273" i="24"/>
  <c r="K273" i="24"/>
  <c r="J273" i="24"/>
  <c r="H273" i="24"/>
  <c r="F273" i="24"/>
  <c r="AG272" i="24"/>
  <c r="AF272" i="24"/>
  <c r="AD272" i="24"/>
  <c r="AC272" i="24"/>
  <c r="Z272" i="24"/>
  <c r="X272" i="24"/>
  <c r="T272" i="24"/>
  <c r="S272" i="24"/>
  <c r="R272" i="24"/>
  <c r="P272" i="24"/>
  <c r="N272" i="24"/>
  <c r="O272" i="24" s="1"/>
  <c r="M272" i="24"/>
  <c r="K272" i="24"/>
  <c r="J272" i="24"/>
  <c r="H272" i="24"/>
  <c r="F272" i="24"/>
  <c r="AG271" i="24"/>
  <c r="AF271" i="24"/>
  <c r="AD271" i="24"/>
  <c r="AC271" i="24"/>
  <c r="Z271" i="24"/>
  <c r="X271" i="24"/>
  <c r="T271" i="24"/>
  <c r="S271" i="24"/>
  <c r="R271" i="24"/>
  <c r="P271" i="24"/>
  <c r="N271" i="24"/>
  <c r="O271" i="24" s="1"/>
  <c r="M271" i="24"/>
  <c r="K271" i="24"/>
  <c r="J271" i="24"/>
  <c r="H271" i="24"/>
  <c r="F271" i="24"/>
  <c r="AG270" i="24"/>
  <c r="AF270" i="24"/>
  <c r="AD270" i="24"/>
  <c r="AC270" i="24"/>
  <c r="Z270" i="24"/>
  <c r="X270" i="24"/>
  <c r="T270" i="24"/>
  <c r="S270" i="24"/>
  <c r="R270" i="24"/>
  <c r="P270" i="24"/>
  <c r="N270" i="24"/>
  <c r="O270" i="24" s="1"/>
  <c r="M270" i="24"/>
  <c r="K270" i="24"/>
  <c r="J270" i="24"/>
  <c r="H270" i="24"/>
  <c r="F270" i="24"/>
  <c r="AG269" i="24"/>
  <c r="AF269" i="24"/>
  <c r="AD269" i="24"/>
  <c r="AC269" i="24"/>
  <c r="Z269" i="24"/>
  <c r="X269" i="24"/>
  <c r="T269" i="24"/>
  <c r="S269" i="24"/>
  <c r="R269" i="24"/>
  <c r="P269" i="24"/>
  <c r="N269" i="24"/>
  <c r="M269" i="24"/>
  <c r="K269" i="24"/>
  <c r="J269" i="24"/>
  <c r="H269" i="24"/>
  <c r="F269" i="24"/>
  <c r="AG268" i="24"/>
  <c r="AF268" i="24"/>
  <c r="AD268" i="24"/>
  <c r="AC268" i="24"/>
  <c r="Z268" i="24"/>
  <c r="X268" i="24"/>
  <c r="T268" i="24"/>
  <c r="S268" i="24"/>
  <c r="R268" i="24"/>
  <c r="P268" i="24"/>
  <c r="N268" i="24"/>
  <c r="O268" i="24" s="1"/>
  <c r="M268" i="24"/>
  <c r="K268" i="24"/>
  <c r="J268" i="24"/>
  <c r="H268" i="24"/>
  <c r="F268" i="24"/>
  <c r="AG267" i="24"/>
  <c r="AF267" i="24"/>
  <c r="AD267" i="24"/>
  <c r="AC267" i="24"/>
  <c r="Z267" i="24"/>
  <c r="X267" i="24"/>
  <c r="T267" i="24"/>
  <c r="S267" i="24"/>
  <c r="R267" i="24"/>
  <c r="P267" i="24"/>
  <c r="N267" i="24"/>
  <c r="M267" i="24"/>
  <c r="K267" i="24"/>
  <c r="J267" i="24"/>
  <c r="H267" i="24"/>
  <c r="F267" i="24"/>
  <c r="AG266" i="24"/>
  <c r="AF266" i="24"/>
  <c r="AD266" i="24"/>
  <c r="AC266" i="24"/>
  <c r="Z266" i="24"/>
  <c r="X266" i="24"/>
  <c r="T266" i="24"/>
  <c r="S266" i="24"/>
  <c r="R266" i="24"/>
  <c r="P266" i="24"/>
  <c r="N266" i="24"/>
  <c r="O266" i="24" s="1"/>
  <c r="M266" i="24"/>
  <c r="K266" i="24"/>
  <c r="J266" i="24"/>
  <c r="H266" i="24"/>
  <c r="F266" i="24"/>
  <c r="AG265" i="24"/>
  <c r="AF265" i="24"/>
  <c r="AD265" i="24"/>
  <c r="AC265" i="24"/>
  <c r="Z265" i="24"/>
  <c r="X265" i="24"/>
  <c r="T265" i="24"/>
  <c r="S265" i="24"/>
  <c r="R265" i="24"/>
  <c r="P265" i="24"/>
  <c r="N265" i="24"/>
  <c r="O265" i="24" s="1"/>
  <c r="M265" i="24"/>
  <c r="K265" i="24"/>
  <c r="J265" i="24"/>
  <c r="H265" i="24"/>
  <c r="F265" i="24"/>
  <c r="AG264" i="24"/>
  <c r="AF264" i="24"/>
  <c r="AD264" i="24"/>
  <c r="AC264" i="24"/>
  <c r="Z264" i="24"/>
  <c r="X264" i="24"/>
  <c r="T264" i="24"/>
  <c r="S264" i="24"/>
  <c r="R264" i="24"/>
  <c r="P264" i="24"/>
  <c r="N264" i="24"/>
  <c r="O264" i="24" s="1"/>
  <c r="M264" i="24"/>
  <c r="K264" i="24"/>
  <c r="J264" i="24"/>
  <c r="H264" i="24"/>
  <c r="F264" i="24"/>
  <c r="AG263" i="24"/>
  <c r="AF263" i="24"/>
  <c r="AD263" i="24"/>
  <c r="AC263" i="24"/>
  <c r="Z263" i="24"/>
  <c r="X263" i="24"/>
  <c r="T263" i="24"/>
  <c r="S263" i="24"/>
  <c r="R263" i="24"/>
  <c r="P263" i="24"/>
  <c r="N263" i="24"/>
  <c r="O263" i="24" s="1"/>
  <c r="M263" i="24"/>
  <c r="K263" i="24"/>
  <c r="J263" i="24"/>
  <c r="H263" i="24"/>
  <c r="F263" i="24"/>
  <c r="AG262" i="24"/>
  <c r="AF262" i="24"/>
  <c r="AD262" i="24"/>
  <c r="AC262" i="24"/>
  <c r="Z262" i="24"/>
  <c r="X262" i="24"/>
  <c r="T281" i="24"/>
  <c r="S281" i="24"/>
  <c r="R281" i="24"/>
  <c r="P281" i="24"/>
  <c r="N281" i="24"/>
  <c r="O281" i="24" s="1"/>
  <c r="M281" i="24"/>
  <c r="K281" i="24"/>
  <c r="J281" i="24"/>
  <c r="H281" i="24"/>
  <c r="F281" i="24"/>
  <c r="AG261" i="24"/>
  <c r="AF261" i="24"/>
  <c r="AD261" i="24"/>
  <c r="AC261" i="24"/>
  <c r="Z261" i="24"/>
  <c r="X261" i="24"/>
  <c r="T261" i="24"/>
  <c r="S261" i="24"/>
  <c r="R261" i="24"/>
  <c r="P261" i="24"/>
  <c r="N261" i="24"/>
  <c r="M261" i="24"/>
  <c r="K261" i="24"/>
  <c r="J261" i="24"/>
  <c r="H261" i="24"/>
  <c r="F261" i="24"/>
  <c r="AG260" i="24"/>
  <c r="AF260" i="24"/>
  <c r="AD260" i="24"/>
  <c r="AC260" i="24"/>
  <c r="Z260" i="24"/>
  <c r="X260" i="24"/>
  <c r="T260" i="24"/>
  <c r="S260" i="24"/>
  <c r="R260" i="24"/>
  <c r="P260" i="24"/>
  <c r="N260" i="24"/>
  <c r="M260" i="24"/>
  <c r="K260" i="24"/>
  <c r="J260" i="24"/>
  <c r="H260" i="24"/>
  <c r="F260" i="24"/>
  <c r="AG259" i="24"/>
  <c r="AF259" i="24"/>
  <c r="AD259" i="24"/>
  <c r="AC259" i="24"/>
  <c r="Z259" i="24"/>
  <c r="X259" i="24"/>
  <c r="T259" i="24"/>
  <c r="S259" i="24"/>
  <c r="R259" i="24"/>
  <c r="P259" i="24"/>
  <c r="N259" i="24"/>
  <c r="O259" i="24" s="1"/>
  <c r="M259" i="24"/>
  <c r="K259" i="24"/>
  <c r="J259" i="24"/>
  <c r="H259" i="24"/>
  <c r="F259" i="24"/>
  <c r="AG258" i="24"/>
  <c r="AF258" i="24"/>
  <c r="AD258" i="24"/>
  <c r="AC258" i="24"/>
  <c r="Z258" i="24"/>
  <c r="X258" i="24"/>
  <c r="T258" i="24"/>
  <c r="S258" i="24"/>
  <c r="R258" i="24"/>
  <c r="P258" i="24"/>
  <c r="N258" i="24"/>
  <c r="O258" i="24" s="1"/>
  <c r="M258" i="24"/>
  <c r="K258" i="24"/>
  <c r="J258" i="24"/>
  <c r="H258" i="24"/>
  <c r="F258" i="24"/>
  <c r="AG257" i="24"/>
  <c r="AF257" i="24"/>
  <c r="AD257" i="24"/>
  <c r="AC257" i="24"/>
  <c r="Z257" i="24"/>
  <c r="X257" i="24"/>
  <c r="T257" i="24"/>
  <c r="S257" i="24"/>
  <c r="R257" i="24"/>
  <c r="P257" i="24"/>
  <c r="N257" i="24"/>
  <c r="O257" i="24" s="1"/>
  <c r="M257" i="24"/>
  <c r="K257" i="24"/>
  <c r="J257" i="24"/>
  <c r="H257" i="24"/>
  <c r="F257" i="24"/>
  <c r="AG256" i="24"/>
  <c r="AF256" i="24"/>
  <c r="AD256" i="24"/>
  <c r="AC256" i="24"/>
  <c r="Z256" i="24"/>
  <c r="X256" i="24"/>
  <c r="T256" i="24"/>
  <c r="S256" i="24"/>
  <c r="R256" i="24"/>
  <c r="P256" i="24"/>
  <c r="N256" i="24"/>
  <c r="O256" i="24" s="1"/>
  <c r="M256" i="24"/>
  <c r="K256" i="24"/>
  <c r="J256" i="24"/>
  <c r="H256" i="24"/>
  <c r="F256" i="24"/>
  <c r="AG255" i="24"/>
  <c r="AF255" i="24"/>
  <c r="AD255" i="24"/>
  <c r="AC255" i="24"/>
  <c r="Z255" i="24"/>
  <c r="X255" i="24"/>
  <c r="T255" i="24"/>
  <c r="S255" i="24"/>
  <c r="R255" i="24"/>
  <c r="P255" i="24"/>
  <c r="N255" i="24"/>
  <c r="O255" i="24" s="1"/>
  <c r="M255" i="24"/>
  <c r="K255" i="24"/>
  <c r="J255" i="24"/>
  <c r="H255" i="24"/>
  <c r="F255" i="24"/>
  <c r="AG254" i="24"/>
  <c r="AF254" i="24"/>
  <c r="AD254" i="24"/>
  <c r="AC254" i="24"/>
  <c r="Z254" i="24"/>
  <c r="X254" i="24"/>
  <c r="T254" i="24"/>
  <c r="S254" i="24"/>
  <c r="R254" i="24"/>
  <c r="P254" i="24"/>
  <c r="N254" i="24"/>
  <c r="M254" i="24"/>
  <c r="K254" i="24"/>
  <c r="J254" i="24"/>
  <c r="H254" i="24"/>
  <c r="F254" i="24"/>
  <c r="AG253" i="24"/>
  <c r="AF253" i="24"/>
  <c r="AD253" i="24"/>
  <c r="AC253" i="24"/>
  <c r="Z253" i="24"/>
  <c r="X253" i="24"/>
  <c r="T253" i="24"/>
  <c r="S253" i="24"/>
  <c r="R253" i="24"/>
  <c r="P253" i="24"/>
  <c r="N253" i="24"/>
  <c r="M253" i="24"/>
  <c r="K253" i="24"/>
  <c r="J253" i="24"/>
  <c r="H253" i="24"/>
  <c r="F253" i="24"/>
  <c r="AG252" i="24"/>
  <c r="AF252" i="24"/>
  <c r="AD252" i="24"/>
  <c r="AC252" i="24"/>
  <c r="Z252" i="24"/>
  <c r="X252" i="24"/>
  <c r="T252" i="24"/>
  <c r="S252" i="24"/>
  <c r="R252" i="24"/>
  <c r="P252" i="24"/>
  <c r="N252" i="24"/>
  <c r="O252" i="24" s="1"/>
  <c r="M252" i="24"/>
  <c r="K252" i="24"/>
  <c r="J252" i="24"/>
  <c r="H252" i="24"/>
  <c r="F252" i="24"/>
  <c r="AG251" i="24"/>
  <c r="AF251" i="24"/>
  <c r="AD251" i="24"/>
  <c r="AC251" i="24"/>
  <c r="Z251" i="24"/>
  <c r="X251" i="24"/>
  <c r="T251" i="24"/>
  <c r="S251" i="24"/>
  <c r="R251" i="24"/>
  <c r="P251" i="24"/>
  <c r="N251" i="24"/>
  <c r="M251" i="24"/>
  <c r="K251" i="24"/>
  <c r="J251" i="24"/>
  <c r="H251" i="24"/>
  <c r="F251" i="24"/>
  <c r="AG250" i="24"/>
  <c r="AF250" i="24"/>
  <c r="AD250" i="24"/>
  <c r="AC250" i="24"/>
  <c r="Z250" i="24"/>
  <c r="X250" i="24"/>
  <c r="T250" i="24"/>
  <c r="S250" i="24"/>
  <c r="R250" i="24"/>
  <c r="P250" i="24"/>
  <c r="N250" i="24"/>
  <c r="O250" i="24" s="1"/>
  <c r="M250" i="24"/>
  <c r="K250" i="24"/>
  <c r="J250" i="24"/>
  <c r="H250" i="24"/>
  <c r="F250" i="24"/>
  <c r="AG249" i="24"/>
  <c r="AF249" i="24"/>
  <c r="AD249" i="24"/>
  <c r="AC249" i="24"/>
  <c r="Z249" i="24"/>
  <c r="X249" i="24"/>
  <c r="T249" i="24"/>
  <c r="S249" i="24"/>
  <c r="R249" i="24"/>
  <c r="P249" i="24"/>
  <c r="N249" i="24"/>
  <c r="M249" i="24"/>
  <c r="K249" i="24"/>
  <c r="J249" i="24"/>
  <c r="H249" i="24"/>
  <c r="F249" i="24"/>
  <c r="AG248" i="24"/>
  <c r="AF248" i="24"/>
  <c r="AD248" i="24"/>
  <c r="AC248" i="24"/>
  <c r="Z248" i="24"/>
  <c r="X248" i="24"/>
  <c r="T248" i="24"/>
  <c r="S248" i="24"/>
  <c r="R248" i="24"/>
  <c r="P248" i="24"/>
  <c r="N248" i="24"/>
  <c r="O248" i="24" s="1"/>
  <c r="M248" i="24"/>
  <c r="K248" i="24"/>
  <c r="J248" i="24"/>
  <c r="H248" i="24"/>
  <c r="F248" i="24"/>
  <c r="AG247" i="24"/>
  <c r="AF247" i="24"/>
  <c r="AD247" i="24"/>
  <c r="AC247" i="24"/>
  <c r="Z247" i="24"/>
  <c r="X247" i="24"/>
  <c r="T247" i="24"/>
  <c r="S247" i="24"/>
  <c r="R247" i="24"/>
  <c r="P247" i="24"/>
  <c r="N247" i="24"/>
  <c r="O247" i="24" s="1"/>
  <c r="M247" i="24"/>
  <c r="K247" i="24"/>
  <c r="J247" i="24"/>
  <c r="H247" i="24"/>
  <c r="F247" i="24"/>
  <c r="AG246" i="24"/>
  <c r="AF246" i="24"/>
  <c r="AD246" i="24"/>
  <c r="AC246" i="24"/>
  <c r="Z246" i="24"/>
  <c r="X246" i="24"/>
  <c r="T246" i="24"/>
  <c r="S246" i="24"/>
  <c r="R246" i="24"/>
  <c r="P246" i="24"/>
  <c r="N246" i="24"/>
  <c r="O246" i="24" s="1"/>
  <c r="M246" i="24"/>
  <c r="K246" i="24"/>
  <c r="J246" i="24"/>
  <c r="H246" i="24"/>
  <c r="F246" i="24"/>
  <c r="AG245" i="24"/>
  <c r="AF245" i="24"/>
  <c r="AD245" i="24"/>
  <c r="AC245" i="24"/>
  <c r="Z245" i="24"/>
  <c r="X245" i="24"/>
  <c r="T245" i="24"/>
  <c r="S245" i="24"/>
  <c r="R245" i="24"/>
  <c r="P245" i="24"/>
  <c r="N245" i="24"/>
  <c r="M245" i="24"/>
  <c r="K245" i="24"/>
  <c r="J245" i="24"/>
  <c r="H245" i="24"/>
  <c r="F245" i="24"/>
  <c r="AG244" i="24"/>
  <c r="AF244" i="24"/>
  <c r="AD244" i="24"/>
  <c r="AC244" i="24"/>
  <c r="Z244" i="24"/>
  <c r="X244" i="24"/>
  <c r="T244" i="24"/>
  <c r="S244" i="24"/>
  <c r="R244" i="24"/>
  <c r="P244" i="24"/>
  <c r="N244" i="24"/>
  <c r="O244" i="24" s="1"/>
  <c r="M244" i="24"/>
  <c r="K244" i="24"/>
  <c r="J244" i="24"/>
  <c r="H244" i="24"/>
  <c r="F244" i="24"/>
  <c r="AG243" i="24"/>
  <c r="AF243" i="24"/>
  <c r="AD243" i="24"/>
  <c r="AC243" i="24"/>
  <c r="Z243" i="24"/>
  <c r="X243" i="24"/>
  <c r="T243" i="24"/>
  <c r="S243" i="24"/>
  <c r="R243" i="24"/>
  <c r="P243" i="24"/>
  <c r="N243" i="24"/>
  <c r="M243" i="24"/>
  <c r="K243" i="24"/>
  <c r="J243" i="24"/>
  <c r="H243" i="24"/>
  <c r="F243" i="24"/>
  <c r="AG242" i="24"/>
  <c r="AF242" i="24"/>
  <c r="AD242" i="24"/>
  <c r="AC242" i="24"/>
  <c r="Z242" i="24"/>
  <c r="X242" i="24"/>
  <c r="T242" i="24"/>
  <c r="S242" i="24"/>
  <c r="R242" i="24"/>
  <c r="P242" i="24"/>
  <c r="N242" i="24"/>
  <c r="O242" i="24" s="1"/>
  <c r="M242" i="24"/>
  <c r="K242" i="24"/>
  <c r="J242" i="24"/>
  <c r="H242" i="24"/>
  <c r="F242" i="24"/>
  <c r="AG241" i="24"/>
  <c r="AF241" i="24"/>
  <c r="AD241" i="24"/>
  <c r="AC241" i="24"/>
  <c r="Z241" i="24"/>
  <c r="X241" i="24"/>
  <c r="T241" i="24"/>
  <c r="S241" i="24"/>
  <c r="R241" i="24"/>
  <c r="P241" i="24"/>
  <c r="N241" i="24"/>
  <c r="O241" i="24" s="1"/>
  <c r="M241" i="24"/>
  <c r="K241" i="24"/>
  <c r="J241" i="24"/>
  <c r="H241" i="24"/>
  <c r="F241" i="24"/>
  <c r="AG240" i="24"/>
  <c r="AF240" i="24"/>
  <c r="AD240" i="24"/>
  <c r="AC240" i="24"/>
  <c r="Z240" i="24"/>
  <c r="X240" i="24"/>
  <c r="T262" i="24"/>
  <c r="S262" i="24"/>
  <c r="R262" i="24"/>
  <c r="P262" i="24"/>
  <c r="N262" i="24"/>
  <c r="O262" i="24" s="1"/>
  <c r="M262" i="24"/>
  <c r="K262" i="24"/>
  <c r="J262" i="24"/>
  <c r="H262" i="24"/>
  <c r="F262" i="24"/>
  <c r="AG239" i="24"/>
  <c r="AF239" i="24"/>
  <c r="AD239" i="24"/>
  <c r="AC239" i="24"/>
  <c r="Z239" i="24"/>
  <c r="X239" i="24"/>
  <c r="T239" i="24"/>
  <c r="S239" i="24"/>
  <c r="R239" i="24"/>
  <c r="P239" i="24"/>
  <c r="N239" i="24"/>
  <c r="O239" i="24" s="1"/>
  <c r="M239" i="24"/>
  <c r="K239" i="24"/>
  <c r="J239" i="24"/>
  <c r="H239" i="24"/>
  <c r="F239" i="24"/>
  <c r="AG238" i="24"/>
  <c r="AF238" i="24"/>
  <c r="AD238" i="24"/>
  <c r="AC238" i="24"/>
  <c r="Z238" i="24"/>
  <c r="X238" i="24"/>
  <c r="T238" i="24"/>
  <c r="S238" i="24"/>
  <c r="R238" i="24"/>
  <c r="P238" i="24"/>
  <c r="N238" i="24"/>
  <c r="O238" i="24" s="1"/>
  <c r="M238" i="24"/>
  <c r="K238" i="24"/>
  <c r="J238" i="24"/>
  <c r="H238" i="24"/>
  <c r="F238" i="24"/>
  <c r="AG237" i="24"/>
  <c r="AF237" i="24"/>
  <c r="AD237" i="24"/>
  <c r="AC237" i="24"/>
  <c r="Z237" i="24"/>
  <c r="X237" i="24"/>
  <c r="T237" i="24"/>
  <c r="S237" i="24"/>
  <c r="R237" i="24"/>
  <c r="P237" i="24"/>
  <c r="N237" i="24"/>
  <c r="M237" i="24"/>
  <c r="K237" i="24"/>
  <c r="J237" i="24"/>
  <c r="H237" i="24"/>
  <c r="F237" i="24"/>
  <c r="AG236" i="24"/>
  <c r="AF236" i="24"/>
  <c r="AD236" i="24"/>
  <c r="AC236" i="24"/>
  <c r="Z236" i="24"/>
  <c r="X236" i="24"/>
  <c r="T240" i="24"/>
  <c r="S240" i="24"/>
  <c r="R240" i="24"/>
  <c r="P240" i="24"/>
  <c r="N240" i="24"/>
  <c r="M240" i="24"/>
  <c r="K240" i="24"/>
  <c r="J240" i="24"/>
  <c r="H240" i="24"/>
  <c r="F240" i="24"/>
  <c r="AG235" i="24"/>
  <c r="AF235" i="24"/>
  <c r="AD235" i="24"/>
  <c r="AC235" i="24"/>
  <c r="Z235" i="24"/>
  <c r="X235" i="24"/>
  <c r="T235" i="24"/>
  <c r="S235" i="24"/>
  <c r="R235" i="24"/>
  <c r="P235" i="24"/>
  <c r="N235" i="24"/>
  <c r="O235" i="24" s="1"/>
  <c r="M235" i="24"/>
  <c r="K235" i="24"/>
  <c r="J235" i="24"/>
  <c r="H235" i="24"/>
  <c r="F235" i="24"/>
  <c r="AG234" i="24"/>
  <c r="AF234" i="24"/>
  <c r="AD234" i="24"/>
  <c r="AC234" i="24"/>
  <c r="Z234" i="24"/>
  <c r="X234" i="24"/>
  <c r="T234" i="24"/>
  <c r="S234" i="24"/>
  <c r="R234" i="24"/>
  <c r="P234" i="24"/>
  <c r="N234" i="24"/>
  <c r="O234" i="24" s="1"/>
  <c r="M234" i="24"/>
  <c r="K234" i="24"/>
  <c r="J234" i="24"/>
  <c r="H234" i="24"/>
  <c r="F234" i="24"/>
  <c r="AG233" i="24"/>
  <c r="AF233" i="24"/>
  <c r="AD233" i="24"/>
  <c r="AC233" i="24"/>
  <c r="Z233" i="24"/>
  <c r="X233" i="24"/>
  <c r="T233" i="24"/>
  <c r="S233" i="24"/>
  <c r="R233" i="24"/>
  <c r="P233" i="24"/>
  <c r="N233" i="24"/>
  <c r="O233" i="24" s="1"/>
  <c r="M233" i="24"/>
  <c r="K233" i="24"/>
  <c r="J233" i="24"/>
  <c r="H233" i="24"/>
  <c r="F233" i="24"/>
  <c r="AG232" i="24"/>
  <c r="AF232" i="24"/>
  <c r="AD232" i="24"/>
  <c r="AC232" i="24"/>
  <c r="Z232" i="24"/>
  <c r="X232" i="24"/>
  <c r="T232" i="24"/>
  <c r="S232" i="24"/>
  <c r="R232" i="24"/>
  <c r="P232" i="24"/>
  <c r="N232" i="24"/>
  <c r="M232" i="24"/>
  <c r="K232" i="24"/>
  <c r="J232" i="24"/>
  <c r="H232" i="24"/>
  <c r="F232" i="24"/>
  <c r="AG231" i="24"/>
  <c r="AF231" i="24"/>
  <c r="AD231" i="24"/>
  <c r="AC231" i="24"/>
  <c r="Z231" i="24"/>
  <c r="X231" i="24"/>
  <c r="T231" i="24"/>
  <c r="S231" i="24"/>
  <c r="R231" i="24"/>
  <c r="P231" i="24"/>
  <c r="N231" i="24"/>
  <c r="O231" i="24" s="1"/>
  <c r="M231" i="24"/>
  <c r="K231" i="24"/>
  <c r="J231" i="24"/>
  <c r="H231" i="24"/>
  <c r="F231" i="24"/>
  <c r="AG230" i="24"/>
  <c r="AF230" i="24"/>
  <c r="AD230" i="24"/>
  <c r="AC230" i="24"/>
  <c r="Z230" i="24"/>
  <c r="X230" i="24"/>
  <c r="T230" i="24"/>
  <c r="S230" i="24"/>
  <c r="R230" i="24"/>
  <c r="P230" i="24"/>
  <c r="N230" i="24"/>
  <c r="O230" i="24" s="1"/>
  <c r="M230" i="24"/>
  <c r="K230" i="24"/>
  <c r="J230" i="24"/>
  <c r="H230" i="24"/>
  <c r="F230" i="24"/>
  <c r="AG229" i="24"/>
  <c r="AF229" i="24"/>
  <c r="AD229" i="24"/>
  <c r="AC229" i="24"/>
  <c r="Z229" i="24"/>
  <c r="X229" i="24"/>
  <c r="T236" i="24"/>
  <c r="S236" i="24"/>
  <c r="R236" i="24"/>
  <c r="P236" i="24"/>
  <c r="N236" i="24"/>
  <c r="M236" i="24"/>
  <c r="K236" i="24"/>
  <c r="J236" i="24"/>
  <c r="H236" i="24"/>
  <c r="F236" i="24"/>
  <c r="AG228" i="24"/>
  <c r="AF228" i="24"/>
  <c r="AD228" i="24"/>
  <c r="AC228" i="24"/>
  <c r="Z228" i="24"/>
  <c r="X228" i="24"/>
  <c r="T228" i="24"/>
  <c r="S228" i="24"/>
  <c r="R228" i="24"/>
  <c r="P228" i="24"/>
  <c r="N228" i="24"/>
  <c r="O228" i="24" s="1"/>
  <c r="M228" i="24"/>
  <c r="K228" i="24"/>
  <c r="J228" i="24"/>
  <c r="H228" i="24"/>
  <c r="F228" i="24"/>
  <c r="AG227" i="24"/>
  <c r="AF227" i="24"/>
  <c r="AD227" i="24"/>
  <c r="AC227" i="24"/>
  <c r="Z227" i="24"/>
  <c r="X227" i="24"/>
  <c r="T227" i="24"/>
  <c r="S227" i="24"/>
  <c r="R227" i="24"/>
  <c r="P227" i="24"/>
  <c r="N227" i="24"/>
  <c r="M227" i="24"/>
  <c r="K227" i="24"/>
  <c r="J227" i="24"/>
  <c r="H227" i="24"/>
  <c r="F227" i="24"/>
  <c r="AG226" i="24"/>
  <c r="AF226" i="24"/>
  <c r="AD226" i="24"/>
  <c r="AC226" i="24"/>
  <c r="Z226" i="24"/>
  <c r="X226" i="24"/>
  <c r="T226" i="24"/>
  <c r="S226" i="24"/>
  <c r="R226" i="24"/>
  <c r="P226" i="24"/>
  <c r="N226" i="24"/>
  <c r="O226" i="24" s="1"/>
  <c r="M226" i="24"/>
  <c r="K226" i="24"/>
  <c r="J226" i="24"/>
  <c r="H226" i="24"/>
  <c r="F226" i="24"/>
  <c r="AG225" i="24"/>
  <c r="AF225" i="24"/>
  <c r="AD225" i="24"/>
  <c r="AC225" i="24"/>
  <c r="Z225" i="24"/>
  <c r="X225" i="24"/>
  <c r="T225" i="24"/>
  <c r="S225" i="24"/>
  <c r="R225" i="24"/>
  <c r="P225" i="24"/>
  <c r="N225" i="24"/>
  <c r="O225" i="24" s="1"/>
  <c r="M225" i="24"/>
  <c r="K225" i="24"/>
  <c r="J225" i="24"/>
  <c r="H225" i="24"/>
  <c r="F225" i="24"/>
  <c r="AG224" i="24"/>
  <c r="AF224" i="24"/>
  <c r="AD224" i="24"/>
  <c r="AC224" i="24"/>
  <c r="Z224" i="24"/>
  <c r="X224" i="24"/>
  <c r="T224" i="24"/>
  <c r="S224" i="24"/>
  <c r="R224" i="24"/>
  <c r="P224" i="24"/>
  <c r="N224" i="24"/>
  <c r="O224" i="24" s="1"/>
  <c r="M224" i="24"/>
  <c r="K224" i="24"/>
  <c r="J224" i="24"/>
  <c r="H224" i="24"/>
  <c r="F224" i="24"/>
  <c r="AG223" i="24"/>
  <c r="AF223" i="24"/>
  <c r="AD223" i="24"/>
  <c r="AC223" i="24"/>
  <c r="Z223" i="24"/>
  <c r="X223" i="24"/>
  <c r="T223" i="24"/>
  <c r="S223" i="24"/>
  <c r="R223" i="24"/>
  <c r="P223" i="24"/>
  <c r="N223" i="24"/>
  <c r="O223" i="24" s="1"/>
  <c r="M223" i="24"/>
  <c r="K223" i="24"/>
  <c r="J223" i="24"/>
  <c r="H223" i="24"/>
  <c r="F223" i="24"/>
  <c r="AG222" i="24"/>
  <c r="AF222" i="24"/>
  <c r="AD222" i="24"/>
  <c r="AC222" i="24"/>
  <c r="Z222" i="24"/>
  <c r="X222" i="24"/>
  <c r="T222" i="24"/>
  <c r="S222" i="24"/>
  <c r="R222" i="24"/>
  <c r="P222" i="24"/>
  <c r="N222" i="24"/>
  <c r="M222" i="24"/>
  <c r="K222" i="24"/>
  <c r="J222" i="24"/>
  <c r="H222" i="24"/>
  <c r="F222" i="24"/>
  <c r="AG221" i="24"/>
  <c r="AF221" i="24"/>
  <c r="AD221" i="24"/>
  <c r="AC221" i="24"/>
  <c r="Z221" i="24"/>
  <c r="X221" i="24"/>
  <c r="T221" i="24"/>
  <c r="S221" i="24"/>
  <c r="R221" i="24"/>
  <c r="P221" i="24"/>
  <c r="N221" i="24"/>
  <c r="M221" i="24"/>
  <c r="K221" i="24"/>
  <c r="J221" i="24"/>
  <c r="H221" i="24"/>
  <c r="F221" i="24"/>
  <c r="AG220" i="24"/>
  <c r="AF220" i="24"/>
  <c r="AD220" i="24"/>
  <c r="AC220" i="24"/>
  <c r="Z220" i="24"/>
  <c r="X220" i="24"/>
  <c r="T220" i="24"/>
  <c r="S220" i="24"/>
  <c r="R220" i="24"/>
  <c r="P220" i="24"/>
  <c r="N220" i="24"/>
  <c r="O220" i="24" s="1"/>
  <c r="M220" i="24"/>
  <c r="K220" i="24"/>
  <c r="J220" i="24"/>
  <c r="H220" i="24"/>
  <c r="F220" i="24"/>
  <c r="AG219" i="24"/>
  <c r="AF219" i="24"/>
  <c r="AD219" i="24"/>
  <c r="AC219" i="24"/>
  <c r="Z219" i="24"/>
  <c r="X219" i="24"/>
  <c r="T219" i="24"/>
  <c r="S219" i="24"/>
  <c r="R219" i="24"/>
  <c r="P219" i="24"/>
  <c r="N219" i="24"/>
  <c r="M219" i="24"/>
  <c r="K219" i="24"/>
  <c r="J219" i="24"/>
  <c r="H219" i="24"/>
  <c r="F219" i="24"/>
  <c r="AG218" i="24"/>
  <c r="AF218" i="24"/>
  <c r="AD218" i="24"/>
  <c r="AC218" i="24"/>
  <c r="Z218" i="24"/>
  <c r="X218" i="24"/>
  <c r="T218" i="24"/>
  <c r="S218" i="24"/>
  <c r="R218" i="24"/>
  <c r="P218" i="24"/>
  <c r="N218" i="24"/>
  <c r="O218" i="24" s="1"/>
  <c r="M218" i="24"/>
  <c r="K218" i="24"/>
  <c r="J218" i="24"/>
  <c r="H218" i="24"/>
  <c r="F218" i="24"/>
  <c r="AG217" i="24"/>
  <c r="AF217" i="24"/>
  <c r="AD217" i="24"/>
  <c r="AC217" i="24"/>
  <c r="Z217" i="24"/>
  <c r="X217" i="24"/>
  <c r="T217" i="24"/>
  <c r="S217" i="24"/>
  <c r="R217" i="24"/>
  <c r="P217" i="24"/>
  <c r="N217" i="24"/>
  <c r="O217" i="24" s="1"/>
  <c r="M217" i="24"/>
  <c r="K217" i="24"/>
  <c r="J217" i="24"/>
  <c r="H217" i="24"/>
  <c r="F217" i="24"/>
  <c r="AG216" i="24"/>
  <c r="AF216" i="24"/>
  <c r="AD216" i="24"/>
  <c r="AC216" i="24"/>
  <c r="Z216" i="24"/>
  <c r="X216" i="24"/>
  <c r="T216" i="24"/>
  <c r="S216" i="24"/>
  <c r="R216" i="24"/>
  <c r="P216" i="24"/>
  <c r="N216" i="24"/>
  <c r="O216" i="24" s="1"/>
  <c r="M216" i="24"/>
  <c r="K216" i="24"/>
  <c r="J216" i="24"/>
  <c r="H216" i="24"/>
  <c r="F216" i="24"/>
  <c r="AG215" i="24"/>
  <c r="AF215" i="24"/>
  <c r="AD215" i="24"/>
  <c r="AC215" i="24"/>
  <c r="Z215" i="24"/>
  <c r="X215" i="24"/>
  <c r="T229" i="24"/>
  <c r="S229" i="24"/>
  <c r="R229" i="24"/>
  <c r="P229" i="24"/>
  <c r="N229" i="24"/>
  <c r="O229" i="24" s="1"/>
  <c r="M229" i="24"/>
  <c r="K229" i="24"/>
  <c r="J229" i="24"/>
  <c r="H229" i="24"/>
  <c r="F229" i="24"/>
  <c r="AG214" i="24"/>
  <c r="AF214" i="24"/>
  <c r="AD214" i="24"/>
  <c r="AC214" i="24"/>
  <c r="Z214" i="24"/>
  <c r="X214" i="24"/>
  <c r="T214" i="24"/>
  <c r="S214" i="24"/>
  <c r="R214" i="24"/>
  <c r="P214" i="24"/>
  <c r="N214" i="24"/>
  <c r="O214" i="24" s="1"/>
  <c r="M214" i="24"/>
  <c r="K214" i="24"/>
  <c r="J214" i="24"/>
  <c r="H214" i="24"/>
  <c r="F214" i="24"/>
  <c r="AG213" i="24"/>
  <c r="AF213" i="24"/>
  <c r="AD213" i="24"/>
  <c r="AC213" i="24"/>
  <c r="Z213" i="24"/>
  <c r="X213" i="24"/>
  <c r="T213" i="24"/>
  <c r="S213" i="24"/>
  <c r="R213" i="24"/>
  <c r="P213" i="24"/>
  <c r="N213" i="24"/>
  <c r="O213" i="24" s="1"/>
  <c r="M213" i="24"/>
  <c r="K213" i="24"/>
  <c r="J213" i="24"/>
  <c r="H213" i="24"/>
  <c r="F213" i="24"/>
  <c r="AG212" i="24"/>
  <c r="AF212" i="24"/>
  <c r="AD212" i="24"/>
  <c r="AC212" i="24"/>
  <c r="Z212" i="24"/>
  <c r="X212" i="24"/>
  <c r="T212" i="24"/>
  <c r="S212" i="24"/>
  <c r="R212" i="24"/>
  <c r="P212" i="24"/>
  <c r="N212" i="24"/>
  <c r="M212" i="24"/>
  <c r="K212" i="24"/>
  <c r="J212" i="24"/>
  <c r="H212" i="24"/>
  <c r="F212" i="24"/>
  <c r="AG211" i="24"/>
  <c r="AF211" i="24"/>
  <c r="AD211" i="24"/>
  <c r="AC211" i="24"/>
  <c r="Z211" i="24"/>
  <c r="X211" i="24"/>
  <c r="T211" i="24"/>
  <c r="S211" i="24"/>
  <c r="R211" i="24"/>
  <c r="P211" i="24"/>
  <c r="N211" i="24"/>
  <c r="O211" i="24" s="1"/>
  <c r="M211" i="24"/>
  <c r="K211" i="24"/>
  <c r="J211" i="24"/>
  <c r="H211" i="24"/>
  <c r="F211" i="24"/>
  <c r="AG210" i="24"/>
  <c r="AF210" i="24"/>
  <c r="AD210" i="24"/>
  <c r="AC210" i="24"/>
  <c r="Z210" i="24"/>
  <c r="X210" i="24"/>
  <c r="T210" i="24"/>
  <c r="S210" i="24"/>
  <c r="R210" i="24"/>
  <c r="P210" i="24"/>
  <c r="N210" i="24"/>
  <c r="O210" i="24" s="1"/>
  <c r="M210" i="24"/>
  <c r="K210" i="24"/>
  <c r="J210" i="24"/>
  <c r="H210" i="24"/>
  <c r="F210" i="24"/>
  <c r="AG209" i="24"/>
  <c r="AF209" i="24"/>
  <c r="AD209" i="24"/>
  <c r="AC209" i="24"/>
  <c r="Z209" i="24"/>
  <c r="X209" i="24"/>
  <c r="T209" i="24"/>
  <c r="S209" i="24"/>
  <c r="R209" i="24"/>
  <c r="P209" i="24"/>
  <c r="N209" i="24"/>
  <c r="O209" i="24" s="1"/>
  <c r="M209" i="24"/>
  <c r="K209" i="24"/>
  <c r="J209" i="24"/>
  <c r="H209" i="24"/>
  <c r="F209" i="24"/>
  <c r="AG208" i="24"/>
  <c r="AF208" i="24"/>
  <c r="AD208" i="24"/>
  <c r="AC208" i="24"/>
  <c r="Z208" i="24"/>
  <c r="X208" i="24"/>
  <c r="T208" i="24"/>
  <c r="S208" i="24"/>
  <c r="R208" i="24"/>
  <c r="P208" i="24"/>
  <c r="N208" i="24"/>
  <c r="M208" i="24"/>
  <c r="K208" i="24"/>
  <c r="J208" i="24"/>
  <c r="H208" i="24"/>
  <c r="F208" i="24"/>
  <c r="AG207" i="24"/>
  <c r="AF207" i="24"/>
  <c r="AD207" i="24"/>
  <c r="AC207" i="24"/>
  <c r="Z207" i="24"/>
  <c r="X207" i="24"/>
  <c r="T207" i="24"/>
  <c r="S207" i="24"/>
  <c r="R207" i="24"/>
  <c r="P207" i="24"/>
  <c r="N207" i="24"/>
  <c r="O207" i="24" s="1"/>
  <c r="M207" i="24"/>
  <c r="K207" i="24"/>
  <c r="J207" i="24"/>
  <c r="H207" i="24"/>
  <c r="F207" i="24"/>
  <c r="AG206" i="24"/>
  <c r="AF206" i="24"/>
  <c r="AD206" i="24"/>
  <c r="AC206" i="24"/>
  <c r="Z206" i="24"/>
  <c r="X206" i="24"/>
  <c r="T206" i="24"/>
  <c r="S206" i="24"/>
  <c r="R206" i="24"/>
  <c r="P206" i="24"/>
  <c r="N206" i="24"/>
  <c r="O206" i="24" s="1"/>
  <c r="M206" i="24"/>
  <c r="K206" i="24"/>
  <c r="J206" i="24"/>
  <c r="H206" i="24"/>
  <c r="F206" i="24"/>
  <c r="AG205" i="24"/>
  <c r="AF205" i="24"/>
  <c r="AD205" i="24"/>
  <c r="AC205" i="24"/>
  <c r="Z205" i="24"/>
  <c r="X205" i="24"/>
  <c r="T205" i="24"/>
  <c r="S205" i="24"/>
  <c r="R205" i="24"/>
  <c r="P205" i="24"/>
  <c r="N205" i="24"/>
  <c r="O205" i="24" s="1"/>
  <c r="M205" i="24"/>
  <c r="K205" i="24"/>
  <c r="J205" i="24"/>
  <c r="H205" i="24"/>
  <c r="F205" i="24"/>
  <c r="AG204" i="24"/>
  <c r="AF204" i="24"/>
  <c r="AD204" i="24"/>
  <c r="AC204" i="24"/>
  <c r="Z204" i="24"/>
  <c r="X204" i="24"/>
  <c r="T204" i="24"/>
  <c r="S204" i="24"/>
  <c r="R204" i="24"/>
  <c r="P204" i="24"/>
  <c r="N204" i="24"/>
  <c r="O204" i="24" s="1"/>
  <c r="M204" i="24"/>
  <c r="K204" i="24"/>
  <c r="J204" i="24"/>
  <c r="H204" i="24"/>
  <c r="F204" i="24"/>
  <c r="AG203" i="24"/>
  <c r="AF203" i="24"/>
  <c r="AD203" i="24"/>
  <c r="AC203" i="24"/>
  <c r="Z203" i="24"/>
  <c r="X203" i="24"/>
  <c r="T203" i="24"/>
  <c r="S203" i="24"/>
  <c r="R203" i="24"/>
  <c r="P203" i="24"/>
  <c r="N203" i="24"/>
  <c r="O203" i="24" s="1"/>
  <c r="M203" i="24"/>
  <c r="K203" i="24"/>
  <c r="J203" i="24"/>
  <c r="H203" i="24"/>
  <c r="F203" i="24"/>
  <c r="AG202" i="24"/>
  <c r="AF202" i="24"/>
  <c r="AD202" i="24"/>
  <c r="AC202" i="24"/>
  <c r="Z202" i="24"/>
  <c r="X202" i="24"/>
  <c r="T202" i="24"/>
  <c r="S202" i="24"/>
  <c r="R202" i="24"/>
  <c r="P202" i="24"/>
  <c r="N202" i="24"/>
  <c r="M202" i="24"/>
  <c r="K202" i="24"/>
  <c r="J202" i="24"/>
  <c r="H202" i="24"/>
  <c r="F202" i="24"/>
  <c r="AG201" i="24"/>
  <c r="AF201" i="24"/>
  <c r="AD201" i="24"/>
  <c r="AC201" i="24"/>
  <c r="Z201" i="24"/>
  <c r="X201" i="24"/>
  <c r="T201" i="24"/>
  <c r="S201" i="24"/>
  <c r="R201" i="24"/>
  <c r="P201" i="24"/>
  <c r="N201" i="24"/>
  <c r="M201" i="24"/>
  <c r="K201" i="24"/>
  <c r="J201" i="24"/>
  <c r="H201" i="24"/>
  <c r="F201" i="24"/>
  <c r="AG200" i="24"/>
  <c r="AF200" i="24"/>
  <c r="AD200" i="24"/>
  <c r="AC200" i="24"/>
  <c r="Z200" i="24"/>
  <c r="X200" i="24"/>
  <c r="T200" i="24"/>
  <c r="S200" i="24"/>
  <c r="R200" i="24"/>
  <c r="P200" i="24"/>
  <c r="N200" i="24"/>
  <c r="M200" i="24"/>
  <c r="K200" i="24"/>
  <c r="J200" i="24"/>
  <c r="H200" i="24"/>
  <c r="F200" i="24"/>
  <c r="AG199" i="24"/>
  <c r="AF199" i="24"/>
  <c r="AD199" i="24"/>
  <c r="AC199" i="24"/>
  <c r="Z199" i="24"/>
  <c r="X199" i="24"/>
  <c r="T199" i="24"/>
  <c r="S199" i="24"/>
  <c r="R199" i="24"/>
  <c r="P199" i="24"/>
  <c r="N199" i="24"/>
  <c r="O199" i="24" s="1"/>
  <c r="M199" i="24"/>
  <c r="K199" i="24"/>
  <c r="J199" i="24"/>
  <c r="H199" i="24"/>
  <c r="F199" i="24"/>
  <c r="AG198" i="24"/>
  <c r="AF198" i="24"/>
  <c r="AD198" i="24"/>
  <c r="AC198" i="24"/>
  <c r="Z198" i="24"/>
  <c r="X198" i="24"/>
  <c r="T198" i="24"/>
  <c r="S198" i="24"/>
  <c r="R198" i="24"/>
  <c r="P198" i="24"/>
  <c r="N198" i="24"/>
  <c r="O198" i="24" s="1"/>
  <c r="M198" i="24"/>
  <c r="K198" i="24"/>
  <c r="J198" i="24"/>
  <c r="H198" i="24"/>
  <c r="F198" i="24"/>
  <c r="AG197" i="24"/>
  <c r="AF197" i="24"/>
  <c r="AD197" i="24"/>
  <c r="AC197" i="24"/>
  <c r="Z197" i="24"/>
  <c r="X197" i="24"/>
  <c r="T197" i="24"/>
  <c r="S197" i="24"/>
  <c r="R197" i="24"/>
  <c r="P197" i="24"/>
  <c r="N197" i="24"/>
  <c r="M197" i="24"/>
  <c r="K197" i="24"/>
  <c r="J197" i="24"/>
  <c r="H197" i="24"/>
  <c r="F197" i="24"/>
  <c r="AG196" i="24"/>
  <c r="AF196" i="24"/>
  <c r="AD196" i="24"/>
  <c r="AC196" i="24"/>
  <c r="Z196" i="24"/>
  <c r="X196" i="24"/>
  <c r="T196" i="24"/>
  <c r="S196" i="24"/>
  <c r="R196" i="24"/>
  <c r="P196" i="24"/>
  <c r="N196" i="24"/>
  <c r="O196" i="24" s="1"/>
  <c r="M196" i="24"/>
  <c r="K196" i="24"/>
  <c r="J196" i="24"/>
  <c r="H196" i="24"/>
  <c r="F196" i="24"/>
  <c r="AG195" i="24"/>
  <c r="AF195" i="24"/>
  <c r="AD195" i="24"/>
  <c r="AC195" i="24"/>
  <c r="Z195" i="24"/>
  <c r="X195" i="24"/>
  <c r="T195" i="24"/>
  <c r="S195" i="24"/>
  <c r="R195" i="24"/>
  <c r="P195" i="24"/>
  <c r="N195" i="24"/>
  <c r="O195" i="24" s="1"/>
  <c r="M195" i="24"/>
  <c r="K195" i="24"/>
  <c r="J195" i="24"/>
  <c r="H195" i="24"/>
  <c r="F195" i="24"/>
  <c r="AG194" i="24"/>
  <c r="AF194" i="24"/>
  <c r="AD194" i="24"/>
  <c r="AC194" i="24"/>
  <c r="Z194" i="24"/>
  <c r="X194" i="24"/>
  <c r="T215" i="24"/>
  <c r="S215" i="24"/>
  <c r="R215" i="24"/>
  <c r="P215" i="24"/>
  <c r="N215" i="24"/>
  <c r="O215" i="24" s="1"/>
  <c r="M215" i="24"/>
  <c r="K215" i="24"/>
  <c r="J215" i="24"/>
  <c r="H215" i="24"/>
  <c r="F215" i="24"/>
  <c r="AG193" i="24"/>
  <c r="AF193" i="24"/>
  <c r="AD193" i="24"/>
  <c r="AC193" i="24"/>
  <c r="Z193" i="24"/>
  <c r="X193" i="24"/>
  <c r="T193" i="24"/>
  <c r="S193" i="24"/>
  <c r="R193" i="24"/>
  <c r="P193" i="24"/>
  <c r="N193" i="24"/>
  <c r="O193" i="24" s="1"/>
  <c r="M193" i="24"/>
  <c r="K193" i="24"/>
  <c r="J193" i="24"/>
  <c r="H193" i="24"/>
  <c r="F193" i="24"/>
  <c r="AG192" i="24"/>
  <c r="AF192" i="24"/>
  <c r="AD192" i="24"/>
  <c r="AC192" i="24"/>
  <c r="Z192" i="24"/>
  <c r="X192" i="24"/>
  <c r="T194" i="24"/>
  <c r="S194" i="24"/>
  <c r="R194" i="24"/>
  <c r="P194" i="24"/>
  <c r="N194" i="24"/>
  <c r="M194" i="24"/>
  <c r="K194" i="24"/>
  <c r="J194" i="24"/>
  <c r="H194" i="24"/>
  <c r="F194" i="24"/>
  <c r="AG191" i="24"/>
  <c r="AF191" i="24"/>
  <c r="AD191" i="24"/>
  <c r="AC191" i="24"/>
  <c r="Z191" i="24"/>
  <c r="X191" i="24"/>
  <c r="T191" i="24"/>
  <c r="S191" i="24"/>
  <c r="R191" i="24"/>
  <c r="P191" i="24"/>
  <c r="N191" i="24"/>
  <c r="O191" i="24" s="1"/>
  <c r="M191" i="24"/>
  <c r="K191" i="24"/>
  <c r="J191" i="24"/>
  <c r="H191" i="24"/>
  <c r="F191" i="24"/>
  <c r="AG190" i="24"/>
  <c r="AF190" i="24"/>
  <c r="AD190" i="24"/>
  <c r="AC190" i="24"/>
  <c r="Z190" i="24"/>
  <c r="X190" i="24"/>
  <c r="T190" i="24"/>
  <c r="S190" i="24"/>
  <c r="R190" i="24"/>
  <c r="P190" i="24"/>
  <c r="N190" i="24"/>
  <c r="M190" i="24"/>
  <c r="K190" i="24"/>
  <c r="J190" i="24"/>
  <c r="H190" i="24"/>
  <c r="F190" i="24"/>
  <c r="AG189" i="24"/>
  <c r="AF189" i="24"/>
  <c r="AD189" i="24"/>
  <c r="AC189" i="24"/>
  <c r="Z189" i="24"/>
  <c r="X189" i="24"/>
  <c r="T189" i="24"/>
  <c r="S189" i="24"/>
  <c r="R189" i="24"/>
  <c r="P189" i="24"/>
  <c r="N189" i="24"/>
  <c r="M189" i="24"/>
  <c r="K189" i="24"/>
  <c r="J189" i="24"/>
  <c r="H189" i="24"/>
  <c r="F189" i="24"/>
  <c r="AG188" i="24"/>
  <c r="AF188" i="24"/>
  <c r="AD188" i="24"/>
  <c r="AC188" i="24"/>
  <c r="Z188" i="24"/>
  <c r="X188" i="24"/>
  <c r="T188" i="24"/>
  <c r="S188" i="24"/>
  <c r="R188" i="24"/>
  <c r="P188" i="24"/>
  <c r="N188" i="24"/>
  <c r="O188" i="24" s="1"/>
  <c r="M188" i="24"/>
  <c r="K188" i="24"/>
  <c r="J188" i="24"/>
  <c r="H188" i="24"/>
  <c r="F188" i="24"/>
  <c r="AG187" i="24"/>
  <c r="AF187" i="24"/>
  <c r="AD187" i="24"/>
  <c r="AC187" i="24"/>
  <c r="Z187" i="24"/>
  <c r="X187" i="24"/>
  <c r="T187" i="24"/>
  <c r="S187" i="24"/>
  <c r="R187" i="24"/>
  <c r="P187" i="24"/>
  <c r="N187" i="24"/>
  <c r="O187" i="24" s="1"/>
  <c r="M187" i="24"/>
  <c r="K187" i="24"/>
  <c r="J187" i="24"/>
  <c r="H187" i="24"/>
  <c r="F187" i="24"/>
  <c r="AG186" i="24"/>
  <c r="AF186" i="24"/>
  <c r="AD186" i="24"/>
  <c r="AC186" i="24"/>
  <c r="Z186" i="24"/>
  <c r="X186" i="24"/>
  <c r="T186" i="24"/>
  <c r="S186" i="24"/>
  <c r="R186" i="24"/>
  <c r="P186" i="24"/>
  <c r="N186" i="24"/>
  <c r="O186" i="24" s="1"/>
  <c r="M186" i="24"/>
  <c r="K186" i="24"/>
  <c r="J186" i="24"/>
  <c r="H186" i="24"/>
  <c r="F186" i="24"/>
  <c r="AG185" i="24"/>
  <c r="AF185" i="24"/>
  <c r="AD185" i="24"/>
  <c r="AC185" i="24"/>
  <c r="Z185" i="24"/>
  <c r="X185" i="24"/>
  <c r="T185" i="24"/>
  <c r="S185" i="24"/>
  <c r="R185" i="24"/>
  <c r="P185" i="24"/>
  <c r="N185" i="24"/>
  <c r="M185" i="24"/>
  <c r="K185" i="24"/>
  <c r="J185" i="24"/>
  <c r="H185" i="24"/>
  <c r="F185" i="24"/>
  <c r="AG184" i="24"/>
  <c r="AF184" i="24"/>
  <c r="AD184" i="24"/>
  <c r="AC184" i="24"/>
  <c r="Z184" i="24"/>
  <c r="X184" i="24"/>
  <c r="T184" i="24"/>
  <c r="S184" i="24"/>
  <c r="R184" i="24"/>
  <c r="P184" i="24"/>
  <c r="N184" i="24"/>
  <c r="M184" i="24"/>
  <c r="K184" i="24"/>
  <c r="J184" i="24"/>
  <c r="H184" i="24"/>
  <c r="F184" i="24"/>
  <c r="AG183" i="24"/>
  <c r="AF183" i="24"/>
  <c r="AD183" i="24"/>
  <c r="AC183" i="24"/>
  <c r="Z183" i="24"/>
  <c r="X183" i="24"/>
  <c r="T183" i="24"/>
  <c r="S183" i="24"/>
  <c r="R183" i="24"/>
  <c r="P183" i="24"/>
  <c r="N183" i="24"/>
  <c r="O183" i="24" s="1"/>
  <c r="M183" i="24"/>
  <c r="K183" i="24"/>
  <c r="J183" i="24"/>
  <c r="H183" i="24"/>
  <c r="F183" i="24"/>
  <c r="AG182" i="24"/>
  <c r="AF182" i="24"/>
  <c r="AD182" i="24"/>
  <c r="AC182" i="24"/>
  <c r="Z182" i="24"/>
  <c r="X182" i="24"/>
  <c r="T182" i="24"/>
  <c r="S182" i="24"/>
  <c r="R182" i="24"/>
  <c r="P182" i="24"/>
  <c r="N182" i="24"/>
  <c r="O182" i="24" s="1"/>
  <c r="M182" i="24"/>
  <c r="K182" i="24"/>
  <c r="J182" i="24"/>
  <c r="H182" i="24"/>
  <c r="F182" i="24"/>
  <c r="AG181" i="24"/>
  <c r="AF181" i="24"/>
  <c r="AD181" i="24"/>
  <c r="AC181" i="24"/>
  <c r="Z181" i="24"/>
  <c r="X181" i="24"/>
  <c r="T181" i="24"/>
  <c r="S181" i="24"/>
  <c r="R181" i="24"/>
  <c r="P181" i="24"/>
  <c r="N181" i="24"/>
  <c r="O181" i="24" s="1"/>
  <c r="M181" i="24"/>
  <c r="K181" i="24"/>
  <c r="J181" i="24"/>
  <c r="H181" i="24"/>
  <c r="F181" i="24"/>
  <c r="AG180" i="24"/>
  <c r="AF180" i="24"/>
  <c r="AD180" i="24"/>
  <c r="AC180" i="24"/>
  <c r="Z180" i="24"/>
  <c r="X180" i="24"/>
  <c r="T180" i="24"/>
  <c r="S180" i="24"/>
  <c r="R180" i="24"/>
  <c r="P180" i="24"/>
  <c r="N180" i="24"/>
  <c r="O180" i="24" s="1"/>
  <c r="M180" i="24"/>
  <c r="K180" i="24"/>
  <c r="J180" i="24"/>
  <c r="H180" i="24"/>
  <c r="F180" i="24"/>
  <c r="AG179" i="24"/>
  <c r="AF179" i="24"/>
  <c r="AD179" i="24"/>
  <c r="AC179" i="24"/>
  <c r="Z179" i="24"/>
  <c r="X179" i="24"/>
  <c r="T179" i="24"/>
  <c r="S179" i="24"/>
  <c r="R179" i="24"/>
  <c r="P179" i="24"/>
  <c r="N179" i="24"/>
  <c r="O179" i="24" s="1"/>
  <c r="M179" i="24"/>
  <c r="K179" i="24"/>
  <c r="J179" i="24"/>
  <c r="H179" i="24"/>
  <c r="F179" i="24"/>
  <c r="AG178" i="24"/>
  <c r="AF178" i="24"/>
  <c r="AD178" i="24"/>
  <c r="AC178" i="24"/>
  <c r="Z178" i="24"/>
  <c r="X178" i="24"/>
  <c r="T178" i="24"/>
  <c r="S178" i="24"/>
  <c r="R178" i="24"/>
  <c r="P178" i="24"/>
  <c r="N178" i="24"/>
  <c r="O178" i="24" s="1"/>
  <c r="M178" i="24"/>
  <c r="K178" i="24"/>
  <c r="J178" i="24"/>
  <c r="H178" i="24"/>
  <c r="F178" i="24"/>
  <c r="AG177" i="24"/>
  <c r="AF177" i="24"/>
  <c r="AD177" i="24"/>
  <c r="AC177" i="24"/>
  <c r="Z177" i="24"/>
  <c r="X177" i="24"/>
  <c r="T192" i="24"/>
  <c r="S192" i="24"/>
  <c r="R192" i="24"/>
  <c r="P192" i="24"/>
  <c r="N192" i="24"/>
  <c r="O192" i="24" s="1"/>
  <c r="M192" i="24"/>
  <c r="K192" i="24"/>
  <c r="J192" i="24"/>
  <c r="H192" i="24"/>
  <c r="F192" i="24"/>
  <c r="AG176" i="24"/>
  <c r="AF176" i="24"/>
  <c r="AD176" i="24"/>
  <c r="AC176" i="24"/>
  <c r="Z176" i="24"/>
  <c r="X176" i="24"/>
  <c r="T176" i="24"/>
  <c r="S176" i="24"/>
  <c r="R176" i="24"/>
  <c r="P176" i="24"/>
  <c r="N176" i="24"/>
  <c r="M176" i="24"/>
  <c r="K176" i="24"/>
  <c r="J176" i="24"/>
  <c r="H176" i="24"/>
  <c r="F176" i="24"/>
  <c r="AG175" i="24"/>
  <c r="AF175" i="24"/>
  <c r="AD175" i="24"/>
  <c r="AC175" i="24"/>
  <c r="Z175" i="24"/>
  <c r="X175" i="24"/>
  <c r="T175" i="24"/>
  <c r="S175" i="24"/>
  <c r="R175" i="24"/>
  <c r="P175" i="24"/>
  <c r="N175" i="24"/>
  <c r="M175" i="24"/>
  <c r="K175" i="24"/>
  <c r="J175" i="24"/>
  <c r="H175" i="24"/>
  <c r="F175" i="24"/>
  <c r="AG174" i="24"/>
  <c r="AF174" i="24"/>
  <c r="AD174" i="24"/>
  <c r="AC174" i="24"/>
  <c r="Z174" i="24"/>
  <c r="X174" i="24"/>
  <c r="T174" i="24"/>
  <c r="S174" i="24"/>
  <c r="R174" i="24"/>
  <c r="P174" i="24"/>
  <c r="N174" i="24"/>
  <c r="M174" i="24"/>
  <c r="K174" i="24"/>
  <c r="J174" i="24"/>
  <c r="H174" i="24"/>
  <c r="F174" i="24"/>
  <c r="AG173" i="24"/>
  <c r="AF173" i="24"/>
  <c r="AD173" i="24"/>
  <c r="AC173" i="24"/>
  <c r="Z173" i="24"/>
  <c r="X173" i="24"/>
  <c r="T177" i="24"/>
  <c r="S177" i="24"/>
  <c r="R177" i="24"/>
  <c r="P177" i="24"/>
  <c r="N177" i="24"/>
  <c r="M177" i="24"/>
  <c r="K177" i="24"/>
  <c r="J177" i="24"/>
  <c r="H177" i="24"/>
  <c r="F177" i="24"/>
  <c r="AG172" i="24"/>
  <c r="AF172" i="24"/>
  <c r="AD172" i="24"/>
  <c r="AC172" i="24"/>
  <c r="Z172" i="24"/>
  <c r="X172" i="24"/>
  <c r="T172" i="24"/>
  <c r="S172" i="24"/>
  <c r="R172" i="24"/>
  <c r="P172" i="24"/>
  <c r="N172" i="24"/>
  <c r="M172" i="24"/>
  <c r="K172" i="24"/>
  <c r="J172" i="24"/>
  <c r="H172" i="24"/>
  <c r="F172" i="24"/>
  <c r="AG171" i="24"/>
  <c r="AF171" i="24"/>
  <c r="AD171" i="24"/>
  <c r="AC171" i="24"/>
  <c r="Z171" i="24"/>
  <c r="X171" i="24"/>
  <c r="T171" i="24"/>
  <c r="S171" i="24"/>
  <c r="R171" i="24"/>
  <c r="P171" i="24"/>
  <c r="N171" i="24"/>
  <c r="O171" i="24" s="1"/>
  <c r="M171" i="24"/>
  <c r="K171" i="24"/>
  <c r="J171" i="24"/>
  <c r="H171" i="24"/>
  <c r="F171" i="24"/>
  <c r="AG170" i="24"/>
  <c r="AF170" i="24"/>
  <c r="AD170" i="24"/>
  <c r="AC170" i="24"/>
  <c r="Z170" i="24"/>
  <c r="X170" i="24"/>
  <c r="T170" i="24"/>
  <c r="S170" i="24"/>
  <c r="R170" i="24"/>
  <c r="P170" i="24"/>
  <c r="N170" i="24"/>
  <c r="O170" i="24" s="1"/>
  <c r="M170" i="24"/>
  <c r="K170" i="24"/>
  <c r="J170" i="24"/>
  <c r="H170" i="24"/>
  <c r="F170" i="24"/>
  <c r="AG169" i="24"/>
  <c r="AF169" i="24"/>
  <c r="AD169" i="24"/>
  <c r="AC169" i="24"/>
  <c r="Z169" i="24"/>
  <c r="X169" i="24"/>
  <c r="T169" i="24"/>
  <c r="S169" i="24"/>
  <c r="R169" i="24"/>
  <c r="P169" i="24"/>
  <c r="N169" i="24"/>
  <c r="O169" i="24" s="1"/>
  <c r="M169" i="24"/>
  <c r="K169" i="24"/>
  <c r="J169" i="24"/>
  <c r="H169" i="24"/>
  <c r="F169" i="24"/>
  <c r="AG168" i="24"/>
  <c r="AF168" i="24"/>
  <c r="AD168" i="24"/>
  <c r="AC168" i="24"/>
  <c r="Z168" i="24"/>
  <c r="X168" i="24"/>
  <c r="T168" i="24"/>
  <c r="S168" i="24"/>
  <c r="R168" i="24"/>
  <c r="P168" i="24"/>
  <c r="N168" i="24"/>
  <c r="O168" i="24" s="1"/>
  <c r="M168" i="24"/>
  <c r="K168" i="24"/>
  <c r="J168" i="24"/>
  <c r="H168" i="24"/>
  <c r="F168" i="24"/>
  <c r="AG167" i="24"/>
  <c r="AF167" i="24"/>
  <c r="AD167" i="24"/>
  <c r="AC167" i="24"/>
  <c r="Z167" i="24"/>
  <c r="X167" i="24"/>
  <c r="T167" i="24"/>
  <c r="S167" i="24"/>
  <c r="R167" i="24"/>
  <c r="P167" i="24"/>
  <c r="N167" i="24"/>
  <c r="O167" i="24" s="1"/>
  <c r="M167" i="24"/>
  <c r="K167" i="24"/>
  <c r="J167" i="24"/>
  <c r="H167" i="24"/>
  <c r="F167" i="24"/>
  <c r="AG166" i="24"/>
  <c r="AF166" i="24"/>
  <c r="AD166" i="24"/>
  <c r="AC166" i="24"/>
  <c r="Z166" i="24"/>
  <c r="X166" i="24"/>
  <c r="T166" i="24"/>
  <c r="S166" i="24"/>
  <c r="R166" i="24"/>
  <c r="P166" i="24"/>
  <c r="N166" i="24"/>
  <c r="M166" i="24"/>
  <c r="K166" i="24"/>
  <c r="J166" i="24"/>
  <c r="H166" i="24"/>
  <c r="F166" i="24"/>
  <c r="AG165" i="24"/>
  <c r="AF165" i="24"/>
  <c r="AD165" i="24"/>
  <c r="AC165" i="24"/>
  <c r="Z165" i="24"/>
  <c r="X165" i="24"/>
  <c r="T165" i="24"/>
  <c r="S165" i="24"/>
  <c r="R165" i="24"/>
  <c r="P165" i="24"/>
  <c r="N165" i="24"/>
  <c r="O165" i="24" s="1"/>
  <c r="M165" i="24"/>
  <c r="K165" i="24"/>
  <c r="J165" i="24"/>
  <c r="H165" i="24"/>
  <c r="F165" i="24"/>
  <c r="AG164" i="24"/>
  <c r="AF164" i="24"/>
  <c r="AD164" i="24"/>
  <c r="AC164" i="24"/>
  <c r="Z164" i="24"/>
  <c r="X164" i="24"/>
  <c r="T164" i="24"/>
  <c r="S164" i="24"/>
  <c r="R164" i="24"/>
  <c r="P164" i="24"/>
  <c r="N164" i="24"/>
  <c r="M164" i="24"/>
  <c r="K164" i="24"/>
  <c r="J164" i="24"/>
  <c r="H164" i="24"/>
  <c r="F164" i="24"/>
  <c r="AG163" i="24"/>
  <c r="AF163" i="24"/>
  <c r="AD163" i="24"/>
  <c r="AC163" i="24"/>
  <c r="Z163" i="24"/>
  <c r="X163" i="24"/>
  <c r="T163" i="24"/>
  <c r="S163" i="24"/>
  <c r="R163" i="24"/>
  <c r="P163" i="24"/>
  <c r="N163" i="24"/>
  <c r="O163" i="24" s="1"/>
  <c r="M163" i="24"/>
  <c r="K163" i="24"/>
  <c r="J163" i="24"/>
  <c r="H163" i="24"/>
  <c r="F163" i="24"/>
  <c r="AG162" i="24"/>
  <c r="AF162" i="24"/>
  <c r="AD162" i="24"/>
  <c r="AC162" i="24"/>
  <c r="Z162" i="24"/>
  <c r="X162" i="24"/>
  <c r="T162" i="24"/>
  <c r="S162" i="24"/>
  <c r="R162" i="24"/>
  <c r="P162" i="24"/>
  <c r="N162" i="24"/>
  <c r="O162" i="24" s="1"/>
  <c r="M162" i="24"/>
  <c r="K162" i="24"/>
  <c r="J162" i="24"/>
  <c r="H162" i="24"/>
  <c r="F162" i="24"/>
  <c r="AG161" i="24"/>
  <c r="AF161" i="24"/>
  <c r="AD161" i="24"/>
  <c r="AC161" i="24"/>
  <c r="Z161" i="24"/>
  <c r="X161" i="24"/>
  <c r="T161" i="24"/>
  <c r="S161" i="24"/>
  <c r="R161" i="24"/>
  <c r="P161" i="24"/>
  <c r="N161" i="24"/>
  <c r="O161" i="24" s="1"/>
  <c r="M161" i="24"/>
  <c r="K161" i="24"/>
  <c r="J161" i="24"/>
  <c r="H161" i="24"/>
  <c r="F161" i="24"/>
  <c r="AG160" i="24"/>
  <c r="AF160" i="24"/>
  <c r="AD160" i="24"/>
  <c r="AC160" i="24"/>
  <c r="Z160" i="24"/>
  <c r="X160" i="24"/>
  <c r="T160" i="24"/>
  <c r="S160" i="24"/>
  <c r="R160" i="24"/>
  <c r="P160" i="24"/>
  <c r="N160" i="24"/>
  <c r="M160" i="24"/>
  <c r="K160" i="24"/>
  <c r="J160" i="24"/>
  <c r="H160" i="24"/>
  <c r="F160" i="24"/>
  <c r="AG159" i="24"/>
  <c r="AF159" i="24"/>
  <c r="AD159" i="24"/>
  <c r="AC159" i="24"/>
  <c r="Z159" i="24"/>
  <c r="X159" i="24"/>
  <c r="T159" i="24"/>
  <c r="S159" i="24"/>
  <c r="R159" i="24"/>
  <c r="P159" i="24"/>
  <c r="N159" i="24"/>
  <c r="M159" i="24"/>
  <c r="K159" i="24"/>
  <c r="J159" i="24"/>
  <c r="H159" i="24"/>
  <c r="F159" i="24"/>
  <c r="AG158" i="24"/>
  <c r="AF158" i="24"/>
  <c r="AD158" i="24"/>
  <c r="AC158" i="24"/>
  <c r="Z158" i="24"/>
  <c r="X158" i="24"/>
  <c r="T158" i="24"/>
  <c r="S158" i="24"/>
  <c r="R158" i="24"/>
  <c r="P158" i="24"/>
  <c r="N158" i="24"/>
  <c r="O158" i="24" s="1"/>
  <c r="M158" i="24"/>
  <c r="K158" i="24"/>
  <c r="J158" i="24"/>
  <c r="H158" i="24"/>
  <c r="F158" i="24"/>
  <c r="AG157" i="24"/>
  <c r="AF157" i="24"/>
  <c r="AD157" i="24"/>
  <c r="AC157" i="24"/>
  <c r="Z157" i="24"/>
  <c r="X157" i="24"/>
  <c r="T157" i="24"/>
  <c r="S157" i="24"/>
  <c r="R157" i="24"/>
  <c r="P157" i="24"/>
  <c r="N157" i="24"/>
  <c r="O157" i="24" s="1"/>
  <c r="M157" i="24"/>
  <c r="K157" i="24"/>
  <c r="J157" i="24"/>
  <c r="H157" i="24"/>
  <c r="F157" i="24"/>
  <c r="AG156" i="24"/>
  <c r="AF156" i="24"/>
  <c r="AD156" i="24"/>
  <c r="AC156" i="24"/>
  <c r="Z156" i="24"/>
  <c r="X156" i="24"/>
  <c r="T156" i="24"/>
  <c r="S156" i="24"/>
  <c r="R156" i="24"/>
  <c r="P156" i="24"/>
  <c r="N156" i="24"/>
  <c r="M156" i="24"/>
  <c r="K156" i="24"/>
  <c r="J156" i="24"/>
  <c r="H156" i="24"/>
  <c r="F156" i="24"/>
  <c r="AG155" i="24"/>
  <c r="AF155" i="24"/>
  <c r="AD155" i="24"/>
  <c r="AC155" i="24"/>
  <c r="Z155" i="24"/>
  <c r="X155" i="24"/>
  <c r="T155" i="24"/>
  <c r="S155" i="24"/>
  <c r="R155" i="24"/>
  <c r="P155" i="24"/>
  <c r="N155" i="24"/>
  <c r="O155" i="24" s="1"/>
  <c r="M155" i="24"/>
  <c r="K155" i="24"/>
  <c r="J155" i="24"/>
  <c r="H155" i="24"/>
  <c r="F155" i="24"/>
  <c r="AG154" i="24"/>
  <c r="AF154" i="24"/>
  <c r="AD154" i="24"/>
  <c r="AC154" i="24"/>
  <c r="Z154" i="24"/>
  <c r="X154" i="24"/>
  <c r="T154" i="24"/>
  <c r="S154" i="24"/>
  <c r="R154" i="24"/>
  <c r="P154" i="24"/>
  <c r="N154" i="24"/>
  <c r="O154" i="24" s="1"/>
  <c r="M154" i="24"/>
  <c r="K154" i="24"/>
  <c r="J154" i="24"/>
  <c r="H154" i="24"/>
  <c r="F154" i="24"/>
  <c r="AG153" i="24"/>
  <c r="AF153" i="24"/>
  <c r="AD153" i="24"/>
  <c r="AC153" i="24"/>
  <c r="Z153" i="24"/>
  <c r="X153" i="24"/>
  <c r="T153" i="24"/>
  <c r="S153" i="24"/>
  <c r="R153" i="24"/>
  <c r="P153" i="24"/>
  <c r="N153" i="24"/>
  <c r="O153" i="24" s="1"/>
  <c r="M153" i="24"/>
  <c r="K153" i="24"/>
  <c r="J153" i="24"/>
  <c r="H153" i="24"/>
  <c r="F153" i="24"/>
  <c r="AG152" i="24"/>
  <c r="AF152" i="24"/>
  <c r="AD152" i="24"/>
  <c r="AC152" i="24"/>
  <c r="Z152" i="24"/>
  <c r="X152" i="24"/>
  <c r="T152" i="24"/>
  <c r="S152" i="24"/>
  <c r="R152" i="24"/>
  <c r="P152" i="24"/>
  <c r="N152" i="24"/>
  <c r="O152" i="24" s="1"/>
  <c r="M152" i="24"/>
  <c r="K152" i="24"/>
  <c r="J152" i="24"/>
  <c r="H152" i="24"/>
  <c r="F152" i="24"/>
  <c r="AG151" i="24"/>
  <c r="AF151" i="24"/>
  <c r="AD151" i="24"/>
  <c r="AC151" i="24"/>
  <c r="Z151" i="24"/>
  <c r="X151" i="24"/>
  <c r="T151" i="24"/>
  <c r="S151" i="24"/>
  <c r="R151" i="24"/>
  <c r="P151" i="24"/>
  <c r="N151" i="24"/>
  <c r="O151" i="24" s="1"/>
  <c r="M151" i="24"/>
  <c r="K151" i="24"/>
  <c r="J151" i="24"/>
  <c r="H151" i="24"/>
  <c r="F151" i="24"/>
  <c r="AG150" i="24"/>
  <c r="AF150" i="24"/>
  <c r="AD150" i="24"/>
  <c r="AC150" i="24"/>
  <c r="Z150" i="24"/>
  <c r="X150" i="24"/>
  <c r="T150" i="24"/>
  <c r="S150" i="24"/>
  <c r="R150" i="24"/>
  <c r="P150" i="24"/>
  <c r="N150" i="24"/>
  <c r="O150" i="24" s="1"/>
  <c r="M150" i="24"/>
  <c r="K150" i="24"/>
  <c r="J150" i="24"/>
  <c r="H150" i="24"/>
  <c r="F150" i="24"/>
  <c r="AG149" i="24"/>
  <c r="AF149" i="24"/>
  <c r="AD149" i="24"/>
  <c r="AC149" i="24"/>
  <c r="Z149" i="24"/>
  <c r="X149" i="24"/>
  <c r="T149" i="24"/>
  <c r="S149" i="24"/>
  <c r="R149" i="24"/>
  <c r="P149" i="24"/>
  <c r="N149" i="24"/>
  <c r="O149" i="24" s="1"/>
  <c r="M149" i="24"/>
  <c r="K149" i="24"/>
  <c r="J149" i="24"/>
  <c r="H149" i="24"/>
  <c r="F149" i="24"/>
  <c r="AG148" i="24"/>
  <c r="AF148" i="24"/>
  <c r="AD148" i="24"/>
  <c r="AC148" i="24"/>
  <c r="Z148" i="24"/>
  <c r="X148" i="24"/>
  <c r="T148" i="24"/>
  <c r="S148" i="24"/>
  <c r="R148" i="24"/>
  <c r="P148" i="24"/>
  <c r="N148" i="24"/>
  <c r="O148" i="24" s="1"/>
  <c r="M148" i="24"/>
  <c r="K148" i="24"/>
  <c r="J148" i="24"/>
  <c r="H148" i="24"/>
  <c r="F148" i="24"/>
  <c r="AG147" i="24"/>
  <c r="AF147" i="24"/>
  <c r="AD147" i="24"/>
  <c r="AC147" i="24"/>
  <c r="Z147" i="24"/>
  <c r="X147" i="24"/>
  <c r="T147" i="24"/>
  <c r="S147" i="24"/>
  <c r="R147" i="24"/>
  <c r="P147" i="24"/>
  <c r="N147" i="24"/>
  <c r="O147" i="24" s="1"/>
  <c r="M147" i="24"/>
  <c r="K147" i="24"/>
  <c r="J147" i="24"/>
  <c r="H147" i="24"/>
  <c r="F147" i="24"/>
  <c r="AG146" i="24"/>
  <c r="AF146" i="24"/>
  <c r="AD146" i="24"/>
  <c r="AC146" i="24"/>
  <c r="Z146" i="24"/>
  <c r="X146" i="24"/>
  <c r="T146" i="24"/>
  <c r="S146" i="24"/>
  <c r="R146" i="24"/>
  <c r="P146" i="24"/>
  <c r="N146" i="24"/>
  <c r="M146" i="24"/>
  <c r="K146" i="24"/>
  <c r="J146" i="24"/>
  <c r="H146" i="24"/>
  <c r="F146" i="24"/>
  <c r="AG145" i="24"/>
  <c r="AF145" i="24"/>
  <c r="AD145" i="24"/>
  <c r="AC145" i="24"/>
  <c r="Z145" i="24"/>
  <c r="X145" i="24"/>
  <c r="T145" i="24"/>
  <c r="S145" i="24"/>
  <c r="R145" i="24"/>
  <c r="P145" i="24"/>
  <c r="N145" i="24"/>
  <c r="M145" i="24"/>
  <c r="K145" i="24"/>
  <c r="J145" i="24"/>
  <c r="H145" i="24"/>
  <c r="F145" i="24"/>
  <c r="AG144" i="24"/>
  <c r="AF144" i="24"/>
  <c r="AD144" i="24"/>
  <c r="AC144" i="24"/>
  <c r="Z144" i="24"/>
  <c r="X144" i="24"/>
  <c r="T144" i="24"/>
  <c r="S144" i="24"/>
  <c r="R144" i="24"/>
  <c r="P144" i="24"/>
  <c r="N144" i="24"/>
  <c r="M144" i="24"/>
  <c r="K144" i="24"/>
  <c r="J144" i="24"/>
  <c r="H144" i="24"/>
  <c r="F144" i="24"/>
  <c r="AG143" i="24"/>
  <c r="AF143" i="24"/>
  <c r="AD143" i="24"/>
  <c r="AC143" i="24"/>
  <c r="Z143" i="24"/>
  <c r="X143" i="24"/>
  <c r="T143" i="24"/>
  <c r="S143" i="24"/>
  <c r="R143" i="24"/>
  <c r="P143" i="24"/>
  <c r="N143" i="24"/>
  <c r="M143" i="24"/>
  <c r="K143" i="24"/>
  <c r="J143" i="24"/>
  <c r="H143" i="24"/>
  <c r="F143" i="24"/>
  <c r="AG142" i="24"/>
  <c r="AF142" i="24"/>
  <c r="AD142" i="24"/>
  <c r="AC142" i="24"/>
  <c r="Z142" i="24"/>
  <c r="X142" i="24"/>
  <c r="T142" i="24"/>
  <c r="S142" i="24"/>
  <c r="R142" i="24"/>
  <c r="P142" i="24"/>
  <c r="N142" i="24"/>
  <c r="O142" i="24" s="1"/>
  <c r="M142" i="24"/>
  <c r="K142" i="24"/>
  <c r="J142" i="24"/>
  <c r="H142" i="24"/>
  <c r="F142" i="24"/>
  <c r="AG141" i="24"/>
  <c r="AF141" i="24"/>
  <c r="AD141" i="24"/>
  <c r="AC141" i="24"/>
  <c r="Z141" i="24"/>
  <c r="X141" i="24"/>
  <c r="T141" i="24"/>
  <c r="S141" i="24"/>
  <c r="R141" i="24"/>
  <c r="P141" i="24"/>
  <c r="N141" i="24"/>
  <c r="O141" i="24" s="1"/>
  <c r="M141" i="24"/>
  <c r="K141" i="24"/>
  <c r="J141" i="24"/>
  <c r="H141" i="24"/>
  <c r="F141" i="24"/>
  <c r="AG140" i="24"/>
  <c r="AF140" i="24"/>
  <c r="AD140" i="24"/>
  <c r="AC140" i="24"/>
  <c r="Z140" i="24"/>
  <c r="X140" i="24"/>
  <c r="T140" i="24"/>
  <c r="S140" i="24"/>
  <c r="R140" i="24"/>
  <c r="P140" i="24"/>
  <c r="N140" i="24"/>
  <c r="O140" i="24" s="1"/>
  <c r="M140" i="24"/>
  <c r="K140" i="24"/>
  <c r="J140" i="24"/>
  <c r="H140" i="24"/>
  <c r="F140" i="24"/>
  <c r="AG139" i="24"/>
  <c r="AF139" i="24"/>
  <c r="AD139" i="24"/>
  <c r="AC139" i="24"/>
  <c r="Z139" i="24"/>
  <c r="X139" i="24"/>
  <c r="T139" i="24"/>
  <c r="S139" i="24"/>
  <c r="R139" i="24"/>
  <c r="P139" i="24"/>
  <c r="N139" i="24"/>
  <c r="M139" i="24"/>
  <c r="K139" i="24"/>
  <c r="J139" i="24"/>
  <c r="H139" i="24"/>
  <c r="F139" i="24"/>
  <c r="AG138" i="24"/>
  <c r="AF138" i="24"/>
  <c r="AD138" i="24"/>
  <c r="AC138" i="24"/>
  <c r="Z138" i="24"/>
  <c r="X138" i="24"/>
  <c r="T138" i="24"/>
  <c r="S138" i="24"/>
  <c r="R138" i="24"/>
  <c r="P138" i="24"/>
  <c r="N138" i="24"/>
  <c r="M138" i="24"/>
  <c r="K138" i="24"/>
  <c r="J138" i="24"/>
  <c r="H138" i="24"/>
  <c r="F138" i="24"/>
  <c r="AG137" i="24"/>
  <c r="AF137" i="24"/>
  <c r="AD137" i="24"/>
  <c r="AC137" i="24"/>
  <c r="Z137" i="24"/>
  <c r="X137" i="24"/>
  <c r="T137" i="24"/>
  <c r="S137" i="24"/>
  <c r="R137" i="24"/>
  <c r="P137" i="24"/>
  <c r="N137" i="24"/>
  <c r="O137" i="24" s="1"/>
  <c r="M137" i="24"/>
  <c r="K137" i="24"/>
  <c r="J137" i="24"/>
  <c r="H137" i="24"/>
  <c r="F137" i="24"/>
  <c r="AG136" i="24"/>
  <c r="AF136" i="24"/>
  <c r="AD136" i="24"/>
  <c r="AC136" i="24"/>
  <c r="Z136" i="24"/>
  <c r="X136" i="24"/>
  <c r="T136" i="24"/>
  <c r="S136" i="24"/>
  <c r="R136" i="24"/>
  <c r="P136" i="24"/>
  <c r="N136" i="24"/>
  <c r="M136" i="24"/>
  <c r="K136" i="24"/>
  <c r="J136" i="24"/>
  <c r="H136" i="24"/>
  <c r="F136" i="24"/>
  <c r="AG135" i="24"/>
  <c r="AF135" i="24"/>
  <c r="AD135" i="24"/>
  <c r="AC135" i="24"/>
  <c r="Z135" i="24"/>
  <c r="X135" i="24"/>
  <c r="T135" i="24"/>
  <c r="S135" i="24"/>
  <c r="R135" i="24"/>
  <c r="P135" i="24"/>
  <c r="N135" i="24"/>
  <c r="M135" i="24"/>
  <c r="K135" i="24"/>
  <c r="J135" i="24"/>
  <c r="H135" i="24"/>
  <c r="F135" i="24"/>
  <c r="AG134" i="24"/>
  <c r="AF134" i="24"/>
  <c r="AD134" i="24"/>
  <c r="AC134" i="24"/>
  <c r="Z134" i="24"/>
  <c r="X134" i="24"/>
  <c r="T134" i="24"/>
  <c r="S134" i="24"/>
  <c r="R134" i="24"/>
  <c r="P134" i="24"/>
  <c r="N134" i="24"/>
  <c r="M134" i="24"/>
  <c r="K134" i="24"/>
  <c r="J134" i="24"/>
  <c r="H134" i="24"/>
  <c r="F134" i="24"/>
  <c r="AG133" i="24"/>
  <c r="AF133" i="24"/>
  <c r="AD133" i="24"/>
  <c r="AC133" i="24"/>
  <c r="Z133" i="24"/>
  <c r="X133" i="24"/>
  <c r="T133" i="24"/>
  <c r="S133" i="24"/>
  <c r="R133" i="24"/>
  <c r="P133" i="24"/>
  <c r="N133" i="24"/>
  <c r="O133" i="24" s="1"/>
  <c r="M133" i="24"/>
  <c r="K133" i="24"/>
  <c r="J133" i="24"/>
  <c r="H133" i="24"/>
  <c r="F133" i="24"/>
  <c r="AG132" i="24"/>
  <c r="AF132" i="24"/>
  <c r="AD132" i="24"/>
  <c r="AC132" i="24"/>
  <c r="Z132" i="24"/>
  <c r="X132" i="24"/>
  <c r="T132" i="24"/>
  <c r="S132" i="24"/>
  <c r="R132" i="24"/>
  <c r="P132" i="24"/>
  <c r="N132" i="24"/>
  <c r="O132" i="24" s="1"/>
  <c r="M132" i="24"/>
  <c r="K132" i="24"/>
  <c r="J132" i="24"/>
  <c r="H132" i="24"/>
  <c r="F132" i="24"/>
  <c r="AG131" i="24"/>
  <c r="AF131" i="24"/>
  <c r="AD131" i="24"/>
  <c r="AC131" i="24"/>
  <c r="Z131" i="24"/>
  <c r="X131" i="24"/>
  <c r="T131" i="24"/>
  <c r="S131" i="24"/>
  <c r="R131" i="24"/>
  <c r="P131" i="24"/>
  <c r="N131" i="24"/>
  <c r="O131" i="24" s="1"/>
  <c r="M131" i="24"/>
  <c r="K131" i="24"/>
  <c r="J131" i="24"/>
  <c r="H131" i="24"/>
  <c r="F131" i="24"/>
  <c r="AG130" i="24"/>
  <c r="AF130" i="24"/>
  <c r="AD130" i="24"/>
  <c r="AC130" i="24"/>
  <c r="Z130" i="24"/>
  <c r="X130" i="24"/>
  <c r="T130" i="24"/>
  <c r="S130" i="24"/>
  <c r="R130" i="24"/>
  <c r="P130" i="24"/>
  <c r="N130" i="24"/>
  <c r="O130" i="24" s="1"/>
  <c r="M130" i="24"/>
  <c r="K130" i="24"/>
  <c r="J130" i="24"/>
  <c r="H130" i="24"/>
  <c r="F130" i="24"/>
  <c r="AG129" i="24"/>
  <c r="AF129" i="24"/>
  <c r="AD129" i="24"/>
  <c r="AC129" i="24"/>
  <c r="Z129" i="24"/>
  <c r="X129" i="24"/>
  <c r="T129" i="24"/>
  <c r="S129" i="24"/>
  <c r="R129" i="24"/>
  <c r="P129" i="24"/>
  <c r="N129" i="24"/>
  <c r="O129" i="24" s="1"/>
  <c r="M129" i="24"/>
  <c r="K129" i="24"/>
  <c r="J129" i="24"/>
  <c r="H129" i="24"/>
  <c r="F129" i="24"/>
  <c r="AG128" i="24"/>
  <c r="AF128" i="24"/>
  <c r="AD128" i="24"/>
  <c r="AC128" i="24"/>
  <c r="Z128" i="24"/>
  <c r="X128" i="24"/>
  <c r="T128" i="24"/>
  <c r="S128" i="24"/>
  <c r="R128" i="24"/>
  <c r="P128" i="24"/>
  <c r="N128" i="24"/>
  <c r="O128" i="24" s="1"/>
  <c r="M128" i="24"/>
  <c r="K128" i="24"/>
  <c r="J128" i="24"/>
  <c r="H128" i="24"/>
  <c r="F128" i="24"/>
  <c r="AG127" i="24"/>
  <c r="AF127" i="24"/>
  <c r="AD127" i="24"/>
  <c r="AC127" i="24"/>
  <c r="Z127" i="24"/>
  <c r="X127" i="24"/>
  <c r="T127" i="24"/>
  <c r="S127" i="24"/>
  <c r="R127" i="24"/>
  <c r="P127" i="24"/>
  <c r="N127" i="24"/>
  <c r="O127" i="24" s="1"/>
  <c r="M127" i="24"/>
  <c r="K127" i="24"/>
  <c r="J127" i="24"/>
  <c r="H127" i="24"/>
  <c r="F127" i="24"/>
  <c r="AG126" i="24"/>
  <c r="AF126" i="24"/>
  <c r="AD126" i="24"/>
  <c r="AC126" i="24"/>
  <c r="Z126" i="24"/>
  <c r="X126" i="24"/>
  <c r="T126" i="24"/>
  <c r="S126" i="24"/>
  <c r="R126" i="24"/>
  <c r="P126" i="24"/>
  <c r="N126" i="24"/>
  <c r="O126" i="24" s="1"/>
  <c r="M126" i="24"/>
  <c r="K126" i="24"/>
  <c r="J126" i="24"/>
  <c r="H126" i="24"/>
  <c r="F126" i="24"/>
  <c r="AG125" i="24"/>
  <c r="AF125" i="24"/>
  <c r="AD125" i="24"/>
  <c r="AC125" i="24"/>
  <c r="Z125" i="24"/>
  <c r="X125" i="24"/>
  <c r="T125" i="24"/>
  <c r="S125" i="24"/>
  <c r="R125" i="24"/>
  <c r="P125" i="24"/>
  <c r="N125" i="24"/>
  <c r="O125" i="24" s="1"/>
  <c r="M125" i="24"/>
  <c r="K125" i="24"/>
  <c r="J125" i="24"/>
  <c r="H125" i="24"/>
  <c r="F125" i="24"/>
  <c r="AG124" i="24"/>
  <c r="AF124" i="24"/>
  <c r="AD124" i="24"/>
  <c r="AC124" i="24"/>
  <c r="Z124" i="24"/>
  <c r="X124" i="24"/>
  <c r="T124" i="24"/>
  <c r="S124" i="24"/>
  <c r="R124" i="24"/>
  <c r="P124" i="24"/>
  <c r="N124" i="24"/>
  <c r="O124" i="24" s="1"/>
  <c r="M124" i="24"/>
  <c r="K124" i="24"/>
  <c r="J124" i="24"/>
  <c r="H124" i="24"/>
  <c r="F124" i="24"/>
  <c r="AG123" i="24"/>
  <c r="AF123" i="24"/>
  <c r="AD123" i="24"/>
  <c r="AC123" i="24"/>
  <c r="Z123" i="24"/>
  <c r="X123" i="24"/>
  <c r="T123" i="24"/>
  <c r="S123" i="24"/>
  <c r="R123" i="24"/>
  <c r="P123" i="24"/>
  <c r="N123" i="24"/>
  <c r="M123" i="24"/>
  <c r="K123" i="24"/>
  <c r="J123" i="24"/>
  <c r="H123" i="24"/>
  <c r="F123" i="24"/>
  <c r="AG122" i="24"/>
  <c r="AF122" i="24"/>
  <c r="AD122" i="24"/>
  <c r="AC122" i="24"/>
  <c r="Z122" i="24"/>
  <c r="X122" i="24"/>
  <c r="T122" i="24"/>
  <c r="S122" i="24"/>
  <c r="R122" i="24"/>
  <c r="P122" i="24"/>
  <c r="N122" i="24"/>
  <c r="O122" i="24" s="1"/>
  <c r="M122" i="24"/>
  <c r="K122" i="24"/>
  <c r="J122" i="24"/>
  <c r="H122" i="24"/>
  <c r="F122" i="24"/>
  <c r="AG121" i="24"/>
  <c r="AF121" i="24"/>
  <c r="AD121" i="24"/>
  <c r="AC121" i="24"/>
  <c r="Z121" i="24"/>
  <c r="X121" i="24"/>
  <c r="T121" i="24"/>
  <c r="S121" i="24"/>
  <c r="R121" i="24"/>
  <c r="P121" i="24"/>
  <c r="N121" i="24"/>
  <c r="O121" i="24" s="1"/>
  <c r="M121" i="24"/>
  <c r="K121" i="24"/>
  <c r="J121" i="24"/>
  <c r="H121" i="24"/>
  <c r="F121" i="24"/>
  <c r="AG120" i="24"/>
  <c r="AF120" i="24"/>
  <c r="AD120" i="24"/>
  <c r="AC120" i="24"/>
  <c r="Z120" i="24"/>
  <c r="X120" i="24"/>
  <c r="T120" i="24"/>
  <c r="S120" i="24"/>
  <c r="R120" i="24"/>
  <c r="P120" i="24"/>
  <c r="N120" i="24"/>
  <c r="M120" i="24"/>
  <c r="K120" i="24"/>
  <c r="J120" i="24"/>
  <c r="H120" i="24"/>
  <c r="F120" i="24"/>
  <c r="AG119" i="24"/>
  <c r="AF119" i="24"/>
  <c r="AD119" i="24"/>
  <c r="AC119" i="24"/>
  <c r="Z119" i="24"/>
  <c r="X119" i="24"/>
  <c r="T119" i="24"/>
  <c r="S119" i="24"/>
  <c r="R119" i="24"/>
  <c r="P119" i="24"/>
  <c r="N119" i="24"/>
  <c r="M119" i="24"/>
  <c r="K119" i="24"/>
  <c r="J119" i="24"/>
  <c r="H119" i="24"/>
  <c r="F119" i="24"/>
  <c r="AG118" i="24"/>
  <c r="AF118" i="24"/>
  <c r="AD118" i="24"/>
  <c r="AC118" i="24"/>
  <c r="Z118" i="24"/>
  <c r="X118" i="24"/>
  <c r="T118" i="24"/>
  <c r="S118" i="24"/>
  <c r="R118" i="24"/>
  <c r="P118" i="24"/>
  <c r="N118" i="24"/>
  <c r="O118" i="24" s="1"/>
  <c r="M118" i="24"/>
  <c r="K118" i="24"/>
  <c r="J118" i="24"/>
  <c r="H118" i="24"/>
  <c r="F118" i="24"/>
  <c r="AG117" i="24"/>
  <c r="AF117" i="24"/>
  <c r="AD117" i="24"/>
  <c r="AC117" i="24"/>
  <c r="Z117" i="24"/>
  <c r="X117" i="24"/>
  <c r="T117" i="24"/>
  <c r="S117" i="24"/>
  <c r="R117" i="24"/>
  <c r="P117" i="24"/>
  <c r="N117" i="24"/>
  <c r="O117" i="24" s="1"/>
  <c r="M117" i="24"/>
  <c r="K117" i="24"/>
  <c r="J117" i="24"/>
  <c r="H117" i="24"/>
  <c r="F117" i="24"/>
  <c r="AG116" i="24"/>
  <c r="AF116" i="24"/>
  <c r="AD116" i="24"/>
  <c r="AC116" i="24"/>
  <c r="Z116" i="24"/>
  <c r="X116" i="24"/>
  <c r="T116" i="24"/>
  <c r="S116" i="24"/>
  <c r="R116" i="24"/>
  <c r="P116" i="24"/>
  <c r="N116" i="24"/>
  <c r="O116" i="24" s="1"/>
  <c r="M116" i="24"/>
  <c r="K116" i="24"/>
  <c r="J116" i="24"/>
  <c r="H116" i="24"/>
  <c r="F116" i="24"/>
  <c r="AG115" i="24"/>
  <c r="AF115" i="24"/>
  <c r="AD115" i="24"/>
  <c r="AC115" i="24"/>
  <c r="Z115" i="24"/>
  <c r="X115" i="24"/>
  <c r="T115" i="24"/>
  <c r="S115" i="24"/>
  <c r="R115" i="24"/>
  <c r="P115" i="24"/>
  <c r="N115" i="24"/>
  <c r="M115" i="24"/>
  <c r="K115" i="24"/>
  <c r="J115" i="24"/>
  <c r="H115" i="24"/>
  <c r="F115" i="24"/>
  <c r="AG114" i="24"/>
  <c r="AF114" i="24"/>
  <c r="AD114" i="24"/>
  <c r="AC114" i="24"/>
  <c r="Z114" i="24"/>
  <c r="X114" i="24"/>
  <c r="T173" i="24"/>
  <c r="S173" i="24"/>
  <c r="R173" i="24"/>
  <c r="P173" i="24"/>
  <c r="N173" i="24"/>
  <c r="M173" i="24"/>
  <c r="K173" i="24"/>
  <c r="J173" i="24"/>
  <c r="H173" i="24"/>
  <c r="F173" i="24"/>
  <c r="AG113" i="24"/>
  <c r="AF113" i="24"/>
  <c r="AD113" i="24"/>
  <c r="AC113" i="24"/>
  <c r="Z113" i="24"/>
  <c r="X113" i="24"/>
  <c r="T113" i="24"/>
  <c r="S113" i="24"/>
  <c r="R113" i="24"/>
  <c r="P113" i="24"/>
  <c r="N113" i="24"/>
  <c r="O113" i="24" s="1"/>
  <c r="M113" i="24"/>
  <c r="K113" i="24"/>
  <c r="J113" i="24"/>
  <c r="H113" i="24"/>
  <c r="F113" i="24"/>
  <c r="AG112" i="24"/>
  <c r="AF112" i="24"/>
  <c r="AD112" i="24"/>
  <c r="AC112" i="24"/>
  <c r="Z112" i="24"/>
  <c r="X112" i="24"/>
  <c r="T112" i="24"/>
  <c r="S112" i="24"/>
  <c r="R112" i="24"/>
  <c r="P112" i="24"/>
  <c r="N112" i="24"/>
  <c r="M112" i="24"/>
  <c r="K112" i="24"/>
  <c r="J112" i="24"/>
  <c r="H112" i="24"/>
  <c r="F112" i="24"/>
  <c r="AG111" i="24"/>
  <c r="AF111" i="24"/>
  <c r="AD111" i="24"/>
  <c r="AC111" i="24"/>
  <c r="Z111" i="24"/>
  <c r="X111" i="24"/>
  <c r="T111" i="24"/>
  <c r="S111" i="24"/>
  <c r="R111" i="24"/>
  <c r="P111" i="24"/>
  <c r="N111" i="24"/>
  <c r="M111" i="24"/>
  <c r="K111" i="24"/>
  <c r="J111" i="24"/>
  <c r="H111" i="24"/>
  <c r="F111" i="24"/>
  <c r="AG110" i="24"/>
  <c r="AF110" i="24"/>
  <c r="AD110" i="24"/>
  <c r="AC110" i="24"/>
  <c r="Z110" i="24"/>
  <c r="X110" i="24"/>
  <c r="T110" i="24"/>
  <c r="S110" i="24"/>
  <c r="R110" i="24"/>
  <c r="P110" i="24"/>
  <c r="N110" i="24"/>
  <c r="M110" i="24"/>
  <c r="K110" i="24"/>
  <c r="J110" i="24"/>
  <c r="H110" i="24"/>
  <c r="F110" i="24"/>
  <c r="AG109" i="24"/>
  <c r="AF109" i="24"/>
  <c r="AD109" i="24"/>
  <c r="AC109" i="24"/>
  <c r="Z109" i="24"/>
  <c r="X109" i="24"/>
  <c r="T109" i="24"/>
  <c r="S109" i="24"/>
  <c r="R109" i="24"/>
  <c r="P109" i="24"/>
  <c r="N109" i="24"/>
  <c r="O109" i="24" s="1"/>
  <c r="M109" i="24"/>
  <c r="K109" i="24"/>
  <c r="J109" i="24"/>
  <c r="H109" i="24"/>
  <c r="F109" i="24"/>
  <c r="AG108" i="24"/>
  <c r="AF108" i="24"/>
  <c r="AD108" i="24"/>
  <c r="AC108" i="24"/>
  <c r="Z108" i="24"/>
  <c r="X108" i="24"/>
  <c r="T108" i="24"/>
  <c r="S108" i="24"/>
  <c r="R108" i="24"/>
  <c r="P108" i="24"/>
  <c r="N108" i="24"/>
  <c r="O108" i="24" s="1"/>
  <c r="M108" i="24"/>
  <c r="K108" i="24"/>
  <c r="J108" i="24"/>
  <c r="H108" i="24"/>
  <c r="F108" i="24"/>
  <c r="AG107" i="24"/>
  <c r="AF107" i="24"/>
  <c r="AD107" i="24"/>
  <c r="AC107" i="24"/>
  <c r="Z107" i="24"/>
  <c r="X107" i="24"/>
  <c r="T107" i="24"/>
  <c r="S107" i="24"/>
  <c r="R107" i="24"/>
  <c r="P107" i="24"/>
  <c r="N107" i="24"/>
  <c r="O107" i="24" s="1"/>
  <c r="M107" i="24"/>
  <c r="K107" i="24"/>
  <c r="J107" i="24"/>
  <c r="H107" i="24"/>
  <c r="F107" i="24"/>
  <c r="AG106" i="24"/>
  <c r="AF106" i="24"/>
  <c r="AD106" i="24"/>
  <c r="AC106" i="24"/>
  <c r="Z106" i="24"/>
  <c r="X106" i="24"/>
  <c r="T106" i="24"/>
  <c r="S106" i="24"/>
  <c r="R106" i="24"/>
  <c r="P106" i="24"/>
  <c r="N106" i="24"/>
  <c r="O106" i="24" s="1"/>
  <c r="M106" i="24"/>
  <c r="K106" i="24"/>
  <c r="J106" i="24"/>
  <c r="H106" i="24"/>
  <c r="F106" i="24"/>
  <c r="AG105" i="24"/>
  <c r="AF105" i="24"/>
  <c r="AD105" i="24"/>
  <c r="AC105" i="24"/>
  <c r="Z105" i="24"/>
  <c r="X105" i="24"/>
  <c r="T105" i="24"/>
  <c r="S105" i="24"/>
  <c r="R105" i="24"/>
  <c r="P105" i="24"/>
  <c r="N105" i="24"/>
  <c r="O105" i="24" s="1"/>
  <c r="M105" i="24"/>
  <c r="K105" i="24"/>
  <c r="J105" i="24"/>
  <c r="H105" i="24"/>
  <c r="F105" i="24"/>
  <c r="AG104" i="24"/>
  <c r="AF104" i="24"/>
  <c r="AD104" i="24"/>
  <c r="AC104" i="24"/>
  <c r="Z104" i="24"/>
  <c r="X104" i="24"/>
  <c r="T104" i="24"/>
  <c r="S104" i="24"/>
  <c r="R104" i="24"/>
  <c r="P104" i="24"/>
  <c r="N104" i="24"/>
  <c r="O104" i="24" s="1"/>
  <c r="M104" i="24"/>
  <c r="K104" i="24"/>
  <c r="J104" i="24"/>
  <c r="H104" i="24"/>
  <c r="F104" i="24"/>
  <c r="AG103" i="24"/>
  <c r="AF103" i="24"/>
  <c r="AD103" i="24"/>
  <c r="AC103" i="24"/>
  <c r="Z103" i="24"/>
  <c r="X103" i="24"/>
  <c r="T114" i="24"/>
  <c r="S114" i="24"/>
  <c r="R114" i="24"/>
  <c r="P114" i="24"/>
  <c r="N114" i="24"/>
  <c r="O114" i="24" s="1"/>
  <c r="M114" i="24"/>
  <c r="K114" i="24"/>
  <c r="J114" i="24"/>
  <c r="H114" i="24"/>
  <c r="F114" i="24"/>
  <c r="AG102" i="24"/>
  <c r="AF102" i="24"/>
  <c r="AD102" i="24"/>
  <c r="AC102" i="24"/>
  <c r="Z102" i="24"/>
  <c r="X102" i="24"/>
  <c r="T102" i="24"/>
  <c r="S102" i="24"/>
  <c r="R102" i="24"/>
  <c r="P102" i="24"/>
  <c r="N102" i="24"/>
  <c r="M102" i="24"/>
  <c r="K102" i="24"/>
  <c r="J102" i="24"/>
  <c r="H102" i="24"/>
  <c r="F102" i="24"/>
  <c r="AG101" i="24"/>
  <c r="AF101" i="24"/>
  <c r="AD101" i="24"/>
  <c r="AC101" i="24"/>
  <c r="Z101" i="24"/>
  <c r="X101" i="24"/>
  <c r="T101" i="24"/>
  <c r="S101" i="24"/>
  <c r="R101" i="24"/>
  <c r="P101" i="24"/>
  <c r="N101" i="24"/>
  <c r="O101" i="24" s="1"/>
  <c r="M101" i="24"/>
  <c r="K101" i="24"/>
  <c r="J101" i="24"/>
  <c r="H101" i="24"/>
  <c r="F101" i="24"/>
  <c r="AG100" i="24"/>
  <c r="AF100" i="24"/>
  <c r="AD100" i="24"/>
  <c r="AC100" i="24"/>
  <c r="Z100" i="24"/>
  <c r="X100" i="24"/>
  <c r="T100" i="24"/>
  <c r="S100" i="24"/>
  <c r="R100" i="24"/>
  <c r="P100" i="24"/>
  <c r="N100" i="24"/>
  <c r="O100" i="24" s="1"/>
  <c r="M100" i="24"/>
  <c r="K100" i="24"/>
  <c r="J100" i="24"/>
  <c r="H100" i="24"/>
  <c r="F100" i="24"/>
  <c r="AG99" i="24"/>
  <c r="AF99" i="24"/>
  <c r="AD99" i="24"/>
  <c r="AC99" i="24"/>
  <c r="Z99" i="24"/>
  <c r="X99" i="24"/>
  <c r="T99" i="24"/>
  <c r="S99" i="24"/>
  <c r="R99" i="24"/>
  <c r="P99" i="24"/>
  <c r="N99" i="24"/>
  <c r="O99" i="24" s="1"/>
  <c r="M99" i="24"/>
  <c r="K99" i="24"/>
  <c r="J99" i="24"/>
  <c r="H99" i="24"/>
  <c r="F99" i="24"/>
  <c r="AG98" i="24"/>
  <c r="AF98" i="24"/>
  <c r="AD98" i="24"/>
  <c r="AC98" i="24"/>
  <c r="Z98" i="24"/>
  <c r="X98" i="24"/>
  <c r="T98" i="24"/>
  <c r="S98" i="24"/>
  <c r="R98" i="24"/>
  <c r="P98" i="24"/>
  <c r="N98" i="24"/>
  <c r="O98" i="24" s="1"/>
  <c r="M98" i="24"/>
  <c r="K98" i="24"/>
  <c r="J98" i="24"/>
  <c r="H98" i="24"/>
  <c r="F98" i="24"/>
  <c r="AG97" i="24"/>
  <c r="AF97" i="24"/>
  <c r="AD97" i="24"/>
  <c r="AC97" i="24"/>
  <c r="Z97" i="24"/>
  <c r="X97" i="24"/>
  <c r="T103" i="24"/>
  <c r="S103" i="24"/>
  <c r="R103" i="24"/>
  <c r="P103" i="24"/>
  <c r="N103" i="24"/>
  <c r="O103" i="24" s="1"/>
  <c r="M103" i="24"/>
  <c r="K103" i="24"/>
  <c r="J103" i="24"/>
  <c r="H103" i="24"/>
  <c r="F103" i="24"/>
  <c r="AG96" i="24"/>
  <c r="AF96" i="24"/>
  <c r="AD96" i="24"/>
  <c r="AC96" i="24"/>
  <c r="Z96" i="24"/>
  <c r="X96" i="24"/>
  <c r="T96" i="24"/>
  <c r="S96" i="24"/>
  <c r="R96" i="24"/>
  <c r="P96" i="24"/>
  <c r="N96" i="24"/>
  <c r="O96" i="24" s="1"/>
  <c r="M96" i="24"/>
  <c r="K96" i="24"/>
  <c r="J96" i="24"/>
  <c r="H96" i="24"/>
  <c r="F96" i="24"/>
  <c r="AG95" i="24"/>
  <c r="AF95" i="24"/>
  <c r="AD95" i="24"/>
  <c r="AC95" i="24"/>
  <c r="Z95" i="24"/>
  <c r="X95" i="24"/>
  <c r="T95" i="24"/>
  <c r="S95" i="24"/>
  <c r="R95" i="24"/>
  <c r="P95" i="24"/>
  <c r="N95" i="24"/>
  <c r="M95" i="24"/>
  <c r="K95" i="24"/>
  <c r="J95" i="24"/>
  <c r="H95" i="24"/>
  <c r="F95" i="24"/>
  <c r="AG94" i="24"/>
  <c r="AF94" i="24"/>
  <c r="AD94" i="24"/>
  <c r="AC94" i="24"/>
  <c r="Z94" i="24"/>
  <c r="X94" i="24"/>
  <c r="T94" i="24"/>
  <c r="S94" i="24"/>
  <c r="R94" i="24"/>
  <c r="P94" i="24"/>
  <c r="N94" i="24"/>
  <c r="O94" i="24" s="1"/>
  <c r="M94" i="24"/>
  <c r="K94" i="24"/>
  <c r="J94" i="24"/>
  <c r="H94" i="24"/>
  <c r="F94" i="24"/>
  <c r="AG93" i="24"/>
  <c r="AF93" i="24"/>
  <c r="AD93" i="24"/>
  <c r="AC93" i="24"/>
  <c r="Z93" i="24"/>
  <c r="X93" i="24"/>
  <c r="T93" i="24"/>
  <c r="S93" i="24"/>
  <c r="R93" i="24"/>
  <c r="P93" i="24"/>
  <c r="N93" i="24"/>
  <c r="O93" i="24" s="1"/>
  <c r="M93" i="24"/>
  <c r="K93" i="24"/>
  <c r="J93" i="24"/>
  <c r="H93" i="24"/>
  <c r="F93" i="24"/>
  <c r="AG92" i="24"/>
  <c r="AF92" i="24"/>
  <c r="AD92" i="24"/>
  <c r="AC92" i="24"/>
  <c r="Z92" i="24"/>
  <c r="X92" i="24"/>
  <c r="T97" i="24"/>
  <c r="S97" i="24"/>
  <c r="R97" i="24"/>
  <c r="P97" i="24"/>
  <c r="N97" i="24"/>
  <c r="O97" i="24" s="1"/>
  <c r="M97" i="24"/>
  <c r="K97" i="24"/>
  <c r="J97" i="24"/>
  <c r="H97" i="24"/>
  <c r="F97" i="24"/>
  <c r="AG91" i="24"/>
  <c r="AF91" i="24"/>
  <c r="AD91" i="24"/>
  <c r="AC91" i="24"/>
  <c r="Z91" i="24"/>
  <c r="X91" i="24"/>
  <c r="T91" i="24"/>
  <c r="S91" i="24"/>
  <c r="R91" i="24"/>
  <c r="P91" i="24"/>
  <c r="N91" i="24"/>
  <c r="M91" i="24"/>
  <c r="K91" i="24"/>
  <c r="J91" i="24"/>
  <c r="H91" i="24"/>
  <c r="F91" i="24"/>
  <c r="AG90" i="24"/>
  <c r="AF90" i="24"/>
  <c r="AD90" i="24"/>
  <c r="AC90" i="24"/>
  <c r="Z90" i="24"/>
  <c r="X90" i="24"/>
  <c r="T90" i="24"/>
  <c r="S90" i="24"/>
  <c r="R90" i="24"/>
  <c r="P90" i="24"/>
  <c r="N90" i="24"/>
  <c r="M90" i="24"/>
  <c r="K90" i="24"/>
  <c r="J90" i="24"/>
  <c r="H90" i="24"/>
  <c r="F90" i="24"/>
  <c r="AG89" i="24"/>
  <c r="AF89" i="24"/>
  <c r="AD89" i="24"/>
  <c r="AC89" i="24"/>
  <c r="Z89" i="24"/>
  <c r="X89" i="24"/>
  <c r="T89" i="24"/>
  <c r="S89" i="24"/>
  <c r="R89" i="24"/>
  <c r="P89" i="24"/>
  <c r="N89" i="24"/>
  <c r="O89" i="24" s="1"/>
  <c r="M89" i="24"/>
  <c r="K89" i="24"/>
  <c r="J89" i="24"/>
  <c r="H89" i="24"/>
  <c r="F89" i="24"/>
  <c r="AG88" i="24"/>
  <c r="AF88" i="24"/>
  <c r="AD88" i="24"/>
  <c r="AC88" i="24"/>
  <c r="Z88" i="24"/>
  <c r="X88" i="24"/>
  <c r="T88" i="24"/>
  <c r="S88" i="24"/>
  <c r="R88" i="24"/>
  <c r="P88" i="24"/>
  <c r="N88" i="24"/>
  <c r="O88" i="24" s="1"/>
  <c r="M88" i="24"/>
  <c r="K88" i="24"/>
  <c r="J88" i="24"/>
  <c r="H88" i="24"/>
  <c r="F88" i="24"/>
  <c r="AG87" i="24"/>
  <c r="AF87" i="24"/>
  <c r="AD87" i="24"/>
  <c r="AC87" i="24"/>
  <c r="Z87" i="24"/>
  <c r="X87" i="24"/>
  <c r="T87" i="24"/>
  <c r="S87" i="24"/>
  <c r="R87" i="24"/>
  <c r="P87" i="24"/>
  <c r="N87" i="24"/>
  <c r="O87" i="24" s="1"/>
  <c r="M87" i="24"/>
  <c r="K87" i="24"/>
  <c r="J87" i="24"/>
  <c r="H87" i="24"/>
  <c r="F87" i="24"/>
  <c r="AG86" i="24"/>
  <c r="AF86" i="24"/>
  <c r="AD86" i="24"/>
  <c r="AC86" i="24"/>
  <c r="Z86" i="24"/>
  <c r="X86" i="24"/>
  <c r="T86" i="24"/>
  <c r="S86" i="24"/>
  <c r="R86" i="24"/>
  <c r="P86" i="24"/>
  <c r="N86" i="24"/>
  <c r="M86" i="24"/>
  <c r="K86" i="24"/>
  <c r="J86" i="24"/>
  <c r="H86" i="24"/>
  <c r="F86" i="24"/>
  <c r="AG85" i="24"/>
  <c r="AF85" i="24"/>
  <c r="AD85" i="24"/>
  <c r="AC85" i="24"/>
  <c r="Z85" i="24"/>
  <c r="X85" i="24"/>
  <c r="T85" i="24"/>
  <c r="S85" i="24"/>
  <c r="R85" i="24"/>
  <c r="P85" i="24"/>
  <c r="N85" i="24"/>
  <c r="M85" i="24"/>
  <c r="K85" i="24"/>
  <c r="J85" i="24"/>
  <c r="H85" i="24"/>
  <c r="F85" i="24"/>
  <c r="AG84" i="24"/>
  <c r="AF84" i="24"/>
  <c r="AD84" i="24"/>
  <c r="AC84" i="24"/>
  <c r="Z84" i="24"/>
  <c r="X84" i="24"/>
  <c r="T84" i="24"/>
  <c r="S84" i="24"/>
  <c r="R84" i="24"/>
  <c r="P84" i="24"/>
  <c r="N84" i="24"/>
  <c r="M84" i="24"/>
  <c r="K84" i="24"/>
  <c r="J84" i="24"/>
  <c r="H84" i="24"/>
  <c r="F84" i="24"/>
  <c r="AG83" i="24"/>
  <c r="AF83" i="24"/>
  <c r="AD83" i="24"/>
  <c r="AC83" i="24"/>
  <c r="Z83" i="24"/>
  <c r="X83" i="24"/>
  <c r="T83" i="24"/>
  <c r="S83" i="24"/>
  <c r="R83" i="24"/>
  <c r="P83" i="24"/>
  <c r="N83" i="24"/>
  <c r="O83" i="24" s="1"/>
  <c r="M83" i="24"/>
  <c r="K83" i="24"/>
  <c r="J83" i="24"/>
  <c r="H83" i="24"/>
  <c r="F83" i="24"/>
  <c r="AG82" i="24"/>
  <c r="AF82" i="24"/>
  <c r="AD82" i="24"/>
  <c r="AC82" i="24"/>
  <c r="Z82" i="24"/>
  <c r="X82" i="24"/>
  <c r="T82" i="24"/>
  <c r="S82" i="24"/>
  <c r="R82" i="24"/>
  <c r="P82" i="24"/>
  <c r="N82" i="24"/>
  <c r="O82" i="24" s="1"/>
  <c r="M82" i="24"/>
  <c r="K82" i="24"/>
  <c r="J82" i="24"/>
  <c r="H82" i="24"/>
  <c r="F82" i="24"/>
  <c r="AG81" i="24"/>
  <c r="AF81" i="24"/>
  <c r="AD81" i="24"/>
  <c r="AC81" i="24"/>
  <c r="Z81" i="24"/>
  <c r="X81" i="24"/>
  <c r="T81" i="24"/>
  <c r="S81" i="24"/>
  <c r="R81" i="24"/>
  <c r="P81" i="24"/>
  <c r="N81" i="24"/>
  <c r="O81" i="24" s="1"/>
  <c r="M81" i="24"/>
  <c r="K81" i="24"/>
  <c r="J81" i="24"/>
  <c r="H81" i="24"/>
  <c r="F81" i="24"/>
  <c r="AG80" i="24"/>
  <c r="AF80" i="24"/>
  <c r="AD80" i="24"/>
  <c r="AC80" i="24"/>
  <c r="Z80" i="24"/>
  <c r="X80" i="24"/>
  <c r="T80" i="24"/>
  <c r="S80" i="24"/>
  <c r="R80" i="24"/>
  <c r="P80" i="24"/>
  <c r="N80" i="24"/>
  <c r="M80" i="24"/>
  <c r="K80" i="24"/>
  <c r="J80" i="24"/>
  <c r="H80" i="24"/>
  <c r="F80" i="24"/>
  <c r="AG79" i="24"/>
  <c r="AF79" i="24"/>
  <c r="AD79" i="24"/>
  <c r="AC79" i="24"/>
  <c r="Z79" i="24"/>
  <c r="X79" i="24"/>
  <c r="T79" i="24"/>
  <c r="S79" i="24"/>
  <c r="R79" i="24"/>
  <c r="P79" i="24"/>
  <c r="N79" i="24"/>
  <c r="O79" i="24" s="1"/>
  <c r="M79" i="24"/>
  <c r="K79" i="24"/>
  <c r="J79" i="24"/>
  <c r="H79" i="24"/>
  <c r="F79" i="24"/>
  <c r="AG78" i="24"/>
  <c r="AF78" i="24"/>
  <c r="AD78" i="24"/>
  <c r="AC78" i="24"/>
  <c r="Z78" i="24"/>
  <c r="X78" i="24"/>
  <c r="T78" i="24"/>
  <c r="S78" i="24"/>
  <c r="R78" i="24"/>
  <c r="P78" i="24"/>
  <c r="N78" i="24"/>
  <c r="O78" i="24" s="1"/>
  <c r="M78" i="24"/>
  <c r="K78" i="24"/>
  <c r="J78" i="24"/>
  <c r="H78" i="24"/>
  <c r="F78" i="24"/>
  <c r="AG77" i="24"/>
  <c r="AF77" i="24"/>
  <c r="AD77" i="24"/>
  <c r="AC77" i="24"/>
  <c r="Z77" i="24"/>
  <c r="X77" i="24"/>
  <c r="T77" i="24"/>
  <c r="S77" i="24"/>
  <c r="R77" i="24"/>
  <c r="P77" i="24"/>
  <c r="N77" i="24"/>
  <c r="O77" i="24" s="1"/>
  <c r="M77" i="24"/>
  <c r="K77" i="24"/>
  <c r="J77" i="24"/>
  <c r="H77" i="24"/>
  <c r="F77" i="24"/>
  <c r="AG76" i="24"/>
  <c r="AF76" i="24"/>
  <c r="AD76" i="24"/>
  <c r="AC76" i="24"/>
  <c r="Z76" i="24"/>
  <c r="X76" i="24"/>
  <c r="T76" i="24"/>
  <c r="S76" i="24"/>
  <c r="R76" i="24"/>
  <c r="P76" i="24"/>
  <c r="N76" i="24"/>
  <c r="O76" i="24" s="1"/>
  <c r="M76" i="24"/>
  <c r="K76" i="24"/>
  <c r="J76" i="24"/>
  <c r="H76" i="24"/>
  <c r="F76" i="24"/>
  <c r="AG75" i="24"/>
  <c r="AF75" i="24"/>
  <c r="AD75" i="24"/>
  <c r="AC75" i="24"/>
  <c r="Z75" i="24"/>
  <c r="X75" i="24"/>
  <c r="T92" i="24"/>
  <c r="S92" i="24"/>
  <c r="R92" i="24"/>
  <c r="P92" i="24"/>
  <c r="N92" i="24"/>
  <c r="M92" i="24"/>
  <c r="K92" i="24"/>
  <c r="J92" i="24"/>
  <c r="H92" i="24"/>
  <c r="F92" i="24"/>
  <c r="AG74" i="24"/>
  <c r="AF74" i="24"/>
  <c r="AD74" i="24"/>
  <c r="AC74" i="24"/>
  <c r="Z74" i="24"/>
  <c r="X74" i="24"/>
  <c r="T74" i="24"/>
  <c r="S74" i="24"/>
  <c r="R74" i="24"/>
  <c r="P74" i="24"/>
  <c r="N74" i="24"/>
  <c r="M74" i="24"/>
  <c r="K74" i="24"/>
  <c r="J74" i="24"/>
  <c r="H74" i="24"/>
  <c r="F74" i="24"/>
  <c r="AG73" i="24"/>
  <c r="AF73" i="24"/>
  <c r="AD73" i="24"/>
  <c r="AC73" i="24"/>
  <c r="Z73" i="24"/>
  <c r="X73" i="24"/>
  <c r="T73" i="24"/>
  <c r="S73" i="24"/>
  <c r="R73" i="24"/>
  <c r="P73" i="24"/>
  <c r="N73" i="24"/>
  <c r="O73" i="24" s="1"/>
  <c r="M73" i="24"/>
  <c r="K73" i="24"/>
  <c r="J73" i="24"/>
  <c r="H73" i="24"/>
  <c r="F73" i="24"/>
  <c r="AG72" i="24"/>
  <c r="AF72" i="24"/>
  <c r="AD72" i="24"/>
  <c r="AC72" i="24"/>
  <c r="Z72" i="24"/>
  <c r="X72" i="24"/>
  <c r="T72" i="24"/>
  <c r="S72" i="24"/>
  <c r="R72" i="24"/>
  <c r="P72" i="24"/>
  <c r="N72" i="24"/>
  <c r="O72" i="24" s="1"/>
  <c r="M72" i="24"/>
  <c r="K72" i="24"/>
  <c r="J72" i="24"/>
  <c r="H72" i="24"/>
  <c r="F72" i="24"/>
  <c r="AG71" i="24"/>
  <c r="AF71" i="24"/>
  <c r="AD71" i="24"/>
  <c r="AC71" i="24"/>
  <c r="Z71" i="24"/>
  <c r="X71" i="24"/>
  <c r="T71" i="24"/>
  <c r="S71" i="24"/>
  <c r="R71" i="24"/>
  <c r="P71" i="24"/>
  <c r="N71" i="24"/>
  <c r="M71" i="24"/>
  <c r="K71" i="24"/>
  <c r="J71" i="24"/>
  <c r="H71" i="24"/>
  <c r="F71" i="24"/>
  <c r="AG70" i="24"/>
  <c r="AF70" i="24"/>
  <c r="AD70" i="24"/>
  <c r="AC70" i="24"/>
  <c r="Z70" i="24"/>
  <c r="X70" i="24"/>
  <c r="T70" i="24"/>
  <c r="S70" i="24"/>
  <c r="R70" i="24"/>
  <c r="P70" i="24"/>
  <c r="N70" i="24"/>
  <c r="O70" i="24" s="1"/>
  <c r="M70" i="24"/>
  <c r="K70" i="24"/>
  <c r="J70" i="24"/>
  <c r="H70" i="24"/>
  <c r="F70" i="24"/>
  <c r="AG69" i="24"/>
  <c r="AF69" i="24"/>
  <c r="AD69" i="24"/>
  <c r="AC69" i="24"/>
  <c r="Z69" i="24"/>
  <c r="X69" i="24"/>
  <c r="T69" i="24"/>
  <c r="S69" i="24"/>
  <c r="R69" i="24"/>
  <c r="P69" i="24"/>
  <c r="N69" i="24"/>
  <c r="O69" i="24" s="1"/>
  <c r="M69" i="24"/>
  <c r="K69" i="24"/>
  <c r="J69" i="24"/>
  <c r="H69" i="24"/>
  <c r="F69" i="24"/>
  <c r="AG68" i="24"/>
  <c r="AF68" i="24"/>
  <c r="AD68" i="24"/>
  <c r="AC68" i="24"/>
  <c r="Z68" i="24"/>
  <c r="X68" i="24"/>
  <c r="T68" i="24"/>
  <c r="S68" i="24"/>
  <c r="R68" i="24"/>
  <c r="P68" i="24"/>
  <c r="N68" i="24"/>
  <c r="M68" i="24"/>
  <c r="K68" i="24"/>
  <c r="J68" i="24"/>
  <c r="H68" i="24"/>
  <c r="F68" i="24"/>
  <c r="AG67" i="24"/>
  <c r="AF67" i="24"/>
  <c r="AD67" i="24"/>
  <c r="AC67" i="24"/>
  <c r="Z67" i="24"/>
  <c r="X67" i="24"/>
  <c r="T67" i="24"/>
  <c r="S67" i="24"/>
  <c r="R67" i="24"/>
  <c r="P67" i="24"/>
  <c r="N67" i="24"/>
  <c r="O67" i="24" s="1"/>
  <c r="M67" i="24"/>
  <c r="K67" i="24"/>
  <c r="J67" i="24"/>
  <c r="H67" i="24"/>
  <c r="F67" i="24"/>
  <c r="AG66" i="24"/>
  <c r="AF66" i="24"/>
  <c r="AD66" i="24"/>
  <c r="AC66" i="24"/>
  <c r="Z66" i="24"/>
  <c r="X66" i="24"/>
  <c r="T66" i="24"/>
  <c r="S66" i="24"/>
  <c r="R66" i="24"/>
  <c r="P66" i="24"/>
  <c r="N66" i="24"/>
  <c r="O66" i="24" s="1"/>
  <c r="M66" i="24"/>
  <c r="K66" i="24"/>
  <c r="J66" i="24"/>
  <c r="H66" i="24"/>
  <c r="F66" i="24"/>
  <c r="AG65" i="24"/>
  <c r="AF65" i="24"/>
  <c r="AD65" i="24"/>
  <c r="AC65" i="24"/>
  <c r="Z65" i="24"/>
  <c r="X65" i="24"/>
  <c r="T65" i="24"/>
  <c r="S65" i="24"/>
  <c r="R65" i="24"/>
  <c r="P65" i="24"/>
  <c r="N65" i="24"/>
  <c r="M65" i="24"/>
  <c r="K65" i="24"/>
  <c r="J65" i="24"/>
  <c r="H65" i="24"/>
  <c r="F65" i="24"/>
  <c r="AG64" i="24"/>
  <c r="AF64" i="24"/>
  <c r="AD64" i="24"/>
  <c r="AC64" i="24"/>
  <c r="Z64" i="24"/>
  <c r="X64" i="24"/>
  <c r="T64" i="24"/>
  <c r="S64" i="24"/>
  <c r="R64" i="24"/>
  <c r="P64" i="24"/>
  <c r="N64" i="24"/>
  <c r="M64" i="24"/>
  <c r="K64" i="24"/>
  <c r="J64" i="24"/>
  <c r="H64" i="24"/>
  <c r="F64" i="24"/>
  <c r="AG63" i="24"/>
  <c r="AF63" i="24"/>
  <c r="AD63" i="24"/>
  <c r="AC63" i="24"/>
  <c r="Z63" i="24"/>
  <c r="X63" i="24"/>
  <c r="T63" i="24"/>
  <c r="S63" i="24"/>
  <c r="R63" i="24"/>
  <c r="P63" i="24"/>
  <c r="N63" i="24"/>
  <c r="M63" i="24"/>
  <c r="K63" i="24"/>
  <c r="J63" i="24"/>
  <c r="H63" i="24"/>
  <c r="F63" i="24"/>
  <c r="AG62" i="24"/>
  <c r="AF62" i="24"/>
  <c r="AD62" i="24"/>
  <c r="AC62" i="24"/>
  <c r="Z62" i="24"/>
  <c r="X62" i="24"/>
  <c r="T62" i="24"/>
  <c r="S62" i="24"/>
  <c r="R62" i="24"/>
  <c r="P62" i="24"/>
  <c r="N62" i="24"/>
  <c r="M62" i="24"/>
  <c r="K62" i="24"/>
  <c r="J62" i="24"/>
  <c r="H62" i="24"/>
  <c r="F62" i="24"/>
  <c r="AG61" i="24"/>
  <c r="AF61" i="24"/>
  <c r="AD61" i="24"/>
  <c r="AC61" i="24"/>
  <c r="Z61" i="24"/>
  <c r="X61" i="24"/>
  <c r="T61" i="24"/>
  <c r="S61" i="24"/>
  <c r="R61" i="24"/>
  <c r="P61" i="24"/>
  <c r="N61" i="24"/>
  <c r="O61" i="24" s="1"/>
  <c r="M61" i="24"/>
  <c r="K61" i="24"/>
  <c r="J61" i="24"/>
  <c r="H61" i="24"/>
  <c r="F61" i="24"/>
  <c r="AG60" i="24"/>
  <c r="AF60" i="24"/>
  <c r="AD60" i="24"/>
  <c r="AC60" i="24"/>
  <c r="Z60" i="24"/>
  <c r="X60" i="24"/>
  <c r="T60" i="24"/>
  <c r="S60" i="24"/>
  <c r="R60" i="24"/>
  <c r="P60" i="24"/>
  <c r="N60" i="24"/>
  <c r="M60" i="24"/>
  <c r="K60" i="24"/>
  <c r="J60" i="24"/>
  <c r="H60" i="24"/>
  <c r="F60" i="24"/>
  <c r="AG59" i="24"/>
  <c r="AF59" i="24"/>
  <c r="AD59" i="24"/>
  <c r="AC59" i="24"/>
  <c r="Z59" i="24"/>
  <c r="X59" i="24"/>
  <c r="T59" i="24"/>
  <c r="S59" i="24"/>
  <c r="R59" i="24"/>
  <c r="P59" i="24"/>
  <c r="N59" i="24"/>
  <c r="M59" i="24"/>
  <c r="K59" i="24"/>
  <c r="J59" i="24"/>
  <c r="H59" i="24"/>
  <c r="F59" i="24"/>
  <c r="AG58" i="24"/>
  <c r="AF58" i="24"/>
  <c r="AD58" i="24"/>
  <c r="AC58" i="24"/>
  <c r="Z58" i="24"/>
  <c r="X58" i="24"/>
  <c r="T58" i="24"/>
  <c r="S58" i="24"/>
  <c r="R58" i="24"/>
  <c r="P58" i="24"/>
  <c r="N58" i="24"/>
  <c r="M58" i="24"/>
  <c r="K58" i="24"/>
  <c r="J58" i="24"/>
  <c r="H58" i="24"/>
  <c r="F58" i="24"/>
  <c r="AG57" i="24"/>
  <c r="AF57" i="24"/>
  <c r="AD57" i="24"/>
  <c r="AC57" i="24"/>
  <c r="Z57" i="24"/>
  <c r="X57" i="24"/>
  <c r="T57" i="24"/>
  <c r="S57" i="24"/>
  <c r="R57" i="24"/>
  <c r="P57" i="24"/>
  <c r="N57" i="24"/>
  <c r="O57" i="24" s="1"/>
  <c r="M57" i="24"/>
  <c r="K57" i="24"/>
  <c r="J57" i="24"/>
  <c r="H57" i="24"/>
  <c r="F57" i="24"/>
  <c r="AG56" i="24"/>
  <c r="AF56" i="24"/>
  <c r="AD56" i="24"/>
  <c r="AC56" i="24"/>
  <c r="Z56" i="24"/>
  <c r="X56" i="24"/>
  <c r="T56" i="24"/>
  <c r="S56" i="24"/>
  <c r="R56" i="24"/>
  <c r="P56" i="24"/>
  <c r="N56" i="24"/>
  <c r="O56" i="24" s="1"/>
  <c r="M56" i="24"/>
  <c r="K56" i="24"/>
  <c r="J56" i="24"/>
  <c r="H56" i="24"/>
  <c r="F56" i="24"/>
  <c r="AG55" i="24"/>
  <c r="AF55" i="24"/>
  <c r="AD55" i="24"/>
  <c r="AC55" i="24"/>
  <c r="Z55" i="24"/>
  <c r="X55" i="24"/>
  <c r="T55" i="24"/>
  <c r="S55" i="24"/>
  <c r="R55" i="24"/>
  <c r="P55" i="24"/>
  <c r="N55" i="24"/>
  <c r="O55" i="24" s="1"/>
  <c r="M55" i="24"/>
  <c r="K55" i="24"/>
  <c r="J55" i="24"/>
  <c r="H55" i="24"/>
  <c r="F55" i="24"/>
  <c r="AG54" i="24"/>
  <c r="AF54" i="24"/>
  <c r="AD54" i="24"/>
  <c r="AC54" i="24"/>
  <c r="Z54" i="24"/>
  <c r="X54" i="24"/>
  <c r="T54" i="24"/>
  <c r="S54" i="24"/>
  <c r="R54" i="24"/>
  <c r="P54" i="24"/>
  <c r="N54" i="24"/>
  <c r="O54" i="24" s="1"/>
  <c r="M54" i="24"/>
  <c r="K54" i="24"/>
  <c r="J54" i="24"/>
  <c r="H54" i="24"/>
  <c r="F54" i="24"/>
  <c r="AG53" i="24"/>
  <c r="AF53" i="24"/>
  <c r="AD53" i="24"/>
  <c r="AC53" i="24"/>
  <c r="Z53" i="24"/>
  <c r="X53" i="24"/>
  <c r="T53" i="24"/>
  <c r="S53" i="24"/>
  <c r="R53" i="24"/>
  <c r="P53" i="24"/>
  <c r="N53" i="24"/>
  <c r="M53" i="24"/>
  <c r="K53" i="24"/>
  <c r="J53" i="24"/>
  <c r="H53" i="24"/>
  <c r="F53" i="24"/>
  <c r="AG52" i="24"/>
  <c r="AF52" i="24"/>
  <c r="AD52" i="24"/>
  <c r="AC52" i="24"/>
  <c r="Z52" i="24"/>
  <c r="X52" i="24"/>
  <c r="T52" i="24"/>
  <c r="S52" i="24"/>
  <c r="R52" i="24"/>
  <c r="P52" i="24"/>
  <c r="N52" i="24"/>
  <c r="O52" i="24" s="1"/>
  <c r="M52" i="24"/>
  <c r="K52" i="24"/>
  <c r="J52" i="24"/>
  <c r="H52" i="24"/>
  <c r="F52" i="24"/>
  <c r="AG51" i="24"/>
  <c r="AF51" i="24"/>
  <c r="AD51" i="24"/>
  <c r="AC51" i="24"/>
  <c r="Z51" i="24"/>
  <c r="X51" i="24"/>
  <c r="T51" i="24"/>
  <c r="S51" i="24"/>
  <c r="R51" i="24"/>
  <c r="P51" i="24"/>
  <c r="N51" i="24"/>
  <c r="O51" i="24" s="1"/>
  <c r="M51" i="24"/>
  <c r="K51" i="24"/>
  <c r="J51" i="24"/>
  <c r="H51" i="24"/>
  <c r="F51" i="24"/>
  <c r="AG50" i="24"/>
  <c r="AF50" i="24"/>
  <c r="AD50" i="24"/>
  <c r="AC50" i="24"/>
  <c r="Z50" i="24"/>
  <c r="X50" i="24"/>
  <c r="T50" i="24"/>
  <c r="S50" i="24"/>
  <c r="R50" i="24"/>
  <c r="P50" i="24"/>
  <c r="N50" i="24"/>
  <c r="O50" i="24" s="1"/>
  <c r="M50" i="24"/>
  <c r="K50" i="24"/>
  <c r="J50" i="24"/>
  <c r="H50" i="24"/>
  <c r="F50" i="24"/>
  <c r="AG49" i="24"/>
  <c r="AF49" i="24"/>
  <c r="AD49" i="24"/>
  <c r="AC49" i="24"/>
  <c r="Z49" i="24"/>
  <c r="X49" i="24"/>
  <c r="T49" i="24"/>
  <c r="S49" i="24"/>
  <c r="R49" i="24"/>
  <c r="P49" i="24"/>
  <c r="N49" i="24"/>
  <c r="O49" i="24" s="1"/>
  <c r="M49" i="24"/>
  <c r="K49" i="24"/>
  <c r="J49" i="24"/>
  <c r="H49" i="24"/>
  <c r="F49" i="24"/>
  <c r="AG48" i="24"/>
  <c r="AF48" i="24"/>
  <c r="AD48" i="24"/>
  <c r="AC48" i="24"/>
  <c r="Z48" i="24"/>
  <c r="X48" i="24"/>
  <c r="T48" i="24"/>
  <c r="S48" i="24"/>
  <c r="R48" i="24"/>
  <c r="P48" i="24"/>
  <c r="N48" i="24"/>
  <c r="O48" i="24" s="1"/>
  <c r="M48" i="24"/>
  <c r="K48" i="24"/>
  <c r="J48" i="24"/>
  <c r="H48" i="24"/>
  <c r="F48" i="24"/>
  <c r="AG47" i="24"/>
  <c r="AF47" i="24"/>
  <c r="AD47" i="24"/>
  <c r="AC47" i="24"/>
  <c r="Z47" i="24"/>
  <c r="X47" i="24"/>
  <c r="T47" i="24"/>
  <c r="S47" i="24"/>
  <c r="R47" i="24"/>
  <c r="P47" i="24"/>
  <c r="N47" i="24"/>
  <c r="O47" i="24" s="1"/>
  <c r="M47" i="24"/>
  <c r="K47" i="24"/>
  <c r="J47" i="24"/>
  <c r="H47" i="24"/>
  <c r="F47" i="24"/>
  <c r="AG46" i="24"/>
  <c r="AF46" i="24"/>
  <c r="AD46" i="24"/>
  <c r="AC46" i="24"/>
  <c r="Z46" i="24"/>
  <c r="X46" i="24"/>
  <c r="T46" i="24"/>
  <c r="S46" i="24"/>
  <c r="R46" i="24"/>
  <c r="P46" i="24"/>
  <c r="N46" i="24"/>
  <c r="M46" i="24"/>
  <c r="K46" i="24"/>
  <c r="J46" i="24"/>
  <c r="H46" i="24"/>
  <c r="F46" i="24"/>
  <c r="AG45" i="24"/>
  <c r="AF45" i="24"/>
  <c r="AD45" i="24"/>
  <c r="AC45" i="24"/>
  <c r="Z45" i="24"/>
  <c r="X45" i="24"/>
  <c r="T45" i="24"/>
  <c r="S45" i="24"/>
  <c r="R45" i="24"/>
  <c r="P45" i="24"/>
  <c r="N45" i="24"/>
  <c r="O45" i="24" s="1"/>
  <c r="M45" i="24"/>
  <c r="K45" i="24"/>
  <c r="J45" i="24"/>
  <c r="H45" i="24"/>
  <c r="F45" i="24"/>
  <c r="AG44" i="24"/>
  <c r="AF44" i="24"/>
  <c r="AD44" i="24"/>
  <c r="AC44" i="24"/>
  <c r="Z44" i="24"/>
  <c r="X44" i="24"/>
  <c r="T44" i="24"/>
  <c r="S44" i="24"/>
  <c r="R44" i="24"/>
  <c r="P44" i="24"/>
  <c r="N44" i="24"/>
  <c r="M44" i="24"/>
  <c r="K44" i="24"/>
  <c r="J44" i="24"/>
  <c r="H44" i="24"/>
  <c r="F44" i="24"/>
  <c r="AG43" i="24"/>
  <c r="AF43" i="24"/>
  <c r="AD43" i="24"/>
  <c r="AC43" i="24"/>
  <c r="Z43" i="24"/>
  <c r="X43" i="24"/>
  <c r="T43" i="24"/>
  <c r="S43" i="24"/>
  <c r="R43" i="24"/>
  <c r="P43" i="24"/>
  <c r="N43" i="24"/>
  <c r="O43" i="24" s="1"/>
  <c r="M43" i="24"/>
  <c r="K43" i="24"/>
  <c r="J43" i="24"/>
  <c r="H43" i="24"/>
  <c r="F43" i="24"/>
  <c r="AG42" i="24"/>
  <c r="AF42" i="24"/>
  <c r="AD42" i="24"/>
  <c r="AC42" i="24"/>
  <c r="Z42" i="24"/>
  <c r="X42" i="24"/>
  <c r="T42" i="24"/>
  <c r="S42" i="24"/>
  <c r="R42" i="24"/>
  <c r="P42" i="24"/>
  <c r="N42" i="24"/>
  <c r="O42" i="24" s="1"/>
  <c r="M42" i="24"/>
  <c r="K42" i="24"/>
  <c r="J42" i="24"/>
  <c r="H42" i="24"/>
  <c r="F42" i="24"/>
  <c r="AG41" i="24"/>
  <c r="AF41" i="24"/>
  <c r="AD41" i="24"/>
  <c r="AC41" i="24"/>
  <c r="Z41" i="24"/>
  <c r="X41" i="24"/>
  <c r="T41" i="24"/>
  <c r="S41" i="24"/>
  <c r="R41" i="24"/>
  <c r="P41" i="24"/>
  <c r="N41" i="24"/>
  <c r="M41" i="24"/>
  <c r="K41" i="24"/>
  <c r="J41" i="24"/>
  <c r="H41" i="24"/>
  <c r="F41" i="24"/>
  <c r="AG40" i="24"/>
  <c r="AF40" i="24"/>
  <c r="AD40" i="24"/>
  <c r="AC40" i="24"/>
  <c r="Z40" i="24"/>
  <c r="X40" i="24"/>
  <c r="T40" i="24"/>
  <c r="S40" i="24"/>
  <c r="R40" i="24"/>
  <c r="P40" i="24"/>
  <c r="N40" i="24"/>
  <c r="O40" i="24" s="1"/>
  <c r="M40" i="24"/>
  <c r="K40" i="24"/>
  <c r="J40" i="24"/>
  <c r="H40" i="24"/>
  <c r="F40" i="24"/>
  <c r="AG39" i="24"/>
  <c r="AF39" i="24"/>
  <c r="AD39" i="24"/>
  <c r="AC39" i="24"/>
  <c r="Z39" i="24"/>
  <c r="X39" i="24"/>
  <c r="T39" i="24"/>
  <c r="S39" i="24"/>
  <c r="R39" i="24"/>
  <c r="P39" i="24"/>
  <c r="N39" i="24"/>
  <c r="O39" i="24" s="1"/>
  <c r="M39" i="24"/>
  <c r="K39" i="24"/>
  <c r="J39" i="24"/>
  <c r="H39" i="24"/>
  <c r="F39" i="24"/>
  <c r="AG38" i="24"/>
  <c r="AF38" i="24"/>
  <c r="AD38" i="24"/>
  <c r="AC38" i="24"/>
  <c r="Z38" i="24"/>
  <c r="X38" i="24"/>
  <c r="T38" i="24"/>
  <c r="S38" i="24"/>
  <c r="R38" i="24"/>
  <c r="P38" i="24"/>
  <c r="N38" i="24"/>
  <c r="M38" i="24"/>
  <c r="K38" i="24"/>
  <c r="J38" i="24"/>
  <c r="H38" i="24"/>
  <c r="F38" i="24"/>
  <c r="AG37" i="24"/>
  <c r="AF37" i="24"/>
  <c r="AD37" i="24"/>
  <c r="AC37" i="24"/>
  <c r="Z37" i="24"/>
  <c r="X37" i="24"/>
  <c r="T37" i="24"/>
  <c r="S37" i="24"/>
  <c r="R37" i="24"/>
  <c r="P37" i="24"/>
  <c r="N37" i="24"/>
  <c r="O37" i="24" s="1"/>
  <c r="M37" i="24"/>
  <c r="K37" i="24"/>
  <c r="J37" i="24"/>
  <c r="H37" i="24"/>
  <c r="F37" i="24"/>
  <c r="AG36" i="24"/>
  <c r="AF36" i="24"/>
  <c r="AD36" i="24"/>
  <c r="AC36" i="24"/>
  <c r="Z36" i="24"/>
  <c r="X36" i="24"/>
  <c r="T36" i="24"/>
  <c r="S36" i="24"/>
  <c r="R36" i="24"/>
  <c r="P36" i="24"/>
  <c r="N36" i="24"/>
  <c r="M36" i="24"/>
  <c r="K36" i="24"/>
  <c r="J36" i="24"/>
  <c r="H36" i="24"/>
  <c r="F36" i="24"/>
  <c r="AG35" i="24"/>
  <c r="AF35" i="24"/>
  <c r="AD35" i="24"/>
  <c r="AC35" i="24"/>
  <c r="Z35" i="24"/>
  <c r="X35" i="24"/>
  <c r="T35" i="24"/>
  <c r="S35" i="24"/>
  <c r="R35" i="24"/>
  <c r="P35" i="24"/>
  <c r="N35" i="24"/>
  <c r="M35" i="24"/>
  <c r="K35" i="24"/>
  <c r="J35" i="24"/>
  <c r="H35" i="24"/>
  <c r="F35" i="24"/>
  <c r="AG34" i="24"/>
  <c r="AF34" i="24"/>
  <c r="AD34" i="24"/>
  <c r="AC34" i="24"/>
  <c r="Z34" i="24"/>
  <c r="X34" i="24"/>
  <c r="T34" i="24"/>
  <c r="S34" i="24"/>
  <c r="R34" i="24"/>
  <c r="P34" i="24"/>
  <c r="N34" i="24"/>
  <c r="O34" i="24" s="1"/>
  <c r="M34" i="24"/>
  <c r="K34" i="24"/>
  <c r="J34" i="24"/>
  <c r="H34" i="24"/>
  <c r="F34" i="24"/>
  <c r="AG33" i="24"/>
  <c r="AF33" i="24"/>
  <c r="AD33" i="24"/>
  <c r="AC33" i="24"/>
  <c r="Z33" i="24"/>
  <c r="X33" i="24"/>
  <c r="T33" i="24"/>
  <c r="S33" i="24"/>
  <c r="R33" i="24"/>
  <c r="P33" i="24"/>
  <c r="N33" i="24"/>
  <c r="M33" i="24"/>
  <c r="K33" i="24"/>
  <c r="J33" i="24"/>
  <c r="H33" i="24"/>
  <c r="F33" i="24"/>
  <c r="AG32" i="24"/>
  <c r="AF32" i="24"/>
  <c r="AD32" i="24"/>
  <c r="AC32" i="24"/>
  <c r="Z32" i="24"/>
  <c r="X32" i="24"/>
  <c r="T32" i="24"/>
  <c r="S32" i="24"/>
  <c r="R32" i="24"/>
  <c r="P32" i="24"/>
  <c r="N32" i="24"/>
  <c r="M32" i="24"/>
  <c r="K32" i="24"/>
  <c r="J32" i="24"/>
  <c r="H32" i="24"/>
  <c r="F32" i="24"/>
  <c r="AG31" i="24"/>
  <c r="AF31" i="24"/>
  <c r="AD31" i="24"/>
  <c r="AC31" i="24"/>
  <c r="Z31" i="24"/>
  <c r="X31" i="24"/>
  <c r="T31" i="24"/>
  <c r="S31" i="24"/>
  <c r="R31" i="24"/>
  <c r="P31" i="24"/>
  <c r="N31" i="24"/>
  <c r="O31" i="24" s="1"/>
  <c r="M31" i="24"/>
  <c r="K31" i="24"/>
  <c r="J31" i="24"/>
  <c r="H31" i="24"/>
  <c r="F31" i="24"/>
  <c r="AG30" i="24"/>
  <c r="AF30" i="24"/>
  <c r="AD30" i="24"/>
  <c r="AC30" i="24"/>
  <c r="Z30" i="24"/>
  <c r="X30" i="24"/>
  <c r="T30" i="24"/>
  <c r="S30" i="24"/>
  <c r="R30" i="24"/>
  <c r="P30" i="24"/>
  <c r="N30" i="24"/>
  <c r="O30" i="24" s="1"/>
  <c r="M30" i="24"/>
  <c r="K30" i="24"/>
  <c r="J30" i="24"/>
  <c r="H30" i="24"/>
  <c r="F30" i="24"/>
  <c r="AG29" i="24"/>
  <c r="AF29" i="24"/>
  <c r="AD29" i="24"/>
  <c r="AC29" i="24"/>
  <c r="Z29" i="24"/>
  <c r="X29" i="24"/>
  <c r="T29" i="24"/>
  <c r="S29" i="24"/>
  <c r="R29" i="24"/>
  <c r="P29" i="24"/>
  <c r="N29" i="24"/>
  <c r="O29" i="24" s="1"/>
  <c r="M29" i="24"/>
  <c r="K29" i="24"/>
  <c r="J29" i="24"/>
  <c r="H29" i="24"/>
  <c r="F29" i="24"/>
  <c r="AG28" i="24"/>
  <c r="AF28" i="24"/>
  <c r="AD28" i="24"/>
  <c r="AC28" i="24"/>
  <c r="Z28" i="24"/>
  <c r="X28" i="24"/>
  <c r="T28" i="24"/>
  <c r="S28" i="24"/>
  <c r="R28" i="24"/>
  <c r="P28" i="24"/>
  <c r="N28" i="24"/>
  <c r="O28" i="24" s="1"/>
  <c r="M28" i="24"/>
  <c r="K28" i="24"/>
  <c r="J28" i="24"/>
  <c r="H28" i="24"/>
  <c r="F28" i="24"/>
  <c r="AG27" i="24"/>
  <c r="AF27" i="24"/>
  <c r="AD27" i="24"/>
  <c r="AC27" i="24"/>
  <c r="Z27" i="24"/>
  <c r="X27" i="24"/>
  <c r="T27" i="24"/>
  <c r="S27" i="24"/>
  <c r="R27" i="24"/>
  <c r="P27" i="24"/>
  <c r="N27" i="24"/>
  <c r="M27" i="24"/>
  <c r="K27" i="24"/>
  <c r="J27" i="24"/>
  <c r="H27" i="24"/>
  <c r="F27" i="24"/>
  <c r="AG26" i="24"/>
  <c r="AF26" i="24"/>
  <c r="AD26" i="24"/>
  <c r="AC26" i="24"/>
  <c r="Z26" i="24"/>
  <c r="X26" i="24"/>
  <c r="T26" i="24"/>
  <c r="S26" i="24"/>
  <c r="R26" i="24"/>
  <c r="P26" i="24"/>
  <c r="N26" i="24"/>
  <c r="M26" i="24"/>
  <c r="K26" i="24"/>
  <c r="J26" i="24"/>
  <c r="H26" i="24"/>
  <c r="F26" i="24"/>
  <c r="AG25" i="24"/>
  <c r="AF25" i="24"/>
  <c r="AD25" i="24"/>
  <c r="AC25" i="24"/>
  <c r="Z25" i="24"/>
  <c r="X25" i="24"/>
  <c r="T25" i="24"/>
  <c r="S25" i="24"/>
  <c r="R25" i="24"/>
  <c r="P25" i="24"/>
  <c r="N25" i="24"/>
  <c r="M25" i="24"/>
  <c r="K25" i="24"/>
  <c r="J25" i="24"/>
  <c r="H25" i="24"/>
  <c r="F25" i="24"/>
  <c r="AG24" i="24"/>
  <c r="AF24" i="24"/>
  <c r="AD24" i="24"/>
  <c r="AC24" i="24"/>
  <c r="Z24" i="24"/>
  <c r="X24" i="24"/>
  <c r="T24" i="24"/>
  <c r="S24" i="24"/>
  <c r="R24" i="24"/>
  <c r="P24" i="24"/>
  <c r="N24" i="24"/>
  <c r="O24" i="24" s="1"/>
  <c r="M24" i="24"/>
  <c r="K24" i="24"/>
  <c r="J24" i="24"/>
  <c r="H24" i="24"/>
  <c r="F24" i="24"/>
  <c r="AG23" i="24"/>
  <c r="AF23" i="24"/>
  <c r="AD23" i="24"/>
  <c r="AC23" i="24"/>
  <c r="Z23" i="24"/>
  <c r="X23" i="24"/>
  <c r="T23" i="24"/>
  <c r="S23" i="24"/>
  <c r="R23" i="24"/>
  <c r="P23" i="24"/>
  <c r="N23" i="24"/>
  <c r="M23" i="24"/>
  <c r="K23" i="24"/>
  <c r="J23" i="24"/>
  <c r="H23" i="24"/>
  <c r="F23" i="24"/>
  <c r="AG22" i="24"/>
  <c r="AF22" i="24"/>
  <c r="AD22" i="24"/>
  <c r="AC22" i="24"/>
  <c r="Z22" i="24"/>
  <c r="X22" i="24"/>
  <c r="T22" i="24"/>
  <c r="S22" i="24"/>
  <c r="R22" i="24"/>
  <c r="P22" i="24"/>
  <c r="N22" i="24"/>
  <c r="M22" i="24"/>
  <c r="K22" i="24"/>
  <c r="J22" i="24"/>
  <c r="H22" i="24"/>
  <c r="F22" i="24"/>
  <c r="AG21" i="24"/>
  <c r="AF21" i="24"/>
  <c r="AD21" i="24"/>
  <c r="AC21" i="24"/>
  <c r="Z21" i="24"/>
  <c r="X21" i="24"/>
  <c r="T21" i="24"/>
  <c r="S21" i="24"/>
  <c r="R21" i="24"/>
  <c r="P21" i="24"/>
  <c r="N21" i="24"/>
  <c r="M21" i="24"/>
  <c r="K21" i="24"/>
  <c r="J21" i="24"/>
  <c r="H21" i="24"/>
  <c r="F21" i="24"/>
  <c r="AG20" i="24"/>
  <c r="AF20" i="24"/>
  <c r="AD20" i="24"/>
  <c r="AC20" i="24"/>
  <c r="Z20" i="24"/>
  <c r="X20" i="24"/>
  <c r="T20" i="24"/>
  <c r="S20" i="24"/>
  <c r="R20" i="24"/>
  <c r="P20" i="24"/>
  <c r="N20" i="24"/>
  <c r="M20" i="24"/>
  <c r="K20" i="24"/>
  <c r="J20" i="24"/>
  <c r="H20" i="24"/>
  <c r="F20" i="24"/>
  <c r="AG19" i="24"/>
  <c r="AF19" i="24"/>
  <c r="AD19" i="24"/>
  <c r="AC19" i="24"/>
  <c r="Z19" i="24"/>
  <c r="X19" i="24"/>
  <c r="T19" i="24"/>
  <c r="S19" i="24"/>
  <c r="R19" i="24"/>
  <c r="P19" i="24"/>
  <c r="N19" i="24"/>
  <c r="M19" i="24"/>
  <c r="K19" i="24"/>
  <c r="H19" i="24"/>
  <c r="F19" i="24"/>
  <c r="AG18" i="24"/>
  <c r="AF18" i="24"/>
  <c r="AD18" i="24"/>
  <c r="AC18" i="24"/>
  <c r="Z18" i="24"/>
  <c r="X18" i="24"/>
  <c r="T18" i="24"/>
  <c r="S18" i="24"/>
  <c r="R18" i="24"/>
  <c r="P18" i="24"/>
  <c r="N18" i="24"/>
  <c r="M18" i="24"/>
  <c r="K18" i="24"/>
  <c r="J18" i="24"/>
  <c r="H18" i="24"/>
  <c r="F18" i="24"/>
  <c r="AG17" i="24"/>
  <c r="AF17" i="24"/>
  <c r="AD17" i="24"/>
  <c r="AC17" i="24"/>
  <c r="Z17" i="24"/>
  <c r="X17" i="24"/>
  <c r="T17" i="24"/>
  <c r="S17" i="24"/>
  <c r="R17" i="24"/>
  <c r="P17" i="24"/>
  <c r="N17" i="24"/>
  <c r="O17" i="24" s="1"/>
  <c r="M17" i="24"/>
  <c r="K17" i="24"/>
  <c r="J17" i="24"/>
  <c r="H17" i="24"/>
  <c r="F17" i="24"/>
  <c r="AG16" i="24"/>
  <c r="AF16" i="24"/>
  <c r="AD16" i="24"/>
  <c r="AC16" i="24"/>
  <c r="Z16" i="24"/>
  <c r="X16" i="24"/>
  <c r="T16" i="24"/>
  <c r="S16" i="24"/>
  <c r="R16" i="24"/>
  <c r="P16" i="24"/>
  <c r="N16" i="24"/>
  <c r="O16" i="24" s="1"/>
  <c r="M16" i="24"/>
  <c r="K16" i="24"/>
  <c r="J16" i="24"/>
  <c r="H16" i="24"/>
  <c r="F16" i="24"/>
  <c r="AG15" i="24"/>
  <c r="AF15" i="24"/>
  <c r="AD15" i="24"/>
  <c r="AC15" i="24"/>
  <c r="Z15" i="24"/>
  <c r="X15" i="24"/>
  <c r="T15" i="24"/>
  <c r="S15" i="24"/>
  <c r="R15" i="24"/>
  <c r="P15" i="24"/>
  <c r="N15" i="24"/>
  <c r="O15" i="24" s="1"/>
  <c r="M15" i="24"/>
  <c r="K15" i="24"/>
  <c r="J15" i="24"/>
  <c r="H15" i="24"/>
  <c r="F15" i="24"/>
  <c r="AG14" i="24"/>
  <c r="AF14" i="24"/>
  <c r="AD14" i="24"/>
  <c r="AC14" i="24"/>
  <c r="Z14" i="24"/>
  <c r="X14" i="24"/>
  <c r="T14" i="24"/>
  <c r="S14" i="24"/>
  <c r="R14" i="24"/>
  <c r="P14" i="24"/>
  <c r="N14" i="24"/>
  <c r="O14" i="24" s="1"/>
  <c r="M14" i="24"/>
  <c r="K14" i="24"/>
  <c r="J14" i="24"/>
  <c r="H14" i="24"/>
  <c r="F14" i="24"/>
  <c r="AG13" i="24"/>
  <c r="AF13" i="24"/>
  <c r="AD13" i="24"/>
  <c r="AC13" i="24"/>
  <c r="Z13" i="24"/>
  <c r="X13" i="24"/>
  <c r="T13" i="24"/>
  <c r="S13" i="24"/>
  <c r="R13" i="24"/>
  <c r="P13" i="24"/>
  <c r="N13" i="24"/>
  <c r="O13" i="24" s="1"/>
  <c r="M13" i="24"/>
  <c r="K13" i="24"/>
  <c r="J13" i="24"/>
  <c r="H13" i="24"/>
  <c r="F13" i="24"/>
  <c r="AG12" i="24"/>
  <c r="AF12" i="24"/>
  <c r="AD12" i="24"/>
  <c r="AC12" i="24"/>
  <c r="Z12" i="24"/>
  <c r="X12" i="24"/>
  <c r="T12" i="24"/>
  <c r="S12" i="24"/>
  <c r="R12" i="24"/>
  <c r="P12" i="24"/>
  <c r="N12" i="24"/>
  <c r="M12" i="24"/>
  <c r="K12" i="24"/>
  <c r="J12" i="24"/>
  <c r="H12" i="24"/>
  <c r="F12" i="24"/>
  <c r="AG11" i="24"/>
  <c r="AF11" i="24"/>
  <c r="AD11" i="24"/>
  <c r="AC11" i="24"/>
  <c r="Z11" i="24"/>
  <c r="X11" i="24"/>
  <c r="T11" i="24"/>
  <c r="S11" i="24"/>
  <c r="R11" i="24"/>
  <c r="P11" i="24"/>
  <c r="N11" i="24"/>
  <c r="M11" i="24"/>
  <c r="K11" i="24"/>
  <c r="J11" i="24"/>
  <c r="H11" i="24"/>
  <c r="F11" i="24"/>
  <c r="AG10" i="24"/>
  <c r="AF10" i="24"/>
  <c r="AD10" i="24"/>
  <c r="AC10" i="24"/>
  <c r="Z10" i="24"/>
  <c r="X10" i="24"/>
  <c r="T10" i="24"/>
  <c r="S10" i="24"/>
  <c r="R10" i="24"/>
  <c r="P10" i="24"/>
  <c r="N10" i="24"/>
  <c r="M10" i="24"/>
  <c r="K10" i="24"/>
  <c r="J10" i="24"/>
  <c r="H10" i="24"/>
  <c r="F10" i="24"/>
  <c r="AG9" i="24"/>
  <c r="AF9" i="24"/>
  <c r="AD9" i="24"/>
  <c r="AC9" i="24"/>
  <c r="Z9" i="24"/>
  <c r="X9" i="24"/>
  <c r="T9" i="24"/>
  <c r="S9" i="24"/>
  <c r="R9" i="24"/>
  <c r="P9" i="24"/>
  <c r="N9" i="24"/>
  <c r="O9" i="24" s="1"/>
  <c r="M9" i="24"/>
  <c r="K9" i="24"/>
  <c r="J9" i="24"/>
  <c r="H9" i="24"/>
  <c r="F9" i="24"/>
  <c r="AG8" i="24"/>
  <c r="AF8" i="24"/>
  <c r="AD8" i="24"/>
  <c r="AC8" i="24"/>
  <c r="Z8" i="24"/>
  <c r="X8" i="24"/>
  <c r="T8" i="24"/>
  <c r="S8" i="24"/>
  <c r="R8" i="24"/>
  <c r="P8" i="24"/>
  <c r="N8" i="24"/>
  <c r="O8" i="24" s="1"/>
  <c r="M8" i="24"/>
  <c r="K8" i="24"/>
  <c r="J8" i="24"/>
  <c r="H8" i="24"/>
  <c r="F8" i="24"/>
  <c r="AG7" i="24"/>
  <c r="AF7" i="24"/>
  <c r="AD7" i="24"/>
  <c r="AC7" i="24"/>
  <c r="Z7" i="24"/>
  <c r="X7" i="24"/>
  <c r="T7" i="24"/>
  <c r="S7" i="24"/>
  <c r="R7" i="24"/>
  <c r="P7" i="24"/>
  <c r="N7" i="24"/>
  <c r="M7" i="24"/>
  <c r="K7" i="24"/>
  <c r="J7" i="24"/>
  <c r="H7" i="24"/>
  <c r="F7" i="24"/>
  <c r="AG6" i="24"/>
  <c r="AF6" i="24"/>
  <c r="AD6" i="24"/>
  <c r="AC6" i="24"/>
  <c r="Z6" i="24"/>
  <c r="X6" i="24"/>
  <c r="T6" i="24"/>
  <c r="S6" i="24"/>
  <c r="R6" i="24"/>
  <c r="P6" i="24"/>
  <c r="N6" i="24"/>
  <c r="M6" i="24"/>
  <c r="K6" i="24"/>
  <c r="J6" i="24"/>
  <c r="H6" i="24"/>
  <c r="F6" i="24"/>
  <c r="AG5" i="24"/>
  <c r="AF5" i="24"/>
  <c r="AD5" i="24"/>
  <c r="AC5" i="24"/>
  <c r="Z5" i="24"/>
  <c r="X5" i="24"/>
  <c r="T5" i="24"/>
  <c r="S5" i="24"/>
  <c r="R5" i="24"/>
  <c r="P5" i="24"/>
  <c r="N5" i="24"/>
  <c r="O5" i="24" s="1"/>
  <c r="M5" i="24"/>
  <c r="K5" i="24"/>
  <c r="J5" i="24"/>
  <c r="H5" i="24"/>
  <c r="F5" i="24"/>
  <c r="AG4" i="24"/>
  <c r="AF4" i="24"/>
  <c r="AD4" i="24"/>
  <c r="AC4" i="24"/>
  <c r="Z4" i="24"/>
  <c r="X4" i="24"/>
  <c r="T4" i="24"/>
  <c r="S4" i="24"/>
  <c r="R4" i="24"/>
  <c r="P4" i="24"/>
  <c r="N4" i="24"/>
  <c r="M4" i="24"/>
  <c r="K4" i="24"/>
  <c r="J4" i="24"/>
  <c r="H4" i="24"/>
  <c r="F4" i="24"/>
  <c r="F145" i="23"/>
  <c r="E145" i="23"/>
  <c r="G145" i="23" s="1"/>
  <c r="D145" i="23"/>
  <c r="F144" i="23"/>
  <c r="E144" i="23"/>
  <c r="G144" i="23" s="1"/>
  <c r="D144" i="23"/>
  <c r="F143" i="23"/>
  <c r="E143" i="23"/>
  <c r="G143" i="23" s="1"/>
  <c r="D143" i="23"/>
  <c r="F142" i="23"/>
  <c r="E142" i="23"/>
  <c r="G142" i="23" s="1"/>
  <c r="D142" i="23"/>
  <c r="F141" i="23"/>
  <c r="E141" i="23"/>
  <c r="G141" i="23" s="1"/>
  <c r="D141" i="23"/>
  <c r="F140" i="23"/>
  <c r="E140" i="23"/>
  <c r="G140" i="23" s="1"/>
  <c r="D140" i="23"/>
  <c r="F139" i="23"/>
  <c r="E139" i="23"/>
  <c r="G139" i="23" s="1"/>
  <c r="D139" i="23"/>
  <c r="F138" i="23"/>
  <c r="E138" i="23"/>
  <c r="G138" i="23" s="1"/>
  <c r="D138" i="23"/>
  <c r="F137" i="23"/>
  <c r="E137" i="23"/>
  <c r="G137" i="23" s="1"/>
  <c r="D137" i="23"/>
  <c r="F136" i="23"/>
  <c r="E136" i="23"/>
  <c r="G136" i="23" s="1"/>
  <c r="D136" i="23"/>
  <c r="M5" i="23"/>
  <c r="I5" i="23"/>
  <c r="G5" i="23"/>
  <c r="E5" i="23"/>
  <c r="A5" i="23"/>
  <c r="F141" i="22"/>
  <c r="E141" i="22"/>
  <c r="G141" i="22" s="1"/>
  <c r="D141" i="22"/>
  <c r="F140" i="22"/>
  <c r="E140" i="22"/>
  <c r="G140" i="22" s="1"/>
  <c r="D140" i="22"/>
  <c r="F139" i="22"/>
  <c r="E139" i="22"/>
  <c r="G139" i="22" s="1"/>
  <c r="D139" i="22"/>
  <c r="F138" i="22"/>
  <c r="E138" i="22"/>
  <c r="G138" i="22" s="1"/>
  <c r="D138" i="22"/>
  <c r="F137" i="22"/>
  <c r="E137" i="22"/>
  <c r="G137" i="22" s="1"/>
  <c r="D137" i="22"/>
  <c r="F136" i="22"/>
  <c r="E136" i="22"/>
  <c r="G136" i="22" s="1"/>
  <c r="D136" i="22"/>
  <c r="F135" i="22"/>
  <c r="E135" i="22"/>
  <c r="G135" i="22" s="1"/>
  <c r="D135" i="22"/>
  <c r="F134" i="22"/>
  <c r="E134" i="22"/>
  <c r="G134" i="22" s="1"/>
  <c r="D134" i="22"/>
  <c r="F133" i="22"/>
  <c r="E133" i="22"/>
  <c r="G133" i="22" s="1"/>
  <c r="D133" i="22"/>
  <c r="F132" i="22"/>
  <c r="E132" i="22"/>
  <c r="G132" i="22" s="1"/>
  <c r="D132" i="22"/>
  <c r="M5" i="22"/>
  <c r="I5" i="22"/>
  <c r="G5" i="22"/>
  <c r="E5" i="22"/>
  <c r="A5" i="22"/>
  <c r="F143" i="21"/>
  <c r="E143" i="21"/>
  <c r="G143" i="21" s="1"/>
  <c r="D143" i="21"/>
  <c r="F142" i="21"/>
  <c r="E142" i="21"/>
  <c r="G142" i="21" s="1"/>
  <c r="D142" i="21"/>
  <c r="F141" i="21"/>
  <c r="E141" i="21"/>
  <c r="G141" i="21" s="1"/>
  <c r="D141" i="21"/>
  <c r="F140" i="21"/>
  <c r="E140" i="21"/>
  <c r="G140" i="21" s="1"/>
  <c r="D140" i="21"/>
  <c r="F139" i="21"/>
  <c r="E139" i="21"/>
  <c r="G139" i="21" s="1"/>
  <c r="D139" i="21"/>
  <c r="F138" i="21"/>
  <c r="E138" i="21"/>
  <c r="G138" i="21" s="1"/>
  <c r="D138" i="21"/>
  <c r="F137" i="21"/>
  <c r="E137" i="21"/>
  <c r="G137" i="21" s="1"/>
  <c r="D137" i="21"/>
  <c r="F136" i="21"/>
  <c r="E136" i="21"/>
  <c r="G136" i="21" s="1"/>
  <c r="D136" i="21"/>
  <c r="F135" i="21"/>
  <c r="E135" i="21"/>
  <c r="G135" i="21" s="1"/>
  <c r="D135" i="21"/>
  <c r="F134" i="21"/>
  <c r="E134" i="21"/>
  <c r="G134" i="21" s="1"/>
  <c r="D134" i="21"/>
  <c r="M5" i="21"/>
  <c r="I5" i="21"/>
  <c r="G5" i="21"/>
  <c r="E5" i="21"/>
  <c r="A5" i="21"/>
  <c r="F140" i="20"/>
  <c r="E140" i="20"/>
  <c r="G140" i="20" s="1"/>
  <c r="D140" i="20"/>
  <c r="F139" i="20"/>
  <c r="E139" i="20"/>
  <c r="G139" i="20" s="1"/>
  <c r="D139" i="20"/>
  <c r="F138" i="20"/>
  <c r="E138" i="20"/>
  <c r="G138" i="20" s="1"/>
  <c r="D138" i="20"/>
  <c r="F137" i="20"/>
  <c r="E137" i="20"/>
  <c r="G137" i="20" s="1"/>
  <c r="D137" i="20"/>
  <c r="F136" i="20"/>
  <c r="E136" i="20"/>
  <c r="G136" i="20" s="1"/>
  <c r="D136" i="20"/>
  <c r="F135" i="20"/>
  <c r="E135" i="20"/>
  <c r="G135" i="20" s="1"/>
  <c r="D135" i="20"/>
  <c r="F134" i="20"/>
  <c r="E134" i="20"/>
  <c r="G134" i="20" s="1"/>
  <c r="D134" i="20"/>
  <c r="F133" i="20"/>
  <c r="E133" i="20"/>
  <c r="G133" i="20" s="1"/>
  <c r="D133" i="20"/>
  <c r="F132" i="20"/>
  <c r="E132" i="20"/>
  <c r="G132" i="20" s="1"/>
  <c r="D132" i="20"/>
  <c r="F131" i="20"/>
  <c r="E131" i="20"/>
  <c r="G131" i="20" s="1"/>
  <c r="D131" i="20"/>
  <c r="M5" i="20"/>
  <c r="I5" i="20"/>
  <c r="G5" i="20"/>
  <c r="E5" i="20"/>
  <c r="A5" i="20"/>
  <c r="F144" i="19"/>
  <c r="E144" i="19"/>
  <c r="G144" i="19" s="1"/>
  <c r="D144" i="19"/>
  <c r="F143" i="19"/>
  <c r="E143" i="19"/>
  <c r="G143" i="19" s="1"/>
  <c r="D143" i="19"/>
  <c r="F142" i="19"/>
  <c r="E142" i="19"/>
  <c r="G142" i="19" s="1"/>
  <c r="D142" i="19"/>
  <c r="F141" i="19"/>
  <c r="E141" i="19"/>
  <c r="G141" i="19" s="1"/>
  <c r="D141" i="19"/>
  <c r="F140" i="19"/>
  <c r="E140" i="19"/>
  <c r="G140" i="19" s="1"/>
  <c r="D140" i="19"/>
  <c r="F139" i="19"/>
  <c r="E139" i="19"/>
  <c r="G139" i="19" s="1"/>
  <c r="D139" i="19"/>
  <c r="F138" i="19"/>
  <c r="E138" i="19"/>
  <c r="G138" i="19" s="1"/>
  <c r="D138" i="19"/>
  <c r="F137" i="19"/>
  <c r="E137" i="19"/>
  <c r="G137" i="19" s="1"/>
  <c r="D137" i="19"/>
  <c r="F136" i="19"/>
  <c r="E136" i="19"/>
  <c r="G136" i="19" s="1"/>
  <c r="D136" i="19"/>
  <c r="F135" i="19"/>
  <c r="E135" i="19"/>
  <c r="G135" i="19" s="1"/>
  <c r="D135" i="19"/>
  <c r="M5" i="19"/>
  <c r="I5" i="19"/>
  <c r="G5" i="19"/>
  <c r="E5" i="19"/>
  <c r="A5" i="19"/>
  <c r="F147" i="18"/>
  <c r="E147" i="18"/>
  <c r="G147" i="18" s="1"/>
  <c r="D147" i="18"/>
  <c r="F146" i="18"/>
  <c r="E146" i="18"/>
  <c r="G146" i="18" s="1"/>
  <c r="D146" i="18"/>
  <c r="F145" i="18"/>
  <c r="E145" i="18"/>
  <c r="G145" i="18" s="1"/>
  <c r="D145" i="18"/>
  <c r="F144" i="18"/>
  <c r="E144" i="18"/>
  <c r="G144" i="18" s="1"/>
  <c r="D144" i="18"/>
  <c r="F143" i="18"/>
  <c r="E143" i="18"/>
  <c r="G143" i="18" s="1"/>
  <c r="D143" i="18"/>
  <c r="F142" i="18"/>
  <c r="E142" i="18"/>
  <c r="G142" i="18" s="1"/>
  <c r="D142" i="18"/>
  <c r="F141" i="18"/>
  <c r="E141" i="18"/>
  <c r="G141" i="18" s="1"/>
  <c r="D141" i="18"/>
  <c r="F140" i="18"/>
  <c r="E140" i="18"/>
  <c r="G140" i="18" s="1"/>
  <c r="D140" i="18"/>
  <c r="F139" i="18"/>
  <c r="E139" i="18"/>
  <c r="G139" i="18" s="1"/>
  <c r="D139" i="18"/>
  <c r="F138" i="18"/>
  <c r="E138" i="18"/>
  <c r="G138" i="18" s="1"/>
  <c r="D138" i="18"/>
  <c r="M5" i="18"/>
  <c r="I5" i="18"/>
  <c r="G5" i="18"/>
  <c r="E5" i="18"/>
  <c r="A5" i="18"/>
  <c r="F143" i="17"/>
  <c r="E143" i="17"/>
  <c r="G143" i="17" s="1"/>
  <c r="D143" i="17"/>
  <c r="F142" i="17"/>
  <c r="E142" i="17"/>
  <c r="G142" i="17" s="1"/>
  <c r="D142" i="17"/>
  <c r="F141" i="17"/>
  <c r="E141" i="17"/>
  <c r="G141" i="17" s="1"/>
  <c r="D141" i="17"/>
  <c r="F140" i="17"/>
  <c r="E140" i="17"/>
  <c r="G140" i="17" s="1"/>
  <c r="D140" i="17"/>
  <c r="F139" i="17"/>
  <c r="E139" i="17"/>
  <c r="G139" i="17" s="1"/>
  <c r="D139" i="17"/>
  <c r="F138" i="17"/>
  <c r="E138" i="17"/>
  <c r="G138" i="17" s="1"/>
  <c r="D138" i="17"/>
  <c r="F137" i="17"/>
  <c r="E137" i="17"/>
  <c r="G137" i="17" s="1"/>
  <c r="D137" i="17"/>
  <c r="F136" i="17"/>
  <c r="E136" i="17"/>
  <c r="G136" i="17" s="1"/>
  <c r="D136" i="17"/>
  <c r="F135" i="17"/>
  <c r="E135" i="17"/>
  <c r="G135" i="17" s="1"/>
  <c r="D135" i="17"/>
  <c r="F134" i="17"/>
  <c r="E134" i="17"/>
  <c r="G134" i="17" s="1"/>
  <c r="D134" i="17"/>
  <c r="M5" i="17"/>
  <c r="I5" i="17"/>
  <c r="G5" i="17"/>
  <c r="E5" i="17"/>
  <c r="A5" i="17"/>
  <c r="F144" i="16"/>
  <c r="E144" i="16"/>
  <c r="G144" i="16" s="1"/>
  <c r="D144" i="16"/>
  <c r="F143" i="16"/>
  <c r="E143" i="16"/>
  <c r="G143" i="16" s="1"/>
  <c r="D143" i="16"/>
  <c r="F142" i="16"/>
  <c r="E142" i="16"/>
  <c r="G142" i="16" s="1"/>
  <c r="D142" i="16"/>
  <c r="F141" i="16"/>
  <c r="E141" i="16"/>
  <c r="G141" i="16" s="1"/>
  <c r="D141" i="16"/>
  <c r="F140" i="16"/>
  <c r="E140" i="16"/>
  <c r="G140" i="16" s="1"/>
  <c r="D140" i="16"/>
  <c r="F139" i="16"/>
  <c r="E139" i="16"/>
  <c r="G139" i="16" s="1"/>
  <c r="D139" i="16"/>
  <c r="F138" i="16"/>
  <c r="E138" i="16"/>
  <c r="G138" i="16" s="1"/>
  <c r="D138" i="16"/>
  <c r="F137" i="16"/>
  <c r="E137" i="16"/>
  <c r="G137" i="16" s="1"/>
  <c r="D137" i="16"/>
  <c r="F136" i="16"/>
  <c r="E136" i="16"/>
  <c r="G136" i="16" s="1"/>
  <c r="D136" i="16"/>
  <c r="F135" i="16"/>
  <c r="E135" i="16"/>
  <c r="G135" i="16" s="1"/>
  <c r="D135" i="16"/>
  <c r="M5" i="16"/>
  <c r="I5" i="16"/>
  <c r="G5" i="16"/>
  <c r="E5" i="16"/>
  <c r="A5" i="16"/>
  <c r="F149" i="15"/>
  <c r="E149" i="15"/>
  <c r="G149" i="15" s="1"/>
  <c r="D149" i="15"/>
  <c r="F148" i="15"/>
  <c r="E148" i="15"/>
  <c r="G148" i="15" s="1"/>
  <c r="D148" i="15"/>
  <c r="F147" i="15"/>
  <c r="E147" i="15"/>
  <c r="G147" i="15" s="1"/>
  <c r="D147" i="15"/>
  <c r="F146" i="15"/>
  <c r="E146" i="15"/>
  <c r="G146" i="15" s="1"/>
  <c r="D146" i="15"/>
  <c r="F145" i="15"/>
  <c r="E145" i="15"/>
  <c r="G145" i="15" s="1"/>
  <c r="D145" i="15"/>
  <c r="F144" i="15"/>
  <c r="E144" i="15"/>
  <c r="G144" i="15" s="1"/>
  <c r="D144" i="15"/>
  <c r="F143" i="15"/>
  <c r="E143" i="15"/>
  <c r="G143" i="15" s="1"/>
  <c r="D143" i="15"/>
  <c r="F142" i="15"/>
  <c r="E142" i="15"/>
  <c r="G142" i="15" s="1"/>
  <c r="D142" i="15"/>
  <c r="F141" i="15"/>
  <c r="E141" i="15"/>
  <c r="G141" i="15" s="1"/>
  <c r="D141" i="15"/>
  <c r="F140" i="15"/>
  <c r="E140" i="15"/>
  <c r="G140" i="15" s="1"/>
  <c r="D140" i="15"/>
  <c r="M5" i="15"/>
  <c r="I5" i="15"/>
  <c r="G5" i="15"/>
  <c r="E5" i="15"/>
  <c r="A5" i="15"/>
  <c r="F144" i="14"/>
  <c r="E144" i="14"/>
  <c r="G144" i="14" s="1"/>
  <c r="D144" i="14"/>
  <c r="F143" i="14"/>
  <c r="E143" i="14"/>
  <c r="G143" i="14" s="1"/>
  <c r="D143" i="14"/>
  <c r="F142" i="14"/>
  <c r="E142" i="14"/>
  <c r="G142" i="14" s="1"/>
  <c r="D142" i="14"/>
  <c r="F141" i="14"/>
  <c r="E141" i="14"/>
  <c r="G141" i="14" s="1"/>
  <c r="D141" i="14"/>
  <c r="F140" i="14"/>
  <c r="E140" i="14"/>
  <c r="G140" i="14" s="1"/>
  <c r="D140" i="14"/>
  <c r="F139" i="14"/>
  <c r="E139" i="14"/>
  <c r="G139" i="14" s="1"/>
  <c r="D139" i="14"/>
  <c r="F138" i="14"/>
  <c r="E138" i="14"/>
  <c r="G138" i="14" s="1"/>
  <c r="D138" i="14"/>
  <c r="F137" i="14"/>
  <c r="E137" i="14"/>
  <c r="G137" i="14" s="1"/>
  <c r="D137" i="14"/>
  <c r="F136" i="14"/>
  <c r="E136" i="14"/>
  <c r="G136" i="14" s="1"/>
  <c r="D136" i="14"/>
  <c r="F135" i="14"/>
  <c r="E135" i="14"/>
  <c r="G135" i="14" s="1"/>
  <c r="D135" i="14"/>
  <c r="M5" i="14"/>
  <c r="I5" i="14"/>
  <c r="G5" i="14"/>
  <c r="E5" i="14"/>
  <c r="A5" i="14"/>
  <c r="F143" i="13"/>
  <c r="E143" i="13"/>
  <c r="G143" i="13" s="1"/>
  <c r="D143" i="13"/>
  <c r="F142" i="13"/>
  <c r="E142" i="13"/>
  <c r="G142" i="13" s="1"/>
  <c r="D142" i="13"/>
  <c r="F141" i="13"/>
  <c r="E141" i="13"/>
  <c r="G141" i="13" s="1"/>
  <c r="D141" i="13"/>
  <c r="F140" i="13"/>
  <c r="E140" i="13"/>
  <c r="G140" i="13" s="1"/>
  <c r="D140" i="13"/>
  <c r="F139" i="13"/>
  <c r="E139" i="13"/>
  <c r="G139" i="13" s="1"/>
  <c r="D139" i="13"/>
  <c r="F138" i="13"/>
  <c r="E138" i="13"/>
  <c r="G138" i="13" s="1"/>
  <c r="D138" i="13"/>
  <c r="F137" i="13"/>
  <c r="E137" i="13"/>
  <c r="G137" i="13" s="1"/>
  <c r="D137" i="13"/>
  <c r="F136" i="13"/>
  <c r="E136" i="13"/>
  <c r="G136" i="13" s="1"/>
  <c r="D136" i="13"/>
  <c r="F135" i="13"/>
  <c r="E135" i="13"/>
  <c r="G135" i="13" s="1"/>
  <c r="D135" i="13"/>
  <c r="F134" i="13"/>
  <c r="E134" i="13"/>
  <c r="G134" i="13" s="1"/>
  <c r="D134" i="13"/>
  <c r="M5" i="13"/>
  <c r="I5" i="13"/>
  <c r="G5" i="13"/>
  <c r="E5" i="13"/>
  <c r="A5" i="13"/>
  <c r="F145" i="12"/>
  <c r="E145" i="12"/>
  <c r="G145" i="12" s="1"/>
  <c r="D145" i="12"/>
  <c r="F144" i="12"/>
  <c r="E144" i="12"/>
  <c r="G144" i="12" s="1"/>
  <c r="D144" i="12"/>
  <c r="F143" i="12"/>
  <c r="E143" i="12"/>
  <c r="G143" i="12" s="1"/>
  <c r="D143" i="12"/>
  <c r="F142" i="12"/>
  <c r="E142" i="12"/>
  <c r="G142" i="12" s="1"/>
  <c r="D142" i="12"/>
  <c r="F141" i="12"/>
  <c r="E141" i="12"/>
  <c r="G141" i="12" s="1"/>
  <c r="D141" i="12"/>
  <c r="F140" i="12"/>
  <c r="E140" i="12"/>
  <c r="G140" i="12" s="1"/>
  <c r="D140" i="12"/>
  <c r="F139" i="12"/>
  <c r="E139" i="12"/>
  <c r="G139" i="12" s="1"/>
  <c r="D139" i="12"/>
  <c r="F138" i="12"/>
  <c r="E138" i="12"/>
  <c r="G138" i="12" s="1"/>
  <c r="D138" i="12"/>
  <c r="F137" i="12"/>
  <c r="E137" i="12"/>
  <c r="G137" i="12" s="1"/>
  <c r="D137" i="12"/>
  <c r="F136" i="12"/>
  <c r="E136" i="12"/>
  <c r="G136" i="12" s="1"/>
  <c r="D136" i="12"/>
  <c r="M5" i="12"/>
  <c r="I5" i="12"/>
  <c r="G5" i="12"/>
  <c r="E5" i="12"/>
  <c r="A5" i="12"/>
  <c r="F147" i="11"/>
  <c r="E147" i="11"/>
  <c r="G147" i="11" s="1"/>
  <c r="D147" i="11"/>
  <c r="F146" i="11"/>
  <c r="E146" i="11"/>
  <c r="G146" i="11" s="1"/>
  <c r="D146" i="11"/>
  <c r="F145" i="11"/>
  <c r="E145" i="11"/>
  <c r="G145" i="11" s="1"/>
  <c r="D145" i="11"/>
  <c r="F144" i="11"/>
  <c r="E144" i="11"/>
  <c r="G144" i="11" s="1"/>
  <c r="D144" i="11"/>
  <c r="F143" i="11"/>
  <c r="E143" i="11"/>
  <c r="G143" i="11" s="1"/>
  <c r="D143" i="11"/>
  <c r="F142" i="11"/>
  <c r="E142" i="11"/>
  <c r="G142" i="11" s="1"/>
  <c r="D142" i="11"/>
  <c r="F141" i="11"/>
  <c r="E141" i="11"/>
  <c r="G141" i="11" s="1"/>
  <c r="D141" i="11"/>
  <c r="F140" i="11"/>
  <c r="E140" i="11"/>
  <c r="G140" i="11" s="1"/>
  <c r="D140" i="11"/>
  <c r="F139" i="11"/>
  <c r="E139" i="11"/>
  <c r="G139" i="11" s="1"/>
  <c r="D139" i="11"/>
  <c r="F138" i="11"/>
  <c r="E138" i="11"/>
  <c r="G138" i="11" s="1"/>
  <c r="D138" i="11"/>
  <c r="M5" i="11"/>
  <c r="I5" i="11"/>
  <c r="G5" i="11"/>
  <c r="E5" i="11"/>
  <c r="A5" i="11"/>
  <c r="F144" i="10"/>
  <c r="E144" i="10"/>
  <c r="G144" i="10" s="1"/>
  <c r="D144" i="10"/>
  <c r="F143" i="10"/>
  <c r="E143" i="10"/>
  <c r="G143" i="10" s="1"/>
  <c r="D143" i="10"/>
  <c r="F142" i="10"/>
  <c r="E142" i="10"/>
  <c r="G142" i="10" s="1"/>
  <c r="D142" i="10"/>
  <c r="F141" i="10"/>
  <c r="E141" i="10"/>
  <c r="G141" i="10" s="1"/>
  <c r="D141" i="10"/>
  <c r="F140" i="10"/>
  <c r="E140" i="10"/>
  <c r="G140" i="10" s="1"/>
  <c r="D140" i="10"/>
  <c r="F139" i="10"/>
  <c r="E139" i="10"/>
  <c r="G139" i="10" s="1"/>
  <c r="D139" i="10"/>
  <c r="F138" i="10"/>
  <c r="E138" i="10"/>
  <c r="G138" i="10" s="1"/>
  <c r="D138" i="10"/>
  <c r="F137" i="10"/>
  <c r="E137" i="10"/>
  <c r="G137" i="10" s="1"/>
  <c r="D137" i="10"/>
  <c r="F136" i="10"/>
  <c r="E136" i="10"/>
  <c r="G136" i="10" s="1"/>
  <c r="D136" i="10"/>
  <c r="F135" i="10"/>
  <c r="E135" i="10"/>
  <c r="G135" i="10" s="1"/>
  <c r="D135" i="10"/>
  <c r="M5" i="10"/>
  <c r="I5" i="10"/>
  <c r="G5" i="10"/>
  <c r="E5" i="10"/>
  <c r="A5" i="10"/>
  <c r="J217" i="9"/>
  <c r="F217" i="9"/>
  <c r="A217" i="9"/>
  <c r="J216" i="9"/>
  <c r="F216" i="9"/>
  <c r="A216" i="9"/>
  <c r="J215" i="9"/>
  <c r="F215" i="9"/>
  <c r="A215" i="9"/>
  <c r="J214" i="9"/>
  <c r="F214" i="9"/>
  <c r="A214" i="9"/>
  <c r="J213" i="9"/>
  <c r="F213" i="9"/>
  <c r="A213" i="9"/>
  <c r="J212" i="9"/>
  <c r="F212" i="9"/>
  <c r="A212" i="9"/>
  <c r="J211" i="9"/>
  <c r="F211" i="9"/>
  <c r="A211" i="9"/>
  <c r="J210" i="9"/>
  <c r="F210" i="9"/>
  <c r="A210" i="9"/>
  <c r="J209" i="9"/>
  <c r="F209" i="9"/>
  <c r="A209" i="9"/>
  <c r="J208" i="9"/>
  <c r="F208" i="9"/>
  <c r="A208" i="9"/>
  <c r="J207" i="9"/>
  <c r="F207" i="9"/>
  <c r="A207" i="9"/>
  <c r="J206" i="9"/>
  <c r="F206" i="9"/>
  <c r="A206" i="9"/>
  <c r="J205" i="9"/>
  <c r="F205" i="9"/>
  <c r="A205" i="9"/>
  <c r="J204" i="9"/>
  <c r="F204" i="9"/>
  <c r="A204" i="9"/>
  <c r="J203" i="9"/>
  <c r="F203" i="9"/>
  <c r="A203" i="9"/>
  <c r="J202" i="9"/>
  <c r="F202" i="9"/>
  <c r="A202" i="9"/>
  <c r="J201" i="9"/>
  <c r="F201" i="9"/>
  <c r="A201" i="9"/>
  <c r="J200" i="9"/>
  <c r="F200" i="9"/>
  <c r="A200" i="9"/>
  <c r="J199" i="9"/>
  <c r="F199" i="9"/>
  <c r="A199" i="9"/>
  <c r="J198" i="9"/>
  <c r="F198" i="9"/>
  <c r="A198" i="9"/>
  <c r="J197" i="9"/>
  <c r="F197" i="9"/>
  <c r="A197" i="9"/>
  <c r="J196" i="9"/>
  <c r="F196" i="9"/>
  <c r="A196" i="9"/>
  <c r="J195" i="9"/>
  <c r="F195" i="9"/>
  <c r="A195" i="9"/>
  <c r="J194" i="9"/>
  <c r="F194" i="9"/>
  <c r="A194" i="9"/>
  <c r="J193" i="9"/>
  <c r="F193" i="9"/>
  <c r="A193" i="9"/>
  <c r="J192" i="9"/>
  <c r="F192" i="9"/>
  <c r="A192" i="9"/>
  <c r="J191" i="9"/>
  <c r="F191" i="9"/>
  <c r="A191" i="9"/>
  <c r="J190" i="9"/>
  <c r="F190" i="9"/>
  <c r="A190" i="9"/>
  <c r="J189" i="9"/>
  <c r="F189" i="9"/>
  <c r="A189" i="9"/>
  <c r="J188" i="9"/>
  <c r="F188" i="9"/>
  <c r="A188" i="9"/>
  <c r="J187" i="9"/>
  <c r="F187" i="9"/>
  <c r="A187" i="9"/>
  <c r="J186" i="9"/>
  <c r="F186" i="9"/>
  <c r="A186" i="9"/>
  <c r="J185" i="9"/>
  <c r="F185" i="9"/>
  <c r="A185" i="9"/>
  <c r="J184" i="9"/>
  <c r="F184" i="9"/>
  <c r="A184" i="9"/>
  <c r="J183" i="9"/>
  <c r="F183" i="9"/>
  <c r="A183" i="9"/>
  <c r="J182" i="9"/>
  <c r="F182" i="9"/>
  <c r="A182" i="9"/>
  <c r="J181" i="9"/>
  <c r="F181" i="9"/>
  <c r="A181" i="9"/>
  <c r="J180" i="9"/>
  <c r="F180" i="9"/>
  <c r="A180" i="9"/>
  <c r="J179" i="9"/>
  <c r="F179" i="9"/>
  <c r="A179" i="9"/>
  <c r="J178" i="9"/>
  <c r="F178" i="9"/>
  <c r="A178" i="9"/>
  <c r="J177" i="9"/>
  <c r="F177" i="9"/>
  <c r="A177" i="9"/>
  <c r="J176" i="9"/>
  <c r="F176" i="9"/>
  <c r="A176" i="9"/>
  <c r="J175" i="9"/>
  <c r="F175" i="9"/>
  <c r="A175" i="9"/>
  <c r="J174" i="9"/>
  <c r="F174" i="9"/>
  <c r="A174" i="9"/>
  <c r="J173" i="9"/>
  <c r="F173" i="9"/>
  <c r="A173" i="9"/>
  <c r="J172" i="9"/>
  <c r="F172" i="9"/>
  <c r="A172" i="9"/>
  <c r="J171" i="9"/>
  <c r="F171" i="9"/>
  <c r="A171" i="9"/>
  <c r="J170" i="9"/>
  <c r="F170" i="9"/>
  <c r="A170" i="9"/>
  <c r="J169" i="9"/>
  <c r="F169" i="9"/>
  <c r="A169" i="9"/>
  <c r="J168" i="9"/>
  <c r="F168" i="9"/>
  <c r="A168" i="9"/>
  <c r="J167" i="9"/>
  <c r="F167" i="9"/>
  <c r="A167" i="9"/>
  <c r="J166" i="9"/>
  <c r="F166" i="9"/>
  <c r="A166" i="9"/>
  <c r="J165" i="9"/>
  <c r="F165" i="9"/>
  <c r="A165" i="9"/>
  <c r="J164" i="9"/>
  <c r="F164" i="9"/>
  <c r="A164" i="9"/>
  <c r="J163" i="9"/>
  <c r="F163" i="9"/>
  <c r="A163" i="9"/>
  <c r="J162" i="9"/>
  <c r="F162" i="9"/>
  <c r="A162" i="9"/>
  <c r="J161" i="9"/>
  <c r="F161" i="9"/>
  <c r="A161" i="9"/>
  <c r="J160" i="9"/>
  <c r="F160" i="9"/>
  <c r="A160" i="9"/>
  <c r="J159" i="9"/>
  <c r="F159" i="9"/>
  <c r="A159" i="9"/>
  <c r="J158" i="9"/>
  <c r="F158" i="9"/>
  <c r="A158" i="9"/>
  <c r="J157" i="9"/>
  <c r="F157" i="9"/>
  <c r="A157" i="9"/>
  <c r="J156" i="9"/>
  <c r="F156" i="9"/>
  <c r="A156" i="9"/>
  <c r="J155" i="9"/>
  <c r="F155" i="9"/>
  <c r="A155" i="9"/>
  <c r="J154" i="9"/>
  <c r="F154" i="9"/>
  <c r="A154" i="9"/>
  <c r="J153" i="9"/>
  <c r="F153" i="9"/>
  <c r="A153" i="9"/>
  <c r="J152" i="9"/>
  <c r="F152" i="9"/>
  <c r="A152" i="9"/>
  <c r="J151" i="9"/>
  <c r="F151" i="9"/>
  <c r="A151" i="9"/>
  <c r="J150" i="9"/>
  <c r="F150" i="9"/>
  <c r="A150" i="9"/>
  <c r="J149" i="9"/>
  <c r="F149" i="9"/>
  <c r="A149" i="9"/>
  <c r="J148" i="9"/>
  <c r="F148" i="9"/>
  <c r="A148" i="9"/>
  <c r="J147" i="9"/>
  <c r="F147" i="9"/>
  <c r="A147" i="9"/>
  <c r="J146" i="9"/>
  <c r="F146" i="9"/>
  <c r="A146" i="9"/>
  <c r="J145" i="9"/>
  <c r="F145" i="9"/>
  <c r="A145" i="9"/>
  <c r="J144" i="9"/>
  <c r="F144" i="9"/>
  <c r="A144" i="9"/>
  <c r="J143" i="9"/>
  <c r="F143" i="9"/>
  <c r="A143" i="9"/>
  <c r="J142" i="9"/>
  <c r="F142" i="9"/>
  <c r="A142" i="9"/>
  <c r="J141" i="9"/>
  <c r="F141" i="9"/>
  <c r="A141" i="9"/>
  <c r="J140" i="9"/>
  <c r="F140" i="9"/>
  <c r="A140" i="9"/>
  <c r="J139" i="9"/>
  <c r="F139" i="9"/>
  <c r="A139" i="9"/>
  <c r="J138" i="9"/>
  <c r="F138" i="9"/>
  <c r="A138" i="9"/>
  <c r="J137" i="9"/>
  <c r="F137" i="9"/>
  <c r="A137" i="9"/>
  <c r="J136" i="9"/>
  <c r="F136" i="9"/>
  <c r="A136" i="9"/>
  <c r="J135" i="9"/>
  <c r="F135" i="9"/>
  <c r="A135" i="9"/>
  <c r="J134" i="9"/>
  <c r="F134" i="9"/>
  <c r="A134" i="9"/>
  <c r="J133" i="9"/>
  <c r="F133" i="9"/>
  <c r="A133" i="9"/>
  <c r="J132" i="9"/>
  <c r="F132" i="9"/>
  <c r="A132" i="9"/>
  <c r="J131" i="9"/>
  <c r="F131" i="9"/>
  <c r="A131" i="9"/>
  <c r="J130" i="9"/>
  <c r="F130" i="9"/>
  <c r="A130" i="9"/>
  <c r="J129" i="9"/>
  <c r="F129" i="9"/>
  <c r="A129" i="9"/>
  <c r="J128" i="9"/>
  <c r="F128" i="9"/>
  <c r="A128" i="9"/>
  <c r="J127" i="9"/>
  <c r="F127" i="9"/>
  <c r="A127" i="9"/>
  <c r="J126" i="9"/>
  <c r="F126" i="9"/>
  <c r="A126" i="9"/>
  <c r="J125" i="9"/>
  <c r="F125" i="9"/>
  <c r="A125" i="9"/>
  <c r="J124" i="9"/>
  <c r="F124" i="9"/>
  <c r="A124" i="9"/>
  <c r="J123" i="9"/>
  <c r="F123" i="9"/>
  <c r="A123" i="9"/>
  <c r="J122" i="9"/>
  <c r="F122" i="9"/>
  <c r="A122" i="9"/>
  <c r="J121" i="9"/>
  <c r="F121" i="9"/>
  <c r="A121" i="9"/>
  <c r="J120" i="9"/>
  <c r="F120" i="9"/>
  <c r="A120" i="9"/>
  <c r="J119" i="9"/>
  <c r="F119" i="9"/>
  <c r="A119" i="9"/>
  <c r="J118" i="9"/>
  <c r="F118" i="9"/>
  <c r="A118" i="9"/>
  <c r="J117" i="9"/>
  <c r="F117" i="9"/>
  <c r="A117" i="9"/>
  <c r="J116" i="9"/>
  <c r="F116" i="9"/>
  <c r="A116" i="9"/>
  <c r="J115" i="9"/>
  <c r="F115" i="9"/>
  <c r="A115" i="9"/>
  <c r="J114" i="9"/>
  <c r="F114" i="9"/>
  <c r="A114" i="9"/>
  <c r="J113" i="9"/>
  <c r="F113" i="9"/>
  <c r="A113" i="9"/>
  <c r="J112" i="9"/>
  <c r="F112" i="9"/>
  <c r="A112" i="9"/>
  <c r="J111" i="9"/>
  <c r="F111" i="9"/>
  <c r="A111" i="9"/>
  <c r="J110" i="9"/>
  <c r="F110" i="9"/>
  <c r="A110" i="9"/>
  <c r="J109" i="9"/>
  <c r="F109" i="9"/>
  <c r="A109" i="9"/>
  <c r="J108" i="9"/>
  <c r="F108" i="9"/>
  <c r="A108" i="9"/>
  <c r="J107" i="9"/>
  <c r="F107" i="9"/>
  <c r="A107" i="9"/>
  <c r="J106" i="9"/>
  <c r="F106" i="9"/>
  <c r="A106" i="9"/>
  <c r="J105" i="9"/>
  <c r="F105" i="9"/>
  <c r="A105" i="9"/>
  <c r="J104" i="9"/>
  <c r="F104" i="9"/>
  <c r="A104" i="9"/>
  <c r="J103" i="9"/>
  <c r="F103" i="9"/>
  <c r="A103" i="9"/>
  <c r="J102" i="9"/>
  <c r="F102" i="9"/>
  <c r="A102" i="9"/>
  <c r="J101" i="9"/>
  <c r="F101" i="9"/>
  <c r="A101" i="9"/>
  <c r="J100" i="9"/>
  <c r="F100" i="9"/>
  <c r="A100" i="9"/>
  <c r="J99" i="9"/>
  <c r="F99" i="9"/>
  <c r="A99" i="9"/>
  <c r="J98" i="9"/>
  <c r="F98" i="9"/>
  <c r="A98" i="9"/>
  <c r="J97" i="9"/>
  <c r="F97" i="9"/>
  <c r="A97" i="9"/>
  <c r="J96" i="9"/>
  <c r="F96" i="9"/>
  <c r="A96" i="9"/>
  <c r="J95" i="9"/>
  <c r="F95" i="9"/>
  <c r="A95" i="9"/>
  <c r="J94" i="9"/>
  <c r="F94" i="9"/>
  <c r="A94" i="9"/>
  <c r="J93" i="9"/>
  <c r="F93" i="9"/>
  <c r="A93" i="9"/>
  <c r="J92" i="9"/>
  <c r="F92" i="9"/>
  <c r="A92" i="9"/>
  <c r="J91" i="9"/>
  <c r="F91" i="9"/>
  <c r="A91" i="9"/>
  <c r="J90" i="9"/>
  <c r="F90" i="9"/>
  <c r="A90" i="9"/>
  <c r="J89" i="9"/>
  <c r="F89" i="9"/>
  <c r="A89" i="9"/>
  <c r="J88" i="9"/>
  <c r="F88" i="9"/>
  <c r="A88" i="9"/>
  <c r="J87" i="9"/>
  <c r="F87" i="9"/>
  <c r="A87" i="9"/>
  <c r="J86" i="9"/>
  <c r="F86" i="9"/>
  <c r="A86" i="9"/>
  <c r="J85" i="9"/>
  <c r="F85" i="9"/>
  <c r="A85" i="9"/>
  <c r="J84" i="9"/>
  <c r="F84" i="9"/>
  <c r="A84" i="9"/>
  <c r="J83" i="9"/>
  <c r="F83" i="9"/>
  <c r="A83" i="9"/>
  <c r="J82" i="9"/>
  <c r="F82" i="9"/>
  <c r="A82" i="9"/>
  <c r="J81" i="9"/>
  <c r="F81" i="9"/>
  <c r="A81" i="9"/>
  <c r="J80" i="9"/>
  <c r="F80" i="9"/>
  <c r="A80" i="9"/>
  <c r="J79" i="9"/>
  <c r="F79" i="9"/>
  <c r="A79" i="9"/>
  <c r="J78" i="9"/>
  <c r="F78" i="9"/>
  <c r="A78" i="9"/>
  <c r="J77" i="9"/>
  <c r="F77" i="9"/>
  <c r="A77" i="9"/>
  <c r="J76" i="9"/>
  <c r="F76" i="9"/>
  <c r="A76" i="9"/>
  <c r="J75" i="9"/>
  <c r="F75" i="9"/>
  <c r="A75" i="9"/>
  <c r="J74" i="9"/>
  <c r="F74" i="9"/>
  <c r="A74" i="9"/>
  <c r="J73" i="9"/>
  <c r="F73" i="9"/>
  <c r="A73" i="9"/>
  <c r="J72" i="9"/>
  <c r="F72" i="9"/>
  <c r="A72" i="9"/>
  <c r="J71" i="9"/>
  <c r="F71" i="9"/>
  <c r="A71" i="9"/>
  <c r="J70" i="9"/>
  <c r="F70" i="9"/>
  <c r="A70" i="9"/>
  <c r="J69" i="9"/>
  <c r="F69" i="9"/>
  <c r="A69" i="9"/>
  <c r="J68" i="9"/>
  <c r="F68" i="9"/>
  <c r="A68" i="9"/>
  <c r="J67" i="9"/>
  <c r="F67" i="9"/>
  <c r="A67" i="9"/>
  <c r="J66" i="9"/>
  <c r="F66" i="9"/>
  <c r="A66" i="9"/>
  <c r="J65" i="9"/>
  <c r="F65" i="9"/>
  <c r="A65" i="9"/>
  <c r="J64" i="9"/>
  <c r="F64" i="9"/>
  <c r="A64" i="9"/>
  <c r="J63" i="9"/>
  <c r="F63" i="9"/>
  <c r="A63" i="9"/>
  <c r="J62" i="9"/>
  <c r="F62" i="9"/>
  <c r="A62" i="9"/>
  <c r="J61" i="9"/>
  <c r="F61" i="9"/>
  <c r="A61" i="9"/>
  <c r="J60" i="9"/>
  <c r="F60" i="9"/>
  <c r="A60" i="9"/>
  <c r="J59" i="9"/>
  <c r="F59" i="9"/>
  <c r="A59" i="9"/>
  <c r="J58" i="9"/>
  <c r="F58" i="9"/>
  <c r="A58" i="9"/>
  <c r="J57" i="9"/>
  <c r="F57" i="9"/>
  <c r="A57" i="9"/>
  <c r="J56" i="9"/>
  <c r="F56" i="9"/>
  <c r="A56" i="9"/>
  <c r="J55" i="9"/>
  <c r="F55" i="9"/>
  <c r="A55" i="9"/>
  <c r="J54" i="9"/>
  <c r="F54" i="9"/>
  <c r="A54" i="9"/>
  <c r="J53" i="9"/>
  <c r="F53" i="9"/>
  <c r="A53" i="9"/>
  <c r="J52" i="9"/>
  <c r="F52" i="9"/>
  <c r="A52" i="9"/>
  <c r="J51" i="9"/>
  <c r="F51" i="9"/>
  <c r="A51" i="9"/>
  <c r="J50" i="9"/>
  <c r="F50" i="9"/>
  <c r="A50" i="9"/>
  <c r="J49" i="9"/>
  <c r="F49" i="9"/>
  <c r="A49" i="9"/>
  <c r="J48" i="9"/>
  <c r="F48" i="9"/>
  <c r="A48" i="9"/>
  <c r="J47" i="9"/>
  <c r="F47" i="9"/>
  <c r="A47" i="9"/>
  <c r="J46" i="9"/>
  <c r="F46" i="9"/>
  <c r="A46" i="9"/>
  <c r="J45" i="9"/>
  <c r="F45" i="9"/>
  <c r="A45" i="9"/>
  <c r="J44" i="9"/>
  <c r="F44" i="9"/>
  <c r="A44" i="9"/>
  <c r="J43" i="9"/>
  <c r="F43" i="9"/>
  <c r="A43" i="9"/>
  <c r="J42" i="9"/>
  <c r="F42" i="9"/>
  <c r="A42" i="9"/>
  <c r="J41" i="9"/>
  <c r="F41" i="9"/>
  <c r="A41" i="9"/>
  <c r="J40" i="9"/>
  <c r="F40" i="9"/>
  <c r="A40" i="9"/>
  <c r="J39" i="9"/>
  <c r="F39" i="9"/>
  <c r="A39" i="9"/>
  <c r="J38" i="9"/>
  <c r="F38" i="9"/>
  <c r="A38" i="9"/>
  <c r="J37" i="9"/>
  <c r="F37" i="9"/>
  <c r="A37" i="9"/>
  <c r="J36" i="9"/>
  <c r="F36" i="9"/>
  <c r="A36" i="9"/>
  <c r="J35" i="9"/>
  <c r="F35" i="9"/>
  <c r="A35" i="9"/>
  <c r="J34" i="9"/>
  <c r="F34" i="9"/>
  <c r="A34" i="9"/>
  <c r="J33" i="9"/>
  <c r="F33" i="9"/>
  <c r="A33" i="9"/>
  <c r="J32" i="9"/>
  <c r="F32" i="9"/>
  <c r="A32" i="9"/>
  <c r="J31" i="9"/>
  <c r="F31" i="9"/>
  <c r="A31" i="9"/>
  <c r="J30" i="9"/>
  <c r="F30" i="9"/>
  <c r="A30" i="9"/>
  <c r="J29" i="9"/>
  <c r="F29" i="9"/>
  <c r="A29" i="9"/>
  <c r="J28" i="9"/>
  <c r="F28" i="9"/>
  <c r="A28" i="9"/>
  <c r="J27" i="9"/>
  <c r="F27" i="9"/>
  <c r="A27" i="9"/>
  <c r="J26" i="9"/>
  <c r="F26" i="9"/>
  <c r="A26" i="9"/>
  <c r="J25" i="9"/>
  <c r="F25" i="9"/>
  <c r="A25" i="9"/>
  <c r="J24" i="9"/>
  <c r="F24" i="9"/>
  <c r="A24" i="9"/>
  <c r="J23" i="9"/>
  <c r="F23" i="9"/>
  <c r="A23" i="9"/>
  <c r="J22" i="9"/>
  <c r="F22" i="9"/>
  <c r="A22" i="9"/>
  <c r="J21" i="9"/>
  <c r="F21" i="9"/>
  <c r="A21" i="9"/>
  <c r="J20" i="9"/>
  <c r="F20" i="9"/>
  <c r="A20" i="9"/>
  <c r="J19" i="9"/>
  <c r="F19" i="9"/>
  <c r="A19" i="9"/>
  <c r="J18" i="9"/>
  <c r="F18" i="9"/>
  <c r="A18" i="9"/>
  <c r="J17" i="9"/>
  <c r="F17" i="9"/>
  <c r="A17" i="9"/>
  <c r="J16" i="9"/>
  <c r="F16" i="9"/>
  <c r="A16" i="9"/>
  <c r="J15" i="9"/>
  <c r="F15" i="9"/>
  <c r="A15" i="9"/>
  <c r="J14" i="9"/>
  <c r="F14" i="9"/>
  <c r="A14" i="9"/>
  <c r="J13" i="9"/>
  <c r="F13" i="9"/>
  <c r="A13" i="9"/>
  <c r="J12" i="9"/>
  <c r="F12" i="9"/>
  <c r="A12" i="9"/>
  <c r="J11" i="9"/>
  <c r="F11" i="9"/>
  <c r="A11" i="9"/>
  <c r="J10" i="9"/>
  <c r="F10" i="9"/>
  <c r="A10" i="9"/>
  <c r="J9" i="9"/>
  <c r="F9" i="9"/>
  <c r="A9" i="9"/>
  <c r="I5" i="9"/>
  <c r="G5" i="9"/>
  <c r="E5" i="9"/>
  <c r="C5" i="9"/>
  <c r="A5" i="9"/>
  <c r="C38" i="8"/>
  <c r="H38" i="8" s="1"/>
  <c r="J32" i="8"/>
  <c r="I32" i="8"/>
  <c r="H32" i="8"/>
  <c r="G32" i="8"/>
  <c r="F32" i="8"/>
  <c r="E32" i="8"/>
  <c r="D32" i="8"/>
  <c r="C32" i="8"/>
  <c r="J31" i="8"/>
  <c r="I31" i="8"/>
  <c r="H31" i="8"/>
  <c r="G31" i="8"/>
  <c r="F31" i="8"/>
  <c r="E31" i="8"/>
  <c r="D31" i="8"/>
  <c r="C31" i="8"/>
  <c r="J30" i="8"/>
  <c r="I30" i="8"/>
  <c r="H30" i="8"/>
  <c r="G30" i="8"/>
  <c r="F30" i="8"/>
  <c r="E30" i="8"/>
  <c r="D30" i="8"/>
  <c r="C30" i="8"/>
  <c r="J29" i="8"/>
  <c r="I29" i="8"/>
  <c r="H29" i="8"/>
  <c r="G29" i="8"/>
  <c r="F29" i="8"/>
  <c r="E29" i="8"/>
  <c r="D29" i="8"/>
  <c r="C29" i="8"/>
  <c r="J28" i="8"/>
  <c r="I28" i="8"/>
  <c r="H28" i="8"/>
  <c r="G28" i="8"/>
  <c r="F28" i="8"/>
  <c r="E28" i="8"/>
  <c r="D28" i="8"/>
  <c r="C28" i="8"/>
  <c r="J27" i="8"/>
  <c r="I27" i="8"/>
  <c r="H27" i="8"/>
  <c r="G27" i="8"/>
  <c r="F27" i="8"/>
  <c r="E27" i="8"/>
  <c r="D27" i="8"/>
  <c r="C27" i="8"/>
  <c r="J26" i="8"/>
  <c r="I26" i="8"/>
  <c r="H26" i="8"/>
  <c r="G26" i="8"/>
  <c r="F26" i="8"/>
  <c r="E26" i="8"/>
  <c r="D26" i="8"/>
  <c r="C26" i="8"/>
  <c r="J25" i="8"/>
  <c r="I25" i="8"/>
  <c r="H25" i="8"/>
  <c r="G25" i="8"/>
  <c r="F25" i="8"/>
  <c r="E25" i="8"/>
  <c r="D25" i="8"/>
  <c r="C25" i="8"/>
  <c r="D24" i="8"/>
  <c r="C24" i="8"/>
  <c r="D23" i="8"/>
  <c r="C23" i="8"/>
  <c r="D22" i="8"/>
  <c r="C22" i="8"/>
  <c r="D21" i="8"/>
  <c r="C21" i="8"/>
  <c r="D20" i="8"/>
  <c r="C20" i="8"/>
  <c r="D19" i="8"/>
  <c r="C19" i="8"/>
  <c r="D18" i="8"/>
  <c r="C18" i="8"/>
  <c r="D17" i="8"/>
  <c r="C17" i="8"/>
  <c r="D16" i="8"/>
  <c r="C16" i="8"/>
  <c r="D15" i="8"/>
  <c r="C15" i="8"/>
  <c r="D14" i="8"/>
  <c r="C14" i="8"/>
  <c r="D13" i="8"/>
  <c r="C13" i="8"/>
  <c r="I12" i="8"/>
  <c r="F36" i="8" s="1"/>
  <c r="H12" i="8"/>
  <c r="D12" i="8"/>
  <c r="C12" i="8"/>
  <c r="F5" i="8"/>
  <c r="D5" i="8"/>
  <c r="B5" i="8"/>
  <c r="D18" i="7"/>
  <c r="C18" i="7"/>
  <c r="D17" i="7"/>
  <c r="C17" i="7"/>
  <c r="D16" i="7"/>
  <c r="C16" i="7"/>
  <c r="D14" i="7"/>
  <c r="C14" i="7"/>
  <c r="D13" i="7"/>
  <c r="C13" i="7"/>
  <c r="D12" i="7"/>
  <c r="C12" i="7"/>
  <c r="D11" i="7"/>
  <c r="C11" i="7"/>
  <c r="D9" i="7"/>
  <c r="C9" i="7"/>
  <c r="D8" i="7"/>
  <c r="C8" i="7"/>
  <c r="F20" i="6"/>
  <c r="F19" i="6"/>
  <c r="F18" i="6"/>
  <c r="J1" i="6"/>
  <c r="C18" i="6" s="1"/>
  <c r="O25" i="5"/>
  <c r="N25" i="5"/>
  <c r="M25" i="5"/>
  <c r="L25" i="5"/>
  <c r="K25" i="5"/>
  <c r="J25" i="5"/>
  <c r="I25" i="5"/>
  <c r="H25" i="5"/>
  <c r="G25" i="5"/>
  <c r="F25" i="5"/>
  <c r="E25" i="5"/>
  <c r="D25" i="5"/>
  <c r="C25" i="5"/>
  <c r="B25" i="5"/>
  <c r="O24" i="5"/>
  <c r="N24" i="5"/>
  <c r="M24" i="5"/>
  <c r="L24" i="5"/>
  <c r="K24" i="5"/>
  <c r="J24" i="5"/>
  <c r="I24" i="5"/>
  <c r="H24" i="5"/>
  <c r="G24" i="5"/>
  <c r="F24" i="5"/>
  <c r="E24" i="5"/>
  <c r="D24" i="5"/>
  <c r="C24" i="5"/>
  <c r="B24" i="5"/>
  <c r="O23" i="5"/>
  <c r="N23" i="5"/>
  <c r="M23" i="5"/>
  <c r="L23" i="5"/>
  <c r="K23" i="5"/>
  <c r="J23" i="5"/>
  <c r="I23" i="5"/>
  <c r="H23" i="5"/>
  <c r="G23" i="5"/>
  <c r="F23" i="5"/>
  <c r="E23" i="5"/>
  <c r="D23" i="5"/>
  <c r="C23" i="5"/>
  <c r="B23" i="5"/>
  <c r="O22" i="5"/>
  <c r="N22" i="5"/>
  <c r="M22" i="5"/>
  <c r="L22" i="5"/>
  <c r="K22" i="5"/>
  <c r="J22" i="5"/>
  <c r="I22" i="5"/>
  <c r="H22" i="5"/>
  <c r="G22" i="5"/>
  <c r="F22" i="5"/>
  <c r="E22" i="5"/>
  <c r="D22" i="5"/>
  <c r="C22" i="5"/>
  <c r="B22" i="5"/>
  <c r="O21" i="5"/>
  <c r="N21" i="5"/>
  <c r="M21" i="5"/>
  <c r="L21" i="5"/>
  <c r="K21" i="5"/>
  <c r="J21" i="5"/>
  <c r="I21" i="5"/>
  <c r="H21" i="5"/>
  <c r="G21" i="5"/>
  <c r="F21" i="5"/>
  <c r="E21" i="5"/>
  <c r="D21" i="5"/>
  <c r="C21" i="5"/>
  <c r="B21" i="5"/>
  <c r="O20" i="5"/>
  <c r="N20" i="5"/>
  <c r="M20" i="5"/>
  <c r="L20" i="5"/>
  <c r="K20" i="5"/>
  <c r="J20" i="5"/>
  <c r="I20" i="5"/>
  <c r="H20" i="5"/>
  <c r="G20" i="5"/>
  <c r="F20" i="5"/>
  <c r="E20" i="5"/>
  <c r="D20" i="5"/>
  <c r="C20" i="5"/>
  <c r="B20" i="5"/>
  <c r="O19" i="5"/>
  <c r="N19" i="5"/>
  <c r="M19" i="5"/>
  <c r="L19" i="5"/>
  <c r="K19" i="5"/>
  <c r="J19" i="5"/>
  <c r="I19" i="5"/>
  <c r="H19" i="5"/>
  <c r="G19" i="5"/>
  <c r="F19" i="5"/>
  <c r="E19" i="5"/>
  <c r="D19" i="5"/>
  <c r="C19" i="5"/>
  <c r="B19" i="5"/>
  <c r="O18" i="5"/>
  <c r="N18" i="5"/>
  <c r="M18" i="5"/>
  <c r="L18" i="5"/>
  <c r="K18" i="5"/>
  <c r="J18" i="5"/>
  <c r="I18" i="5"/>
  <c r="H18" i="5"/>
  <c r="G18" i="5"/>
  <c r="F18" i="5"/>
  <c r="E18" i="5"/>
  <c r="D18" i="5"/>
  <c r="C18" i="5"/>
  <c r="B18" i="5"/>
  <c r="O17" i="5"/>
  <c r="N17" i="5"/>
  <c r="M17" i="5"/>
  <c r="L17" i="5"/>
  <c r="K17" i="5"/>
  <c r="J17" i="5"/>
  <c r="I17" i="5"/>
  <c r="H17" i="5"/>
  <c r="G17" i="5"/>
  <c r="F17" i="5"/>
  <c r="E17" i="5"/>
  <c r="D17" i="5"/>
  <c r="C17" i="5"/>
  <c r="B17" i="5"/>
  <c r="O16" i="5"/>
  <c r="N16" i="5"/>
  <c r="M16" i="5"/>
  <c r="L16" i="5"/>
  <c r="K16" i="5"/>
  <c r="J16" i="5"/>
  <c r="I16" i="5"/>
  <c r="H16" i="5"/>
  <c r="G16" i="5"/>
  <c r="F16" i="5"/>
  <c r="E16" i="5"/>
  <c r="D16" i="5"/>
  <c r="C16" i="5"/>
  <c r="B16" i="5"/>
  <c r="M53" i="4"/>
  <c r="L53" i="4"/>
  <c r="K53" i="4"/>
  <c r="M52" i="4"/>
  <c r="L52" i="4"/>
  <c r="K52" i="4"/>
  <c r="M51" i="4"/>
  <c r="L51" i="4"/>
  <c r="K51" i="4"/>
  <c r="M50" i="4"/>
  <c r="L50" i="4"/>
  <c r="K50" i="4"/>
  <c r="M49" i="4"/>
  <c r="L49" i="4"/>
  <c r="K49" i="4"/>
  <c r="M48" i="4"/>
  <c r="L48" i="4"/>
  <c r="K48" i="4"/>
  <c r="M47" i="4"/>
  <c r="L47" i="4"/>
  <c r="K47" i="4"/>
  <c r="M46" i="4"/>
  <c r="L46" i="4"/>
  <c r="K46" i="4"/>
  <c r="M45" i="4"/>
  <c r="L45" i="4"/>
  <c r="K45" i="4"/>
  <c r="M44" i="4"/>
  <c r="L44" i="4"/>
  <c r="K44" i="4"/>
  <c r="M43" i="4"/>
  <c r="L43" i="4"/>
  <c r="K43" i="4"/>
  <c r="M42" i="4"/>
  <c r="L42" i="4"/>
  <c r="K42" i="4"/>
  <c r="M41" i="4"/>
  <c r="L41" i="4"/>
  <c r="K41" i="4"/>
  <c r="M40" i="4"/>
  <c r="L40" i="4"/>
  <c r="K40" i="4"/>
  <c r="H38" i="3"/>
  <c r="Q8" i="3"/>
  <c r="H4" i="3"/>
  <c r="L37" i="2"/>
  <c r="K37" i="2"/>
  <c r="J37" i="2"/>
  <c r="M37" i="2" s="1"/>
  <c r="I37" i="2"/>
  <c r="L36" i="2"/>
  <c r="K36" i="2"/>
  <c r="J36" i="2"/>
  <c r="M36" i="2" s="1"/>
  <c r="I36" i="2"/>
  <c r="L35" i="2"/>
  <c r="K35" i="2"/>
  <c r="J35" i="2"/>
  <c r="M35" i="2" s="1"/>
  <c r="I35" i="2"/>
  <c r="L34" i="2"/>
  <c r="K34" i="2"/>
  <c r="J34" i="2"/>
  <c r="M34" i="2" s="1"/>
  <c r="I34" i="2"/>
  <c r="A34" i="2"/>
  <c r="L33" i="2"/>
  <c r="K33" i="2"/>
  <c r="J33" i="2"/>
  <c r="M33" i="2" s="1"/>
  <c r="I33" i="2"/>
  <c r="A33" i="2"/>
  <c r="L32" i="2"/>
  <c r="K32" i="2"/>
  <c r="J32" i="2"/>
  <c r="M32" i="2" s="1"/>
  <c r="I32" i="2"/>
  <c r="A32" i="2"/>
  <c r="L31" i="2"/>
  <c r="K31" i="2"/>
  <c r="J31" i="2"/>
  <c r="M31" i="2" s="1"/>
  <c r="I31" i="2"/>
  <c r="A31" i="2"/>
  <c r="L30" i="2"/>
  <c r="K30" i="2"/>
  <c r="J30" i="2"/>
  <c r="M30" i="2" s="1"/>
  <c r="I30" i="2"/>
  <c r="A30" i="2"/>
  <c r="L29" i="2"/>
  <c r="K29" i="2"/>
  <c r="J29" i="2"/>
  <c r="M29" i="2" s="1"/>
  <c r="I29" i="2"/>
  <c r="A29" i="2"/>
  <c r="L28" i="2"/>
  <c r="K28" i="2"/>
  <c r="J28" i="2"/>
  <c r="M28" i="2" s="1"/>
  <c r="I28" i="2"/>
  <c r="A28" i="2"/>
  <c r="A11" i="2"/>
  <c r="K11" i="2" s="1"/>
  <c r="M7" i="2"/>
  <c r="K7" i="2"/>
  <c r="G7" i="2"/>
  <c r="E7" i="2"/>
  <c r="A7" i="2"/>
  <c r="B33" i="1"/>
  <c r="B32" i="1"/>
  <c r="B31" i="1"/>
  <c r="B30" i="1"/>
  <c r="B29" i="1"/>
  <c r="B28" i="1"/>
  <c r="B27" i="1"/>
  <c r="B26" i="1"/>
  <c r="B25" i="1"/>
  <c r="B24" i="1"/>
  <c r="B23" i="1"/>
  <c r="B22" i="1"/>
  <c r="B21" i="1"/>
  <c r="B20" i="1"/>
  <c r="B17" i="1"/>
  <c r="B16" i="1"/>
  <c r="B15" i="1"/>
  <c r="B14" i="1"/>
  <c r="B13" i="1"/>
  <c r="B12" i="1"/>
  <c r="B11" i="1"/>
  <c r="B10" i="1"/>
  <c r="B9" i="1"/>
  <c r="B8" i="1"/>
  <c r="P61" i="12" l="1"/>
  <c r="F20" i="8"/>
  <c r="E71" i="26"/>
  <c r="D69" i="8"/>
  <c r="C55" i="8"/>
  <c r="F21" i="8"/>
  <c r="E69" i="26"/>
  <c r="C46" i="8"/>
  <c r="D46" i="8" s="1"/>
  <c r="E70" i="26"/>
  <c r="F24" i="8"/>
  <c r="D68" i="8"/>
  <c r="C45" i="8"/>
  <c r="H45" i="8" s="1"/>
  <c r="C44" i="8"/>
  <c r="F44" i="8" s="1"/>
  <c r="C47" i="8"/>
  <c r="G47" i="8" s="1"/>
  <c r="C48" i="8"/>
  <c r="I48" i="8" s="1"/>
  <c r="C49" i="8"/>
  <c r="D49" i="8" s="1"/>
  <c r="E18" i="7"/>
  <c r="C39" i="8"/>
  <c r="E39" i="8" s="1"/>
  <c r="C40" i="8"/>
  <c r="D40" i="8" s="1"/>
  <c r="C41" i="8"/>
  <c r="I41" i="8" s="1"/>
  <c r="C42" i="8"/>
  <c r="F42" i="8" s="1"/>
  <c r="C43" i="8"/>
  <c r="H43" i="8" s="1"/>
  <c r="G11" i="5"/>
  <c r="I20" i="8"/>
  <c r="C71" i="8"/>
  <c r="C69" i="8"/>
  <c r="I14" i="8"/>
  <c r="P11" i="13"/>
  <c r="N11" i="13" s="1"/>
  <c r="H24" i="8"/>
  <c r="D66" i="8"/>
  <c r="D67" i="8"/>
  <c r="C68" i="8"/>
  <c r="P10" i="13"/>
  <c r="A10" i="13" s="1"/>
  <c r="L44" i="5"/>
  <c r="G18" i="6"/>
  <c r="E11" i="7"/>
  <c r="F15" i="8"/>
  <c r="I15" i="8"/>
  <c r="I24" i="8"/>
  <c r="M61" i="5"/>
  <c r="J11" i="5"/>
  <c r="M44" i="5"/>
  <c r="E16" i="7"/>
  <c r="AA1045" i="24"/>
  <c r="K11" i="5"/>
  <c r="D55" i="8"/>
  <c r="D56" i="8"/>
  <c r="K24" i="4"/>
  <c r="O804" i="24"/>
  <c r="C57" i="8"/>
  <c r="P11" i="11"/>
  <c r="J11" i="11" s="1"/>
  <c r="J31" i="5"/>
  <c r="I18" i="8"/>
  <c r="C56" i="8"/>
  <c r="I19" i="8"/>
  <c r="D57" i="8"/>
  <c r="C59" i="8"/>
  <c r="AA1231" i="24"/>
  <c r="C67" i="8"/>
  <c r="E7" i="5"/>
  <c r="B34" i="5"/>
  <c r="D32" i="5"/>
  <c r="N31" i="5"/>
  <c r="C32" i="5"/>
  <c r="E45" i="5"/>
  <c r="L24" i="4"/>
  <c r="E11" i="5"/>
  <c r="O854" i="24"/>
  <c r="B11" i="2"/>
  <c r="J20" i="4"/>
  <c r="P12" i="15"/>
  <c r="A12" i="15" s="1"/>
  <c r="J19" i="4"/>
  <c r="B7" i="5"/>
  <c r="D5" i="5"/>
  <c r="F56" i="5"/>
  <c r="K42" i="5"/>
  <c r="AH4" i="24"/>
  <c r="B19" i="4"/>
  <c r="H36" i="5"/>
  <c r="D45" i="5"/>
  <c r="L31" i="5"/>
  <c r="O46" i="5"/>
  <c r="D33" i="2"/>
  <c r="B47" i="5"/>
  <c r="H20" i="8"/>
  <c r="C34" i="5"/>
  <c r="D34" i="5"/>
  <c r="J6" i="5"/>
  <c r="N42" i="5"/>
  <c r="E47" i="5"/>
  <c r="D9" i="5"/>
  <c r="J54" i="5"/>
  <c r="N46" i="5"/>
  <c r="O1089" i="24"/>
  <c r="P9" i="12"/>
  <c r="N9" i="12" s="1"/>
  <c r="J56" i="5"/>
  <c r="M42" i="5"/>
  <c r="E9" i="7"/>
  <c r="P10" i="12"/>
  <c r="G10" i="12" s="1"/>
  <c r="J36" i="5"/>
  <c r="B54" i="5"/>
  <c r="D62" i="5"/>
  <c r="O61" i="5"/>
  <c r="H9" i="5"/>
  <c r="P11" i="21"/>
  <c r="J11" i="21" s="1"/>
  <c r="I9" i="5"/>
  <c r="I36" i="5"/>
  <c r="I56" i="5"/>
  <c r="P9" i="16"/>
  <c r="H9" i="16" s="1"/>
  <c r="L42" i="5"/>
  <c r="E12" i="7"/>
  <c r="J8" i="5"/>
  <c r="F11" i="5"/>
  <c r="C62" i="5"/>
  <c r="H15" i="8"/>
  <c r="P9" i="18"/>
  <c r="K9" i="18" s="1"/>
  <c r="O1256" i="24"/>
  <c r="D52" i="5"/>
  <c r="G61" i="5"/>
  <c r="I18" i="4"/>
  <c r="E34" i="5"/>
  <c r="N44" i="5"/>
  <c r="N33" i="5"/>
  <c r="L53" i="5"/>
  <c r="P104" i="12"/>
  <c r="A104" i="12" s="1"/>
  <c r="F47" i="5"/>
  <c r="D47" i="5"/>
  <c r="P9" i="11"/>
  <c r="I9" i="11" s="1"/>
  <c r="I20" i="4"/>
  <c r="G9" i="5"/>
  <c r="G36" i="5"/>
  <c r="K5" i="13"/>
  <c r="E26" i="5"/>
  <c r="P20" i="5"/>
  <c r="O42" i="5"/>
  <c r="K31" i="5"/>
  <c r="B62" i="5"/>
  <c r="K56" i="5"/>
  <c r="I42" i="5"/>
  <c r="B45" i="5"/>
  <c r="D32" i="4"/>
  <c r="F8" i="5"/>
  <c r="N53" i="5"/>
  <c r="D22" i="7"/>
  <c r="C25" i="4"/>
  <c r="K5" i="15"/>
  <c r="M27" i="4"/>
  <c r="K55" i="5"/>
  <c r="D31" i="5"/>
  <c r="C53" i="5"/>
  <c r="M55" i="5"/>
  <c r="L60" i="5"/>
  <c r="D25" i="4"/>
  <c r="M46" i="5"/>
  <c r="D42" i="5"/>
  <c r="C11" i="5"/>
  <c r="C31" i="5"/>
  <c r="J43" i="5"/>
  <c r="B42" i="5"/>
  <c r="M33" i="5"/>
  <c r="M30" i="5"/>
  <c r="M32" i="5"/>
  <c r="H10" i="5"/>
  <c r="E25" i="4"/>
  <c r="AH5" i="24"/>
  <c r="H19" i="8"/>
  <c r="H14" i="8"/>
  <c r="H23" i="8"/>
  <c r="H18" i="8"/>
  <c r="H13" i="8"/>
  <c r="H16" i="8"/>
  <c r="H22" i="8"/>
  <c r="H17" i="8"/>
  <c r="H21" i="8"/>
  <c r="D36" i="5"/>
  <c r="D28" i="2"/>
  <c r="C32" i="4"/>
  <c r="B5" i="5"/>
  <c r="E22" i="4"/>
  <c r="D44" i="5"/>
  <c r="O41" i="5"/>
  <c r="C36" i="5"/>
  <c r="M31" i="4"/>
  <c r="E32" i="4"/>
  <c r="E5" i="5"/>
  <c r="P10" i="18"/>
  <c r="I10" i="18" s="1"/>
  <c r="H31" i="5"/>
  <c r="O52" i="5"/>
  <c r="E56" i="5"/>
  <c r="B36" i="5"/>
  <c r="D11" i="5"/>
  <c r="I32" i="4"/>
  <c r="F5" i="5"/>
  <c r="O35" i="5"/>
  <c r="E36" i="5"/>
  <c r="J30" i="5"/>
  <c r="P25" i="10"/>
  <c r="C42" i="5"/>
  <c r="C35" i="5"/>
  <c r="C5" i="22"/>
  <c r="N60" i="5"/>
  <c r="N62" i="5"/>
  <c r="M5" i="5"/>
  <c r="J34" i="4"/>
  <c r="D19" i="7"/>
  <c r="P10" i="11"/>
  <c r="I10" i="11" s="1"/>
  <c r="O6" i="5"/>
  <c r="E10" i="5"/>
  <c r="L54" i="5"/>
  <c r="C5" i="12"/>
  <c r="E55" i="5"/>
  <c r="M24" i="4"/>
  <c r="D29" i="2"/>
  <c r="M34" i="4"/>
  <c r="D7" i="5"/>
  <c r="G34" i="5"/>
  <c r="D21" i="6"/>
  <c r="D20" i="7"/>
  <c r="K31" i="4"/>
  <c r="L33" i="5"/>
  <c r="K61" i="5"/>
  <c r="I31" i="5"/>
  <c r="E32" i="5"/>
  <c r="H32" i="5"/>
  <c r="H33" i="5"/>
  <c r="H30" i="5"/>
  <c r="H34" i="5"/>
  <c r="J33" i="5"/>
  <c r="J34" i="5"/>
  <c r="J35" i="5"/>
  <c r="K62" i="5"/>
  <c r="AI13" i="24"/>
  <c r="J10" i="4"/>
  <c r="J53" i="5"/>
  <c r="B26" i="6"/>
  <c r="K5" i="16"/>
  <c r="P78" i="12"/>
  <c r="A78" i="12" s="1"/>
  <c r="E41" i="5"/>
  <c r="J45" i="5"/>
  <c r="L8" i="5"/>
  <c r="E44" i="5"/>
  <c r="E43" i="5"/>
  <c r="H41" i="5"/>
  <c r="F6" i="5"/>
  <c r="O55" i="5"/>
  <c r="H53" i="5"/>
  <c r="K10" i="4"/>
  <c r="F7" i="5"/>
  <c r="E26" i="6"/>
  <c r="K5" i="14"/>
  <c r="E29" i="4"/>
  <c r="D15" i="7"/>
  <c r="L10" i="4"/>
  <c r="H7" i="5"/>
  <c r="F26" i="6"/>
  <c r="G26" i="6" s="1"/>
  <c r="L46" i="5"/>
  <c r="B46" i="5"/>
  <c r="I44" i="5"/>
  <c r="O56" i="5"/>
  <c r="L55" i="5"/>
  <c r="L52" i="5"/>
  <c r="L56" i="5"/>
  <c r="P94" i="17"/>
  <c r="E94" i="17" s="1"/>
  <c r="AB67" i="24"/>
  <c r="M6" i="5"/>
  <c r="M10" i="4"/>
  <c r="I7" i="5"/>
  <c r="O53" i="5"/>
  <c r="H31" i="6"/>
  <c r="B4" i="1"/>
  <c r="O5" i="5"/>
  <c r="O7" i="5"/>
  <c r="O30" i="5"/>
  <c r="O32" i="5"/>
  <c r="L32" i="5"/>
  <c r="F29" i="4"/>
  <c r="D41" i="5"/>
  <c r="D46" i="5"/>
  <c r="D43" i="5"/>
  <c r="L11" i="4"/>
  <c r="L36" i="5"/>
  <c r="C56" i="5"/>
  <c r="O60" i="5"/>
  <c r="F55" i="5"/>
  <c r="N55" i="5"/>
  <c r="L7" i="5"/>
  <c r="L11" i="5"/>
  <c r="M60" i="5"/>
  <c r="H55" i="5"/>
  <c r="H54" i="5"/>
  <c r="I11" i="5"/>
  <c r="K44" i="5"/>
  <c r="K53" i="5"/>
  <c r="C12" i="4"/>
  <c r="E9" i="5"/>
  <c r="M36" i="5"/>
  <c r="F54" i="5"/>
  <c r="N52" i="5"/>
  <c r="N54" i="5"/>
  <c r="N56" i="5"/>
  <c r="C5" i="10"/>
  <c r="B61" i="5"/>
  <c r="C10" i="7"/>
  <c r="B60" i="5"/>
  <c r="M62" i="5"/>
  <c r="I61" i="5"/>
  <c r="I54" i="5"/>
  <c r="I52" i="5"/>
  <c r="D61" i="5"/>
  <c r="D60" i="5"/>
  <c r="G53" i="5"/>
  <c r="G55" i="5"/>
  <c r="G52" i="5"/>
  <c r="G54" i="5"/>
  <c r="L45" i="5"/>
  <c r="O992" i="24"/>
  <c r="AA992" i="24"/>
  <c r="N61" i="5"/>
  <c r="K5" i="12"/>
  <c r="F9" i="5"/>
  <c r="K18" i="4"/>
  <c r="G56" i="5"/>
  <c r="M20" i="4"/>
  <c r="J12" i="4"/>
  <c r="I26" i="4"/>
  <c r="M9" i="5"/>
  <c r="M11" i="5"/>
  <c r="C5" i="20"/>
  <c r="L61" i="5"/>
  <c r="N30" i="5"/>
  <c r="N35" i="5"/>
  <c r="N32" i="5"/>
  <c r="N34" i="5"/>
  <c r="N36" i="5"/>
  <c r="I35" i="5"/>
  <c r="G31" i="5"/>
  <c r="G33" i="5"/>
  <c r="G35" i="5"/>
  <c r="G30" i="5"/>
  <c r="G32" i="5"/>
  <c r="D30" i="5"/>
  <c r="E61" i="5"/>
  <c r="D10" i="7"/>
  <c r="C5" i="13"/>
  <c r="E60" i="5"/>
  <c r="E62" i="5"/>
  <c r="B30" i="5"/>
  <c r="B9" i="5"/>
  <c r="P24" i="5"/>
  <c r="H56" i="5"/>
  <c r="P13" i="16"/>
  <c r="J13" i="16" s="1"/>
  <c r="P13" i="13"/>
  <c r="E13" i="13" s="1"/>
  <c r="P13" i="12"/>
  <c r="G13" i="12" s="1"/>
  <c r="P9" i="10"/>
  <c r="P11" i="15"/>
  <c r="J11" i="15" s="1"/>
  <c r="P14" i="12"/>
  <c r="B14" i="12" s="1"/>
  <c r="P9" i="13"/>
  <c r="N9" i="13" s="1"/>
  <c r="P11" i="16"/>
  <c r="D11" i="16" s="1"/>
  <c r="P9" i="14"/>
  <c r="P43" i="10"/>
  <c r="P30" i="11"/>
  <c r="N30" i="11" s="1"/>
  <c r="P12" i="12"/>
  <c r="D12" i="12" s="1"/>
  <c r="P12" i="11"/>
  <c r="D12" i="11" s="1"/>
  <c r="F42" i="5"/>
  <c r="F44" i="5"/>
  <c r="F46" i="5"/>
  <c r="F41" i="5"/>
  <c r="F43" i="5"/>
  <c r="F45" i="5"/>
  <c r="N41" i="5"/>
  <c r="N43" i="5"/>
  <c r="N45" i="5"/>
  <c r="N47" i="5"/>
  <c r="N8" i="5"/>
  <c r="N6" i="5"/>
  <c r="N10" i="5"/>
  <c r="N11" i="5"/>
  <c r="N5" i="5"/>
  <c r="N7" i="5"/>
  <c r="N9" i="5"/>
  <c r="Q22" i="24"/>
  <c r="Y22" i="24" s="1"/>
  <c r="K5" i="5"/>
  <c r="K6" i="5"/>
  <c r="K8" i="5"/>
  <c r="K10" i="5"/>
  <c r="K9" i="5"/>
  <c r="K7" i="5"/>
  <c r="I6" i="5"/>
  <c r="I8" i="5"/>
  <c r="I10" i="5"/>
  <c r="I5" i="5"/>
  <c r="G6" i="5"/>
  <c r="G8" i="5"/>
  <c r="D10" i="5"/>
  <c r="E33" i="5"/>
  <c r="G62" i="5"/>
  <c r="B11" i="5"/>
  <c r="E6" i="5"/>
  <c r="E8" i="5"/>
  <c r="AI4" i="24"/>
  <c r="C22" i="4"/>
  <c r="D6" i="4"/>
  <c r="F22" i="4"/>
  <c r="E28" i="4"/>
  <c r="D22" i="4"/>
  <c r="E21" i="4"/>
  <c r="C7" i="4"/>
  <c r="D21" i="4"/>
  <c r="B7" i="4"/>
  <c r="C6" i="4"/>
  <c r="F12" i="4"/>
  <c r="B6" i="4"/>
  <c r="K47" i="5"/>
  <c r="I45" i="5"/>
  <c r="I43" i="5"/>
  <c r="I47" i="5"/>
  <c r="G42" i="5"/>
  <c r="G44" i="5"/>
  <c r="G46" i="5"/>
  <c r="G41" i="5"/>
  <c r="G43" i="5"/>
  <c r="G45" i="5"/>
  <c r="G47" i="5"/>
  <c r="O62" i="5"/>
  <c r="J55" i="5"/>
  <c r="C5" i="11"/>
  <c r="C61" i="5"/>
  <c r="C60" i="5"/>
  <c r="P9" i="23"/>
  <c r="I9" i="23" s="1"/>
  <c r="E42" i="5"/>
  <c r="E75" i="26"/>
  <c r="K20" i="4"/>
  <c r="I25" i="4"/>
  <c r="I35" i="4"/>
  <c r="J7" i="5"/>
  <c r="J9" i="5"/>
  <c r="B43" i="5"/>
  <c r="C58" i="8"/>
  <c r="C70" i="8"/>
  <c r="D34" i="2"/>
  <c r="I12" i="4"/>
  <c r="L20" i="4"/>
  <c r="J25" i="4"/>
  <c r="L35" i="4"/>
  <c r="J5" i="5"/>
  <c r="C30" i="5"/>
  <c r="I34" i="5"/>
  <c r="B41" i="5"/>
  <c r="F16" i="8"/>
  <c r="D58" i="8"/>
  <c r="D70" i="8"/>
  <c r="AH59" i="24"/>
  <c r="O1057" i="24"/>
  <c r="E6" i="4"/>
  <c r="K12" i="4"/>
  <c r="B21" i="4"/>
  <c r="J26" i="4"/>
  <c r="L5" i="5"/>
  <c r="M7" i="5"/>
  <c r="O11" i="5"/>
  <c r="E30" i="5"/>
  <c r="I32" i="5"/>
  <c r="L34" i="5"/>
  <c r="L47" i="5"/>
  <c r="I16" i="8"/>
  <c r="D59" i="8"/>
  <c r="D71" i="8"/>
  <c r="P12" i="10"/>
  <c r="P9" i="15"/>
  <c r="F9" i="15" s="1"/>
  <c r="O36" i="24"/>
  <c r="AA1296" i="24"/>
  <c r="F6" i="4"/>
  <c r="I13" i="4"/>
  <c r="C21" i="4"/>
  <c r="K26" i="4"/>
  <c r="O9" i="5"/>
  <c r="J32" i="5"/>
  <c r="K45" i="5"/>
  <c r="M47" i="5"/>
  <c r="I21" i="8"/>
  <c r="C60" i="8"/>
  <c r="C72" i="8"/>
  <c r="P20" i="10"/>
  <c r="P10" i="16"/>
  <c r="H10" i="16" s="1"/>
  <c r="B10" i="5"/>
  <c r="J13" i="4"/>
  <c r="L26" i="4"/>
  <c r="D60" i="8"/>
  <c r="D72" i="8"/>
  <c r="K13" i="4"/>
  <c r="M26" i="4"/>
  <c r="B8" i="5"/>
  <c r="I30" i="5"/>
  <c r="D35" i="5"/>
  <c r="M45" i="5"/>
  <c r="O54" i="5"/>
  <c r="B29" i="6"/>
  <c r="F17" i="8"/>
  <c r="E22" i="8"/>
  <c r="J22" i="8" s="1"/>
  <c r="I45" i="8"/>
  <c r="C61" i="8"/>
  <c r="C73" i="8"/>
  <c r="F12" i="8"/>
  <c r="D7" i="4"/>
  <c r="M13" i="4"/>
  <c r="F21" i="4"/>
  <c r="I27" i="4"/>
  <c r="B6" i="5"/>
  <c r="D8" i="5"/>
  <c r="E35" i="5"/>
  <c r="I41" i="5"/>
  <c r="K43" i="5"/>
  <c r="E52" i="5"/>
  <c r="K60" i="5"/>
  <c r="E11" i="6"/>
  <c r="F22" i="8"/>
  <c r="G22" i="8" s="1"/>
  <c r="D61" i="8"/>
  <c r="D73" i="8"/>
  <c r="P104" i="10"/>
  <c r="P10" i="15"/>
  <c r="N10" i="15" s="1"/>
  <c r="P11" i="22"/>
  <c r="K11" i="22" s="1"/>
  <c r="AH12" i="24"/>
  <c r="E7" i="4"/>
  <c r="I14" i="4"/>
  <c r="K21" i="4"/>
  <c r="J27" i="4"/>
  <c r="D6" i="5"/>
  <c r="F10" i="5"/>
  <c r="L30" i="5"/>
  <c r="K41" i="5"/>
  <c r="L43" i="5"/>
  <c r="O45" i="5"/>
  <c r="F11" i="6"/>
  <c r="I17" i="8"/>
  <c r="C62" i="8"/>
  <c r="P14" i="13"/>
  <c r="E14" i="13" s="1"/>
  <c r="P9" i="17"/>
  <c r="E9" i="17" s="1"/>
  <c r="AA1159" i="24"/>
  <c r="F7" i="4"/>
  <c r="F15" i="4"/>
  <c r="B22" i="4"/>
  <c r="K27" i="4"/>
  <c r="C33" i="5"/>
  <c r="H35" i="5"/>
  <c r="L41" i="5"/>
  <c r="M43" i="5"/>
  <c r="H52" i="5"/>
  <c r="D12" i="6"/>
  <c r="I22" i="8"/>
  <c r="D62" i="8"/>
  <c r="C5" i="19"/>
  <c r="L7" i="4"/>
  <c r="M41" i="5"/>
  <c r="F13" i="8"/>
  <c r="C63" i="8"/>
  <c r="I8" i="4"/>
  <c r="J15" i="4"/>
  <c r="J10" i="5"/>
  <c r="B44" i="5"/>
  <c r="E46" i="5"/>
  <c r="J52" i="5"/>
  <c r="F18" i="8"/>
  <c r="D63" i="8"/>
  <c r="J8" i="4"/>
  <c r="K15" i="4"/>
  <c r="J28" i="4"/>
  <c r="L35" i="5"/>
  <c r="C19" i="6"/>
  <c r="G19" i="6" s="1"/>
  <c r="E14" i="7"/>
  <c r="I13" i="8"/>
  <c r="F23" i="8"/>
  <c r="C64" i="8"/>
  <c r="Q61" i="24"/>
  <c r="Y61" i="24" s="1"/>
  <c r="D33" i="5"/>
  <c r="D64" i="8"/>
  <c r="Q4" i="24"/>
  <c r="K8" i="4"/>
  <c r="L15" i="4"/>
  <c r="M28" i="4"/>
  <c r="L8" i="4"/>
  <c r="M15" i="4"/>
  <c r="I23" i="4"/>
  <c r="O10" i="5"/>
  <c r="E31" i="5"/>
  <c r="I33" i="5"/>
  <c r="I46" i="5"/>
  <c r="C20" i="6"/>
  <c r="G20" i="6" s="1"/>
  <c r="E14" i="8"/>
  <c r="J14" i="8" s="1"/>
  <c r="I23" i="8"/>
  <c r="D38" i="8"/>
  <c r="C65" i="8"/>
  <c r="P15" i="12"/>
  <c r="K15" i="12" s="1"/>
  <c r="P11" i="19"/>
  <c r="F11" i="19" s="1"/>
  <c r="AI5" i="24"/>
  <c r="AH103" i="24"/>
  <c r="M8" i="4"/>
  <c r="J16" i="4"/>
  <c r="L23" i="4"/>
  <c r="I30" i="4"/>
  <c r="K46" i="5"/>
  <c r="F14" i="8"/>
  <c r="N11" i="2"/>
  <c r="K9" i="4"/>
  <c r="M16" i="4"/>
  <c r="I24" i="4"/>
  <c r="K30" i="4"/>
  <c r="O8" i="5"/>
  <c r="F19" i="8"/>
  <c r="C54" i="8"/>
  <c r="C66" i="8"/>
  <c r="P17" i="12"/>
  <c r="C17" i="12" s="1"/>
  <c r="AI20" i="24"/>
  <c r="I15" i="4"/>
  <c r="D20" i="6"/>
  <c r="D65" i="8"/>
  <c r="I10" i="4"/>
  <c r="L17" i="4"/>
  <c r="J24" i="4"/>
  <c r="C21" i="6"/>
  <c r="E17" i="7"/>
  <c r="D54" i="8"/>
  <c r="I46" i="8"/>
  <c r="H46" i="8"/>
  <c r="F46" i="8"/>
  <c r="G46" i="8"/>
  <c r="E46" i="8"/>
  <c r="C32" i="6"/>
  <c r="P55" i="10"/>
  <c r="P80" i="10"/>
  <c r="P105" i="12"/>
  <c r="A105" i="12" s="1"/>
  <c r="H5" i="5"/>
  <c r="H8" i="5"/>
  <c r="H6" i="5"/>
  <c r="H11" i="5"/>
  <c r="P122" i="13"/>
  <c r="E122" i="13" s="1"/>
  <c r="E34" i="2"/>
  <c r="E19" i="4"/>
  <c r="D29" i="4"/>
  <c r="F32" i="4"/>
  <c r="F32" i="6"/>
  <c r="G32" i="6" s="1"/>
  <c r="P71" i="10"/>
  <c r="P67" i="11"/>
  <c r="J67" i="11" s="1"/>
  <c r="P81" i="11"/>
  <c r="G81" i="11" s="1"/>
  <c r="P28" i="23"/>
  <c r="L28" i="23" s="1"/>
  <c r="H46" i="5"/>
  <c r="H42" i="5"/>
  <c r="J41" i="5"/>
  <c r="J44" i="5"/>
  <c r="J47" i="5"/>
  <c r="L10" i="5"/>
  <c r="L6" i="5"/>
  <c r="L9" i="5"/>
  <c r="F52" i="5"/>
  <c r="F53" i="5"/>
  <c r="C5" i="14"/>
  <c r="F62" i="5"/>
  <c r="F60" i="5"/>
  <c r="B56" i="5"/>
  <c r="C22" i="7"/>
  <c r="B55" i="5"/>
  <c r="B53" i="5"/>
  <c r="C5" i="18"/>
  <c r="J60" i="5"/>
  <c r="J61" i="5"/>
  <c r="O653" i="24"/>
  <c r="K5" i="18"/>
  <c r="C9" i="5"/>
  <c r="C7" i="5"/>
  <c r="F30" i="5"/>
  <c r="F33" i="5"/>
  <c r="C9" i="4"/>
  <c r="L12" i="4"/>
  <c r="K19" i="4"/>
  <c r="I22" i="4"/>
  <c r="K25" i="4"/>
  <c r="K32" i="4"/>
  <c r="B52" i="5"/>
  <c r="E19" i="8"/>
  <c r="J19" i="8" s="1"/>
  <c r="G38" i="8"/>
  <c r="P72" i="10"/>
  <c r="B72" i="10" s="1"/>
  <c r="P81" i="10"/>
  <c r="P95" i="10"/>
  <c r="P84" i="11"/>
  <c r="K84" i="11" s="1"/>
  <c r="P31" i="13"/>
  <c r="P74" i="15"/>
  <c r="C74" i="15" s="1"/>
  <c r="M33" i="4"/>
  <c r="I31" i="4"/>
  <c r="M21" i="4"/>
  <c r="I19" i="4"/>
  <c r="K14" i="4"/>
  <c r="M9" i="4"/>
  <c r="I7" i="4"/>
  <c r="L33" i="4"/>
  <c r="L21" i="4"/>
  <c r="J14" i="4"/>
  <c r="L9" i="4"/>
  <c r="J33" i="4"/>
  <c r="L28" i="4"/>
  <c r="J21" i="4"/>
  <c r="L16" i="4"/>
  <c r="J9" i="4"/>
  <c r="M35" i="4"/>
  <c r="I33" i="4"/>
  <c r="K28" i="4"/>
  <c r="M23" i="4"/>
  <c r="I21" i="4"/>
  <c r="K16" i="4"/>
  <c r="M11" i="4"/>
  <c r="I9" i="4"/>
  <c r="K35" i="4"/>
  <c r="M30" i="4"/>
  <c r="I28" i="4"/>
  <c r="K23" i="4"/>
  <c r="M18" i="4"/>
  <c r="I16" i="4"/>
  <c r="K11" i="4"/>
  <c r="M6" i="4"/>
  <c r="J35" i="4"/>
  <c r="L30" i="4"/>
  <c r="J23" i="4"/>
  <c r="L18" i="4"/>
  <c r="J11" i="4"/>
  <c r="L6" i="4"/>
  <c r="J30" i="4"/>
  <c r="L25" i="4"/>
  <c r="J18" i="4"/>
  <c r="L13" i="4"/>
  <c r="J6" i="4"/>
  <c r="J32" i="4"/>
  <c r="L27" i="4"/>
  <c r="G7" i="5"/>
  <c r="G5" i="5"/>
  <c r="G10" i="5"/>
  <c r="E54" i="5"/>
  <c r="D21" i="7"/>
  <c r="E53" i="5"/>
  <c r="C5" i="15"/>
  <c r="G60" i="5"/>
  <c r="P94" i="10"/>
  <c r="C29" i="4"/>
  <c r="E24" i="4"/>
  <c r="C17" i="4"/>
  <c r="E12" i="4"/>
  <c r="F31" i="4"/>
  <c r="B29" i="4"/>
  <c r="D24" i="4"/>
  <c r="F19" i="4"/>
  <c r="B17" i="4"/>
  <c r="D12" i="4"/>
  <c r="D31" i="4"/>
  <c r="F26" i="4"/>
  <c r="B24" i="4"/>
  <c r="D19" i="4"/>
  <c r="F14" i="4"/>
  <c r="B12" i="4"/>
  <c r="C31" i="4"/>
  <c r="E26" i="4"/>
  <c r="C19" i="4"/>
  <c r="E14" i="4"/>
  <c r="E33" i="4"/>
  <c r="C26" i="4"/>
  <c r="C14" i="4"/>
  <c r="E9" i="4"/>
  <c r="D33" i="4"/>
  <c r="F28" i="4"/>
  <c r="B26" i="4"/>
  <c r="F16" i="4"/>
  <c r="B14" i="4"/>
  <c r="D9" i="4"/>
  <c r="F35" i="4"/>
  <c r="B33" i="4"/>
  <c r="D28" i="4"/>
  <c r="F23" i="4"/>
  <c r="D16" i="4"/>
  <c r="F11" i="4"/>
  <c r="B9" i="4"/>
  <c r="B35" i="4"/>
  <c r="D30" i="4"/>
  <c r="F25" i="4"/>
  <c r="C5" i="16"/>
  <c r="H62" i="5"/>
  <c r="H61" i="5"/>
  <c r="O779" i="24"/>
  <c r="K5" i="10"/>
  <c r="F9" i="4"/>
  <c r="M12" i="4"/>
  <c r="B16" i="4"/>
  <c r="L19" i="4"/>
  <c r="J22" i="4"/>
  <c r="M25" i="4"/>
  <c r="I29" i="4"/>
  <c r="L32" i="4"/>
  <c r="M56" i="5"/>
  <c r="C19" i="7"/>
  <c r="I38" i="8"/>
  <c r="P106" i="10"/>
  <c r="P24" i="12"/>
  <c r="E24" i="12" s="1"/>
  <c r="P114" i="14"/>
  <c r="I114" i="14" s="1"/>
  <c r="O44" i="5"/>
  <c r="O47" i="5"/>
  <c r="O43" i="5"/>
  <c r="P58" i="19"/>
  <c r="N58" i="19" s="1"/>
  <c r="P63" i="17"/>
  <c r="J63" i="17" s="1"/>
  <c r="P43" i="17"/>
  <c r="G43" i="17" s="1"/>
  <c r="P72" i="16"/>
  <c r="P51" i="16"/>
  <c r="B51" i="16" s="1"/>
  <c r="P125" i="15"/>
  <c r="D125" i="15" s="1"/>
  <c r="P110" i="15"/>
  <c r="E110" i="15" s="1"/>
  <c r="P94" i="15"/>
  <c r="E94" i="15" s="1"/>
  <c r="P76" i="15"/>
  <c r="N76" i="15" s="1"/>
  <c r="P72" i="15"/>
  <c r="N72" i="15" s="1"/>
  <c r="P68" i="15"/>
  <c r="A68" i="15" s="1"/>
  <c r="P31" i="15"/>
  <c r="D31" i="15" s="1"/>
  <c r="P80" i="15"/>
  <c r="A80" i="15" s="1"/>
  <c r="P64" i="15"/>
  <c r="L64" i="15" s="1"/>
  <c r="P55" i="15"/>
  <c r="I55" i="15" s="1"/>
  <c r="P109" i="17"/>
  <c r="F109" i="17" s="1"/>
  <c r="P77" i="17"/>
  <c r="P56" i="17"/>
  <c r="K56" i="17" s="1"/>
  <c r="P73" i="18"/>
  <c r="F73" i="18" s="1"/>
  <c r="P45" i="18"/>
  <c r="C45" i="18" s="1"/>
  <c r="P18" i="20"/>
  <c r="C18" i="20" s="1"/>
  <c r="P85" i="18"/>
  <c r="N85" i="18" s="1"/>
  <c r="P14" i="18"/>
  <c r="A14" i="18" s="1"/>
  <c r="P126" i="19"/>
  <c r="J126" i="19" s="1"/>
  <c r="P66" i="17"/>
  <c r="J66" i="17" s="1"/>
  <c r="P49" i="17"/>
  <c r="J49" i="17" s="1"/>
  <c r="P36" i="17"/>
  <c r="N36" i="17" s="1"/>
  <c r="P112" i="16"/>
  <c r="P108" i="16"/>
  <c r="B108" i="16" s="1"/>
  <c r="P88" i="16"/>
  <c r="P79" i="16"/>
  <c r="L79" i="16" s="1"/>
  <c r="P74" i="16"/>
  <c r="P33" i="16"/>
  <c r="J33" i="16" s="1"/>
  <c r="P116" i="18"/>
  <c r="F116" i="18" s="1"/>
  <c r="P21" i="18"/>
  <c r="E21" i="18" s="1"/>
  <c r="P13" i="18"/>
  <c r="B13" i="18" s="1"/>
  <c r="P110" i="19"/>
  <c r="F110" i="19" s="1"/>
  <c r="P106" i="17"/>
  <c r="J106" i="17" s="1"/>
  <c r="P88" i="17"/>
  <c r="P55" i="17"/>
  <c r="K55" i="17" s="1"/>
  <c r="P13" i="17"/>
  <c r="P130" i="16"/>
  <c r="C130" i="16" s="1"/>
  <c r="P126" i="16"/>
  <c r="B126" i="16" s="1"/>
  <c r="P83" i="16"/>
  <c r="N83" i="16" s="1"/>
  <c r="P63" i="16"/>
  <c r="J63" i="16" s="1"/>
  <c r="P30" i="16"/>
  <c r="H30" i="16" s="1"/>
  <c r="P15" i="16"/>
  <c r="D15" i="16" s="1"/>
  <c r="P54" i="17"/>
  <c r="N54" i="17" s="1"/>
  <c r="P119" i="16"/>
  <c r="L119" i="16" s="1"/>
  <c r="P107" i="16"/>
  <c r="I107" i="16" s="1"/>
  <c r="P71" i="16"/>
  <c r="N71" i="16" s="1"/>
  <c r="P24" i="16"/>
  <c r="P21" i="16"/>
  <c r="D21" i="16" s="1"/>
  <c r="P27" i="19"/>
  <c r="A27" i="19" s="1"/>
  <c r="P35" i="20"/>
  <c r="F35" i="20" s="1"/>
  <c r="P76" i="19"/>
  <c r="A76" i="19" s="1"/>
  <c r="P80" i="18"/>
  <c r="I80" i="18" s="1"/>
  <c r="P129" i="18"/>
  <c r="K129" i="18" s="1"/>
  <c r="P53" i="18"/>
  <c r="J53" i="18" s="1"/>
  <c r="P107" i="17"/>
  <c r="N107" i="17" s="1"/>
  <c r="P114" i="16"/>
  <c r="P97" i="16"/>
  <c r="J97" i="16" s="1"/>
  <c r="P78" i="16"/>
  <c r="G78" i="16" s="1"/>
  <c r="P32" i="16"/>
  <c r="P124" i="15"/>
  <c r="K124" i="15" s="1"/>
  <c r="P99" i="15"/>
  <c r="G99" i="15" s="1"/>
  <c r="P38" i="15"/>
  <c r="E38" i="15" s="1"/>
  <c r="P28" i="15"/>
  <c r="K28" i="15" s="1"/>
  <c r="P124" i="18"/>
  <c r="F124" i="18" s="1"/>
  <c r="P29" i="18"/>
  <c r="N29" i="18" s="1"/>
  <c r="P129" i="17"/>
  <c r="I129" i="17" s="1"/>
  <c r="P82" i="17"/>
  <c r="L82" i="17" s="1"/>
  <c r="P75" i="17"/>
  <c r="G75" i="17" s="1"/>
  <c r="P48" i="17"/>
  <c r="F48" i="17" s="1"/>
  <c r="P110" i="16"/>
  <c r="E110" i="16" s="1"/>
  <c r="P82" i="16"/>
  <c r="P66" i="16"/>
  <c r="P27" i="16"/>
  <c r="K27" i="16" s="1"/>
  <c r="P75" i="15"/>
  <c r="C75" i="15" s="1"/>
  <c r="P58" i="15"/>
  <c r="L58" i="15" s="1"/>
  <c r="P22" i="15"/>
  <c r="E22" i="15" s="1"/>
  <c r="P16" i="15"/>
  <c r="F16" i="15" s="1"/>
  <c r="P34" i="19"/>
  <c r="J34" i="19" s="1"/>
  <c r="P13" i="19"/>
  <c r="D13" i="19" s="1"/>
  <c r="P28" i="18"/>
  <c r="J28" i="18" s="1"/>
  <c r="P81" i="17"/>
  <c r="D81" i="17" s="1"/>
  <c r="P74" i="17"/>
  <c r="C74" i="17" s="1"/>
  <c r="P38" i="17"/>
  <c r="A38" i="17" s="1"/>
  <c r="P118" i="18"/>
  <c r="E118" i="18" s="1"/>
  <c r="P124" i="17"/>
  <c r="I124" i="17" s="1"/>
  <c r="P105" i="17"/>
  <c r="A105" i="17" s="1"/>
  <c r="P108" i="18"/>
  <c r="J108" i="18" s="1"/>
  <c r="P115" i="17"/>
  <c r="M115" i="17" s="1"/>
  <c r="P127" i="16"/>
  <c r="E127" i="16" s="1"/>
  <c r="P102" i="16"/>
  <c r="I102" i="16" s="1"/>
  <c r="P32" i="19"/>
  <c r="E32" i="19" s="1"/>
  <c r="P68" i="18"/>
  <c r="K68" i="18" s="1"/>
  <c r="P35" i="17"/>
  <c r="I35" i="17" s="1"/>
  <c r="P19" i="17"/>
  <c r="N19" i="17" s="1"/>
  <c r="P117" i="15"/>
  <c r="H117" i="15" s="1"/>
  <c r="P25" i="15"/>
  <c r="H25" i="15" s="1"/>
  <c r="P120" i="14"/>
  <c r="B120" i="14" s="1"/>
  <c r="P39" i="18"/>
  <c r="N39" i="18" s="1"/>
  <c r="P25" i="18"/>
  <c r="A25" i="18" s="1"/>
  <c r="P103" i="17"/>
  <c r="K103" i="17" s="1"/>
  <c r="P80" i="17"/>
  <c r="D80" i="17" s="1"/>
  <c r="P45" i="17"/>
  <c r="K45" i="17" s="1"/>
  <c r="P65" i="18"/>
  <c r="J65" i="18" s="1"/>
  <c r="P86" i="17"/>
  <c r="J86" i="17" s="1"/>
  <c r="P123" i="16"/>
  <c r="B123" i="16" s="1"/>
  <c r="P103" i="16"/>
  <c r="N103" i="16" s="1"/>
  <c r="P43" i="16"/>
  <c r="B43" i="16" s="1"/>
  <c r="P23" i="19"/>
  <c r="G23" i="19" s="1"/>
  <c r="P105" i="18"/>
  <c r="C105" i="18" s="1"/>
  <c r="P64" i="18"/>
  <c r="D64" i="18" s="1"/>
  <c r="P72" i="17"/>
  <c r="K72" i="17" s="1"/>
  <c r="P115" i="16"/>
  <c r="B115" i="16" s="1"/>
  <c r="P95" i="16"/>
  <c r="N95" i="16" s="1"/>
  <c r="P67" i="16"/>
  <c r="G67" i="16" s="1"/>
  <c r="P119" i="15"/>
  <c r="M119" i="15" s="1"/>
  <c r="P82" i="15"/>
  <c r="C82" i="15" s="1"/>
  <c r="P79" i="15"/>
  <c r="N79" i="15" s="1"/>
  <c r="P69" i="15"/>
  <c r="J69" i="15" s="1"/>
  <c r="P32" i="15"/>
  <c r="I32" i="15" s="1"/>
  <c r="P122" i="14"/>
  <c r="I122" i="14" s="1"/>
  <c r="P88" i="14"/>
  <c r="I88" i="14" s="1"/>
  <c r="P101" i="17"/>
  <c r="K101" i="17" s="1"/>
  <c r="P122" i="16"/>
  <c r="P86" i="16"/>
  <c r="L86" i="16" s="1"/>
  <c r="P55" i="16"/>
  <c r="N55" i="16" s="1"/>
  <c r="P39" i="16"/>
  <c r="L39" i="16" s="1"/>
  <c r="P20" i="16"/>
  <c r="K20" i="16" s="1"/>
  <c r="P118" i="15"/>
  <c r="E118" i="15" s="1"/>
  <c r="P111" i="15"/>
  <c r="N111" i="15" s="1"/>
  <c r="P78" i="15"/>
  <c r="E78" i="15" s="1"/>
  <c r="P50" i="15"/>
  <c r="C50" i="15" s="1"/>
  <c r="P47" i="15"/>
  <c r="L47" i="15" s="1"/>
  <c r="P20" i="15"/>
  <c r="F20" i="15" s="1"/>
  <c r="P98" i="14"/>
  <c r="E98" i="14" s="1"/>
  <c r="P92" i="14"/>
  <c r="N92" i="14" s="1"/>
  <c r="P44" i="14"/>
  <c r="C44" i="14" s="1"/>
  <c r="P34" i="14"/>
  <c r="F34" i="14" s="1"/>
  <c r="P23" i="17"/>
  <c r="G23" i="17" s="1"/>
  <c r="P37" i="15"/>
  <c r="B37" i="15" s="1"/>
  <c r="P68" i="14"/>
  <c r="C68" i="14" s="1"/>
  <c r="P62" i="14"/>
  <c r="P26" i="14"/>
  <c r="N26" i="14" s="1"/>
  <c r="P110" i="13"/>
  <c r="K110" i="13" s="1"/>
  <c r="P101" i="16"/>
  <c r="H101" i="16" s="1"/>
  <c r="P93" i="16"/>
  <c r="D93" i="16" s="1"/>
  <c r="P54" i="16"/>
  <c r="G54" i="16" s="1"/>
  <c r="P97" i="18"/>
  <c r="G97" i="18" s="1"/>
  <c r="P99" i="17"/>
  <c r="H99" i="17" s="1"/>
  <c r="P109" i="16"/>
  <c r="C109" i="16" s="1"/>
  <c r="P92" i="16"/>
  <c r="K92" i="16" s="1"/>
  <c r="P42" i="16"/>
  <c r="P38" i="16"/>
  <c r="G38" i="16" s="1"/>
  <c r="P95" i="18"/>
  <c r="J95" i="18" s="1"/>
  <c r="P59" i="17"/>
  <c r="N59" i="17" s="1"/>
  <c r="P100" i="16"/>
  <c r="K100" i="16" s="1"/>
  <c r="P47" i="16"/>
  <c r="N47" i="16" s="1"/>
  <c r="P37" i="16"/>
  <c r="J37" i="16" s="1"/>
  <c r="P133" i="15"/>
  <c r="F133" i="15" s="1"/>
  <c r="P100" i="15"/>
  <c r="K100" i="15" s="1"/>
  <c r="P96" i="15"/>
  <c r="N96" i="15" s="1"/>
  <c r="P91" i="15"/>
  <c r="L91" i="15" s="1"/>
  <c r="P67" i="15"/>
  <c r="D67" i="15" s="1"/>
  <c r="P63" i="15"/>
  <c r="D63" i="15" s="1"/>
  <c r="P59" i="15"/>
  <c r="L59" i="15" s="1"/>
  <c r="P35" i="15"/>
  <c r="B35" i="15" s="1"/>
  <c r="P110" i="14"/>
  <c r="P53" i="20"/>
  <c r="K53" i="20" s="1"/>
  <c r="P17" i="19"/>
  <c r="A17" i="19" s="1"/>
  <c r="P112" i="17"/>
  <c r="H112" i="17" s="1"/>
  <c r="P128" i="15"/>
  <c r="A128" i="15" s="1"/>
  <c r="P95" i="15"/>
  <c r="D95" i="15" s="1"/>
  <c r="P90" i="15"/>
  <c r="I90" i="15" s="1"/>
  <c r="P85" i="15"/>
  <c r="F85" i="15" s="1"/>
  <c r="P19" i="15"/>
  <c r="J19" i="15" s="1"/>
  <c r="P15" i="15"/>
  <c r="E15" i="15" s="1"/>
  <c r="P93" i="18"/>
  <c r="D93" i="18" s="1"/>
  <c r="P18" i="18"/>
  <c r="J18" i="18" s="1"/>
  <c r="P97" i="17"/>
  <c r="A97" i="17" s="1"/>
  <c r="P44" i="17"/>
  <c r="K44" i="17" s="1"/>
  <c r="P85" i="16"/>
  <c r="H85" i="16" s="1"/>
  <c r="P25" i="16"/>
  <c r="J25" i="16" s="1"/>
  <c r="P14" i="15"/>
  <c r="E14" i="15" s="1"/>
  <c r="P95" i="14"/>
  <c r="I95" i="14" s="1"/>
  <c r="P71" i="14"/>
  <c r="H71" i="14" s="1"/>
  <c r="P54" i="14"/>
  <c r="P32" i="20"/>
  <c r="G32" i="20" s="1"/>
  <c r="P102" i="19"/>
  <c r="J102" i="19" s="1"/>
  <c r="P32" i="17"/>
  <c r="H32" i="17" s="1"/>
  <c r="P52" i="16"/>
  <c r="I52" i="16" s="1"/>
  <c r="P35" i="16"/>
  <c r="D35" i="16" s="1"/>
  <c r="P19" i="16"/>
  <c r="B19" i="16" s="1"/>
  <c r="P89" i="15"/>
  <c r="N89" i="15" s="1"/>
  <c r="P73" i="15"/>
  <c r="A73" i="15" s="1"/>
  <c r="P53" i="15"/>
  <c r="N53" i="15" s="1"/>
  <c r="P49" i="15"/>
  <c r="H49" i="15" s="1"/>
  <c r="P41" i="15"/>
  <c r="N41" i="15" s="1"/>
  <c r="P107" i="14"/>
  <c r="N107" i="14" s="1"/>
  <c r="P97" i="14"/>
  <c r="P85" i="14"/>
  <c r="J85" i="14" s="1"/>
  <c r="P81" i="14"/>
  <c r="P73" i="14"/>
  <c r="P70" i="14"/>
  <c r="P48" i="14"/>
  <c r="B48" i="14" s="1"/>
  <c r="P37" i="14"/>
  <c r="J37" i="14" s="1"/>
  <c r="P29" i="20"/>
  <c r="J29" i="20" s="1"/>
  <c r="P111" i="17"/>
  <c r="G111" i="17" s="1"/>
  <c r="P58" i="17"/>
  <c r="H58" i="17" s="1"/>
  <c r="P58" i="16"/>
  <c r="P41" i="17"/>
  <c r="H41" i="17" s="1"/>
  <c r="P118" i="16"/>
  <c r="C118" i="16" s="1"/>
  <c r="P98" i="16"/>
  <c r="P90" i="16"/>
  <c r="P84" i="16"/>
  <c r="K84" i="16" s="1"/>
  <c r="P18" i="16"/>
  <c r="P127" i="15"/>
  <c r="L127" i="15" s="1"/>
  <c r="P56" i="15"/>
  <c r="J56" i="15" s="1"/>
  <c r="P128" i="14"/>
  <c r="B128" i="14" s="1"/>
  <c r="P118" i="14"/>
  <c r="P100" i="14"/>
  <c r="B100" i="14" s="1"/>
  <c r="P94" i="14"/>
  <c r="P91" i="14"/>
  <c r="K91" i="14" s="1"/>
  <c r="P84" i="14"/>
  <c r="B84" i="14" s="1"/>
  <c r="P118" i="17"/>
  <c r="G118" i="17" s="1"/>
  <c r="P24" i="20"/>
  <c r="G24" i="20" s="1"/>
  <c r="P66" i="18"/>
  <c r="G66" i="18" s="1"/>
  <c r="P96" i="16"/>
  <c r="P126" i="15"/>
  <c r="E126" i="15" s="1"/>
  <c r="P107" i="15"/>
  <c r="D107" i="15" s="1"/>
  <c r="P92" i="15"/>
  <c r="G92" i="15" s="1"/>
  <c r="P83" i="15"/>
  <c r="L83" i="15" s="1"/>
  <c r="P44" i="15"/>
  <c r="I44" i="15" s="1"/>
  <c r="P36" i="15"/>
  <c r="G36" i="15" s="1"/>
  <c r="P101" i="14"/>
  <c r="H101" i="14" s="1"/>
  <c r="P80" i="14"/>
  <c r="I80" i="14" s="1"/>
  <c r="P30" i="14"/>
  <c r="P24" i="14"/>
  <c r="I24" i="14" s="1"/>
  <c r="P127" i="13"/>
  <c r="N127" i="13" s="1"/>
  <c r="P116" i="13"/>
  <c r="G116" i="13" s="1"/>
  <c r="P71" i="13"/>
  <c r="P53" i="13"/>
  <c r="H53" i="13" s="1"/>
  <c r="P28" i="13"/>
  <c r="K28" i="13" s="1"/>
  <c r="P130" i="12"/>
  <c r="P115" i="12"/>
  <c r="P73" i="12"/>
  <c r="A73" i="12" s="1"/>
  <c r="P24" i="19"/>
  <c r="E24" i="19" s="1"/>
  <c r="P27" i="17"/>
  <c r="A27" i="17" s="1"/>
  <c r="P81" i="16"/>
  <c r="C81" i="16" s="1"/>
  <c r="P56" i="16"/>
  <c r="P106" i="15"/>
  <c r="H106" i="15" s="1"/>
  <c r="P98" i="15"/>
  <c r="P17" i="15"/>
  <c r="F17" i="15" s="1"/>
  <c r="P113" i="14"/>
  <c r="P74" i="14"/>
  <c r="I74" i="14" s="1"/>
  <c r="P35" i="14"/>
  <c r="I35" i="14" s="1"/>
  <c r="P12" i="14"/>
  <c r="N12" i="14" s="1"/>
  <c r="P119" i="13"/>
  <c r="A119" i="13" s="1"/>
  <c r="P112" i="13"/>
  <c r="K112" i="13" s="1"/>
  <c r="P105" i="13"/>
  <c r="K105" i="13" s="1"/>
  <c r="P102" i="13"/>
  <c r="C102" i="13" s="1"/>
  <c r="P34" i="13"/>
  <c r="J34" i="13" s="1"/>
  <c r="P124" i="12"/>
  <c r="G124" i="12" s="1"/>
  <c r="P119" i="12"/>
  <c r="L119" i="12" s="1"/>
  <c r="P102" i="12"/>
  <c r="A102" i="12" s="1"/>
  <c r="P98" i="12"/>
  <c r="A98" i="12" s="1"/>
  <c r="P90" i="12"/>
  <c r="A90" i="12" s="1"/>
  <c r="P75" i="12"/>
  <c r="A75" i="12" s="1"/>
  <c r="P64" i="12"/>
  <c r="A64" i="12" s="1"/>
  <c r="P60" i="12"/>
  <c r="P28" i="12"/>
  <c r="H28" i="12" s="1"/>
  <c r="P80" i="16"/>
  <c r="P22" i="16"/>
  <c r="L22" i="16" s="1"/>
  <c r="P132" i="15"/>
  <c r="C132" i="15" s="1"/>
  <c r="P112" i="15"/>
  <c r="I112" i="15" s="1"/>
  <c r="P93" i="14"/>
  <c r="L93" i="14" s="1"/>
  <c r="P92" i="13"/>
  <c r="D92" i="13" s="1"/>
  <c r="P56" i="13"/>
  <c r="P37" i="13"/>
  <c r="A37" i="13" s="1"/>
  <c r="P63" i="12"/>
  <c r="A63" i="12" s="1"/>
  <c r="P50" i="12"/>
  <c r="P36" i="12"/>
  <c r="K36" i="12" s="1"/>
  <c r="P21" i="12"/>
  <c r="A21" i="12" s="1"/>
  <c r="P122" i="11"/>
  <c r="J122" i="11" s="1"/>
  <c r="P114" i="11"/>
  <c r="F114" i="11" s="1"/>
  <c r="P96" i="11"/>
  <c r="N96" i="11" s="1"/>
  <c r="P76" i="11"/>
  <c r="G76" i="11" s="1"/>
  <c r="P49" i="11"/>
  <c r="N49" i="11" s="1"/>
  <c r="P25" i="11"/>
  <c r="E25" i="11" s="1"/>
  <c r="P19" i="11"/>
  <c r="J19" i="11" s="1"/>
  <c r="P15" i="11"/>
  <c r="N15" i="11" s="1"/>
  <c r="P116" i="15"/>
  <c r="I116" i="15" s="1"/>
  <c r="P88" i="15"/>
  <c r="P77" i="15"/>
  <c r="J77" i="15" s="1"/>
  <c r="P34" i="15"/>
  <c r="B34" i="15" s="1"/>
  <c r="P87" i="14"/>
  <c r="F87" i="14" s="1"/>
  <c r="P65" i="14"/>
  <c r="P38" i="14"/>
  <c r="P15" i="14"/>
  <c r="D15" i="14" s="1"/>
  <c r="P78" i="13"/>
  <c r="N78" i="13" s="1"/>
  <c r="P68" i="13"/>
  <c r="G68" i="13" s="1"/>
  <c r="P53" i="17"/>
  <c r="E53" i="17" s="1"/>
  <c r="P68" i="16"/>
  <c r="F68" i="16" s="1"/>
  <c r="P62" i="15"/>
  <c r="E62" i="15" s="1"/>
  <c r="P110" i="17"/>
  <c r="K110" i="17" s="1"/>
  <c r="P65" i="16"/>
  <c r="L65" i="16" s="1"/>
  <c r="P31" i="16"/>
  <c r="L31" i="16" s="1"/>
  <c r="P12" i="16"/>
  <c r="C12" i="16" s="1"/>
  <c r="P131" i="15"/>
  <c r="K131" i="15" s="1"/>
  <c r="P87" i="15"/>
  <c r="N87" i="15" s="1"/>
  <c r="P54" i="15"/>
  <c r="E54" i="15" s="1"/>
  <c r="P43" i="15"/>
  <c r="H43" i="15" s="1"/>
  <c r="P83" i="14"/>
  <c r="N83" i="14" s="1"/>
  <c r="P42" i="14"/>
  <c r="K42" i="14" s="1"/>
  <c r="P14" i="14"/>
  <c r="P64" i="16"/>
  <c r="P105" i="15"/>
  <c r="D105" i="15" s="1"/>
  <c r="P117" i="14"/>
  <c r="K117" i="14" s="1"/>
  <c r="P104" i="14"/>
  <c r="I104" i="14" s="1"/>
  <c r="P96" i="14"/>
  <c r="I96" i="14" s="1"/>
  <c r="P37" i="18"/>
  <c r="J37" i="18" s="1"/>
  <c r="P76" i="16"/>
  <c r="K76" i="16" s="1"/>
  <c r="P104" i="15"/>
  <c r="D104" i="15" s="1"/>
  <c r="P97" i="15"/>
  <c r="E97" i="15" s="1"/>
  <c r="P42" i="15"/>
  <c r="C42" i="15" s="1"/>
  <c r="P108" i="14"/>
  <c r="N108" i="14" s="1"/>
  <c r="P79" i="14"/>
  <c r="D79" i="14" s="1"/>
  <c r="P69" i="14"/>
  <c r="A69" i="14" s="1"/>
  <c r="P33" i="14"/>
  <c r="H33" i="14" s="1"/>
  <c r="P20" i="14"/>
  <c r="E20" i="14" s="1"/>
  <c r="P118" i="13"/>
  <c r="P80" i="13"/>
  <c r="G80" i="13" s="1"/>
  <c r="P74" i="13"/>
  <c r="P45" i="13"/>
  <c r="H45" i="13" s="1"/>
  <c r="P36" i="13"/>
  <c r="P27" i="13"/>
  <c r="A27" i="13" s="1"/>
  <c r="P76" i="17"/>
  <c r="F76" i="17" s="1"/>
  <c r="P24" i="17"/>
  <c r="J24" i="17" s="1"/>
  <c r="P117" i="16"/>
  <c r="P130" i="15"/>
  <c r="B130" i="15" s="1"/>
  <c r="P115" i="15"/>
  <c r="L115" i="15" s="1"/>
  <c r="P103" i="15"/>
  <c r="J103" i="15" s="1"/>
  <c r="P29" i="15"/>
  <c r="J29" i="15" s="1"/>
  <c r="P21" i="15"/>
  <c r="F21" i="15" s="1"/>
  <c r="P127" i="14"/>
  <c r="F127" i="14" s="1"/>
  <c r="P78" i="14"/>
  <c r="P61" i="14"/>
  <c r="G61" i="14" s="1"/>
  <c r="P56" i="14"/>
  <c r="I56" i="14" s="1"/>
  <c r="P23" i="14"/>
  <c r="E23" i="14" s="1"/>
  <c r="P86" i="13"/>
  <c r="P93" i="17"/>
  <c r="F93" i="17" s="1"/>
  <c r="P67" i="17"/>
  <c r="P116" i="16"/>
  <c r="D116" i="16" s="1"/>
  <c r="P61" i="16"/>
  <c r="L61" i="16" s="1"/>
  <c r="P123" i="15"/>
  <c r="C123" i="15" s="1"/>
  <c r="P86" i="15"/>
  <c r="P40" i="15"/>
  <c r="K40" i="15" s="1"/>
  <c r="P126" i="14"/>
  <c r="P72" i="14"/>
  <c r="B72" i="14" s="1"/>
  <c r="P59" i="14"/>
  <c r="L59" i="14" s="1"/>
  <c r="P32" i="14"/>
  <c r="B32" i="14" s="1"/>
  <c r="P28" i="14"/>
  <c r="F28" i="14" s="1"/>
  <c r="P22" i="14"/>
  <c r="P92" i="17"/>
  <c r="D92" i="17" s="1"/>
  <c r="P40" i="17"/>
  <c r="A40" i="17" s="1"/>
  <c r="P48" i="16"/>
  <c r="P14" i="16"/>
  <c r="G14" i="16" s="1"/>
  <c r="P121" i="15"/>
  <c r="L121" i="15" s="1"/>
  <c r="P64" i="14"/>
  <c r="B64" i="14" s="1"/>
  <c r="P57" i="14"/>
  <c r="P25" i="14"/>
  <c r="L25" i="14" s="1"/>
  <c r="P66" i="13"/>
  <c r="P58" i="13"/>
  <c r="K58" i="13" s="1"/>
  <c r="P52" i="13"/>
  <c r="K52" i="13" s="1"/>
  <c r="P47" i="13"/>
  <c r="G47" i="13" s="1"/>
  <c r="P22" i="13"/>
  <c r="J22" i="13" s="1"/>
  <c r="P86" i="12"/>
  <c r="A86" i="12" s="1"/>
  <c r="P59" i="12"/>
  <c r="F59" i="12" s="1"/>
  <c r="P26" i="12"/>
  <c r="D26" i="12" s="1"/>
  <c r="P120" i="11"/>
  <c r="P117" i="11"/>
  <c r="L117" i="11" s="1"/>
  <c r="P110" i="11"/>
  <c r="E110" i="11" s="1"/>
  <c r="P24" i="15"/>
  <c r="G24" i="15" s="1"/>
  <c r="P130" i="14"/>
  <c r="I130" i="14" s="1"/>
  <c r="P99" i="14"/>
  <c r="C99" i="14" s="1"/>
  <c r="P45" i="14"/>
  <c r="J45" i="14" s="1"/>
  <c r="P39" i="14"/>
  <c r="F39" i="14" s="1"/>
  <c r="P18" i="14"/>
  <c r="G18" i="14" s="1"/>
  <c r="P89" i="13"/>
  <c r="G89" i="13" s="1"/>
  <c r="P57" i="13"/>
  <c r="H57" i="13" s="1"/>
  <c r="P51" i="13"/>
  <c r="P16" i="13"/>
  <c r="K16" i="13" s="1"/>
  <c r="P29" i="16"/>
  <c r="A29" i="16" s="1"/>
  <c r="P84" i="15"/>
  <c r="K84" i="15" s="1"/>
  <c r="P61" i="15"/>
  <c r="B61" i="15" s="1"/>
  <c r="P125" i="14"/>
  <c r="L125" i="14" s="1"/>
  <c r="P112" i="14"/>
  <c r="B112" i="14" s="1"/>
  <c r="P17" i="14"/>
  <c r="G17" i="14" s="1"/>
  <c r="P121" i="13"/>
  <c r="H121" i="13" s="1"/>
  <c r="P88" i="13"/>
  <c r="I88" i="13" s="1"/>
  <c r="P83" i="18"/>
  <c r="H83" i="18" s="1"/>
  <c r="P87" i="17"/>
  <c r="G87" i="17" s="1"/>
  <c r="P70" i="16"/>
  <c r="E70" i="16" s="1"/>
  <c r="P39" i="17"/>
  <c r="P89" i="16"/>
  <c r="H89" i="16" s="1"/>
  <c r="P28" i="16"/>
  <c r="K28" i="16" s="1"/>
  <c r="P129" i="14"/>
  <c r="K129" i="14" s="1"/>
  <c r="P90" i="14"/>
  <c r="K90" i="14" s="1"/>
  <c r="P16" i="14"/>
  <c r="I16" i="14" s="1"/>
  <c r="P125" i="13"/>
  <c r="M125" i="13" s="1"/>
  <c r="P120" i="13"/>
  <c r="J120" i="13" s="1"/>
  <c r="P41" i="13"/>
  <c r="P25" i="13"/>
  <c r="F25" i="13" s="1"/>
  <c r="P12" i="13"/>
  <c r="K12" i="13" s="1"/>
  <c r="P114" i="12"/>
  <c r="P106" i="12"/>
  <c r="A106" i="12" s="1"/>
  <c r="P65" i="12"/>
  <c r="A65" i="12" s="1"/>
  <c r="P69" i="16"/>
  <c r="I69" i="16" s="1"/>
  <c r="P120" i="15"/>
  <c r="K120" i="15" s="1"/>
  <c r="P109" i="15"/>
  <c r="H109" i="15" s="1"/>
  <c r="P60" i="15"/>
  <c r="G60" i="15" s="1"/>
  <c r="P48" i="15"/>
  <c r="A48" i="15" s="1"/>
  <c r="P50" i="14"/>
  <c r="N50" i="14" s="1"/>
  <c r="P69" i="19"/>
  <c r="L69" i="19" s="1"/>
  <c r="P71" i="15"/>
  <c r="J71" i="15" s="1"/>
  <c r="P57" i="15"/>
  <c r="N57" i="15" s="1"/>
  <c r="P87" i="16"/>
  <c r="P45" i="16"/>
  <c r="F45" i="16" s="1"/>
  <c r="P46" i="15"/>
  <c r="E46" i="15" s="1"/>
  <c r="P13" i="15"/>
  <c r="E13" i="15" s="1"/>
  <c r="P10" i="14"/>
  <c r="F10" i="14" s="1"/>
  <c r="P114" i="13"/>
  <c r="F114" i="13" s="1"/>
  <c r="P75" i="14"/>
  <c r="I75" i="14" s="1"/>
  <c r="P67" i="14"/>
  <c r="K67" i="14" s="1"/>
  <c r="P29" i="14"/>
  <c r="F29" i="14" s="1"/>
  <c r="P105" i="16"/>
  <c r="J105" i="16" s="1"/>
  <c r="P65" i="15"/>
  <c r="B65" i="15" s="1"/>
  <c r="P30" i="15"/>
  <c r="E30" i="15" s="1"/>
  <c r="P62" i="16"/>
  <c r="F62" i="16" s="1"/>
  <c r="P97" i="13"/>
  <c r="A97" i="13" s="1"/>
  <c r="P15" i="13"/>
  <c r="P61" i="17"/>
  <c r="P34" i="16"/>
  <c r="P122" i="15"/>
  <c r="L122" i="15" s="1"/>
  <c r="P101" i="15"/>
  <c r="H101" i="15" s="1"/>
  <c r="P27" i="15"/>
  <c r="N27" i="15" s="1"/>
  <c r="P41" i="14"/>
  <c r="B41" i="14" s="1"/>
  <c r="P126" i="13"/>
  <c r="F126" i="13" s="1"/>
  <c r="P91" i="13"/>
  <c r="P122" i="17"/>
  <c r="J122" i="17" s="1"/>
  <c r="P45" i="15"/>
  <c r="P23" i="15"/>
  <c r="P124" i="14"/>
  <c r="N124" i="14" s="1"/>
  <c r="P58" i="14"/>
  <c r="K58" i="14" s="1"/>
  <c r="P29" i="13"/>
  <c r="F29" i="13" s="1"/>
  <c r="P40" i="14"/>
  <c r="B40" i="14" s="1"/>
  <c r="P124" i="13"/>
  <c r="K124" i="13" s="1"/>
  <c r="P107" i="13"/>
  <c r="G107" i="13" s="1"/>
  <c r="P101" i="13"/>
  <c r="F101" i="13" s="1"/>
  <c r="P19" i="13"/>
  <c r="N19" i="13" s="1"/>
  <c r="P120" i="17"/>
  <c r="N120" i="17" s="1"/>
  <c r="P114" i="15"/>
  <c r="C114" i="15" s="1"/>
  <c r="P105" i="14"/>
  <c r="P86" i="14"/>
  <c r="P76" i="14"/>
  <c r="J76" i="14" s="1"/>
  <c r="P100" i="13"/>
  <c r="H100" i="13" s="1"/>
  <c r="P85" i="13"/>
  <c r="F85" i="13" s="1"/>
  <c r="P60" i="13"/>
  <c r="D60" i="13" s="1"/>
  <c r="P55" i="13"/>
  <c r="L55" i="13" s="1"/>
  <c r="P111" i="12"/>
  <c r="I111" i="12" s="1"/>
  <c r="P107" i="12"/>
  <c r="P96" i="12"/>
  <c r="A96" i="12" s="1"/>
  <c r="P68" i="12"/>
  <c r="A68" i="12" s="1"/>
  <c r="P53" i="12"/>
  <c r="K53" i="12" s="1"/>
  <c r="P40" i="12"/>
  <c r="P65" i="19"/>
  <c r="G65" i="19" s="1"/>
  <c r="P17" i="18"/>
  <c r="N17" i="18" s="1"/>
  <c r="P115" i="14"/>
  <c r="G115" i="14" s="1"/>
  <c r="P47" i="14"/>
  <c r="B47" i="14" s="1"/>
  <c r="P106" i="13"/>
  <c r="J106" i="13" s="1"/>
  <c r="P99" i="13"/>
  <c r="D99" i="13" s="1"/>
  <c r="P84" i="13"/>
  <c r="D84" i="13" s="1"/>
  <c r="P75" i="13"/>
  <c r="E75" i="13" s="1"/>
  <c r="P43" i="13"/>
  <c r="K43" i="13" s="1"/>
  <c r="P32" i="13"/>
  <c r="K32" i="13" s="1"/>
  <c r="P110" i="12"/>
  <c r="C110" i="12" s="1"/>
  <c r="P67" i="12"/>
  <c r="A67" i="12" s="1"/>
  <c r="P43" i="12"/>
  <c r="P35" i="12"/>
  <c r="P135" i="15"/>
  <c r="C135" i="15" s="1"/>
  <c r="P113" i="15"/>
  <c r="H113" i="15" s="1"/>
  <c r="P21" i="14"/>
  <c r="F21" i="14" s="1"/>
  <c r="P39" i="15"/>
  <c r="C39" i="15" s="1"/>
  <c r="P55" i="14"/>
  <c r="K55" i="14" s="1"/>
  <c r="P31" i="14"/>
  <c r="E31" i="14" s="1"/>
  <c r="P11" i="14"/>
  <c r="N11" i="14" s="1"/>
  <c r="P111" i="13"/>
  <c r="G111" i="13" s="1"/>
  <c r="P79" i="13"/>
  <c r="G79" i="13" s="1"/>
  <c r="P48" i="13"/>
  <c r="B48" i="13" s="1"/>
  <c r="P82" i="12"/>
  <c r="A82" i="12" s="1"/>
  <c r="P79" i="12"/>
  <c r="A79" i="12" s="1"/>
  <c r="P57" i="12"/>
  <c r="K57" i="12" s="1"/>
  <c r="P52" i="12"/>
  <c r="D52" i="12" s="1"/>
  <c r="P30" i="12"/>
  <c r="B30" i="12" s="1"/>
  <c r="P17" i="16"/>
  <c r="J17" i="16" s="1"/>
  <c r="P129" i="15"/>
  <c r="B129" i="15" s="1"/>
  <c r="P102" i="15"/>
  <c r="E102" i="15" s="1"/>
  <c r="P70" i="15"/>
  <c r="E70" i="15" s="1"/>
  <c r="P82" i="14"/>
  <c r="A82" i="14" s="1"/>
  <c r="P66" i="14"/>
  <c r="G66" i="14" s="1"/>
  <c r="P52" i="14"/>
  <c r="I52" i="14" s="1"/>
  <c r="P103" i="13"/>
  <c r="P87" i="13"/>
  <c r="G87" i="13" s="1"/>
  <c r="P51" i="14"/>
  <c r="N51" i="14" s="1"/>
  <c r="P129" i="13"/>
  <c r="B129" i="13" s="1"/>
  <c r="P118" i="12"/>
  <c r="F118" i="12" s="1"/>
  <c r="P113" i="12"/>
  <c r="P109" i="12"/>
  <c r="I109" i="12" s="1"/>
  <c r="P100" i="12"/>
  <c r="A100" i="12" s="1"/>
  <c r="P95" i="12"/>
  <c r="A95" i="12" s="1"/>
  <c r="P85" i="12"/>
  <c r="A85" i="12" s="1"/>
  <c r="P54" i="12"/>
  <c r="A54" i="12" s="1"/>
  <c r="P48" i="12"/>
  <c r="P39" i="12"/>
  <c r="P39" i="11"/>
  <c r="H39" i="11" s="1"/>
  <c r="P66" i="15"/>
  <c r="C66" i="15" s="1"/>
  <c r="P95" i="13"/>
  <c r="I95" i="13" s="1"/>
  <c r="P67" i="13"/>
  <c r="N67" i="13" s="1"/>
  <c r="P24" i="13"/>
  <c r="E24" i="13" s="1"/>
  <c r="P126" i="12"/>
  <c r="L126" i="12" s="1"/>
  <c r="P89" i="12"/>
  <c r="A89" i="12" s="1"/>
  <c r="P84" i="12"/>
  <c r="A84" i="12" s="1"/>
  <c r="P58" i="12"/>
  <c r="P38" i="12"/>
  <c r="D38" i="12" s="1"/>
  <c r="P131" i="11"/>
  <c r="N131" i="11" s="1"/>
  <c r="P33" i="15"/>
  <c r="A33" i="15" s="1"/>
  <c r="P111" i="14"/>
  <c r="L111" i="14" s="1"/>
  <c r="P49" i="14"/>
  <c r="P128" i="13"/>
  <c r="B128" i="13" s="1"/>
  <c r="P17" i="13"/>
  <c r="I17" i="13" s="1"/>
  <c r="P14" i="11"/>
  <c r="P123" i="10"/>
  <c r="P117" i="10"/>
  <c r="A117" i="10" s="1"/>
  <c r="P86" i="10"/>
  <c r="P109" i="13"/>
  <c r="L109" i="13" s="1"/>
  <c r="P94" i="13"/>
  <c r="E94" i="13" s="1"/>
  <c r="P23" i="13"/>
  <c r="P121" i="12"/>
  <c r="F121" i="12" s="1"/>
  <c r="P117" i="12"/>
  <c r="L117" i="12" s="1"/>
  <c r="P88" i="12"/>
  <c r="A88" i="12" s="1"/>
  <c r="P83" i="12"/>
  <c r="A83" i="12" s="1"/>
  <c r="P42" i="12"/>
  <c r="G42" i="12" s="1"/>
  <c r="P33" i="12"/>
  <c r="D33" i="12" s="1"/>
  <c r="P25" i="12"/>
  <c r="D25" i="12" s="1"/>
  <c r="P16" i="12"/>
  <c r="B16" i="12" s="1"/>
  <c r="P89" i="11"/>
  <c r="P72" i="11"/>
  <c r="P63" i="11"/>
  <c r="H63" i="11" s="1"/>
  <c r="P59" i="11"/>
  <c r="J59" i="11" s="1"/>
  <c r="P114" i="10"/>
  <c r="N114" i="10" s="1"/>
  <c r="P67" i="10"/>
  <c r="B67" i="10" s="1"/>
  <c r="P64" i="10"/>
  <c r="I64" i="10" s="1"/>
  <c r="P30" i="10"/>
  <c r="G30" i="10" s="1"/>
  <c r="P27" i="10"/>
  <c r="B27" i="10" s="1"/>
  <c r="P15" i="10"/>
  <c r="P123" i="14"/>
  <c r="N123" i="14" s="1"/>
  <c r="P63" i="14"/>
  <c r="F63" i="14" s="1"/>
  <c r="P116" i="12"/>
  <c r="K116" i="12" s="1"/>
  <c r="P99" i="12"/>
  <c r="A99" i="12" s="1"/>
  <c r="P74" i="12"/>
  <c r="A74" i="12" s="1"/>
  <c r="P32" i="12"/>
  <c r="J32" i="12" s="1"/>
  <c r="P20" i="12"/>
  <c r="A20" i="12" s="1"/>
  <c r="P124" i="11"/>
  <c r="H124" i="11" s="1"/>
  <c r="P106" i="11"/>
  <c r="J106" i="11" s="1"/>
  <c r="P34" i="11"/>
  <c r="H34" i="11" s="1"/>
  <c r="P26" i="11"/>
  <c r="K26" i="11" s="1"/>
  <c r="P113" i="10"/>
  <c r="D113" i="10" s="1"/>
  <c r="P93" i="10"/>
  <c r="P85" i="10"/>
  <c r="P77" i="10"/>
  <c r="P26" i="10"/>
  <c r="P93" i="15"/>
  <c r="K93" i="15" s="1"/>
  <c r="P93" i="13"/>
  <c r="P72" i="13"/>
  <c r="J72" i="13" s="1"/>
  <c r="P65" i="13"/>
  <c r="C65" i="13" s="1"/>
  <c r="P42" i="13"/>
  <c r="N42" i="13" s="1"/>
  <c r="P30" i="13"/>
  <c r="G30" i="13" s="1"/>
  <c r="P94" i="12"/>
  <c r="A94" i="12" s="1"/>
  <c r="P80" i="12"/>
  <c r="A80" i="12" s="1"/>
  <c r="P31" i="12"/>
  <c r="K31" i="12" s="1"/>
  <c r="P103" i="11"/>
  <c r="J103" i="11" s="1"/>
  <c r="P93" i="11"/>
  <c r="G93" i="11" s="1"/>
  <c r="P33" i="11"/>
  <c r="B33" i="11" s="1"/>
  <c r="P105" i="10"/>
  <c r="P102" i="10"/>
  <c r="P99" i="10"/>
  <c r="B99" i="10" s="1"/>
  <c r="P92" i="10"/>
  <c r="B92" i="10" s="1"/>
  <c r="P90" i="10"/>
  <c r="B90" i="10" s="1"/>
  <c r="P56" i="10"/>
  <c r="P45" i="10"/>
  <c r="P32" i="10"/>
  <c r="B32" i="10" s="1"/>
  <c r="P29" i="10"/>
  <c r="P109" i="14"/>
  <c r="K109" i="14" s="1"/>
  <c r="P77" i="14"/>
  <c r="K77" i="14" s="1"/>
  <c r="P64" i="13"/>
  <c r="G64" i="13" s="1"/>
  <c r="P50" i="13"/>
  <c r="K50" i="13" s="1"/>
  <c r="P92" i="12"/>
  <c r="A92" i="12" s="1"/>
  <c r="P47" i="12"/>
  <c r="B47" i="12" s="1"/>
  <c r="P128" i="11"/>
  <c r="N128" i="11" s="1"/>
  <c r="P77" i="11"/>
  <c r="P41" i="11"/>
  <c r="B41" i="11" s="1"/>
  <c r="P129" i="10"/>
  <c r="P120" i="10"/>
  <c r="P96" i="10"/>
  <c r="P82" i="10"/>
  <c r="P76" i="10"/>
  <c r="B76" i="10" s="1"/>
  <c r="P44" i="10"/>
  <c r="P23" i="10"/>
  <c r="P20" i="22"/>
  <c r="L20" i="22" s="1"/>
  <c r="P52" i="15"/>
  <c r="P123" i="13"/>
  <c r="P70" i="13"/>
  <c r="I70" i="13" s="1"/>
  <c r="P87" i="12"/>
  <c r="A87" i="12" s="1"/>
  <c r="P119" i="14"/>
  <c r="M119" i="14" s="1"/>
  <c r="P113" i="13"/>
  <c r="P98" i="13"/>
  <c r="P82" i="13"/>
  <c r="E82" i="13" s="1"/>
  <c r="P39" i="13"/>
  <c r="D39" i="13" s="1"/>
  <c r="P26" i="13"/>
  <c r="J26" i="13" s="1"/>
  <c r="P128" i="12"/>
  <c r="M128" i="12" s="1"/>
  <c r="P103" i="12"/>
  <c r="A103" i="12" s="1"/>
  <c r="P118" i="11"/>
  <c r="A118" i="11" s="1"/>
  <c r="P91" i="11"/>
  <c r="K91" i="11" s="1"/>
  <c r="P68" i="11"/>
  <c r="E68" i="11" s="1"/>
  <c r="P58" i="11"/>
  <c r="L58" i="11" s="1"/>
  <c r="P43" i="11"/>
  <c r="J43" i="11" s="1"/>
  <c r="P116" i="14"/>
  <c r="N116" i="14" s="1"/>
  <c r="P13" i="14"/>
  <c r="L13" i="14" s="1"/>
  <c r="P77" i="13"/>
  <c r="L77" i="13" s="1"/>
  <c r="P129" i="12"/>
  <c r="F129" i="12" s="1"/>
  <c r="P108" i="12"/>
  <c r="H108" i="12" s="1"/>
  <c r="P61" i="11"/>
  <c r="L61" i="11" s="1"/>
  <c r="P55" i="11"/>
  <c r="P51" i="11"/>
  <c r="P20" i="11"/>
  <c r="B20" i="11" s="1"/>
  <c r="P63" i="13"/>
  <c r="A63" i="13" s="1"/>
  <c r="P77" i="12"/>
  <c r="A77" i="12" s="1"/>
  <c r="P76" i="12"/>
  <c r="A76" i="12" s="1"/>
  <c r="P126" i="11"/>
  <c r="D126" i="11" s="1"/>
  <c r="P50" i="11"/>
  <c r="E50" i="11" s="1"/>
  <c r="P61" i="10"/>
  <c r="P38" i="13"/>
  <c r="K38" i="13" s="1"/>
  <c r="P18" i="13"/>
  <c r="J18" i="13" s="1"/>
  <c r="P26" i="15"/>
  <c r="N26" i="15" s="1"/>
  <c r="P106" i="14"/>
  <c r="G106" i="14" s="1"/>
  <c r="P62" i="13"/>
  <c r="H62" i="13" s="1"/>
  <c r="P112" i="12"/>
  <c r="K112" i="12" s="1"/>
  <c r="P37" i="12"/>
  <c r="G37" i="12" s="1"/>
  <c r="P121" i="11"/>
  <c r="E121" i="11" s="1"/>
  <c r="P86" i="11"/>
  <c r="A86" i="11" s="1"/>
  <c r="P28" i="11"/>
  <c r="P109" i="10"/>
  <c r="P101" i="10"/>
  <c r="A101" i="10" s="1"/>
  <c r="P103" i="14"/>
  <c r="K103" i="14" s="1"/>
  <c r="P83" i="13"/>
  <c r="G83" i="13" s="1"/>
  <c r="P73" i="13"/>
  <c r="N73" i="13" s="1"/>
  <c r="P61" i="13"/>
  <c r="P49" i="13"/>
  <c r="H49" i="13" s="1"/>
  <c r="P44" i="12"/>
  <c r="K44" i="12" s="1"/>
  <c r="P19" i="12"/>
  <c r="P130" i="11"/>
  <c r="H130" i="11" s="1"/>
  <c r="P38" i="11"/>
  <c r="H38" i="11" s="1"/>
  <c r="P27" i="11"/>
  <c r="E27" i="11" s="1"/>
  <c r="P19" i="10"/>
  <c r="E19" i="10" s="1"/>
  <c r="P40" i="16"/>
  <c r="P102" i="14"/>
  <c r="P53" i="14"/>
  <c r="L53" i="14" s="1"/>
  <c r="P131" i="12"/>
  <c r="P125" i="11"/>
  <c r="L125" i="11" s="1"/>
  <c r="P109" i="11"/>
  <c r="J109" i="11" s="1"/>
  <c r="P101" i="11"/>
  <c r="B101" i="11" s="1"/>
  <c r="P75" i="11"/>
  <c r="P48" i="11"/>
  <c r="B48" i="11" s="1"/>
  <c r="P22" i="11"/>
  <c r="H22" i="11" s="1"/>
  <c r="P119" i="10"/>
  <c r="L119" i="10" s="1"/>
  <c r="P84" i="10"/>
  <c r="A84" i="10" s="1"/>
  <c r="P69" i="10"/>
  <c r="B69" i="10" s="1"/>
  <c r="P134" i="15"/>
  <c r="E134" i="15" s="1"/>
  <c r="P125" i="12"/>
  <c r="D125" i="12" s="1"/>
  <c r="P113" i="11"/>
  <c r="I113" i="11" s="1"/>
  <c r="P37" i="11"/>
  <c r="P32" i="11"/>
  <c r="P126" i="10"/>
  <c r="P83" i="10"/>
  <c r="P50" i="10"/>
  <c r="H50" i="10" s="1"/>
  <c r="P46" i="12"/>
  <c r="N46" i="12" s="1"/>
  <c r="P23" i="12"/>
  <c r="K23" i="12" s="1"/>
  <c r="P104" i="11"/>
  <c r="K104" i="11" s="1"/>
  <c r="P99" i="11"/>
  <c r="K99" i="11" s="1"/>
  <c r="P54" i="11"/>
  <c r="H54" i="11" s="1"/>
  <c r="P40" i="11"/>
  <c r="G40" i="11" s="1"/>
  <c r="P89" i="10"/>
  <c r="P53" i="10"/>
  <c r="P96" i="13"/>
  <c r="P44" i="13"/>
  <c r="B44" i="13" s="1"/>
  <c r="P45" i="12"/>
  <c r="F45" i="12" s="1"/>
  <c r="P92" i="11"/>
  <c r="E92" i="11" s="1"/>
  <c r="P130" i="10"/>
  <c r="F130" i="10" s="1"/>
  <c r="P115" i="10"/>
  <c r="P59" i="10"/>
  <c r="P24" i="10"/>
  <c r="A24" i="10" s="1"/>
  <c r="P51" i="15"/>
  <c r="B51" i="15" s="1"/>
  <c r="P60" i="14"/>
  <c r="E60" i="14" s="1"/>
  <c r="P59" i="13"/>
  <c r="L59" i="13" s="1"/>
  <c r="P83" i="11"/>
  <c r="C83" i="11" s="1"/>
  <c r="P60" i="11"/>
  <c r="A60" i="11" s="1"/>
  <c r="P47" i="11"/>
  <c r="N47" i="11" s="1"/>
  <c r="P108" i="10"/>
  <c r="P58" i="10"/>
  <c r="A58" i="10" s="1"/>
  <c r="P19" i="14"/>
  <c r="K19" i="14" s="1"/>
  <c r="P117" i="13"/>
  <c r="J117" i="13" s="1"/>
  <c r="P76" i="13"/>
  <c r="P127" i="12"/>
  <c r="L127" i="12" s="1"/>
  <c r="P123" i="11"/>
  <c r="H123" i="11" s="1"/>
  <c r="P116" i="11"/>
  <c r="C116" i="11" s="1"/>
  <c r="P98" i="11"/>
  <c r="D98" i="11" s="1"/>
  <c r="P66" i="11"/>
  <c r="E66" i="11" s="1"/>
  <c r="P53" i="11"/>
  <c r="N53" i="11" s="1"/>
  <c r="P124" i="10"/>
  <c r="J124" i="10" s="1"/>
  <c r="P121" i="10"/>
  <c r="P107" i="10"/>
  <c r="P103" i="10"/>
  <c r="A103" i="10" s="1"/>
  <c r="P88" i="10"/>
  <c r="P42" i="10"/>
  <c r="B42" i="10" s="1"/>
  <c r="P28" i="10"/>
  <c r="P11" i="10"/>
  <c r="P115" i="13"/>
  <c r="J115" i="13" s="1"/>
  <c r="P56" i="12"/>
  <c r="C56" i="12" s="1"/>
  <c r="P46" i="11"/>
  <c r="P70" i="10"/>
  <c r="N70" i="10" s="1"/>
  <c r="P63" i="10"/>
  <c r="P97" i="12"/>
  <c r="A97" i="12" s="1"/>
  <c r="P22" i="12"/>
  <c r="B22" i="12" s="1"/>
  <c r="P115" i="11"/>
  <c r="N115" i="11" s="1"/>
  <c r="P78" i="10"/>
  <c r="B78" i="10" s="1"/>
  <c r="P41" i="10"/>
  <c r="P40" i="13"/>
  <c r="G40" i="13" s="1"/>
  <c r="P82" i="11"/>
  <c r="P71" i="11"/>
  <c r="J71" i="11" s="1"/>
  <c r="P24" i="11"/>
  <c r="B24" i="11" s="1"/>
  <c r="P18" i="11"/>
  <c r="A18" i="11" s="1"/>
  <c r="P10" i="10"/>
  <c r="P89" i="14"/>
  <c r="P34" i="12"/>
  <c r="G34" i="12" s="1"/>
  <c r="P108" i="11"/>
  <c r="G108" i="11" s="1"/>
  <c r="P97" i="11"/>
  <c r="G97" i="11" s="1"/>
  <c r="P90" i="11"/>
  <c r="P65" i="11"/>
  <c r="F65" i="11" s="1"/>
  <c r="P52" i="11"/>
  <c r="E52" i="11" s="1"/>
  <c r="P87" i="10"/>
  <c r="P74" i="10"/>
  <c r="P52" i="10"/>
  <c r="P47" i="10"/>
  <c r="P46" i="14"/>
  <c r="P108" i="13"/>
  <c r="P95" i="11"/>
  <c r="J95" i="11" s="1"/>
  <c r="P57" i="11"/>
  <c r="J57" i="11" s="1"/>
  <c r="P45" i="11"/>
  <c r="G45" i="11" s="1"/>
  <c r="P128" i="10"/>
  <c r="P98" i="10"/>
  <c r="F98" i="10" s="1"/>
  <c r="P51" i="10"/>
  <c r="B51" i="10" s="1"/>
  <c r="P40" i="10"/>
  <c r="H40" i="10" s="1"/>
  <c r="P36" i="10"/>
  <c r="E36" i="10" s="1"/>
  <c r="P31" i="10"/>
  <c r="P18" i="10"/>
  <c r="P121" i="14"/>
  <c r="P55" i="12"/>
  <c r="A55" i="12" s="1"/>
  <c r="P44" i="11"/>
  <c r="F44" i="11" s="1"/>
  <c r="P31" i="11"/>
  <c r="H31" i="11" s="1"/>
  <c r="P17" i="11"/>
  <c r="J17" i="11" s="1"/>
  <c r="P46" i="10"/>
  <c r="P72" i="12"/>
  <c r="A72" i="12" s="1"/>
  <c r="P129" i="11"/>
  <c r="H129" i="11" s="1"/>
  <c r="P64" i="11"/>
  <c r="B64" i="11" s="1"/>
  <c r="P16" i="11"/>
  <c r="K16" i="11" s="1"/>
  <c r="P68" i="10"/>
  <c r="G68" i="10" s="1"/>
  <c r="P21" i="13"/>
  <c r="F21" i="13" s="1"/>
  <c r="P123" i="12"/>
  <c r="A123" i="12" s="1"/>
  <c r="P93" i="12"/>
  <c r="A93" i="12" s="1"/>
  <c r="P51" i="12"/>
  <c r="L51" i="12" s="1"/>
  <c r="P107" i="11"/>
  <c r="H107" i="11" s="1"/>
  <c r="P102" i="11"/>
  <c r="I102" i="11" s="1"/>
  <c r="P70" i="11"/>
  <c r="H70" i="11" s="1"/>
  <c r="P18" i="15"/>
  <c r="N18" i="15" s="1"/>
  <c r="P90" i="13"/>
  <c r="J90" i="13" s="1"/>
  <c r="P20" i="13"/>
  <c r="G20" i="13" s="1"/>
  <c r="P91" i="12"/>
  <c r="A91" i="12" s="1"/>
  <c r="P41" i="12"/>
  <c r="C41" i="12" s="1"/>
  <c r="P18" i="12"/>
  <c r="K18" i="12" s="1"/>
  <c r="P112" i="11"/>
  <c r="E112" i="11" s="1"/>
  <c r="P29" i="11"/>
  <c r="N29" i="11" s="1"/>
  <c r="P23" i="11"/>
  <c r="H23" i="11" s="1"/>
  <c r="P118" i="10"/>
  <c r="D118" i="10" s="1"/>
  <c r="P112" i="10"/>
  <c r="K112" i="10" s="1"/>
  <c r="P97" i="10"/>
  <c r="P39" i="10"/>
  <c r="P35" i="10"/>
  <c r="G35" i="10" s="1"/>
  <c r="P22" i="10"/>
  <c r="F22" i="10" s="1"/>
  <c r="P108" i="15"/>
  <c r="F108" i="15" s="1"/>
  <c r="P43" i="14"/>
  <c r="N43" i="14" s="1"/>
  <c r="P104" i="13"/>
  <c r="F104" i="13" s="1"/>
  <c r="P27" i="12"/>
  <c r="P88" i="11"/>
  <c r="N88" i="11" s="1"/>
  <c r="P62" i="11"/>
  <c r="H62" i="11" s="1"/>
  <c r="P91" i="10"/>
  <c r="B91" i="10" s="1"/>
  <c r="P34" i="10"/>
  <c r="P21" i="10"/>
  <c r="P69" i="13"/>
  <c r="G69" i="13" s="1"/>
  <c r="P11" i="12"/>
  <c r="P80" i="11"/>
  <c r="P73" i="10"/>
  <c r="P17" i="10"/>
  <c r="M10" i="5"/>
  <c r="M8" i="5"/>
  <c r="O33" i="5"/>
  <c r="O31" i="5"/>
  <c r="O36" i="5"/>
  <c r="O34" i="5"/>
  <c r="M35" i="5"/>
  <c r="M31" i="5"/>
  <c r="M34" i="5"/>
  <c r="C54" i="5"/>
  <c r="C52" i="5"/>
  <c r="C55" i="5"/>
  <c r="C5" i="17"/>
  <c r="I62" i="5"/>
  <c r="I60" i="5"/>
  <c r="I55" i="5"/>
  <c r="I53" i="5"/>
  <c r="B13" i="4"/>
  <c r="C16" i="4"/>
  <c r="M19" i="4"/>
  <c r="K22" i="4"/>
  <c r="D26" i="4"/>
  <c r="J29" i="4"/>
  <c r="M32" i="4"/>
  <c r="F32" i="5"/>
  <c r="F36" i="5"/>
  <c r="K54" i="5"/>
  <c r="P69" i="11"/>
  <c r="F69" i="11" s="1"/>
  <c r="P85" i="11"/>
  <c r="F85" i="11" s="1"/>
  <c r="P119" i="11"/>
  <c r="M119" i="11" s="1"/>
  <c r="P81" i="12"/>
  <c r="A81" i="12" s="1"/>
  <c r="P125" i="16"/>
  <c r="E125" i="16" s="1"/>
  <c r="P68" i="17"/>
  <c r="E68" i="17" s="1"/>
  <c r="P100" i="11"/>
  <c r="I100" i="11" s="1"/>
  <c r="B31" i="2"/>
  <c r="F31" i="2" s="1"/>
  <c r="I6" i="4"/>
  <c r="B10" i="4"/>
  <c r="C13" i="4"/>
  <c r="E16" i="4"/>
  <c r="B20" i="4"/>
  <c r="L22" i="4"/>
  <c r="K29" i="4"/>
  <c r="C33" i="4"/>
  <c r="F34" i="5"/>
  <c r="F21" i="6"/>
  <c r="P60" i="10"/>
  <c r="P35" i="11"/>
  <c r="G35" i="11" s="1"/>
  <c r="P87" i="11"/>
  <c r="H87" i="11" s="1"/>
  <c r="P27" i="14"/>
  <c r="F27" i="14" s="1"/>
  <c r="P33" i="10"/>
  <c r="F33" i="10" s="1"/>
  <c r="B32" i="5"/>
  <c r="B35" i="5"/>
  <c r="K30" i="5"/>
  <c r="K35" i="5"/>
  <c r="K33" i="5"/>
  <c r="K36" i="5"/>
  <c r="K6" i="4"/>
  <c r="C10" i="4"/>
  <c r="D13" i="4"/>
  <c r="C20" i="4"/>
  <c r="M22" i="4"/>
  <c r="L29" i="4"/>
  <c r="F33" i="4"/>
  <c r="C6" i="5"/>
  <c r="C8" i="5"/>
  <c r="C10" i="5"/>
  <c r="H44" i="5"/>
  <c r="M54" i="5"/>
  <c r="C20" i="7"/>
  <c r="P33" i="13"/>
  <c r="H33" i="13" s="1"/>
  <c r="E11" i="2"/>
  <c r="D10" i="4"/>
  <c r="E13" i="4"/>
  <c r="D20" i="4"/>
  <c r="B23" i="4"/>
  <c r="M29" i="4"/>
  <c r="K33" i="4"/>
  <c r="D26" i="5"/>
  <c r="P23" i="5"/>
  <c r="J42" i="5"/>
  <c r="J62" i="5"/>
  <c r="P13" i="10"/>
  <c r="P110" i="10"/>
  <c r="N110" i="10" s="1"/>
  <c r="P122" i="10"/>
  <c r="B122" i="10" s="1"/>
  <c r="P36" i="11"/>
  <c r="H36" i="11" s="1"/>
  <c r="P35" i="13"/>
  <c r="G35" i="13" s="1"/>
  <c r="P81" i="13"/>
  <c r="P57" i="10"/>
  <c r="G57" i="10" s="1"/>
  <c r="F11" i="2"/>
  <c r="E10" i="4"/>
  <c r="F13" i="4"/>
  <c r="D17" i="4"/>
  <c r="E20" i="4"/>
  <c r="C23" i="4"/>
  <c r="B30" i="4"/>
  <c r="B34" i="4"/>
  <c r="J46" i="5"/>
  <c r="C21" i="7"/>
  <c r="P14" i="10"/>
  <c r="P21" i="11"/>
  <c r="H21" i="11" s="1"/>
  <c r="P105" i="11"/>
  <c r="D105" i="11" s="1"/>
  <c r="P29" i="12"/>
  <c r="N29" i="12" s="1"/>
  <c r="P36" i="14"/>
  <c r="C36" i="14" s="1"/>
  <c r="H11" i="2"/>
  <c r="F10" i="4"/>
  <c r="E17" i="4"/>
  <c r="F20" i="4"/>
  <c r="D23" i="4"/>
  <c r="C30" i="4"/>
  <c r="C34" i="4"/>
  <c r="K32" i="5"/>
  <c r="K52" i="5"/>
  <c r="L62" i="5"/>
  <c r="C27" i="6"/>
  <c r="P16" i="10"/>
  <c r="A16" i="10" s="1"/>
  <c r="P48" i="10"/>
  <c r="F48" i="10" s="1"/>
  <c r="P75" i="10"/>
  <c r="P73" i="11"/>
  <c r="N73" i="11" s="1"/>
  <c r="F17" i="4"/>
  <c r="E23" i="4"/>
  <c r="B27" i="4"/>
  <c r="D34" i="4"/>
  <c r="P120" i="12"/>
  <c r="F120" i="12" s="1"/>
  <c r="E28" i="2"/>
  <c r="I17" i="4"/>
  <c r="C27" i="4"/>
  <c r="F30" i="4"/>
  <c r="E34" i="4"/>
  <c r="M52" i="5"/>
  <c r="F28" i="6"/>
  <c r="G28" i="6" s="1"/>
  <c r="P37" i="10"/>
  <c r="B37" i="10" s="1"/>
  <c r="P62" i="10"/>
  <c r="F62" i="10" s="1"/>
  <c r="P56" i="11"/>
  <c r="G56" i="11" s="1"/>
  <c r="P62" i="12"/>
  <c r="A62" i="12" s="1"/>
  <c r="E30" i="4"/>
  <c r="J7" i="4"/>
  <c r="J17" i="4"/>
  <c r="D27" i="4"/>
  <c r="F34" i="4"/>
  <c r="P49" i="10"/>
  <c r="C49" i="10" s="1"/>
  <c r="K5" i="11"/>
  <c r="P66" i="12"/>
  <c r="A66" i="12" s="1"/>
  <c r="P133" i="11"/>
  <c r="D133" i="11" s="1"/>
  <c r="C43" i="5"/>
  <c r="C41" i="5"/>
  <c r="C46" i="5"/>
  <c r="C44" i="5"/>
  <c r="K34" i="5"/>
  <c r="H60" i="5"/>
  <c r="C28" i="6"/>
  <c r="K7" i="4"/>
  <c r="D14" i="4"/>
  <c r="K17" i="4"/>
  <c r="C24" i="4"/>
  <c r="E27" i="4"/>
  <c r="I34" i="4"/>
  <c r="B31" i="5"/>
  <c r="C45" i="5"/>
  <c r="C29" i="6"/>
  <c r="P38" i="10"/>
  <c r="B38" i="10" s="1"/>
  <c r="P125" i="10"/>
  <c r="J125" i="10" s="1"/>
  <c r="P127" i="11"/>
  <c r="I127" i="11" s="1"/>
  <c r="P46" i="13"/>
  <c r="F24" i="4"/>
  <c r="F27" i="4"/>
  <c r="B31" i="4"/>
  <c r="K26" i="5"/>
  <c r="B33" i="5"/>
  <c r="D29" i="6"/>
  <c r="P65" i="10"/>
  <c r="I65" i="10" s="1"/>
  <c r="P111" i="10"/>
  <c r="M7" i="4"/>
  <c r="B11" i="4"/>
  <c r="L14" i="4"/>
  <c r="M17" i="4"/>
  <c r="E31" i="4"/>
  <c r="K34" i="4"/>
  <c r="C47" i="5"/>
  <c r="H28" i="6"/>
  <c r="D18" i="6"/>
  <c r="E18" i="6" s="1"/>
  <c r="H32" i="6"/>
  <c r="E28" i="6"/>
  <c r="G14" i="6"/>
  <c r="D28" i="6"/>
  <c r="D14" i="6"/>
  <c r="E32" i="6"/>
  <c r="B28" i="6"/>
  <c r="D32" i="6"/>
  <c r="F27" i="6"/>
  <c r="G27" i="6" s="1"/>
  <c r="C13" i="6"/>
  <c r="G13" i="6" s="1"/>
  <c r="B32" i="6"/>
  <c r="C12" i="6"/>
  <c r="G12" i="6" s="1"/>
  <c r="F31" i="6"/>
  <c r="G31" i="6" s="1"/>
  <c r="D26" i="6"/>
  <c r="D11" i="6"/>
  <c r="E31" i="6"/>
  <c r="C26" i="6"/>
  <c r="C10" i="6"/>
  <c r="G10" i="6" s="1"/>
  <c r="F30" i="6"/>
  <c r="G30" i="6" s="1"/>
  <c r="E29" i="6"/>
  <c r="P74" i="11"/>
  <c r="D74" i="11" s="1"/>
  <c r="P69" i="12"/>
  <c r="A69" i="12" s="1"/>
  <c r="P122" i="12"/>
  <c r="B33" i="2"/>
  <c r="F33" i="2" s="1"/>
  <c r="B8" i="4"/>
  <c r="C11" i="4"/>
  <c r="M14" i="4"/>
  <c r="B18" i="4"/>
  <c r="J31" i="4"/>
  <c r="L34" i="4"/>
  <c r="M26" i="5"/>
  <c r="F35" i="5"/>
  <c r="F29" i="6"/>
  <c r="G29" i="6" s="1"/>
  <c r="P66" i="10"/>
  <c r="N66" i="10" s="1"/>
  <c r="P100" i="10"/>
  <c r="P42" i="11"/>
  <c r="K42" i="11" s="1"/>
  <c r="P78" i="11"/>
  <c r="D78" i="11" s="1"/>
  <c r="P94" i="11"/>
  <c r="D94" i="11" s="1"/>
  <c r="P101" i="12"/>
  <c r="A101" i="12" s="1"/>
  <c r="P54" i="13"/>
  <c r="K54" i="13" s="1"/>
  <c r="C8" i="4"/>
  <c r="D11" i="4"/>
  <c r="B15" i="4"/>
  <c r="C18" i="4"/>
  <c r="F31" i="5"/>
  <c r="H29" i="6"/>
  <c r="P127" i="10"/>
  <c r="P132" i="11"/>
  <c r="G132" i="11" s="1"/>
  <c r="B29" i="2"/>
  <c r="F29" i="2" s="1"/>
  <c r="E33" i="2"/>
  <c r="D8" i="4"/>
  <c r="E11" i="4"/>
  <c r="C15" i="4"/>
  <c r="D18" i="4"/>
  <c r="L31" i="4"/>
  <c r="C35" i="4"/>
  <c r="C5" i="5"/>
  <c r="H43" i="5"/>
  <c r="H45" i="5"/>
  <c r="F61" i="5"/>
  <c r="B30" i="6"/>
  <c r="C15" i="7"/>
  <c r="P13" i="11"/>
  <c r="I13" i="11" s="1"/>
  <c r="P111" i="11"/>
  <c r="M111" i="11" s="1"/>
  <c r="P70" i="12"/>
  <c r="A70" i="12" s="1"/>
  <c r="E29" i="2"/>
  <c r="E8" i="4"/>
  <c r="I11" i="4"/>
  <c r="D15" i="4"/>
  <c r="E18" i="4"/>
  <c r="B28" i="4"/>
  <c r="D35" i="4"/>
  <c r="M53" i="5"/>
  <c r="C14" i="6"/>
  <c r="C30" i="6"/>
  <c r="P79" i="10"/>
  <c r="B79" i="10" s="1"/>
  <c r="P79" i="11"/>
  <c r="G79" i="11" s="1"/>
  <c r="P71" i="12"/>
  <c r="A71" i="12" s="1"/>
  <c r="F8" i="4"/>
  <c r="E15" i="4"/>
  <c r="F18" i="4"/>
  <c r="B25" i="4"/>
  <c r="C28" i="4"/>
  <c r="B32" i="4"/>
  <c r="E35" i="4"/>
  <c r="H47" i="5"/>
  <c r="B31" i="6"/>
  <c r="P54" i="10"/>
  <c r="P116" i="10"/>
  <c r="F116" i="10" s="1"/>
  <c r="P49" i="12"/>
  <c r="C49" i="12" s="1"/>
  <c r="E13" i="7"/>
  <c r="H39" i="8"/>
  <c r="J26" i="5"/>
  <c r="P21" i="5"/>
  <c r="E16" i="8"/>
  <c r="J16" i="8" s="1"/>
  <c r="B26" i="5"/>
  <c r="B28" i="2"/>
  <c r="O26" i="5"/>
  <c r="P18" i="5"/>
  <c r="H26" i="5"/>
  <c r="E13" i="8"/>
  <c r="I26" i="5"/>
  <c r="G12" i="11"/>
  <c r="F12" i="11"/>
  <c r="C9" i="17"/>
  <c r="P33" i="19"/>
  <c r="G33" i="19" s="1"/>
  <c r="P9" i="19"/>
  <c r="A9" i="19" s="1"/>
  <c r="P94" i="18"/>
  <c r="H94" i="18" s="1"/>
  <c r="P56" i="18"/>
  <c r="B56" i="18" s="1"/>
  <c r="P42" i="18"/>
  <c r="C42" i="18" s="1"/>
  <c r="P24" i="18"/>
  <c r="H24" i="18" s="1"/>
  <c r="P119" i="17"/>
  <c r="J119" i="17" s="1"/>
  <c r="P90" i="17"/>
  <c r="B90" i="17" s="1"/>
  <c r="P53" i="22"/>
  <c r="F53" i="22" s="1"/>
  <c r="P17" i="21"/>
  <c r="B17" i="21" s="1"/>
  <c r="P60" i="19"/>
  <c r="H60" i="19" s="1"/>
  <c r="P28" i="19"/>
  <c r="H28" i="19" s="1"/>
  <c r="P111" i="18"/>
  <c r="H111" i="18" s="1"/>
  <c r="P90" i="18"/>
  <c r="N90" i="18" s="1"/>
  <c r="P49" i="18"/>
  <c r="N49" i="18" s="1"/>
  <c r="P46" i="17"/>
  <c r="H46" i="17" s="1"/>
  <c r="P33" i="17"/>
  <c r="D33" i="17" s="1"/>
  <c r="P28" i="17"/>
  <c r="C28" i="17" s="1"/>
  <c r="P25" i="17"/>
  <c r="G25" i="17" s="1"/>
  <c r="P94" i="16"/>
  <c r="N94" i="16" s="1"/>
  <c r="P30" i="22"/>
  <c r="J30" i="22" s="1"/>
  <c r="P24" i="21"/>
  <c r="I24" i="21" s="1"/>
  <c r="P115" i="20"/>
  <c r="F115" i="20" s="1"/>
  <c r="P22" i="20"/>
  <c r="A22" i="20" s="1"/>
  <c r="P28" i="22"/>
  <c r="B28" i="22" s="1"/>
  <c r="P16" i="21"/>
  <c r="I16" i="21" s="1"/>
  <c r="P31" i="21"/>
  <c r="P35" i="19"/>
  <c r="K35" i="19" s="1"/>
  <c r="P10" i="19"/>
  <c r="K10" i="19" s="1"/>
  <c r="P89" i="18"/>
  <c r="C89" i="18" s="1"/>
  <c r="P35" i="18"/>
  <c r="K35" i="18" s="1"/>
  <c r="P128" i="17"/>
  <c r="F128" i="17" s="1"/>
  <c r="P121" i="17"/>
  <c r="J121" i="17" s="1"/>
  <c r="P114" i="17"/>
  <c r="G114" i="17" s="1"/>
  <c r="P71" i="17"/>
  <c r="J71" i="17" s="1"/>
  <c r="P34" i="17"/>
  <c r="D34" i="17" s="1"/>
  <c r="P124" i="16"/>
  <c r="P49" i="16"/>
  <c r="H49" i="16" s="1"/>
  <c r="P44" i="16"/>
  <c r="D44" i="16" s="1"/>
  <c r="P21" i="22"/>
  <c r="J21" i="22" s="1"/>
  <c r="P16" i="20"/>
  <c r="G16" i="20" s="1"/>
  <c r="P46" i="19"/>
  <c r="B46" i="19" s="1"/>
  <c r="P75" i="18"/>
  <c r="K75" i="18" s="1"/>
  <c r="P30" i="18"/>
  <c r="J30" i="18" s="1"/>
  <c r="P127" i="17"/>
  <c r="J127" i="17" s="1"/>
  <c r="P113" i="17"/>
  <c r="G113" i="17" s="1"/>
  <c r="P91" i="17"/>
  <c r="I91" i="17" s="1"/>
  <c r="P30" i="17"/>
  <c r="H30" i="17" s="1"/>
  <c r="P18" i="17"/>
  <c r="P129" i="16"/>
  <c r="K129" i="16" s="1"/>
  <c r="P121" i="16"/>
  <c r="A121" i="16" s="1"/>
  <c r="P106" i="16"/>
  <c r="P99" i="16"/>
  <c r="D99" i="16" s="1"/>
  <c r="P91" i="16"/>
  <c r="D91" i="16" s="1"/>
  <c r="P73" i="16"/>
  <c r="H73" i="16" s="1"/>
  <c r="P23" i="21"/>
  <c r="G23" i="21" s="1"/>
  <c r="P127" i="18"/>
  <c r="F127" i="18" s="1"/>
  <c r="P126" i="17"/>
  <c r="I126" i="17" s="1"/>
  <c r="P89" i="17"/>
  <c r="A89" i="17" s="1"/>
  <c r="P64" i="17"/>
  <c r="P21" i="17"/>
  <c r="P11" i="17"/>
  <c r="L11" i="17" s="1"/>
  <c r="P120" i="16"/>
  <c r="K120" i="16" s="1"/>
  <c r="P111" i="16"/>
  <c r="D111" i="16" s="1"/>
  <c r="P77" i="16"/>
  <c r="F77" i="16" s="1"/>
  <c r="P59" i="16"/>
  <c r="A59" i="16" s="1"/>
  <c r="P41" i="16"/>
  <c r="F41" i="16" s="1"/>
  <c r="P31" i="20"/>
  <c r="J31" i="20" s="1"/>
  <c r="P13" i="20"/>
  <c r="J13" i="20" s="1"/>
  <c r="P30" i="19"/>
  <c r="E30" i="19" s="1"/>
  <c r="P15" i="19"/>
  <c r="G15" i="19" s="1"/>
  <c r="P87" i="18"/>
  <c r="F87" i="18" s="1"/>
  <c r="P50" i="18"/>
  <c r="C50" i="18" s="1"/>
  <c r="P34" i="18"/>
  <c r="N34" i="18" s="1"/>
  <c r="P108" i="17"/>
  <c r="D108" i="17" s="1"/>
  <c r="P96" i="17"/>
  <c r="K96" i="17" s="1"/>
  <c r="P85" i="17"/>
  <c r="A85" i="17" s="1"/>
  <c r="P20" i="19"/>
  <c r="C20" i="19" s="1"/>
  <c r="P14" i="19"/>
  <c r="N14" i="19" s="1"/>
  <c r="P61" i="21"/>
  <c r="A61" i="21" s="1"/>
  <c r="P12" i="21"/>
  <c r="N12" i="21" s="1"/>
  <c r="P42" i="19"/>
  <c r="N42" i="19" s="1"/>
  <c r="P86" i="19"/>
  <c r="N86" i="19" s="1"/>
  <c r="P19" i="19"/>
  <c r="J19" i="19" s="1"/>
  <c r="P69" i="18"/>
  <c r="F69" i="18" s="1"/>
  <c r="P52" i="18"/>
  <c r="J52" i="18" s="1"/>
  <c r="P83" i="17"/>
  <c r="P52" i="17"/>
  <c r="E52" i="17" s="1"/>
  <c r="P47" i="17"/>
  <c r="N47" i="17" s="1"/>
  <c r="P31" i="17"/>
  <c r="J31" i="17" s="1"/>
  <c r="P22" i="17"/>
  <c r="L22" i="17" s="1"/>
  <c r="P60" i="16"/>
  <c r="C60" i="16" s="1"/>
  <c r="P46" i="16"/>
  <c r="E46" i="16" s="1"/>
  <c r="P26" i="16"/>
  <c r="P81" i="15"/>
  <c r="H81" i="15" s="1"/>
  <c r="P26" i="19"/>
  <c r="J26" i="19" s="1"/>
  <c r="P79" i="18"/>
  <c r="C79" i="18" s="1"/>
  <c r="P61" i="18"/>
  <c r="L61" i="18" s="1"/>
  <c r="P16" i="18"/>
  <c r="H16" i="18" s="1"/>
  <c r="P24" i="22"/>
  <c r="E24" i="22" s="1"/>
  <c r="P28" i="21"/>
  <c r="J28" i="21" s="1"/>
  <c r="P84" i="19"/>
  <c r="A84" i="19" s="1"/>
  <c r="P131" i="18"/>
  <c r="L131" i="18" s="1"/>
  <c r="P113" i="18"/>
  <c r="C113" i="18" s="1"/>
  <c r="P41" i="18"/>
  <c r="D41" i="18" s="1"/>
  <c r="P27" i="18"/>
  <c r="K27" i="18" s="1"/>
  <c r="P20" i="18"/>
  <c r="N20" i="18" s="1"/>
  <c r="P102" i="17"/>
  <c r="D102" i="17" s="1"/>
  <c r="P95" i="17"/>
  <c r="D95" i="17" s="1"/>
  <c r="P70" i="17"/>
  <c r="A70" i="17" s="1"/>
  <c r="P62" i="17"/>
  <c r="G62" i="17" s="1"/>
  <c r="P41" i="19"/>
  <c r="D41" i="19" s="1"/>
  <c r="P12" i="19"/>
  <c r="E12" i="19" s="1"/>
  <c r="P60" i="18"/>
  <c r="N60" i="18" s="1"/>
  <c r="P26" i="18"/>
  <c r="N26" i="18" s="1"/>
  <c r="P17" i="17"/>
  <c r="B17" i="17" s="1"/>
  <c r="P19" i="20"/>
  <c r="N19" i="20" s="1"/>
  <c r="P81" i="19"/>
  <c r="N81" i="19" s="1"/>
  <c r="P25" i="19"/>
  <c r="I25" i="19" s="1"/>
  <c r="P18" i="19"/>
  <c r="J18" i="19" s="1"/>
  <c r="P32" i="18"/>
  <c r="A32" i="18" s="1"/>
  <c r="P69" i="17"/>
  <c r="P51" i="17"/>
  <c r="H51" i="17" s="1"/>
  <c r="P113" i="16"/>
  <c r="B113" i="16" s="1"/>
  <c r="P75" i="16"/>
  <c r="H75" i="16" s="1"/>
  <c r="P57" i="16"/>
  <c r="N57" i="16" s="1"/>
  <c r="P53" i="16"/>
  <c r="D53" i="16" s="1"/>
  <c r="P36" i="16"/>
  <c r="C36" i="16" s="1"/>
  <c r="P23" i="16"/>
  <c r="N23" i="16" s="1"/>
  <c r="P16" i="16"/>
  <c r="P11" i="23"/>
  <c r="K11" i="23" s="1"/>
  <c r="P22" i="22"/>
  <c r="E22" i="22" s="1"/>
  <c r="P27" i="21"/>
  <c r="L27" i="21" s="1"/>
  <c r="P59" i="21"/>
  <c r="G59" i="21" s="1"/>
  <c r="P67" i="19"/>
  <c r="H67" i="19" s="1"/>
  <c r="P84" i="18"/>
  <c r="B84" i="18" s="1"/>
  <c r="P77" i="18"/>
  <c r="G77" i="18" s="1"/>
  <c r="P67" i="18"/>
  <c r="J67" i="18" s="1"/>
  <c r="P12" i="17"/>
  <c r="B12" i="17" s="1"/>
  <c r="P12" i="22"/>
  <c r="K12" i="22" s="1"/>
  <c r="P28" i="20"/>
  <c r="I28" i="20" s="1"/>
  <c r="P14" i="20"/>
  <c r="A14" i="20" s="1"/>
  <c r="P100" i="20"/>
  <c r="A100" i="20" s="1"/>
  <c r="P11" i="20"/>
  <c r="L11" i="20" s="1"/>
  <c r="P63" i="19"/>
  <c r="N63" i="19" s="1"/>
  <c r="P29" i="19"/>
  <c r="G29" i="19" s="1"/>
  <c r="P99" i="18"/>
  <c r="N99" i="18" s="1"/>
  <c r="P22" i="18"/>
  <c r="K22" i="18" s="1"/>
  <c r="P12" i="18"/>
  <c r="P60" i="20"/>
  <c r="L60" i="20" s="1"/>
  <c r="P9" i="20"/>
  <c r="H9" i="20" s="1"/>
  <c r="P118" i="19"/>
  <c r="L118" i="19" s="1"/>
  <c r="P52" i="19"/>
  <c r="I52" i="19" s="1"/>
  <c r="P74" i="18"/>
  <c r="K74" i="18" s="1"/>
  <c r="P60" i="17"/>
  <c r="J60" i="17" s="1"/>
  <c r="P98" i="17"/>
  <c r="J98" i="17" s="1"/>
  <c r="P125" i="17"/>
  <c r="N125" i="17" s="1"/>
  <c r="P19" i="18"/>
  <c r="G19" i="18" s="1"/>
  <c r="P102" i="18"/>
  <c r="L102" i="18" s="1"/>
  <c r="P32" i="21"/>
  <c r="I32" i="21" s="1"/>
  <c r="P27" i="22"/>
  <c r="A27" i="22" s="1"/>
  <c r="P90" i="20"/>
  <c r="N90" i="20" s="1"/>
  <c r="P34" i="21"/>
  <c r="A34" i="21" s="1"/>
  <c r="P37" i="19"/>
  <c r="I37" i="19" s="1"/>
  <c r="P121" i="19"/>
  <c r="M121" i="19" s="1"/>
  <c r="P15" i="21"/>
  <c r="O4" i="24"/>
  <c r="AA13" i="24"/>
  <c r="P86" i="18"/>
  <c r="N86" i="18" s="1"/>
  <c r="P119" i="18"/>
  <c r="M119" i="18" s="1"/>
  <c r="P44" i="19"/>
  <c r="A44" i="19" s="1"/>
  <c r="P21" i="20"/>
  <c r="L21" i="20" s="1"/>
  <c r="P20" i="21"/>
  <c r="J20" i="21" s="1"/>
  <c r="K5" i="19"/>
  <c r="P50" i="16"/>
  <c r="P104" i="16"/>
  <c r="P128" i="16"/>
  <c r="P14" i="17"/>
  <c r="F14" i="17" s="1"/>
  <c r="P37" i="17"/>
  <c r="G37" i="17" s="1"/>
  <c r="P84" i="17"/>
  <c r="C84" i="17" s="1"/>
  <c r="P48" i="18"/>
  <c r="L48" i="18" s="1"/>
  <c r="P49" i="19"/>
  <c r="G49" i="19" s="1"/>
  <c r="P15" i="17"/>
  <c r="N15" i="17" s="1"/>
  <c r="P42" i="17"/>
  <c r="B42" i="17" s="1"/>
  <c r="P73" i="17"/>
  <c r="C73" i="17" s="1"/>
  <c r="P79" i="17"/>
  <c r="J79" i="17" s="1"/>
  <c r="P31" i="19"/>
  <c r="G31" i="19" s="1"/>
  <c r="P33" i="18"/>
  <c r="D33" i="18" s="1"/>
  <c r="P23" i="20"/>
  <c r="L23" i="20" s="1"/>
  <c r="AI56" i="24"/>
  <c r="AI62" i="24"/>
  <c r="Q46" i="24"/>
  <c r="Y46" i="24" s="1"/>
  <c r="C5" i="21"/>
  <c r="AI23" i="24"/>
  <c r="Q11" i="24"/>
  <c r="Y11" i="24" s="1"/>
  <c r="AH14" i="24"/>
  <c r="K5" i="17"/>
  <c r="O22" i="24"/>
  <c r="K5" i="21"/>
  <c r="Q13" i="24"/>
  <c r="Y13" i="24" s="1"/>
  <c r="AB12" i="24"/>
  <c r="AB13" i="24"/>
  <c r="AB80" i="24"/>
  <c r="AI41" i="24"/>
  <c r="AH33" i="24"/>
  <c r="AI33" i="24"/>
  <c r="K5" i="22"/>
  <c r="O12" i="24"/>
  <c r="Q21" i="24"/>
  <c r="AB47" i="24"/>
  <c r="AI35" i="24"/>
  <c r="AI92" i="24"/>
  <c r="AI192" i="24"/>
  <c r="Q28" i="24"/>
  <c r="Y28" i="24" s="1"/>
  <c r="O53" i="24"/>
  <c r="K5" i="20"/>
  <c r="P26" i="21"/>
  <c r="N26" i="21" s="1"/>
  <c r="P38" i="22"/>
  <c r="A38" i="22" s="1"/>
  <c r="P33" i="21"/>
  <c r="J33" i="21" s="1"/>
  <c r="P10" i="21"/>
  <c r="H10" i="21" s="1"/>
  <c r="P25" i="20"/>
  <c r="D25" i="20" s="1"/>
  <c r="P10" i="23"/>
  <c r="A10" i="23" s="1"/>
  <c r="P29" i="21"/>
  <c r="E29" i="21" s="1"/>
  <c r="P19" i="21"/>
  <c r="C19" i="21" s="1"/>
  <c r="P20" i="20"/>
  <c r="I20" i="20" s="1"/>
  <c r="P89" i="19"/>
  <c r="B89" i="19" s="1"/>
  <c r="P22" i="19"/>
  <c r="E22" i="19" s="1"/>
  <c r="P78" i="18"/>
  <c r="K78" i="18" s="1"/>
  <c r="P123" i="17"/>
  <c r="A123" i="17" s="1"/>
  <c r="P116" i="17"/>
  <c r="E116" i="17" s="1"/>
  <c r="P100" i="17"/>
  <c r="D100" i="17" s="1"/>
  <c r="P65" i="17"/>
  <c r="D65" i="17" s="1"/>
  <c r="P26" i="17"/>
  <c r="F26" i="17" s="1"/>
  <c r="P20" i="17"/>
  <c r="G20" i="17" s="1"/>
  <c r="P16" i="17"/>
  <c r="G16" i="17" s="1"/>
  <c r="P10" i="17"/>
  <c r="F10" i="17" s="1"/>
  <c r="P36" i="23"/>
  <c r="C36" i="23" s="1"/>
  <c r="P9" i="21"/>
  <c r="K9" i="21" s="1"/>
  <c r="P95" i="20"/>
  <c r="E95" i="20" s="1"/>
  <c r="P62" i="19"/>
  <c r="D62" i="19" s="1"/>
  <c r="P21" i="19"/>
  <c r="K21" i="19" s="1"/>
  <c r="P122" i="18"/>
  <c r="B122" i="18" s="1"/>
  <c r="P107" i="18"/>
  <c r="J107" i="18" s="1"/>
  <c r="P43" i="18"/>
  <c r="K43" i="18" s="1"/>
  <c r="P36" i="18"/>
  <c r="N36" i="18" s="1"/>
  <c r="P31" i="18"/>
  <c r="C31" i="18" s="1"/>
  <c r="P23" i="18"/>
  <c r="L23" i="18" s="1"/>
  <c r="P26" i="22"/>
  <c r="E26" i="22" s="1"/>
  <c r="P25" i="21"/>
  <c r="H25" i="21" s="1"/>
  <c r="P30" i="20"/>
  <c r="E30" i="20" s="1"/>
  <c r="P12" i="20"/>
  <c r="G12" i="20" s="1"/>
  <c r="P15" i="22"/>
  <c r="D15" i="22" s="1"/>
  <c r="AB15" i="24"/>
  <c r="P12" i="23"/>
  <c r="D12" i="23" s="1"/>
  <c r="AH15" i="24"/>
  <c r="AI8" i="24"/>
  <c r="AB21" i="24"/>
  <c r="Q7" i="24"/>
  <c r="Y7" i="24" s="1"/>
  <c r="O7" i="24"/>
  <c r="K5" i="23"/>
  <c r="P16" i="23"/>
  <c r="D16" i="23" s="1"/>
  <c r="P17" i="22"/>
  <c r="D17" i="22" s="1"/>
  <c r="P43" i="20"/>
  <c r="I43" i="20" s="1"/>
  <c r="P124" i="19"/>
  <c r="B124" i="19" s="1"/>
  <c r="P74" i="19"/>
  <c r="C74" i="19" s="1"/>
  <c r="P51" i="19"/>
  <c r="P36" i="19"/>
  <c r="K36" i="19" s="1"/>
  <c r="P16" i="19"/>
  <c r="B16" i="19" s="1"/>
  <c r="P57" i="18"/>
  <c r="J57" i="18" s="1"/>
  <c r="P51" i="18"/>
  <c r="D51" i="18" s="1"/>
  <c r="P44" i="18"/>
  <c r="F44" i="18" s="1"/>
  <c r="P104" i="17"/>
  <c r="E104" i="17" s="1"/>
  <c r="P27" i="23"/>
  <c r="L27" i="23" s="1"/>
  <c r="P23" i="22"/>
  <c r="N23" i="22" s="1"/>
  <c r="P18" i="21"/>
  <c r="F18" i="21" s="1"/>
  <c r="P13" i="21"/>
  <c r="F13" i="21" s="1"/>
  <c r="P21" i="21"/>
  <c r="A21" i="21" s="1"/>
  <c r="P27" i="20"/>
  <c r="I27" i="20" s="1"/>
  <c r="P17" i="20"/>
  <c r="E17" i="20" s="1"/>
  <c r="P10" i="20"/>
  <c r="D10" i="20" s="1"/>
  <c r="P56" i="19"/>
  <c r="N56" i="19" s="1"/>
  <c r="P39" i="19"/>
  <c r="A39" i="19" s="1"/>
  <c r="P100" i="18"/>
  <c r="E100" i="18" s="1"/>
  <c r="P88" i="18"/>
  <c r="F88" i="18" s="1"/>
  <c r="P82" i="18"/>
  <c r="D82" i="18" s="1"/>
  <c r="P72" i="18"/>
  <c r="J72" i="18" s="1"/>
  <c r="P58" i="18"/>
  <c r="B58" i="18" s="1"/>
  <c r="P15" i="18"/>
  <c r="P11" i="18"/>
  <c r="I11" i="18" s="1"/>
  <c r="P117" i="17"/>
  <c r="B117" i="17" s="1"/>
  <c r="P78" i="17"/>
  <c r="I78" i="17" s="1"/>
  <c r="P50" i="17"/>
  <c r="K50" i="17" s="1"/>
  <c r="P26" i="20"/>
  <c r="J26" i="20" s="1"/>
  <c r="P92" i="18"/>
  <c r="L92" i="18" s="1"/>
  <c r="P59" i="18"/>
  <c r="N59" i="18" s="1"/>
  <c r="P40" i="18"/>
  <c r="A40" i="18" s="1"/>
  <c r="P57" i="17"/>
  <c r="D57" i="17" s="1"/>
  <c r="P29" i="17"/>
  <c r="N29" i="17" s="1"/>
  <c r="P34" i="23"/>
  <c r="G34" i="23" s="1"/>
  <c r="P19" i="22"/>
  <c r="B19" i="22" s="1"/>
  <c r="P50" i="20"/>
  <c r="J50" i="20" s="1"/>
  <c r="P15" i="20"/>
  <c r="J15" i="20" s="1"/>
  <c r="AH8" i="24"/>
  <c r="AH25" i="24"/>
  <c r="AH91" i="24"/>
  <c r="AI15" i="24"/>
  <c r="AA40" i="24"/>
  <c r="AI77" i="24"/>
  <c r="AB232" i="24"/>
  <c r="Q6" i="24"/>
  <c r="Y6" i="24" s="1"/>
  <c r="AI24" i="24"/>
  <c r="AB148" i="24"/>
  <c r="C5" i="23"/>
  <c r="AI115" i="24"/>
  <c r="AH39" i="24"/>
  <c r="AH158" i="24"/>
  <c r="AH18" i="24"/>
  <c r="AH46" i="24"/>
  <c r="Q27" i="24"/>
  <c r="Y27" i="24" s="1"/>
  <c r="AH34" i="24"/>
  <c r="O891" i="24"/>
  <c r="AA891" i="24"/>
  <c r="AA1285" i="24"/>
  <c r="O1285" i="24"/>
  <c r="O608" i="24"/>
  <c r="E76" i="26"/>
  <c r="Q10" i="24"/>
  <c r="Q44" i="24"/>
  <c r="Y44" i="24" s="1"/>
  <c r="AH38" i="24"/>
  <c r="AA978" i="24"/>
  <c r="O978" i="24"/>
  <c r="O386" i="24"/>
  <c r="AH652" i="24"/>
  <c r="AI14" i="24"/>
  <c r="AH63" i="24"/>
  <c r="AB83" i="24"/>
  <c r="O1346" i="24"/>
  <c r="AA1005" i="24"/>
  <c r="O1005" i="24"/>
  <c r="AB100" i="24"/>
  <c r="AA1017" i="24"/>
  <c r="O1017" i="24"/>
  <c r="E73" i="26"/>
  <c r="E74" i="26"/>
  <c r="AA661" i="24"/>
  <c r="E78" i="26"/>
  <c r="E79" i="26"/>
  <c r="O1095" i="24"/>
  <c r="E30" i="2"/>
  <c r="D30" i="2"/>
  <c r="B30" i="2"/>
  <c r="L26" i="5"/>
  <c r="P22" i="5"/>
  <c r="I40" i="8"/>
  <c r="G40" i="8"/>
  <c r="E40" i="8"/>
  <c r="H40" i="8"/>
  <c r="F40" i="8"/>
  <c r="D31" i="2"/>
  <c r="E31" i="2"/>
  <c r="B34" i="2"/>
  <c r="P19" i="5"/>
  <c r="M11" i="2"/>
  <c r="L11" i="2"/>
  <c r="J11" i="2"/>
  <c r="G11" i="2"/>
  <c r="E32" i="2"/>
  <c r="B32" i="2"/>
  <c r="C11" i="2"/>
  <c r="D32" i="2"/>
  <c r="E91" i="14"/>
  <c r="D11" i="2"/>
  <c r="E23" i="8"/>
  <c r="J23" i="8" s="1"/>
  <c r="AI89" i="24"/>
  <c r="AH1309" i="24"/>
  <c r="AH1216" i="24"/>
  <c r="AH1222" i="24"/>
  <c r="AH1330" i="24"/>
  <c r="AH1161" i="24"/>
  <c r="AH1253" i="24"/>
  <c r="AH1078" i="24"/>
  <c r="AH1038" i="24"/>
  <c r="AH1139" i="24"/>
  <c r="AH973" i="24"/>
  <c r="AH1083" i="24"/>
  <c r="AH1070" i="24"/>
  <c r="AH1104" i="24"/>
  <c r="AH878" i="24"/>
  <c r="AH1025" i="24"/>
  <c r="AH859" i="24"/>
  <c r="AH882" i="24"/>
  <c r="AH966" i="24"/>
  <c r="AH900" i="24"/>
  <c r="AH1166" i="24"/>
  <c r="AH1024" i="24"/>
  <c r="AH804" i="24"/>
  <c r="AH678" i="24"/>
  <c r="AH577" i="24"/>
  <c r="AH691" i="24"/>
  <c r="AH587" i="24"/>
  <c r="AH569" i="24"/>
  <c r="AH445" i="24"/>
  <c r="AH592" i="24"/>
  <c r="AH446" i="24"/>
  <c r="AH450" i="24"/>
  <c r="AH473" i="24"/>
  <c r="AH476" i="24"/>
  <c r="AH277" i="24"/>
  <c r="AH304" i="24"/>
  <c r="AH386" i="24"/>
  <c r="AH349" i="24"/>
  <c r="AH387" i="24"/>
  <c r="AH312" i="24"/>
  <c r="AH264" i="24"/>
  <c r="AH141" i="24"/>
  <c r="AH246" i="24"/>
  <c r="AH176" i="24"/>
  <c r="AH224" i="24"/>
  <c r="AH130" i="24"/>
  <c r="AH132" i="24"/>
  <c r="AH265" i="24"/>
  <c r="AH136" i="24"/>
  <c r="AH93" i="24"/>
  <c r="AH205" i="24"/>
  <c r="AH180" i="24"/>
  <c r="AH47" i="24"/>
  <c r="AH65" i="24"/>
  <c r="AH26" i="24"/>
  <c r="AH197" i="24"/>
  <c r="AH6" i="24"/>
  <c r="Q1290" i="24"/>
  <c r="Q1195" i="24"/>
  <c r="Y1195" i="24" s="1"/>
  <c r="Q1251" i="24"/>
  <c r="Q1210" i="24"/>
  <c r="Q1340" i="24"/>
  <c r="Q1112" i="24"/>
  <c r="Q1291" i="24"/>
  <c r="Q1341" i="24"/>
  <c r="Q1303" i="24"/>
  <c r="Q1233" i="24"/>
  <c r="Y1233" i="24" s="1"/>
  <c r="Q1235" i="24"/>
  <c r="Q1056" i="24"/>
  <c r="Y1056" i="24" s="1"/>
  <c r="Q1071" i="24"/>
  <c r="Q1021" i="24"/>
  <c r="Q1085" i="24"/>
  <c r="Q1246" i="24"/>
  <c r="Q1026" i="24"/>
  <c r="Y1026" i="24" s="1"/>
  <c r="Q1012" i="24"/>
  <c r="Q993" i="24"/>
  <c r="Q1027" i="24"/>
  <c r="Q1201" i="24"/>
  <c r="Y1201" i="24" s="1"/>
  <c r="Q937" i="24"/>
  <c r="Q996" i="24"/>
  <c r="Q958" i="24"/>
  <c r="Q924" i="24"/>
  <c r="Y924" i="24" s="1"/>
  <c r="Q830" i="24"/>
  <c r="Y830" i="24" s="1"/>
  <c r="Q787" i="24"/>
  <c r="Q936" i="24"/>
  <c r="Q784" i="24"/>
  <c r="Q810" i="24"/>
  <c r="Q982" i="24"/>
  <c r="Y982" i="24" s="1"/>
  <c r="Q772" i="24"/>
  <c r="Q934" i="24"/>
  <c r="Q683" i="24"/>
  <c r="Q677" i="24"/>
  <c r="Y677" i="24" s="1"/>
  <c r="Q610" i="24"/>
  <c r="Q571" i="24"/>
  <c r="Q1014" i="24"/>
  <c r="Y1014" i="24" s="1"/>
  <c r="Q655" i="24"/>
  <c r="Q531" i="24"/>
  <c r="Y531" i="24" s="1"/>
  <c r="Q635" i="24"/>
  <c r="Q509" i="24"/>
  <c r="Q430" i="24"/>
  <c r="Q408" i="24"/>
  <c r="Q438" i="24"/>
  <c r="Q288" i="24"/>
  <c r="Q371" i="24"/>
  <c r="Y371" i="24" s="1"/>
  <c r="Q250" i="24"/>
  <c r="Y250" i="24" s="1"/>
  <c r="Q379" i="24"/>
  <c r="Y379" i="24" s="1"/>
  <c r="Q398" i="24"/>
  <c r="Q227" i="24"/>
  <c r="Y227" i="24" s="1"/>
  <c r="Q324" i="24"/>
  <c r="Y324" i="24" s="1"/>
  <c r="Q105" i="24"/>
  <c r="Q164" i="24"/>
  <c r="AB9" i="24"/>
  <c r="Q69" i="24"/>
  <c r="Y69" i="24" s="1"/>
  <c r="AB50" i="24"/>
  <c r="Q98" i="24"/>
  <c r="Q9" i="24"/>
  <c r="AB6" i="24"/>
  <c r="AB72" i="24"/>
  <c r="AB4" i="24"/>
  <c r="Q1267" i="24"/>
  <c r="Y1267" i="24" s="1"/>
  <c r="Q1243" i="24"/>
  <c r="Y1243" i="24" s="1"/>
  <c r="Q1363" i="24"/>
  <c r="Y1363" i="24" s="1"/>
  <c r="Q1212" i="24"/>
  <c r="Y1212" i="24" s="1"/>
  <c r="Q1153" i="24"/>
  <c r="Y1153" i="24" s="1"/>
  <c r="Q1352" i="24"/>
  <c r="Y1352" i="24" s="1"/>
  <c r="Q1168" i="24"/>
  <c r="Y1168" i="24" s="1"/>
  <c r="Q1117" i="24"/>
  <c r="Y1117" i="24" s="1"/>
  <c r="Q1173" i="24"/>
  <c r="Y1173" i="24" s="1"/>
  <c r="Q1090" i="24"/>
  <c r="Q1315" i="24"/>
  <c r="Y1315" i="24" s="1"/>
  <c r="Q991" i="24"/>
  <c r="Q967" i="24"/>
  <c r="Y967" i="24" s="1"/>
  <c r="Q1039" i="24"/>
  <c r="Y1039" i="24" s="1"/>
  <c r="Q1258" i="24"/>
  <c r="Y1258" i="24" s="1"/>
  <c r="Q1031" i="24"/>
  <c r="Y1031" i="24" s="1"/>
  <c r="Q1000" i="24"/>
  <c r="Y1000" i="24" s="1"/>
  <c r="Q871" i="24"/>
  <c r="Q801" i="24"/>
  <c r="Y801" i="24" s="1"/>
  <c r="Q782" i="24"/>
  <c r="Y782" i="24" s="1"/>
  <c r="Q798" i="24"/>
  <c r="Y798" i="24" s="1"/>
  <c r="Q909" i="24"/>
  <c r="Y909" i="24" s="1"/>
  <c r="Q961" i="24"/>
  <c r="Y961" i="24" s="1"/>
  <c r="Q722" i="24"/>
  <c r="Y722" i="24" s="1"/>
  <c r="Q641" i="24"/>
  <c r="Y641" i="24" s="1"/>
  <c r="Q629" i="24"/>
  <c r="Y629" i="24" s="1"/>
  <c r="Q685" i="24"/>
  <c r="Y685" i="24" s="1"/>
  <c r="Q673" i="24"/>
  <c r="Y673" i="24" s="1"/>
  <c r="Q427" i="24"/>
  <c r="Y427" i="24" s="1"/>
  <c r="Q472" i="24"/>
  <c r="Y472" i="24" s="1"/>
  <c r="Q636" i="24"/>
  <c r="Y636" i="24" s="1"/>
  <c r="Q618" i="24"/>
  <c r="Y618" i="24" s="1"/>
  <c r="Q599" i="24"/>
  <c r="Y599" i="24" s="1"/>
  <c r="Q489" i="24"/>
  <c r="Y489" i="24" s="1"/>
  <c r="Q557" i="24"/>
  <c r="Y557" i="24" s="1"/>
  <c r="Q520" i="24"/>
  <c r="Y520" i="24" s="1"/>
  <c r="Q352" i="24"/>
  <c r="Q203" i="24"/>
  <c r="Y203" i="24" s="1"/>
  <c r="Q211" i="24"/>
  <c r="Y211" i="24" s="1"/>
  <c r="Q204" i="24"/>
  <c r="Q171" i="24"/>
  <c r="Q111" i="24"/>
  <c r="Y111" i="24" s="1"/>
  <c r="Q373" i="24"/>
  <c r="Y373" i="24" s="1"/>
  <c r="Q226" i="24"/>
  <c r="Y226" i="24" s="1"/>
  <c r="Q202" i="24"/>
  <c r="Y202" i="24" s="1"/>
  <c r="Q217" i="24"/>
  <c r="Q185" i="24"/>
  <c r="Y185" i="24" s="1"/>
  <c r="Q302" i="24"/>
  <c r="Q133" i="24"/>
  <c r="Y133" i="24" s="1"/>
  <c r="Q42" i="24"/>
  <c r="Q287" i="24"/>
  <c r="AB17" i="24"/>
  <c r="Q24" i="24"/>
  <c r="Y24" i="24" s="1"/>
  <c r="Q17" i="24"/>
  <c r="Y17" i="24" s="1"/>
  <c r="D55" i="5"/>
  <c r="D53" i="5"/>
  <c r="D56" i="5"/>
  <c r="D54" i="5"/>
  <c r="AI34" i="24"/>
  <c r="AI10" i="24"/>
  <c r="N10" i="12"/>
  <c r="K10" i="12"/>
  <c r="F10" i="12"/>
  <c r="I10" i="12"/>
  <c r="E10" i="12"/>
  <c r="B10" i="12"/>
  <c r="A10" i="12"/>
  <c r="P25" i="5"/>
  <c r="E20" i="8"/>
  <c r="J20" i="8" s="1"/>
  <c r="N26" i="5"/>
  <c r="P17" i="5"/>
  <c r="E17" i="8"/>
  <c r="I47" i="8"/>
  <c r="H47" i="8"/>
  <c r="F47" i="8"/>
  <c r="D47" i="8"/>
  <c r="P16" i="5"/>
  <c r="C26" i="5"/>
  <c r="H11" i="13"/>
  <c r="D11" i="13"/>
  <c r="C11" i="13"/>
  <c r="B11" i="13"/>
  <c r="A11" i="13"/>
  <c r="G11" i="13"/>
  <c r="J11" i="13"/>
  <c r="E11" i="13"/>
  <c r="F26" i="5"/>
  <c r="G26" i="5"/>
  <c r="J12" i="11"/>
  <c r="N127" i="16"/>
  <c r="H26" i="6"/>
  <c r="D30" i="6"/>
  <c r="E44" i="8"/>
  <c r="B25" i="10"/>
  <c r="B6" i="6"/>
  <c r="B27" i="6"/>
  <c r="E30" i="6"/>
  <c r="C25" i="10"/>
  <c r="E12" i="11"/>
  <c r="D10" i="6"/>
  <c r="D19" i="6"/>
  <c r="D27" i="6"/>
  <c r="E10" i="6"/>
  <c r="E27" i="6"/>
  <c r="H30" i="6"/>
  <c r="E12" i="8"/>
  <c r="E15" i="8"/>
  <c r="J15" i="8" s="1"/>
  <c r="E18" i="8"/>
  <c r="J18" i="8" s="1"/>
  <c r="E21" i="8"/>
  <c r="J21" i="8" s="1"/>
  <c r="E24" i="8"/>
  <c r="G24" i="8" s="1"/>
  <c r="G28" i="12"/>
  <c r="L63" i="16"/>
  <c r="C11" i="6"/>
  <c r="G11" i="6" s="1"/>
  <c r="C31" i="6"/>
  <c r="E38" i="8"/>
  <c r="D45" i="8"/>
  <c r="G48" i="8"/>
  <c r="H27" i="6"/>
  <c r="D31" i="6"/>
  <c r="F38" i="8"/>
  <c r="E45" i="8"/>
  <c r="F45" i="8"/>
  <c r="G45" i="8"/>
  <c r="K25" i="10"/>
  <c r="D39" i="8"/>
  <c r="K74" i="14"/>
  <c r="M109" i="16"/>
  <c r="K109" i="16"/>
  <c r="I109" i="16"/>
  <c r="A114" i="14"/>
  <c r="G72" i="15"/>
  <c r="K72" i="15"/>
  <c r="L107" i="14"/>
  <c r="F107" i="14"/>
  <c r="G55" i="16"/>
  <c r="B55" i="16"/>
  <c r="C80" i="17"/>
  <c r="J80" i="17"/>
  <c r="B20" i="15"/>
  <c r="G16" i="15"/>
  <c r="B115" i="17"/>
  <c r="N10" i="18"/>
  <c r="P40" i="22"/>
  <c r="P100" i="21"/>
  <c r="P79" i="22"/>
  <c r="P46" i="22"/>
  <c r="P9" i="22"/>
  <c r="P112" i="23"/>
  <c r="P82" i="23"/>
  <c r="P71" i="23"/>
  <c r="P56" i="23"/>
  <c r="P103" i="22"/>
  <c r="P87" i="23"/>
  <c r="P119" i="23"/>
  <c r="P51" i="23"/>
  <c r="P123" i="21"/>
  <c r="P112" i="21"/>
  <c r="P106" i="22"/>
  <c r="P117" i="23"/>
  <c r="P111" i="23"/>
  <c r="P69" i="23"/>
  <c r="P58" i="22"/>
  <c r="P42" i="22"/>
  <c r="P98" i="23"/>
  <c r="P45" i="23"/>
  <c r="P102" i="22"/>
  <c r="P59" i="23"/>
  <c r="P95" i="22"/>
  <c r="P81" i="22"/>
  <c r="P76" i="21"/>
  <c r="P130" i="23"/>
  <c r="P49" i="23"/>
  <c r="P68" i="23"/>
  <c r="P84" i="22"/>
  <c r="P74" i="22"/>
  <c r="P41" i="22"/>
  <c r="P122" i="22"/>
  <c r="P111" i="21"/>
  <c r="P90" i="23"/>
  <c r="P70" i="22"/>
  <c r="P57" i="22"/>
  <c r="P16" i="22"/>
  <c r="P126" i="21"/>
  <c r="P105" i="23"/>
  <c r="P93" i="22"/>
  <c r="P48" i="22"/>
  <c r="P65" i="23"/>
  <c r="P43" i="22"/>
  <c r="P120" i="23"/>
  <c r="P72" i="22"/>
  <c r="P62" i="22"/>
  <c r="P47" i="22"/>
  <c r="P13" i="22"/>
  <c r="P93" i="21"/>
  <c r="P51" i="21"/>
  <c r="P44" i="23"/>
  <c r="P92" i="22"/>
  <c r="P104" i="21"/>
  <c r="P49" i="21"/>
  <c r="P73" i="23"/>
  <c r="P119" i="21"/>
  <c r="P95" i="21"/>
  <c r="P47" i="21"/>
  <c r="P126" i="20"/>
  <c r="P121" i="20"/>
  <c r="P116" i="20"/>
  <c r="P111" i="20"/>
  <c r="P124" i="21"/>
  <c r="P74" i="21"/>
  <c r="P108" i="22"/>
  <c r="P86" i="22"/>
  <c r="P51" i="22"/>
  <c r="P91" i="22"/>
  <c r="P52" i="23"/>
  <c r="P101" i="22"/>
  <c r="P78" i="21"/>
  <c r="P41" i="21"/>
  <c r="P104" i="20"/>
  <c r="P61" i="23"/>
  <c r="P121" i="21"/>
  <c r="P80" i="21"/>
  <c r="P60" i="21"/>
  <c r="P58" i="21"/>
  <c r="P39" i="21"/>
  <c r="P37" i="21"/>
  <c r="P129" i="21"/>
  <c r="P108" i="21"/>
  <c r="P101" i="21"/>
  <c r="P82" i="21"/>
  <c r="P100" i="22"/>
  <c r="P94" i="21"/>
  <c r="P48" i="21"/>
  <c r="P97" i="20"/>
  <c r="P89" i="20"/>
  <c r="P81" i="20"/>
  <c r="P73" i="20"/>
  <c r="P65" i="20"/>
  <c r="P125" i="21"/>
  <c r="P86" i="21"/>
  <c r="P68" i="21"/>
  <c r="P107" i="23"/>
  <c r="P36" i="21"/>
  <c r="P48" i="23"/>
  <c r="P83" i="22"/>
  <c r="P73" i="22"/>
  <c r="P105" i="21"/>
  <c r="P63" i="22"/>
  <c r="P120" i="21"/>
  <c r="P98" i="21"/>
  <c r="P73" i="21"/>
  <c r="P88" i="21"/>
  <c r="P67" i="21"/>
  <c r="P43" i="21"/>
  <c r="P90" i="22"/>
  <c r="P60" i="22"/>
  <c r="P50" i="22"/>
  <c r="P66" i="23"/>
  <c r="P103" i="20"/>
  <c r="P99" i="22"/>
  <c r="P114" i="20"/>
  <c r="P106" i="20"/>
  <c r="P88" i="20"/>
  <c r="P127" i="19"/>
  <c r="P119" i="19"/>
  <c r="P111" i="19"/>
  <c r="P103" i="19"/>
  <c r="P95" i="19"/>
  <c r="P87" i="19"/>
  <c r="P79" i="19"/>
  <c r="P47" i="23"/>
  <c r="P118" i="22"/>
  <c r="P85" i="21"/>
  <c r="P77" i="21"/>
  <c r="P86" i="20"/>
  <c r="P79" i="20"/>
  <c r="P74" i="20"/>
  <c r="P69" i="20"/>
  <c r="P64" i="20"/>
  <c r="P56" i="20"/>
  <c r="P48" i="20"/>
  <c r="P40" i="20"/>
  <c r="P89" i="21"/>
  <c r="P72" i="21"/>
  <c r="P50" i="21"/>
  <c r="P98" i="20"/>
  <c r="P125" i="19"/>
  <c r="P117" i="19"/>
  <c r="P77" i="22"/>
  <c r="P106" i="21"/>
  <c r="P84" i="21"/>
  <c r="P133" i="18"/>
  <c r="P125" i="18"/>
  <c r="P117" i="18"/>
  <c r="P109" i="18"/>
  <c r="P59" i="22"/>
  <c r="P64" i="21"/>
  <c r="P77" i="20"/>
  <c r="P72" i="20"/>
  <c r="P67" i="20"/>
  <c r="P115" i="21"/>
  <c r="P57" i="21"/>
  <c r="P96" i="20"/>
  <c r="P62" i="20"/>
  <c r="P54" i="20"/>
  <c r="P53" i="21"/>
  <c r="P107" i="20"/>
  <c r="P105" i="20"/>
  <c r="P82" i="20"/>
  <c r="P111" i="22"/>
  <c r="P96" i="21"/>
  <c r="P75" i="21"/>
  <c r="P123" i="19"/>
  <c r="P115" i="19"/>
  <c r="P107" i="19"/>
  <c r="P99" i="19"/>
  <c r="P91" i="19"/>
  <c r="P83" i="19"/>
  <c r="P75" i="19"/>
  <c r="P58" i="23"/>
  <c r="P65" i="21"/>
  <c r="P35" i="21"/>
  <c r="P52" i="21"/>
  <c r="P45" i="20"/>
  <c r="P96" i="19"/>
  <c r="P94" i="19"/>
  <c r="P68" i="19"/>
  <c r="P54" i="19"/>
  <c r="P40" i="21"/>
  <c r="P94" i="20"/>
  <c r="P38" i="20"/>
  <c r="P57" i="23"/>
  <c r="P107" i="21"/>
  <c r="P99" i="21"/>
  <c r="P91" i="21"/>
  <c r="P70" i="21"/>
  <c r="P45" i="21"/>
  <c r="P102" i="20"/>
  <c r="P61" i="20"/>
  <c r="P49" i="20"/>
  <c r="P129" i="19"/>
  <c r="P113" i="19"/>
  <c r="P90" i="19"/>
  <c r="P73" i="19"/>
  <c r="P63" i="21"/>
  <c r="P123" i="20"/>
  <c r="P99" i="20"/>
  <c r="P114" i="21"/>
  <c r="P83" i="21"/>
  <c r="P56" i="21"/>
  <c r="P120" i="20"/>
  <c r="P68" i="20"/>
  <c r="P33" i="20"/>
  <c r="P45" i="19"/>
  <c r="P104" i="18"/>
  <c r="P68" i="22"/>
  <c r="P78" i="20"/>
  <c r="P63" i="20"/>
  <c r="P109" i="19"/>
  <c r="P90" i="21"/>
  <c r="P69" i="21"/>
  <c r="P91" i="20"/>
  <c r="P105" i="19"/>
  <c r="P82" i="19"/>
  <c r="P71" i="19"/>
  <c r="P64" i="19"/>
  <c r="P57" i="19"/>
  <c r="P43" i="19"/>
  <c r="P113" i="20"/>
  <c r="P83" i="20"/>
  <c r="P51" i="20"/>
  <c r="P42" i="20"/>
  <c r="P80" i="19"/>
  <c r="P78" i="19"/>
  <c r="P50" i="19"/>
  <c r="P110" i="20"/>
  <c r="P80" i="20"/>
  <c r="P75" i="20"/>
  <c r="P70" i="20"/>
  <c r="P58" i="20"/>
  <c r="P44" i="20"/>
  <c r="P44" i="21"/>
  <c r="P119" i="20"/>
  <c r="P88" i="22"/>
  <c r="P85" i="20"/>
  <c r="P46" i="20"/>
  <c r="P120" i="18"/>
  <c r="P115" i="18"/>
  <c r="P110" i="18"/>
  <c r="P49" i="22"/>
  <c r="P109" i="21"/>
  <c r="P93" i="20"/>
  <c r="P76" i="20"/>
  <c r="P112" i="19"/>
  <c r="P104" i="19"/>
  <c r="P41" i="20"/>
  <c r="P101" i="19"/>
  <c r="P114" i="18"/>
  <c r="P70" i="18"/>
  <c r="P62" i="18"/>
  <c r="P54" i="18"/>
  <c r="P46" i="18"/>
  <c r="P38" i="18"/>
  <c r="P52" i="20"/>
  <c r="P120" i="19"/>
  <c r="P93" i="19"/>
  <c r="P88" i="19"/>
  <c r="P53" i="19"/>
  <c r="P123" i="18"/>
  <c r="P112" i="18"/>
  <c r="P55" i="21"/>
  <c r="P108" i="20"/>
  <c r="P34" i="20"/>
  <c r="P71" i="21"/>
  <c r="P84" i="20"/>
  <c r="P37" i="20"/>
  <c r="P55" i="19"/>
  <c r="P38" i="19"/>
  <c r="P121" i="18"/>
  <c r="P103" i="18"/>
  <c r="P98" i="18"/>
  <c r="P103" i="21"/>
  <c r="P55" i="20"/>
  <c r="P40" i="19"/>
  <c r="P71" i="20"/>
  <c r="P114" i="19"/>
  <c r="P106" i="19"/>
  <c r="P98" i="19"/>
  <c r="P85" i="19"/>
  <c r="P66" i="19"/>
  <c r="P92" i="20"/>
  <c r="P128" i="19"/>
  <c r="P112" i="20"/>
  <c r="P87" i="20"/>
  <c r="P59" i="20"/>
  <c r="P81" i="18"/>
  <c r="P76" i="18"/>
  <c r="P118" i="20"/>
  <c r="P70" i="19"/>
  <c r="P59" i="19"/>
  <c r="P48" i="19"/>
  <c r="P132" i="18"/>
  <c r="P101" i="18"/>
  <c r="P96" i="18"/>
  <c r="P91" i="18"/>
  <c r="P66" i="21"/>
  <c r="P124" i="20"/>
  <c r="P122" i="19"/>
  <c r="P130" i="18"/>
  <c r="P71" i="18"/>
  <c r="P63" i="18"/>
  <c r="P55" i="18"/>
  <c r="P47" i="18"/>
  <c r="P81" i="21"/>
  <c r="P77" i="19"/>
  <c r="P72" i="19"/>
  <c r="P128" i="18"/>
  <c r="P106" i="18"/>
  <c r="P82" i="22"/>
  <c r="P66" i="20"/>
  <c r="P47" i="20"/>
  <c r="P116" i="19"/>
  <c r="P108" i="19"/>
  <c r="P100" i="19"/>
  <c r="P97" i="19"/>
  <c r="P61" i="19"/>
  <c r="P36" i="20"/>
  <c r="P92" i="19"/>
  <c r="P126" i="18"/>
  <c r="P118" i="21"/>
  <c r="P79" i="21"/>
  <c r="P55" i="22"/>
  <c r="Q1266" i="24"/>
  <c r="Y1266" i="24" s="1"/>
  <c r="Q1346" i="24"/>
  <c r="Y1346" i="24" s="1"/>
  <c r="Q1298" i="24"/>
  <c r="Y1298" i="24" s="1"/>
  <c r="AB1117" i="24"/>
  <c r="AB1267" i="24"/>
  <c r="AB1145" i="24"/>
  <c r="Q1115" i="24"/>
  <c r="Y1115" i="24" s="1"/>
  <c r="AB1121" i="24"/>
  <c r="AB1059" i="24"/>
  <c r="Q1089" i="24"/>
  <c r="Y1089" i="24" s="1"/>
  <c r="Q1079" i="24"/>
  <c r="Y1079" i="24" s="1"/>
  <c r="Q984" i="24"/>
  <c r="Y984" i="24" s="1"/>
  <c r="Q1154" i="24"/>
  <c r="Y1154" i="24" s="1"/>
  <c r="AB969" i="24"/>
  <c r="AB1097" i="24"/>
  <c r="Q1102" i="24"/>
  <c r="Y1102" i="24" s="1"/>
  <c r="Q968" i="24"/>
  <c r="Y968" i="24" s="1"/>
  <c r="Q1120" i="24"/>
  <c r="Y1120" i="24" s="1"/>
  <c r="Q1268" i="24"/>
  <c r="Y1268" i="24" s="1"/>
  <c r="Q995" i="24"/>
  <c r="Y995" i="24" s="1"/>
  <c r="AB916" i="24"/>
  <c r="Q1015" i="24"/>
  <c r="Y1015" i="24" s="1"/>
  <c r="AB876" i="24"/>
  <c r="AB960" i="24"/>
  <c r="Q825" i="24"/>
  <c r="Y825" i="24" s="1"/>
  <c r="Q777" i="24"/>
  <c r="Y777" i="24" s="1"/>
  <c r="Q1209" i="24"/>
  <c r="Y1209" i="24" s="1"/>
  <c r="Q907" i="24"/>
  <c r="Y907" i="24" s="1"/>
  <c r="Q835" i="24"/>
  <c r="Y835" i="24" s="1"/>
  <c r="Q742" i="24"/>
  <c r="Y742" i="24" s="1"/>
  <c r="Q974" i="24"/>
  <c r="Y974" i="24" s="1"/>
  <c r="Q814" i="24"/>
  <c r="Y814" i="24" s="1"/>
  <c r="Q929" i="24"/>
  <c r="Y929" i="24" s="1"/>
  <c r="AB931" i="24"/>
  <c r="AB577" i="24"/>
  <c r="AB579" i="24"/>
  <c r="AB582" i="24"/>
  <c r="AB534" i="24"/>
  <c r="Q834" i="24"/>
  <c r="Y834" i="24" s="1"/>
  <c r="Q708" i="24"/>
  <c r="Y708" i="24" s="1"/>
  <c r="Q400" i="24"/>
  <c r="Y400" i="24" s="1"/>
  <c r="AB456" i="24"/>
  <c r="Q451" i="24"/>
  <c r="Y451" i="24" s="1"/>
  <c r="Q404" i="24"/>
  <c r="Y404" i="24" s="1"/>
  <c r="Q406" i="24"/>
  <c r="Y406" i="24" s="1"/>
  <c r="Q674" i="24"/>
  <c r="Y674" i="24" s="1"/>
  <c r="AB607" i="24"/>
  <c r="Q498" i="24"/>
  <c r="Y498" i="24" s="1"/>
  <c r="AB753" i="24"/>
  <c r="AB352" i="24"/>
  <c r="Q259" i="24"/>
  <c r="Q235" i="24"/>
  <c r="Q334" i="24"/>
  <c r="Y334" i="24" s="1"/>
  <c r="Q266" i="24"/>
  <c r="Q535" i="24"/>
  <c r="Y535" i="24" s="1"/>
  <c r="Q443" i="24"/>
  <c r="Y443" i="24" s="1"/>
  <c r="AB329" i="24"/>
  <c r="Q433" i="24"/>
  <c r="Y433" i="24" s="1"/>
  <c r="AB136" i="24"/>
  <c r="Q276" i="24"/>
  <c r="Y276" i="24" s="1"/>
  <c r="AB182" i="24"/>
  <c r="Q156" i="24"/>
  <c r="Y156" i="24" s="1"/>
  <c r="Q300" i="24"/>
  <c r="Y300" i="24" s="1"/>
  <c r="AB146" i="24"/>
  <c r="AB409" i="24"/>
  <c r="Q345" i="24"/>
  <c r="Q200" i="24"/>
  <c r="Y200" i="24" s="1"/>
  <c r="AB178" i="24"/>
  <c r="Q77" i="24"/>
  <c r="Y77" i="24" s="1"/>
  <c r="Q146" i="24"/>
  <c r="Y146" i="24" s="1"/>
  <c r="AB132" i="24"/>
  <c r="AB156" i="24"/>
  <c r="Q18" i="24"/>
  <c r="Y18" i="24" s="1"/>
  <c r="Q45" i="24"/>
  <c r="Y45" i="24" s="1"/>
  <c r="Q76" i="24"/>
  <c r="Y76" i="24" s="1"/>
  <c r="AB5" i="24"/>
  <c r="Q15" i="24"/>
  <c r="Q5" i="24"/>
  <c r="Y5" i="24" s="1"/>
  <c r="K116" i="18"/>
  <c r="I116" i="18"/>
  <c r="B116" i="18"/>
  <c r="Q234" i="24"/>
  <c r="AB234" i="24"/>
  <c r="AB29" i="24"/>
  <c r="P47" i="19"/>
  <c r="P122" i="20"/>
  <c r="P125" i="22"/>
  <c r="P39" i="20"/>
  <c r="P130" i="19"/>
  <c r="P57" i="20"/>
  <c r="P42" i="21"/>
  <c r="C129" i="18"/>
  <c r="M129" i="18"/>
  <c r="I129" i="18"/>
  <c r="H129" i="18"/>
  <c r="A129" i="18"/>
  <c r="C24" i="19"/>
  <c r="E18" i="20"/>
  <c r="Q1311" i="24"/>
  <c r="Y1311" i="24" s="1"/>
  <c r="Q1259" i="24"/>
  <c r="Y1259" i="24" s="1"/>
  <c r="Q1175" i="24"/>
  <c r="Y1175" i="24" s="1"/>
  <c r="Q1151" i="24"/>
  <c r="Q1197" i="24"/>
  <c r="Q1180" i="24"/>
  <c r="Q1245" i="24"/>
  <c r="Y1245" i="24" s="1"/>
  <c r="Q1304" i="24"/>
  <c r="Y1304" i="24" s="1"/>
  <c r="Q1047" i="24"/>
  <c r="Q1006" i="24"/>
  <c r="Y1006" i="24" s="1"/>
  <c r="Q1101" i="24"/>
  <c r="Y1101" i="24" s="1"/>
  <c r="Q1023" i="24"/>
  <c r="Y1023" i="24" s="1"/>
  <c r="Q1060" i="24"/>
  <c r="Q1011" i="24"/>
  <c r="Y1011" i="24" s="1"/>
  <c r="Q1208" i="24"/>
  <c r="Y1208" i="24" s="1"/>
  <c r="Q1041" i="24"/>
  <c r="Q876" i="24"/>
  <c r="Q854" i="24"/>
  <c r="Q919" i="24"/>
  <c r="Y919" i="24" s="1"/>
  <c r="Q1187" i="24"/>
  <c r="Y1187" i="24" s="1"/>
  <c r="Q910" i="24"/>
  <c r="Y910" i="24" s="1"/>
  <c r="Q912" i="24"/>
  <c r="Y912" i="24" s="1"/>
  <c r="Q799" i="24"/>
  <c r="Y799" i="24" s="1"/>
  <c r="Q832" i="24"/>
  <c r="Y832" i="24" s="1"/>
  <c r="Q921" i="24"/>
  <c r="Q732" i="24"/>
  <c r="Q757" i="24"/>
  <c r="Q837" i="24"/>
  <c r="Q811" i="24"/>
  <c r="Y811" i="24" s="1"/>
  <c r="Q860" i="24"/>
  <c r="Y860" i="24" s="1"/>
  <c r="Q523" i="24"/>
  <c r="Q643" i="24"/>
  <c r="Q545" i="24"/>
  <c r="Y545" i="24" s="1"/>
  <c r="Q449" i="24"/>
  <c r="Q436" i="24"/>
  <c r="Y436" i="24" s="1"/>
  <c r="Q460" i="24"/>
  <c r="Q439" i="24"/>
  <c r="Y439" i="24" s="1"/>
  <c r="Q766" i="24"/>
  <c r="Q382" i="24"/>
  <c r="Q390" i="24"/>
  <c r="Q321" i="24"/>
  <c r="Y321" i="24" s="1"/>
  <c r="Q273" i="24"/>
  <c r="Q83" i="24"/>
  <c r="Q355" i="24"/>
  <c r="Q170" i="24"/>
  <c r="Y170" i="24" s="1"/>
  <c r="Q134" i="24"/>
  <c r="Q181" i="24"/>
  <c r="Y181" i="24" s="1"/>
  <c r="Q147" i="24"/>
  <c r="Q125" i="24"/>
  <c r="Q40" i="24"/>
  <c r="Y40" i="24" s="1"/>
  <c r="Q67" i="24"/>
  <c r="Y67" i="24" s="1"/>
  <c r="Q41" i="24"/>
  <c r="Q30" i="24"/>
  <c r="AB22" i="24"/>
  <c r="AB30" i="24"/>
  <c r="Q37" i="24"/>
  <c r="Y37" i="24" s="1"/>
  <c r="AB14" i="24"/>
  <c r="Q115" i="24"/>
  <c r="Q80" i="24"/>
  <c r="AH1296" i="24"/>
  <c r="AH1226" i="24"/>
  <c r="AH1261" i="24"/>
  <c r="AH1242" i="24"/>
  <c r="AH1284" i="24"/>
  <c r="AH1285" i="24"/>
  <c r="AH992" i="24"/>
  <c r="AH1069" i="24"/>
  <c r="AH1057" i="24"/>
  <c r="AH1005" i="24"/>
  <c r="AH964" i="24"/>
  <c r="AH897" i="24"/>
  <c r="AH898" i="24"/>
  <c r="AH971" i="24"/>
  <c r="AH893" i="24"/>
  <c r="AH1095" i="24"/>
  <c r="AH891" i="24"/>
  <c r="AH1280" i="24"/>
  <c r="AH949" i="24"/>
  <c r="AH529" i="24"/>
  <c r="AH686" i="24"/>
  <c r="AH538" i="24"/>
  <c r="AH563" i="24"/>
  <c r="AH482" i="24"/>
  <c r="AH549" i="24"/>
  <c r="AH470" i="24"/>
  <c r="AH370" i="24"/>
  <c r="AH422" i="24"/>
  <c r="AH357" i="24"/>
  <c r="AH368" i="24"/>
  <c r="AH335" i="24"/>
  <c r="AH318" i="24"/>
  <c r="AH84" i="24"/>
  <c r="AH159" i="24"/>
  <c r="AH99" i="24"/>
  <c r="AH82" i="24"/>
  <c r="AH16" i="24"/>
  <c r="P113" i="21"/>
  <c r="P122" i="21"/>
  <c r="P29" i="22"/>
  <c r="P36" i="22"/>
  <c r="P75" i="22"/>
  <c r="P119" i="22"/>
  <c r="P127" i="22"/>
  <c r="P95" i="23"/>
  <c r="AA11" i="24"/>
  <c r="O11" i="24"/>
  <c r="P39" i="23"/>
  <c r="P66" i="22"/>
  <c r="P64" i="22"/>
  <c r="P125" i="23"/>
  <c r="P91" i="23"/>
  <c r="P77" i="23"/>
  <c r="P74" i="23"/>
  <c r="P122" i="23"/>
  <c r="P101" i="23"/>
  <c r="P40" i="23"/>
  <c r="P85" i="23"/>
  <c r="P37" i="23"/>
  <c r="P26" i="23"/>
  <c r="P18" i="23"/>
  <c r="P112" i="22"/>
  <c r="P87" i="22"/>
  <c r="P52" i="22"/>
  <c r="P129" i="23"/>
  <c r="P88" i="23"/>
  <c r="P33" i="22"/>
  <c r="P31" i="22"/>
  <c r="P10" i="22"/>
  <c r="P114" i="23"/>
  <c r="P67" i="23"/>
  <c r="P64" i="23"/>
  <c r="P53" i="23"/>
  <c r="P42" i="23"/>
  <c r="P80" i="22"/>
  <c r="P67" i="22"/>
  <c r="P37" i="22"/>
  <c r="P35" i="22"/>
  <c r="P117" i="21"/>
  <c r="P128" i="21"/>
  <c r="P104" i="22"/>
  <c r="P117" i="22"/>
  <c r="P29" i="23"/>
  <c r="P55" i="23"/>
  <c r="P101" i="20"/>
  <c r="P109" i="20"/>
  <c r="P117" i="20"/>
  <c r="P125" i="20"/>
  <c r="P110" i="21"/>
  <c r="P44" i="22"/>
  <c r="P56" i="22"/>
  <c r="P61" i="22"/>
  <c r="P71" i="22"/>
  <c r="P100" i="23"/>
  <c r="AI1226" i="24"/>
  <c r="AI1231" i="24"/>
  <c r="AI1159" i="24"/>
  <c r="AI1242" i="24"/>
  <c r="AI1190" i="24"/>
  <c r="AI1335" i="24"/>
  <c r="AI1203" i="24"/>
  <c r="AI1296" i="24"/>
  <c r="AI1176" i="24"/>
  <c r="AI971" i="24"/>
  <c r="AI978" i="24"/>
  <c r="AI1057" i="24"/>
  <c r="AI964" i="24"/>
  <c r="AI831" i="24"/>
  <c r="AI897" i="24"/>
  <c r="AI898" i="24"/>
  <c r="AI1052" i="24"/>
  <c r="AI819" i="24"/>
  <c r="AI848" i="24"/>
  <c r="AI754" i="24"/>
  <c r="AI850" i="24"/>
  <c r="AI703" i="24"/>
  <c r="AI529" i="24"/>
  <c r="AI555" i="24"/>
  <c r="AI824" i="24"/>
  <c r="AI603" i="24"/>
  <c r="AI675" i="24"/>
  <c r="AI563" i="24"/>
  <c r="AI462" i="24"/>
  <c r="AI482" i="24"/>
  <c r="AI422" i="24"/>
  <c r="AI549" i="24"/>
  <c r="AI467" i="24"/>
  <c r="AI447" i="24"/>
  <c r="AI470" i="24"/>
  <c r="AI477" i="24"/>
  <c r="AI370" i="24"/>
  <c r="AI274" i="24"/>
  <c r="AI357" i="24"/>
  <c r="AI257" i="24"/>
  <c r="AI311" i="24"/>
  <c r="AI143" i="24"/>
  <c r="AI174" i="24"/>
  <c r="AI209" i="24"/>
  <c r="AI335" i="24"/>
  <c r="AI318" i="24"/>
  <c r="AI84" i="24"/>
  <c r="AI99" i="24"/>
  <c r="AI55" i="24"/>
  <c r="AI159" i="24"/>
  <c r="AI16" i="24"/>
  <c r="AA21" i="24"/>
  <c r="O21" i="24"/>
  <c r="P94" i="22"/>
  <c r="P107" i="22"/>
  <c r="P115" i="22"/>
  <c r="P127" i="23"/>
  <c r="O6" i="24"/>
  <c r="AA6" i="24"/>
  <c r="AA133" i="24"/>
  <c r="AA50" i="24"/>
  <c r="AA14" i="24"/>
  <c r="AA34" i="24"/>
  <c r="AA56" i="24"/>
  <c r="AA66" i="24"/>
  <c r="AA42" i="24"/>
  <c r="AA109" i="24"/>
  <c r="AA28" i="24"/>
  <c r="AA16" i="24"/>
  <c r="AA39" i="24"/>
  <c r="AA47" i="24"/>
  <c r="AA5" i="24"/>
  <c r="AA72" i="24"/>
  <c r="AA22" i="24"/>
  <c r="AA4" i="24"/>
  <c r="AA7" i="24"/>
  <c r="P69" i="22"/>
  <c r="P97" i="22"/>
  <c r="P110" i="22"/>
  <c r="P123" i="22"/>
  <c r="P126" i="22"/>
  <c r="P20" i="23"/>
  <c r="P93" i="23"/>
  <c r="P63" i="23"/>
  <c r="P14" i="21"/>
  <c r="P22" i="21"/>
  <c r="P30" i="21"/>
  <c r="P38" i="21"/>
  <c r="P46" i="21"/>
  <c r="P54" i="21"/>
  <c r="P62" i="21"/>
  <c r="P87" i="21"/>
  <c r="P92" i="21"/>
  <c r="P97" i="21"/>
  <c r="P102" i="21"/>
  <c r="P116" i="21"/>
  <c r="P127" i="21"/>
  <c r="P113" i="22"/>
  <c r="P128" i="23"/>
  <c r="AB33" i="24"/>
  <c r="AA25" i="24"/>
  <c r="AI1321" i="24"/>
  <c r="AI1218" i="24"/>
  <c r="AI1287" i="24"/>
  <c r="AI1199" i="24"/>
  <c r="AI1240" i="24"/>
  <c r="AI1072" i="24"/>
  <c r="AI1320" i="24"/>
  <c r="AI1186" i="24"/>
  <c r="AI1124" i="24"/>
  <c r="AI1224" i="24"/>
  <c r="AI1162" i="24"/>
  <c r="AI998" i="24"/>
  <c r="AI1001" i="24"/>
  <c r="AI1077" i="24"/>
  <c r="AI1141" i="24"/>
  <c r="AI1142" i="24"/>
  <c r="AI943" i="24"/>
  <c r="AI759" i="24"/>
  <c r="AI802" i="24"/>
  <c r="AI853" i="24"/>
  <c r="AI598" i="24"/>
  <c r="AI620" i="24"/>
  <c r="AI950" i="24"/>
  <c r="AI466" i="24"/>
  <c r="AI746" i="24"/>
  <c r="AI426" i="24"/>
  <c r="AI384" i="24"/>
  <c r="AI575" i="24"/>
  <c r="AI340" i="24"/>
  <c r="AI232" i="24"/>
  <c r="AI475" i="24"/>
  <c r="AI358" i="24"/>
  <c r="AI118" i="24"/>
  <c r="AI233" i="24"/>
  <c r="AI152" i="24"/>
  <c r="AI167" i="24"/>
  <c r="AI361" i="24"/>
  <c r="AI73" i="24"/>
  <c r="AI206" i="24"/>
  <c r="AI43" i="24"/>
  <c r="AI7" i="24"/>
  <c r="AI1135" i="24"/>
  <c r="AI1158" i="24"/>
  <c r="AI1247" i="24"/>
  <c r="AI1109" i="24"/>
  <c r="AI1317" i="24"/>
  <c r="AI858" i="24"/>
  <c r="AI986" i="24"/>
  <c r="AI883" i="24"/>
  <c r="AI861" i="24"/>
  <c r="AI942" i="24"/>
  <c r="AI1260" i="24"/>
  <c r="AI737" i="24"/>
  <c r="AI726" i="24"/>
  <c r="AI828" i="24"/>
  <c r="AI530" i="24"/>
  <c r="AI634" i="24"/>
  <c r="AI680" i="24"/>
  <c r="AI605" i="24"/>
  <c r="AI626" i="24"/>
  <c r="AI524" i="24"/>
  <c r="AI491" i="24"/>
  <c r="AI492" i="24"/>
  <c r="AI432" i="24"/>
  <c r="AI435" i="24"/>
  <c r="AI551" i="24"/>
  <c r="AI278" i="24"/>
  <c r="AI346" i="24"/>
  <c r="AI381" i="24"/>
  <c r="AI423" i="24"/>
  <c r="AI263" i="24"/>
  <c r="AI243" i="24"/>
  <c r="AI142" i="24"/>
  <c r="AI214" i="24"/>
  <c r="AI193" i="24"/>
  <c r="AI294" i="24"/>
  <c r="AI201" i="24"/>
  <c r="AI169" i="24"/>
  <c r="AI131" i="24"/>
  <c r="AI108" i="24"/>
  <c r="AI79" i="24"/>
  <c r="AI220" i="24"/>
  <c r="AI139" i="24"/>
  <c r="AI60" i="24"/>
  <c r="AI54" i="24"/>
  <c r="AI71" i="24"/>
  <c r="AA12" i="24"/>
  <c r="AA20" i="24"/>
  <c r="O64" i="24"/>
  <c r="AA64" i="24"/>
  <c r="Q55" i="24"/>
  <c r="Y55" i="24" s="1"/>
  <c r="AB55" i="24"/>
  <c r="Q16" i="24"/>
  <c r="Y16" i="24" s="1"/>
  <c r="AI29" i="24"/>
  <c r="AH35" i="24"/>
  <c r="AI18" i="24"/>
  <c r="AI1322" i="24"/>
  <c r="AI1274" i="24"/>
  <c r="AI1362" i="24"/>
  <c r="AI1319" i="24"/>
  <c r="AI1310" i="24"/>
  <c r="AI1305" i="24"/>
  <c r="AI1147" i="24"/>
  <c r="AI1263" i="24"/>
  <c r="AI1344" i="24"/>
  <c r="AI1294" i="24"/>
  <c r="AI1223" i="24"/>
  <c r="AI1219" i="24"/>
  <c r="AI947" i="24"/>
  <c r="AI879" i="24"/>
  <c r="AI927" i="24"/>
  <c r="AI867" i="24"/>
  <c r="AI843" i="24"/>
  <c r="AI806" i="24"/>
  <c r="AI851" i="24"/>
  <c r="AI877" i="24"/>
  <c r="AI709" i="24"/>
  <c r="AI822" i="24"/>
  <c r="AI730" i="24"/>
  <c r="AI631" i="24"/>
  <c r="AI619" i="24"/>
  <c r="AI729" i="24"/>
  <c r="AI583" i="24"/>
  <c r="AI559" i="24"/>
  <c r="AI659" i="24"/>
  <c r="AI637" i="24"/>
  <c r="AI506" i="24"/>
  <c r="AI417" i="24"/>
  <c r="AI481" i="24"/>
  <c r="AI627" i="24"/>
  <c r="AI484" i="24"/>
  <c r="AI471" i="24"/>
  <c r="AI453" i="24"/>
  <c r="AI298" i="24"/>
  <c r="AI325" i="24"/>
  <c r="AI364" i="24"/>
  <c r="AI415" i="24"/>
  <c r="AI380" i="24"/>
  <c r="AI351" i="24"/>
  <c r="AI313" i="24"/>
  <c r="AI184" i="24"/>
  <c r="AI547" i="24"/>
  <c r="AI230" i="24"/>
  <c r="AI319" i="24"/>
  <c r="AI94" i="24"/>
  <c r="AI123" i="24"/>
  <c r="AI95" i="24"/>
  <c r="AH1288" i="24"/>
  <c r="AH1233" i="24"/>
  <c r="AH1086" i="24"/>
  <c r="AH1130" i="24"/>
  <c r="AH1071" i="24"/>
  <c r="AH1235" i="24"/>
  <c r="AH1201" i="24"/>
  <c r="AH1183" i="24"/>
  <c r="AH1194" i="24"/>
  <c r="AH1210" i="24"/>
  <c r="AH1185" i="24"/>
  <c r="AH1012" i="24"/>
  <c r="AH1014" i="24"/>
  <c r="AH997" i="24"/>
  <c r="AH1056" i="24"/>
  <c r="AH982" i="24"/>
  <c r="AH958" i="24"/>
  <c r="AH830" i="24"/>
  <c r="AH934" i="24"/>
  <c r="AH784" i="24"/>
  <c r="AH990" i="24"/>
  <c r="AH911" i="24"/>
  <c r="AH936" i="24"/>
  <c r="AH937" i="24"/>
  <c r="AH1341" i="24"/>
  <c r="AH787" i="24"/>
  <c r="AH554" i="24"/>
  <c r="AH635" i="24"/>
  <c r="AH770" i="24"/>
  <c r="AH438" i="24"/>
  <c r="AH595" i="24"/>
  <c r="AH509" i="24"/>
  <c r="AH613" i="24"/>
  <c r="AH396" i="24"/>
  <c r="AH324" i="24"/>
  <c r="AH379" i="24"/>
  <c r="AH398" i="24"/>
  <c r="AH392" i="24"/>
  <c r="AH327" i="24"/>
  <c r="AH303" i="24"/>
  <c r="AH288" i="24"/>
  <c r="AH237" i="24"/>
  <c r="AH164" i="24"/>
  <c r="AH317" i="24"/>
  <c r="AH66" i="24"/>
  <c r="AH69" i="24"/>
  <c r="AH98" i="24"/>
  <c r="AH9" i="24"/>
  <c r="AA71" i="24"/>
  <c r="O10" i="24"/>
  <c r="AA10" i="24"/>
  <c r="AA27" i="24"/>
  <c r="Q38" i="24"/>
  <c r="Y38" i="24" s="1"/>
  <c r="AB38" i="24"/>
  <c r="AH52" i="24"/>
  <c r="P34" i="22"/>
  <c r="P54" i="22"/>
  <c r="P85" i="22"/>
  <c r="P105" i="22"/>
  <c r="P116" i="22"/>
  <c r="P43" i="23"/>
  <c r="P72" i="23"/>
  <c r="P92" i="23"/>
  <c r="P115" i="23"/>
  <c r="AA49" i="24"/>
  <c r="Q1314" i="24"/>
  <c r="Q1211" i="24"/>
  <c r="Q1250" i="24"/>
  <c r="Q1179" i="24"/>
  <c r="Q1282" i="24"/>
  <c r="Q1155" i="24"/>
  <c r="Y1155" i="24" s="1"/>
  <c r="Q985" i="24"/>
  <c r="Q1062" i="24"/>
  <c r="Q753" i="24"/>
  <c r="Q1063" i="24"/>
  <c r="Y1063" i="24" s="1"/>
  <c r="Q977" i="24"/>
  <c r="Q713" i="24"/>
  <c r="Q756" i="24"/>
  <c r="Y756" i="24" s="1"/>
  <c r="Q1172" i="24"/>
  <c r="Y1172" i="24" s="1"/>
  <c r="Q786" i="24"/>
  <c r="Q707" i="24"/>
  <c r="Q704" i="24"/>
  <c r="Q483" i="24"/>
  <c r="Y483" i="24" s="1"/>
  <c r="Q452" i="24"/>
  <c r="Y452" i="24" s="1"/>
  <c r="Q428" i="24"/>
  <c r="Y428" i="24" s="1"/>
  <c r="Q511" i="24"/>
  <c r="Q487" i="24"/>
  <c r="Q474" i="24"/>
  <c r="Q283" i="24"/>
  <c r="Q241" i="24"/>
  <c r="Q242" i="24"/>
  <c r="Y242" i="24" s="1"/>
  <c r="Q320" i="24"/>
  <c r="Y320" i="24" s="1"/>
  <c r="Q296" i="24"/>
  <c r="Q249" i="24"/>
  <c r="Y249" i="24" s="1"/>
  <c r="Q225" i="24"/>
  <c r="Y225" i="24" s="1"/>
  <c r="Q342" i="24"/>
  <c r="Q218" i="24"/>
  <c r="Q407" i="24"/>
  <c r="Y407" i="24" s="1"/>
  <c r="Q160" i="24"/>
  <c r="Y160" i="24" s="1"/>
  <c r="Q100" i="24"/>
  <c r="Y100" i="24" s="1"/>
  <c r="Q178" i="24"/>
  <c r="Y178" i="24" s="1"/>
  <c r="Q222" i="24"/>
  <c r="Q32" i="24"/>
  <c r="Y32" i="24" s="1"/>
  <c r="Q33" i="24"/>
  <c r="Q59" i="24"/>
  <c r="Y59" i="24" s="1"/>
  <c r="AB7" i="24"/>
  <c r="AB11" i="24"/>
  <c r="AI52" i="24"/>
  <c r="P14" i="22"/>
  <c r="P45" i="22"/>
  <c r="P65" i="22"/>
  <c r="P76" i="22"/>
  <c r="P96" i="22"/>
  <c r="P41" i="23"/>
  <c r="P108" i="23"/>
  <c r="AH1254" i="24"/>
  <c r="AH1167" i="24"/>
  <c r="AH1090" i="24"/>
  <c r="AH1258" i="24"/>
  <c r="AH1174" i="24"/>
  <c r="AH1039" i="24"/>
  <c r="AH1031" i="24"/>
  <c r="AH1000" i="24"/>
  <c r="AH1153" i="24"/>
  <c r="AH909" i="24"/>
  <c r="AH857" i="24"/>
  <c r="AH941" i="24"/>
  <c r="AH794" i="24"/>
  <c r="AH722" i="24"/>
  <c r="AH785" i="24"/>
  <c r="AH826" i="24"/>
  <c r="AH1238" i="24"/>
  <c r="AH782" i="24"/>
  <c r="AH740" i="24"/>
  <c r="AH827" i="24"/>
  <c r="AH629" i="24"/>
  <c r="AH576" i="24"/>
  <c r="AH800" i="24"/>
  <c r="AH673" i="24"/>
  <c r="AH427" i="24"/>
  <c r="AH550" i="24"/>
  <c r="AH344" i="24"/>
  <c r="AH373" i="24"/>
  <c r="AH286" i="24"/>
  <c r="AH117" i="24"/>
  <c r="AH336" i="24"/>
  <c r="AH190" i="24"/>
  <c r="AH315" i="24"/>
  <c r="AH42" i="24"/>
  <c r="AH24" i="24"/>
  <c r="AH17" i="24"/>
  <c r="P99" i="23"/>
  <c r="AH1320" i="24"/>
  <c r="AH1321" i="24"/>
  <c r="AH1348" i="24"/>
  <c r="AH1142" i="24"/>
  <c r="AH1218" i="24"/>
  <c r="AH1186" i="24"/>
  <c r="AH1124" i="24"/>
  <c r="AH1224" i="24"/>
  <c r="AH1162" i="24"/>
  <c r="AH1077" i="24"/>
  <c r="AH1141" i="24"/>
  <c r="AH1165" i="24"/>
  <c r="AH1072" i="24"/>
  <c r="AH950" i="24"/>
  <c r="AH853" i="24"/>
  <c r="AH1080" i="24"/>
  <c r="AH1270" i="24"/>
  <c r="AH888" i="24"/>
  <c r="AH780" i="24"/>
  <c r="AH705" i="24"/>
  <c r="AH802" i="24"/>
  <c r="AH575" i="24"/>
  <c r="AH582" i="24"/>
  <c r="AH558" i="24"/>
  <c r="AH586" i="24"/>
  <c r="AH562" i="24"/>
  <c r="AH591" i="24"/>
  <c r="AH466" i="24"/>
  <c r="AH746" i="24"/>
  <c r="AH521" i="24"/>
  <c r="AH426" i="24"/>
  <c r="AH486" i="24"/>
  <c r="AH496" i="24"/>
  <c r="AH272" i="24"/>
  <c r="AH384" i="24"/>
  <c r="AH340" i="24"/>
  <c r="AH397" i="24"/>
  <c r="AH231" i="24"/>
  <c r="AH333" i="24"/>
  <c r="AH314" i="24"/>
  <c r="AH118" i="24"/>
  <c r="AH232" i="24"/>
  <c r="AH152" i="24"/>
  <c r="AH168" i="24"/>
  <c r="AH43" i="24"/>
  <c r="P78" i="22"/>
  <c r="P98" i="22"/>
  <c r="P109" i="22"/>
  <c r="P35" i="23"/>
  <c r="P106" i="23"/>
  <c r="AH7" i="24"/>
  <c r="Q1247" i="24"/>
  <c r="Y1247" i="24" s="1"/>
  <c r="AB1306" i="24"/>
  <c r="AB1188" i="24"/>
  <c r="Q1149" i="24"/>
  <c r="AB1337" i="24"/>
  <c r="AB1101" i="24"/>
  <c r="Q1317" i="24"/>
  <c r="AB1208" i="24"/>
  <c r="AB1299" i="24"/>
  <c r="AB1210" i="24"/>
  <c r="AB967" i="24"/>
  <c r="AB993" i="24"/>
  <c r="Q1059" i="24"/>
  <c r="Q1158" i="24"/>
  <c r="AB1014" i="24"/>
  <c r="AB974" i="24"/>
  <c r="AB1360" i="24"/>
  <c r="AB1031" i="24"/>
  <c r="AB1000" i="24"/>
  <c r="AB977" i="24"/>
  <c r="Q946" i="24"/>
  <c r="AB801" i="24"/>
  <c r="AB918" i="24"/>
  <c r="AB896" i="24"/>
  <c r="Q1016" i="24"/>
  <c r="Y1016" i="24" s="1"/>
  <c r="AB1072" i="24"/>
  <c r="Q828" i="24"/>
  <c r="Y828" i="24" s="1"/>
  <c r="AB929" i="24"/>
  <c r="Q861" i="24"/>
  <c r="Q728" i="24"/>
  <c r="Q712" i="24"/>
  <c r="Y712" i="24" s="1"/>
  <c r="Q883" i="24"/>
  <c r="Y883" i="24" s="1"/>
  <c r="Q858" i="24"/>
  <c r="AB721" i="24"/>
  <c r="AB1058" i="24"/>
  <c r="Q815" i="24"/>
  <c r="Y815" i="24" s="1"/>
  <c r="AB870" i="24"/>
  <c r="Q881" i="24"/>
  <c r="AB798" i="24"/>
  <c r="AB592" i="24"/>
  <c r="AB662" i="24"/>
  <c r="Q760" i="24"/>
  <c r="Q702" i="24"/>
  <c r="Y702" i="24" s="1"/>
  <c r="AB739" i="24"/>
  <c r="AB629" i="24"/>
  <c r="Q568" i="24"/>
  <c r="Q544" i="24"/>
  <c r="Y544" i="24" s="1"/>
  <c r="AB615" i="24"/>
  <c r="AB553" i="24"/>
  <c r="Q626" i="24"/>
  <c r="Y626" i="24" s="1"/>
  <c r="AB578" i="24"/>
  <c r="AB617" i="24"/>
  <c r="AB508" i="24"/>
  <c r="AB633" i="24"/>
  <c r="AB557" i="24"/>
  <c r="Q739" i="24"/>
  <c r="Y739" i="24" s="1"/>
  <c r="AB619" i="24"/>
  <c r="AB866" i="24"/>
  <c r="AB637" i="24"/>
  <c r="Q617" i="24"/>
  <c r="Y617" i="24" s="1"/>
  <c r="Q581" i="24"/>
  <c r="Y581" i="24" s="1"/>
  <c r="Q680" i="24"/>
  <c r="Y680" i="24" s="1"/>
  <c r="AB625" i="24"/>
  <c r="AB433" i="24"/>
  <c r="Q432" i="24"/>
  <c r="AB444" i="24"/>
  <c r="AB588" i="24"/>
  <c r="AB445" i="24"/>
  <c r="AB493" i="24"/>
  <c r="Q580" i="24"/>
  <c r="Y580" i="24" s="1"/>
  <c r="Q634" i="24"/>
  <c r="Y634" i="24" s="1"/>
  <c r="Q600" i="24"/>
  <c r="Y600" i="24" s="1"/>
  <c r="Q492" i="24"/>
  <c r="Y492" i="24" s="1"/>
  <c r="AB335" i="24"/>
  <c r="AB406" i="24"/>
  <c r="AB321" i="24"/>
  <c r="AB379" i="24"/>
  <c r="Q294" i="24"/>
  <c r="Y294" i="24" s="1"/>
  <c r="AB259" i="24"/>
  <c r="Q251" i="24"/>
  <c r="AB240" i="24"/>
  <c r="Q248" i="24"/>
  <c r="Y248" i="24" s="1"/>
  <c r="Q179" i="24"/>
  <c r="Y179" i="24" s="1"/>
  <c r="Q329" i="24"/>
  <c r="Q169" i="24"/>
  <c r="Q131" i="24"/>
  <c r="Y131" i="24" s="1"/>
  <c r="Q112" i="24"/>
  <c r="Y112" i="24" s="1"/>
  <c r="AB367" i="24"/>
  <c r="Q191" i="24"/>
  <c r="AB164" i="24"/>
  <c r="Q278" i="24"/>
  <c r="Y278" i="24" s="1"/>
  <c r="Q193" i="24"/>
  <c r="Y193" i="24" s="1"/>
  <c r="Q201" i="24"/>
  <c r="Y201" i="24" s="1"/>
  <c r="Q263" i="24"/>
  <c r="AB110" i="24"/>
  <c r="AB69" i="24"/>
  <c r="AB248" i="24"/>
  <c r="Q139" i="24"/>
  <c r="Y139" i="24" s="1"/>
  <c r="AB106" i="24"/>
  <c r="AB134" i="24"/>
  <c r="AB59" i="24"/>
  <c r="Q89" i="24"/>
  <c r="Y89" i="24" s="1"/>
  <c r="Q60" i="24"/>
  <c r="Y60" i="24" s="1"/>
  <c r="AB28" i="24"/>
  <c r="AB40" i="24"/>
  <c r="AB84" i="24"/>
  <c r="Q34" i="24"/>
  <c r="AB18" i="24"/>
  <c r="AB26" i="24"/>
  <c r="AB41" i="24"/>
  <c r="AB32" i="24"/>
  <c r="Q36" i="24"/>
  <c r="AB58" i="24"/>
  <c r="AB66" i="24"/>
  <c r="AB10" i="24"/>
  <c r="AA33" i="24"/>
  <c r="O33" i="24"/>
  <c r="P89" i="22"/>
  <c r="P120" i="22"/>
  <c r="P31" i="23"/>
  <c r="P33" i="23"/>
  <c r="P60" i="23"/>
  <c r="P113" i="23"/>
  <c r="AH1250" i="24"/>
  <c r="AH1179" i="24"/>
  <c r="AH1282" i="24"/>
  <c r="AH1215" i="24"/>
  <c r="AH1172" i="24"/>
  <c r="AH1211" i="24"/>
  <c r="AH1248" i="24"/>
  <c r="AH1178" i="24"/>
  <c r="AH977" i="24"/>
  <c r="AH1076" i="24"/>
  <c r="AH1063" i="24"/>
  <c r="AH1113" i="24"/>
  <c r="AH989" i="24"/>
  <c r="AH985" i="24"/>
  <c r="AH1010" i="24"/>
  <c r="AH866" i="24"/>
  <c r="AH842" i="24"/>
  <c r="AH818" i="24"/>
  <c r="AH764" i="24"/>
  <c r="AH1096" i="24"/>
  <c r="AH552" i="24"/>
  <c r="AH578" i="24"/>
  <c r="AH917" i="24"/>
  <c r="AH713" i="24"/>
  <c r="AH416" i="24"/>
  <c r="AH490" i="24"/>
  <c r="AH526" i="24"/>
  <c r="AH452" i="24"/>
  <c r="AH428" i="24"/>
  <c r="AH429" i="24"/>
  <c r="AH407" i="24"/>
  <c r="AH359" i="24"/>
  <c r="AH511" i="24"/>
  <c r="AH320" i="24"/>
  <c r="AH296" i="24"/>
  <c r="AH487" i="24"/>
  <c r="AH249" i="24"/>
  <c r="AH225" i="24"/>
  <c r="AH474" i="24"/>
  <c r="AH242" i="24"/>
  <c r="AH218" i="24"/>
  <c r="AH253" i="24"/>
  <c r="AH241" i="24"/>
  <c r="AH182" i="24"/>
  <c r="AH208" i="24"/>
  <c r="AH228" i="24"/>
  <c r="AH222" i="24"/>
  <c r="AH90" i="24"/>
  <c r="AH160" i="24"/>
  <c r="AH138" i="24"/>
  <c r="AH28" i="24"/>
  <c r="AH32" i="24"/>
  <c r="AH11" i="24"/>
  <c r="AA26" i="24"/>
  <c r="O26" i="24"/>
  <c r="L10" i="11" s="1"/>
  <c r="AH22" i="24"/>
  <c r="AH51" i="24"/>
  <c r="AA46" i="24"/>
  <c r="O46" i="24"/>
  <c r="P13" i="23"/>
  <c r="P15" i="23"/>
  <c r="P17" i="23"/>
  <c r="P23" i="23"/>
  <c r="P25" i="23"/>
  <c r="P75" i="23"/>
  <c r="AA18" i="24"/>
  <c r="P131" i="23"/>
  <c r="P103" i="23"/>
  <c r="P83" i="23"/>
  <c r="P32" i="23"/>
  <c r="P124" i="22"/>
  <c r="P79" i="23"/>
  <c r="P123" i="23"/>
  <c r="P121" i="23"/>
  <c r="P84" i="23"/>
  <c r="P124" i="23"/>
  <c r="P109" i="23"/>
  <c r="P89" i="23"/>
  <c r="P80" i="23"/>
  <c r="P50" i="23"/>
  <c r="P24" i="23"/>
  <c r="P19" i="23"/>
  <c r="P116" i="23"/>
  <c r="P96" i="23"/>
  <c r="P21" i="23"/>
  <c r="P121" i="22"/>
  <c r="P114" i="22"/>
  <c r="P39" i="22"/>
  <c r="P32" i="22"/>
  <c r="P25" i="22"/>
  <c r="P18" i="22"/>
  <c r="AB1127" i="24"/>
  <c r="AB1282" i="24"/>
  <c r="AB1146" i="24"/>
  <c r="AB1253" i="24"/>
  <c r="AB994" i="24"/>
  <c r="AB1312" i="24"/>
  <c r="AB873" i="24"/>
  <c r="AB1078" i="24"/>
  <c r="AB830" i="24"/>
  <c r="AB952" i="24"/>
  <c r="AB746" i="24"/>
  <c r="AB806" i="24"/>
  <c r="AB843" i="24"/>
  <c r="AB690" i="24"/>
  <c r="AB783" i="24"/>
  <c r="AB564" i="24"/>
  <c r="AB668" i="24"/>
  <c r="AB396" i="24"/>
  <c r="AB299" i="24"/>
  <c r="AB307" i="24"/>
  <c r="AB147" i="24"/>
  <c r="Q29" i="24"/>
  <c r="Q14" i="24"/>
  <c r="AB31" i="24"/>
  <c r="AH1230" i="24"/>
  <c r="AH1265" i="24"/>
  <c r="AH1304" i="24"/>
  <c r="AH1245" i="24"/>
  <c r="AH1105" i="24"/>
  <c r="AH1259" i="24"/>
  <c r="AH1175" i="24"/>
  <c r="AH1187" i="24"/>
  <c r="AH1011" i="24"/>
  <c r="AH1197" i="24"/>
  <c r="AH1047" i="24"/>
  <c r="AH854" i="24"/>
  <c r="AH933" i="24"/>
  <c r="AH832" i="24"/>
  <c r="AH811" i="24"/>
  <c r="AH1006" i="24"/>
  <c r="AH860" i="24"/>
  <c r="AH1101" i="24"/>
  <c r="AH912" i="24"/>
  <c r="AH876" i="24"/>
  <c r="AH757" i="24"/>
  <c r="AH1023" i="24"/>
  <c r="AH752" i="24"/>
  <c r="AH803" i="24"/>
  <c r="AH799" i="24"/>
  <c r="AH732" i="24"/>
  <c r="AH643" i="24"/>
  <c r="AH539" i="24"/>
  <c r="AH515" i="24"/>
  <c r="AH460" i="24"/>
  <c r="AH480" i="24"/>
  <c r="AH514" i="24"/>
  <c r="AH545" i="24"/>
  <c r="AH449" i="24"/>
  <c r="AH383" i="24"/>
  <c r="AH390" i="24"/>
  <c r="AH321" i="24"/>
  <c r="AH273" i="24"/>
  <c r="AH363" i="24"/>
  <c r="AH372" i="24"/>
  <c r="AH355" i="24"/>
  <c r="AH256" i="24"/>
  <c r="AH309" i="24"/>
  <c r="AH455" i="24"/>
  <c r="AH245" i="24"/>
  <c r="AH147" i="24"/>
  <c r="AH170" i="24"/>
  <c r="AH83" i="24"/>
  <c r="AH128" i="24"/>
  <c r="AH137" i="24"/>
  <c r="AH62" i="24"/>
  <c r="AH198" i="24"/>
  <c r="AH104" i="24"/>
  <c r="AH37" i="24"/>
  <c r="AH115" i="24"/>
  <c r="AH181" i="24"/>
  <c r="AH30" i="24"/>
  <c r="AH41" i="24"/>
  <c r="AB116" i="24"/>
  <c r="Q198" i="24"/>
  <c r="AI205" i="24"/>
  <c r="AI51" i="24"/>
  <c r="AI22" i="24"/>
  <c r="O27" i="24"/>
  <c r="AI1255" i="24"/>
  <c r="AI1309" i="24"/>
  <c r="AI1216" i="24"/>
  <c r="AI1222" i="24"/>
  <c r="AI1330" i="24"/>
  <c r="AI1083" i="24"/>
  <c r="AI1070" i="24"/>
  <c r="AI1078" i="24"/>
  <c r="AI1084" i="24"/>
  <c r="AI972" i="24"/>
  <c r="AI878" i="24"/>
  <c r="AI1025" i="24"/>
  <c r="AI940" i="24"/>
  <c r="AI882" i="24"/>
  <c r="AI966" i="24"/>
  <c r="AI903" i="24"/>
  <c r="AI747" i="24"/>
  <c r="AI1166" i="24"/>
  <c r="AI1024" i="24"/>
  <c r="AI804" i="24"/>
  <c r="AI813" i="24"/>
  <c r="AI577" i="24"/>
  <c r="AI691" i="24"/>
  <c r="AI733" i="24"/>
  <c r="AI587" i="24"/>
  <c r="AI694" i="24"/>
  <c r="AI445" i="24"/>
  <c r="AI592" i="24"/>
  <c r="AI446" i="24"/>
  <c r="AI501" i="24"/>
  <c r="AI450" i="24"/>
  <c r="AI662" i="24"/>
  <c r="AI322" i="24"/>
  <c r="AI304" i="24"/>
  <c r="AI387" i="24"/>
  <c r="AI332" i="24"/>
  <c r="AI265" i="24"/>
  <c r="AI219" i="24"/>
  <c r="AI277" i="24"/>
  <c r="AI388" i="24"/>
  <c r="AI246" i="24"/>
  <c r="AI124" i="24"/>
  <c r="AI238" i="24"/>
  <c r="AI195" i="24"/>
  <c r="AI456" i="24"/>
  <c r="AI132" i="24"/>
  <c r="AI85" i="24"/>
  <c r="AI26" i="24"/>
  <c r="AI47" i="24"/>
  <c r="AI6" i="24"/>
  <c r="AI129" i="24"/>
  <c r="AI1267" i="24"/>
  <c r="AI1168" i="24"/>
  <c r="AI1090" i="24"/>
  <c r="AI1173" i="24"/>
  <c r="AI1174" i="24"/>
  <c r="AI1243" i="24"/>
  <c r="AI1254" i="24"/>
  <c r="AI1039" i="24"/>
  <c r="AI1167" i="24"/>
  <c r="AI1153" i="24"/>
  <c r="AI1238" i="24"/>
  <c r="AI961" i="24"/>
  <c r="AI857" i="24"/>
  <c r="AI785" i="24"/>
  <c r="AI941" i="24"/>
  <c r="AI991" i="24"/>
  <c r="AI794" i="24"/>
  <c r="AI967" i="24"/>
  <c r="AI801" i="24"/>
  <c r="AI1192" i="24"/>
  <c r="AI826" i="24"/>
  <c r="AI782" i="24"/>
  <c r="AI740" i="24"/>
  <c r="AI776" i="24"/>
  <c r="AI827" i="24"/>
  <c r="AI576" i="24"/>
  <c r="AI800" i="24"/>
  <c r="AI673" i="24"/>
  <c r="AI516" i="24"/>
  <c r="AI489" i="24"/>
  <c r="AI427" i="24"/>
  <c r="AI550" i="24"/>
  <c r="AI472" i="24"/>
  <c r="AI226" i="24"/>
  <c r="AI202" i="24"/>
  <c r="AI344" i="24"/>
  <c r="AI373" i="24"/>
  <c r="AI302" i="24"/>
  <c r="AI286" i="24"/>
  <c r="AI287" i="24"/>
  <c r="AI336" i="24"/>
  <c r="AI315" i="24"/>
  <c r="AI185" i="24"/>
  <c r="AI217" i="24"/>
  <c r="AI133" i="24"/>
  <c r="AI171" i="24"/>
  <c r="AI140" i="24"/>
  <c r="AI17" i="24"/>
  <c r="AA23" i="24"/>
  <c r="O23" i="24"/>
  <c r="O19" i="24"/>
  <c r="AA19" i="24"/>
  <c r="AB46" i="24"/>
  <c r="Q25" i="24"/>
  <c r="AH57" i="24"/>
  <c r="AA8" i="24"/>
  <c r="AH112" i="24"/>
  <c r="AA65" i="24"/>
  <c r="AB102" i="24"/>
  <c r="Q102" i="24"/>
  <c r="Y102" i="24" s="1"/>
  <c r="O65" i="24"/>
  <c r="AA75" i="24"/>
  <c r="O92" i="24"/>
  <c r="Q1347" i="24"/>
  <c r="Q1327" i="24"/>
  <c r="Q275" i="24"/>
  <c r="Q1342" i="24"/>
  <c r="Q1295" i="24"/>
  <c r="Q1350" i="24"/>
  <c r="Q1343" i="24"/>
  <c r="Q899" i="24"/>
  <c r="Q1355" i="24"/>
  <c r="Q1136" i="24"/>
  <c r="Q1133" i="24"/>
  <c r="Q1029" i="24"/>
  <c r="Q1138" i="24"/>
  <c r="Q1034" i="24"/>
  <c r="Q1272" i="24"/>
  <c r="Q956" i="24"/>
  <c r="Q809" i="24"/>
  <c r="Q749" i="24"/>
  <c r="Q970" i="24"/>
  <c r="Q672" i="24"/>
  <c r="Q596" i="24"/>
  <c r="Q458" i="24"/>
  <c r="Q567" i="24"/>
  <c r="Q668" i="24"/>
  <c r="Q689" i="24"/>
  <c r="Q504" i="24"/>
  <c r="Q527" i="24"/>
  <c r="Q399" i="24"/>
  <c r="Q292" i="24"/>
  <c r="Q615" i="24"/>
  <c r="Q289" i="24"/>
  <c r="Q457" i="24"/>
  <c r="Q403" i="24"/>
  <c r="Q262" i="24"/>
  <c r="Q291" i="24"/>
  <c r="Q215" i="24"/>
  <c r="Q192" i="24"/>
  <c r="AB19" i="24"/>
  <c r="Q19" i="24"/>
  <c r="Y19" i="24" s="1"/>
  <c r="AH53" i="24"/>
  <c r="AH73" i="24"/>
  <c r="Q92" i="24"/>
  <c r="AB62" i="24"/>
  <c r="Q62" i="24"/>
  <c r="Y62" i="24" s="1"/>
  <c r="AB188" i="24"/>
  <c r="AB23" i="24"/>
  <c r="AB1292" i="24"/>
  <c r="AB1269" i="24"/>
  <c r="AB1354" i="24"/>
  <c r="AB1259" i="24"/>
  <c r="AB1313" i="24"/>
  <c r="AB1303" i="24"/>
  <c r="AB1338" i="24"/>
  <c r="AB1271" i="24"/>
  <c r="AB1353" i="24"/>
  <c r="AB1324" i="24"/>
  <c r="AB1228" i="24"/>
  <c r="AB1133" i="24"/>
  <c r="AB1209" i="24"/>
  <c r="AB1258" i="24"/>
  <c r="AB1311" i="24"/>
  <c r="AB1195" i="24"/>
  <c r="AB1009" i="24"/>
  <c r="AB1211" i="24"/>
  <c r="AB943" i="24"/>
  <c r="AB1116" i="24"/>
  <c r="AB1040" i="24"/>
  <c r="AB946" i="24"/>
  <c r="AB1041" i="24"/>
  <c r="AB1186" i="24"/>
  <c r="AB1054" i="24"/>
  <c r="AB953" i="24"/>
  <c r="AB1230" i="24"/>
  <c r="AB1137" i="24"/>
  <c r="AB872" i="24"/>
  <c r="AB1020" i="24"/>
  <c r="AB859" i="24"/>
  <c r="AB787" i="24"/>
  <c r="AB911" i="24"/>
  <c r="AB982" i="24"/>
  <c r="AB936" i="24"/>
  <c r="AB921" i="24"/>
  <c r="AB861" i="24"/>
  <c r="AB871" i="24"/>
  <c r="AB1142" i="24"/>
  <c r="AB1046" i="24"/>
  <c r="AB846" i="24"/>
  <c r="AB889" i="24"/>
  <c r="AB765" i="24"/>
  <c r="AB680" i="24"/>
  <c r="AB683" i="24"/>
  <c r="AB797" i="24"/>
  <c r="AB844" i="24"/>
  <c r="AB627" i="24"/>
  <c r="AB1066" i="24"/>
  <c r="AB576" i="24"/>
  <c r="AB654" i="24"/>
  <c r="AB643" i="24"/>
  <c r="AB597" i="24"/>
  <c r="AB531" i="24"/>
  <c r="AB599" i="24"/>
  <c r="AB600" i="24"/>
  <c r="AB818" i="24"/>
  <c r="AB717" i="24"/>
  <c r="AB686" i="24"/>
  <c r="AB697" i="24"/>
  <c r="AB591" i="24"/>
  <c r="AB568" i="24"/>
  <c r="AB569" i="24"/>
  <c r="AB565" i="24"/>
  <c r="AB638" i="24"/>
  <c r="AB446" i="24"/>
  <c r="AB424" i="24"/>
  <c r="AB554" i="24"/>
  <c r="AB242" i="24"/>
  <c r="AB194" i="24"/>
  <c r="AB339" i="24"/>
  <c r="AB296" i="24"/>
  <c r="AB249" i="24"/>
  <c r="AB730" i="24"/>
  <c r="AB342" i="24"/>
  <c r="AB323" i="24"/>
  <c r="AB251" i="24"/>
  <c r="AB397" i="24"/>
  <c r="AB385" i="24"/>
  <c r="AB605" i="24"/>
  <c r="AB566" i="24"/>
  <c r="Q8" i="24"/>
  <c r="Y8" i="24" s="1"/>
  <c r="AB510" i="24"/>
  <c r="AB236" i="24"/>
  <c r="AB334" i="24"/>
  <c r="AB312" i="24"/>
  <c r="AB262" i="24"/>
  <c r="AB241" i="24"/>
  <c r="AB141" i="24"/>
  <c r="AB214" i="24"/>
  <c r="AB163" i="24"/>
  <c r="AB144" i="24"/>
  <c r="AB120" i="24"/>
  <c r="AB286" i="24"/>
  <c r="AB176" i="24"/>
  <c r="AB177" i="24"/>
  <c r="AB125" i="24"/>
  <c r="AB101" i="24"/>
  <c r="AB651" i="24"/>
  <c r="AB609" i="24"/>
  <c r="AB247" i="24"/>
  <c r="AB187" i="24"/>
  <c r="AB224" i="24"/>
  <c r="AB351" i="24"/>
  <c r="AB288" i="24"/>
  <c r="AB82" i="24"/>
  <c r="AB107" i="24"/>
  <c r="AB97" i="24"/>
  <c r="AB219" i="24"/>
  <c r="AB108" i="24"/>
  <c r="AB168" i="24"/>
  <c r="AB109" i="24"/>
  <c r="AB51" i="24"/>
  <c r="AB43" i="24"/>
  <c r="AB74" i="24"/>
  <c r="AB8" i="24"/>
  <c r="AB57" i="24"/>
  <c r="AI1251" i="24"/>
  <c r="AI1183" i="24"/>
  <c r="AI1194" i="24"/>
  <c r="AI1290" i="24"/>
  <c r="AI1235" i="24"/>
  <c r="AI1246" i="24"/>
  <c r="AI1195" i="24"/>
  <c r="AI993" i="24"/>
  <c r="AI1200" i="24"/>
  <c r="AI954" i="24"/>
  <c r="AI982" i="24"/>
  <c r="AI958" i="24"/>
  <c r="AI1004" i="24"/>
  <c r="AI830" i="24"/>
  <c r="AI908" i="24"/>
  <c r="AI855" i="24"/>
  <c r="AI934" i="24"/>
  <c r="AI990" i="24"/>
  <c r="AI911" i="24"/>
  <c r="AI937" i="24"/>
  <c r="AI1341" i="24"/>
  <c r="AI772" i="24"/>
  <c r="AI996" i="24"/>
  <c r="AI924" i="24"/>
  <c r="AI554" i="24"/>
  <c r="AI655" i="24"/>
  <c r="AI531" i="24"/>
  <c r="AI635" i="24"/>
  <c r="AI770" i="24"/>
  <c r="AI564" i="24"/>
  <c r="AI595" i="24"/>
  <c r="AI612" i="24"/>
  <c r="AI503" i="24"/>
  <c r="AI430" i="24"/>
  <c r="AI408" i="24"/>
  <c r="AI250" i="24"/>
  <c r="AI571" i="24"/>
  <c r="AI379" i="24"/>
  <c r="AI398" i="24"/>
  <c r="AI670" i="24"/>
  <c r="AI164" i="24"/>
  <c r="AI161" i="24"/>
  <c r="AI66" i="24"/>
  <c r="AI9" i="24"/>
  <c r="AI105" i="24"/>
  <c r="AH23" i="24"/>
  <c r="AH31" i="24"/>
  <c r="AA58" i="24"/>
  <c r="Q1269" i="24"/>
  <c r="Y1269" i="24" s="1"/>
  <c r="Q1137" i="24"/>
  <c r="Y1137" i="24" s="1"/>
  <c r="Q1126" i="24"/>
  <c r="Y1126" i="24" s="1"/>
  <c r="Q1249" i="24"/>
  <c r="Y1249" i="24" s="1"/>
  <c r="Q1127" i="24"/>
  <c r="Y1127" i="24" s="1"/>
  <c r="Q1232" i="24"/>
  <c r="Q1234" i="24"/>
  <c r="Y1234" i="24" s="1"/>
  <c r="Q1293" i="24"/>
  <c r="Y1293" i="24" s="1"/>
  <c r="Q1196" i="24"/>
  <c r="Y1196" i="24" s="1"/>
  <c r="Q1106" i="24"/>
  <c r="Y1106" i="24" s="1"/>
  <c r="Q1091" i="24"/>
  <c r="Y1091" i="24" s="1"/>
  <c r="Q1066" i="24"/>
  <c r="Y1066" i="24" s="1"/>
  <c r="Q873" i="24"/>
  <c r="Y873" i="24" s="1"/>
  <c r="Q829" i="24"/>
  <c r="Y829" i="24" s="1"/>
  <c r="Q805" i="24"/>
  <c r="Y805" i="24" s="1"/>
  <c r="Q896" i="24"/>
  <c r="Y896" i="24" s="1"/>
  <c r="Q1125" i="24"/>
  <c r="Y1125" i="24" s="1"/>
  <c r="Q788" i="24"/>
  <c r="Q836" i="24"/>
  <c r="Y836" i="24" s="1"/>
  <c r="Q763" i="24"/>
  <c r="Q718" i="24"/>
  <c r="Y718" i="24" s="1"/>
  <c r="Q1087" i="24"/>
  <c r="Q758" i="24"/>
  <c r="Y758" i="24" s="1"/>
  <c r="Q765" i="24"/>
  <c r="Y765" i="24" s="1"/>
  <c r="Q692" i="24"/>
  <c r="Q767" i="24"/>
  <c r="Q661" i="24"/>
  <c r="Q650" i="24"/>
  <c r="Y650" i="24" s="1"/>
  <c r="Q624" i="24"/>
  <c r="Q625" i="24"/>
  <c r="Y625" i="24" s="1"/>
  <c r="Q593" i="24"/>
  <c r="Y593" i="24" s="1"/>
  <c r="Q644" i="24"/>
  <c r="Y644" i="24" s="1"/>
  <c r="Q616" i="24"/>
  <c r="Y616" i="24" s="1"/>
  <c r="Q602" i="24"/>
  <c r="Y602" i="24" s="1"/>
  <c r="Q493" i="24"/>
  <c r="Q448" i="24"/>
  <c r="Q485" i="24"/>
  <c r="Y485" i="24" s="1"/>
  <c r="Q454" i="24"/>
  <c r="Y454" i="24" s="1"/>
  <c r="Q431" i="24"/>
  <c r="Y431" i="24" s="1"/>
  <c r="Q488" i="24"/>
  <c r="Y488" i="24" s="1"/>
  <c r="Q645" i="24"/>
  <c r="Y645" i="24" s="1"/>
  <c r="Q414" i="24"/>
  <c r="Y414" i="24" s="1"/>
  <c r="Q461" i="24"/>
  <c r="Q507" i="24"/>
  <c r="Q508" i="24"/>
  <c r="Y508" i="24" s="1"/>
  <c r="Q421" i="24"/>
  <c r="Q270" i="24"/>
  <c r="Y270" i="24" s="1"/>
  <c r="AB112" i="24"/>
  <c r="Q107" i="24"/>
  <c r="Q163" i="24"/>
  <c r="Q96" i="24"/>
  <c r="Y96" i="24" s="1"/>
  <c r="Q165" i="24"/>
  <c r="Y165" i="24" s="1"/>
  <c r="AB85" i="24"/>
  <c r="AB61" i="24"/>
  <c r="AB169" i="24"/>
  <c r="AB73" i="24"/>
  <c r="Q216" i="24"/>
  <c r="Y216" i="24" s="1"/>
  <c r="AA32" i="24"/>
  <c r="AI113" i="24"/>
  <c r="Q260" i="24"/>
  <c r="Y260" i="24" s="1"/>
  <c r="AB260" i="24"/>
  <c r="P126" i="23"/>
  <c r="P118" i="23"/>
  <c r="P110" i="23"/>
  <c r="P102" i="23"/>
  <c r="P94" i="23"/>
  <c r="P86" i="23"/>
  <c r="P78" i="23"/>
  <c r="P70" i="23"/>
  <c r="P62" i="23"/>
  <c r="P54" i="23"/>
  <c r="P46" i="23"/>
  <c r="P38" i="23"/>
  <c r="P30" i="23"/>
  <c r="P22" i="23"/>
  <c r="P14" i="23"/>
  <c r="P81" i="23"/>
  <c r="P76" i="23"/>
  <c r="P104" i="23"/>
  <c r="P97" i="23"/>
  <c r="AH1324" i="24"/>
  <c r="AH1277" i="24"/>
  <c r="AH1134" i="24"/>
  <c r="AH1217" i="24"/>
  <c r="AH1266" i="24"/>
  <c r="AH1128" i="24"/>
  <c r="AH1154" i="24"/>
  <c r="AH1207" i="24"/>
  <c r="AH1089" i="24"/>
  <c r="AH1358" i="24"/>
  <c r="AH1300" i="24"/>
  <c r="AH1150" i="24"/>
  <c r="AH1115" i="24"/>
  <c r="AH968" i="24"/>
  <c r="AH994" i="24"/>
  <c r="AH974" i="24"/>
  <c r="AH1044" i="24"/>
  <c r="AH957" i="24"/>
  <c r="AH1286" i="24"/>
  <c r="AH984" i="24"/>
  <c r="AH1170" i="24"/>
  <c r="AH907" i="24"/>
  <c r="AH1079" i="24"/>
  <c r="AH835" i="24"/>
  <c r="AH929" i="24"/>
  <c r="AH1094" i="24"/>
  <c r="AH817" i="24"/>
  <c r="AH995" i="24"/>
  <c r="AH773" i="24"/>
  <c r="AH687" i="24"/>
  <c r="AH812" i="24"/>
  <c r="AH614" i="24"/>
  <c r="AH657" i="24"/>
  <c r="AH674" i="24"/>
  <c r="AH745" i="24"/>
  <c r="AH389" i="24"/>
  <c r="AH535" i="24"/>
  <c r="AH451" i="24"/>
  <c r="AH410" i="24"/>
  <c r="AH300" i="24"/>
  <c r="AH404" i="24"/>
  <c r="AH266" i="24"/>
  <c r="AH200" i="24"/>
  <c r="AH146" i="24"/>
  <c r="AH127" i="24"/>
  <c r="AH276" i="24"/>
  <c r="AH77" i="24"/>
  <c r="AH70" i="24"/>
  <c r="AH76" i="24"/>
  <c r="AB200" i="24"/>
  <c r="O20" i="24"/>
  <c r="L10" i="12" s="1"/>
  <c r="Q86" i="24"/>
  <c r="O32" i="24"/>
  <c r="AH55" i="24"/>
  <c r="AI59" i="24"/>
  <c r="AA121" i="24"/>
  <c r="AA122" i="24"/>
  <c r="AB27" i="24"/>
  <c r="AB37" i="24"/>
  <c r="AI76" i="24"/>
  <c r="AH195" i="24"/>
  <c r="AI244" i="24"/>
  <c r="AB20" i="24"/>
  <c r="Q20" i="24"/>
  <c r="Y20" i="24" s="1"/>
  <c r="AA74" i="24"/>
  <c r="AA91" i="24"/>
  <c r="O91" i="24"/>
  <c r="AI112" i="24"/>
  <c r="Q233" i="24"/>
  <c r="Y233" i="24" s="1"/>
  <c r="AI1239" i="24"/>
  <c r="AI1087" i="24"/>
  <c r="AI1334" i="24"/>
  <c r="AI1293" i="24"/>
  <c r="AI1106" i="24"/>
  <c r="AI1193" i="24"/>
  <c r="AI1091" i="24"/>
  <c r="AI1125" i="24"/>
  <c r="AI1301" i="24"/>
  <c r="AI1127" i="24"/>
  <c r="AI1249" i="24"/>
  <c r="AI836" i="24"/>
  <c r="AI758" i="24"/>
  <c r="AI829" i="24"/>
  <c r="AI765" i="24"/>
  <c r="AI894" i="24"/>
  <c r="AI916" i="24"/>
  <c r="AI788" i="24"/>
  <c r="AI664" i="24"/>
  <c r="AI597" i="24"/>
  <c r="AI616" i="24"/>
  <c r="AI644" i="24"/>
  <c r="AI507" i="24"/>
  <c r="AI645" i="24"/>
  <c r="AI602" i="24"/>
  <c r="AI721" i="24"/>
  <c r="AI805" i="24"/>
  <c r="AI692" i="24"/>
  <c r="AI718" i="24"/>
  <c r="AI650" i="24"/>
  <c r="AI512" i="24"/>
  <c r="AI572" i="24"/>
  <c r="AI461" i="24"/>
  <c r="AI593" i="24"/>
  <c r="AI454" i="24"/>
  <c r="AI280" i="24"/>
  <c r="AI267" i="24"/>
  <c r="AI270" i="24"/>
  <c r="AI183" i="24"/>
  <c r="AI216" i="24"/>
  <c r="AI165" i="24"/>
  <c r="AI153" i="24"/>
  <c r="AI154" i="24"/>
  <c r="AI107" i="24"/>
  <c r="AI57" i="24"/>
  <c r="AI63" i="24"/>
  <c r="AI38" i="24"/>
  <c r="O18" i="24"/>
  <c r="O25" i="24"/>
  <c r="AI42" i="24"/>
  <c r="O74" i="24"/>
  <c r="L14" i="16" s="1"/>
  <c r="AH89" i="24"/>
  <c r="AI28" i="24"/>
  <c r="AA37" i="24"/>
  <c r="AH54" i="24"/>
  <c r="Q57" i="24"/>
  <c r="Y57" i="24" s="1"/>
  <c r="AH58" i="24"/>
  <c r="AA60" i="24"/>
  <c r="AI1297" i="24"/>
  <c r="AI1227" i="24"/>
  <c r="AI1360" i="24"/>
  <c r="AI1338" i="24"/>
  <c r="AI1281" i="24"/>
  <c r="AI1318" i="24"/>
  <c r="AI1121" i="24"/>
  <c r="AI1359" i="24"/>
  <c r="AI1264" i="24"/>
  <c r="AI1164" i="24"/>
  <c r="AI969" i="24"/>
  <c r="AI1040" i="24"/>
  <c r="AI1116" i="24"/>
  <c r="AI975" i="24"/>
  <c r="AI1035" i="24"/>
  <c r="AI1036" i="24"/>
  <c r="AI951" i="24"/>
  <c r="AI833" i="24"/>
  <c r="AI902" i="24"/>
  <c r="AI750" i="24"/>
  <c r="AI852" i="24"/>
  <c r="AI945" i="24"/>
  <c r="AI688" i="24"/>
  <c r="AI741" i="24"/>
  <c r="AI849" i="24"/>
  <c r="AI553" i="24"/>
  <c r="AI630" i="24"/>
  <c r="AI646" i="24"/>
  <c r="AI681" i="24"/>
  <c r="AI697" i="24"/>
  <c r="AI789" i="24"/>
  <c r="AI478" i="24"/>
  <c r="AI441" i="24"/>
  <c r="AI465" i="24"/>
  <c r="AI640" i="24"/>
  <c r="AI528" i="24"/>
  <c r="AI411" i="24"/>
  <c r="AI297" i="24"/>
  <c r="AI341" i="24"/>
  <c r="AI328" i="24"/>
  <c r="AI374" i="24"/>
  <c r="AI375" i="24"/>
  <c r="AI350" i="24"/>
  <c r="AI310" i="24"/>
  <c r="AI412" i="24"/>
  <c r="AI207" i="24"/>
  <c r="AI409" i="24"/>
  <c r="AI109" i="24"/>
  <c r="AI91" i="24"/>
  <c r="AI44" i="24"/>
  <c r="AI25" i="24"/>
  <c r="AI172" i="24"/>
  <c r="Q65" i="24"/>
  <c r="Q85" i="24"/>
  <c r="Y85" i="24" s="1"/>
  <c r="Q176" i="24"/>
  <c r="Q35" i="24"/>
  <c r="Y35" i="24" s="1"/>
  <c r="Q26" i="24"/>
  <c r="Y26" i="24" s="1"/>
  <c r="AA44" i="24"/>
  <c r="O44" i="24"/>
  <c r="Q49" i="24"/>
  <c r="Y49" i="24" s="1"/>
  <c r="AI58" i="24"/>
  <c r="O60" i="24"/>
  <c r="AI75" i="24"/>
  <c r="AI19" i="24"/>
  <c r="AH50" i="24"/>
  <c r="AA57" i="24"/>
  <c r="AH68" i="24"/>
  <c r="AH75" i="24"/>
  <c r="AH85" i="24"/>
  <c r="AH95" i="24"/>
  <c r="AA97" i="24"/>
  <c r="AH105" i="24"/>
  <c r="AA9" i="24"/>
  <c r="AH1158" i="24"/>
  <c r="AH1333" i="24"/>
  <c r="AH1262" i="24"/>
  <c r="AH1247" i="24"/>
  <c r="AH946" i="24"/>
  <c r="AH1135" i="24"/>
  <c r="AH1140" i="24"/>
  <c r="AH1016" i="24"/>
  <c r="AH1149" i="24"/>
  <c r="AH1317" i="24"/>
  <c r="AH1059" i="24"/>
  <c r="AH760" i="24"/>
  <c r="AH901" i="24"/>
  <c r="AH737" i="24"/>
  <c r="AH739" i="24"/>
  <c r="AH939" i="24"/>
  <c r="AH551" i="24"/>
  <c r="AH530" i="24"/>
  <c r="AH728" i="24"/>
  <c r="AH712" i="24"/>
  <c r="AH634" i="24"/>
  <c r="AH680" i="24"/>
  <c r="AH828" i="24"/>
  <c r="AH604" i="24"/>
  <c r="AH647" i="24"/>
  <c r="AH702" i="24"/>
  <c r="AH639" i="24"/>
  <c r="AH626" i="24"/>
  <c r="AH491" i="24"/>
  <c r="AH381" i="24"/>
  <c r="AH248" i="24"/>
  <c r="AH201" i="24"/>
  <c r="AH432" i="24"/>
  <c r="AH285" i="24"/>
  <c r="AH191" i="24"/>
  <c r="AH142" i="24"/>
  <c r="AH214" i="24"/>
  <c r="AH435" i="24"/>
  <c r="AH294" i="24"/>
  <c r="AH151" i="24"/>
  <c r="AH243" i="24"/>
  <c r="AH169" i="24"/>
  <c r="AH131" i="24"/>
  <c r="AH108" i="24"/>
  <c r="AH269" i="24"/>
  <c r="AH79" i="24"/>
  <c r="AH139" i="24"/>
  <c r="AH213" i="24"/>
  <c r="AH36" i="24"/>
  <c r="AI1250" i="24"/>
  <c r="AI1314" i="24"/>
  <c r="AI1214" i="24"/>
  <c r="AI1155" i="24"/>
  <c r="AI1282" i="24"/>
  <c r="AI1172" i="24"/>
  <c r="AI1073" i="24"/>
  <c r="AI1211" i="24"/>
  <c r="AI1248" i="24"/>
  <c r="AI1179" i="24"/>
  <c r="AI1053" i="24"/>
  <c r="AI1076" i="24"/>
  <c r="AI1063" i="24"/>
  <c r="AI985" i="24"/>
  <c r="AI989" i="24"/>
  <c r="AI1010" i="24"/>
  <c r="AI818" i="24"/>
  <c r="AI795" i="24"/>
  <c r="AI962" i="24"/>
  <c r="AI764" i="24"/>
  <c r="AI707" i="24"/>
  <c r="AI753" i="24"/>
  <c r="AI1096" i="24"/>
  <c r="AI552" i="24"/>
  <c r="AI578" i="24"/>
  <c r="AI755" i="24"/>
  <c r="AI713" i="24"/>
  <c r="AI682" i="24"/>
  <c r="AI483" i="24"/>
  <c r="AI526" i="24"/>
  <c r="AI452" i="24"/>
  <c r="AI428" i="24"/>
  <c r="AI429" i="24"/>
  <c r="AI536" i="24"/>
  <c r="AI474" i="24"/>
  <c r="AI511" i="24"/>
  <c r="AI487" i="24"/>
  <c r="AI249" i="24"/>
  <c r="AI241" i="24"/>
  <c r="AI253" i="24"/>
  <c r="AI119" i="24"/>
  <c r="AI208" i="24"/>
  <c r="AI222" i="24"/>
  <c r="AI178" i="24"/>
  <c r="AI155" i="24"/>
  <c r="AI225" i="24"/>
  <c r="AI90" i="24"/>
  <c r="AI160" i="24"/>
  <c r="AI138" i="24"/>
  <c r="AI100" i="24"/>
  <c r="AI12" i="24"/>
  <c r="AA15" i="24"/>
  <c r="AI21" i="24"/>
  <c r="AH27" i="24"/>
  <c r="AA35" i="24"/>
  <c r="O35" i="24"/>
  <c r="AB36" i="24"/>
  <c r="AH61" i="24"/>
  <c r="AI68" i="24"/>
  <c r="AH175" i="24"/>
  <c r="AI188" i="24"/>
  <c r="AH20" i="24"/>
  <c r="AH21" i="24"/>
  <c r="AI27" i="24"/>
  <c r="AA31" i="24"/>
  <c r="AI32" i="24"/>
  <c r="AI37" i="24"/>
  <c r="AI40" i="24"/>
  <c r="AH88" i="24"/>
  <c r="AA1315" i="24"/>
  <c r="AA1291" i="24"/>
  <c r="AA1268" i="24"/>
  <c r="AA1244" i="24"/>
  <c r="AA1320" i="24"/>
  <c r="AA1272" i="24"/>
  <c r="AA1249" i="24"/>
  <c r="AA1225" i="24"/>
  <c r="AA1322" i="24"/>
  <c r="AA1353" i="24"/>
  <c r="AA1329" i="24"/>
  <c r="AA1305" i="24"/>
  <c r="AA1281" i="24"/>
  <c r="AA1258" i="24"/>
  <c r="AA1330" i="24"/>
  <c r="AA1306" i="24"/>
  <c r="AA1282" i="24"/>
  <c r="AA1259" i="24"/>
  <c r="AA1235" i="24"/>
  <c r="AA1211" i="24"/>
  <c r="AA1355" i="24"/>
  <c r="AA1331" i="24"/>
  <c r="AA1307" i="24"/>
  <c r="AA1283" i="24"/>
  <c r="AA1260" i="24"/>
  <c r="AA1333" i="24"/>
  <c r="AA1309" i="24"/>
  <c r="AA1262" i="24"/>
  <c r="AA1238" i="24"/>
  <c r="AA1214" i="24"/>
  <c r="AA1190" i="24"/>
  <c r="AA1164" i="24"/>
  <c r="AA1112" i="24"/>
  <c r="AA1097" i="24"/>
  <c r="AA1188" i="24"/>
  <c r="AA1080" i="24"/>
  <c r="AA1280" i="24"/>
  <c r="AA1361" i="24"/>
  <c r="AA1166" i="24"/>
  <c r="AA1140" i="24"/>
  <c r="AA1286" i="24"/>
  <c r="AA1220" i="24"/>
  <c r="AA1275" i="24"/>
  <c r="AA1287" i="24"/>
  <c r="AA1142" i="24"/>
  <c r="AA1116" i="24"/>
  <c r="AA1239" i="24"/>
  <c r="AA1168" i="24"/>
  <c r="AA1102" i="24"/>
  <c r="AA1352" i="24"/>
  <c r="AA1347" i="24"/>
  <c r="AA1328" i="24"/>
  <c r="AA1323" i="24"/>
  <c r="AA1298" i="24"/>
  <c r="AA1233" i="24"/>
  <c r="AA1227" i="24"/>
  <c r="AA1199" i="24"/>
  <c r="AA1155" i="24"/>
  <c r="AA1103" i="24"/>
  <c r="AA1240" i="24"/>
  <c r="AA1118" i="24"/>
  <c r="AA1144" i="24"/>
  <c r="AA1304" i="24"/>
  <c r="AA1251" i="24"/>
  <c r="AA1234" i="24"/>
  <c r="AA1192" i="24"/>
  <c r="AA1358" i="24"/>
  <c r="AA1257" i="24"/>
  <c r="AA1201" i="24"/>
  <c r="AA1334" i="24"/>
  <c r="AA1228" i="24"/>
  <c r="AA1216" i="24"/>
  <c r="AA1146" i="24"/>
  <c r="AA1310" i="24"/>
  <c r="AA1299" i="24"/>
  <c r="AA1183" i="24"/>
  <c r="AA1172" i="24"/>
  <c r="AA1133" i="24"/>
  <c r="AA1359" i="24"/>
  <c r="AA1289" i="24"/>
  <c r="AA1263" i="24"/>
  <c r="AA1209" i="24"/>
  <c r="AA1173" i="24"/>
  <c r="AA1147" i="24"/>
  <c r="AA1107" i="24"/>
  <c r="AA1091" i="24"/>
  <c r="AA1073" i="24"/>
  <c r="AA1335" i="24"/>
  <c r="AA1278" i="24"/>
  <c r="AA1252" i="24"/>
  <c r="AA1236" i="24"/>
  <c r="AA1217" i="24"/>
  <c r="AA1194" i="24"/>
  <c r="AA1184" i="24"/>
  <c r="AA1134" i="24"/>
  <c r="AA1122" i="24"/>
  <c r="AA1311" i="24"/>
  <c r="AA1294" i="24"/>
  <c r="AA1264" i="24"/>
  <c r="AA1229" i="24"/>
  <c r="AA1223" i="24"/>
  <c r="AA1210" i="24"/>
  <c r="AA1203" i="24"/>
  <c r="AA1160" i="24"/>
  <c r="AA1148" i="24"/>
  <c r="AA1108" i="24"/>
  <c r="AA1093" i="24"/>
  <c r="AA1247" i="24"/>
  <c r="AA1242" i="24"/>
  <c r="AA1123" i="24"/>
  <c r="AA1079" i="24"/>
  <c r="AA1048" i="24"/>
  <c r="AA1007" i="24"/>
  <c r="AA986" i="24"/>
  <c r="AA962" i="24"/>
  <c r="AA1110" i="24"/>
  <c r="AA1090" i="24"/>
  <c r="AA1085" i="24"/>
  <c r="AA1049" i="24"/>
  <c r="AA1022" i="24"/>
  <c r="AA939" i="24"/>
  <c r="AA1050" i="24"/>
  <c r="AA1218" i="24"/>
  <c r="AA1196" i="24"/>
  <c r="AA1162" i="24"/>
  <c r="AA1101" i="24"/>
  <c r="AA1096" i="24"/>
  <c r="AA1253" i="24"/>
  <c r="AA1115" i="24"/>
  <c r="AA1025" i="24"/>
  <c r="AA1010" i="24"/>
  <c r="AA1051" i="24"/>
  <c r="AA1026" i="24"/>
  <c r="AA991" i="24"/>
  <c r="AA967" i="24"/>
  <c r="AA1204" i="24"/>
  <c r="AA1111" i="24"/>
  <c r="AA1011" i="24"/>
  <c r="AA968" i="24"/>
  <c r="AA1074" i="24"/>
  <c r="AA1274" i="24"/>
  <c r="AA1163" i="24"/>
  <c r="AA1151" i="24"/>
  <c r="AA1120" i="24"/>
  <c r="AA1212" i="24"/>
  <c r="AA1175" i="24"/>
  <c r="AA1312" i="24"/>
  <c r="AA1179" i="24"/>
  <c r="AA1186" i="24"/>
  <c r="AA1124" i="24"/>
  <c r="AA1092" i="24"/>
  <c r="AA1326" i="24"/>
  <c r="AA1136" i="24"/>
  <c r="AA1360" i="24"/>
  <c r="AA1336" i="24"/>
  <c r="AA1075" i="24"/>
  <c r="AA1015" i="24"/>
  <c r="AA998" i="24"/>
  <c r="AA975" i="24"/>
  <c r="AA1350" i="24"/>
  <c r="AA1265" i="24"/>
  <c r="AA1030" i="24"/>
  <c r="AA1187" i="24"/>
  <c r="AA1125" i="24"/>
  <c r="AA1076" i="24"/>
  <c r="AA1032" i="24"/>
  <c r="AA1001" i="24"/>
  <c r="AA954" i="24"/>
  <c r="AA1141" i="24"/>
  <c r="AA1077" i="24"/>
  <c r="AA1056" i="24"/>
  <c r="AA980" i="24"/>
  <c r="AA984" i="24"/>
  <c r="AA944" i="24"/>
  <c r="AA871" i="24"/>
  <c r="AA847" i="24"/>
  <c r="AA823" i="24"/>
  <c r="AA1300" i="24"/>
  <c r="AA1004" i="24"/>
  <c r="AA905" i="24"/>
  <c r="AA892" i="24"/>
  <c r="AA872" i="24"/>
  <c r="AA848" i="24"/>
  <c r="AA824" i="24"/>
  <c r="AA800" i="24"/>
  <c r="AA959" i="24"/>
  <c r="AA1024" i="24"/>
  <c r="AA894" i="24"/>
  <c r="AA875" i="24"/>
  <c r="AA851" i="24"/>
  <c r="AA827" i="24"/>
  <c r="AA803" i="24"/>
  <c r="AA1137" i="24"/>
  <c r="AA1078" i="24"/>
  <c r="AA895" i="24"/>
  <c r="AA876" i="24"/>
  <c r="AA852" i="24"/>
  <c r="AA828" i="24"/>
  <c r="AA1071" i="24"/>
  <c r="AA989" i="24"/>
  <c r="AA1055" i="24"/>
  <c r="AA955" i="24"/>
  <c r="AA933" i="24"/>
  <c r="AA878" i="24"/>
  <c r="AA830" i="24"/>
  <c r="AA960" i="24"/>
  <c r="AA951" i="24"/>
  <c r="AA981" i="24"/>
  <c r="AA927" i="24"/>
  <c r="AA1161" i="24"/>
  <c r="AA965" i="24"/>
  <c r="AA1083" i="24"/>
  <c r="AA1072" i="24"/>
  <c r="AA1018" i="24"/>
  <c r="AA982" i="24"/>
  <c r="AA936" i="24"/>
  <c r="AA929" i="24"/>
  <c r="AA912" i="24"/>
  <c r="AA886" i="24"/>
  <c r="AA864" i="24"/>
  <c r="AA840" i="24"/>
  <c r="AA816" i="24"/>
  <c r="AA792" i="24"/>
  <c r="AA768" i="24"/>
  <c r="AA1066" i="24"/>
  <c r="AA818" i="24"/>
  <c r="AA799" i="24"/>
  <c r="AA901" i="24"/>
  <c r="AA845" i="24"/>
  <c r="AA1019" i="24"/>
  <c r="AA957" i="24"/>
  <c r="AA943" i="24"/>
  <c r="AA888" i="24"/>
  <c r="AA744" i="24"/>
  <c r="AA1046" i="24"/>
  <c r="AA867" i="24"/>
  <c r="AA805" i="24"/>
  <c r="AA794" i="24"/>
  <c r="AA763" i="24"/>
  <c r="AA745" i="24"/>
  <c r="AA717" i="24"/>
  <c r="AA697" i="24"/>
  <c r="AA819" i="24"/>
  <c r="AA770" i="24"/>
  <c r="AA746" i="24"/>
  <c r="AA733" i="24"/>
  <c r="AA841" i="24"/>
  <c r="AA757" i="24"/>
  <c r="AA863" i="24"/>
  <c r="AA846" i="24"/>
  <c r="AA734" i="24"/>
  <c r="AA719" i="24"/>
  <c r="AA700" i="24"/>
  <c r="AA902" i="24"/>
  <c r="AA889" i="24"/>
  <c r="AA806" i="24"/>
  <c r="AA958" i="24"/>
  <c r="AA914" i="24"/>
  <c r="AA868" i="24"/>
  <c r="AA815" i="24"/>
  <c r="AA772" i="24"/>
  <c r="AA765" i="24"/>
  <c r="AA720" i="24"/>
  <c r="AA702" i="24"/>
  <c r="AA1003" i="24"/>
  <c r="AA820" i="24"/>
  <c r="AA721" i="24"/>
  <c r="AA703" i="24"/>
  <c r="AA679" i="24"/>
  <c r="AA979" i="24"/>
  <c r="AA885" i="24"/>
  <c r="AA842" i="24"/>
  <c r="AA749" i="24"/>
  <c r="AA722" i="24"/>
  <c r="AA903" i="24"/>
  <c r="AA773" i="24"/>
  <c r="AA1195" i="24"/>
  <c r="AA890" i="24"/>
  <c r="AA791" i="24"/>
  <c r="AA750" i="24"/>
  <c r="AA1279" i="24"/>
  <c r="AA983" i="24"/>
  <c r="AA930" i="24"/>
  <c r="AA869" i="24"/>
  <c r="AA821" i="24"/>
  <c r="AA774" i="24"/>
  <c r="AA738" i="24"/>
  <c r="AA724" i="24"/>
  <c r="AA707" i="24"/>
  <c r="AA683" i="24"/>
  <c r="AA659" i="24"/>
  <c r="AA1058" i="24"/>
  <c r="AA1034" i="24"/>
  <c r="AA938" i="24"/>
  <c r="AA923" i="24"/>
  <c r="AA915" i="24"/>
  <c r="AA843" i="24"/>
  <c r="AA767" i="24"/>
  <c r="AA739" i="24"/>
  <c r="AA797" i="24"/>
  <c r="AA752" i="24"/>
  <c r="AA725" i="24"/>
  <c r="AA904" i="24"/>
  <c r="AA865" i="24"/>
  <c r="AA870" i="24"/>
  <c r="AA839" i="24"/>
  <c r="AA822" i="24"/>
  <c r="AA817" i="24"/>
  <c r="AA782" i="24"/>
  <c r="AA931" i="24"/>
  <c r="AA798" i="24"/>
  <c r="AA651" i="24"/>
  <c r="AA625" i="24"/>
  <c r="AA610" i="24"/>
  <c r="AA591" i="24"/>
  <c r="AA569" i="24"/>
  <c r="AA545" i="24"/>
  <c r="AA775" i="24"/>
  <c r="AA611" i="24"/>
  <c r="AA662" i="24"/>
  <c r="AA641" i="24"/>
  <c r="AA594" i="24"/>
  <c r="AA572" i="24"/>
  <c r="AA548" i="24"/>
  <c r="AA524" i="24"/>
  <c r="AA500" i="24"/>
  <c r="AA573" i="24"/>
  <c r="AA549" i="24"/>
  <c r="AA525" i="24"/>
  <c r="AA501" i="24"/>
  <c r="AA793" i="24"/>
  <c r="AA684" i="24"/>
  <c r="AA678" i="24"/>
  <c r="AA663" i="24"/>
  <c r="AA642" i="24"/>
  <c r="AA595" i="24"/>
  <c r="AA653" i="24"/>
  <c r="AA614" i="24"/>
  <c r="AA596" i="24"/>
  <c r="AA575" i="24"/>
  <c r="AA551" i="24"/>
  <c r="AA887" i="24"/>
  <c r="AA776" i="24"/>
  <c r="AA629" i="24"/>
  <c r="AA576" i="24"/>
  <c r="AA552" i="24"/>
  <c r="AA844" i="24"/>
  <c r="AA654" i="24"/>
  <c r="AA615" i="24"/>
  <c r="AA751" i="24"/>
  <c r="AA728" i="24"/>
  <c r="AA716" i="24"/>
  <c r="AA685" i="24"/>
  <c r="AA712" i="24"/>
  <c r="AA673" i="24"/>
  <c r="AA729" i="24"/>
  <c r="AA635" i="24"/>
  <c r="AA696" i="24"/>
  <c r="AA691" i="24"/>
  <c r="AA713" i="24"/>
  <c r="AA667" i="24"/>
  <c r="AA658" i="24"/>
  <c r="AA636" i="24"/>
  <c r="AA647" i="24"/>
  <c r="AA604" i="24"/>
  <c r="AA586" i="24"/>
  <c r="AA562" i="24"/>
  <c r="AA538" i="24"/>
  <c r="AA514" i="24"/>
  <c r="AA687" i="24"/>
  <c r="AA649" i="24"/>
  <c r="AA638" i="24"/>
  <c r="AA623" i="24"/>
  <c r="AA589" i="24"/>
  <c r="AA566" i="24"/>
  <c r="AA605" i="24"/>
  <c r="AA714" i="24"/>
  <c r="AA474" i="24"/>
  <c r="AA455" i="24"/>
  <c r="AA432" i="24"/>
  <c r="AA590" i="24"/>
  <c r="AA567" i="24"/>
  <c r="AA648" i="24"/>
  <c r="AA563" i="24"/>
  <c r="AA528" i="24"/>
  <c r="AA517" i="24"/>
  <c r="AA476" i="24"/>
  <c r="AA410" i="24"/>
  <c r="AA606" i="24"/>
  <c r="AA497" i="24"/>
  <c r="AA477" i="24"/>
  <c r="AA866" i="24"/>
  <c r="AA498" i="24"/>
  <c r="AA437" i="24"/>
  <c r="AA413" i="24"/>
  <c r="AA518" i="24"/>
  <c r="AA506" i="24"/>
  <c r="AA460" i="24"/>
  <c r="AA438" i="24"/>
  <c r="AA414" i="24"/>
  <c r="AA660" i="24"/>
  <c r="AA637" i="24"/>
  <c r="AA587" i="24"/>
  <c r="AA568" i="24"/>
  <c r="AA543" i="24"/>
  <c r="AA529" i="24"/>
  <c r="AA499" i="24"/>
  <c r="AA461" i="24"/>
  <c r="AA439" i="24"/>
  <c r="AA415" i="24"/>
  <c r="AA564" i="24"/>
  <c r="AA441" i="24"/>
  <c r="AA417" i="24"/>
  <c r="AA393" i="24"/>
  <c r="AA369" i="24"/>
  <c r="AA519" i="24"/>
  <c r="AA668" i="24"/>
  <c r="AA692" i="24"/>
  <c r="AA544" i="24"/>
  <c r="AA539" i="24"/>
  <c r="AA491" i="24"/>
  <c r="AA464" i="24"/>
  <c r="AA444" i="24"/>
  <c r="AA420" i="24"/>
  <c r="AA650" i="24"/>
  <c r="AA588" i="24"/>
  <c r="AA565" i="24"/>
  <c r="AA492" i="24"/>
  <c r="AA481" i="24"/>
  <c r="AA465" i="24"/>
  <c r="AA445" i="24"/>
  <c r="AA421" i="24"/>
  <c r="AA676" i="24"/>
  <c r="AA520" i="24"/>
  <c r="AA483" i="24"/>
  <c r="AA467" i="24"/>
  <c r="AA447" i="24"/>
  <c r="AA423" i="24"/>
  <c r="AA399" i="24"/>
  <c r="AA540" i="24"/>
  <c r="AA515" i="24"/>
  <c r="AA639" i="24"/>
  <c r="AA624" i="24"/>
  <c r="AA609" i="24"/>
  <c r="AA485" i="24"/>
  <c r="AA360" i="24"/>
  <c r="AA334" i="24"/>
  <c r="AA313" i="24"/>
  <c r="AA289" i="24"/>
  <c r="AA265" i="24"/>
  <c r="AA241" i="24"/>
  <c r="AA217" i="24"/>
  <c r="AA193" i="24"/>
  <c r="AA335" i="24"/>
  <c r="AA314" i="24"/>
  <c r="AA290" i="24"/>
  <c r="AA266" i="24"/>
  <c r="AA242" i="24"/>
  <c r="AA389" i="24"/>
  <c r="AA521" i="24"/>
  <c r="AA338" i="24"/>
  <c r="AA318" i="24"/>
  <c r="AA294" i="24"/>
  <c r="AA390" i="24"/>
  <c r="AA319" i="24"/>
  <c r="AA295" i="24"/>
  <c r="AA271" i="24"/>
  <c r="AA384" i="24"/>
  <c r="AA362" i="24"/>
  <c r="AA453" i="24"/>
  <c r="AA396" i="24"/>
  <c r="AA391" i="24"/>
  <c r="AA371" i="24"/>
  <c r="AA341" i="24"/>
  <c r="AA322" i="24"/>
  <c r="AA298" i="24"/>
  <c r="AA274" i="24"/>
  <c r="AA250" i="24"/>
  <c r="AA402" i="24"/>
  <c r="AA471" i="24"/>
  <c r="AA429" i="24"/>
  <c r="AA397" i="24"/>
  <c r="AA450" i="24"/>
  <c r="AA372" i="24"/>
  <c r="AA373" i="24"/>
  <c r="AA345" i="24"/>
  <c r="AA392" i="24"/>
  <c r="AA365" i="24"/>
  <c r="AA327" i="24"/>
  <c r="AA303" i="24"/>
  <c r="AA279" i="24"/>
  <c r="AA426" i="24"/>
  <c r="AA516" i="24"/>
  <c r="AA509" i="24"/>
  <c r="AA374" i="24"/>
  <c r="AA357" i="24"/>
  <c r="AA346" i="24"/>
  <c r="AA305" i="24"/>
  <c r="AA281" i="24"/>
  <c r="AA257" i="24"/>
  <c r="AA366" i="24"/>
  <c r="AA358" i="24"/>
  <c r="AA347" i="24"/>
  <c r="AA329" i="24"/>
  <c r="AA306" i="24"/>
  <c r="AA282" i="24"/>
  <c r="AA258" i="24"/>
  <c r="AA234" i="24"/>
  <c r="AA381" i="24"/>
  <c r="AA375" i="24"/>
  <c r="AA367" i="24"/>
  <c r="AA348" i="24"/>
  <c r="AA469" i="24"/>
  <c r="AA311" i="24"/>
  <c r="AA503" i="24"/>
  <c r="AA333" i="24"/>
  <c r="AA307" i="24"/>
  <c r="AA240" i="24"/>
  <c r="AA171" i="24"/>
  <c r="AA404" i="24"/>
  <c r="AA231" i="24"/>
  <c r="AA226" i="24"/>
  <c r="AA198" i="24"/>
  <c r="AA330" i="24"/>
  <c r="AA213" i="24"/>
  <c r="AA408" i="24"/>
  <c r="AA285" i="24"/>
  <c r="AA527" i="24"/>
  <c r="AA270" i="24"/>
  <c r="AA199" i="24"/>
  <c r="AA191" i="24"/>
  <c r="AA161" i="24"/>
  <c r="AA140" i="24"/>
  <c r="AA312" i="24"/>
  <c r="AA162" i="24"/>
  <c r="AA141" i="24"/>
  <c r="AA207" i="24"/>
  <c r="AA118" i="24"/>
  <c r="AA94" i="24"/>
  <c r="AA183" i="24"/>
  <c r="AA163" i="24"/>
  <c r="AA349" i="24"/>
  <c r="AA246" i="24"/>
  <c r="AA263" i="24"/>
  <c r="AA233" i="24"/>
  <c r="AA209" i="24"/>
  <c r="AA194" i="24"/>
  <c r="AA309" i="24"/>
  <c r="AA416" i="24"/>
  <c r="AA259" i="24"/>
  <c r="AA186" i="24"/>
  <c r="AA165" i="24"/>
  <c r="AA148" i="24"/>
  <c r="AA124" i="24"/>
  <c r="AA287" i="24"/>
  <c r="AA255" i="24"/>
  <c r="AA149" i="24"/>
  <c r="AA125" i="24"/>
  <c r="AA247" i="24"/>
  <c r="AA210" i="24"/>
  <c r="AA195" i="24"/>
  <c r="AA283" i="24"/>
  <c r="AA187" i="24"/>
  <c r="AA151" i="24"/>
  <c r="AA127" i="24"/>
  <c r="AA103" i="24"/>
  <c r="AA218" i="24"/>
  <c r="AA167" i="24"/>
  <c r="AA188" i="24"/>
  <c r="AA170" i="24"/>
  <c r="AA154" i="24"/>
  <c r="AA105" i="24"/>
  <c r="AA351" i="24"/>
  <c r="AA288" i="24"/>
  <c r="AA69" i="24"/>
  <c r="AA235" i="24"/>
  <c r="AA132" i="24"/>
  <c r="AA70" i="24"/>
  <c r="AA225" i="24"/>
  <c r="AA155" i="24"/>
  <c r="AA106" i="24"/>
  <c r="AA53" i="24"/>
  <c r="AA368" i="24"/>
  <c r="AA96" i="24"/>
  <c r="AA211" i="24"/>
  <c r="AA116" i="24"/>
  <c r="AA83" i="24"/>
  <c r="AA129" i="24"/>
  <c r="AA117" i="24"/>
  <c r="AA108" i="24"/>
  <c r="AA92" i="24"/>
  <c r="AA76" i="24"/>
  <c r="AA168" i="24"/>
  <c r="AA98" i="24"/>
  <c r="AA153" i="24"/>
  <c r="AA100" i="24"/>
  <c r="AA169" i="24"/>
  <c r="AA51" i="24"/>
  <c r="AA264" i="24"/>
  <c r="AA130" i="24"/>
  <c r="AA73" i="24"/>
  <c r="AA52" i="24"/>
  <c r="AA107" i="24"/>
  <c r="AA93" i="24"/>
  <c r="AA78" i="24"/>
  <c r="AA239" i="24"/>
  <c r="AA131" i="24"/>
  <c r="AA45" i="24"/>
  <c r="AA36" i="24"/>
  <c r="AA24" i="24"/>
  <c r="AA54" i="24"/>
  <c r="AA79" i="24"/>
  <c r="AA61" i="24"/>
  <c r="AA55" i="24"/>
  <c r="Q1218" i="24"/>
  <c r="Y1218" i="24" s="1"/>
  <c r="Q1199" i="24"/>
  <c r="Y1199" i="24" s="1"/>
  <c r="AB1280" i="24"/>
  <c r="Q1279" i="24"/>
  <c r="Y1279" i="24" s="1"/>
  <c r="Q1186" i="24"/>
  <c r="Y1186" i="24" s="1"/>
  <c r="AB1168" i="24"/>
  <c r="AB1328" i="24"/>
  <c r="Q1270" i="24"/>
  <c r="Y1270" i="24" s="1"/>
  <c r="Q1080" i="24"/>
  <c r="Y1080" i="24" s="1"/>
  <c r="Q1177" i="24"/>
  <c r="Y1177" i="24" s="1"/>
  <c r="AB1288" i="24"/>
  <c r="Q1141" i="24"/>
  <c r="Y1141" i="24" s="1"/>
  <c r="AB1132" i="24"/>
  <c r="AB1120" i="24"/>
  <c r="Q1287" i="24"/>
  <c r="Y1287" i="24" s="1"/>
  <c r="AB1277" i="24"/>
  <c r="AB1359" i="24"/>
  <c r="AB1305" i="24"/>
  <c r="Q1240" i="24"/>
  <c r="Y1240" i="24" s="1"/>
  <c r="AB1242" i="24"/>
  <c r="Q1320" i="24"/>
  <c r="Y1320" i="24" s="1"/>
  <c r="Q1142" i="24"/>
  <c r="Y1142" i="24" s="1"/>
  <c r="Q1072" i="24"/>
  <c r="Y1072" i="24" s="1"/>
  <c r="AB1026" i="24"/>
  <c r="AB991" i="24"/>
  <c r="Q1162" i="24"/>
  <c r="Y1162" i="24" s="1"/>
  <c r="Q1051" i="24"/>
  <c r="Y1051" i="24" s="1"/>
  <c r="Q943" i="24"/>
  <c r="Y943" i="24" s="1"/>
  <c r="AB1187" i="24"/>
  <c r="Q1107" i="24"/>
  <c r="Y1107" i="24" s="1"/>
  <c r="AB1035" i="24"/>
  <c r="AB939" i="24"/>
  <c r="Q847" i="24"/>
  <c r="Y847" i="24" s="1"/>
  <c r="AB897" i="24"/>
  <c r="Q950" i="24"/>
  <c r="Y950" i="24" s="1"/>
  <c r="AB961" i="24"/>
  <c r="AB883" i="24"/>
  <c r="Q853" i="24"/>
  <c r="Y853" i="24" s="1"/>
  <c r="Q998" i="24"/>
  <c r="Y998" i="24" s="1"/>
  <c r="AB867" i="24"/>
  <c r="AB745" i="24"/>
  <c r="AB764" i="24"/>
  <c r="AB842" i="24"/>
  <c r="Q746" i="24"/>
  <c r="Y746" i="24" s="1"/>
  <c r="Q880" i="24"/>
  <c r="Y880" i="24" s="1"/>
  <c r="AB869" i="24"/>
  <c r="AB799" i="24"/>
  <c r="AB594" i="24"/>
  <c r="Q591" i="24"/>
  <c r="Y591" i="24" s="1"/>
  <c r="AB685" i="24"/>
  <c r="Q952" i="24"/>
  <c r="Y952" i="24" s="1"/>
  <c r="AB556" i="24"/>
  <c r="AB740" i="24"/>
  <c r="Q780" i="24"/>
  <c r="Y780" i="24" s="1"/>
  <c r="Q620" i="24"/>
  <c r="Y620" i="24" s="1"/>
  <c r="AB486" i="24"/>
  <c r="Q521" i="24"/>
  <c r="Y521" i="24" s="1"/>
  <c r="AB648" i="24"/>
  <c r="Q558" i="24"/>
  <c r="Y558" i="24" s="1"/>
  <c r="AB528" i="24"/>
  <c r="Q546" i="24"/>
  <c r="Y546" i="24" s="1"/>
  <c r="Q582" i="24"/>
  <c r="Y582" i="24" s="1"/>
  <c r="Q486" i="24"/>
  <c r="Y486" i="24" s="1"/>
  <c r="AB499" i="24"/>
  <c r="AB461" i="24"/>
  <c r="Q475" i="24"/>
  <c r="Y475" i="24" s="1"/>
  <c r="AB441" i="24"/>
  <c r="Q748" i="24"/>
  <c r="Y748" i="24" s="1"/>
  <c r="AB544" i="24"/>
  <c r="AB650" i="24"/>
  <c r="AB481" i="24"/>
  <c r="Q358" i="24"/>
  <c r="Y358" i="24" s="1"/>
  <c r="Q367" i="24"/>
  <c r="Y367" i="24" s="1"/>
  <c r="AB541" i="24"/>
  <c r="Q466" i="24"/>
  <c r="Y466" i="24" s="1"/>
  <c r="Q333" i="24"/>
  <c r="Y333" i="24" s="1"/>
  <c r="AB297" i="24"/>
  <c r="Q314" i="24"/>
  <c r="Y314" i="24" s="1"/>
  <c r="AB624" i="24"/>
  <c r="AB373" i="24"/>
  <c r="Q384" i="24"/>
  <c r="Y384" i="24" s="1"/>
  <c r="Q272" i="24"/>
  <c r="Y272" i="24" s="1"/>
  <c r="Q340" i="24"/>
  <c r="Y340" i="24" s="1"/>
  <c r="AB257" i="24"/>
  <c r="AB472" i="24"/>
  <c r="Q397" i="24"/>
  <c r="Y397" i="24" s="1"/>
  <c r="AB451" i="24"/>
  <c r="AB308" i="24"/>
  <c r="Q157" i="24"/>
  <c r="Y157" i="24" s="1"/>
  <c r="AB193" i="24"/>
  <c r="AB381" i="24"/>
  <c r="AB201" i="24"/>
  <c r="Q206" i="24"/>
  <c r="Y206" i="24" s="1"/>
  <c r="Q419" i="24"/>
  <c r="Y419" i="24" s="1"/>
  <c r="AB203" i="24"/>
  <c r="Q144" i="24"/>
  <c r="Y144" i="24" s="1"/>
  <c r="Q120" i="24"/>
  <c r="Y120" i="24" s="1"/>
  <c r="AB133" i="24"/>
  <c r="Q149" i="24"/>
  <c r="Y149" i="24" s="1"/>
  <c r="Q50" i="24"/>
  <c r="Y50" i="24" s="1"/>
  <c r="Q43" i="24"/>
  <c r="Y43" i="24" s="1"/>
  <c r="AB154" i="24"/>
  <c r="AH10" i="24"/>
  <c r="AI11" i="24"/>
  <c r="AB25" i="24"/>
  <c r="AB49" i="24"/>
  <c r="Q56" i="24"/>
  <c r="AA145" i="24"/>
  <c r="O145" i="24"/>
  <c r="Q48" i="24"/>
  <c r="AA67" i="24"/>
  <c r="AH143" i="24"/>
  <c r="AB139" i="24"/>
  <c r="AI162" i="24"/>
  <c r="Q1335" i="24"/>
  <c r="Y1335" i="24" s="1"/>
  <c r="Q1242" i="24"/>
  <c r="Y1242" i="24" s="1"/>
  <c r="Q1203" i="24"/>
  <c r="Y1203" i="24" s="1"/>
  <c r="Q1296" i="24"/>
  <c r="Y1296" i="24" s="1"/>
  <c r="Q1280" i="24"/>
  <c r="Y1280" i="24" s="1"/>
  <c r="Q1098" i="24"/>
  <c r="Y1098" i="24" s="1"/>
  <c r="Q1226" i="24"/>
  <c r="Y1226" i="24" s="1"/>
  <c r="Q1190" i="24"/>
  <c r="Y1190" i="24" s="1"/>
  <c r="Q1256" i="24"/>
  <c r="Q1057" i="24"/>
  <c r="Y1057" i="24" s="1"/>
  <c r="Q1005" i="24"/>
  <c r="Y1005" i="24" s="1"/>
  <c r="Q988" i="24"/>
  <c r="Y988" i="24" s="1"/>
  <c r="Q964" i="24"/>
  <c r="Y964" i="24" s="1"/>
  <c r="Q992" i="24"/>
  <c r="Y992" i="24" s="1"/>
  <c r="Q1074" i="24"/>
  <c r="Y1074" i="24" s="1"/>
  <c r="Q1159" i="24"/>
  <c r="Y1159" i="24" s="1"/>
  <c r="Q971" i="24"/>
  <c r="Y971" i="24" s="1"/>
  <c r="Q1176" i="24"/>
  <c r="Q897" i="24"/>
  <c r="Y897" i="24" s="1"/>
  <c r="Q928" i="24"/>
  <c r="Y928" i="24" s="1"/>
  <c r="Q695" i="24"/>
  <c r="Y695" i="24" s="1"/>
  <c r="Q898" i="24"/>
  <c r="Y898" i="24" s="1"/>
  <c r="Q724" i="24"/>
  <c r="Y724" i="24" s="1"/>
  <c r="Q555" i="24"/>
  <c r="Y555" i="24" s="1"/>
  <c r="Q376" i="24"/>
  <c r="Q470" i="24"/>
  <c r="Y470" i="24" s="1"/>
  <c r="Q522" i="24"/>
  <c r="Y522" i="24" s="1"/>
  <c r="Q556" i="24"/>
  <c r="Y556" i="24" s="1"/>
  <c r="Q368" i="24"/>
  <c r="Y368" i="24" s="1"/>
  <c r="Q311" i="24"/>
  <c r="Q335" i="24"/>
  <c r="Y335" i="24" s="1"/>
  <c r="Q318" i="24"/>
  <c r="Y318" i="24" s="1"/>
  <c r="Q274" i="24"/>
  <c r="Q323" i="24"/>
  <c r="Y323" i="24" s="1"/>
  <c r="Q422" i="24"/>
  <c r="Y422" i="24" s="1"/>
  <c r="AB16" i="24"/>
  <c r="Q257" i="24"/>
  <c r="Y257" i="24" s="1"/>
  <c r="Q99" i="24"/>
  <c r="Q209" i="24"/>
  <c r="Y209" i="24" s="1"/>
  <c r="Q482" i="24"/>
  <c r="Y482" i="24" s="1"/>
  <c r="Q52" i="24"/>
  <c r="Y52" i="24" s="1"/>
  <c r="AH1272" i="24"/>
  <c r="AH1225" i="24"/>
  <c r="AH1345" i="24"/>
  <c r="AH1349" i="24"/>
  <c r="AH1289" i="24"/>
  <c r="AH1342" i="24"/>
  <c r="AH1271" i="24"/>
  <c r="AH1343" i="24"/>
  <c r="AH1133" i="24"/>
  <c r="AH1354" i="24"/>
  <c r="AH1295" i="24"/>
  <c r="AH970" i="24"/>
  <c r="AH1108" i="24"/>
  <c r="AH1046" i="24"/>
  <c r="AH1020" i="24"/>
  <c r="AH960" i="24"/>
  <c r="AH1022" i="24"/>
  <c r="AH779" i="24"/>
  <c r="AH736" i="24"/>
  <c r="AH725" i="24"/>
  <c r="AH775" i="24"/>
  <c r="AH761" i="24"/>
  <c r="AH596" i="24"/>
  <c r="AH615" i="24"/>
  <c r="AH717" i="24"/>
  <c r="AH668" i="24"/>
  <c r="AH499" i="24"/>
  <c r="AH464" i="24"/>
  <c r="AH525" i="24"/>
  <c r="AH403" i="24"/>
  <c r="AH574" i="24"/>
  <c r="AH405" i="24"/>
  <c r="AH527" i="24"/>
  <c r="AH510" i="24"/>
  <c r="AH504" i="24"/>
  <c r="AH457" i="24"/>
  <c r="AH343" i="24"/>
  <c r="AH458" i="24"/>
  <c r="AH262" i="24"/>
  <c r="AH240" i="24"/>
  <c r="AH173" i="24"/>
  <c r="AH192" i="24"/>
  <c r="AH215" i="24"/>
  <c r="AH194" i="24"/>
  <c r="AH177" i="24"/>
  <c r="AH291" i="24"/>
  <c r="AH229" i="24"/>
  <c r="AH289" i="24"/>
  <c r="AH114" i="24"/>
  <c r="AI36" i="24"/>
  <c r="AH49" i="24"/>
  <c r="AI53" i="24"/>
  <c r="AB56" i="24"/>
  <c r="AA87" i="24"/>
  <c r="AA17" i="24"/>
  <c r="AA30" i="24"/>
  <c r="Q39" i="24"/>
  <c r="AB48" i="24"/>
  <c r="AI49" i="24"/>
  <c r="AB52" i="24"/>
  <c r="AH81" i="24"/>
  <c r="AB126" i="24"/>
  <c r="Q126" i="24"/>
  <c r="Y126" i="24" s="1"/>
  <c r="AH19" i="24"/>
  <c r="Q23" i="24"/>
  <c r="Y23" i="24" s="1"/>
  <c r="AB24" i="24"/>
  <c r="AA38" i="24"/>
  <c r="O38" i="24"/>
  <c r="L10" i="18" s="1"/>
  <c r="AH40" i="24"/>
  <c r="AH67" i="24"/>
  <c r="AI81" i="24"/>
  <c r="Q47" i="24"/>
  <c r="Y47" i="24" s="1"/>
  <c r="AI50" i="24"/>
  <c r="Q71" i="24"/>
  <c r="AI88" i="24"/>
  <c r="AA138" i="24"/>
  <c r="AH1344" i="24"/>
  <c r="AH1206" i="24"/>
  <c r="AH1319" i="24"/>
  <c r="AH1146" i="24"/>
  <c r="AH1310" i="24"/>
  <c r="AH1305" i="24"/>
  <c r="AH1263" i="24"/>
  <c r="AH1294" i="24"/>
  <c r="AH1223" i="24"/>
  <c r="AH1189" i="24"/>
  <c r="AH1123" i="24"/>
  <c r="AH1048" i="24"/>
  <c r="AH925" i="24"/>
  <c r="AH877" i="24"/>
  <c r="AH806" i="24"/>
  <c r="AH856" i="24"/>
  <c r="AH965" i="24"/>
  <c r="AH944" i="24"/>
  <c r="AH851" i="24"/>
  <c r="AH709" i="24"/>
  <c r="AH506" i="24"/>
  <c r="AH633" i="24"/>
  <c r="AH619" i="24"/>
  <c r="AH601" i="24"/>
  <c r="AH583" i="24"/>
  <c r="AH559" i="24"/>
  <c r="AH659" i="24"/>
  <c r="AH637" i="24"/>
  <c r="AH730" i="24"/>
  <c r="AH649" i="24"/>
  <c r="AH533" i="24"/>
  <c r="AH440" i="24"/>
  <c r="AH481" i="24"/>
  <c r="AH570" i="24"/>
  <c r="AH471" i="24"/>
  <c r="AH453" i="24"/>
  <c r="AH362" i="24"/>
  <c r="AH325" i="24"/>
  <c r="AH356" i="24"/>
  <c r="AH380" i="24"/>
  <c r="AH351" i="24"/>
  <c r="AH293" i="24"/>
  <c r="AH338" i="24"/>
  <c r="AH184" i="24"/>
  <c r="AH313" i="24"/>
  <c r="AH123" i="24"/>
  <c r="AH106" i="24"/>
  <c r="AH56" i="24"/>
  <c r="AH94" i="24"/>
  <c r="AH87" i="24"/>
  <c r="AH29" i="24"/>
  <c r="AI1346" i="24"/>
  <c r="AI1298" i="24"/>
  <c r="AI1278" i="24"/>
  <c r="AI1207" i="24"/>
  <c r="AI1266" i="24"/>
  <c r="AI1154" i="24"/>
  <c r="AI1102" i="24"/>
  <c r="AI1120" i="24"/>
  <c r="AI1358" i="24"/>
  <c r="AI1277" i="24"/>
  <c r="AI1150" i="24"/>
  <c r="AI1079" i="24"/>
  <c r="AI995" i="24"/>
  <c r="AI1128" i="24"/>
  <c r="AI974" i="24"/>
  <c r="AI1015" i="24"/>
  <c r="AI1286" i="24"/>
  <c r="AI1099" i="24"/>
  <c r="AI1094" i="24"/>
  <c r="AI812" i="24"/>
  <c r="AI1115" i="24"/>
  <c r="AI1037" i="24"/>
  <c r="AI771" i="24"/>
  <c r="AI923" i="24"/>
  <c r="AI742" i="24"/>
  <c r="AI657" i="24"/>
  <c r="AI674" i="24"/>
  <c r="AI745" i="24"/>
  <c r="AI687" i="24"/>
  <c r="AI535" i="24"/>
  <c r="AI451" i="24"/>
  <c r="AI404" i="24"/>
  <c r="AI406" i="24"/>
  <c r="AI345" i="24"/>
  <c r="AI614" i="24"/>
  <c r="AI433" i="24"/>
  <c r="AI334" i="24"/>
  <c r="AI295" i="24"/>
  <c r="AI78" i="24"/>
  <c r="Q12" i="24"/>
  <c r="Y12" i="24" s="1"/>
  <c r="AB1138" i="24"/>
  <c r="AB1180" i="24"/>
  <c r="AB1240" i="24"/>
  <c r="AB1216" i="24"/>
  <c r="AB1289" i="24"/>
  <c r="AB1335" i="24"/>
  <c r="AB1123" i="24"/>
  <c r="AB1008" i="24"/>
  <c r="AB1136" i="24"/>
  <c r="AB1043" i="24"/>
  <c r="AB1125" i="24"/>
  <c r="AB1071" i="24"/>
  <c r="AB825" i="24"/>
  <c r="AB828" i="24"/>
  <c r="AB835" i="24"/>
  <c r="AB1056" i="24"/>
  <c r="AB912" i="24"/>
  <c r="AB913" i="24"/>
  <c r="AB703" i="24"/>
  <c r="AB1084" i="24"/>
  <c r="AB904" i="24"/>
  <c r="AB775" i="24"/>
  <c r="AB782" i="24"/>
  <c r="AB640" i="24"/>
  <c r="AB626" i="24"/>
  <c r="AB611" i="24"/>
  <c r="AB688" i="24"/>
  <c r="AB552" i="24"/>
  <c r="AB616" i="24"/>
  <c r="AB478" i="24"/>
  <c r="AB742" i="24"/>
  <c r="AB491" i="24"/>
  <c r="AB420" i="24"/>
  <c r="AB272" i="24"/>
  <c r="AB399" i="24"/>
  <c r="AB226" i="24"/>
  <c r="AB271" i="24"/>
  <c r="AB209" i="24"/>
  <c r="AB216" i="24"/>
  <c r="AB211" i="24"/>
  <c r="AB89" i="24"/>
  <c r="AB71" i="24"/>
  <c r="AB42" i="24"/>
  <c r="AB86" i="24"/>
  <c r="AA29" i="24"/>
  <c r="AI31" i="24"/>
  <c r="AA48" i="24"/>
  <c r="Q66" i="24"/>
  <c r="Y66" i="24" s="1"/>
  <c r="AB87" i="24"/>
  <c r="AI136" i="24"/>
  <c r="AH244" i="24"/>
  <c r="Q357" i="24"/>
  <c r="Y357" i="24" s="1"/>
  <c r="AH48" i="24"/>
  <c r="AB70" i="24"/>
  <c r="Q70" i="24"/>
  <c r="Y70" i="24" s="1"/>
  <c r="AH80" i="24"/>
  <c r="AB111" i="24"/>
  <c r="Q118" i="24"/>
  <c r="Y118" i="24" s="1"/>
  <c r="AI158" i="24"/>
  <c r="AB54" i="24"/>
  <c r="Q54" i="24"/>
  <c r="AA59" i="24"/>
  <c r="AA82" i="24"/>
  <c r="AI98" i="24"/>
  <c r="AH171" i="24"/>
  <c r="AI181" i="24"/>
  <c r="AH334" i="24"/>
  <c r="AH347" i="24"/>
  <c r="AI39" i="24"/>
  <c r="AA43" i="24"/>
  <c r="AB45" i="24"/>
  <c r="O59" i="24"/>
  <c r="AB94" i="24"/>
  <c r="Q104" i="24"/>
  <c r="AB104" i="24"/>
  <c r="AB118" i="24"/>
  <c r="AA134" i="24"/>
  <c r="Q180" i="24"/>
  <c r="Y180" i="24" s="1"/>
  <c r="Q304" i="24"/>
  <c r="Q64" i="24"/>
  <c r="Y64" i="24" s="1"/>
  <c r="AB65" i="24"/>
  <c r="Q74" i="24"/>
  <c r="Y74" i="24" s="1"/>
  <c r="AB79" i="24"/>
  <c r="AB90" i="24"/>
  <c r="Q90" i="24"/>
  <c r="Y90" i="24" s="1"/>
  <c r="AI125" i="24"/>
  <c r="AH135" i="24"/>
  <c r="Q53" i="24"/>
  <c r="Y53" i="24" s="1"/>
  <c r="AI61" i="24"/>
  <c r="AA68" i="24"/>
  <c r="AH101" i="24"/>
  <c r="AH111" i="24"/>
  <c r="AI135" i="24"/>
  <c r="AH311" i="24"/>
  <c r="AH1249" i="24"/>
  <c r="AH1301" i="24"/>
  <c r="AH1193" i="24"/>
  <c r="AH1239" i="24"/>
  <c r="AH1357" i="24"/>
  <c r="AH1234" i="24"/>
  <c r="AH1334" i="24"/>
  <c r="AH1293" i="24"/>
  <c r="AH1106" i="24"/>
  <c r="AH1269" i="24"/>
  <c r="AH1125" i="24"/>
  <c r="AH1137" i="24"/>
  <c r="AH1054" i="24"/>
  <c r="AH1213" i="24"/>
  <c r="AH1019" i="24"/>
  <c r="AH1003" i="24"/>
  <c r="AH829" i="24"/>
  <c r="AH1100" i="24"/>
  <c r="AH1114" i="24"/>
  <c r="AH836" i="24"/>
  <c r="AH987" i="24"/>
  <c r="AH758" i="24"/>
  <c r="AH894" i="24"/>
  <c r="AH916" i="24"/>
  <c r="AH692" i="24"/>
  <c r="AH788" i="24"/>
  <c r="AH653" i="24"/>
  <c r="AH597" i="24"/>
  <c r="AH644" i="24"/>
  <c r="AH645" i="24"/>
  <c r="AH602" i="24"/>
  <c r="AH744" i="24"/>
  <c r="AH805" i="24"/>
  <c r="AH763" i="24"/>
  <c r="AH650" i="24"/>
  <c r="AH488" i="24"/>
  <c r="AH421" i="24"/>
  <c r="AH469" i="24"/>
  <c r="AH485" i="24"/>
  <c r="AH431" i="24"/>
  <c r="AH625" i="24"/>
  <c r="AH414" i="24"/>
  <c r="AH280" i="24"/>
  <c r="AH331" i="24"/>
  <c r="AH270" i="24"/>
  <c r="AH183" i="24"/>
  <c r="AH216" i="24"/>
  <c r="AH267" i="24"/>
  <c r="AH154" i="24"/>
  <c r="AH107" i="24"/>
  <c r="AH72" i="24"/>
  <c r="AH13" i="24"/>
  <c r="AH261" i="24"/>
  <c r="Q1361" i="24"/>
  <c r="Q1306" i="24"/>
  <c r="Y1306" i="24" s="1"/>
  <c r="Q1163" i="24"/>
  <c r="Y1163" i="24" s="1"/>
  <c r="Q1198" i="24"/>
  <c r="Y1198" i="24" s="1"/>
  <c r="Q1328" i="24"/>
  <c r="Y1328" i="24" s="1"/>
  <c r="Q1221" i="24"/>
  <c r="Y1221" i="24" s="1"/>
  <c r="Q1353" i="24"/>
  <c r="Q1202" i="24"/>
  <c r="Y1202" i="24" s="1"/>
  <c r="Q1032" i="24"/>
  <c r="Y1032" i="24" s="1"/>
  <c r="Q1033" i="24"/>
  <c r="Q1273" i="24"/>
  <c r="Q1111" i="24"/>
  <c r="Y1111" i="24" s="1"/>
  <c r="Q953" i="24"/>
  <c r="Y953" i="24" s="1"/>
  <c r="Q1103" i="24"/>
  <c r="Q846" i="24"/>
  <c r="Q895" i="24"/>
  <c r="Y895" i="24" s="1"/>
  <c r="Q1017" i="24"/>
  <c r="Y1017" i="24" s="1"/>
  <c r="Q920" i="24"/>
  <c r="Q1132" i="24"/>
  <c r="Y1132" i="24" s="1"/>
  <c r="Q913" i="24"/>
  <c r="Q698" i="24"/>
  <c r="Y698" i="24" s="1"/>
  <c r="Q738" i="24"/>
  <c r="Q611" i="24"/>
  <c r="Y611" i="24" s="1"/>
  <c r="Q594" i="24"/>
  <c r="Y594" i="24" s="1"/>
  <c r="Q720" i="24"/>
  <c r="Q690" i="24"/>
  <c r="Y690" i="24" s="1"/>
  <c r="Q425" i="24"/>
  <c r="Y425" i="24" s="1"/>
  <c r="Q621" i="24"/>
  <c r="Y621" i="24" s="1"/>
  <c r="Q781" i="24"/>
  <c r="Y781" i="24" s="1"/>
  <c r="Q360" i="24"/>
  <c r="Y360" i="24" s="1"/>
  <c r="Q290" i="24"/>
  <c r="Y290" i="24" s="1"/>
  <c r="Q339" i="24"/>
  <c r="Y339" i="24" s="1"/>
  <c r="Q299" i="24"/>
  <c r="Y299" i="24" s="1"/>
  <c r="Q326" i="24"/>
  <c r="Y326" i="24" s="1"/>
  <c r="Q254" i="24"/>
  <c r="Q385" i="24"/>
  <c r="Q122" i="24"/>
  <c r="Y122" i="24" s="1"/>
  <c r="Q88" i="24"/>
  <c r="Q305" i="24"/>
  <c r="Q148" i="24"/>
  <c r="Y148" i="24" s="1"/>
  <c r="Q51" i="24"/>
  <c r="O63" i="24"/>
  <c r="AA63" i="24"/>
  <c r="O68" i="24"/>
  <c r="Q78" i="24"/>
  <c r="AB78" i="24"/>
  <c r="AA85" i="24"/>
  <c r="Q93" i="24"/>
  <c r="Y93" i="24" s="1"/>
  <c r="AB93" i="24"/>
  <c r="AI101" i="24"/>
  <c r="AB150" i="24"/>
  <c r="Q150" i="24"/>
  <c r="Y150" i="24" s="1"/>
  <c r="AI190" i="24"/>
  <c r="AA192" i="24"/>
  <c r="AB44" i="24"/>
  <c r="AI46" i="24"/>
  <c r="O58" i="24"/>
  <c r="O85" i="24"/>
  <c r="AB131" i="24"/>
  <c r="AH157" i="24"/>
  <c r="AB170" i="24"/>
  <c r="AA238" i="24"/>
  <c r="Q109" i="24"/>
  <c r="Q328" i="24"/>
  <c r="Y328" i="24" s="1"/>
  <c r="Q186" i="24"/>
  <c r="Y186" i="24" s="1"/>
  <c r="Q91" i="24"/>
  <c r="Y91" i="24" s="1"/>
  <c r="AB53" i="24"/>
  <c r="AB64" i="24"/>
  <c r="AI65" i="24"/>
  <c r="Q68" i="24"/>
  <c r="AA81" i="24"/>
  <c r="AI114" i="24"/>
  <c r="AA123" i="24"/>
  <c r="AI157" i="24"/>
  <c r="AB35" i="24"/>
  <c r="AA41" i="24"/>
  <c r="AH45" i="24"/>
  <c r="AH60" i="24"/>
  <c r="AI70" i="24"/>
  <c r="AH74" i="24"/>
  <c r="AA88" i="24"/>
  <c r="O123" i="24"/>
  <c r="Q130" i="24"/>
  <c r="AB130" i="24"/>
  <c r="AH206" i="24"/>
  <c r="AH226" i="24"/>
  <c r="AI83" i="24"/>
  <c r="AI104" i="24"/>
  <c r="AI67" i="24"/>
  <c r="AI30" i="24"/>
  <c r="AI80" i="24"/>
  <c r="O41" i="24"/>
  <c r="AI74" i="24"/>
  <c r="AH150" i="24"/>
  <c r="AA175" i="24"/>
  <c r="O175" i="24"/>
  <c r="L27" i="15" s="1"/>
  <c r="AB202" i="24"/>
  <c r="AB63" i="24"/>
  <c r="Q63" i="24"/>
  <c r="Y63" i="24" s="1"/>
  <c r="AH64" i="24"/>
  <c r="AH78" i="24"/>
  <c r="AI268" i="24"/>
  <c r="AH284" i="24"/>
  <c r="AA286" i="24"/>
  <c r="AB34" i="24"/>
  <c r="Q58" i="24"/>
  <c r="Y58" i="24" s="1"/>
  <c r="AA62" i="24"/>
  <c r="O62" i="24"/>
  <c r="AI64" i="24"/>
  <c r="AI69" i="24"/>
  <c r="AA112" i="24"/>
  <c r="O112" i="24"/>
  <c r="AA201" i="24"/>
  <c r="Q280" i="24"/>
  <c r="Y280" i="24" s="1"/>
  <c r="AH1273" i="24"/>
  <c r="AH1132" i="24"/>
  <c r="AH1325" i="24"/>
  <c r="AH1182" i="24"/>
  <c r="AH1110" i="24"/>
  <c r="AH1241" i="24"/>
  <c r="AH1361" i="24"/>
  <c r="AH1198" i="24"/>
  <c r="AH1276" i="24"/>
  <c r="AH1119" i="24"/>
  <c r="AH1353" i="24"/>
  <c r="AH1202" i="24"/>
  <c r="AH1229" i="24"/>
  <c r="AH1306" i="24"/>
  <c r="AH1111" i="24"/>
  <c r="AH1163" i="24"/>
  <c r="AH1205" i="24"/>
  <c r="AH1017" i="24"/>
  <c r="AH953" i="24"/>
  <c r="AH1064" i="24"/>
  <c r="AH1191" i="24"/>
  <c r="AH981" i="24"/>
  <c r="AH918" i="24"/>
  <c r="AH920" i="24"/>
  <c r="AH723" i="24"/>
  <c r="AH706" i="24"/>
  <c r="AH781" i="24"/>
  <c r="AH797" i="24"/>
  <c r="AH875" i="24"/>
  <c r="AH654" i="24"/>
  <c r="AH720" i="24"/>
  <c r="AH690" i="24"/>
  <c r="AH696" i="24"/>
  <c r="AH621" i="24"/>
  <c r="AH669" i="24"/>
  <c r="AH693" i="24"/>
  <c r="AH505" i="24"/>
  <c r="AH365" i="24"/>
  <c r="AH698" i="24"/>
  <c r="AH611" i="24"/>
  <c r="AH573" i="24"/>
  <c r="AH425" i="24"/>
  <c r="AH502" i="24"/>
  <c r="AH663" i="24"/>
  <c r="AH434" i="24"/>
  <c r="AH339" i="24"/>
  <c r="AH301" i="24"/>
  <c r="AH279" i="24"/>
  <c r="AH360" i="24"/>
  <c r="AH290" i="24"/>
  <c r="AH122" i="24"/>
  <c r="Q31" i="24"/>
  <c r="Y31" i="24" s="1"/>
  <c r="AA84" i="24"/>
  <c r="O84" i="24"/>
  <c r="AA95" i="24"/>
  <c r="O95" i="24"/>
  <c r="AH110" i="24"/>
  <c r="AI117" i="24"/>
  <c r="AA119" i="24"/>
  <c r="O119" i="24"/>
  <c r="AI127" i="24"/>
  <c r="AI166" i="24"/>
  <c r="O201" i="24"/>
  <c r="AB1340" i="24"/>
  <c r="AB1245" i="24"/>
  <c r="Q1362" i="24"/>
  <c r="Q1219" i="24"/>
  <c r="Q1294" i="24"/>
  <c r="Y1294" i="24" s="1"/>
  <c r="Q1223" i="24"/>
  <c r="AB1330" i="24"/>
  <c r="Q1322" i="24"/>
  <c r="Q1274" i="24"/>
  <c r="AB1266" i="24"/>
  <c r="AB1232" i="24"/>
  <c r="AB1352" i="24"/>
  <c r="AB1314" i="24"/>
  <c r="AB1221" i="24"/>
  <c r="Q1351" i="24"/>
  <c r="Y1351" i="24" s="1"/>
  <c r="AB1348" i="24"/>
  <c r="AB1241" i="24"/>
  <c r="AB1235" i="24"/>
  <c r="AB1183" i="24"/>
  <c r="AB1147" i="24"/>
  <c r="AB1049" i="24"/>
  <c r="AB987" i="24"/>
  <c r="AB1023" i="24"/>
  <c r="Q1344" i="24"/>
  <c r="AB1196" i="24"/>
  <c r="AB1096" i="24"/>
  <c r="AB1080" i="24"/>
  <c r="AB1158" i="24"/>
  <c r="AB919" i="24"/>
  <c r="AB1204" i="24"/>
  <c r="Q1146" i="24"/>
  <c r="Y1146" i="24" s="1"/>
  <c r="AB1111" i="24"/>
  <c r="AB1091" i="24"/>
  <c r="AB1102" i="24"/>
  <c r="AB1167" i="24"/>
  <c r="AB1163" i="24"/>
  <c r="AB1243" i="24"/>
  <c r="Q1050" i="24"/>
  <c r="Y1050" i="24" s="1"/>
  <c r="AB1112" i="24"/>
  <c r="AB1336" i="24"/>
  <c r="Q1305" i="24"/>
  <c r="AB1164" i="24"/>
  <c r="AB1237" i="24"/>
  <c r="AB1248" i="24"/>
  <c r="AB924" i="24"/>
  <c r="AB905" i="24"/>
  <c r="AB848" i="24"/>
  <c r="AB824" i="24"/>
  <c r="AB895" i="24"/>
  <c r="AB1047" i="24"/>
  <c r="Q944" i="24"/>
  <c r="AB878" i="24"/>
  <c r="Q822" i="24"/>
  <c r="AB879" i="24"/>
  <c r="AB1025" i="24"/>
  <c r="AB934" i="24"/>
  <c r="AB910" i="24"/>
  <c r="AB1079" i="24"/>
  <c r="AB1010" i="24"/>
  <c r="AB811" i="24"/>
  <c r="AB763" i="24"/>
  <c r="AB1006" i="24"/>
  <c r="Q877" i="24"/>
  <c r="AB837" i="24"/>
  <c r="AB813" i="24"/>
  <c r="AB966" i="24"/>
  <c r="Q806" i="24"/>
  <c r="Y806" i="24" s="1"/>
  <c r="AB1065" i="24"/>
  <c r="AB922" i="24"/>
  <c r="AB800" i="24"/>
  <c r="AB698" i="24"/>
  <c r="Q729" i="24"/>
  <c r="Y729" i="24" s="1"/>
  <c r="AB718" i="24"/>
  <c r="AB734" i="24"/>
  <c r="Q730" i="24"/>
  <c r="AB700" i="24"/>
  <c r="AB748" i="24"/>
  <c r="AB958" i="24"/>
  <c r="AB944" i="24"/>
  <c r="AB937" i="24"/>
  <c r="AB749" i="24"/>
  <c r="Q947" i="24"/>
  <c r="Y947" i="24" s="1"/>
  <c r="AB903" i="24"/>
  <c r="AB780" i="24"/>
  <c r="AB890" i="24"/>
  <c r="AB847" i="24"/>
  <c r="AB766" i="24"/>
  <c r="AB983" i="24"/>
  <c r="AB821" i="24"/>
  <c r="AB724" i="24"/>
  <c r="AB707" i="24"/>
  <c r="AB915" i="24"/>
  <c r="AB792" i="24"/>
  <c r="Q885" i="24"/>
  <c r="Y885" i="24" s="1"/>
  <c r="Q856" i="24"/>
  <c r="Y856" i="24" s="1"/>
  <c r="AB728" i="24"/>
  <c r="AB666" i="24"/>
  <c r="AB570" i="24"/>
  <c r="AB546" i="24"/>
  <c r="Q637" i="24"/>
  <c r="AB571" i="24"/>
  <c r="AB547" i="24"/>
  <c r="AB823" i="24"/>
  <c r="AB642" i="24"/>
  <c r="AB776" i="24"/>
  <c r="AB664" i="24"/>
  <c r="Q570" i="24"/>
  <c r="AB644" i="24"/>
  <c r="Q627" i="24"/>
  <c r="AB555" i="24"/>
  <c r="Q547" i="24"/>
  <c r="AB656" i="24"/>
  <c r="AB618" i="24"/>
  <c r="AB580" i="24"/>
  <c r="AB532" i="24"/>
  <c r="AB533" i="24"/>
  <c r="AB691" i="24"/>
  <c r="AB725" i="24"/>
  <c r="AB692" i="24"/>
  <c r="Q631" i="24"/>
  <c r="Q583" i="24"/>
  <c r="AB567" i="24"/>
  <c r="AB714" i="24"/>
  <c r="Q484" i="24"/>
  <c r="AB610" i="24"/>
  <c r="Q601" i="24"/>
  <c r="Y601" i="24" s="1"/>
  <c r="Q494" i="24"/>
  <c r="Q380" i="24"/>
  <c r="Y380" i="24" s="1"/>
  <c r="Q774" i="24"/>
  <c r="AB498" i="24"/>
  <c r="AB438" i="24"/>
  <c r="AB649" i="24"/>
  <c r="AB543" i="24"/>
  <c r="AB415" i="24"/>
  <c r="Q559" i="24"/>
  <c r="AB519" i="24"/>
  <c r="Q633" i="24"/>
  <c r="Y633" i="24" s="1"/>
  <c r="Q533" i="24"/>
  <c r="AB465" i="24"/>
  <c r="AB421" i="24"/>
  <c r="AB676" i="24"/>
  <c r="AB466" i="24"/>
  <c r="AB422" i="24"/>
  <c r="Q513" i="24"/>
  <c r="Y513" i="24" s="1"/>
  <c r="AB483" i="24"/>
  <c r="Q415" i="24"/>
  <c r="AB468" i="24"/>
  <c r="AB545" i="24"/>
  <c r="Q619" i="24"/>
  <c r="Y619" i="24" s="1"/>
  <c r="AB509" i="24"/>
  <c r="Q481" i="24"/>
  <c r="AB314" i="24"/>
  <c r="AB290" i="24"/>
  <c r="AB266" i="24"/>
  <c r="AB218" i="24"/>
  <c r="Q351" i="24"/>
  <c r="AB295" i="24"/>
  <c r="AB494" i="24"/>
  <c r="Q313" i="24"/>
  <c r="Y313" i="24" s="1"/>
  <c r="AB273" i="24"/>
  <c r="AB225" i="24"/>
  <c r="AB275" i="24"/>
  <c r="Q338" i="24"/>
  <c r="Q362" i="24"/>
  <c r="AB374" i="24"/>
  <c r="AB346" i="24"/>
  <c r="AB281" i="24"/>
  <c r="AB233" i="24"/>
  <c r="AB358" i="24"/>
  <c r="Q298" i="24"/>
  <c r="AB427" i="24"/>
  <c r="Q239" i="24"/>
  <c r="AB190" i="24"/>
  <c r="Q230" i="24"/>
  <c r="Y230" i="24" s="1"/>
  <c r="AB173" i="24"/>
  <c r="AB162" i="24"/>
  <c r="AB96" i="24"/>
  <c r="AB175" i="24"/>
  <c r="AB121" i="24"/>
  <c r="Q356" i="24"/>
  <c r="AB375" i="24"/>
  <c r="AB368" i="24"/>
  <c r="AB310" i="24"/>
  <c r="AB264" i="24"/>
  <c r="AB179" i="24"/>
  <c r="AB88" i="24"/>
  <c r="AB123" i="24"/>
  <c r="Q87" i="24"/>
  <c r="Y87" i="24" s="1"/>
  <c r="Q94" i="24"/>
  <c r="AB430" i="24"/>
  <c r="AB189" i="24"/>
  <c r="Q110" i="24"/>
  <c r="Y110" i="24" s="1"/>
  <c r="Q123" i="24"/>
  <c r="Y123" i="24" s="1"/>
  <c r="Q101" i="24"/>
  <c r="AB60" i="24"/>
  <c r="AB98" i="24"/>
  <c r="AB99" i="24"/>
  <c r="AI1273" i="24"/>
  <c r="AI1325" i="24"/>
  <c r="AI1302" i="24"/>
  <c r="AI1111" i="24"/>
  <c r="AI1361" i="24"/>
  <c r="AI1182" i="24"/>
  <c r="AI1202" i="24"/>
  <c r="AI1306" i="24"/>
  <c r="AI1163" i="24"/>
  <c r="AI1119" i="24"/>
  <c r="AI1097" i="24"/>
  <c r="AI1017" i="24"/>
  <c r="AI1032" i="24"/>
  <c r="AI1198" i="24"/>
  <c r="AI1064" i="24"/>
  <c r="AI1088" i="24"/>
  <c r="AI983" i="24"/>
  <c r="AI959" i="24"/>
  <c r="AI918" i="24"/>
  <c r="AI913" i="24"/>
  <c r="AI723" i="24"/>
  <c r="AI706" i="24"/>
  <c r="AI895" i="24"/>
  <c r="AI693" i="24"/>
  <c r="AI669" i="24"/>
  <c r="AI892" i="24"/>
  <c r="AI560" i="24"/>
  <c r="AI540" i="24"/>
  <c r="AI698" i="24"/>
  <c r="AI611" i="24"/>
  <c r="AI699" i="24"/>
  <c r="AI502" i="24"/>
  <c r="AI360" i="24"/>
  <c r="AI663" i="24"/>
  <c r="AI301" i="24"/>
  <c r="AI594" i="24"/>
  <c r="AI326" i="24"/>
  <c r="AI385" i="24"/>
  <c r="AI505" i="24"/>
  <c r="AI305" i="24"/>
  <c r="AI290" i="24"/>
  <c r="AI254" i="24"/>
  <c r="AI148" i="24"/>
  <c r="AI247" i="24"/>
  <c r="AI369" i="24"/>
  <c r="AI48" i="24"/>
  <c r="AB68" i="24"/>
  <c r="Q72" i="24"/>
  <c r="Q81" i="24"/>
  <c r="Y81" i="24" s="1"/>
  <c r="AI137" i="24"/>
  <c r="AH140" i="24"/>
  <c r="AA142" i="24"/>
  <c r="Q182" i="24"/>
  <c r="Y182" i="24" s="1"/>
  <c r="AI199" i="24"/>
  <c r="AI261" i="24"/>
  <c r="AI110" i="24"/>
  <c r="AB113" i="24"/>
  <c r="Q113" i="24"/>
  <c r="Y113" i="24" s="1"/>
  <c r="Q153" i="24"/>
  <c r="AB153" i="24"/>
  <c r="O164" i="24"/>
  <c r="AA164" i="24"/>
  <c r="AB165" i="24"/>
  <c r="AA172" i="24"/>
  <c r="Q205" i="24"/>
  <c r="Y205" i="24" s="1"/>
  <c r="O208" i="24"/>
  <c r="AA208" i="24"/>
  <c r="AH217" i="24"/>
  <c r="AI231" i="24"/>
  <c r="Q393" i="24"/>
  <c r="Y393" i="24" s="1"/>
  <c r="AB393" i="24"/>
  <c r="AI397" i="24"/>
  <c r="AH400" i="24"/>
  <c r="Q658" i="24"/>
  <c r="AB658" i="24"/>
  <c r="AH662" i="24"/>
  <c r="Q1339" i="24"/>
  <c r="Q1152" i="24"/>
  <c r="Y1152" i="24" s="1"/>
  <c r="Q1129" i="24"/>
  <c r="Q1292" i="24"/>
  <c r="Y1292" i="24" s="1"/>
  <c r="Q1222" i="24"/>
  <c r="Q1084" i="24"/>
  <c r="Y1084" i="24" s="1"/>
  <c r="Q1078" i="24"/>
  <c r="Y1078" i="24" s="1"/>
  <c r="Q1009" i="24"/>
  <c r="Y1009" i="24" s="1"/>
  <c r="Q1038" i="24"/>
  <c r="Y1038" i="24" s="1"/>
  <c r="Q1216" i="24"/>
  <c r="Q904" i="24"/>
  <c r="Y904" i="24" s="1"/>
  <c r="Q972" i="24"/>
  <c r="Y972" i="24" s="1"/>
  <c r="Q804" i="24"/>
  <c r="Y804" i="24" s="1"/>
  <c r="Q1330" i="24"/>
  <c r="Q940" i="24"/>
  <c r="Q878" i="24"/>
  <c r="Y878" i="24" s="1"/>
  <c r="Q691" i="24"/>
  <c r="Y691" i="24" s="1"/>
  <c r="Q813" i="24"/>
  <c r="Q733" i="24"/>
  <c r="Q859" i="24"/>
  <c r="Q569" i="24"/>
  <c r="Y569" i="24" s="1"/>
  <c r="Q592" i="24"/>
  <c r="Q468" i="24"/>
  <c r="Y468" i="24" s="1"/>
  <c r="Q537" i="24"/>
  <c r="Y537" i="24" s="1"/>
  <c r="Q532" i="24"/>
  <c r="Q473" i="24"/>
  <c r="Y473" i="24" s="1"/>
  <c r="Q456" i="24"/>
  <c r="Q501" i="24"/>
  <c r="Y501" i="24" s="1"/>
  <c r="Q445" i="24"/>
  <c r="Q307" i="24"/>
  <c r="Q388" i="24"/>
  <c r="Y388" i="24" s="1"/>
  <c r="Q312" i="24"/>
  <c r="Q264" i="24"/>
  <c r="Y264" i="24" s="1"/>
  <c r="Q265" i="24"/>
  <c r="Q246" i="24"/>
  <c r="Q446" i="24"/>
  <c r="Q224" i="24"/>
  <c r="Q135" i="24"/>
  <c r="Y135" i="24" s="1"/>
  <c r="Q136" i="24"/>
  <c r="AH1297" i="24"/>
  <c r="AH1359" i="24"/>
  <c r="AH1360" i="24"/>
  <c r="AH1337" i="24"/>
  <c r="AH1313" i="24"/>
  <c r="AH1116" i="24"/>
  <c r="AH1281" i="24"/>
  <c r="AH1318" i="24"/>
  <c r="AH1329" i="24"/>
  <c r="AH1316" i="24"/>
  <c r="AH1040" i="24"/>
  <c r="AH1356" i="24"/>
  <c r="AH926" i="24"/>
  <c r="AH808" i="24"/>
  <c r="AH922" i="24"/>
  <c r="AH793" i="24"/>
  <c r="AH902" i="24"/>
  <c r="AH735" i="24"/>
  <c r="AH750" i="24"/>
  <c r="AH852" i="24"/>
  <c r="AH1008" i="24"/>
  <c r="AH823" i="24"/>
  <c r="AH528" i="24"/>
  <c r="AH553" i="24"/>
  <c r="AH630" i="24"/>
  <c r="AH666" i="24"/>
  <c r="AH681" i="24"/>
  <c r="AH697" i="24"/>
  <c r="AH444" i="24"/>
  <c r="AH534" i="24"/>
  <c r="AH465" i="24"/>
  <c r="AH642" i="24"/>
  <c r="AH640" i="24"/>
  <c r="AH297" i="24"/>
  <c r="AH411" i="24"/>
  <c r="AH255" i="24"/>
  <c r="AH328" i="24"/>
  <c r="AH374" i="24"/>
  <c r="AH350" i="24"/>
  <c r="AH310" i="24"/>
  <c r="AH207" i="24"/>
  <c r="AH221" i="24"/>
  <c r="AH187" i="24"/>
  <c r="AH166" i="24"/>
  <c r="AB1254" i="24"/>
  <c r="AB1362" i="24"/>
  <c r="AB1234" i="24"/>
  <c r="AB1218" i="24"/>
  <c r="AB1051" i="24"/>
  <c r="AB849" i="24"/>
  <c r="AB932" i="24"/>
  <c r="AB855" i="24"/>
  <c r="AB1279" i="24"/>
  <c r="AB822" i="24"/>
  <c r="AB712" i="24"/>
  <c r="AB710" i="24"/>
  <c r="AB593" i="24"/>
  <c r="AB523" i="24"/>
  <c r="AB630" i="24"/>
  <c r="AB667" i="24"/>
  <c r="AB522" i="24"/>
  <c r="AB414" i="24"/>
  <c r="AB529" i="24"/>
  <c r="AB464" i="24"/>
  <c r="AB520" i="24"/>
  <c r="AB400" i="24"/>
  <c r="AB319" i="24"/>
  <c r="AB283" i="24"/>
  <c r="AB376" i="24"/>
  <c r="AB289" i="24"/>
  <c r="AB227" i="24"/>
  <c r="AB145" i="24"/>
  <c r="AB122" i="24"/>
  <c r="AB149" i="24"/>
  <c r="AI1326" i="24"/>
  <c r="AI1311" i="24"/>
  <c r="AI1259" i="24"/>
  <c r="AI1175" i="24"/>
  <c r="AI1230" i="24"/>
  <c r="AI1151" i="24"/>
  <c r="AI1131" i="24"/>
  <c r="AI1047" i="24"/>
  <c r="AI1006" i="24"/>
  <c r="AI854" i="24"/>
  <c r="AI933" i="24"/>
  <c r="AI910" i="24"/>
  <c r="AI860" i="24"/>
  <c r="AI1101" i="24"/>
  <c r="AI912" i="24"/>
  <c r="AI837" i="24"/>
  <c r="AI921" i="24"/>
  <c r="AI1105" i="24"/>
  <c r="AI930" i="24"/>
  <c r="AI1041" i="24"/>
  <c r="AI876" i="24"/>
  <c r="AI752" i="24"/>
  <c r="AI643" i="24"/>
  <c r="AI539" i="24"/>
  <c r="AI390" i="24"/>
  <c r="AI366" i="24"/>
  <c r="AI731" i="24"/>
  <c r="AI439" i="24"/>
  <c r="AI515" i="24"/>
  <c r="AI382" i="24"/>
  <c r="AI455" i="24"/>
  <c r="AI321" i="24"/>
  <c r="AI273" i="24"/>
  <c r="AI363" i="24"/>
  <c r="AI436" i="24"/>
  <c r="AI372" i="24"/>
  <c r="AI355" i="24"/>
  <c r="AI256" i="24"/>
  <c r="AI393" i="24"/>
  <c r="AI523" i="24"/>
  <c r="AI271" i="24"/>
  <c r="AI147" i="24"/>
  <c r="AI128" i="24"/>
  <c r="AI170" i="24"/>
  <c r="AA137" i="24"/>
  <c r="AB138" i="24"/>
  <c r="AI150" i="24"/>
  <c r="Q168" i="24"/>
  <c r="Y168" i="24" s="1"/>
  <c r="AA215" i="24"/>
  <c r="Q223" i="24"/>
  <c r="AB223" i="24"/>
  <c r="AI284" i="24"/>
  <c r="AI347" i="24"/>
  <c r="AB516" i="24"/>
  <c r="AB76" i="24"/>
  <c r="AA77" i="24"/>
  <c r="AI87" i="24"/>
  <c r="AH100" i="24"/>
  <c r="Q114" i="24"/>
  <c r="AB103" i="24"/>
  <c r="AA120" i="24"/>
  <c r="Q121" i="24"/>
  <c r="AI122" i="24"/>
  <c r="AH126" i="24"/>
  <c r="Q129" i="24"/>
  <c r="Y129" i="24" s="1"/>
  <c r="AB129" i="24"/>
  <c r="Q142" i="24"/>
  <c r="Y142" i="24" s="1"/>
  <c r="AA160" i="24"/>
  <c r="AB161" i="24"/>
  <c r="AA222" i="24"/>
  <c r="AH257" i="24"/>
  <c r="Q310" i="24"/>
  <c r="Y310" i="24" s="1"/>
  <c r="AH337" i="24"/>
  <c r="AA339" i="24"/>
  <c r="AB343" i="24"/>
  <c r="AA505" i="24"/>
  <c r="AB77" i="24"/>
  <c r="AB92" i="24"/>
  <c r="O102" i="24"/>
  <c r="AA102" i="24"/>
  <c r="Q108" i="24"/>
  <c r="Q117" i="24"/>
  <c r="Y117" i="24" s="1"/>
  <c r="O120" i="24"/>
  <c r="AI126" i="24"/>
  <c r="AI146" i="24"/>
  <c r="AH165" i="24"/>
  <c r="AI180" i="24"/>
  <c r="O222" i="24"/>
  <c r="L28" i="12" s="1"/>
  <c r="AB243" i="24"/>
  <c r="Q243" i="24"/>
  <c r="Y243" i="24" s="1"/>
  <c r="AI314" i="24"/>
  <c r="AI337" i="24"/>
  <c r="AA385" i="24"/>
  <c r="O385" i="24"/>
  <c r="AH503" i="24"/>
  <c r="AA90" i="24"/>
  <c r="O90" i="24"/>
  <c r="AH109" i="24"/>
  <c r="Q145" i="24"/>
  <c r="AI191" i="24"/>
  <c r="AA200" i="24"/>
  <c r="AB208" i="24"/>
  <c r="Q219" i="24"/>
  <c r="Q256" i="24"/>
  <c r="Y256" i="24" s="1"/>
  <c r="AH307" i="24"/>
  <c r="AA342" i="24"/>
  <c r="O342" i="24"/>
  <c r="AI383" i="24"/>
  <c r="AB39" i="24"/>
  <c r="AI45" i="24"/>
  <c r="O71" i="24"/>
  <c r="AI93" i="24"/>
  <c r="Q103" i="24"/>
  <c r="AA111" i="24"/>
  <c r="O111" i="24"/>
  <c r="AH113" i="24"/>
  <c r="AI130" i="24"/>
  <c r="AA144" i="24"/>
  <c r="AH153" i="24"/>
  <c r="AI176" i="24"/>
  <c r="AI198" i="24"/>
  <c r="AH230" i="24"/>
  <c r="AI307" i="24"/>
  <c r="AB336" i="24"/>
  <c r="AH44" i="24"/>
  <c r="Q73" i="24"/>
  <c r="Y73" i="24" s="1"/>
  <c r="Q84" i="24"/>
  <c r="AH86" i="24"/>
  <c r="AB117" i="24"/>
  <c r="AH121" i="24"/>
  <c r="O144" i="24"/>
  <c r="Q152" i="24"/>
  <c r="Y152" i="24" s="1"/>
  <c r="AB152" i="24"/>
  <c r="AH161" i="24"/>
  <c r="Q175" i="24"/>
  <c r="Y175" i="24" s="1"/>
  <c r="AA185" i="24"/>
  <c r="AA189" i="24"/>
  <c r="AH212" i="24"/>
  <c r="AI223" i="24"/>
  <c r="AI240" i="24"/>
  <c r="AB256" i="24"/>
  <c r="AB276" i="24"/>
  <c r="AH376" i="24"/>
  <c r="AA378" i="24"/>
  <c r="O378" i="24"/>
  <c r="AB75" i="24"/>
  <c r="AI86" i="24"/>
  <c r="AA89" i="24"/>
  <c r="AB91" i="24"/>
  <c r="AA115" i="24"/>
  <c r="AI121" i="24"/>
  <c r="AH134" i="24"/>
  <c r="AA136" i="24"/>
  <c r="O136" i="24"/>
  <c r="AB137" i="24"/>
  <c r="Q137" i="24"/>
  <c r="AH149" i="24"/>
  <c r="AB160" i="24"/>
  <c r="O185" i="24"/>
  <c r="AB186" i="24"/>
  <c r="Q229" i="24"/>
  <c r="AB229" i="24"/>
  <c r="Q306" i="24"/>
  <c r="AB306" i="24"/>
  <c r="AH483" i="24"/>
  <c r="AI496" i="24"/>
  <c r="AH92" i="24"/>
  <c r="AI103" i="24"/>
  <c r="Q124" i="24"/>
  <c r="Q128" i="24"/>
  <c r="Y128" i="24" s="1"/>
  <c r="AB128" i="24"/>
  <c r="AH129" i="24"/>
  <c r="AI134" i="24"/>
  <c r="AH145" i="24"/>
  <c r="AI149" i="24"/>
  <c r="AA159" i="24"/>
  <c r="AB167" i="24"/>
  <c r="Q167" i="24"/>
  <c r="Y167" i="24" s="1"/>
  <c r="AH172" i="24"/>
  <c r="AA174" i="24"/>
  <c r="O174" i="24"/>
  <c r="AI212" i="24"/>
  <c r="AB239" i="24"/>
  <c r="AA275" i="24"/>
  <c r="O289" i="24"/>
  <c r="AI333" i="24"/>
  <c r="AH125" i="24"/>
  <c r="Q141" i="24"/>
  <c r="Y141" i="24" s="1"/>
  <c r="AI145" i="24"/>
  <c r="AA147" i="24"/>
  <c r="AI168" i="24"/>
  <c r="AI197" i="24"/>
  <c r="AH219" i="24"/>
  <c r="AA228" i="24"/>
  <c r="AI303" i="24"/>
  <c r="AH369" i="24"/>
  <c r="Q252" i="24"/>
  <c r="Y252" i="24" s="1"/>
  <c r="Q332" i="24"/>
  <c r="O80" i="24"/>
  <c r="L16" i="15" s="1"/>
  <c r="AA80" i="24"/>
  <c r="Q82" i="24"/>
  <c r="Y82" i="24" s="1"/>
  <c r="AH97" i="24"/>
  <c r="Q106" i="24"/>
  <c r="AA110" i="24"/>
  <c r="AH156" i="24"/>
  <c r="AB171" i="24"/>
  <c r="AI175" i="24"/>
  <c r="AA177" i="24"/>
  <c r="Q196" i="24"/>
  <c r="Y196" i="24" s="1"/>
  <c r="AB196" i="24"/>
  <c r="AH204" i="24"/>
  <c r="AB302" i="24"/>
  <c r="AA364" i="24"/>
  <c r="O364" i="24"/>
  <c r="AH424" i="24"/>
  <c r="AI97" i="24"/>
  <c r="AA114" i="24"/>
  <c r="AB124" i="24"/>
  <c r="Q155" i="24"/>
  <c r="Y155" i="24" s="1"/>
  <c r="AI156" i="24"/>
  <c r="AH193" i="24"/>
  <c r="AI204" i="24"/>
  <c r="AI215" i="24"/>
  <c r="AA261" i="24"/>
  <c r="AI266" i="24"/>
  <c r="AH329" i="24"/>
  <c r="AI424" i="24"/>
  <c r="AH102" i="24"/>
  <c r="AB115" i="24"/>
  <c r="AH120" i="24"/>
  <c r="Q132" i="24"/>
  <c r="Y132" i="24" s="1"/>
  <c r="AA143" i="24"/>
  <c r="O143" i="24"/>
  <c r="L18" i="20" s="1"/>
  <c r="Q151" i="24"/>
  <c r="AB151" i="24"/>
  <c r="AA158" i="24"/>
  <c r="AB159" i="24"/>
  <c r="AH167" i="24"/>
  <c r="Q174" i="24"/>
  <c r="AA184" i="24"/>
  <c r="AA202" i="24"/>
  <c r="AI296" i="24"/>
  <c r="AH299" i="24"/>
  <c r="AI316" i="24"/>
  <c r="AH319" i="24"/>
  <c r="AB325" i="24"/>
  <c r="AI329" i="24"/>
  <c r="AI102" i="24"/>
  <c r="AH116" i="24"/>
  <c r="AI120" i="24"/>
  <c r="AH133" i="24"/>
  <c r="AA135" i="24"/>
  <c r="AI141" i="24"/>
  <c r="AH148" i="24"/>
  <c r="O184" i="24"/>
  <c r="Q195" i="24"/>
  <c r="O202" i="24"/>
  <c r="AH211" i="24"/>
  <c r="AI269" i="24"/>
  <c r="AB292" i="24"/>
  <c r="AA321" i="24"/>
  <c r="O321" i="24"/>
  <c r="AB81" i="24"/>
  <c r="AB95" i="24"/>
  <c r="Q95" i="24"/>
  <c r="Y95" i="24" s="1"/>
  <c r="AI111" i="24"/>
  <c r="AB119" i="24"/>
  <c r="Q119" i="24"/>
  <c r="Y119" i="24" s="1"/>
  <c r="Q127" i="24"/>
  <c r="AB127" i="24"/>
  <c r="AA139" i="24"/>
  <c r="AH144" i="24"/>
  <c r="AA146" i="24"/>
  <c r="AB155" i="24"/>
  <c r="Q166" i="24"/>
  <c r="Y166" i="24" s="1"/>
  <c r="AB166" i="24"/>
  <c r="AI182" i="24"/>
  <c r="AB192" i="24"/>
  <c r="Q228" i="24"/>
  <c r="AI252" i="24"/>
  <c r="AA324" i="24"/>
  <c r="AB361" i="24"/>
  <c r="AH96" i="24"/>
  <c r="AA99" i="24"/>
  <c r="AB105" i="24"/>
  <c r="AI116" i="24"/>
  <c r="AH124" i="24"/>
  <c r="AB140" i="24"/>
  <c r="AI144" i="24"/>
  <c r="O146" i="24"/>
  <c r="AH163" i="24"/>
  <c r="AH189" i="24"/>
  <c r="AI242" i="24"/>
  <c r="AH252" i="24"/>
  <c r="AB268" i="24"/>
  <c r="AA291" i="24"/>
  <c r="AH322" i="24"/>
  <c r="AI352" i="24"/>
  <c r="AB1316" i="24"/>
  <c r="AB1219" i="24"/>
  <c r="AB1197" i="24"/>
  <c r="AB1361" i="24"/>
  <c r="AB1351" i="24"/>
  <c r="AB1304" i="24"/>
  <c r="AB1329" i="24"/>
  <c r="AB1264" i="24"/>
  <c r="AB1290" i="24"/>
  <c r="AB1022" i="24"/>
  <c r="AB1301" i="24"/>
  <c r="AB1265" i="24"/>
  <c r="AB892" i="24"/>
  <c r="AB959" i="24"/>
  <c r="AB945" i="24"/>
  <c r="AB956" i="24"/>
  <c r="AB1033" i="24"/>
  <c r="AB777" i="24"/>
  <c r="AB794" i="24"/>
  <c r="AB771" i="24"/>
  <c r="AB1077" i="24"/>
  <c r="AB704" i="24"/>
  <c r="AB807" i="24"/>
  <c r="AB774" i="24"/>
  <c r="AB679" i="24"/>
  <c r="AB581" i="24"/>
  <c r="AB729" i="24"/>
  <c r="AB475" i="24"/>
  <c r="AB530" i="24"/>
  <c r="AB482" i="24"/>
  <c r="AB448" i="24"/>
  <c r="AB390" i="24"/>
  <c r="AB345" i="24"/>
  <c r="AB326" i="24"/>
  <c r="AB398" i="24"/>
  <c r="AB235" i="24"/>
  <c r="AB265" i="24"/>
  <c r="AB359" i="24"/>
  <c r="AB142" i="24"/>
  <c r="AB185" i="24"/>
  <c r="AB589" i="24"/>
  <c r="AB350" i="24"/>
  <c r="AB217" i="24"/>
  <c r="AI72" i="24"/>
  <c r="AA86" i="24"/>
  <c r="AI96" i="24"/>
  <c r="AA113" i="24"/>
  <c r="AB114" i="24"/>
  <c r="Q173" i="24"/>
  <c r="Q154" i="24"/>
  <c r="Y154" i="24" s="1"/>
  <c r="AH174" i="24"/>
  <c r="AA176" i="24"/>
  <c r="Q188" i="24"/>
  <c r="AI189" i="24"/>
  <c r="AI196" i="24"/>
  <c r="AI218" i="24"/>
  <c r="AB318" i="24"/>
  <c r="AH71" i="24"/>
  <c r="O86" i="24"/>
  <c r="L13" i="17" s="1"/>
  <c r="AB143" i="24"/>
  <c r="AH155" i="24"/>
  <c r="AA157" i="24"/>
  <c r="O176" i="24"/>
  <c r="AB195" i="24"/>
  <c r="AB206" i="24"/>
  <c r="AA216" i="24"/>
  <c r="AA237" i="24"/>
  <c r="O237" i="24"/>
  <c r="AA267" i="24"/>
  <c r="AH292" i="24"/>
  <c r="Q79" i="24"/>
  <c r="AI82" i="24"/>
  <c r="AI106" i="24"/>
  <c r="AH119" i="24"/>
  <c r="AB135" i="24"/>
  <c r="AI151" i="24"/>
  <c r="AB158" i="24"/>
  <c r="Q162" i="24"/>
  <c r="Y162" i="24" s="1"/>
  <c r="AB184" i="24"/>
  <c r="AH235" i="24"/>
  <c r="AI292" i="24"/>
  <c r="AA317" i="24"/>
  <c r="AA104" i="24"/>
  <c r="AA128" i="24"/>
  <c r="AA152" i="24"/>
  <c r="Q184" i="24"/>
  <c r="Y184" i="24" s="1"/>
  <c r="Q208" i="24"/>
  <c r="Y208" i="24" s="1"/>
  <c r="Q210" i="24"/>
  <c r="Y210" i="24" s="1"/>
  <c r="AI235" i="24"/>
  <c r="Q247" i="24"/>
  <c r="AA254" i="24"/>
  <c r="AH260" i="24"/>
  <c r="AI276" i="24"/>
  <c r="AA278" i="24"/>
  <c r="AB279" i="24"/>
  <c r="Q295" i="24"/>
  <c r="AI299" i="24"/>
  <c r="AA301" i="24"/>
  <c r="O301" i="24"/>
  <c r="AB328" i="24"/>
  <c r="AH417" i="24"/>
  <c r="AB476" i="24"/>
  <c r="AH188" i="24"/>
  <c r="O194" i="24"/>
  <c r="O200" i="24"/>
  <c r="AA214" i="24"/>
  <c r="AA221" i="24"/>
  <c r="O221" i="24"/>
  <c r="O232" i="24"/>
  <c r="AA232" i="24"/>
  <c r="Q238" i="24"/>
  <c r="Y238" i="24" s="1"/>
  <c r="O254" i="24"/>
  <c r="AB255" i="24"/>
  <c r="AI260" i="24"/>
  <c r="AB287" i="24"/>
  <c r="AI288" i="24"/>
  <c r="AB291" i="24"/>
  <c r="AH306" i="24"/>
  <c r="AB364" i="24"/>
  <c r="AA395" i="24"/>
  <c r="AI486" i="24"/>
  <c r="AA126" i="24"/>
  <c r="Q143" i="24"/>
  <c r="Y143" i="24" s="1"/>
  <c r="AA150" i="24"/>
  <c r="AA178" i="24"/>
  <c r="AA182" i="24"/>
  <c r="AB222" i="24"/>
  <c r="AA223" i="24"/>
  <c r="AA227" i="24"/>
  <c r="O227" i="24"/>
  <c r="L17" i="14" s="1"/>
  <c r="AH239" i="24"/>
  <c r="AI306" i="24"/>
  <c r="Q309" i="24"/>
  <c r="Y309" i="24" s="1"/>
  <c r="AB309" i="24"/>
  <c r="Q374" i="24"/>
  <c r="Y374" i="24" s="1"/>
  <c r="AA405" i="24"/>
  <c r="AB416" i="24"/>
  <c r="AA101" i="24"/>
  <c r="AA173" i="24"/>
  <c r="AH179" i="24"/>
  <c r="Q194" i="24"/>
  <c r="AH196" i="24"/>
  <c r="AA206" i="24"/>
  <c r="AB210" i="24"/>
  <c r="Q232" i="24"/>
  <c r="Y232" i="24" s="1"/>
  <c r="AI239" i="24"/>
  <c r="AI248" i="24"/>
  <c r="AH251" i="24"/>
  <c r="AA262" i="24"/>
  <c r="AH268" i="24"/>
  <c r="AB298" i="24"/>
  <c r="AH302" i="24"/>
  <c r="AB317" i="24"/>
  <c r="AA320" i="24"/>
  <c r="AH332" i="24"/>
  <c r="AI343" i="24"/>
  <c r="AH354" i="24"/>
  <c r="Q389" i="24"/>
  <c r="Y389" i="24" s="1"/>
  <c r="AI420" i="24"/>
  <c r="AB485" i="24"/>
  <c r="O115" i="24"/>
  <c r="O139" i="24"/>
  <c r="O160" i="24"/>
  <c r="L24" i="12" s="1"/>
  <c r="O177" i="24"/>
  <c r="AI179" i="24"/>
  <c r="AH203" i="24"/>
  <c r="AI211" i="24"/>
  <c r="AI224" i="24"/>
  <c r="AB228" i="24"/>
  <c r="AH234" i="24"/>
  <c r="AB238" i="24"/>
  <c r="AI251" i="24"/>
  <c r="AB263" i="24"/>
  <c r="AI264" i="24"/>
  <c r="AB267" i="24"/>
  <c r="Q267" i="24"/>
  <c r="AH283" i="24"/>
  <c r="AH295" i="24"/>
  <c r="AA316" i="24"/>
  <c r="AB324" i="24"/>
  <c r="AI354" i="24"/>
  <c r="AA356" i="24"/>
  <c r="AB357" i="24"/>
  <c r="AA363" i="24"/>
  <c r="O363" i="24"/>
  <c r="L40" i="15" s="1"/>
  <c r="AI368" i="24"/>
  <c r="O398" i="24"/>
  <c r="AA398" i="24"/>
  <c r="AH413" i="24"/>
  <c r="Q469" i="24"/>
  <c r="Y469" i="24" s="1"/>
  <c r="AB469" i="24"/>
  <c r="AI473" i="24"/>
  <c r="Q97" i="24"/>
  <c r="O173" i="24"/>
  <c r="L15" i="10" s="1"/>
  <c r="Q116" i="24"/>
  <c r="O138" i="24"/>
  <c r="Q140" i="24"/>
  <c r="Y140" i="24" s="1"/>
  <c r="O159" i="24"/>
  <c r="Q161" i="24"/>
  <c r="AI203" i="24"/>
  <c r="AB215" i="24"/>
  <c r="AI229" i="24"/>
  <c r="AI234" i="24"/>
  <c r="Q237" i="24"/>
  <c r="Y237" i="24" s="1"/>
  <c r="AB237" i="24"/>
  <c r="AA245" i="24"/>
  <c r="O245" i="24"/>
  <c r="AB246" i="24"/>
  <c r="AA253" i="24"/>
  <c r="O253" i="24"/>
  <c r="Q271" i="24"/>
  <c r="AI272" i="24"/>
  <c r="AH275" i="24"/>
  <c r="AI279" i="24"/>
  <c r="Q282" i="24"/>
  <c r="Y282" i="24" s="1"/>
  <c r="AB282" i="24"/>
  <c r="AI283" i="24"/>
  <c r="Q286" i="24"/>
  <c r="Y286" i="24" s="1"/>
  <c r="AA297" i="24"/>
  <c r="O297" i="24"/>
  <c r="AB301" i="24"/>
  <c r="AA323" i="24"/>
  <c r="O323" i="24"/>
  <c r="Q331" i="24"/>
  <c r="AB331" i="24"/>
  <c r="AH346" i="24"/>
  <c r="Q349" i="24"/>
  <c r="Y349" i="24" s="1"/>
  <c r="AB349" i="24"/>
  <c r="O356" i="24"/>
  <c r="AH382" i="24"/>
  <c r="AI413" i="24"/>
  <c r="AB419" i="24"/>
  <c r="AB174" i="24"/>
  <c r="AH178" i="24"/>
  <c r="AB183" i="24"/>
  <c r="Q183" i="24"/>
  <c r="AI187" i="24"/>
  <c r="AA190" i="24"/>
  <c r="AH210" i="24"/>
  <c r="AA220" i="24"/>
  <c r="AB221" i="24"/>
  <c r="Q221" i="24"/>
  <c r="Y221" i="24" s="1"/>
  <c r="AH223" i="24"/>
  <c r="O240" i="24"/>
  <c r="L22" i="10" s="1"/>
  <c r="AA236" i="24"/>
  <c r="AH247" i="24"/>
  <c r="AI275" i="24"/>
  <c r="AH287" i="24"/>
  <c r="AB294" i="24"/>
  <c r="AA300" i="24"/>
  <c r="AB313" i="24"/>
  <c r="AH371" i="24"/>
  <c r="AH378" i="24"/>
  <c r="AI567" i="24"/>
  <c r="Q138" i="24"/>
  <c r="Q159" i="24"/>
  <c r="Y159" i="24" s="1"/>
  <c r="O172" i="24"/>
  <c r="O190" i="24"/>
  <c r="AB207" i="24"/>
  <c r="Q207" i="24"/>
  <c r="AI210" i="24"/>
  <c r="Q214" i="24"/>
  <c r="AH238" i="24"/>
  <c r="AB250" i="24"/>
  <c r="AB254" i="24"/>
  <c r="AI255" i="24"/>
  <c r="AH259" i="24"/>
  <c r="AA277" i="24"/>
  <c r="O277" i="24"/>
  <c r="AB278" i="24"/>
  <c r="AA293" i="24"/>
  <c r="AH298" i="24"/>
  <c r="AA326" i="24"/>
  <c r="AB327" i="24"/>
  <c r="Q353" i="24"/>
  <c r="AI371" i="24"/>
  <c r="AI378" i="24"/>
  <c r="AA380" i="24"/>
  <c r="Q395" i="24"/>
  <c r="Y395" i="24" s="1"/>
  <c r="O135" i="24"/>
  <c r="L20" i="11" s="1"/>
  <c r="Q158" i="24"/>
  <c r="Y158" i="24" s="1"/>
  <c r="AH186" i="24"/>
  <c r="AH202" i="24"/>
  <c r="Q258" i="24"/>
  <c r="Y258" i="24" s="1"/>
  <c r="AB258" i="24"/>
  <c r="AI259" i="24"/>
  <c r="O261" i="24"/>
  <c r="AH305" i="24"/>
  <c r="Q308" i="24"/>
  <c r="Y308" i="24" s="1"/>
  <c r="AI317" i="24"/>
  <c r="O326" i="24"/>
  <c r="AI339" i="24"/>
  <c r="AH342" i="24"/>
  <c r="O380" i="24"/>
  <c r="L30" i="16" s="1"/>
  <c r="AI389" i="24"/>
  <c r="O110" i="24"/>
  <c r="O134" i="24"/>
  <c r="AA156" i="24"/>
  <c r="Q177" i="24"/>
  <c r="AI186" i="24"/>
  <c r="Q199" i="24"/>
  <c r="Y199" i="24" s="1"/>
  <c r="AI228" i="24"/>
  <c r="AH233" i="24"/>
  <c r="AA249" i="24"/>
  <c r="O249" i="24"/>
  <c r="Q281" i="24"/>
  <c r="AH263" i="24"/>
  <c r="AB274" i="24"/>
  <c r="AH282" i="24"/>
  <c r="AB304" i="24"/>
  <c r="AI309" i="24"/>
  <c r="AI324" i="24"/>
  <c r="AB338" i="24"/>
  <c r="AI342" i="24"/>
  <c r="AA344" i="24"/>
  <c r="O344" i="24"/>
  <c r="AH409" i="24"/>
  <c r="AH459" i="24"/>
  <c r="O156" i="24"/>
  <c r="AA180" i="24"/>
  <c r="AH185" i="24"/>
  <c r="O189" i="24"/>
  <c r="AB191" i="24"/>
  <c r="AH209" i="24"/>
  <c r="AA244" i="24"/>
  <c r="AB245" i="24"/>
  <c r="AA252" i="24"/>
  <c r="AB253" i="24"/>
  <c r="AB270" i="24"/>
  <c r="AH271" i="24"/>
  <c r="AI282" i="24"/>
  <c r="Q285" i="24"/>
  <c r="Y285" i="24" s="1"/>
  <c r="AB285" i="24"/>
  <c r="AB316" i="24"/>
  <c r="AI331" i="24"/>
  <c r="AA337" i="24"/>
  <c r="AI367" i="24"/>
  <c r="Q377" i="24"/>
  <c r="Y377" i="24" s="1"/>
  <c r="AA454" i="24"/>
  <c r="AH547" i="24"/>
  <c r="AI177" i="24"/>
  <c r="AB181" i="24"/>
  <c r="AA197" i="24"/>
  <c r="O197" i="24"/>
  <c r="AA204" i="24"/>
  <c r="O212" i="24"/>
  <c r="AA212" i="24"/>
  <c r="Q213" i="24"/>
  <c r="Y213" i="24" s="1"/>
  <c r="AB213" i="24"/>
  <c r="AA219" i="24"/>
  <c r="O219" i="24"/>
  <c r="AA230" i="24"/>
  <c r="Q240" i="24"/>
  <c r="AH250" i="24"/>
  <c r="AH254" i="24"/>
  <c r="AA269" i="24"/>
  <c r="AA273" i="24"/>
  <c r="O273" i="24"/>
  <c r="L35" i="15" s="1"/>
  <c r="AH278" i="24"/>
  <c r="O284" i="24"/>
  <c r="L28" i="18" s="1"/>
  <c r="AA284" i="24"/>
  <c r="AA315" i="24"/>
  <c r="Q348" i="24"/>
  <c r="Y348" i="24" s="1"/>
  <c r="AH353" i="24"/>
  <c r="Q366" i="24"/>
  <c r="AB366" i="24"/>
  <c r="AI459" i="24"/>
  <c r="Q172" i="24"/>
  <c r="Y172" i="24" s="1"/>
  <c r="Q190" i="24"/>
  <c r="Y190" i="24" s="1"/>
  <c r="AI194" i="24"/>
  <c r="AB198" i="24"/>
  <c r="AB205" i="24"/>
  <c r="AB220" i="24"/>
  <c r="Q220" i="24"/>
  <c r="AI221" i="24"/>
  <c r="AB231" i="24"/>
  <c r="AI237" i="24"/>
  <c r="AH258" i="24"/>
  <c r="AA276" i="24"/>
  <c r="AB277" i="24"/>
  <c r="AB293" i="24"/>
  <c r="AA296" i="24"/>
  <c r="AI327" i="24"/>
  <c r="AB341" i="24"/>
  <c r="AH345" i="24"/>
  <c r="AI349" i="24"/>
  <c r="AI395" i="24"/>
  <c r="Q401" i="24"/>
  <c r="AB458" i="24"/>
  <c r="AB199" i="24"/>
  <c r="AI258" i="24"/>
  <c r="Q261" i="24"/>
  <c r="AB261" i="24"/>
  <c r="AH274" i="24"/>
  <c r="AA292" i="24"/>
  <c r="AB300" i="24"/>
  <c r="AH308" i="24"/>
  <c r="AB348" i="24"/>
  <c r="Q359" i="24"/>
  <c r="AH388" i="24"/>
  <c r="AB157" i="24"/>
  <c r="AI163" i="24"/>
  <c r="AA179" i="24"/>
  <c r="AA181" i="24"/>
  <c r="AA224" i="24"/>
  <c r="AH227" i="24"/>
  <c r="AA248" i="24"/>
  <c r="O260" i="24"/>
  <c r="AA260" i="24"/>
  <c r="AA299" i="24"/>
  <c r="O299" i="24"/>
  <c r="AI308" i="24"/>
  <c r="AH316" i="24"/>
  <c r="AI320" i="24"/>
  <c r="AH323" i="24"/>
  <c r="AA340" i="24"/>
  <c r="O340" i="24"/>
  <c r="AB344" i="24"/>
  <c r="AH377" i="24"/>
  <c r="Q387" i="24"/>
  <c r="Y387" i="24" s="1"/>
  <c r="AH162" i="24"/>
  <c r="Q189" i="24"/>
  <c r="Y189" i="24" s="1"/>
  <c r="AA196" i="24"/>
  <c r="AI200" i="24"/>
  <c r="AA203" i="24"/>
  <c r="AA205" i="24"/>
  <c r="AI227" i="24"/>
  <c r="AA310" i="24"/>
  <c r="Q319" i="24"/>
  <c r="Y319" i="24" s="1"/>
  <c r="AI323" i="24"/>
  <c r="AA325" i="24"/>
  <c r="O325" i="24"/>
  <c r="AA343" i="24"/>
  <c r="AH366" i="24"/>
  <c r="AB536" i="24"/>
  <c r="Q536" i="24"/>
  <c r="AB172" i="24"/>
  <c r="AI173" i="24"/>
  <c r="AB197" i="24"/>
  <c r="Q197" i="24"/>
  <c r="AH199" i="24"/>
  <c r="Q212" i="24"/>
  <c r="AA229" i="24"/>
  <c r="O236" i="24"/>
  <c r="AH236" i="24"/>
  <c r="AB244" i="24"/>
  <c r="Q244" i="24"/>
  <c r="Y244" i="24" s="1"/>
  <c r="AI245" i="24"/>
  <c r="AA268" i="24"/>
  <c r="AB269" i="24"/>
  <c r="AH281" i="24"/>
  <c r="Q284" i="24"/>
  <c r="Y284" i="24" s="1"/>
  <c r="AA302" i="24"/>
  <c r="AB303" i="24"/>
  <c r="AB311" i="24"/>
  <c r="AI312" i="24"/>
  <c r="AB315" i="24"/>
  <c r="AA332" i="24"/>
  <c r="AB337" i="24"/>
  <c r="AH341" i="24"/>
  <c r="AH348" i="24"/>
  <c r="AI356" i="24"/>
  <c r="AH408" i="24"/>
  <c r="AI448" i="24"/>
  <c r="AI517" i="24"/>
  <c r="AA166" i="24"/>
  <c r="AB180" i="24"/>
  <c r="AH220" i="24"/>
  <c r="AI236" i="24"/>
  <c r="AA243" i="24"/>
  <c r="AB252" i="24"/>
  <c r="AB280" i="24"/>
  <c r="AI285" i="24"/>
  <c r="AI293" i="24"/>
  <c r="O302" i="24"/>
  <c r="AH330" i="24"/>
  <c r="AA336" i="24"/>
  <c r="AI348" i="24"/>
  <c r="AB355" i="24"/>
  <c r="AB387" i="24"/>
  <c r="Q1359" i="24"/>
  <c r="Y1359" i="24" s="1"/>
  <c r="Q1360" i="24"/>
  <c r="Y1360" i="24" s="1"/>
  <c r="Q1337" i="24"/>
  <c r="Y1337" i="24" s="1"/>
  <c r="Q1313" i="24"/>
  <c r="Y1313" i="24" s="1"/>
  <c r="Q1338" i="24"/>
  <c r="Y1338" i="24" s="1"/>
  <c r="Q1318" i="24"/>
  <c r="Y1318" i="24" s="1"/>
  <c r="AB1126" i="24"/>
  <c r="Q1264" i="24"/>
  <c r="Y1264" i="24" s="1"/>
  <c r="AB1327" i="24"/>
  <c r="Q1316" i="24"/>
  <c r="Y1316" i="24" s="1"/>
  <c r="AB1287" i="24"/>
  <c r="AB1281" i="24"/>
  <c r="AB1154" i="24"/>
  <c r="AB1233" i="24"/>
  <c r="AB1103" i="24"/>
  <c r="AB1085" i="24"/>
  <c r="Q1281" i="24"/>
  <c r="Y1281" i="24" s="1"/>
  <c r="AB1257" i="24"/>
  <c r="AB1171" i="24"/>
  <c r="AB1193" i="24"/>
  <c r="AB1172" i="24"/>
  <c r="Q1227" i="24"/>
  <c r="Y1227" i="24" s="1"/>
  <c r="AB1173" i="24"/>
  <c r="AB1149" i="24"/>
  <c r="Q1329" i="24"/>
  <c r="Y1329" i="24" s="1"/>
  <c r="AB1090" i="24"/>
  <c r="AB1162" i="24"/>
  <c r="AB1106" i="24"/>
  <c r="AB1039" i="24"/>
  <c r="AB1027" i="24"/>
  <c r="AB1012" i="24"/>
  <c r="AB970" i="24"/>
  <c r="AB1128" i="24"/>
  <c r="Q1116" i="24"/>
  <c r="Y1116" i="24" s="1"/>
  <c r="Q969" i="24"/>
  <c r="Y969" i="24" s="1"/>
  <c r="AB1198" i="24"/>
  <c r="AB1032" i="24"/>
  <c r="AB1004" i="24"/>
  <c r="Q975" i="24"/>
  <c r="Y975" i="24" s="1"/>
  <c r="AB852" i="24"/>
  <c r="Q1092" i="24"/>
  <c r="Y1092" i="24" s="1"/>
  <c r="AB985" i="24"/>
  <c r="AB908" i="24"/>
  <c r="Q945" i="24"/>
  <c r="Y945" i="24" s="1"/>
  <c r="Q849" i="24"/>
  <c r="Y849" i="24" s="1"/>
  <c r="AB990" i="24"/>
  <c r="Q1043" i="24"/>
  <c r="Y1043" i="24" s="1"/>
  <c r="Q852" i="24"/>
  <c r="Y852" i="24" s="1"/>
  <c r="AB789" i="24"/>
  <c r="Q951" i="24"/>
  <c r="Y951" i="24" s="1"/>
  <c r="AB942" i="24"/>
  <c r="Q808" i="24"/>
  <c r="Y808" i="24" s="1"/>
  <c r="AB845" i="24"/>
  <c r="AB888" i="24"/>
  <c r="AB756" i="24"/>
  <c r="AB819" i="24"/>
  <c r="AB770" i="24"/>
  <c r="Q823" i="24"/>
  <c r="Y823" i="24" s="1"/>
  <c r="Q714" i="24"/>
  <c r="Y714" i="24" s="1"/>
  <c r="AB868" i="24"/>
  <c r="Q789" i="24"/>
  <c r="Y789" i="24" s="1"/>
  <c r="AB722" i="24"/>
  <c r="AB759" i="24"/>
  <c r="Q922" i="24"/>
  <c r="Y922" i="24" s="1"/>
  <c r="AB1034" i="24"/>
  <c r="AB886" i="24"/>
  <c r="AB752" i="24"/>
  <c r="AB984" i="24"/>
  <c r="Q609" i="24"/>
  <c r="Y609" i="24" s="1"/>
  <c r="Q640" i="24"/>
  <c r="Y640" i="24" s="1"/>
  <c r="AB655" i="24"/>
  <c r="AB631" i="24"/>
  <c r="AB708" i="24"/>
  <c r="AB645" i="24"/>
  <c r="Q642" i="24"/>
  <c r="Y642" i="24" s="1"/>
  <c r="AB558" i="24"/>
  <c r="AB674" i="24"/>
  <c r="AB713" i="24"/>
  <c r="Q630" i="24"/>
  <c r="Y630" i="24" s="1"/>
  <c r="AB590" i="24"/>
  <c r="AB504" i="24"/>
  <c r="AB542" i="24"/>
  <c r="Q666" i="24"/>
  <c r="Y666" i="24" s="1"/>
  <c r="AB459" i="24"/>
  <c r="AB439" i="24"/>
  <c r="AB507" i="24"/>
  <c r="Q656" i="24"/>
  <c r="Y656" i="24" s="1"/>
  <c r="AB480" i="24"/>
  <c r="Q412" i="24"/>
  <c r="Y412" i="24" s="1"/>
  <c r="AB492" i="24"/>
  <c r="Q478" i="24"/>
  <c r="Y478" i="24" s="1"/>
  <c r="AB484" i="24"/>
  <c r="Q534" i="24"/>
  <c r="Y534" i="24" s="1"/>
  <c r="AB521" i="24"/>
  <c r="Q646" i="24"/>
  <c r="Y646" i="24" s="1"/>
  <c r="Q561" i="24"/>
  <c r="Y561" i="24" s="1"/>
  <c r="Q465" i="24"/>
  <c r="Y465" i="24" s="1"/>
  <c r="AB417" i="24"/>
  <c r="Q350" i="24"/>
  <c r="Y350" i="24" s="1"/>
  <c r="AB639" i="24"/>
  <c r="Q409" i="24"/>
  <c r="Y409" i="24" s="1"/>
  <c r="AB320" i="24"/>
  <c r="AB340" i="24"/>
  <c r="AB391" i="24"/>
  <c r="AB454" i="24"/>
  <c r="AB403" i="24"/>
  <c r="Q391" i="24"/>
  <c r="Y391" i="24" s="1"/>
  <c r="AB305" i="24"/>
  <c r="Q297" i="24"/>
  <c r="Y297" i="24" s="1"/>
  <c r="AB330" i="24"/>
  <c r="AB382" i="24"/>
  <c r="AI1345" i="24"/>
  <c r="AI1133" i="24"/>
  <c r="AI1349" i="24"/>
  <c r="AI1350" i="24"/>
  <c r="AI1289" i="24"/>
  <c r="AI1271" i="24"/>
  <c r="AI1171" i="24"/>
  <c r="AI1343" i="24"/>
  <c r="AI1272" i="24"/>
  <c r="AI1354" i="24"/>
  <c r="AI1295" i="24"/>
  <c r="AI1136" i="24"/>
  <c r="AI1029" i="24"/>
  <c r="AI1065" i="24"/>
  <c r="AI1034" i="24"/>
  <c r="AI1049" i="24"/>
  <c r="AI807" i="24"/>
  <c r="AI809" i="24"/>
  <c r="AI761" i="24"/>
  <c r="AI779" i="24"/>
  <c r="AI736" i="24"/>
  <c r="AI710" i="24"/>
  <c r="AI870" i="24"/>
  <c r="AI615" i="24"/>
  <c r="AI783" i="24"/>
  <c r="AI579" i="24"/>
  <c r="AI584" i="24"/>
  <c r="AI668" i="24"/>
  <c r="AI499" i="24"/>
  <c r="AI596" i="24"/>
  <c r="AI525" i="24"/>
  <c r="AI651" i="24"/>
  <c r="AI574" i="24"/>
  <c r="AI405" i="24"/>
  <c r="AI527" i="24"/>
  <c r="AI510" i="24"/>
  <c r="AI458" i="24"/>
  <c r="AI497" i="24"/>
  <c r="AI504" i="24"/>
  <c r="AI281" i="24"/>
  <c r="AI399" i="24"/>
  <c r="AI262" i="24"/>
  <c r="AI289" i="24"/>
  <c r="AI291" i="24"/>
  <c r="O166" i="24"/>
  <c r="Q187" i="24"/>
  <c r="Y187" i="24" s="1"/>
  <c r="AB204" i="24"/>
  <c r="AB212" i="24"/>
  <c r="AI213" i="24"/>
  <c r="AB230" i="24"/>
  <c r="AA251" i="24"/>
  <c r="O251" i="24"/>
  <c r="L34" i="13" s="1"/>
  <c r="AA272" i="24"/>
  <c r="AB284" i="24"/>
  <c r="AI300" i="24"/>
  <c r="AB322" i="24"/>
  <c r="AH326" i="24"/>
  <c r="AI330" i="24"/>
  <c r="AB333" i="24"/>
  <c r="Q347" i="24"/>
  <c r="Y347" i="24" s="1"/>
  <c r="AB347" i="24"/>
  <c r="AA350" i="24"/>
  <c r="AA354" i="24"/>
  <c r="O354" i="24"/>
  <c r="AB365" i="24"/>
  <c r="Q383" i="24"/>
  <c r="AI391" i="24"/>
  <c r="AH394" i="24"/>
  <c r="AI438" i="24"/>
  <c r="AA443" i="24"/>
  <c r="O443" i="24"/>
  <c r="AB496" i="24"/>
  <c r="AH500" i="24"/>
  <c r="Q231" i="24"/>
  <c r="Y231" i="24" s="1"/>
  <c r="Q255" i="24"/>
  <c r="Y255" i="24" s="1"/>
  <c r="Q279" i="24"/>
  <c r="Q303" i="24"/>
  <c r="Y303" i="24" s="1"/>
  <c r="Q327" i="24"/>
  <c r="Y327" i="24" s="1"/>
  <c r="AH352" i="24"/>
  <c r="AA355" i="24"/>
  <c r="Q365" i="24"/>
  <c r="Q375" i="24"/>
  <c r="Y375" i="24" s="1"/>
  <c r="AA379" i="24"/>
  <c r="Q381" i="24"/>
  <c r="Y381" i="24" s="1"/>
  <c r="AA407" i="24"/>
  <c r="AB408" i="24"/>
  <c r="AB412" i="24"/>
  <c r="AH420" i="24"/>
  <c r="Q423" i="24"/>
  <c r="Y423" i="24" s="1"/>
  <c r="AB423" i="24"/>
  <c r="AI431" i="24"/>
  <c r="AA433" i="24"/>
  <c r="AB434" i="24"/>
  <c r="Q441" i="24"/>
  <c r="Y441" i="24" s="1"/>
  <c r="AB462" i="24"/>
  <c r="AA475" i="24"/>
  <c r="AA495" i="24"/>
  <c r="AI500" i="24"/>
  <c r="AH524" i="24"/>
  <c r="AH537" i="24"/>
  <c r="Q566" i="24"/>
  <c r="Y566" i="24" s="1"/>
  <c r="AI570" i="24"/>
  <c r="O686" i="24"/>
  <c r="AA686" i="24"/>
  <c r="Q236" i="24"/>
  <c r="Q253" i="24"/>
  <c r="Y253" i="24" s="1"/>
  <c r="Q277" i="24"/>
  <c r="Y277" i="24" s="1"/>
  <c r="Q301" i="24"/>
  <c r="AA308" i="24"/>
  <c r="Q325" i="24"/>
  <c r="Y325" i="24" s="1"/>
  <c r="Q344" i="24"/>
  <c r="Y344" i="24" s="1"/>
  <c r="Q346" i="24"/>
  <c r="Y346" i="24" s="1"/>
  <c r="Q364" i="24"/>
  <c r="AI376" i="24"/>
  <c r="Q386" i="24"/>
  <c r="Y386" i="24" s="1"/>
  <c r="AI394" i="24"/>
  <c r="Q405" i="24"/>
  <c r="AI400" i="24"/>
  <c r="AA411" i="24"/>
  <c r="AA440" i="24"/>
  <c r="O440" i="24"/>
  <c r="L37" i="16" s="1"/>
  <c r="Q444" i="24"/>
  <c r="Y444" i="24" s="1"/>
  <c r="AH448" i="24"/>
  <c r="AA542" i="24"/>
  <c r="AI586" i="24"/>
  <c r="AB380" i="24"/>
  <c r="AH412" i="24"/>
  <c r="AH423" i="24"/>
  <c r="Q426" i="24"/>
  <c r="Y426" i="24" s="1"/>
  <c r="AB426" i="24"/>
  <c r="AA436" i="24"/>
  <c r="AB437" i="24"/>
  <c r="Q437" i="24"/>
  <c r="Y437" i="24" s="1"/>
  <c r="AH441" i="24"/>
  <c r="AA457" i="24"/>
  <c r="AH462" i="24"/>
  <c r="AI476" i="24"/>
  <c r="AH479" i="24"/>
  <c r="AH489" i="24"/>
  <c r="AA508" i="24"/>
  <c r="AB585" i="24"/>
  <c r="Q632" i="24"/>
  <c r="AI648" i="24"/>
  <c r="AA811" i="24"/>
  <c r="O811" i="24"/>
  <c r="Q322" i="24"/>
  <c r="Y322" i="24" s="1"/>
  <c r="Q341" i="24"/>
  <c r="Y341" i="24" s="1"/>
  <c r="AB356" i="24"/>
  <c r="AI359" i="24"/>
  <c r="Q392" i="24"/>
  <c r="AA406" i="24"/>
  <c r="AI416" i="24"/>
  <c r="AA418" i="24"/>
  <c r="AA425" i="24"/>
  <c r="AI434" i="24"/>
  <c r="Q447" i="24"/>
  <c r="Y447" i="24" s="1"/>
  <c r="AB447" i="24"/>
  <c r="AI479" i="24"/>
  <c r="AA584" i="24"/>
  <c r="AB601" i="24"/>
  <c r="AH605" i="24"/>
  <c r="AH932" i="24"/>
  <c r="AA256" i="24"/>
  <c r="AA280" i="24"/>
  <c r="AA304" i="24"/>
  <c r="AA328" i="24"/>
  <c r="AH367" i="24"/>
  <c r="Q372" i="24"/>
  <c r="AH375" i="24"/>
  <c r="O406" i="24"/>
  <c r="AH430" i="24"/>
  <c r="AH523" i="24"/>
  <c r="AH546" i="24"/>
  <c r="AH677" i="24"/>
  <c r="Q363" i="24"/>
  <c r="Y363" i="24" s="1"/>
  <c r="AA370" i="24"/>
  <c r="O370" i="24"/>
  <c r="AH393" i="24"/>
  <c r="AH399" i="24"/>
  <c r="AB407" i="24"/>
  <c r="AB411" i="24"/>
  <c r="AH419" i="24"/>
  <c r="AB440" i="24"/>
  <c r="AI444" i="24"/>
  <c r="Q450" i="24"/>
  <c r="Y450" i="24" s="1"/>
  <c r="AB450" i="24"/>
  <c r="AH472" i="24"/>
  <c r="Q512" i="24"/>
  <c r="Y512" i="24" s="1"/>
  <c r="AI546" i="24"/>
  <c r="O269" i="24"/>
  <c r="O293" i="24"/>
  <c r="O317" i="24"/>
  <c r="L24" i="14" s="1"/>
  <c r="AA353" i="24"/>
  <c r="AH358" i="24"/>
  <c r="AA361" i="24"/>
  <c r="O361" i="24"/>
  <c r="AA377" i="24"/>
  <c r="AB392" i="24"/>
  <c r="AA401" i="24"/>
  <c r="Q402" i="24"/>
  <c r="Y402" i="24" s="1"/>
  <c r="AB402" i="24"/>
  <c r="AI419" i="24"/>
  <c r="Q429" i="24"/>
  <c r="AH437" i="24"/>
  <c r="Q471" i="24"/>
  <c r="Y471" i="24" s="1"/>
  <c r="AA600" i="24"/>
  <c r="O600" i="24"/>
  <c r="Q354" i="24"/>
  <c r="Y354" i="24" s="1"/>
  <c r="AB354" i="24"/>
  <c r="AB371" i="24"/>
  <c r="Q378" i="24"/>
  <c r="Y378" i="24" s="1"/>
  <c r="AB378" i="24"/>
  <c r="AI386" i="24"/>
  <c r="AI437" i="24"/>
  <c r="AB443" i="24"/>
  <c r="AH447" i="24"/>
  <c r="AA449" i="24"/>
  <c r="Q464" i="24"/>
  <c r="Y464" i="24" s="1"/>
  <c r="AH475" i="24"/>
  <c r="Q491" i="24"/>
  <c r="Y491" i="24" s="1"/>
  <c r="AI621" i="24"/>
  <c r="O243" i="24"/>
  <c r="Q245" i="24"/>
  <c r="O267" i="24"/>
  <c r="Q269" i="24"/>
  <c r="Y269" i="24" s="1"/>
  <c r="O330" i="24"/>
  <c r="Q293" i="24"/>
  <c r="Y293" i="24" s="1"/>
  <c r="O315" i="24"/>
  <c r="Q317" i="24"/>
  <c r="O336" i="24"/>
  <c r="Q361" i="24"/>
  <c r="Y361" i="24" s="1"/>
  <c r="AB372" i="24"/>
  <c r="AA383" i="24"/>
  <c r="Q396" i="24"/>
  <c r="AI403" i="24"/>
  <c r="AH415" i="24"/>
  <c r="AB418" i="24"/>
  <c r="AH433" i="24"/>
  <c r="AB436" i="24"/>
  <c r="AH454" i="24"/>
  <c r="AB457" i="24"/>
  <c r="AI468" i="24"/>
  <c r="AA577" i="24"/>
  <c r="O577" i="24"/>
  <c r="L63" i="11" s="1"/>
  <c r="AI683" i="24"/>
  <c r="Q268" i="24"/>
  <c r="Q343" i="24"/>
  <c r="Q316" i="24"/>
  <c r="Y316" i="24" s="1"/>
  <c r="Q337" i="24"/>
  <c r="AA352" i="24"/>
  <c r="AB362" i="24"/>
  <c r="AB363" i="24"/>
  <c r="AB384" i="24"/>
  <c r="O424" i="24"/>
  <c r="AB425" i="24"/>
  <c r="AA435" i="24"/>
  <c r="AA442" i="24"/>
  <c r="Q453" i="24"/>
  <c r="Y453" i="24" s="1"/>
  <c r="AA456" i="24"/>
  <c r="AA463" i="24"/>
  <c r="AA480" i="24"/>
  <c r="O480" i="24"/>
  <c r="AA490" i="24"/>
  <c r="AI495" i="24"/>
  <c r="Q330" i="24"/>
  <c r="Q315" i="24"/>
  <c r="Y315" i="24" s="1"/>
  <c r="Q336" i="24"/>
  <c r="AI365" i="24"/>
  <c r="AB370" i="24"/>
  <c r="Q370" i="24"/>
  <c r="AH385" i="24"/>
  <c r="AI392" i="24"/>
  <c r="AI407" i="24"/>
  <c r="AB432" i="24"/>
  <c r="AI440" i="24"/>
  <c r="AH461" i="24"/>
  <c r="Q467" i="24"/>
  <c r="Y467" i="24" s="1"/>
  <c r="AB467" i="24"/>
  <c r="AB474" i="24"/>
  <c r="AH478" i="24"/>
  <c r="AI488" i="24"/>
  <c r="AA507" i="24"/>
  <c r="O507" i="24"/>
  <c r="AI532" i="24"/>
  <c r="AI542" i="24"/>
  <c r="Q701" i="24"/>
  <c r="Y701" i="24" s="1"/>
  <c r="AH364" i="24"/>
  <c r="AA388" i="24"/>
  <c r="AA431" i="24"/>
  <c r="AH443" i="24"/>
  <c r="AH498" i="24"/>
  <c r="AH522" i="24"/>
  <c r="O376" i="24"/>
  <c r="AA376" i="24"/>
  <c r="AA382" i="24"/>
  <c r="AH402" i="24"/>
  <c r="AA409" i="24"/>
  <c r="AH418" i="24"/>
  <c r="AH436" i="24"/>
  <c r="AI443" i="24"/>
  <c r="AI464" i="24"/>
  <c r="AA473" i="24"/>
  <c r="AI498" i="24"/>
  <c r="AI522" i="24"/>
  <c r="AA665" i="24"/>
  <c r="O665" i="24"/>
  <c r="AB353" i="24"/>
  <c r="AB377" i="24"/>
  <c r="AA394" i="24"/>
  <c r="O394" i="24"/>
  <c r="AB395" i="24"/>
  <c r="O400" i="24"/>
  <c r="AA400" i="24"/>
  <c r="AB401" i="24"/>
  <c r="AI402" i="24"/>
  <c r="AB410" i="24"/>
  <c r="AI418" i="24"/>
  <c r="AB428" i="24"/>
  <c r="AB449" i="24"/>
  <c r="AI457" i="24"/>
  <c r="AA459" i="24"/>
  <c r="AB460" i="24"/>
  <c r="AB470" i="24"/>
  <c r="AB477" i="24"/>
  <c r="AB497" i="24"/>
  <c r="AH501" i="24"/>
  <c r="Q603" i="24"/>
  <c r="Y603" i="24" s="1"/>
  <c r="AA331" i="24"/>
  <c r="AA359" i="24"/>
  <c r="Q369" i="24"/>
  <c r="Y369" i="24" s="1"/>
  <c r="AA387" i="24"/>
  <c r="AB389" i="24"/>
  <c r="AH391" i="24"/>
  <c r="Q424" i="24"/>
  <c r="AI425" i="24"/>
  <c r="AB435" i="24"/>
  <c r="AB442" i="24"/>
  <c r="Q463" i="24"/>
  <c r="Y463" i="24" s="1"/>
  <c r="AH467" i="24"/>
  <c r="Q490" i="24"/>
  <c r="Y490" i="24" s="1"/>
  <c r="Q554" i="24"/>
  <c r="AH571" i="24"/>
  <c r="O331" i="24"/>
  <c r="L29" i="18" s="1"/>
  <c r="O359" i="24"/>
  <c r="AB383" i="24"/>
  <c r="O387" i="24"/>
  <c r="AH406" i="24"/>
  <c r="AI414" i="24"/>
  <c r="Q417" i="24"/>
  <c r="Y417" i="24" s="1"/>
  <c r="AA496" i="24"/>
  <c r="Q514" i="24"/>
  <c r="Y514" i="24" s="1"/>
  <c r="AH548" i="24"/>
  <c r="AI636" i="24"/>
  <c r="Q675" i="24"/>
  <c r="Y675" i="24" s="1"/>
  <c r="AI717" i="24"/>
  <c r="Q726" i="24"/>
  <c r="AB726" i="24"/>
  <c r="AB360" i="24"/>
  <c r="AI362" i="24"/>
  <c r="AI396" i="24"/>
  <c r="AB413" i="24"/>
  <c r="Q413" i="24"/>
  <c r="Y413" i="24" s="1"/>
  <c r="AI421" i="24"/>
  <c r="AA434" i="24"/>
  <c r="AB452" i="24"/>
  <c r="AI548" i="24"/>
  <c r="AH590" i="24"/>
  <c r="AB369" i="24"/>
  <c r="AH401" i="24"/>
  <c r="AB405" i="24"/>
  <c r="AA412" i="24"/>
  <c r="AB431" i="24"/>
  <c r="AH439" i="24"/>
  <c r="AA462" i="24"/>
  <c r="O462" i="24"/>
  <c r="AH477" i="24"/>
  <c r="AA479" i="24"/>
  <c r="O479" i="24"/>
  <c r="AH497" i="24"/>
  <c r="AH541" i="24"/>
  <c r="AH610" i="24"/>
  <c r="AI353" i="24"/>
  <c r="AH361" i="24"/>
  <c r="AI377" i="24"/>
  <c r="AB388" i="24"/>
  <c r="AB394" i="24"/>
  <c r="Q394" i="24"/>
  <c r="AI401" i="24"/>
  <c r="AI410" i="24"/>
  <c r="Q420" i="24"/>
  <c r="Y420" i="24" s="1"/>
  <c r="AA430" i="24"/>
  <c r="O430" i="24"/>
  <c r="AH442" i="24"/>
  <c r="AI449" i="24"/>
  <c r="AH456" i="24"/>
  <c r="AI460" i="24"/>
  <c r="AH463" i="24"/>
  <c r="AA472" i="24"/>
  <c r="AB473" i="24"/>
  <c r="AH593" i="24"/>
  <c r="AB332" i="24"/>
  <c r="AI338" i="24"/>
  <c r="AH395" i="24"/>
  <c r="AB404" i="24"/>
  <c r="AA419" i="24"/>
  <c r="O419" i="24"/>
  <c r="AI442" i="24"/>
  <c r="AA458" i="24"/>
  <c r="AI463" i="24"/>
  <c r="AI480" i="24"/>
  <c r="AI490" i="24"/>
  <c r="AI534" i="24"/>
  <c r="AB550" i="24"/>
  <c r="Q550" i="24"/>
  <c r="Y550" i="24" s="1"/>
  <c r="Q560" i="24"/>
  <c r="Y560" i="24" s="1"/>
  <c r="Q589" i="24"/>
  <c r="Y589" i="24" s="1"/>
  <c r="AA428" i="24"/>
  <c r="AB429" i="24"/>
  <c r="AA452" i="24"/>
  <c r="AB453" i="24"/>
  <c r="AA470" i="24"/>
  <c r="AB471" i="24"/>
  <c r="AB502" i="24"/>
  <c r="Q515" i="24"/>
  <c r="Y515" i="24" s="1"/>
  <c r="AB515" i="24"/>
  <c r="AB526" i="24"/>
  <c r="Q526" i="24"/>
  <c r="Y526" i="24" s="1"/>
  <c r="AA530" i="24"/>
  <c r="AA534" i="24"/>
  <c r="AI537" i="24"/>
  <c r="Q540" i="24"/>
  <c r="Y540" i="24" s="1"/>
  <c r="AB574" i="24"/>
  <c r="AI582" i="24"/>
  <c r="AI590" i="24"/>
  <c r="AH594" i="24"/>
  <c r="AI610" i="24"/>
  <c r="AB613" i="24"/>
  <c r="AH617" i="24"/>
  <c r="AB620" i="24"/>
  <c r="AI625" i="24"/>
  <c r="AB628" i="24"/>
  <c r="AH632" i="24"/>
  <c r="AA634" i="24"/>
  <c r="AB635" i="24"/>
  <c r="AI652" i="24"/>
  <c r="AH655" i="24"/>
  <c r="AH670" i="24"/>
  <c r="AA672" i="24"/>
  <c r="AB673" i="24"/>
  <c r="Q693" i="24"/>
  <c r="Y693" i="24" s="1"/>
  <c r="AB693" i="24"/>
  <c r="AA403" i="24"/>
  <c r="O418" i="24"/>
  <c r="L34" i="14" s="1"/>
  <c r="AA427" i="24"/>
  <c r="O442" i="24"/>
  <c r="AA451" i="24"/>
  <c r="O463" i="24"/>
  <c r="O490" i="24"/>
  <c r="L53" i="12" s="1"/>
  <c r="AA494" i="24"/>
  <c r="AH495" i="24"/>
  <c r="O530" i="24"/>
  <c r="O534" i="24"/>
  <c r="AA580" i="24"/>
  <c r="AA592" i="24"/>
  <c r="Q597" i="24"/>
  <c r="Y597" i="24" s="1"/>
  <c r="AI617" i="24"/>
  <c r="AA619" i="24"/>
  <c r="O619" i="24"/>
  <c r="AA627" i="24"/>
  <c r="AI632" i="24"/>
  <c r="O634" i="24"/>
  <c r="AA657" i="24"/>
  <c r="O657" i="24"/>
  <c r="Q669" i="24"/>
  <c r="Y669" i="24" s="1"/>
  <c r="AI727" i="24"/>
  <c r="AI803" i="24"/>
  <c r="AI1046" i="24"/>
  <c r="Q418" i="24"/>
  <c r="Y418" i="24" s="1"/>
  <c r="Q442" i="24"/>
  <c r="Y442" i="24" s="1"/>
  <c r="AA484" i="24"/>
  <c r="AA489" i="24"/>
  <c r="AA513" i="24"/>
  <c r="AH516" i="24"/>
  <c r="AB535" i="24"/>
  <c r="AH536" i="24"/>
  <c r="AI541" i="24"/>
  <c r="AA603" i="24"/>
  <c r="Q604" i="24"/>
  <c r="Y604" i="24" s="1"/>
  <c r="AB604" i="24"/>
  <c r="AA630" i="24"/>
  <c r="Q676" i="24"/>
  <c r="Y676" i="24" s="1"/>
  <c r="AH809" i="24"/>
  <c r="AA424" i="24"/>
  <c r="AA448" i="24"/>
  <c r="AA468" i="24"/>
  <c r="AA493" i="24"/>
  <c r="AB501" i="24"/>
  <c r="AH531" i="24"/>
  <c r="AB540" i="24"/>
  <c r="AA556" i="24"/>
  <c r="AI558" i="24"/>
  <c r="AA560" i="24"/>
  <c r="AB561" i="24"/>
  <c r="AI562" i="24"/>
  <c r="Q565" i="24"/>
  <c r="Y565" i="24" s="1"/>
  <c r="Q577" i="24"/>
  <c r="AH585" i="24"/>
  <c r="Q588" i="24"/>
  <c r="Y588" i="24" s="1"/>
  <c r="AI601" i="24"/>
  <c r="Q608" i="24"/>
  <c r="Y608" i="24" s="1"/>
  <c r="AH620" i="24"/>
  <c r="O630" i="24"/>
  <c r="Q654" i="24"/>
  <c r="AH658" i="24"/>
  <c r="Q665" i="24"/>
  <c r="Y665" i="24" s="1"/>
  <c r="AB669" i="24"/>
  <c r="Q686" i="24"/>
  <c r="Y686" i="24" s="1"/>
  <c r="Q736" i="24"/>
  <c r="AB1038" i="24"/>
  <c r="Q416" i="24"/>
  <c r="Q440" i="24"/>
  <c r="Y440" i="24" s="1"/>
  <c r="Q462" i="24"/>
  <c r="Y462" i="24" s="1"/>
  <c r="AA478" i="24"/>
  <c r="O478" i="24"/>
  <c r="Q480" i="24"/>
  <c r="Y480" i="24" s="1"/>
  <c r="AI485" i="24"/>
  <c r="AH494" i="24"/>
  <c r="AB514" i="24"/>
  <c r="AB525" i="24"/>
  <c r="Q510" i="24"/>
  <c r="AA533" i="24"/>
  <c r="Q539" i="24"/>
  <c r="Y539" i="24" s="1"/>
  <c r="AB539" i="24"/>
  <c r="AB549" i="24"/>
  <c r="Q549" i="24"/>
  <c r="Y549" i="24" s="1"/>
  <c r="Q553" i="24"/>
  <c r="Y553" i="24" s="1"/>
  <c r="AH566" i="24"/>
  <c r="AH581" i="24"/>
  <c r="AI585" i="24"/>
  <c r="AH589" i="24"/>
  <c r="AA599" i="24"/>
  <c r="AH609" i="24"/>
  <c r="AI613" i="24"/>
  <c r="Q623" i="24"/>
  <c r="Y623" i="24" s="1"/>
  <c r="AH624" i="24"/>
  <c r="AI628" i="24"/>
  <c r="Q638" i="24"/>
  <c r="Y638" i="24" s="1"/>
  <c r="AH651" i="24"/>
  <c r="AI658" i="24"/>
  <c r="AA934" i="24"/>
  <c r="O934" i="24"/>
  <c r="AA422" i="24"/>
  <c r="AA446" i="24"/>
  <c r="AA466" i="24"/>
  <c r="AA482" i="24"/>
  <c r="AA488" i="24"/>
  <c r="AI494" i="24"/>
  <c r="Q530" i="24"/>
  <c r="AI566" i="24"/>
  <c r="AI581" i="24"/>
  <c r="AA583" i="24"/>
  <c r="AB584" i="24"/>
  <c r="AI589" i="24"/>
  <c r="AI609" i="24"/>
  <c r="AI624" i="24"/>
  <c r="AH631" i="24"/>
  <c r="AI639" i="24"/>
  <c r="AH753" i="24"/>
  <c r="AA755" i="24"/>
  <c r="AA966" i="24"/>
  <c r="O412" i="24"/>
  <c r="AB463" i="24"/>
  <c r="AI469" i="24"/>
  <c r="AH484" i="24"/>
  <c r="AB490" i="24"/>
  <c r="AI509" i="24"/>
  <c r="AA512" i="24"/>
  <c r="Q519" i="24"/>
  <c r="Y519" i="24" s="1"/>
  <c r="AI521" i="24"/>
  <c r="AH540" i="24"/>
  <c r="AA553" i="24"/>
  <c r="AB573" i="24"/>
  <c r="AB612" i="24"/>
  <c r="AH616" i="24"/>
  <c r="AA618" i="24"/>
  <c r="AA626" i="24"/>
  <c r="AA633" i="24"/>
  <c r="O633" i="24"/>
  <c r="AB634" i="24"/>
  <c r="AA656" i="24"/>
  <c r="Q710" i="24"/>
  <c r="Q792" i="24"/>
  <c r="O411" i="24"/>
  <c r="O435" i="24"/>
  <c r="AH468" i="24"/>
  <c r="AB479" i="24"/>
  <c r="Q479" i="24"/>
  <c r="Y479" i="24" s="1"/>
  <c r="AH493" i="24"/>
  <c r="Q500" i="24"/>
  <c r="Y500" i="24" s="1"/>
  <c r="AI545" i="24"/>
  <c r="AA579" i="24"/>
  <c r="AB596" i="24"/>
  <c r="AH716" i="24"/>
  <c r="AH756" i="24"/>
  <c r="AI786" i="24"/>
  <c r="AI893" i="24"/>
  <c r="Q931" i="24"/>
  <c r="Y931" i="24" s="1"/>
  <c r="Q477" i="24"/>
  <c r="Y477" i="24" s="1"/>
  <c r="AI493" i="24"/>
  <c r="O496" i="24"/>
  <c r="Q525" i="24"/>
  <c r="AH557" i="24"/>
  <c r="AH561" i="24"/>
  <c r="O596" i="24"/>
  <c r="AH600" i="24"/>
  <c r="Q607" i="24"/>
  <c r="Y607" i="24" s="1"/>
  <c r="AI654" i="24"/>
  <c r="AI665" i="24"/>
  <c r="AB682" i="24"/>
  <c r="Q682" i="24"/>
  <c r="Y682" i="24" s="1"/>
  <c r="AH729" i="24"/>
  <c r="AI906" i="24"/>
  <c r="O409" i="24"/>
  <c r="Q411" i="24"/>
  <c r="Y411" i="24" s="1"/>
  <c r="O433" i="24"/>
  <c r="Q435" i="24"/>
  <c r="Y435" i="24" s="1"/>
  <c r="O456" i="24"/>
  <c r="Q499" i="24"/>
  <c r="O475" i="24"/>
  <c r="AA487" i="24"/>
  <c r="AB489" i="24"/>
  <c r="AB500" i="24"/>
  <c r="AH508" i="24"/>
  <c r="AB513" i="24"/>
  <c r="AH520" i="24"/>
  <c r="AA523" i="24"/>
  <c r="O542" i="24"/>
  <c r="AA547" i="24"/>
  <c r="AI557" i="24"/>
  <c r="AA559" i="24"/>
  <c r="AI561" i="24"/>
  <c r="Q564" i="24"/>
  <c r="Y564" i="24" s="1"/>
  <c r="AH584" i="24"/>
  <c r="Q587" i="24"/>
  <c r="AI600" i="24"/>
  <c r="AA602" i="24"/>
  <c r="AB603" i="24"/>
  <c r="AH608" i="24"/>
  <c r="AH623" i="24"/>
  <c r="AH638" i="24"/>
  <c r="AB660" i="24"/>
  <c r="Q660" i="24"/>
  <c r="Y660" i="24" s="1"/>
  <c r="AH661" i="24"/>
  <c r="AH672" i="24"/>
  <c r="AB675" i="24"/>
  <c r="AH719" i="24"/>
  <c r="Q410" i="24"/>
  <c r="Y410" i="24" s="1"/>
  <c r="Q434" i="24"/>
  <c r="Q497" i="24"/>
  <c r="Q476" i="24"/>
  <c r="AH492" i="24"/>
  <c r="Q496" i="24"/>
  <c r="Y496" i="24" s="1"/>
  <c r="Q506" i="24"/>
  <c r="AI508" i="24"/>
  <c r="AA511" i="24"/>
  <c r="AI514" i="24"/>
  <c r="Q518" i="24"/>
  <c r="AI520" i="24"/>
  <c r="AB524" i="24"/>
  <c r="Q524" i="24"/>
  <c r="Y524" i="24" s="1"/>
  <c r="Q529" i="24"/>
  <c r="Y529" i="24" s="1"/>
  <c r="AA532" i="24"/>
  <c r="AA537" i="24"/>
  <c r="Q579" i="24"/>
  <c r="AB548" i="24"/>
  <c r="AA555" i="24"/>
  <c r="AB560" i="24"/>
  <c r="AH565" i="24"/>
  <c r="AH588" i="24"/>
  <c r="AI608" i="24"/>
  <c r="AH612" i="24"/>
  <c r="AI623" i="24"/>
  <c r="AH627" i="24"/>
  <c r="AI638" i="24"/>
  <c r="AA644" i="24"/>
  <c r="Q649" i="24"/>
  <c r="AB653" i="24"/>
  <c r="AI661" i="24"/>
  <c r="AH679" i="24"/>
  <c r="AI719" i="24"/>
  <c r="AH749" i="24"/>
  <c r="Q863" i="24"/>
  <c r="Y863" i="24" s="1"/>
  <c r="AA486" i="24"/>
  <c r="Q538" i="24"/>
  <c r="Y538" i="24" s="1"/>
  <c r="AB538" i="24"/>
  <c r="AH544" i="24"/>
  <c r="AI565" i="24"/>
  <c r="AI569" i="24"/>
  <c r="AI573" i="24"/>
  <c r="Q576" i="24"/>
  <c r="Y576" i="24" s="1"/>
  <c r="AH580" i="24"/>
  <c r="AA582" i="24"/>
  <c r="AB583" i="24"/>
  <c r="AI588" i="24"/>
  <c r="AA598" i="24"/>
  <c r="O644" i="24"/>
  <c r="Q664" i="24"/>
  <c r="Y664" i="24" s="1"/>
  <c r="AI679" i="24"/>
  <c r="AH742" i="24"/>
  <c r="AI873" i="24"/>
  <c r="AA881" i="24"/>
  <c r="AB488" i="24"/>
  <c r="AI544" i="24"/>
  <c r="Q552" i="24"/>
  <c r="AA571" i="24"/>
  <c r="AI580" i="24"/>
  <c r="O582" i="24"/>
  <c r="AB595" i="24"/>
  <c r="AA632" i="24"/>
  <c r="AA652" i="24"/>
  <c r="Q671" i="24"/>
  <c r="AB705" i="24"/>
  <c r="Q705" i="24"/>
  <c r="Y705" i="24" s="1"/>
  <c r="AH879" i="24"/>
  <c r="Q505" i="24"/>
  <c r="Y505" i="24" s="1"/>
  <c r="AA510" i="24"/>
  <c r="AB512" i="24"/>
  <c r="AH519" i="24"/>
  <c r="AA522" i="24"/>
  <c r="O522" i="24"/>
  <c r="AB572" i="24"/>
  <c r="Q606" i="24"/>
  <c r="Y606" i="24" s="1"/>
  <c r="AA617" i="24"/>
  <c r="AH682" i="24"/>
  <c r="Q741" i="24"/>
  <c r="Y741" i="24" s="1"/>
  <c r="AB741" i="24"/>
  <c r="AB506" i="24"/>
  <c r="AH507" i="24"/>
  <c r="O567" i="24"/>
  <c r="L46" i="10" s="1"/>
  <c r="AH513" i="24"/>
  <c r="Q517" i="24"/>
  <c r="Y517" i="24" s="1"/>
  <c r="AB518" i="24"/>
  <c r="AI519" i="24"/>
  <c r="Q542" i="24"/>
  <c r="AA546" i="24"/>
  <c r="AH556" i="24"/>
  <c r="AH560" i="24"/>
  <c r="Q563" i="24"/>
  <c r="Y563" i="24" s="1"/>
  <c r="AA578" i="24"/>
  <c r="AH607" i="24"/>
  <c r="O617" i="24"/>
  <c r="Q648" i="24"/>
  <c r="Y648" i="24" s="1"/>
  <c r="O655" i="24"/>
  <c r="AA655" i="24"/>
  <c r="AA666" i="24"/>
  <c r="O666" i="24"/>
  <c r="Q678" i="24"/>
  <c r="Y678" i="24" s="1"/>
  <c r="AA690" i="24"/>
  <c r="AA704" i="24"/>
  <c r="O704" i="24"/>
  <c r="AA740" i="24"/>
  <c r="Q543" i="24"/>
  <c r="AI513" i="24"/>
  <c r="Q528" i="24"/>
  <c r="Y528" i="24" s="1"/>
  <c r="AA536" i="24"/>
  <c r="AI556" i="24"/>
  <c r="AA558" i="24"/>
  <c r="AH564" i="24"/>
  <c r="AH599" i="24"/>
  <c r="AA601" i="24"/>
  <c r="AB602" i="24"/>
  <c r="AI607" i="24"/>
  <c r="AH622" i="24"/>
  <c r="AH660" i="24"/>
  <c r="AH664" i="24"/>
  <c r="AH688" i="24"/>
  <c r="Q711" i="24"/>
  <c r="Y711" i="24" s="1"/>
  <c r="AH715" i="24"/>
  <c r="Q751" i="24"/>
  <c r="Y751" i="24" s="1"/>
  <c r="Q455" i="24"/>
  <c r="AB487" i="24"/>
  <c r="AB505" i="24"/>
  <c r="AI533" i="24"/>
  <c r="AH543" i="24"/>
  <c r="AA554" i="24"/>
  <c r="O558" i="24"/>
  <c r="AB559" i="24"/>
  <c r="Q584" i="24"/>
  <c r="AH568" i="24"/>
  <c r="Q586" i="24"/>
  <c r="Y586" i="24" s="1"/>
  <c r="AB586" i="24"/>
  <c r="AI599" i="24"/>
  <c r="O601" i="24"/>
  <c r="L52" i="16" s="1"/>
  <c r="AB621" i="24"/>
  <c r="AI622" i="24"/>
  <c r="AB636" i="24"/>
  <c r="AH641" i="24"/>
  <c r="Q659" i="24"/>
  <c r="Y659" i="24" s="1"/>
  <c r="AB659" i="24"/>
  <c r="AI660" i="24"/>
  <c r="Q681" i="24"/>
  <c r="Y681" i="24" s="1"/>
  <c r="AB681" i="24"/>
  <c r="AI702" i="24"/>
  <c r="AI738" i="24"/>
  <c r="AA780" i="24"/>
  <c r="Q495" i="24"/>
  <c r="Y495" i="24" s="1"/>
  <c r="AA502" i="24"/>
  <c r="AB511" i="24"/>
  <c r="AH518" i="24"/>
  <c r="AA531" i="24"/>
  <c r="AB537" i="24"/>
  <c r="AI538" i="24"/>
  <c r="AI543" i="24"/>
  <c r="AA550" i="24"/>
  <c r="AI568" i="24"/>
  <c r="AH572" i="24"/>
  <c r="AH579" i="24"/>
  <c r="AI591" i="24"/>
  <c r="Q598" i="24"/>
  <c r="Y598" i="24" s="1"/>
  <c r="AB606" i="24"/>
  <c r="AH618" i="24"/>
  <c r="AA620" i="24"/>
  <c r="AI633" i="24"/>
  <c r="AI641" i="24"/>
  <c r="AA643" i="24"/>
  <c r="AI649" i="24"/>
  <c r="AH656" i="24"/>
  <c r="O680" i="24"/>
  <c r="AA680" i="24"/>
  <c r="AB701" i="24"/>
  <c r="AH731" i="24"/>
  <c r="AH778" i="24"/>
  <c r="AB839" i="24"/>
  <c r="Q839" i="24"/>
  <c r="AI846" i="24"/>
  <c r="AH849" i="24"/>
  <c r="AA504" i="24"/>
  <c r="AH512" i="24"/>
  <c r="AB517" i="24"/>
  <c r="AI518" i="24"/>
  <c r="AA526" i="24"/>
  <c r="O531" i="24"/>
  <c r="Q541" i="24"/>
  <c r="Y541" i="24" s="1"/>
  <c r="AB551" i="24"/>
  <c r="AA570" i="24"/>
  <c r="AA574" i="24"/>
  <c r="AB575" i="24"/>
  <c r="AA581" i="24"/>
  <c r="O581" i="24"/>
  <c r="AA593" i="24"/>
  <c r="AA613" i="24"/>
  <c r="AI618" i="24"/>
  <c r="AA628" i="24"/>
  <c r="AI656" i="24"/>
  <c r="AH667" i="24"/>
  <c r="Q697" i="24"/>
  <c r="Y697" i="24" s="1"/>
  <c r="AB737" i="24"/>
  <c r="Q737" i="24"/>
  <c r="Q502" i="24"/>
  <c r="Y502" i="24" s="1"/>
  <c r="AB503" i="24"/>
  <c r="Q503" i="24"/>
  <c r="Q516" i="24"/>
  <c r="Y516" i="24" s="1"/>
  <c r="AB527" i="24"/>
  <c r="AA535" i="24"/>
  <c r="Q605" i="24"/>
  <c r="Y605" i="24" s="1"/>
  <c r="AA631" i="24"/>
  <c r="AB632" i="24"/>
  <c r="AI667" i="24"/>
  <c r="Q684" i="24"/>
  <c r="Y684" i="24" s="1"/>
  <c r="Q687" i="24"/>
  <c r="Y687" i="24" s="1"/>
  <c r="AB687" i="24"/>
  <c r="AH771" i="24"/>
  <c r="AB455" i="24"/>
  <c r="AH555" i="24"/>
  <c r="Q578" i="24"/>
  <c r="AH606" i="24"/>
  <c r="AA616" i="24"/>
  <c r="O631" i="24"/>
  <c r="L56" i="16" s="1"/>
  <c r="AB495" i="24"/>
  <c r="AH517" i="24"/>
  <c r="AH532" i="24"/>
  <c r="AA541" i="24"/>
  <c r="AH542" i="24"/>
  <c r="AA557" i="24"/>
  <c r="Q562" i="24"/>
  <c r="Y562" i="24" s="1"/>
  <c r="AB562" i="24"/>
  <c r="AH567" i="24"/>
  <c r="AH598" i="24"/>
  <c r="AI606" i="24"/>
  <c r="AH636" i="24"/>
  <c r="AA646" i="24"/>
  <c r="AB647" i="24"/>
  <c r="Q647" i="24"/>
  <c r="AH648" i="24"/>
  <c r="AB677" i="24"/>
  <c r="AI917" i="24"/>
  <c r="AA607" i="24"/>
  <c r="AB622" i="24"/>
  <c r="AA645" i="24"/>
  <c r="AI677" i="24"/>
  <c r="AH683" i="24"/>
  <c r="AH710" i="24"/>
  <c r="Q734" i="24"/>
  <c r="Y734" i="24" s="1"/>
  <c r="Q745" i="24"/>
  <c r="Y745" i="24" s="1"/>
  <c r="AA748" i="24"/>
  <c r="O748" i="24"/>
  <c r="AI757" i="24"/>
  <c r="AA766" i="24"/>
  <c r="O766" i="24"/>
  <c r="L67" i="15" s="1"/>
  <c r="AB812" i="24"/>
  <c r="Q812" i="24"/>
  <c r="Y812" i="24" s="1"/>
  <c r="AA838" i="24"/>
  <c r="AH873" i="24"/>
  <c r="AB882" i="24"/>
  <c r="Q882" i="24"/>
  <c r="Y882" i="24" s="1"/>
  <c r="AI932" i="24"/>
  <c r="AH1049" i="24"/>
  <c r="AB563" i="24"/>
  <c r="AB587" i="24"/>
  <c r="AA597" i="24"/>
  <c r="AA675" i="24"/>
  <c r="AB696" i="24"/>
  <c r="Q696" i="24"/>
  <c r="Y696" i="24" s="1"/>
  <c r="AH718" i="24"/>
  <c r="AH726" i="24"/>
  <c r="AH734" i="24"/>
  <c r="AI778" i="24"/>
  <c r="Q908" i="24"/>
  <c r="Y908" i="24" s="1"/>
  <c r="AA561" i="24"/>
  <c r="AA585" i="24"/>
  <c r="O597" i="24"/>
  <c r="AB646" i="24"/>
  <c r="Q657" i="24"/>
  <c r="Y657" i="24" s="1"/>
  <c r="AA664" i="24"/>
  <c r="AH676" i="24"/>
  <c r="AA695" i="24"/>
  <c r="Q721" i="24"/>
  <c r="Y721" i="24" s="1"/>
  <c r="AI722" i="24"/>
  <c r="AI734" i="24"/>
  <c r="Q791" i="24"/>
  <c r="Y791" i="24" s="1"/>
  <c r="AI832" i="24"/>
  <c r="AH892" i="24"/>
  <c r="AH1035" i="24"/>
  <c r="O664" i="24"/>
  <c r="AA674" i="24"/>
  <c r="AI676" i="24"/>
  <c r="AA689" i="24"/>
  <c r="AI714" i="24"/>
  <c r="AB744" i="24"/>
  <c r="AA758" i="24"/>
  <c r="O758" i="24"/>
  <c r="AH825" i="24"/>
  <c r="Q831" i="24"/>
  <c r="Y831" i="24" s="1"/>
  <c r="Q838" i="24"/>
  <c r="Y838" i="24" s="1"/>
  <c r="Q862" i="24"/>
  <c r="AI928" i="24"/>
  <c r="O502" i="24"/>
  <c r="L37" i="17" s="1"/>
  <c r="O526" i="24"/>
  <c r="O550" i="24"/>
  <c r="O585" i="24"/>
  <c r="AA671" i="24"/>
  <c r="O736" i="24"/>
  <c r="AH701" i="24"/>
  <c r="AI705" i="24"/>
  <c r="AH741" i="24"/>
  <c r="AI756" i="24"/>
  <c r="AI774" i="24"/>
  <c r="AI781" i="24"/>
  <c r="AI825" i="24"/>
  <c r="AH905" i="24"/>
  <c r="Q574" i="24"/>
  <c r="Q551" i="24"/>
  <c r="Y551" i="24" s="1"/>
  <c r="Q575" i="24"/>
  <c r="Y575" i="24" s="1"/>
  <c r="Q651" i="24"/>
  <c r="O613" i="24"/>
  <c r="L44" i="14" s="1"/>
  <c r="O628" i="24"/>
  <c r="AI647" i="24"/>
  <c r="Q653" i="24"/>
  <c r="Y653" i="24" s="1"/>
  <c r="AB657" i="24"/>
  <c r="O671" i="24"/>
  <c r="AB672" i="24"/>
  <c r="Q717" i="24"/>
  <c r="AH675" i="24"/>
  <c r="Q679" i="24"/>
  <c r="Y679" i="24" s="1"/>
  <c r="AI701" i="24"/>
  <c r="Q740" i="24"/>
  <c r="Y740" i="24" s="1"/>
  <c r="AA743" i="24"/>
  <c r="Q762" i="24"/>
  <c r="Y762" i="24" s="1"/>
  <c r="AI798" i="24"/>
  <c r="Q914" i="24"/>
  <c r="AB865" i="24"/>
  <c r="AH869" i="24"/>
  <c r="AH872" i="24"/>
  <c r="AI905" i="24"/>
  <c r="AB927" i="24"/>
  <c r="Q585" i="24"/>
  <c r="AB598" i="24"/>
  <c r="AI604" i="24"/>
  <c r="AI686" i="24"/>
  <c r="AH721" i="24"/>
  <c r="AB736" i="24"/>
  <c r="AH845" i="24"/>
  <c r="AI872" i="24"/>
  <c r="AI875" i="24"/>
  <c r="Q573" i="24"/>
  <c r="Y573" i="24" s="1"/>
  <c r="Q595" i="24"/>
  <c r="Y595" i="24" s="1"/>
  <c r="AH603" i="24"/>
  <c r="Q613" i="24"/>
  <c r="Q667" i="24"/>
  <c r="Y615" i="24" s="1"/>
  <c r="Q628" i="24"/>
  <c r="Y628" i="24" s="1"/>
  <c r="AH646" i="24"/>
  <c r="AB665" i="24"/>
  <c r="AI696" i="24"/>
  <c r="AA699" i="24"/>
  <c r="Q700" i="24"/>
  <c r="Y700" i="24" s="1"/>
  <c r="AB716" i="24"/>
  <c r="AH733" i="24"/>
  <c r="AB751" i="24"/>
  <c r="AH777" i="24"/>
  <c r="AA779" i="24"/>
  <c r="O845" i="24"/>
  <c r="AI845" i="24"/>
  <c r="AH848" i="24"/>
  <c r="Q884" i="24"/>
  <c r="Y884" i="24" s="1"/>
  <c r="O546" i="24"/>
  <c r="Q548" i="24"/>
  <c r="Y548" i="24" s="1"/>
  <c r="O570" i="24"/>
  <c r="Q572" i="24"/>
  <c r="O592" i="24"/>
  <c r="Q612" i="24"/>
  <c r="O626" i="24"/>
  <c r="AA640" i="24"/>
  <c r="AA688" i="24"/>
  <c r="AA694" i="24"/>
  <c r="O694" i="24"/>
  <c r="AB695" i="24"/>
  <c r="O723" i="24"/>
  <c r="L56" i="17" s="1"/>
  <c r="AA723" i="24"/>
  <c r="AA735" i="24"/>
  <c r="O735" i="24"/>
  <c r="AI744" i="24"/>
  <c r="AI748" i="24"/>
  <c r="AB758" i="24"/>
  <c r="Q769" i="24"/>
  <c r="Y769" i="24" s="1"/>
  <c r="AI777" i="24"/>
  <c r="AA796" i="24"/>
  <c r="AH801" i="24"/>
  <c r="Q817" i="24"/>
  <c r="Y817" i="24" s="1"/>
  <c r="AB817" i="24"/>
  <c r="AH821" i="24"/>
  <c r="AB827" i="24"/>
  <c r="Q827" i="24"/>
  <c r="Y827" i="24" s="1"/>
  <c r="AI862" i="24"/>
  <c r="AI888" i="24"/>
  <c r="AH963" i="24"/>
  <c r="AI1012" i="24"/>
  <c r="Q1018" i="24"/>
  <c r="Y1018" i="24" s="1"/>
  <c r="AB1018" i="24"/>
  <c r="AI1110" i="24"/>
  <c r="Q614" i="24"/>
  <c r="Y614" i="24" s="1"/>
  <c r="AA670" i="24"/>
  <c r="AA677" i="24"/>
  <c r="O677" i="24"/>
  <c r="L50" i="14" s="1"/>
  <c r="O688" i="24"/>
  <c r="AA710" i="24"/>
  <c r="AA715" i="24"/>
  <c r="AB720" i="24"/>
  <c r="AH755" i="24"/>
  <c r="Q790" i="24"/>
  <c r="O796" i="24"/>
  <c r="AB920" i="24"/>
  <c r="AI666" i="24"/>
  <c r="AB678" i="24"/>
  <c r="AB689" i="24"/>
  <c r="AH704" i="24"/>
  <c r="AA706" i="24"/>
  <c r="AH708" i="24"/>
  <c r="AB711" i="24"/>
  <c r="AB732" i="24"/>
  <c r="AB747" i="24"/>
  <c r="AH762" i="24"/>
  <c r="AH824" i="24"/>
  <c r="AA826" i="24"/>
  <c r="AA1105" i="24"/>
  <c r="Q663" i="24"/>
  <c r="Y663" i="24" s="1"/>
  <c r="AB671" i="24"/>
  <c r="AB684" i="24"/>
  <c r="AH700" i="24"/>
  <c r="AI704" i="24"/>
  <c r="AI708" i="24"/>
  <c r="AI712" i="24"/>
  <c r="AA731" i="24"/>
  <c r="Q743" i="24"/>
  <c r="Y743" i="24" s="1"/>
  <c r="AA753" i="24"/>
  <c r="AI762" i="24"/>
  <c r="AA764" i="24"/>
  <c r="AI780" i="24"/>
  <c r="Q1030" i="24"/>
  <c r="Q652" i="24"/>
  <c r="Y652" i="24" s="1"/>
  <c r="AH665" i="24"/>
  <c r="AA669" i="24"/>
  <c r="AI672" i="24"/>
  <c r="AH685" i="24"/>
  <c r="AI690" i="24"/>
  <c r="AA693" i="24"/>
  <c r="AA698" i="24"/>
  <c r="O698" i="24"/>
  <c r="AI700" i="24"/>
  <c r="Q703" i="24"/>
  <c r="Y703" i="24" s="1"/>
  <c r="AH751" i="24"/>
  <c r="Q754" i="24"/>
  <c r="Y754" i="24" s="1"/>
  <c r="AH769" i="24"/>
  <c r="AB772" i="24"/>
  <c r="AB857" i="24"/>
  <c r="AI901" i="24"/>
  <c r="AA919" i="24"/>
  <c r="O919" i="24"/>
  <c r="L80" i="15" s="1"/>
  <c r="AI992" i="24"/>
  <c r="AB614" i="24"/>
  <c r="AB641" i="24"/>
  <c r="O669" i="24"/>
  <c r="L48" i="17" s="1"/>
  <c r="AA682" i="24"/>
  <c r="AI685" i="24"/>
  <c r="AB694" i="24"/>
  <c r="Q694" i="24"/>
  <c r="AH695" i="24"/>
  <c r="AB699" i="24"/>
  <c r="AI716" i="24"/>
  <c r="AB723" i="24"/>
  <c r="Q723" i="24"/>
  <c r="Y723" i="24" s="1"/>
  <c r="AA726" i="24"/>
  <c r="Q727" i="24"/>
  <c r="Y727" i="24" s="1"/>
  <c r="AB727" i="24"/>
  <c r="AI728" i="24"/>
  <c r="AB750" i="24"/>
  <c r="AI751" i="24"/>
  <c r="AI769" i="24"/>
  <c r="AB803" i="24"/>
  <c r="Q803" i="24"/>
  <c r="Y803" i="24" s="1"/>
  <c r="AA856" i="24"/>
  <c r="AH871" i="24"/>
  <c r="AH874" i="24"/>
  <c r="Q916" i="24"/>
  <c r="Y916" i="24" s="1"/>
  <c r="AA622" i="24"/>
  <c r="Q662" i="24"/>
  <c r="AB663" i="24"/>
  <c r="O682" i="24"/>
  <c r="Q688" i="24"/>
  <c r="Y688" i="24" s="1"/>
  <c r="AI695" i="24"/>
  <c r="AB715" i="24"/>
  <c r="AI720" i="24"/>
  <c r="AI724" i="24"/>
  <c r="AH747" i="24"/>
  <c r="AB754" i="24"/>
  <c r="AH847" i="24"/>
  <c r="O856" i="24"/>
  <c r="L70" i="16" s="1"/>
  <c r="AI874" i="24"/>
  <c r="Q900" i="24"/>
  <c r="Y900" i="24" s="1"/>
  <c r="AB900" i="24"/>
  <c r="Q942" i="24"/>
  <c r="Y942" i="24" s="1"/>
  <c r="AA612" i="24"/>
  <c r="AB670" i="24"/>
  <c r="Q670" i="24"/>
  <c r="AH689" i="24"/>
  <c r="Q725" i="24"/>
  <c r="AH711" i="24"/>
  <c r="Q719" i="24"/>
  <c r="Y719" i="24" s="1"/>
  <c r="AI732" i="24"/>
  <c r="AH743" i="24"/>
  <c r="Q768" i="24"/>
  <c r="Y768" i="24" s="1"/>
  <c r="AB768" i="24"/>
  <c r="AH776" i="24"/>
  <c r="AA785" i="24"/>
  <c r="O785" i="24"/>
  <c r="AA802" i="24"/>
  <c r="AB853" i="24"/>
  <c r="AH988" i="24"/>
  <c r="Q590" i="24"/>
  <c r="AA621" i="24"/>
  <c r="AI629" i="24"/>
  <c r="Q639" i="24"/>
  <c r="Y639" i="24" s="1"/>
  <c r="AB652" i="24"/>
  <c r="AH671" i="24"/>
  <c r="AH684" i="24"/>
  <c r="AI689" i="24"/>
  <c r="AH703" i="24"/>
  <c r="AB706" i="24"/>
  <c r="Q706" i="24"/>
  <c r="Y706" i="24" s="1"/>
  <c r="AH707" i="24"/>
  <c r="AI711" i="24"/>
  <c r="AA718" i="24"/>
  <c r="O718" i="24"/>
  <c r="AB731" i="24"/>
  <c r="AB816" i="24"/>
  <c r="AH850" i="24"/>
  <c r="AH890" i="24"/>
  <c r="AA941" i="24"/>
  <c r="O941" i="24"/>
  <c r="AI988" i="24"/>
  <c r="O621" i="24"/>
  <c r="L45" i="17" s="1"/>
  <c r="Q622" i="24"/>
  <c r="AI653" i="24"/>
  <c r="AI671" i="24"/>
  <c r="AI678" i="24"/>
  <c r="AA681" i="24"/>
  <c r="AI684" i="24"/>
  <c r="AH699" i="24"/>
  <c r="AA705" i="24"/>
  <c r="O709" i="24"/>
  <c r="AA709" i="24"/>
  <c r="AA730" i="24"/>
  <c r="AA737" i="24"/>
  <c r="AB738" i="24"/>
  <c r="AA741" i="24"/>
  <c r="AH754" i="24"/>
  <c r="Q764" i="24"/>
  <c r="O781" i="24"/>
  <c r="L58" i="17" s="1"/>
  <c r="AA781" i="24"/>
  <c r="AH813" i="24"/>
  <c r="AB623" i="24"/>
  <c r="AH628" i="24"/>
  <c r="AI642" i="24"/>
  <c r="AH694" i="24"/>
  <c r="AA701" i="24"/>
  <c r="O701" i="24"/>
  <c r="AB702" i="24"/>
  <c r="AH727" i="24"/>
  <c r="AI735" i="24"/>
  <c r="AH840" i="24"/>
  <c r="AH883" i="24"/>
  <c r="AA990" i="24"/>
  <c r="AH1015" i="24"/>
  <c r="AB709" i="24"/>
  <c r="AA711" i="24"/>
  <c r="AI715" i="24"/>
  <c r="Q761" i="24"/>
  <c r="AA727" i="24"/>
  <c r="AA736" i="24"/>
  <c r="AI743" i="24"/>
  <c r="Q750" i="24"/>
  <c r="Y750" i="24" s="1"/>
  <c r="Q752" i="24"/>
  <c r="Y752" i="24" s="1"/>
  <c r="AA759" i="24"/>
  <c r="AH783" i="24"/>
  <c r="Q797" i="24"/>
  <c r="Y797" i="24" s="1"/>
  <c r="AA807" i="24"/>
  <c r="O807" i="24"/>
  <c r="AB808" i="24"/>
  <c r="Q816" i="24"/>
  <c r="AI840" i="24"/>
  <c r="AI871" i="24"/>
  <c r="AB874" i="24"/>
  <c r="AA907" i="24"/>
  <c r="O907" i="24"/>
  <c r="AH924" i="24"/>
  <c r="AI939" i="24"/>
  <c r="AA969" i="24"/>
  <c r="O969" i="24"/>
  <c r="AB1011" i="24"/>
  <c r="AH1066" i="24"/>
  <c r="AA1068" i="24"/>
  <c r="O1138" i="24"/>
  <c r="AI1355" i="24"/>
  <c r="AH714" i="24"/>
  <c r="AB767" i="24"/>
  <c r="AI793" i="24"/>
  <c r="AI799" i="24"/>
  <c r="AI823" i="24"/>
  <c r="Q843" i="24"/>
  <c r="Y843" i="24" s="1"/>
  <c r="Q848" i="24"/>
  <c r="Y848" i="24" s="1"/>
  <c r="AA873" i="24"/>
  <c r="Q886" i="24"/>
  <c r="Y886" i="24" s="1"/>
  <c r="AH887" i="24"/>
  <c r="AH896" i="24"/>
  <c r="AA898" i="24"/>
  <c r="AH908" i="24"/>
  <c r="AA926" i="24"/>
  <c r="O926" i="24"/>
  <c r="AH967" i="24"/>
  <c r="Q987" i="24"/>
  <c r="AA1037" i="24"/>
  <c r="AA1040" i="24"/>
  <c r="AH1109" i="24"/>
  <c r="AB826" i="24"/>
  <c r="AH831" i="24"/>
  <c r="AI835" i="24"/>
  <c r="AA837" i="24"/>
  <c r="AA859" i="24"/>
  <c r="AH861" i="24"/>
  <c r="AI866" i="24"/>
  <c r="AA877" i="24"/>
  <c r="O877" i="24"/>
  <c r="AI887" i="24"/>
  <c r="AA910" i="24"/>
  <c r="Q923" i="24"/>
  <c r="Y923" i="24" s="1"/>
  <c r="AI935" i="24"/>
  <c r="AH942" i="24"/>
  <c r="Q1065" i="24"/>
  <c r="AH1062" i="24"/>
  <c r="O1064" i="24"/>
  <c r="AA1064" i="24"/>
  <c r="Q775" i="24"/>
  <c r="AB760" i="24"/>
  <c r="AH768" i="24"/>
  <c r="AB781" i="24"/>
  <c r="AB786" i="24"/>
  <c r="AA790" i="24"/>
  <c r="AB802" i="24"/>
  <c r="Q802" i="24"/>
  <c r="Y802" i="24" s="1"/>
  <c r="Q821" i="24"/>
  <c r="Y821" i="24" s="1"/>
  <c r="AA825" i="24"/>
  <c r="AA833" i="24"/>
  <c r="AB834" i="24"/>
  <c r="AH844" i="24"/>
  <c r="AB860" i="24"/>
  <c r="O910" i="24"/>
  <c r="AH927" i="24"/>
  <c r="AI949" i="24"/>
  <c r="Q976" i="24"/>
  <c r="Y976" i="24" s="1"/>
  <c r="AI1008" i="24"/>
  <c r="AI1038" i="24"/>
  <c r="AI1062" i="24"/>
  <c r="AH1099" i="24"/>
  <c r="AI768" i="24"/>
  <c r="AI787" i="24"/>
  <c r="AB791" i="24"/>
  <c r="Q796" i="24"/>
  <c r="Y796" i="24" s="1"/>
  <c r="AH798" i="24"/>
  <c r="AA801" i="24"/>
  <c r="AA810" i="24"/>
  <c r="AB838" i="24"/>
  <c r="AH839" i="24"/>
  <c r="AI844" i="24"/>
  <c r="AB856" i="24"/>
  <c r="Q938" i="24"/>
  <c r="AA880" i="24"/>
  <c r="AI900" i="24"/>
  <c r="Q930" i="24"/>
  <c r="AH931" i="24"/>
  <c r="Q983" i="24"/>
  <c r="Y983" i="24" s="1"/>
  <c r="O1033" i="24"/>
  <c r="AA1033" i="24"/>
  <c r="AH1085" i="24"/>
  <c r="Q773" i="24"/>
  <c r="Y773" i="24" s="1"/>
  <c r="Q807" i="24"/>
  <c r="AI808" i="24"/>
  <c r="O810" i="24"/>
  <c r="AI817" i="24"/>
  <c r="AH822" i="24"/>
  <c r="AI839" i="24"/>
  <c r="AA855" i="24"/>
  <c r="O855" i="24"/>
  <c r="Q864" i="24"/>
  <c r="Y864" i="24" s="1"/>
  <c r="AH865" i="24"/>
  <c r="AH870" i="24"/>
  <c r="O880" i="24"/>
  <c r="AB881" i="24"/>
  <c r="AA884" i="24"/>
  <c r="Q890" i="24"/>
  <c r="Y890" i="24" s="1"/>
  <c r="Q903" i="24"/>
  <c r="AB907" i="24"/>
  <c r="AB948" i="24"/>
  <c r="Q948" i="24"/>
  <c r="Y948" i="24" s="1"/>
  <c r="AI963" i="24"/>
  <c r="AI984" i="24"/>
  <c r="AI1031" i="24"/>
  <c r="AI1085" i="24"/>
  <c r="Q747" i="24"/>
  <c r="Q779" i="24"/>
  <c r="Q759" i="24"/>
  <c r="Y759" i="24" s="1"/>
  <c r="AH792" i="24"/>
  <c r="AA829" i="24"/>
  <c r="O829" i="24"/>
  <c r="Q842" i="24"/>
  <c r="AI865" i="24"/>
  <c r="AB885" i="24"/>
  <c r="AH904" i="24"/>
  <c r="AA906" i="24"/>
  <c r="Q926" i="24"/>
  <c r="Y926" i="24" s="1"/>
  <c r="AH945" i="24"/>
  <c r="AI980" i="24"/>
  <c r="AH1004" i="24"/>
  <c r="AB1007" i="24"/>
  <c r="Q1007" i="24"/>
  <c r="Y1007" i="24" s="1"/>
  <c r="AI1021" i="24"/>
  <c r="AI1048" i="24"/>
  <c r="Q699" i="24"/>
  <c r="AH767" i="24"/>
  <c r="AI775" i="24"/>
  <c r="AA778" i="24"/>
  <c r="AA789" i="24"/>
  <c r="AI792" i="24"/>
  <c r="AA814" i="24"/>
  <c r="Q820" i="24"/>
  <c r="Y820" i="24" s="1"/>
  <c r="AH834" i="24"/>
  <c r="AB877" i="24"/>
  <c r="AH886" i="24"/>
  <c r="AI891" i="24"/>
  <c r="AH899" i="24"/>
  <c r="AI904" i="24"/>
  <c r="AH923" i="24"/>
  <c r="AB930" i="24"/>
  <c r="AH938" i="24"/>
  <c r="AA940" i="24"/>
  <c r="O940" i="24"/>
  <c r="AA947" i="24"/>
  <c r="O947" i="24"/>
  <c r="AB962" i="24"/>
  <c r="Q962" i="24"/>
  <c r="Y962" i="24" s="1"/>
  <c r="Q1003" i="24"/>
  <c r="Y1003" i="24" s="1"/>
  <c r="AB1003" i="24"/>
  <c r="AB1030" i="24"/>
  <c r="AI1189" i="24"/>
  <c r="AI1283" i="24"/>
  <c r="AI725" i="24"/>
  <c r="AA732" i="24"/>
  <c r="Q735" i="24"/>
  <c r="Y735" i="24" s="1"/>
  <c r="AA756" i="24"/>
  <c r="AI760" i="24"/>
  <c r="AI767" i="24"/>
  <c r="AB779" i="24"/>
  <c r="Q845" i="24"/>
  <c r="AA784" i="24"/>
  <c r="AB785" i="24"/>
  <c r="Q785" i="24"/>
  <c r="Y785" i="24" s="1"/>
  <c r="AH786" i="24"/>
  <c r="O789" i="24"/>
  <c r="Q795" i="24"/>
  <c r="AB796" i="24"/>
  <c r="AI797" i="24"/>
  <c r="AB815" i="24"/>
  <c r="AI834" i="24"/>
  <c r="AA836" i="24"/>
  <c r="AH838" i="24"/>
  <c r="AH843" i="24"/>
  <c r="AA858" i="24"/>
  <c r="AB864" i="24"/>
  <c r="Q868" i="24"/>
  <c r="Y868" i="24" s="1"/>
  <c r="AI886" i="24"/>
  <c r="AA893" i="24"/>
  <c r="AB894" i="24"/>
  <c r="AA897" i="24"/>
  <c r="AB898" i="24"/>
  <c r="AI899" i="24"/>
  <c r="AA909" i="24"/>
  <c r="AB914" i="24"/>
  <c r="Q960" i="24"/>
  <c r="AH915" i="24"/>
  <c r="AI919" i="24"/>
  <c r="AA921" i="24"/>
  <c r="AI938" i="24"/>
  <c r="AH959" i="24"/>
  <c r="AA961" i="24"/>
  <c r="AA1006" i="24"/>
  <c r="AH1081" i="24"/>
  <c r="AH1192" i="24"/>
  <c r="AH1231" i="24"/>
  <c r="AI739" i="24"/>
  <c r="Q771" i="24"/>
  <c r="Y771" i="24" s="1"/>
  <c r="AB773" i="24"/>
  <c r="AA832" i="24"/>
  <c r="AB833" i="24"/>
  <c r="AI838" i="24"/>
  <c r="AB851" i="24"/>
  <c r="AI856" i="24"/>
  <c r="AA862" i="24"/>
  <c r="AH881" i="24"/>
  <c r="Q889" i="24"/>
  <c r="Y889" i="24" s="1"/>
  <c r="Q902" i="24"/>
  <c r="Y902" i="24" s="1"/>
  <c r="AI915" i="24"/>
  <c r="AA1029" i="24"/>
  <c r="O1058" i="24"/>
  <c r="L84" i="10" s="1"/>
  <c r="AI1058" i="24"/>
  <c r="AI1081" i="24"/>
  <c r="Q1217" i="24"/>
  <c r="Y1217" i="24" s="1"/>
  <c r="AB1217" i="24"/>
  <c r="O715" i="24"/>
  <c r="L62" i="16" s="1"/>
  <c r="Q716" i="24"/>
  <c r="AB719" i="24"/>
  <c r="AH724" i="24"/>
  <c r="O731" i="24"/>
  <c r="AH738" i="24"/>
  <c r="Q744" i="24"/>
  <c r="Y744" i="24" s="1"/>
  <c r="O762" i="24"/>
  <c r="AH774" i="24"/>
  <c r="AB790" i="24"/>
  <c r="AH791" i="24"/>
  <c r="AH807" i="24"/>
  <c r="AI811" i="24"/>
  <c r="AH816" i="24"/>
  <c r="Q855" i="24"/>
  <c r="Y855" i="24" s="1"/>
  <c r="AB863" i="24"/>
  <c r="AA883" i="24"/>
  <c r="AA917" i="24"/>
  <c r="O928" i="24"/>
  <c r="AA928" i="24"/>
  <c r="AI948" i="24"/>
  <c r="O1002" i="24"/>
  <c r="L84" i="16" s="1"/>
  <c r="AA1002" i="24"/>
  <c r="AH1027" i="24"/>
  <c r="AI1054" i="24"/>
  <c r="AH1061" i="24"/>
  <c r="Q1220" i="24"/>
  <c r="Y1220" i="24" s="1"/>
  <c r="AH766" i="24"/>
  <c r="AA777" i="24"/>
  <c r="O777" i="24"/>
  <c r="AA788" i="24"/>
  <c r="AI791" i="24"/>
  <c r="AA795" i="24"/>
  <c r="AH796" i="24"/>
  <c r="AA809" i="24"/>
  <c r="AB810" i="24"/>
  <c r="AA813" i="24"/>
  <c r="AI816" i="24"/>
  <c r="AB820" i="24"/>
  <c r="AI821" i="24"/>
  <c r="AB829" i="24"/>
  <c r="Q841" i="24"/>
  <c r="AB841" i="24"/>
  <c r="AH864" i="24"/>
  <c r="AI869" i="24"/>
  <c r="AB880" i="24"/>
  <c r="AI926" i="24"/>
  <c r="AH962" i="24"/>
  <c r="AI1000" i="24"/>
  <c r="AI1007" i="24"/>
  <c r="AB1050" i="24"/>
  <c r="Q1169" i="24"/>
  <c r="AB1169" i="24"/>
  <c r="Q715" i="24"/>
  <c r="Y715" i="24" s="1"/>
  <c r="O730" i="24"/>
  <c r="L64" i="16" s="1"/>
  <c r="Q731" i="24"/>
  <c r="AB733" i="24"/>
  <c r="AB735" i="24"/>
  <c r="O755" i="24"/>
  <c r="AB757" i="24"/>
  <c r="AH759" i="24"/>
  <c r="AI766" i="24"/>
  <c r="Q770" i="24"/>
  <c r="Y770" i="24" s="1"/>
  <c r="AA771" i="24"/>
  <c r="O788" i="24"/>
  <c r="L68" i="18" s="1"/>
  <c r="AB795" i="24"/>
  <c r="AI796" i="24"/>
  <c r="O869" i="24"/>
  <c r="O813" i="24"/>
  <c r="Q819" i="24"/>
  <c r="Y819" i="24" s="1"/>
  <c r="AI847" i="24"/>
  <c r="AI864" i="24"/>
  <c r="Q872" i="24"/>
  <c r="Y872" i="24" s="1"/>
  <c r="AA879" i="24"/>
  <c r="O879" i="24"/>
  <c r="AB884" i="24"/>
  <c r="AH885" i="24"/>
  <c r="AI890" i="24"/>
  <c r="AH903" i="24"/>
  <c r="AH910" i="24"/>
  <c r="AH979" i="24"/>
  <c r="AH1214" i="24"/>
  <c r="AA742" i="24"/>
  <c r="AA747" i="24"/>
  <c r="AI773" i="24"/>
  <c r="AB778" i="24"/>
  <c r="Q778" i="24"/>
  <c r="Y778" i="24" s="1"/>
  <c r="Q794" i="24"/>
  <c r="Y794" i="24" s="1"/>
  <c r="AH833" i="24"/>
  <c r="Q850" i="24"/>
  <c r="Y850" i="24" s="1"/>
  <c r="Q867" i="24"/>
  <c r="AI885" i="24"/>
  <c r="AB902" i="24"/>
  <c r="AB947" i="24"/>
  <c r="Q978" i="24"/>
  <c r="Y978" i="24" s="1"/>
  <c r="AI979" i="24"/>
  <c r="AB999" i="24"/>
  <c r="Q999" i="24"/>
  <c r="Y999" i="24" s="1"/>
  <c r="O742" i="24"/>
  <c r="AI749" i="24"/>
  <c r="AA754" i="24"/>
  <c r="AA761" i="24"/>
  <c r="AA783" i="24"/>
  <c r="O865" i="24"/>
  <c r="AH790" i="24"/>
  <c r="Q800" i="24"/>
  <c r="Y800" i="24" s="1"/>
  <c r="AB805" i="24"/>
  <c r="AB814" i="24"/>
  <c r="AH815" i="24"/>
  <c r="AH820" i="24"/>
  <c r="Q824" i="24"/>
  <c r="Y824" i="24" s="1"/>
  <c r="AA835" i="24"/>
  <c r="AH837" i="24"/>
  <c r="AI842" i="24"/>
  <c r="AA849" i="24"/>
  <c r="AH855" i="24"/>
  <c r="AI859" i="24"/>
  <c r="AA861" i="24"/>
  <c r="Q888" i="24"/>
  <c r="Y888" i="24" s="1"/>
  <c r="AA920" i="24"/>
  <c r="AI944" i="24"/>
  <c r="Q957" i="24"/>
  <c r="Y957" i="24" s="1"/>
  <c r="AB957" i="24"/>
  <c r="AA977" i="24"/>
  <c r="AH996" i="24"/>
  <c r="Q1019" i="24"/>
  <c r="AB1019" i="24"/>
  <c r="AI1020" i="24"/>
  <c r="AI1023" i="24"/>
  <c r="O1052" i="24"/>
  <c r="AA1052" i="24"/>
  <c r="AB1152" i="24"/>
  <c r="AA1171" i="24"/>
  <c r="AH1188" i="24"/>
  <c r="AH765" i="24"/>
  <c r="AH772" i="24"/>
  <c r="AB784" i="24"/>
  <c r="AI790" i="24"/>
  <c r="AH795" i="24"/>
  <c r="AH810" i="24"/>
  <c r="AI815" i="24"/>
  <c r="AI820" i="24"/>
  <c r="O835" i="24"/>
  <c r="AB836" i="24"/>
  <c r="AA857" i="24"/>
  <c r="AB858" i="24"/>
  <c r="AH868" i="24"/>
  <c r="AA896" i="24"/>
  <c r="AB901" i="24"/>
  <c r="Q901" i="24"/>
  <c r="AB909" i="24"/>
  <c r="AI914" i="24"/>
  <c r="AA916" i="24"/>
  <c r="O920" i="24"/>
  <c r="AA935" i="24"/>
  <c r="AI965" i="24"/>
  <c r="AH975" i="24"/>
  <c r="Q1002" i="24"/>
  <c r="Y1002" i="24" s="1"/>
  <c r="AB1002" i="24"/>
  <c r="AH1050" i="24"/>
  <c r="AB1073" i="24"/>
  <c r="AI1146" i="24"/>
  <c r="AB1165" i="24"/>
  <c r="Q1165" i="24"/>
  <c r="Y1165" i="24" s="1"/>
  <c r="AH748" i="24"/>
  <c r="AB769" i="24"/>
  <c r="AA787" i="24"/>
  <c r="AI810" i="24"/>
  <c r="AA812" i="24"/>
  <c r="AA831" i="24"/>
  <c r="O831" i="24"/>
  <c r="AB832" i="24"/>
  <c r="Q870" i="24"/>
  <c r="AB862" i="24"/>
  <c r="AH863" i="24"/>
  <c r="AI868" i="24"/>
  <c r="AI880" i="24"/>
  <c r="AA882" i="24"/>
  <c r="AH884" i="24"/>
  <c r="AH889" i="24"/>
  <c r="AA908" i="24"/>
  <c r="O908" i="24"/>
  <c r="AH940" i="24"/>
  <c r="AA956" i="24"/>
  <c r="AI1050" i="24"/>
  <c r="Q1076" i="24"/>
  <c r="Y1076" i="24" s="1"/>
  <c r="AB1076" i="24"/>
  <c r="AB743" i="24"/>
  <c r="AB755" i="24"/>
  <c r="Q755" i="24"/>
  <c r="Y755" i="24" s="1"/>
  <c r="AA808" i="24"/>
  <c r="AB809" i="24"/>
  <c r="Q818" i="24"/>
  <c r="Y818" i="24" s="1"/>
  <c r="Q840" i="24"/>
  <c r="Y840" i="24" s="1"/>
  <c r="AH841" i="24"/>
  <c r="AH846" i="24"/>
  <c r="AA853" i="24"/>
  <c r="O853" i="24"/>
  <c r="AI863" i="24"/>
  <c r="Q879" i="24"/>
  <c r="Y879" i="24" s="1"/>
  <c r="AI884" i="24"/>
  <c r="AI889" i="24"/>
  <c r="AH947" i="24"/>
  <c r="AH954" i="24"/>
  <c r="AB995" i="24"/>
  <c r="AH999" i="24"/>
  <c r="Q1049" i="24"/>
  <c r="AI1149" i="24"/>
  <c r="AB788" i="24"/>
  <c r="Q793" i="24"/>
  <c r="Y793" i="24" s="1"/>
  <c r="AB793" i="24"/>
  <c r="O808" i="24"/>
  <c r="AH814" i="24"/>
  <c r="AI841" i="24"/>
  <c r="Q866" i="24"/>
  <c r="AB875" i="24"/>
  <c r="Q905" i="24"/>
  <c r="Y905" i="24" s="1"/>
  <c r="AH961" i="24"/>
  <c r="AI968" i="24"/>
  <c r="AH1036" i="24"/>
  <c r="Q1108" i="24"/>
  <c r="AA708" i="24"/>
  <c r="AA769" i="24"/>
  <c r="Q865" i="24"/>
  <c r="AH789" i="24"/>
  <c r="AI814" i="24"/>
  <c r="AH819" i="24"/>
  <c r="AH858" i="24"/>
  <c r="AA874" i="24"/>
  <c r="Q887" i="24"/>
  <c r="AB887" i="24"/>
  <c r="Q892" i="24"/>
  <c r="Y892" i="24" s="1"/>
  <c r="AA899" i="24"/>
  <c r="AA911" i="24"/>
  <c r="AH913" i="24"/>
  <c r="AA973" i="24"/>
  <c r="O973" i="24"/>
  <c r="AA994" i="24"/>
  <c r="AH1009" i="24"/>
  <c r="AA1014" i="24"/>
  <c r="AB1015" i="24"/>
  <c r="Q1045" i="24"/>
  <c r="Y1045" i="24" s="1"/>
  <c r="AI1152" i="24"/>
  <c r="O708" i="24"/>
  <c r="Q709" i="24"/>
  <c r="Y709" i="24" s="1"/>
  <c r="AA760" i="24"/>
  <c r="AB761" i="24"/>
  <c r="Q783" i="24"/>
  <c r="AI763" i="24"/>
  <c r="Q776" i="24"/>
  <c r="Y776" i="24" s="1"/>
  <c r="AI784" i="24"/>
  <c r="AA786" i="24"/>
  <c r="AA834" i="24"/>
  <c r="AB840" i="24"/>
  <c r="Q844" i="24"/>
  <c r="Y844" i="24" s="1"/>
  <c r="AA860" i="24"/>
  <c r="AH862" i="24"/>
  <c r="AH867" i="24"/>
  <c r="AI909" i="24"/>
  <c r="O911" i="24"/>
  <c r="L62" i="14" s="1"/>
  <c r="AH943" i="24"/>
  <c r="O952" i="24"/>
  <c r="AA952" i="24"/>
  <c r="AI1009" i="24"/>
  <c r="O1014" i="24"/>
  <c r="AA1021" i="24"/>
  <c r="AH1126" i="24"/>
  <c r="Q869" i="24"/>
  <c r="Y809" i="24" s="1"/>
  <c r="Q833" i="24"/>
  <c r="Y833" i="24" s="1"/>
  <c r="Q857" i="24"/>
  <c r="Y857" i="24" s="1"/>
  <c r="AB899" i="24"/>
  <c r="Q927" i="24"/>
  <c r="AI931" i="24"/>
  <c r="AH948" i="24"/>
  <c r="Q966" i="24"/>
  <c r="Y966" i="24" s="1"/>
  <c r="AI1027" i="24"/>
  <c r="AI1095" i="24"/>
  <c r="AH1152" i="24"/>
  <c r="AI1169" i="24"/>
  <c r="Q911" i="24"/>
  <c r="AH914" i="24"/>
  <c r="AA918" i="24"/>
  <c r="AH930" i="24"/>
  <c r="AB941" i="24"/>
  <c r="Q941" i="24"/>
  <c r="Y941" i="24" s="1"/>
  <c r="AA946" i="24"/>
  <c r="Q1022" i="24"/>
  <c r="Y956" i="24" s="1"/>
  <c r="AH983" i="24"/>
  <c r="AI999" i="24"/>
  <c r="AH1007" i="24"/>
  <c r="AA1013" i="24"/>
  <c r="O1013" i="24"/>
  <c r="AH1030" i="24"/>
  <c r="AH1034" i="24"/>
  <c r="AA1043" i="24"/>
  <c r="AH1053" i="24"/>
  <c r="AI1061" i="24"/>
  <c r="AA1063" i="24"/>
  <c r="Q1064" i="24"/>
  <c r="AB1064" i="24"/>
  <c r="Q1345" i="24"/>
  <c r="AA1343" i="24"/>
  <c r="Q935" i="24"/>
  <c r="Y935" i="24" s="1"/>
  <c r="AA950" i="24"/>
  <c r="AI953" i="24"/>
  <c r="AI957" i="24"/>
  <c r="AI987" i="24"/>
  <c r="AI1030" i="24"/>
  <c r="Q1044" i="24"/>
  <c r="Y1044" i="24" s="1"/>
  <c r="AB1044" i="24"/>
  <c r="AH1045" i="24"/>
  <c r="AB1083" i="24"/>
  <c r="Q1083" i="24"/>
  <c r="AH1122" i="24"/>
  <c r="AI1217" i="24"/>
  <c r="AI1270" i="24"/>
  <c r="AI922" i="24"/>
  <c r="AA925" i="24"/>
  <c r="O950" i="24"/>
  <c r="AB965" i="24"/>
  <c r="Q965" i="24"/>
  <c r="AI970" i="24"/>
  <c r="O972" i="24"/>
  <c r="AH978" i="24"/>
  <c r="AA985" i="24"/>
  <c r="AB986" i="24"/>
  <c r="Q986" i="24"/>
  <c r="AA997" i="24"/>
  <c r="AB998" i="24"/>
  <c r="AA1009" i="24"/>
  <c r="Q1010" i="24"/>
  <c r="Y1010" i="24" s="1"/>
  <c r="AI1011" i="24"/>
  <c r="AI1045" i="24"/>
  <c r="AA1082" i="24"/>
  <c r="AI1122" i="24"/>
  <c r="AB1141" i="24"/>
  <c r="AI1165" i="24"/>
  <c r="O802" i="24"/>
  <c r="O826" i="24"/>
  <c r="O850" i="24"/>
  <c r="O874" i="24"/>
  <c r="AA945" i="24"/>
  <c r="AB973" i="24"/>
  <c r="Q981" i="24"/>
  <c r="AB981" i="24"/>
  <c r="Q990" i="24"/>
  <c r="Y990" i="24" s="1"/>
  <c r="AH991" i="24"/>
  <c r="Q994" i="24"/>
  <c r="Y994" i="24" s="1"/>
  <c r="AI1022" i="24"/>
  <c r="Q1040" i="24"/>
  <c r="Y1040" i="24" s="1"/>
  <c r="AA1047" i="24"/>
  <c r="AB1048" i="24"/>
  <c r="Q1048" i="24"/>
  <c r="Y1048" i="24" s="1"/>
  <c r="AH1181" i="24"/>
  <c r="AH1331" i="24"/>
  <c r="O801" i="24"/>
  <c r="O825" i="24"/>
  <c r="O849" i="24"/>
  <c r="Q851" i="24"/>
  <c r="O873" i="24"/>
  <c r="L74" i="18" s="1"/>
  <c r="Q875" i="24"/>
  <c r="O893" i="24"/>
  <c r="Q894" i="24"/>
  <c r="Y894" i="24" s="1"/>
  <c r="AB926" i="24"/>
  <c r="AA932" i="24"/>
  <c r="AB935" i="24"/>
  <c r="O945" i="24"/>
  <c r="AI1014" i="24"/>
  <c r="AA1028" i="24"/>
  <c r="AB1118" i="24"/>
  <c r="AI1178" i="24"/>
  <c r="AI1331" i="24"/>
  <c r="Q826" i="24"/>
  <c r="Y826" i="24" s="1"/>
  <c r="Q874" i="24"/>
  <c r="AH921" i="24"/>
  <c r="AA924" i="24"/>
  <c r="Q933" i="24"/>
  <c r="AB933" i="24"/>
  <c r="AB940" i="24"/>
  <c r="AB951" i="24"/>
  <c r="AH952" i="24"/>
  <c r="Q955" i="24"/>
  <c r="Y955" i="24" s="1"/>
  <c r="AB955" i="24"/>
  <c r="AA993" i="24"/>
  <c r="O993" i="24"/>
  <c r="L72" i="14" s="1"/>
  <c r="AI1018" i="24"/>
  <c r="Q1025" i="24"/>
  <c r="O1028" i="24"/>
  <c r="L85" i="16" s="1"/>
  <c r="AH1033" i="24"/>
  <c r="AH1037" i="24"/>
  <c r="AA1039" i="24"/>
  <c r="O1039" i="24"/>
  <c r="Q1055" i="24"/>
  <c r="Y1055" i="24" s="1"/>
  <c r="AB1055" i="24"/>
  <c r="AH1138" i="24"/>
  <c r="AI1184" i="24"/>
  <c r="AI1210" i="24"/>
  <c r="AA1339" i="24"/>
  <c r="Q918" i="24"/>
  <c r="Y918" i="24" s="1"/>
  <c r="O924" i="24"/>
  <c r="L63" i="14" s="1"/>
  <c r="AI929" i="24"/>
  <c r="AI936" i="24"/>
  <c r="AA949" i="24"/>
  <c r="AI952" i="24"/>
  <c r="AH956" i="24"/>
  <c r="AH986" i="24"/>
  <c r="AH998" i="24"/>
  <c r="AA1000" i="24"/>
  <c r="AI1002" i="24"/>
  <c r="AI1026" i="24"/>
  <c r="AI1033" i="24"/>
  <c r="AH1052" i="24"/>
  <c r="AH1060" i="24"/>
  <c r="AA1062" i="24"/>
  <c r="Q1093" i="24"/>
  <c r="Y1093" i="24" s="1"/>
  <c r="AB1093" i="24"/>
  <c r="AB1104" i="24"/>
  <c r="Q1104" i="24"/>
  <c r="Y1104" i="24" s="1"/>
  <c r="AI1138" i="24"/>
  <c r="AH928" i="24"/>
  <c r="AH935" i="24"/>
  <c r="AI956" i="24"/>
  <c r="AB989" i="24"/>
  <c r="AA996" i="24"/>
  <c r="Q1001" i="24"/>
  <c r="Y1001" i="24" s="1"/>
  <c r="AB1001" i="24"/>
  <c r="AH1029" i="24"/>
  <c r="AA1031" i="24"/>
  <c r="AB1036" i="24"/>
  <c r="Q1036" i="24"/>
  <c r="Y1036" i="24" s="1"/>
  <c r="AA1042" i="24"/>
  <c r="AI1056" i="24"/>
  <c r="AI1060" i="24"/>
  <c r="O1062" i="24"/>
  <c r="L86" i="12" s="1"/>
  <c r="AH1075" i="24"/>
  <c r="AA1208" i="24"/>
  <c r="O1208" i="24"/>
  <c r="L100" i="15" s="1"/>
  <c r="Q906" i="24"/>
  <c r="Q917" i="24"/>
  <c r="AI920" i="24"/>
  <c r="AB925" i="24"/>
  <c r="Q925" i="24"/>
  <c r="Y925" i="24" s="1"/>
  <c r="AB950" i="24"/>
  <c r="AH969" i="24"/>
  <c r="AA971" i="24"/>
  <c r="O971" i="24"/>
  <c r="AI973" i="24"/>
  <c r="AB976" i="24"/>
  <c r="AI977" i="24"/>
  <c r="AA988" i="24"/>
  <c r="AI994" i="24"/>
  <c r="Q997" i="24"/>
  <c r="Y997" i="24" s="1"/>
  <c r="AA1008" i="24"/>
  <c r="AA1012" i="24"/>
  <c r="O1012" i="24"/>
  <c r="AH1021" i="24"/>
  <c r="AI1075" i="24"/>
  <c r="AA1156" i="24"/>
  <c r="O1156" i="24"/>
  <c r="AI881" i="24"/>
  <c r="Q893" i="24"/>
  <c r="Y893" i="24" s="1"/>
  <c r="Q939" i="24"/>
  <c r="Y939" i="24" s="1"/>
  <c r="Q980" i="24"/>
  <c r="Y980" i="24" s="1"/>
  <c r="AH1013" i="24"/>
  <c r="AB1024" i="24"/>
  <c r="AI1118" i="24"/>
  <c r="AH1157" i="24"/>
  <c r="AB1202" i="24"/>
  <c r="AA1319" i="24"/>
  <c r="AH880" i="24"/>
  <c r="AH919" i="24"/>
  <c r="Q932" i="24"/>
  <c r="Y932" i="24" s="1"/>
  <c r="AH951" i="24"/>
  <c r="Q959" i="24"/>
  <c r="AI981" i="24"/>
  <c r="AI1013" i="24"/>
  <c r="AB1016" i="24"/>
  <c r="AA1023" i="24"/>
  <c r="AH1093" i="24"/>
  <c r="AI946" i="24"/>
  <c r="AA948" i="24"/>
  <c r="AH955" i="24"/>
  <c r="AH1001" i="24"/>
  <c r="Q1046" i="24"/>
  <c r="AH1055" i="24"/>
  <c r="AB1070" i="24"/>
  <c r="Q1070" i="24"/>
  <c r="AI1134" i="24"/>
  <c r="AH1177" i="24"/>
  <c r="Q1248" i="24"/>
  <c r="Q891" i="24"/>
  <c r="Y891" i="24" s="1"/>
  <c r="AI896" i="24"/>
  <c r="AB906" i="24"/>
  <c r="AB917" i="24"/>
  <c r="O948" i="24"/>
  <c r="L84" i="15" s="1"/>
  <c r="AB949" i="24"/>
  <c r="Q949" i="24"/>
  <c r="Y949" i="24" s="1"/>
  <c r="AA953" i="24"/>
  <c r="AI955" i="24"/>
  <c r="AI960" i="24"/>
  <c r="Q963" i="24"/>
  <c r="Y963" i="24" s="1"/>
  <c r="AB968" i="24"/>
  <c r="AH976" i="24"/>
  <c r="AB980" i="24"/>
  <c r="Q1004" i="24"/>
  <c r="Y1004" i="24" s="1"/>
  <c r="O1027" i="24"/>
  <c r="AA1027" i="24"/>
  <c r="AH1032" i="24"/>
  <c r="Q1035" i="24"/>
  <c r="Y1035" i="24" s="1"/>
  <c r="AI1055" i="24"/>
  <c r="AH1082" i="24"/>
  <c r="AI1114" i="24"/>
  <c r="AI1177" i="24"/>
  <c r="AH1199" i="24"/>
  <c r="AB893" i="24"/>
  <c r="AA900" i="24"/>
  <c r="Q915" i="24"/>
  <c r="Y915" i="24" s="1"/>
  <c r="AA922" i="24"/>
  <c r="AA937" i="24"/>
  <c r="O937" i="24"/>
  <c r="L66" i="14" s="1"/>
  <c r="Q954" i="24"/>
  <c r="Y954" i="24" s="1"/>
  <c r="AB954" i="24"/>
  <c r="AB971" i="24"/>
  <c r="AH972" i="24"/>
  <c r="AI976" i="24"/>
  <c r="AB988" i="24"/>
  <c r="AI997" i="24"/>
  <c r="Q1008" i="24"/>
  <c r="Y1008" i="24" s="1"/>
  <c r="AA1038" i="24"/>
  <c r="AB1042" i="24"/>
  <c r="AH1051" i="24"/>
  <c r="AI1059" i="24"/>
  <c r="AA1061" i="24"/>
  <c r="O1061" i="24"/>
  <c r="AA1065" i="24"/>
  <c r="AA1069" i="24"/>
  <c r="AI1071" i="24"/>
  <c r="Q1077" i="24"/>
  <c r="Y1077" i="24" s="1"/>
  <c r="AI1082" i="24"/>
  <c r="AI1100" i="24"/>
  <c r="AH1127" i="24"/>
  <c r="AA1132" i="24"/>
  <c r="AB1156" i="24"/>
  <c r="Q1156" i="24"/>
  <c r="Y1156" i="24" s="1"/>
  <c r="AH895" i="24"/>
  <c r="AI907" i="24"/>
  <c r="AA913" i="24"/>
  <c r="O913" i="24"/>
  <c r="L67" i="17" s="1"/>
  <c r="AI925" i="24"/>
  <c r="AA974" i="24"/>
  <c r="Q979" i="24"/>
  <c r="AB979" i="24"/>
  <c r="AA987" i="24"/>
  <c r="AH993" i="24"/>
  <c r="AA995" i="24"/>
  <c r="O995" i="24"/>
  <c r="AB996" i="24"/>
  <c r="AI1005" i="24"/>
  <c r="AH1028" i="24"/>
  <c r="AA1041" i="24"/>
  <c r="O1041" i="24"/>
  <c r="Q1068" i="24"/>
  <c r="AA1053" i="24"/>
  <c r="O1069" i="24"/>
  <c r="AA1070" i="24"/>
  <c r="AB1088" i="24"/>
  <c r="Q1088" i="24"/>
  <c r="Q1099" i="24"/>
  <c r="Y1099" i="24" s="1"/>
  <c r="AB1099" i="24"/>
  <c r="O1132" i="24"/>
  <c r="AH1307" i="24"/>
  <c r="AH906" i="24"/>
  <c r="AB923" i="24"/>
  <c r="AB938" i="24"/>
  <c r="Q1020" i="24"/>
  <c r="AA942" i="24"/>
  <c r="AA970" i="24"/>
  <c r="AB975" i="24"/>
  <c r="AH980" i="24"/>
  <c r="AI1016" i="24"/>
  <c r="AI1028" i="24"/>
  <c r="AA1087" i="24"/>
  <c r="AB1113" i="24"/>
  <c r="Q1113" i="24"/>
  <c r="AI1130" i="24"/>
  <c r="AI1140" i="24"/>
  <c r="Q973" i="24"/>
  <c r="Q1042" i="24"/>
  <c r="Y1042" i="24" s="1"/>
  <c r="Q1054" i="24"/>
  <c r="AH1058" i="24"/>
  <c r="AB1063" i="24"/>
  <c r="AH1084" i="24"/>
  <c r="Q1271" i="24"/>
  <c r="AB1108" i="24"/>
  <c r="AH1118" i="24"/>
  <c r="AI1126" i="24"/>
  <c r="AA1145" i="24"/>
  <c r="Q1160" i="24"/>
  <c r="Y1160" i="24" s="1"/>
  <c r="AB1160" i="24"/>
  <c r="AH1169" i="24"/>
  <c r="AH1173" i="24"/>
  <c r="AI1188" i="24"/>
  <c r="AB1213" i="24"/>
  <c r="AB1223" i="24"/>
  <c r="AI1307" i="24"/>
  <c r="AI1351" i="24"/>
  <c r="AA1363" i="24"/>
  <c r="Q1058" i="24"/>
  <c r="AI1066" i="24"/>
  <c r="AB1069" i="24"/>
  <c r="Q1069" i="24"/>
  <c r="Y1069" i="24" s="1"/>
  <c r="Q1075" i="24"/>
  <c r="Y1075" i="24" s="1"/>
  <c r="AB1075" i="24"/>
  <c r="AA1081" i="24"/>
  <c r="O1081" i="24"/>
  <c r="AB1082" i="24"/>
  <c r="Q1082" i="24"/>
  <c r="Y1082" i="24" s="1"/>
  <c r="AI1104" i="24"/>
  <c r="Q1194" i="24"/>
  <c r="Y1194" i="24" s="1"/>
  <c r="AB1194" i="24"/>
  <c r="AA1197" i="24"/>
  <c r="AA1222" i="24"/>
  <c r="Q1244" i="24"/>
  <c r="Y1244" i="24" s="1"/>
  <c r="AB1278" i="24"/>
  <c r="AI1327" i="24"/>
  <c r="AI1337" i="24"/>
  <c r="O1038" i="24"/>
  <c r="L90" i="11" s="1"/>
  <c r="Q1053" i="24"/>
  <c r="Y1053" i="24" s="1"/>
  <c r="AB1053" i="24"/>
  <c r="AA1054" i="24"/>
  <c r="AA1060" i="24"/>
  <c r="AB1062" i="24"/>
  <c r="AA1086" i="24"/>
  <c r="O1086" i="24"/>
  <c r="AB1087" i="24"/>
  <c r="AI1113" i="24"/>
  <c r="AA1131" i="24"/>
  <c r="O1135" i="24"/>
  <c r="AA1135" i="24"/>
  <c r="Q1289" i="24"/>
  <c r="Y1136" i="24" s="1"/>
  <c r="AB1140" i="24"/>
  <c r="AH1145" i="24"/>
  <c r="Q1148" i="24"/>
  <c r="Y1148" i="24" s="1"/>
  <c r="AB1148" i="24"/>
  <c r="Q1164" i="24"/>
  <c r="Y1164" i="24" s="1"/>
  <c r="O1327" i="24"/>
  <c r="AA1182" i="24"/>
  <c r="AI1206" i="24"/>
  <c r="O1222" i="24"/>
  <c r="AH1340" i="24"/>
  <c r="AA976" i="24"/>
  <c r="AB997" i="24"/>
  <c r="AA999" i="24"/>
  <c r="AI1003" i="24"/>
  <c r="AA1016" i="24"/>
  <c r="AI1019" i="24"/>
  <c r="Q1028" i="24"/>
  <c r="Y1028" i="24" s="1"/>
  <c r="AI1044" i="24"/>
  <c r="AH1065" i="24"/>
  <c r="AH1129" i="24"/>
  <c r="O1131" i="24"/>
  <c r="AA1139" i="24"/>
  <c r="AI1145" i="24"/>
  <c r="O1182" i="24"/>
  <c r="AI1191" i="24"/>
  <c r="AB1205" i="24"/>
  <c r="AI1234" i="24"/>
  <c r="AA1277" i="24"/>
  <c r="AH1002" i="24"/>
  <c r="AB1013" i="24"/>
  <c r="Q1013" i="24"/>
  <c r="Y1013" i="24" s="1"/>
  <c r="AH1018" i="24"/>
  <c r="Q1061" i="24"/>
  <c r="Y1061" i="24" s="1"/>
  <c r="AB1092" i="24"/>
  <c r="AH1121" i="24"/>
  <c r="Q1124" i="24"/>
  <c r="Y1124" i="24" s="1"/>
  <c r="AI1129" i="24"/>
  <c r="AA1158" i="24"/>
  <c r="AI1180" i="24"/>
  <c r="O1185" i="24"/>
  <c r="AA1185" i="24"/>
  <c r="O1193" i="24"/>
  <c r="AA1193" i="24"/>
  <c r="AI1213" i="24"/>
  <c r="O1215" i="24"/>
  <c r="AA1215" i="24"/>
  <c r="AA1246" i="24"/>
  <c r="AB1247" i="24"/>
  <c r="AI1262" i="24"/>
  <c r="O1277" i="24"/>
  <c r="Q1349" i="24"/>
  <c r="AI1313" i="24"/>
  <c r="Q1319" i="24"/>
  <c r="Y1319" i="24" s="1"/>
  <c r="AB1029" i="24"/>
  <c r="O1037" i="24"/>
  <c r="Q1052" i="24"/>
  <c r="Y1052" i="24" s="1"/>
  <c r="AI1093" i="24"/>
  <c r="AI1108" i="24"/>
  <c r="AA1127" i="24"/>
  <c r="Q1128" i="24"/>
  <c r="Y1128" i="24" s="1"/>
  <c r="AB1144" i="24"/>
  <c r="Q1144" i="24"/>
  <c r="AI1156" i="24"/>
  <c r="AI1160" i="24"/>
  <c r="AB1175" i="24"/>
  <c r="AH1176" i="24"/>
  <c r="AA1178" i="24"/>
  <c r="O1178" i="24"/>
  <c r="AA1200" i="24"/>
  <c r="O1200" i="24"/>
  <c r="L92" i="14" s="1"/>
  <c r="AH1209" i="24"/>
  <c r="Q1229" i="24"/>
  <c r="Y1229" i="24" s="1"/>
  <c r="AB1229" i="24"/>
  <c r="AH1237" i="24"/>
  <c r="O1246" i="24"/>
  <c r="L98" i="14" s="1"/>
  <c r="O964" i="24"/>
  <c r="O988" i="24"/>
  <c r="O1009" i="24"/>
  <c r="L87" i="11" s="1"/>
  <c r="O1023" i="24"/>
  <c r="L87" i="15" s="1"/>
  <c r="AH1043" i="24"/>
  <c r="AB1081" i="24"/>
  <c r="Q1081" i="24"/>
  <c r="Y1081" i="24" s="1"/>
  <c r="AH1117" i="24"/>
  <c r="O1119" i="24"/>
  <c r="AA1119" i="24"/>
  <c r="AH1148" i="24"/>
  <c r="AA1170" i="24"/>
  <c r="AI1187" i="24"/>
  <c r="AH1292" i="24"/>
  <c r="AB1295" i="24"/>
  <c r="AI1333" i="24"/>
  <c r="AH1350" i="24"/>
  <c r="AI1357" i="24"/>
  <c r="O963" i="24"/>
  <c r="O987" i="24"/>
  <c r="Q989" i="24"/>
  <c r="O1008" i="24"/>
  <c r="Q1024" i="24"/>
  <c r="AB1028" i="24"/>
  <c r="AA1036" i="24"/>
  <c r="AI1043" i="24"/>
  <c r="AA1059" i="24"/>
  <c r="O1059" i="24"/>
  <c r="AA1067" i="24"/>
  <c r="O1067" i="24"/>
  <c r="AB1068" i="24"/>
  <c r="AI1069" i="24"/>
  <c r="AB1074" i="24"/>
  <c r="Q1086" i="24"/>
  <c r="AH1087" i="24"/>
  <c r="AH1098" i="24"/>
  <c r="AI1117" i="24"/>
  <c r="AB1124" i="24"/>
  <c r="Q1135" i="24"/>
  <c r="AB1135" i="24"/>
  <c r="AI1148" i="24"/>
  <c r="AH1164" i="24"/>
  <c r="AH1168" i="24"/>
  <c r="O1170" i="24"/>
  <c r="AA1232" i="24"/>
  <c r="AI1098" i="24"/>
  <c r="AH1103" i="24"/>
  <c r="Q1131" i="24"/>
  <c r="AB1139" i="24"/>
  <c r="Q1139" i="24"/>
  <c r="Y1139" i="24" s="1"/>
  <c r="AI1205" i="24"/>
  <c r="AA1207" i="24"/>
  <c r="AI1258" i="24"/>
  <c r="Q1284" i="24"/>
  <c r="Y1284" i="24" s="1"/>
  <c r="AB1284" i="24"/>
  <c r="AH1326" i="24"/>
  <c r="Q1171" i="24"/>
  <c r="AB1349" i="24"/>
  <c r="O961" i="24"/>
  <c r="O985" i="24"/>
  <c r="O1006" i="24"/>
  <c r="L85" i="15" s="1"/>
  <c r="O1021" i="24"/>
  <c r="L78" i="14" s="1"/>
  <c r="AH1042" i="24"/>
  <c r="O1047" i="24"/>
  <c r="AB1060" i="24"/>
  <c r="Q1073" i="24"/>
  <c r="AB1086" i="24"/>
  <c r="AH1092" i="24"/>
  <c r="AA1100" i="24"/>
  <c r="AI1103" i="24"/>
  <c r="O1105" i="24"/>
  <c r="L93" i="15" s="1"/>
  <c r="AH1112" i="24"/>
  <c r="AA1114" i="24"/>
  <c r="Q1123" i="24"/>
  <c r="AH1144" i="24"/>
  <c r="Q1185" i="24"/>
  <c r="AB1185" i="24"/>
  <c r="AH1219" i="24"/>
  <c r="AI1285" i="24"/>
  <c r="AH1302" i="24"/>
  <c r="AA1020" i="24"/>
  <c r="AA1035" i="24"/>
  <c r="O1035" i="24"/>
  <c r="AB1037" i="24"/>
  <c r="Q1037" i="24"/>
  <c r="Y1037" i="24" s="1"/>
  <c r="AI1042" i="24"/>
  <c r="AI1092" i="24"/>
  <c r="AH1107" i="24"/>
  <c r="AI1112" i="24"/>
  <c r="O1114" i="24"/>
  <c r="AI1132" i="24"/>
  <c r="AI1144" i="24"/>
  <c r="AB1178" i="24"/>
  <c r="AA1181" i="24"/>
  <c r="AB1189" i="24"/>
  <c r="AH1190" i="24"/>
  <c r="AB1200" i="24"/>
  <c r="AI1201" i="24"/>
  <c r="Q1253" i="24"/>
  <c r="Q1257" i="24"/>
  <c r="Y1257" i="24" s="1"/>
  <c r="Q1325" i="24"/>
  <c r="Y1325" i="24" s="1"/>
  <c r="AB1325" i="24"/>
  <c r="Q1096" i="24"/>
  <c r="AI1107" i="24"/>
  <c r="AB1115" i="24"/>
  <c r="AA1138" i="24"/>
  <c r="AA1157" i="24"/>
  <c r="AH1159" i="24"/>
  <c r="Q1174" i="24"/>
  <c r="Y1174" i="24" s="1"/>
  <c r="AB1174" i="24"/>
  <c r="AI1197" i="24"/>
  <c r="AH1212" i="24"/>
  <c r="AB1294" i="24"/>
  <c r="Q75" i="24"/>
  <c r="AH1346" i="24"/>
  <c r="O1348" i="24"/>
  <c r="AA1348" i="24"/>
  <c r="AH1041" i="24"/>
  <c r="Q1067" i="24"/>
  <c r="Y1067" i="24" s="1"/>
  <c r="AH1068" i="24"/>
  <c r="AA1084" i="24"/>
  <c r="O1084" i="24"/>
  <c r="O1094" i="24"/>
  <c r="AA1094" i="24"/>
  <c r="O1109" i="24"/>
  <c r="AA1109" i="24"/>
  <c r="AH1120" i="24"/>
  <c r="AH1151" i="24"/>
  <c r="AH1155" i="24"/>
  <c r="O1157" i="24"/>
  <c r="L89" i="19" s="1"/>
  <c r="AB1170" i="24"/>
  <c r="AH1171" i="24"/>
  <c r="AA1177" i="24"/>
  <c r="AI1208" i="24"/>
  <c r="AI1212" i="24"/>
  <c r="AH1243" i="24"/>
  <c r="AH1322" i="24"/>
  <c r="O1324" i="24"/>
  <c r="AA1324" i="24"/>
  <c r="AH1332" i="24"/>
  <c r="AA1044" i="24"/>
  <c r="AI1068" i="24"/>
  <c r="AH1074" i="24"/>
  <c r="AI1086" i="24"/>
  <c r="Q1095" i="24"/>
  <c r="Y1095" i="24" s="1"/>
  <c r="AH1097" i="24"/>
  <c r="Q1110" i="24"/>
  <c r="AB1110" i="24"/>
  <c r="AH1131" i="24"/>
  <c r="AI1139" i="24"/>
  <c r="O1149" i="24"/>
  <c r="L98" i="13" s="1"/>
  <c r="AA1149" i="24"/>
  <c r="Q1150" i="24"/>
  <c r="Y1150" i="24" s="1"/>
  <c r="AA1153" i="24"/>
  <c r="AB1166" i="24"/>
  <c r="AI1236" i="24"/>
  <c r="AA1293" i="24"/>
  <c r="AI1342" i="24"/>
  <c r="AA1351" i="24"/>
  <c r="AI1074" i="24"/>
  <c r="AA1088" i="24"/>
  <c r="AA1099" i="24"/>
  <c r="O1099" i="24"/>
  <c r="AH1102" i="24"/>
  <c r="AB1105" i="24"/>
  <c r="Q1105" i="24"/>
  <c r="AH1147" i="24"/>
  <c r="AH1200" i="24"/>
  <c r="AI1215" i="24"/>
  <c r="AH1257" i="24"/>
  <c r="AA1266" i="24"/>
  <c r="AH1308" i="24"/>
  <c r="AB1321" i="24"/>
  <c r="Q1321" i="24"/>
  <c r="Y1321" i="24" s="1"/>
  <c r="AB1021" i="24"/>
  <c r="O1088" i="24"/>
  <c r="AH1091" i="24"/>
  <c r="AB1100" i="24"/>
  <c r="AB1114" i="24"/>
  <c r="AI1123" i="24"/>
  <c r="AB1130" i="24"/>
  <c r="Q1134" i="24"/>
  <c r="Y1134" i="24" s="1"/>
  <c r="AB1134" i="24"/>
  <c r="AB1150" i="24"/>
  <c r="AB1181" i="24"/>
  <c r="AB1203" i="24"/>
  <c r="AI1225" i="24"/>
  <c r="AH1246" i="24"/>
  <c r="AI1291" i="24"/>
  <c r="AA1327" i="24"/>
  <c r="AH1026" i="24"/>
  <c r="AA1113" i="24"/>
  <c r="O1113" i="24"/>
  <c r="Q1122" i="24"/>
  <c r="AB1122" i="24"/>
  <c r="AH1143" i="24"/>
  <c r="AB1192" i="24"/>
  <c r="Q1224" i="24"/>
  <c r="Y1224" i="24" s="1"/>
  <c r="O1241" i="24"/>
  <c r="AA1241" i="24"/>
  <c r="Q1297" i="24"/>
  <c r="Y1297" i="24" s="1"/>
  <c r="AA1303" i="24"/>
  <c r="AI1051" i="24"/>
  <c r="AH1067" i="24"/>
  <c r="Q1094" i="24"/>
  <c r="Y1094" i="24" s="1"/>
  <c r="AB1094" i="24"/>
  <c r="Q1109" i="24"/>
  <c r="AB1109" i="24"/>
  <c r="AI1143" i="24"/>
  <c r="AB1157" i="24"/>
  <c r="Q1161" i="24"/>
  <c r="Y1161" i="24" s="1"/>
  <c r="AB1161" i="24"/>
  <c r="Q1184" i="24"/>
  <c r="Y1184" i="24" s="1"/>
  <c r="AB1184" i="24"/>
  <c r="AA1255" i="24"/>
  <c r="AH1260" i="24"/>
  <c r="Q1300" i="24"/>
  <c r="Y1300" i="24" s="1"/>
  <c r="AB1300" i="24"/>
  <c r="AI1067" i="24"/>
  <c r="AH1073" i="24"/>
  <c r="AI1080" i="24"/>
  <c r="AA1129" i="24"/>
  <c r="AI1170" i="24"/>
  <c r="AA1180" i="24"/>
  <c r="Q1188" i="24"/>
  <c r="Y1188" i="24" s="1"/>
  <c r="AH1221" i="24"/>
  <c r="AB1224" i="24"/>
  <c r="AI1232" i="24"/>
  <c r="AI1280" i="24"/>
  <c r="AA1313" i="24"/>
  <c r="AH1355" i="24"/>
  <c r="AA1104" i="24"/>
  <c r="AB1107" i="24"/>
  <c r="Q1121" i="24"/>
  <c r="Y1121" i="24" s="1"/>
  <c r="AA1130" i="24"/>
  <c r="Q1147" i="24"/>
  <c r="Q1157" i="24"/>
  <c r="Y1157" i="24" s="1"/>
  <c r="Q1192" i="24"/>
  <c r="Y1192" i="24" s="1"/>
  <c r="AH1196" i="24"/>
  <c r="AH1204" i="24"/>
  <c r="Q1236" i="24"/>
  <c r="AB1236" i="24"/>
  <c r="Q1252" i="24"/>
  <c r="Y1252" i="24" s="1"/>
  <c r="Q1263" i="24"/>
  <c r="AB1263" i="24"/>
  <c r="AB1273" i="24"/>
  <c r="AH1274" i="24"/>
  <c r="AH1312" i="24"/>
  <c r="AI1340" i="24"/>
  <c r="O1104" i="24"/>
  <c r="O1130" i="24"/>
  <c r="AI1137" i="24"/>
  <c r="Q1170" i="24"/>
  <c r="Y1170" i="24" s="1"/>
  <c r="O1181" i="24"/>
  <c r="Q1183" i="24"/>
  <c r="Q1193" i="24"/>
  <c r="Y1193" i="24" s="1"/>
  <c r="AI1196" i="24"/>
  <c r="AI1204" i="24"/>
  <c r="O1207" i="24"/>
  <c r="AA1221" i="24"/>
  <c r="O1221" i="24"/>
  <c r="L93" i="17" s="1"/>
  <c r="AI1237" i="24"/>
  <c r="AA1245" i="24"/>
  <c r="O1245" i="24"/>
  <c r="AI1265" i="24"/>
  <c r="AA1271" i="24"/>
  <c r="AH1279" i="24"/>
  <c r="AH1290" i="24"/>
  <c r="Q1310" i="24"/>
  <c r="AB1310" i="24"/>
  <c r="AI1312" i="24"/>
  <c r="AI1316" i="24"/>
  <c r="AH1336" i="24"/>
  <c r="AB1344" i="24"/>
  <c r="AH1136" i="24"/>
  <c r="Q1200" i="24"/>
  <c r="AA1267" i="24"/>
  <c r="AI1269" i="24"/>
  <c r="AI1279" i="24"/>
  <c r="AI1284" i="24"/>
  <c r="AA1292" i="24"/>
  <c r="O1292" i="24"/>
  <c r="Q1299" i="24"/>
  <c r="Y1299" i="24" s="1"/>
  <c r="AA1314" i="24"/>
  <c r="AB1320" i="24"/>
  <c r="Q1324" i="24"/>
  <c r="Y1324" i="24" s="1"/>
  <c r="Q1334" i="24"/>
  <c r="Y1334" i="24" s="1"/>
  <c r="AB1334" i="24"/>
  <c r="AI1336" i="24"/>
  <c r="AA1338" i="24"/>
  <c r="AB1339" i="24"/>
  <c r="Q1348" i="24"/>
  <c r="Y1348" i="24" s="1"/>
  <c r="AA1357" i="24"/>
  <c r="Q1118" i="24"/>
  <c r="Y1118" i="24" s="1"/>
  <c r="AA1121" i="24"/>
  <c r="O1129" i="24"/>
  <c r="L96" i="11" s="1"/>
  <c r="Q1130" i="24"/>
  <c r="Q1145" i="24"/>
  <c r="Y1145" i="24" s="1"/>
  <c r="AA1154" i="24"/>
  <c r="O1180" i="24"/>
  <c r="Q1181" i="24"/>
  <c r="Y1181" i="24" s="1"/>
  <c r="AH1195" i="24"/>
  <c r="AB1201" i="24"/>
  <c r="Q1228" i="24"/>
  <c r="Y1228" i="24" s="1"/>
  <c r="Q1241" i="24"/>
  <c r="AB1246" i="24"/>
  <c r="AB1252" i="24"/>
  <c r="AI1253" i="24"/>
  <c r="AB1268" i="24"/>
  <c r="Q1277" i="24"/>
  <c r="Y1277" i="24" s="1"/>
  <c r="Q1283" i="24"/>
  <c r="Y1283" i="24" s="1"/>
  <c r="AB1283" i="24"/>
  <c r="O1314" i="24"/>
  <c r="AB1315" i="24"/>
  <c r="AA1342" i="24"/>
  <c r="Q1358" i="24"/>
  <c r="Y1358" i="24" s="1"/>
  <c r="AB1358" i="24"/>
  <c r="AA1362" i="24"/>
  <c r="AB1363" i="24"/>
  <c r="Q1119" i="24"/>
  <c r="AI1161" i="24"/>
  <c r="Q1182" i="24"/>
  <c r="AH1203" i="24"/>
  <c r="AA1206" i="24"/>
  <c r="Q1215" i="24"/>
  <c r="AB1215" i="24"/>
  <c r="AB1222" i="24"/>
  <c r="AB1293" i="24"/>
  <c r="AI1300" i="24"/>
  <c r="AA1318" i="24"/>
  <c r="O275" i="24"/>
  <c r="L24" i="10" s="1"/>
  <c r="O1362" i="24"/>
  <c r="L105" i="16" s="1"/>
  <c r="AA1128" i="24"/>
  <c r="AB1131" i="24"/>
  <c r="AH1160" i="24"/>
  <c r="AI1185" i="24"/>
  <c r="AA1198" i="24"/>
  <c r="AH1236" i="24"/>
  <c r="AA1250" i="24"/>
  <c r="O1250" i="24"/>
  <c r="AB1251" i="24"/>
  <c r="O1261" i="24"/>
  <c r="AA1261" i="24"/>
  <c r="Q1262" i="24"/>
  <c r="AB1262" i="24"/>
  <c r="AH1264" i="24"/>
  <c r="AB1272" i="24"/>
  <c r="AH1278" i="24"/>
  <c r="AH1311" i="24"/>
  <c r="O1318" i="24"/>
  <c r="AB1343" i="24"/>
  <c r="AH1184" i="24"/>
  <c r="Q1191" i="24"/>
  <c r="Y1191" i="24" s="1"/>
  <c r="AB1191" i="24"/>
  <c r="AB1207" i="24"/>
  <c r="Q1207" i="24"/>
  <c r="Y1207" i="24" s="1"/>
  <c r="AA1226" i="24"/>
  <c r="O1226" i="24"/>
  <c r="AI1229" i="24"/>
  <c r="AH1252" i="24"/>
  <c r="Q1276" i="24"/>
  <c r="Y1276" i="24" s="1"/>
  <c r="Q1288" i="24"/>
  <c r="O1308" i="24"/>
  <c r="AA1308" i="24"/>
  <c r="Q1309" i="24"/>
  <c r="Y1309" i="24" s="1"/>
  <c r="AB1309" i="24"/>
  <c r="AB1319" i="24"/>
  <c r="AH1335" i="24"/>
  <c r="AH1339" i="24"/>
  <c r="Q1143" i="24"/>
  <c r="Y1143" i="24" s="1"/>
  <c r="O1189" i="24"/>
  <c r="AA1189" i="24"/>
  <c r="O1213" i="24"/>
  <c r="AA1213" i="24"/>
  <c r="AI1252" i="24"/>
  <c r="O1255" i="24"/>
  <c r="AH1268" i="24"/>
  <c r="AH1283" i="24"/>
  <c r="AH1315" i="24"/>
  <c r="O1350" i="24"/>
  <c r="Q1333" i="24"/>
  <c r="Y1333" i="24" s="1"/>
  <c r="AB1333" i="24"/>
  <c r="AI1339" i="24"/>
  <c r="AA1341" i="24"/>
  <c r="O1351" i="24"/>
  <c r="L94" i="16" s="1"/>
  <c r="AH1363" i="24"/>
  <c r="Q1100" i="24"/>
  <c r="Q1114" i="24"/>
  <c r="Y1114" i="24" s="1"/>
  <c r="AB1119" i="24"/>
  <c r="O1127" i="24"/>
  <c r="O1139" i="24"/>
  <c r="AA1152" i="24"/>
  <c r="AB1155" i="24"/>
  <c r="AB1182" i="24"/>
  <c r="O1197" i="24"/>
  <c r="L99" i="15" s="1"/>
  <c r="AB1199" i="24"/>
  <c r="AI1209" i="24"/>
  <c r="AB1227" i="24"/>
  <c r="O1266" i="24"/>
  <c r="AI1268" i="24"/>
  <c r="AA1288" i="24"/>
  <c r="AA1297" i="24"/>
  <c r="AB1298" i="24"/>
  <c r="AH1299" i="24"/>
  <c r="O1302" i="24"/>
  <c r="L99" i="17" s="1"/>
  <c r="O1313" i="24"/>
  <c r="AI1315" i="24"/>
  <c r="AA1317" i="24"/>
  <c r="O1341" i="24"/>
  <c r="Q1357" i="24"/>
  <c r="Y1357" i="24" s="1"/>
  <c r="AB1357" i="24"/>
  <c r="AI1363" i="24"/>
  <c r="O1098" i="24"/>
  <c r="AB1129" i="24"/>
  <c r="O1295" i="24"/>
  <c r="Q1140" i="24"/>
  <c r="O1152" i="24"/>
  <c r="L98" i="11" s="1"/>
  <c r="Q1166" i="24"/>
  <c r="AA1169" i="24"/>
  <c r="O1177" i="24"/>
  <c r="Q1178" i="24"/>
  <c r="Y1178" i="24" s="1"/>
  <c r="Q1189" i="24"/>
  <c r="Y1189" i="24" s="1"/>
  <c r="AA1191" i="24"/>
  <c r="Q1205" i="24"/>
  <c r="Y1205" i="24" s="1"/>
  <c r="Q1213" i="24"/>
  <c r="Y1213" i="24" s="1"/>
  <c r="Q1214" i="24"/>
  <c r="AB1214" i="24"/>
  <c r="AH1228" i="24"/>
  <c r="Q1239" i="24"/>
  <c r="Y1239" i="24" s="1"/>
  <c r="AB1239" i="24"/>
  <c r="AA1270" i="24"/>
  <c r="AA1276" i="24"/>
  <c r="AI1299" i="24"/>
  <c r="O1317" i="24"/>
  <c r="AB1323" i="24"/>
  <c r="Q1323" i="24"/>
  <c r="AB1342" i="24"/>
  <c r="AB1347" i="24"/>
  <c r="Q459" i="24"/>
  <c r="AA1126" i="24"/>
  <c r="AA1143" i="24"/>
  <c r="Q1167" i="24"/>
  <c r="Y1167" i="24" s="1"/>
  <c r="Q1206" i="24"/>
  <c r="Y1206" i="24" s="1"/>
  <c r="AH1208" i="24"/>
  <c r="AI1228" i="24"/>
  <c r="AI1241" i="24"/>
  <c r="AA1254" i="24"/>
  <c r="Q1261" i="24"/>
  <c r="Y1261" i="24" s="1"/>
  <c r="AB1261" i="24"/>
  <c r="AB1276" i="24"/>
  <c r="AB1318" i="24"/>
  <c r="AI1324" i="24"/>
  <c r="AI1329" i="24"/>
  <c r="AI1348" i="24"/>
  <c r="AI1353" i="24"/>
  <c r="AI1089" i="24"/>
  <c r="AA1117" i="24"/>
  <c r="AB1143" i="24"/>
  <c r="AB1179" i="24"/>
  <c r="AB1190" i="24"/>
  <c r="AA1219" i="24"/>
  <c r="AB1250" i="24"/>
  <c r="AH1251" i="24"/>
  <c r="AI1257" i="24"/>
  <c r="AA1301" i="24"/>
  <c r="Q1308" i="24"/>
  <c r="AB1308" i="24"/>
  <c r="AH1088" i="24"/>
  <c r="AB1153" i="24"/>
  <c r="AI1157" i="24"/>
  <c r="O1176" i="24"/>
  <c r="O1219" i="24"/>
  <c r="AA1243" i="24"/>
  <c r="AA1248" i="24"/>
  <c r="AB1255" i="24"/>
  <c r="Q1275" i="24"/>
  <c r="Y1275" i="24" s="1"/>
  <c r="Q1286" i="24"/>
  <c r="Y1286" i="24" s="1"/>
  <c r="AB1286" i="24"/>
  <c r="O1301" i="24"/>
  <c r="Q1332" i="24"/>
  <c r="AB1332" i="24"/>
  <c r="Q1356" i="24"/>
  <c r="Y1356" i="24" s="1"/>
  <c r="AA1150" i="24"/>
  <c r="AH1156" i="24"/>
  <c r="AA1167" i="24"/>
  <c r="AB1206" i="24"/>
  <c r="AB1220" i="24"/>
  <c r="AA1224" i="24"/>
  <c r="AA1230" i="24"/>
  <c r="O1237" i="24"/>
  <c r="L103" i="15" s="1"/>
  <c r="AA1237" i="24"/>
  <c r="AI1245" i="24"/>
  <c r="AH1267" i="24"/>
  <c r="AI1288" i="24"/>
  <c r="AA1295" i="24"/>
  <c r="Q1302" i="24"/>
  <c r="Y1302" i="24" s="1"/>
  <c r="AI1304" i="24"/>
  <c r="AH1314" i="24"/>
  <c r="AH1338" i="24"/>
  <c r="AA1340" i="24"/>
  <c r="O1340" i="24"/>
  <c r="AA1345" i="24"/>
  <c r="E77" i="26"/>
  <c r="AI1221" i="24"/>
  <c r="AH1227" i="24"/>
  <c r="Q1238" i="24"/>
  <c r="Y1238" i="24" s="1"/>
  <c r="AB1238" i="24"/>
  <c r="AH1240" i="24"/>
  <c r="AB1244" i="24"/>
  <c r="AH1256" i="24"/>
  <c r="AA1269" i="24"/>
  <c r="O1269" i="24"/>
  <c r="AI1276" i="24"/>
  <c r="AA1290" i="24"/>
  <c r="AI1292" i="24"/>
  <c r="AB1297" i="24"/>
  <c r="AH1298" i="24"/>
  <c r="AA1316" i="24"/>
  <c r="O1316" i="24"/>
  <c r="AH1323" i="24"/>
  <c r="AB1341" i="24"/>
  <c r="AH1347" i="24"/>
  <c r="AH1362" i="24"/>
  <c r="E80" i="26"/>
  <c r="AB1177" i="24"/>
  <c r="AI1181" i="24"/>
  <c r="Q1231" i="24"/>
  <c r="Y1231" i="24" s="1"/>
  <c r="AI1256" i="24"/>
  <c r="AB1275" i="24"/>
  <c r="O1284" i="24"/>
  <c r="AA1284" i="24"/>
  <c r="Q1285" i="24"/>
  <c r="Y1285" i="24" s="1"/>
  <c r="O1290" i="24"/>
  <c r="L101" i="14" s="1"/>
  <c r="AB1291" i="24"/>
  <c r="AB1317" i="24"/>
  <c r="AA1321" i="24"/>
  <c r="AB1322" i="24"/>
  <c r="AI1323" i="24"/>
  <c r="AH1328" i="24"/>
  <c r="AA1337" i="24"/>
  <c r="AI1347" i="24"/>
  <c r="AH1352" i="24"/>
  <c r="Q1097" i="24"/>
  <c r="Y1097" i="24" s="1"/>
  <c r="AA1174" i="24"/>
  <c r="AH1180" i="24"/>
  <c r="AA1205" i="24"/>
  <c r="AI1233" i="24"/>
  <c r="AB1249" i="24"/>
  <c r="Q1254" i="24"/>
  <c r="Y1254" i="24" s="1"/>
  <c r="AI1261" i="24"/>
  <c r="AB1270" i="24"/>
  <c r="AH1303" i="24"/>
  <c r="AA1325" i="24"/>
  <c r="AI1328" i="24"/>
  <c r="AA1349" i="24"/>
  <c r="AI1352" i="24"/>
  <c r="E81" i="26"/>
  <c r="AB1151" i="24"/>
  <c r="AA1165" i="24"/>
  <c r="O1174" i="24"/>
  <c r="AB1225" i="24"/>
  <c r="Q1260" i="24"/>
  <c r="Y1260" i="24" s="1"/>
  <c r="AB1260" i="24"/>
  <c r="AH1287" i="24"/>
  <c r="Q1301" i="24"/>
  <c r="Y1301" i="24" s="1"/>
  <c r="AI1303" i="24"/>
  <c r="AI1308" i="24"/>
  <c r="AB1326" i="24"/>
  <c r="O1171" i="24"/>
  <c r="AB1350" i="24"/>
  <c r="AA1354" i="24"/>
  <c r="AA1202" i="24"/>
  <c r="O1202" i="24"/>
  <c r="L91" i="17" s="1"/>
  <c r="Q1204" i="24"/>
  <c r="Y1204" i="24" s="1"/>
  <c r="AB1212" i="24"/>
  <c r="AH1220" i="24"/>
  <c r="Q1237" i="24"/>
  <c r="AH1244" i="24"/>
  <c r="AH1255" i="24"/>
  <c r="Q1265" i="24"/>
  <c r="AA1273" i="24"/>
  <c r="AB1274" i="24"/>
  <c r="AH1275" i="24"/>
  <c r="Q1307" i="24"/>
  <c r="Y1307" i="24" s="1"/>
  <c r="AB1307" i="24"/>
  <c r="Q1312" i="24"/>
  <c r="AI1332" i="24"/>
  <c r="AA1344" i="24"/>
  <c r="AA1106" i="24"/>
  <c r="AI1220" i="24"/>
  <c r="Q1230" i="24"/>
  <c r="Y1230" i="24" s="1"/>
  <c r="AH1232" i="24"/>
  <c r="AI1244" i="24"/>
  <c r="AI1275" i="24"/>
  <c r="AH1291" i="24"/>
  <c r="AH1327" i="24"/>
  <c r="Q1331" i="24"/>
  <c r="Y1331" i="24" s="1"/>
  <c r="AB1331" i="24"/>
  <c r="Q1336" i="24"/>
  <c r="AB1345" i="24"/>
  <c r="AH1351" i="24"/>
  <c r="Q1354" i="24"/>
  <c r="Y1355" i="24" s="1"/>
  <c r="AB1355" i="24"/>
  <c r="AI1356" i="24"/>
  <c r="E72" i="26"/>
  <c r="Q1255" i="24"/>
  <c r="Y1255" i="24" s="1"/>
  <c r="Q1278" i="24"/>
  <c r="Y1278" i="24" s="1"/>
  <c r="Q1326" i="24"/>
  <c r="Y1326" i="24" s="1"/>
  <c r="Q1225" i="24"/>
  <c r="AA1332" i="24"/>
  <c r="AA1356" i="24"/>
  <c r="O1273" i="24"/>
  <c r="O1297" i="24"/>
  <c r="O1321" i="24"/>
  <c r="O75" i="24"/>
  <c r="N100" i="15" l="1"/>
  <c r="H45" i="18"/>
  <c r="N31" i="16"/>
  <c r="F41" i="8"/>
  <c r="F48" i="8"/>
  <c r="E48" i="8"/>
  <c r="D48" i="8"/>
  <c r="H48" i="8"/>
  <c r="L21" i="21"/>
  <c r="L95" i="17"/>
  <c r="Y457" i="24"/>
  <c r="I98" i="14"/>
  <c r="N126" i="16"/>
  <c r="A69" i="19"/>
  <c r="D11" i="22"/>
  <c r="L88" i="15"/>
  <c r="L64" i="13"/>
  <c r="L91" i="12"/>
  <c r="L32" i="13"/>
  <c r="Y749" i="24"/>
  <c r="Y1029" i="24"/>
  <c r="L68" i="11"/>
  <c r="L104" i="15"/>
  <c r="L19" i="15"/>
  <c r="L10" i="10"/>
  <c r="Y567" i="24"/>
  <c r="L84" i="19"/>
  <c r="L87" i="14"/>
  <c r="Y668" i="24"/>
  <c r="E41" i="8"/>
  <c r="A92" i="14"/>
  <c r="Y262" i="24"/>
  <c r="D44" i="8"/>
  <c r="Y736" i="24"/>
  <c r="Y1272" i="24"/>
  <c r="Y399" i="24"/>
  <c r="Y504" i="24"/>
  <c r="Y527" i="24"/>
  <c r="Y1342" i="24"/>
  <c r="Y173" i="24"/>
  <c r="Y1108" i="24"/>
  <c r="Y710" i="24"/>
  <c r="Y403" i="24"/>
  <c r="Y1046" i="24"/>
  <c r="Y761" i="24"/>
  <c r="Y103" i="24"/>
  <c r="Y1138" i="24"/>
  <c r="L58" i="14"/>
  <c r="Y667" i="24"/>
  <c r="Y1289" i="24"/>
  <c r="Y510" i="24"/>
  <c r="Y585" i="24"/>
  <c r="Y579" i="24"/>
  <c r="Y651" i="24"/>
  <c r="Y783" i="24"/>
  <c r="Y717" i="24"/>
  <c r="Y775" i="24"/>
  <c r="Y1049" i="24"/>
  <c r="Y845" i="24"/>
  <c r="Y1020" i="24"/>
  <c r="Y1133" i="24"/>
  <c r="Y869" i="24"/>
  <c r="Y970" i="24"/>
  <c r="Y177" i="24"/>
  <c r="Y1068" i="24"/>
  <c r="Y725" i="24"/>
  <c r="Y574" i="24"/>
  <c r="Y194" i="24"/>
  <c r="Y960" i="24"/>
  <c r="Y497" i="24"/>
  <c r="Y281" i="24"/>
  <c r="Y1065" i="24"/>
  <c r="Y343" i="24"/>
  <c r="Y865" i="24"/>
  <c r="Y584" i="24"/>
  <c r="Y1327" i="24"/>
  <c r="Y779" i="24"/>
  <c r="Y1225" i="24"/>
  <c r="Y543" i="24"/>
  <c r="Y525" i="24"/>
  <c r="Y236" i="24"/>
  <c r="Y459" i="24"/>
  <c r="K71" i="14"/>
  <c r="E71" i="14"/>
  <c r="L97" i="12"/>
  <c r="L63" i="13"/>
  <c r="L95" i="11"/>
  <c r="L90" i="10"/>
  <c r="L106" i="11"/>
  <c r="L26" i="10"/>
  <c r="L75" i="16"/>
  <c r="L81" i="16"/>
  <c r="L13" i="19"/>
  <c r="L85" i="17"/>
  <c r="L20" i="21"/>
  <c r="L11" i="22"/>
  <c r="L85" i="14"/>
  <c r="L97" i="10"/>
  <c r="L88" i="17"/>
  <c r="J60" i="10"/>
  <c r="B60" i="10"/>
  <c r="L23" i="22"/>
  <c r="A106" i="10"/>
  <c r="B106" i="10"/>
  <c r="C106" i="10"/>
  <c r="D106" i="10"/>
  <c r="E106" i="10"/>
  <c r="F106" i="10"/>
  <c r="G106" i="10"/>
  <c r="H106" i="10"/>
  <c r="I106" i="10"/>
  <c r="J106" i="10"/>
  <c r="K106" i="10"/>
  <c r="L106" i="10"/>
  <c r="M106" i="10"/>
  <c r="N106" i="10"/>
  <c r="A61" i="12"/>
  <c r="B61" i="12"/>
  <c r="C61" i="12"/>
  <c r="D61" i="12"/>
  <c r="E61" i="12"/>
  <c r="F61" i="12"/>
  <c r="G61" i="12"/>
  <c r="H61" i="12"/>
  <c r="I61" i="12"/>
  <c r="J61" i="12"/>
  <c r="K61" i="12"/>
  <c r="L61" i="12"/>
  <c r="M61" i="12"/>
  <c r="N61" i="12"/>
  <c r="A107" i="10"/>
  <c r="B107" i="10"/>
  <c r="C107" i="10"/>
  <c r="D107" i="10"/>
  <c r="E107" i="10"/>
  <c r="F107" i="10"/>
  <c r="G107" i="10"/>
  <c r="H107" i="10"/>
  <c r="I107" i="10"/>
  <c r="J107" i="10"/>
  <c r="K107" i="10"/>
  <c r="L107" i="10"/>
  <c r="M107" i="10"/>
  <c r="N107" i="10"/>
  <c r="L36" i="23"/>
  <c r="L81" i="17"/>
  <c r="L15" i="14"/>
  <c r="L61" i="14"/>
  <c r="L105" i="11"/>
  <c r="L85" i="11"/>
  <c r="G129" i="10"/>
  <c r="K43" i="10"/>
  <c r="C121" i="10"/>
  <c r="M111" i="10"/>
  <c r="N14" i="10"/>
  <c r="J53" i="10"/>
  <c r="L94" i="10"/>
  <c r="C17" i="10"/>
  <c r="K89" i="10"/>
  <c r="B9" i="10"/>
  <c r="J100" i="10"/>
  <c r="I73" i="10"/>
  <c r="E71" i="10"/>
  <c r="F77" i="10"/>
  <c r="J104" i="10"/>
  <c r="J41" i="10"/>
  <c r="N93" i="10"/>
  <c r="M128" i="10"/>
  <c r="D78" i="10"/>
  <c r="N45" i="10"/>
  <c r="J12" i="10"/>
  <c r="A56" i="10"/>
  <c r="G38" i="10"/>
  <c r="M108" i="10"/>
  <c r="N95" i="10"/>
  <c r="D63" i="10"/>
  <c r="K126" i="10"/>
  <c r="J92" i="10"/>
  <c r="A81" i="10"/>
  <c r="A72" i="10"/>
  <c r="H52" i="10"/>
  <c r="D105" i="10"/>
  <c r="M127" i="10"/>
  <c r="F74" i="10"/>
  <c r="J44" i="10"/>
  <c r="I80" i="10"/>
  <c r="E25" i="10"/>
  <c r="D87" i="10"/>
  <c r="I11" i="10"/>
  <c r="G76" i="10"/>
  <c r="N86" i="10"/>
  <c r="F55" i="10"/>
  <c r="I28" i="10"/>
  <c r="G82" i="10"/>
  <c r="L20" i="10"/>
  <c r="J39" i="10"/>
  <c r="C42" i="10"/>
  <c r="E59" i="10"/>
  <c r="M109" i="10"/>
  <c r="J96" i="10"/>
  <c r="G97" i="10"/>
  <c r="D46" i="10"/>
  <c r="M120" i="10"/>
  <c r="C31" i="15"/>
  <c r="K15" i="15"/>
  <c r="G15" i="15"/>
  <c r="G34" i="19"/>
  <c r="L118" i="17"/>
  <c r="K13" i="19"/>
  <c r="A81" i="16"/>
  <c r="F13" i="18"/>
  <c r="D81" i="16"/>
  <c r="G13" i="18"/>
  <c r="E81" i="16"/>
  <c r="H13" i="18"/>
  <c r="K81" i="16"/>
  <c r="J13" i="18"/>
  <c r="F81" i="16"/>
  <c r="G41" i="8"/>
  <c r="K13" i="18"/>
  <c r="J81" i="16"/>
  <c r="L20" i="16"/>
  <c r="K65" i="18"/>
  <c r="F9" i="18"/>
  <c r="N65" i="18"/>
  <c r="N9" i="18"/>
  <c r="B15" i="15"/>
  <c r="L89" i="14"/>
  <c r="L31" i="15"/>
  <c r="C9" i="18"/>
  <c r="F15" i="15"/>
  <c r="J15" i="15"/>
  <c r="D24" i="19"/>
  <c r="A80" i="17"/>
  <c r="B80" i="17"/>
  <c r="J72" i="15"/>
  <c r="H109" i="16"/>
  <c r="H41" i="8"/>
  <c r="B24" i="19"/>
  <c r="F15" i="16"/>
  <c r="K80" i="17"/>
  <c r="E72" i="15"/>
  <c r="J109" i="16"/>
  <c r="D41" i="8"/>
  <c r="L15" i="16"/>
  <c r="A116" i="18"/>
  <c r="D29" i="15"/>
  <c r="A55" i="16"/>
  <c r="I72" i="15"/>
  <c r="N109" i="16"/>
  <c r="B129" i="18"/>
  <c r="C116" i="18"/>
  <c r="I16" i="15"/>
  <c r="C55" i="16"/>
  <c r="C105" i="13"/>
  <c r="A109" i="16"/>
  <c r="B28" i="12"/>
  <c r="D129" i="18"/>
  <c r="G116" i="18"/>
  <c r="D23" i="17"/>
  <c r="D55" i="16"/>
  <c r="H105" i="13"/>
  <c r="D109" i="16"/>
  <c r="C28" i="12"/>
  <c r="K23" i="17"/>
  <c r="E55" i="16"/>
  <c r="E109" i="16"/>
  <c r="F28" i="12"/>
  <c r="L109" i="16"/>
  <c r="I28" i="12"/>
  <c r="L129" i="18"/>
  <c r="L116" i="18"/>
  <c r="I9" i="18"/>
  <c r="F55" i="16"/>
  <c r="J28" i="12"/>
  <c r="N129" i="18"/>
  <c r="H116" i="18"/>
  <c r="L9" i="18"/>
  <c r="L55" i="16"/>
  <c r="K28" i="12"/>
  <c r="B91" i="14"/>
  <c r="F129" i="18"/>
  <c r="H9" i="18"/>
  <c r="A28" i="12"/>
  <c r="J91" i="14"/>
  <c r="E107" i="14"/>
  <c r="E28" i="12"/>
  <c r="A91" i="14"/>
  <c r="F91" i="14"/>
  <c r="H14" i="18"/>
  <c r="A34" i="15"/>
  <c r="N85" i="15"/>
  <c r="I91" i="14"/>
  <c r="L14" i="18"/>
  <c r="I24" i="19"/>
  <c r="C34" i="15"/>
  <c r="B85" i="15"/>
  <c r="L91" i="14"/>
  <c r="N24" i="19"/>
  <c r="D85" i="15"/>
  <c r="N91" i="14"/>
  <c r="L24" i="19"/>
  <c r="J24" i="19"/>
  <c r="G29" i="15"/>
  <c r="G107" i="14"/>
  <c r="H24" i="19"/>
  <c r="G24" i="19"/>
  <c r="E80" i="17"/>
  <c r="D107" i="14"/>
  <c r="F109" i="16"/>
  <c r="B104" i="14"/>
  <c r="B107" i="14"/>
  <c r="G109" i="16"/>
  <c r="D58" i="19"/>
  <c r="I49" i="8"/>
  <c r="I58" i="19"/>
  <c r="C104" i="10"/>
  <c r="H58" i="19"/>
  <c r="K75" i="17"/>
  <c r="N104" i="10"/>
  <c r="F49" i="8"/>
  <c r="L34" i="12"/>
  <c r="K104" i="10"/>
  <c r="H49" i="8"/>
  <c r="B104" i="10"/>
  <c r="F104" i="10"/>
  <c r="G104" i="10"/>
  <c r="H104" i="10"/>
  <c r="E49" i="8"/>
  <c r="C32" i="17"/>
  <c r="G49" i="8"/>
  <c r="E104" i="10"/>
  <c r="G76" i="15"/>
  <c r="L24" i="11"/>
  <c r="K95" i="20"/>
  <c r="L38" i="12"/>
  <c r="L41" i="12"/>
  <c r="L13" i="13"/>
  <c r="F10" i="15"/>
  <c r="L87" i="10"/>
  <c r="L17" i="10"/>
  <c r="I66" i="14"/>
  <c r="A128" i="12"/>
  <c r="E103" i="12"/>
  <c r="N92" i="12"/>
  <c r="B67" i="12"/>
  <c r="F73" i="12"/>
  <c r="G64" i="12"/>
  <c r="G75" i="12"/>
  <c r="N78" i="12"/>
  <c r="E89" i="12"/>
  <c r="H102" i="12"/>
  <c r="K76" i="12"/>
  <c r="J77" i="12"/>
  <c r="E87" i="12"/>
  <c r="G97" i="12"/>
  <c r="K88" i="12"/>
  <c r="N93" i="12"/>
  <c r="G79" i="12"/>
  <c r="G62" i="12"/>
  <c r="A89" i="10"/>
  <c r="F105" i="12"/>
  <c r="F69" i="12"/>
  <c r="L99" i="12"/>
  <c r="E85" i="12"/>
  <c r="N68" i="12"/>
  <c r="L95" i="12"/>
  <c r="N96" i="12"/>
  <c r="L63" i="12"/>
  <c r="G100" i="12"/>
  <c r="I72" i="12"/>
  <c r="E70" i="12"/>
  <c r="B81" i="12"/>
  <c r="K80" i="12"/>
  <c r="B128" i="12"/>
  <c r="C128" i="12"/>
  <c r="F104" i="12"/>
  <c r="K101" i="12"/>
  <c r="E124" i="11"/>
  <c r="L18" i="10"/>
  <c r="J12" i="13"/>
  <c r="I17" i="10"/>
  <c r="L12" i="13"/>
  <c r="E41" i="12"/>
  <c r="F41" i="12"/>
  <c r="B93" i="15"/>
  <c r="L57" i="13"/>
  <c r="H41" i="12"/>
  <c r="D93" i="15"/>
  <c r="E66" i="14"/>
  <c r="J57" i="13"/>
  <c r="F93" i="15"/>
  <c r="H66" i="14"/>
  <c r="G12" i="13"/>
  <c r="A38" i="12"/>
  <c r="B50" i="13"/>
  <c r="E50" i="13"/>
  <c r="F50" i="13"/>
  <c r="J38" i="12"/>
  <c r="C26" i="15"/>
  <c r="H93" i="15"/>
  <c r="I9" i="17"/>
  <c r="K30" i="11"/>
  <c r="C92" i="16"/>
  <c r="A19" i="15"/>
  <c r="A30" i="11"/>
  <c r="D19" i="15"/>
  <c r="B30" i="11"/>
  <c r="C30" i="11"/>
  <c r="D30" i="11"/>
  <c r="E30" i="11"/>
  <c r="F30" i="11"/>
  <c r="G30" i="11"/>
  <c r="I30" i="11"/>
  <c r="J30" i="11"/>
  <c r="H98" i="14"/>
  <c r="H30" i="11"/>
  <c r="A21" i="18"/>
  <c r="F21" i="18"/>
  <c r="L9" i="17"/>
  <c r="G53" i="18"/>
  <c r="B53" i="18"/>
  <c r="I45" i="17"/>
  <c r="J45" i="17"/>
  <c r="H44" i="16"/>
  <c r="F39" i="8"/>
  <c r="G39" i="8"/>
  <c r="L12" i="15"/>
  <c r="L19" i="13"/>
  <c r="F77" i="15"/>
  <c r="J76" i="15"/>
  <c r="C86" i="16"/>
  <c r="D86" i="16"/>
  <c r="E86" i="16"/>
  <c r="C41" i="15"/>
  <c r="D41" i="15"/>
  <c r="I102" i="18"/>
  <c r="C122" i="13"/>
  <c r="F122" i="13"/>
  <c r="M122" i="13"/>
  <c r="J122" i="13"/>
  <c r="I28" i="18"/>
  <c r="L86" i="17"/>
  <c r="G86" i="17"/>
  <c r="D62" i="17"/>
  <c r="D120" i="16"/>
  <c r="B124" i="15"/>
  <c r="C62" i="17"/>
  <c r="G75" i="15"/>
  <c r="I54" i="16"/>
  <c r="L16" i="10"/>
  <c r="J91" i="17"/>
  <c r="G35" i="20"/>
  <c r="E42" i="8"/>
  <c r="B120" i="16"/>
  <c r="J115" i="20"/>
  <c r="C47" i="15"/>
  <c r="B85" i="16"/>
  <c r="E14" i="20"/>
  <c r="F14" i="20"/>
  <c r="E102" i="18"/>
  <c r="L53" i="15"/>
  <c r="E75" i="15"/>
  <c r="A67" i="19"/>
  <c r="C35" i="20"/>
  <c r="F44" i="16"/>
  <c r="K35" i="20"/>
  <c r="G44" i="16"/>
  <c r="H15" i="12"/>
  <c r="L35" i="20"/>
  <c r="C101" i="17"/>
  <c r="A42" i="10"/>
  <c r="L15" i="12"/>
  <c r="D128" i="15"/>
  <c r="K111" i="12"/>
  <c r="L111" i="12"/>
  <c r="G43" i="8"/>
  <c r="L69" i="10"/>
  <c r="L16" i="20"/>
  <c r="F53" i="15"/>
  <c r="L35" i="14"/>
  <c r="H27" i="10"/>
  <c r="J43" i="10"/>
  <c r="D43" i="10"/>
  <c r="D58" i="15"/>
  <c r="G43" i="10"/>
  <c r="C95" i="15"/>
  <c r="L60" i="16"/>
  <c r="C43" i="10"/>
  <c r="I43" i="10"/>
  <c r="E25" i="18"/>
  <c r="I25" i="18"/>
  <c r="N12" i="15"/>
  <c r="N100" i="14"/>
  <c r="E18" i="14"/>
  <c r="E77" i="10"/>
  <c r="I18" i="14"/>
  <c r="H64" i="12"/>
  <c r="N43" i="10"/>
  <c r="B76" i="19"/>
  <c r="D43" i="8"/>
  <c r="C76" i="19"/>
  <c r="A105" i="15"/>
  <c r="F43" i="10"/>
  <c r="K105" i="15"/>
  <c r="A77" i="14"/>
  <c r="L112" i="17"/>
  <c r="J73" i="15"/>
  <c r="L43" i="10"/>
  <c r="D77" i="14"/>
  <c r="J23" i="20"/>
  <c r="E62" i="17"/>
  <c r="F120" i="16"/>
  <c r="K12" i="15"/>
  <c r="J63" i="10"/>
  <c r="I32" i="17"/>
  <c r="G117" i="12"/>
  <c r="K9" i="10"/>
  <c r="B25" i="19"/>
  <c r="D64" i="13"/>
  <c r="A25" i="19"/>
  <c r="D95" i="20"/>
  <c r="L71" i="11"/>
  <c r="B30" i="19"/>
  <c r="F95" i="20"/>
  <c r="C100" i="20"/>
  <c r="D66" i="18"/>
  <c r="A15" i="19"/>
  <c r="C106" i="15"/>
  <c r="D111" i="15"/>
  <c r="G115" i="20"/>
  <c r="B43" i="20"/>
  <c r="E43" i="20"/>
  <c r="N106" i="14"/>
  <c r="L33" i="19"/>
  <c r="K43" i="20"/>
  <c r="I39" i="8"/>
  <c r="N14" i="20"/>
  <c r="K67" i="12"/>
  <c r="L17" i="22"/>
  <c r="E112" i="15"/>
  <c r="D63" i="5"/>
  <c r="L34" i="23"/>
  <c r="L29" i="11"/>
  <c r="C115" i="20"/>
  <c r="C94" i="11"/>
  <c r="A94" i="11"/>
  <c r="L15" i="13"/>
  <c r="L108" i="15"/>
  <c r="L76" i="14"/>
  <c r="H60" i="14"/>
  <c r="L94" i="11"/>
  <c r="L29" i="16"/>
  <c r="L106" i="12"/>
  <c r="L60" i="14"/>
  <c r="L62" i="13"/>
  <c r="L53" i="11"/>
  <c r="L96" i="13"/>
  <c r="L71" i="15"/>
  <c r="D37" i="18"/>
  <c r="H69" i="12"/>
  <c r="I37" i="18"/>
  <c r="N115" i="13"/>
  <c r="L64" i="14"/>
  <c r="L67" i="10"/>
  <c r="L55" i="12"/>
  <c r="N15" i="19"/>
  <c r="G91" i="17"/>
  <c r="G118" i="18"/>
  <c r="I43" i="8"/>
  <c r="H9" i="23"/>
  <c r="A10" i="19"/>
  <c r="H118" i="18"/>
  <c r="E12" i="12"/>
  <c r="C29" i="12"/>
  <c r="K9" i="23"/>
  <c r="J10" i="19"/>
  <c r="I115" i="20"/>
  <c r="I118" i="18"/>
  <c r="H37" i="14"/>
  <c r="G81" i="16"/>
  <c r="G12" i="12"/>
  <c r="I104" i="10"/>
  <c r="N9" i="23"/>
  <c r="K53" i="18"/>
  <c r="G53" i="17"/>
  <c r="B9" i="23"/>
  <c r="L27" i="17"/>
  <c r="C68" i="15"/>
  <c r="I25" i="10"/>
  <c r="F9" i="23"/>
  <c r="E68" i="15"/>
  <c r="A85" i="16"/>
  <c r="G68" i="15"/>
  <c r="C58" i="18"/>
  <c r="C21" i="18"/>
  <c r="I100" i="20"/>
  <c r="L107" i="17"/>
  <c r="I85" i="16"/>
  <c r="C19" i="15"/>
  <c r="B81" i="16"/>
  <c r="C15" i="15"/>
  <c r="E47" i="8"/>
  <c r="N25" i="19"/>
  <c r="G21" i="18"/>
  <c r="I92" i="16"/>
  <c r="B19" i="15"/>
  <c r="G52" i="14"/>
  <c r="H29" i="12"/>
  <c r="F25" i="10"/>
  <c r="I21" i="18"/>
  <c r="J92" i="16"/>
  <c r="B45" i="17"/>
  <c r="F23" i="19"/>
  <c r="L21" i="18"/>
  <c r="J108" i="15"/>
  <c r="C45" i="17"/>
  <c r="C12" i="12"/>
  <c r="B95" i="20"/>
  <c r="I95" i="20"/>
  <c r="G107" i="15"/>
  <c r="H45" i="17"/>
  <c r="H126" i="16"/>
  <c r="L25" i="10"/>
  <c r="H25" i="10"/>
  <c r="F12" i="12"/>
  <c r="B107" i="15"/>
  <c r="J126" i="16"/>
  <c r="D115" i="20"/>
  <c r="H95" i="20"/>
  <c r="C27" i="17"/>
  <c r="A45" i="17"/>
  <c r="D68" i="15"/>
  <c r="F29" i="12"/>
  <c r="H52" i="13"/>
  <c r="I12" i="11"/>
  <c r="B115" i="20"/>
  <c r="J95" i="20"/>
  <c r="F109" i="13"/>
  <c r="C9" i="21"/>
  <c r="K115" i="20"/>
  <c r="N13" i="18"/>
  <c r="C53" i="17"/>
  <c r="E92" i="12"/>
  <c r="G9" i="21"/>
  <c r="A43" i="20"/>
  <c r="H65" i="18"/>
  <c r="D13" i="18"/>
  <c r="F53" i="17"/>
  <c r="E85" i="14"/>
  <c r="A53" i="18"/>
  <c r="H27" i="17"/>
  <c r="A104" i="10"/>
  <c r="D104" i="10"/>
  <c r="F81" i="19"/>
  <c r="E53" i="18"/>
  <c r="I13" i="18"/>
  <c r="A23" i="17"/>
  <c r="I81" i="16"/>
  <c r="J69" i="10"/>
  <c r="L104" i="10"/>
  <c r="J9" i="21"/>
  <c r="B92" i="14"/>
  <c r="K95" i="14"/>
  <c r="B34" i="13"/>
  <c r="F9" i="21"/>
  <c r="F93" i="12"/>
  <c r="I75" i="17"/>
  <c r="M107" i="16"/>
  <c r="D49" i="12"/>
  <c r="J58" i="19"/>
  <c r="L79" i="12"/>
  <c r="I9" i="10"/>
  <c r="L81" i="19"/>
  <c r="B63" i="10"/>
  <c r="J10" i="11"/>
  <c r="H86" i="10"/>
  <c r="E43" i="8"/>
  <c r="I30" i="19"/>
  <c r="B69" i="19"/>
  <c r="J9" i="16"/>
  <c r="K59" i="15"/>
  <c r="D16" i="10"/>
  <c r="C69" i="19"/>
  <c r="H59" i="15"/>
  <c r="D81" i="11"/>
  <c r="B13" i="12"/>
  <c r="J59" i="15"/>
  <c r="N33" i="13"/>
  <c r="I55" i="10"/>
  <c r="J79" i="15"/>
  <c r="J13" i="12"/>
  <c r="K81" i="19"/>
  <c r="L58" i="19"/>
  <c r="E119" i="16"/>
  <c r="J33" i="13"/>
  <c r="N13" i="12"/>
  <c r="L9" i="10"/>
  <c r="G11" i="19"/>
  <c r="M116" i="16"/>
  <c r="D17" i="12"/>
  <c r="A126" i="10"/>
  <c r="N116" i="16"/>
  <c r="G35" i="14"/>
  <c r="E17" i="12"/>
  <c r="H63" i="12"/>
  <c r="F9" i="10"/>
  <c r="H27" i="15"/>
  <c r="H9" i="10"/>
  <c r="I87" i="10"/>
  <c r="F43" i="8"/>
  <c r="C31" i="14"/>
  <c r="L78" i="12"/>
  <c r="L13" i="12"/>
  <c r="D14" i="20"/>
  <c r="A110" i="10"/>
  <c r="J14" i="20"/>
  <c r="I15" i="19"/>
  <c r="C9" i="10"/>
  <c r="B11" i="10"/>
  <c r="B14" i="20"/>
  <c r="A45" i="13"/>
  <c r="F17" i="12"/>
  <c r="C117" i="12"/>
  <c r="E11" i="10"/>
  <c r="L121" i="19"/>
  <c r="C118" i="18"/>
  <c r="K37" i="14"/>
  <c r="E15" i="7"/>
  <c r="L93" i="18"/>
  <c r="L37" i="14"/>
  <c r="B110" i="19"/>
  <c r="I93" i="18"/>
  <c r="H44" i="8"/>
  <c r="D110" i="19"/>
  <c r="M132" i="15"/>
  <c r="K116" i="15"/>
  <c r="A110" i="19"/>
  <c r="K39" i="18"/>
  <c r="K47" i="15"/>
  <c r="K107" i="15"/>
  <c r="I82" i="13"/>
  <c r="L39" i="18"/>
  <c r="E54" i="16"/>
  <c r="H9" i="17"/>
  <c r="F12" i="20"/>
  <c r="G47" i="15"/>
  <c r="E132" i="15"/>
  <c r="N9" i="17"/>
  <c r="I44" i="8"/>
  <c r="C10" i="13"/>
  <c r="D23" i="19"/>
  <c r="D35" i="20"/>
  <c r="A107" i="15"/>
  <c r="B9" i="17"/>
  <c r="I35" i="20"/>
  <c r="F47" i="16"/>
  <c r="H107" i="15"/>
  <c r="G85" i="16"/>
  <c r="H75" i="15"/>
  <c r="K86" i="17"/>
  <c r="F111" i="14"/>
  <c r="G44" i="8"/>
  <c r="J35" i="20"/>
  <c r="K9" i="17"/>
  <c r="B47" i="15"/>
  <c r="I47" i="15"/>
  <c r="C97" i="10"/>
  <c r="N35" i="20"/>
  <c r="I107" i="15"/>
  <c r="L14" i="11"/>
  <c r="G9" i="17"/>
  <c r="E80" i="15"/>
  <c r="C92" i="13"/>
  <c r="L110" i="19"/>
  <c r="F47" i="15"/>
  <c r="E65" i="13"/>
  <c r="K118" i="18"/>
  <c r="F124" i="15"/>
  <c r="K110" i="19"/>
  <c r="L118" i="18"/>
  <c r="E47" i="15"/>
  <c r="B53" i="15"/>
  <c r="F118" i="18"/>
  <c r="J125" i="14"/>
  <c r="D53" i="15"/>
  <c r="C107" i="16"/>
  <c r="L79" i="15"/>
  <c r="J107" i="16"/>
  <c r="G79" i="15"/>
  <c r="L35" i="17"/>
  <c r="B79" i="15"/>
  <c r="D57" i="12"/>
  <c r="I106" i="11"/>
  <c r="C48" i="17"/>
  <c r="A76" i="11"/>
  <c r="A115" i="20"/>
  <c r="J84" i="16"/>
  <c r="C57" i="12"/>
  <c r="H35" i="15"/>
  <c r="C91" i="17"/>
  <c r="I69" i="15"/>
  <c r="F63" i="17"/>
  <c r="J35" i="15"/>
  <c r="I125" i="16"/>
  <c r="I63" i="17"/>
  <c r="G52" i="16"/>
  <c r="H52" i="16"/>
  <c r="N52" i="16"/>
  <c r="K52" i="16"/>
  <c r="H124" i="12"/>
  <c r="N49" i="17"/>
  <c r="L107" i="16"/>
  <c r="K108" i="10"/>
  <c r="K35" i="15"/>
  <c r="C13" i="15"/>
  <c r="F11" i="13"/>
  <c r="I11" i="13"/>
  <c r="K11" i="13"/>
  <c r="D115" i="17"/>
  <c r="H100" i="17"/>
  <c r="G108" i="15"/>
  <c r="A115" i="17"/>
  <c r="C18" i="21"/>
  <c r="C63" i="16"/>
  <c r="I132" i="11"/>
  <c r="B18" i="20"/>
  <c r="C120" i="16"/>
  <c r="B62" i="17"/>
  <c r="E44" i="16"/>
  <c r="H63" i="16"/>
  <c r="G16" i="21"/>
  <c r="I49" i="18"/>
  <c r="H62" i="17"/>
  <c r="G120" i="16"/>
  <c r="H36" i="15"/>
  <c r="G99" i="12"/>
  <c r="K44" i="16"/>
  <c r="B95" i="16"/>
  <c r="I99" i="12"/>
  <c r="C95" i="16"/>
  <c r="H95" i="16"/>
  <c r="N115" i="16"/>
  <c r="L21" i="16"/>
  <c r="J49" i="18"/>
  <c r="M111" i="13"/>
  <c r="I71" i="14"/>
  <c r="G95" i="10"/>
  <c r="H95" i="10"/>
  <c r="L20" i="20"/>
  <c r="I60" i="14"/>
  <c r="C71" i="14"/>
  <c r="I95" i="10"/>
  <c r="E83" i="18"/>
  <c r="K60" i="14"/>
  <c r="N71" i="14"/>
  <c r="L95" i="10"/>
  <c r="D96" i="15"/>
  <c r="I109" i="13"/>
  <c r="C115" i="13"/>
  <c r="D71" i="14"/>
  <c r="C95" i="10"/>
  <c r="L53" i="22"/>
  <c r="F36" i="15"/>
  <c r="G20" i="14"/>
  <c r="B109" i="13"/>
  <c r="B65" i="16"/>
  <c r="D44" i="14"/>
  <c r="F113" i="11"/>
  <c r="B102" i="18"/>
  <c r="D36" i="15"/>
  <c r="H111" i="11"/>
  <c r="L11" i="13"/>
  <c r="J110" i="13"/>
  <c r="F11" i="16"/>
  <c r="L50" i="18"/>
  <c r="J11" i="16"/>
  <c r="L53" i="13"/>
  <c r="C28" i="23"/>
  <c r="F51" i="16"/>
  <c r="H127" i="16"/>
  <c r="N11" i="16"/>
  <c r="C61" i="18"/>
  <c r="H51" i="16"/>
  <c r="I127" i="16"/>
  <c r="J68" i="10"/>
  <c r="C11" i="16"/>
  <c r="D61" i="18"/>
  <c r="I51" i="16"/>
  <c r="L11" i="16"/>
  <c r="K12" i="5"/>
  <c r="J22" i="19"/>
  <c r="C108" i="16"/>
  <c r="D30" i="16"/>
  <c r="L16" i="14"/>
  <c r="K85" i="18"/>
  <c r="C84" i="18"/>
  <c r="M9" i="17"/>
  <c r="H9" i="15"/>
  <c r="A93" i="16"/>
  <c r="L79" i="18"/>
  <c r="I85" i="18"/>
  <c r="F27" i="19"/>
  <c r="A34" i="14"/>
  <c r="F93" i="16"/>
  <c r="L11" i="23"/>
  <c r="L85" i="18"/>
  <c r="D73" i="15"/>
  <c r="G54" i="12"/>
  <c r="G93" i="16"/>
  <c r="H84" i="11"/>
  <c r="D49" i="10"/>
  <c r="L91" i="10"/>
  <c r="L19" i="17"/>
  <c r="K28" i="22"/>
  <c r="G108" i="16"/>
  <c r="G73" i="15"/>
  <c r="L84" i="11"/>
  <c r="G112" i="13"/>
  <c r="L38" i="22"/>
  <c r="H85" i="18"/>
  <c r="K41" i="17"/>
  <c r="A89" i="15"/>
  <c r="N84" i="11"/>
  <c r="H112" i="13"/>
  <c r="L89" i="15"/>
  <c r="L14" i="13"/>
  <c r="J84" i="11"/>
  <c r="G117" i="15"/>
  <c r="C9" i="13"/>
  <c r="L69" i="17"/>
  <c r="L28" i="13"/>
  <c r="B110" i="16"/>
  <c r="J21" i="16"/>
  <c r="B11" i="16"/>
  <c r="H11" i="16"/>
  <c r="K21" i="16"/>
  <c r="A56" i="12"/>
  <c r="G125" i="15"/>
  <c r="F14" i="13"/>
  <c r="L93" i="16"/>
  <c r="G14" i="13"/>
  <c r="D112" i="17"/>
  <c r="K14" i="13"/>
  <c r="L21" i="19"/>
  <c r="J112" i="17"/>
  <c r="N79" i="11"/>
  <c r="K121" i="19"/>
  <c r="F23" i="20"/>
  <c r="C63" i="5"/>
  <c r="L14" i="20"/>
  <c r="F41" i="19"/>
  <c r="A121" i="19"/>
  <c r="A19" i="20"/>
  <c r="D126" i="13"/>
  <c r="B20" i="14"/>
  <c r="C96" i="12"/>
  <c r="J72" i="17"/>
  <c r="J61" i="16"/>
  <c r="F19" i="20"/>
  <c r="D109" i="13"/>
  <c r="A71" i="14"/>
  <c r="B56" i="12"/>
  <c r="D96" i="12"/>
  <c r="K95" i="10"/>
  <c r="I16" i="23"/>
  <c r="B19" i="20"/>
  <c r="I35" i="11"/>
  <c r="A9" i="21"/>
  <c r="D30" i="19"/>
  <c r="E85" i="18"/>
  <c r="E11" i="19"/>
  <c r="H14" i="20"/>
  <c r="A10" i="18"/>
  <c r="H127" i="17"/>
  <c r="E126" i="19"/>
  <c r="A82" i="17"/>
  <c r="K116" i="16"/>
  <c r="B59" i="15"/>
  <c r="D69" i="15"/>
  <c r="A73" i="13"/>
  <c r="F60" i="14"/>
  <c r="B71" i="14"/>
  <c r="E99" i="12"/>
  <c r="F82" i="10"/>
  <c r="E49" i="11"/>
  <c r="J95" i="10"/>
  <c r="K126" i="19"/>
  <c r="H117" i="10"/>
  <c r="L126" i="19"/>
  <c r="B10" i="20"/>
  <c r="D126" i="19"/>
  <c r="F41" i="14"/>
  <c r="D24" i="10"/>
  <c r="J24" i="21"/>
  <c r="A29" i="18"/>
  <c r="A74" i="15"/>
  <c r="K101" i="14"/>
  <c r="F95" i="16"/>
  <c r="N68" i="14"/>
  <c r="F44" i="14"/>
  <c r="E119" i="13"/>
  <c r="G16" i="11"/>
  <c r="I93" i="12"/>
  <c r="I63" i="16"/>
  <c r="B112" i="13"/>
  <c r="L63" i="15"/>
  <c r="D9" i="21"/>
  <c r="N11" i="19"/>
  <c r="B68" i="18"/>
  <c r="D29" i="18"/>
  <c r="C69" i="14"/>
  <c r="J96" i="15"/>
  <c r="J95" i="16"/>
  <c r="G33" i="14"/>
  <c r="F103" i="14"/>
  <c r="A63" i="14"/>
  <c r="H44" i="14"/>
  <c r="G13" i="13"/>
  <c r="B79" i="12"/>
  <c r="G68" i="12"/>
  <c r="A63" i="16"/>
  <c r="I103" i="11"/>
  <c r="C117" i="11"/>
  <c r="L19" i="20"/>
  <c r="E24" i="21"/>
  <c r="I11" i="19"/>
  <c r="C68" i="18"/>
  <c r="H29" i="18"/>
  <c r="L69" i="14"/>
  <c r="F95" i="14"/>
  <c r="A126" i="13"/>
  <c r="H100" i="12"/>
  <c r="D20" i="14"/>
  <c r="J44" i="14"/>
  <c r="H13" i="13"/>
  <c r="G125" i="12"/>
  <c r="L68" i="12"/>
  <c r="B63" i="16"/>
  <c r="F117" i="11"/>
  <c r="I13" i="20"/>
  <c r="K11" i="19"/>
  <c r="D68" i="18"/>
  <c r="L71" i="16"/>
  <c r="J51" i="15"/>
  <c r="A96" i="15"/>
  <c r="C28" i="15"/>
  <c r="F43" i="17"/>
  <c r="I100" i="12"/>
  <c r="E12" i="14"/>
  <c r="N44" i="14"/>
  <c r="D113" i="11"/>
  <c r="H17" i="12"/>
  <c r="D63" i="16"/>
  <c r="M126" i="10"/>
  <c r="K117" i="11"/>
  <c r="L30" i="22"/>
  <c r="B36" i="23"/>
  <c r="A18" i="20"/>
  <c r="C81" i="19"/>
  <c r="G68" i="18"/>
  <c r="L51" i="15"/>
  <c r="G96" i="15"/>
  <c r="F96" i="15"/>
  <c r="C96" i="15"/>
  <c r="H36" i="17"/>
  <c r="E83" i="16"/>
  <c r="I26" i="14"/>
  <c r="E63" i="16"/>
  <c r="J62" i="10"/>
  <c r="E117" i="10"/>
  <c r="I126" i="10"/>
  <c r="K22" i="10"/>
  <c r="B35" i="10"/>
  <c r="L32" i="19"/>
  <c r="B81" i="19"/>
  <c r="N68" i="18"/>
  <c r="F44" i="15"/>
  <c r="I96" i="15"/>
  <c r="J33" i="14"/>
  <c r="J87" i="15"/>
  <c r="B36" i="15"/>
  <c r="J119" i="15"/>
  <c r="I83" i="16"/>
  <c r="A20" i="11"/>
  <c r="K63" i="16"/>
  <c r="C35" i="10"/>
  <c r="D18" i="20"/>
  <c r="D81" i="19"/>
  <c r="B11" i="19"/>
  <c r="L102" i="19"/>
  <c r="L96" i="15"/>
  <c r="K119" i="16"/>
  <c r="L119" i="15"/>
  <c r="C52" i="12"/>
  <c r="J119" i="13"/>
  <c r="D93" i="12"/>
  <c r="F63" i="16"/>
  <c r="A24" i="12"/>
  <c r="H68" i="10"/>
  <c r="E47" i="11"/>
  <c r="H28" i="20"/>
  <c r="B102" i="19"/>
  <c r="G18" i="20"/>
  <c r="B13" i="20"/>
  <c r="J83" i="18"/>
  <c r="A124" i="18"/>
  <c r="D102" i="19"/>
  <c r="N36" i="15"/>
  <c r="E36" i="15"/>
  <c r="G31" i="14"/>
  <c r="E115" i="16"/>
  <c r="C114" i="14"/>
  <c r="B119" i="13"/>
  <c r="K45" i="13"/>
  <c r="C85" i="12"/>
  <c r="C78" i="12"/>
  <c r="K93" i="12"/>
  <c r="N63" i="16"/>
  <c r="D13" i="12"/>
  <c r="A95" i="10"/>
  <c r="I18" i="20"/>
  <c r="K83" i="18"/>
  <c r="A11" i="19"/>
  <c r="E124" i="18"/>
  <c r="E102" i="19"/>
  <c r="A46" i="16"/>
  <c r="K36" i="15"/>
  <c r="F33" i="14"/>
  <c r="L31" i="14"/>
  <c r="G115" i="16"/>
  <c r="E114" i="14"/>
  <c r="D119" i="13"/>
  <c r="L45" i="13"/>
  <c r="C83" i="13"/>
  <c r="G88" i="13"/>
  <c r="E13" i="12"/>
  <c r="B95" i="10"/>
  <c r="L71" i="10"/>
  <c r="K17" i="18"/>
  <c r="A83" i="18"/>
  <c r="K124" i="18"/>
  <c r="D127" i="17"/>
  <c r="I36" i="15"/>
  <c r="A95" i="16"/>
  <c r="C89" i="16"/>
  <c r="K108" i="18"/>
  <c r="A115" i="16"/>
  <c r="G114" i="14"/>
  <c r="L116" i="12"/>
  <c r="E59" i="12"/>
  <c r="J83" i="13"/>
  <c r="C81" i="10"/>
  <c r="J88" i="13"/>
  <c r="H13" i="12"/>
  <c r="D95" i="10"/>
  <c r="M124" i="18"/>
  <c r="G72" i="17"/>
  <c r="N32" i="17"/>
  <c r="E89" i="16"/>
  <c r="N108" i="18"/>
  <c r="C115" i="16"/>
  <c r="H114" i="14"/>
  <c r="N116" i="12"/>
  <c r="A36" i="12"/>
  <c r="J17" i="12"/>
  <c r="K83" i="13"/>
  <c r="C63" i="10"/>
  <c r="K88" i="13"/>
  <c r="B53" i="12"/>
  <c r="J127" i="16"/>
  <c r="K13" i="12"/>
  <c r="E95" i="10"/>
  <c r="A17" i="12"/>
  <c r="D43" i="20"/>
  <c r="C58" i="19"/>
  <c r="L66" i="17"/>
  <c r="K100" i="20"/>
  <c r="I41" i="17"/>
  <c r="A32" i="17"/>
  <c r="C119" i="16"/>
  <c r="G23" i="20"/>
  <c r="G89" i="16"/>
  <c r="D115" i="16"/>
  <c r="F31" i="16"/>
  <c r="E79" i="12"/>
  <c r="E36" i="12"/>
  <c r="K64" i="11"/>
  <c r="N83" i="13"/>
  <c r="J36" i="11"/>
  <c r="K71" i="10"/>
  <c r="E84" i="11"/>
  <c r="L127" i="16"/>
  <c r="I13" i="12"/>
  <c r="F95" i="10"/>
  <c r="G110" i="16"/>
  <c r="M116" i="13"/>
  <c r="C43" i="17"/>
  <c r="E26" i="14"/>
  <c r="C10" i="14"/>
  <c r="B28" i="23"/>
  <c r="F71" i="16"/>
  <c r="H42" i="15"/>
  <c r="D116" i="13"/>
  <c r="D43" i="17"/>
  <c r="G26" i="14"/>
  <c r="A28" i="23"/>
  <c r="H34" i="21"/>
  <c r="A111" i="18"/>
  <c r="E29" i="18"/>
  <c r="A101" i="16"/>
  <c r="J51" i="16"/>
  <c r="D25" i="15"/>
  <c r="N20" i="14"/>
  <c r="B36" i="17"/>
  <c r="A111" i="13"/>
  <c r="J125" i="12"/>
  <c r="C101" i="12"/>
  <c r="K19" i="11"/>
  <c r="G36" i="11"/>
  <c r="M127" i="16"/>
  <c r="D112" i="13"/>
  <c r="M117" i="15"/>
  <c r="E28" i="23"/>
  <c r="J85" i="18"/>
  <c r="A85" i="18"/>
  <c r="I19" i="17"/>
  <c r="B35" i="16"/>
  <c r="D51" i="16"/>
  <c r="E35" i="13"/>
  <c r="A20" i="14"/>
  <c r="D36" i="17"/>
  <c r="J109" i="13"/>
  <c r="B116" i="13"/>
  <c r="A125" i="12"/>
  <c r="M125" i="10"/>
  <c r="F80" i="10"/>
  <c r="C127" i="16"/>
  <c r="E112" i="13"/>
  <c r="K65" i="11"/>
  <c r="H28" i="23"/>
  <c r="N17" i="19"/>
  <c r="D83" i="18"/>
  <c r="K33" i="18"/>
  <c r="E87" i="17"/>
  <c r="B96" i="15"/>
  <c r="H96" i="15"/>
  <c r="E47" i="14"/>
  <c r="N44" i="17"/>
  <c r="C20" i="14"/>
  <c r="E36" i="17"/>
  <c r="G73" i="13"/>
  <c r="C109" i="13"/>
  <c r="F119" i="13"/>
  <c r="C125" i="12"/>
  <c r="I12" i="10"/>
  <c r="D127" i="16"/>
  <c r="I112" i="13"/>
  <c r="L112" i="10"/>
  <c r="A68" i="10"/>
  <c r="L31" i="19"/>
  <c r="L9" i="13"/>
  <c r="J28" i="23"/>
  <c r="E96" i="15"/>
  <c r="K96" i="15"/>
  <c r="C56" i="15"/>
  <c r="A69" i="15"/>
  <c r="J65" i="16"/>
  <c r="L73" i="13"/>
  <c r="J36" i="17"/>
  <c r="D60" i="14"/>
  <c r="B31" i="16"/>
  <c r="G119" i="13"/>
  <c r="E125" i="12"/>
  <c r="F68" i="12"/>
  <c r="L48" i="10"/>
  <c r="B68" i="10"/>
  <c r="N11" i="15"/>
  <c r="L103" i="10"/>
  <c r="L79" i="17"/>
  <c r="I28" i="23"/>
  <c r="C11" i="15"/>
  <c r="K56" i="15"/>
  <c r="J23" i="14"/>
  <c r="C69" i="15"/>
  <c r="A36" i="17"/>
  <c r="G102" i="12"/>
  <c r="A12" i="10"/>
  <c r="D11" i="15"/>
  <c r="H69" i="15"/>
  <c r="C36" i="17"/>
  <c r="G59" i="12"/>
  <c r="L11" i="15"/>
  <c r="I11" i="15"/>
  <c r="C22" i="11"/>
  <c r="L32" i="15"/>
  <c r="G83" i="18"/>
  <c r="C83" i="18"/>
  <c r="C122" i="17"/>
  <c r="J108" i="16"/>
  <c r="K25" i="17"/>
  <c r="D95" i="16"/>
  <c r="L69" i="15"/>
  <c r="K89" i="15"/>
  <c r="I36" i="17"/>
  <c r="J60" i="14"/>
  <c r="A122" i="14"/>
  <c r="L83" i="13"/>
  <c r="G84" i="11"/>
  <c r="A84" i="11"/>
  <c r="B61" i="11"/>
  <c r="B9" i="13"/>
  <c r="L90" i="20"/>
  <c r="L36" i="17"/>
  <c r="K30" i="18"/>
  <c r="B11" i="15"/>
  <c r="K108" i="16"/>
  <c r="D19" i="17"/>
  <c r="N69" i="15"/>
  <c r="K36" i="17"/>
  <c r="D54" i="12"/>
  <c r="H53" i="12"/>
  <c r="F9" i="13"/>
  <c r="L32" i="16"/>
  <c r="N83" i="18"/>
  <c r="M108" i="16"/>
  <c r="A36" i="15"/>
  <c r="I95" i="16"/>
  <c r="C36" i="15"/>
  <c r="B69" i="15"/>
  <c r="G36" i="17"/>
  <c r="N60" i="14"/>
  <c r="F54" i="12"/>
  <c r="A9" i="13"/>
  <c r="A92" i="13"/>
  <c r="E16" i="10"/>
  <c r="J53" i="12"/>
  <c r="A49" i="11"/>
  <c r="L11" i="11"/>
  <c r="D94" i="17"/>
  <c r="D123" i="17"/>
  <c r="B93" i="17"/>
  <c r="E100" i="16"/>
  <c r="B25" i="15"/>
  <c r="F69" i="15"/>
  <c r="F85" i="12"/>
  <c r="H54" i="12"/>
  <c r="D9" i="13"/>
  <c r="E92" i="13"/>
  <c r="C53" i="12"/>
  <c r="F84" i="11"/>
  <c r="H21" i="12"/>
  <c r="F49" i="11"/>
  <c r="G94" i="17"/>
  <c r="K93" i="17"/>
  <c r="C71" i="16"/>
  <c r="G25" i="15"/>
  <c r="D19" i="16"/>
  <c r="C34" i="14"/>
  <c r="F73" i="13"/>
  <c r="I85" i="12"/>
  <c r="E9" i="13"/>
  <c r="B57" i="15"/>
  <c r="D53" i="12"/>
  <c r="L21" i="12"/>
  <c r="G49" i="11"/>
  <c r="H94" i="17"/>
  <c r="C30" i="16"/>
  <c r="B30" i="16"/>
  <c r="I25" i="15"/>
  <c r="E34" i="14"/>
  <c r="F115" i="16"/>
  <c r="A44" i="14"/>
  <c r="G71" i="14"/>
  <c r="J85" i="12"/>
  <c r="K125" i="12"/>
  <c r="K9" i="13"/>
  <c r="C57" i="15"/>
  <c r="H19" i="11"/>
  <c r="F53" i="12"/>
  <c r="G21" i="12"/>
  <c r="C52" i="10"/>
  <c r="L19" i="16"/>
  <c r="E30" i="16"/>
  <c r="E109" i="17"/>
  <c r="E43" i="14"/>
  <c r="N61" i="16"/>
  <c r="G34" i="14"/>
  <c r="B44" i="14"/>
  <c r="J71" i="14"/>
  <c r="L85" i="12"/>
  <c r="A108" i="12"/>
  <c r="G9" i="13"/>
  <c r="B26" i="14"/>
  <c r="D57" i="15"/>
  <c r="G94" i="13"/>
  <c r="C91" i="15"/>
  <c r="I21" i="12"/>
  <c r="F52" i="10"/>
  <c r="B41" i="17"/>
  <c r="C93" i="17"/>
  <c r="C127" i="15"/>
  <c r="L43" i="14"/>
  <c r="A61" i="16"/>
  <c r="F123" i="15"/>
  <c r="C116" i="13"/>
  <c r="G71" i="15"/>
  <c r="L71" i="14"/>
  <c r="N85" i="12"/>
  <c r="B108" i="12"/>
  <c r="H9" i="13"/>
  <c r="F26" i="14"/>
  <c r="F57" i="15"/>
  <c r="I94" i="13"/>
  <c r="D91" i="15"/>
  <c r="J21" i="12"/>
  <c r="G85" i="18"/>
  <c r="E41" i="17"/>
  <c r="L55" i="17"/>
  <c r="H53" i="20"/>
  <c r="K123" i="15"/>
  <c r="J116" i="13"/>
  <c r="E109" i="13"/>
  <c r="A9" i="15"/>
  <c r="A109" i="13"/>
  <c r="I108" i="12"/>
  <c r="I9" i="13"/>
  <c r="H26" i="14"/>
  <c r="G57" i="15"/>
  <c r="F94" i="13"/>
  <c r="E80" i="10"/>
  <c r="E91" i="15"/>
  <c r="N21" i="12"/>
  <c r="L97" i="11"/>
  <c r="G41" i="17"/>
  <c r="A41" i="17"/>
  <c r="J53" i="20"/>
  <c r="E31" i="16"/>
  <c r="M123" i="15"/>
  <c r="B47" i="13"/>
  <c r="E79" i="13"/>
  <c r="G9" i="15"/>
  <c r="L113" i="11"/>
  <c r="J9" i="13"/>
  <c r="L26" i="14"/>
  <c r="I57" i="15"/>
  <c r="F91" i="15"/>
  <c r="D61" i="11"/>
  <c r="D28" i="23"/>
  <c r="B85" i="18"/>
  <c r="L41" i="17"/>
  <c r="C110" i="16"/>
  <c r="G38" i="17"/>
  <c r="C101" i="14"/>
  <c r="B21" i="16"/>
  <c r="H21" i="14"/>
  <c r="A32" i="15"/>
  <c r="B123" i="15"/>
  <c r="I43" i="17"/>
  <c r="E71" i="15"/>
  <c r="J9" i="15"/>
  <c r="K59" i="13"/>
  <c r="G55" i="14"/>
  <c r="A26" i="14"/>
  <c r="H57" i="15"/>
  <c r="N10" i="14"/>
  <c r="K91" i="15"/>
  <c r="L92" i="13"/>
  <c r="C85" i="18"/>
  <c r="N41" i="17"/>
  <c r="D110" i="16"/>
  <c r="F110" i="16"/>
  <c r="F101" i="14"/>
  <c r="C21" i="16"/>
  <c r="J21" i="14"/>
  <c r="D24" i="15"/>
  <c r="L123" i="15"/>
  <c r="B43" i="17"/>
  <c r="F71" i="15"/>
  <c r="N59" i="13"/>
  <c r="K9" i="15"/>
  <c r="I125" i="12"/>
  <c r="D26" i="14"/>
  <c r="B10" i="14"/>
  <c r="B91" i="15"/>
  <c r="L95" i="13"/>
  <c r="L14" i="12"/>
  <c r="F34" i="21"/>
  <c r="F85" i="18"/>
  <c r="D85" i="18"/>
  <c r="N119" i="18"/>
  <c r="D108" i="16"/>
  <c r="F21" i="16"/>
  <c r="K16" i="17"/>
  <c r="F50" i="14"/>
  <c r="N43" i="17"/>
  <c r="N71" i="15"/>
  <c r="N9" i="15"/>
  <c r="F71" i="14"/>
  <c r="B69" i="12"/>
  <c r="C26" i="14"/>
  <c r="B49" i="10"/>
  <c r="G63" i="16"/>
  <c r="L10" i="14"/>
  <c r="B29" i="16"/>
  <c r="C22" i="17"/>
  <c r="J66" i="10"/>
  <c r="D12" i="15"/>
  <c r="B17" i="22"/>
  <c r="I30" i="18"/>
  <c r="C121" i="19"/>
  <c r="D29" i="16"/>
  <c r="E22" i="17"/>
  <c r="B85" i="14"/>
  <c r="F13" i="11"/>
  <c r="K66" i="10"/>
  <c r="C12" i="15"/>
  <c r="E17" i="22"/>
  <c r="I121" i="19"/>
  <c r="C72" i="18"/>
  <c r="C75" i="18"/>
  <c r="G93" i="15"/>
  <c r="I14" i="16"/>
  <c r="C66" i="14"/>
  <c r="C120" i="12"/>
  <c r="I55" i="12"/>
  <c r="G49" i="10"/>
  <c r="C108" i="10"/>
  <c r="F66" i="10"/>
  <c r="E12" i="15"/>
  <c r="N17" i="22"/>
  <c r="E30" i="22"/>
  <c r="K26" i="18"/>
  <c r="E72" i="18"/>
  <c r="E75" i="18"/>
  <c r="E25" i="17"/>
  <c r="F17" i="22"/>
  <c r="I72" i="18"/>
  <c r="H75" i="18"/>
  <c r="K60" i="16"/>
  <c r="F19" i="10"/>
  <c r="H17" i="22"/>
  <c r="D30" i="22"/>
  <c r="A65" i="18"/>
  <c r="N127" i="17"/>
  <c r="K28" i="20"/>
  <c r="F26" i="18"/>
  <c r="A85" i="14"/>
  <c r="J28" i="22"/>
  <c r="D31" i="19"/>
  <c r="E65" i="18"/>
  <c r="B69" i="13"/>
  <c r="G127" i="11"/>
  <c r="E22" i="7"/>
  <c r="J26" i="18"/>
  <c r="D29" i="19"/>
  <c r="H103" i="15"/>
  <c r="E127" i="11"/>
  <c r="E9" i="21"/>
  <c r="A31" i="20"/>
  <c r="E81" i="19"/>
  <c r="G82" i="18"/>
  <c r="K72" i="18"/>
  <c r="E29" i="19"/>
  <c r="F82" i="14"/>
  <c r="A15" i="15"/>
  <c r="I9" i="21"/>
  <c r="G81" i="19"/>
  <c r="L26" i="18"/>
  <c r="F29" i="19"/>
  <c r="C82" i="14"/>
  <c r="D88" i="18"/>
  <c r="D15" i="15"/>
  <c r="E34" i="21"/>
  <c r="F12" i="17"/>
  <c r="J34" i="21"/>
  <c r="F13" i="19"/>
  <c r="G14" i="20"/>
  <c r="D23" i="20"/>
  <c r="K85" i="14"/>
  <c r="N81" i="16"/>
  <c r="H15" i="15"/>
  <c r="B110" i="10"/>
  <c r="C110" i="10"/>
  <c r="C66" i="10"/>
  <c r="B9" i="21"/>
  <c r="N121" i="19"/>
  <c r="C94" i="16"/>
  <c r="G19" i="20"/>
  <c r="I65" i="13"/>
  <c r="I66" i="10"/>
  <c r="L52" i="17"/>
  <c r="L19" i="19"/>
  <c r="B36" i="14"/>
  <c r="J131" i="11"/>
  <c r="K20" i="11"/>
  <c r="L61" i="10"/>
  <c r="L39" i="14"/>
  <c r="D78" i="18"/>
  <c r="E39" i="14"/>
  <c r="G120" i="13"/>
  <c r="B45" i="13"/>
  <c r="D126" i="10"/>
  <c r="L16" i="12"/>
  <c r="C10" i="20"/>
  <c r="D69" i="19"/>
  <c r="K11" i="18"/>
  <c r="B45" i="18"/>
  <c r="F39" i="19"/>
  <c r="J75" i="17"/>
  <c r="C72" i="17"/>
  <c r="I80" i="15"/>
  <c r="K49" i="17"/>
  <c r="E32" i="17"/>
  <c r="I73" i="15"/>
  <c r="A68" i="14"/>
  <c r="A100" i="15"/>
  <c r="N38" i="16"/>
  <c r="C45" i="13"/>
  <c r="D44" i="12"/>
  <c r="G42" i="8"/>
  <c r="I96" i="11"/>
  <c r="B44" i="12"/>
  <c r="A13" i="12"/>
  <c r="L11" i="10"/>
  <c r="D11" i="19"/>
  <c r="J69" i="19"/>
  <c r="E45" i="18"/>
  <c r="D45" i="18"/>
  <c r="C63" i="17"/>
  <c r="D72" i="17"/>
  <c r="F32" i="17"/>
  <c r="B68" i="14"/>
  <c r="D59" i="15"/>
  <c r="D12" i="14"/>
  <c r="A38" i="16"/>
  <c r="D45" i="13"/>
  <c r="B24" i="12"/>
  <c r="A44" i="12"/>
  <c r="J9" i="10"/>
  <c r="L67" i="12"/>
  <c r="I14" i="19"/>
  <c r="A58" i="19"/>
  <c r="D28" i="18"/>
  <c r="F45" i="18"/>
  <c r="L75" i="17"/>
  <c r="D63" i="17"/>
  <c r="E72" i="17"/>
  <c r="A49" i="17"/>
  <c r="C116" i="16"/>
  <c r="G32" i="17"/>
  <c r="B32" i="17"/>
  <c r="H119" i="16"/>
  <c r="F119" i="16"/>
  <c r="G29" i="14"/>
  <c r="C12" i="14"/>
  <c r="G107" i="16"/>
  <c r="E116" i="12"/>
  <c r="L38" i="16"/>
  <c r="I45" i="13"/>
  <c r="B33" i="13"/>
  <c r="I93" i="11"/>
  <c r="G64" i="11"/>
  <c r="A88" i="11"/>
  <c r="G73" i="11"/>
  <c r="E44" i="12"/>
  <c r="C65" i="17"/>
  <c r="H29" i="14"/>
  <c r="J45" i="13"/>
  <c r="A39" i="11"/>
  <c r="L66" i="11"/>
  <c r="B103" i="12"/>
  <c r="H44" i="12"/>
  <c r="C11" i="19"/>
  <c r="E58" i="19"/>
  <c r="E110" i="19"/>
  <c r="D48" i="17"/>
  <c r="B49" i="17"/>
  <c r="A42" i="17"/>
  <c r="C76" i="16"/>
  <c r="B88" i="14"/>
  <c r="A107" i="13"/>
  <c r="E107" i="16"/>
  <c r="K95" i="12"/>
  <c r="H116" i="12"/>
  <c r="N45" i="13"/>
  <c r="K17" i="12"/>
  <c r="J83" i="16"/>
  <c r="E79" i="15"/>
  <c r="A128" i="11"/>
  <c r="B39" i="11"/>
  <c r="C24" i="12"/>
  <c r="H11" i="19"/>
  <c r="N48" i="5"/>
  <c r="L18" i="12"/>
  <c r="H21" i="22"/>
  <c r="F58" i="19"/>
  <c r="H110" i="19"/>
  <c r="I46" i="17"/>
  <c r="E49" i="17"/>
  <c r="G35" i="15"/>
  <c r="B24" i="14"/>
  <c r="K125" i="16"/>
  <c r="G119" i="16"/>
  <c r="B107" i="13"/>
  <c r="F107" i="16"/>
  <c r="I116" i="12"/>
  <c r="B124" i="11"/>
  <c r="E45" i="13"/>
  <c r="L124" i="11"/>
  <c r="D83" i="16"/>
  <c r="E81" i="10"/>
  <c r="A63" i="10"/>
  <c r="I79" i="15"/>
  <c r="C128" i="11"/>
  <c r="N20" i="11"/>
  <c r="D24" i="12"/>
  <c r="J11" i="19"/>
  <c r="A45" i="18"/>
  <c r="H35" i="17"/>
  <c r="F49" i="17"/>
  <c r="M119" i="16"/>
  <c r="I119" i="16"/>
  <c r="N84" i="16"/>
  <c r="A89" i="16"/>
  <c r="K107" i="13"/>
  <c r="A107" i="16"/>
  <c r="F108" i="18"/>
  <c r="G124" i="11"/>
  <c r="F45" i="13"/>
  <c r="G127" i="12"/>
  <c r="G55" i="12"/>
  <c r="A49" i="10"/>
  <c r="A62" i="10"/>
  <c r="K79" i="15"/>
  <c r="E128" i="11"/>
  <c r="G92" i="10"/>
  <c r="C20" i="11"/>
  <c r="F24" i="12"/>
  <c r="I47" i="11"/>
  <c r="L11" i="19"/>
  <c r="J12" i="20"/>
  <c r="K58" i="19"/>
  <c r="C110" i="19"/>
  <c r="J45" i="18"/>
  <c r="G49" i="17"/>
  <c r="A119" i="16"/>
  <c r="F132" i="15"/>
  <c r="C84" i="16"/>
  <c r="N89" i="16"/>
  <c r="J87" i="13"/>
  <c r="B107" i="16"/>
  <c r="B108" i="18"/>
  <c r="H107" i="16"/>
  <c r="C79" i="12"/>
  <c r="J124" i="11"/>
  <c r="G45" i="13"/>
  <c r="L93" i="11"/>
  <c r="C67" i="12"/>
  <c r="N67" i="14"/>
  <c r="F78" i="12"/>
  <c r="E49" i="10"/>
  <c r="F55" i="12"/>
  <c r="D62" i="10"/>
  <c r="A79" i="15"/>
  <c r="K128" i="11"/>
  <c r="E20" i="11"/>
  <c r="J24" i="12"/>
  <c r="B11" i="11"/>
  <c r="K47" i="11"/>
  <c r="F10" i="20"/>
  <c r="C12" i="20"/>
  <c r="B58" i="19"/>
  <c r="G110" i="19"/>
  <c r="I49" i="17"/>
  <c r="B119" i="16"/>
  <c r="A52" i="16"/>
  <c r="I132" i="15"/>
  <c r="L116" i="15"/>
  <c r="I84" i="16"/>
  <c r="B89" i="16"/>
  <c r="D107" i="16"/>
  <c r="H108" i="18"/>
  <c r="E126" i="13"/>
  <c r="D79" i="12"/>
  <c r="L64" i="11"/>
  <c r="G67" i="12"/>
  <c r="A69" i="13"/>
  <c r="B93" i="12"/>
  <c r="H55" i="12"/>
  <c r="F79" i="15"/>
  <c r="B125" i="11"/>
  <c r="H87" i="10"/>
  <c r="A117" i="11"/>
  <c r="N11" i="11"/>
  <c r="L47" i="11"/>
  <c r="L51" i="10"/>
  <c r="K10" i="20"/>
  <c r="C41" i="19"/>
  <c r="M116" i="15"/>
  <c r="I67" i="12"/>
  <c r="J16" i="12"/>
  <c r="B47" i="11"/>
  <c r="A10" i="20"/>
  <c r="G58" i="19"/>
  <c r="E41" i="19"/>
  <c r="H93" i="18"/>
  <c r="D49" i="17"/>
  <c r="H125" i="15"/>
  <c r="D119" i="16"/>
  <c r="C29" i="16"/>
  <c r="N116" i="15"/>
  <c r="H103" i="14"/>
  <c r="D89" i="16"/>
  <c r="L108" i="18"/>
  <c r="F86" i="17"/>
  <c r="F81" i="12"/>
  <c r="B120" i="12"/>
  <c r="J67" i="12"/>
  <c r="D69" i="13"/>
  <c r="K120" i="12"/>
  <c r="G65" i="13"/>
  <c r="E93" i="12"/>
  <c r="B99" i="11"/>
  <c r="H79" i="15"/>
  <c r="E55" i="10"/>
  <c r="E117" i="11"/>
  <c r="C47" i="11"/>
  <c r="L17" i="12"/>
  <c r="G99" i="11"/>
  <c r="L103" i="12"/>
  <c r="F27" i="21"/>
  <c r="E10" i="20"/>
  <c r="G41" i="19"/>
  <c r="I102" i="19"/>
  <c r="F75" i="17"/>
  <c r="D27" i="19"/>
  <c r="J44" i="15"/>
  <c r="J119" i="16"/>
  <c r="E29" i="16"/>
  <c r="F59" i="15"/>
  <c r="B95" i="14"/>
  <c r="I89" i="16"/>
  <c r="C108" i="18"/>
  <c r="I108" i="18"/>
  <c r="I86" i="17"/>
  <c r="D120" i="12"/>
  <c r="A65" i="13"/>
  <c r="G93" i="12"/>
  <c r="L62" i="10"/>
  <c r="D88" i="13"/>
  <c r="D87" i="11"/>
  <c r="G104" i="12"/>
  <c r="C79" i="15"/>
  <c r="H117" i="11"/>
  <c r="D117" i="12"/>
  <c r="G96" i="12"/>
  <c r="F47" i="11"/>
  <c r="G17" i="12"/>
  <c r="A127" i="12"/>
  <c r="G10" i="20"/>
  <c r="J74" i="19"/>
  <c r="I50" i="18"/>
  <c r="N41" i="19"/>
  <c r="A68" i="18"/>
  <c r="E27" i="19"/>
  <c r="D35" i="15"/>
  <c r="B80" i="15"/>
  <c r="C63" i="15"/>
  <c r="M111" i="16"/>
  <c r="N119" i="16"/>
  <c r="G59" i="15"/>
  <c r="K10" i="15"/>
  <c r="I59" i="15"/>
  <c r="D95" i="14"/>
  <c r="K89" i="16"/>
  <c r="D52" i="14"/>
  <c r="B86" i="17"/>
  <c r="K78" i="12"/>
  <c r="H93" i="12"/>
  <c r="J55" i="10"/>
  <c r="I57" i="10"/>
  <c r="E88" i="13"/>
  <c r="D79" i="15"/>
  <c r="G62" i="10"/>
  <c r="I117" i="11"/>
  <c r="E117" i="12"/>
  <c r="K96" i="12"/>
  <c r="H47" i="11"/>
  <c r="I17" i="12"/>
  <c r="F28" i="22"/>
  <c r="H17" i="18"/>
  <c r="B41" i="19"/>
  <c r="H51" i="15"/>
  <c r="N111" i="16"/>
  <c r="I87" i="15"/>
  <c r="E95" i="14"/>
  <c r="F89" i="16"/>
  <c r="F52" i="14"/>
  <c r="C86" i="17"/>
  <c r="L106" i="14"/>
  <c r="J93" i="12"/>
  <c r="B81" i="10"/>
  <c r="F88" i="13"/>
  <c r="J76" i="10"/>
  <c r="I66" i="11"/>
  <c r="D81" i="10"/>
  <c r="F117" i="12"/>
  <c r="L96" i="12"/>
  <c r="A22" i="10"/>
  <c r="N17" i="12"/>
  <c r="J89" i="16"/>
  <c r="N52" i="14"/>
  <c r="E36" i="14"/>
  <c r="E106" i="14"/>
  <c r="F92" i="12"/>
  <c r="D36" i="14"/>
  <c r="L93" i="12"/>
  <c r="F88" i="11"/>
  <c r="H117" i="12"/>
  <c r="L19" i="22"/>
  <c r="G36" i="14"/>
  <c r="I106" i="14"/>
  <c r="J92" i="12"/>
  <c r="L88" i="11"/>
  <c r="I117" i="12"/>
  <c r="L51" i="13"/>
  <c r="H68" i="18"/>
  <c r="A82" i="15"/>
  <c r="J60" i="18"/>
  <c r="M112" i="17"/>
  <c r="C52" i="16"/>
  <c r="I13" i="15"/>
  <c r="N132" i="15"/>
  <c r="E28" i="15"/>
  <c r="E87" i="14"/>
  <c r="I124" i="12"/>
  <c r="N36" i="14"/>
  <c r="E125" i="13"/>
  <c r="C44" i="12"/>
  <c r="B111" i="14"/>
  <c r="H93" i="16"/>
  <c r="L88" i="13"/>
  <c r="K117" i="12"/>
  <c r="F96" i="12"/>
  <c r="C11" i="10"/>
  <c r="K76" i="11"/>
  <c r="M110" i="19"/>
  <c r="C82" i="17"/>
  <c r="L116" i="16"/>
  <c r="H54" i="17"/>
  <c r="E54" i="17"/>
  <c r="A132" i="15"/>
  <c r="E10" i="15"/>
  <c r="B17" i="12"/>
  <c r="A36" i="14"/>
  <c r="K124" i="11"/>
  <c r="E111" i="14"/>
  <c r="I93" i="16"/>
  <c r="L39" i="11"/>
  <c r="M117" i="12"/>
  <c r="A119" i="11"/>
  <c r="D11" i="10"/>
  <c r="F12" i="19"/>
  <c r="A93" i="17"/>
  <c r="G98" i="14"/>
  <c r="G126" i="16"/>
  <c r="M111" i="12"/>
  <c r="G27" i="15"/>
  <c r="E24" i="10"/>
  <c r="B101" i="10"/>
  <c r="D60" i="10"/>
  <c r="A35" i="10"/>
  <c r="K34" i="21"/>
  <c r="D111" i="18"/>
  <c r="B92" i="17"/>
  <c r="J75" i="18"/>
  <c r="H99" i="15"/>
  <c r="E41" i="16"/>
  <c r="F69" i="14"/>
  <c r="A77" i="16"/>
  <c r="B69" i="14"/>
  <c r="I29" i="14"/>
  <c r="L47" i="17"/>
  <c r="H31" i="14"/>
  <c r="K126" i="16"/>
  <c r="C63" i="14"/>
  <c r="I77" i="13"/>
  <c r="I55" i="14"/>
  <c r="H90" i="13"/>
  <c r="C24" i="10"/>
  <c r="H88" i="13"/>
  <c r="I109" i="10"/>
  <c r="B65" i="11"/>
  <c r="B96" i="12"/>
  <c r="E110" i="10"/>
  <c r="A11" i="10"/>
  <c r="D35" i="10"/>
  <c r="L9" i="11"/>
  <c r="N10" i="23"/>
  <c r="D34" i="21"/>
  <c r="C12" i="19"/>
  <c r="G111" i="18"/>
  <c r="E19" i="18"/>
  <c r="B75" i="18"/>
  <c r="H69" i="14"/>
  <c r="C77" i="16"/>
  <c r="M29" i="14"/>
  <c r="C47" i="17"/>
  <c r="I31" i="14"/>
  <c r="F126" i="16"/>
  <c r="A31" i="14"/>
  <c r="L22" i="13"/>
  <c r="D129" i="11"/>
  <c r="A52" i="11"/>
  <c r="F117" i="10"/>
  <c r="F110" i="10"/>
  <c r="E35" i="10"/>
  <c r="F19" i="22"/>
  <c r="J69" i="14"/>
  <c r="I77" i="16"/>
  <c r="H35" i="14"/>
  <c r="C35" i="14"/>
  <c r="A50" i="14"/>
  <c r="A47" i="17"/>
  <c r="J31" i="14"/>
  <c r="L126" i="16"/>
  <c r="E41" i="14"/>
  <c r="G129" i="11"/>
  <c r="N69" i="10"/>
  <c r="L35" i="11"/>
  <c r="G110" i="10"/>
  <c r="F35" i="10"/>
  <c r="I19" i="22"/>
  <c r="K69" i="14"/>
  <c r="K77" i="16"/>
  <c r="B50" i="14"/>
  <c r="B47" i="17"/>
  <c r="K31" i="14"/>
  <c r="M126" i="16"/>
  <c r="D41" i="14"/>
  <c r="I101" i="10"/>
  <c r="L110" i="10"/>
  <c r="H35" i="10"/>
  <c r="D47" i="17"/>
  <c r="I35" i="10"/>
  <c r="H27" i="21"/>
  <c r="L34" i="21"/>
  <c r="I10" i="20"/>
  <c r="B28" i="19"/>
  <c r="E69" i="19"/>
  <c r="H73" i="18"/>
  <c r="B111" i="17"/>
  <c r="K45" i="18"/>
  <c r="J73" i="17"/>
  <c r="L49" i="18"/>
  <c r="C102" i="18"/>
  <c r="L75" i="18"/>
  <c r="B72" i="17"/>
  <c r="K100" i="17"/>
  <c r="I62" i="17"/>
  <c r="E11" i="14"/>
  <c r="K50" i="14"/>
  <c r="G63" i="14"/>
  <c r="K75" i="12"/>
  <c r="G47" i="17"/>
  <c r="N31" i="14"/>
  <c r="E126" i="16"/>
  <c r="H41" i="14"/>
  <c r="C83" i="16"/>
  <c r="D101" i="10"/>
  <c r="J44" i="16"/>
  <c r="N88" i="13"/>
  <c r="J117" i="10"/>
  <c r="C82" i="10"/>
  <c r="K109" i="10"/>
  <c r="G81" i="10"/>
  <c r="B86" i="10"/>
  <c r="F11" i="10"/>
  <c r="L25" i="16"/>
  <c r="A27" i="21"/>
  <c r="C34" i="21"/>
  <c r="B29" i="20"/>
  <c r="F69" i="19"/>
  <c r="B48" i="18"/>
  <c r="I73" i="18"/>
  <c r="C111" i="17"/>
  <c r="C58" i="17"/>
  <c r="K73" i="17"/>
  <c r="F102" i="18"/>
  <c r="J52" i="17"/>
  <c r="J93" i="17"/>
  <c r="K62" i="17"/>
  <c r="H54" i="16"/>
  <c r="L11" i="14"/>
  <c r="C50" i="14"/>
  <c r="I103" i="14"/>
  <c r="I63" i="14"/>
  <c r="C95" i="14"/>
  <c r="H47" i="17"/>
  <c r="B31" i="14"/>
  <c r="K77" i="13"/>
  <c r="B74" i="14"/>
  <c r="I41" i="14"/>
  <c r="L101" i="13"/>
  <c r="B93" i="11"/>
  <c r="L44" i="16"/>
  <c r="L121" i="13"/>
  <c r="G89" i="12"/>
  <c r="E35" i="11"/>
  <c r="C86" i="10"/>
  <c r="G11" i="10"/>
  <c r="B10" i="16"/>
  <c r="L37" i="13"/>
  <c r="B12" i="19"/>
  <c r="G69" i="19"/>
  <c r="E48" i="18"/>
  <c r="K73" i="18"/>
  <c r="F100" i="18"/>
  <c r="L111" i="17"/>
  <c r="D58" i="17"/>
  <c r="D73" i="17"/>
  <c r="J102" i="18"/>
  <c r="K52" i="17"/>
  <c r="L72" i="17"/>
  <c r="H41" i="16"/>
  <c r="N44" i="15"/>
  <c r="A62" i="17"/>
  <c r="G44" i="15"/>
  <c r="D41" i="16"/>
  <c r="K122" i="15"/>
  <c r="D60" i="15"/>
  <c r="H16" i="17"/>
  <c r="A103" i="14"/>
  <c r="E50" i="14"/>
  <c r="L95" i="14"/>
  <c r="B63" i="14"/>
  <c r="K47" i="17"/>
  <c r="D31" i="14"/>
  <c r="D22" i="13"/>
  <c r="H63" i="14"/>
  <c r="D74" i="14"/>
  <c r="B72" i="12"/>
  <c r="J41" i="14"/>
  <c r="G118" i="12"/>
  <c r="F83" i="16"/>
  <c r="F63" i="12"/>
  <c r="D72" i="10"/>
  <c r="A44" i="16"/>
  <c r="J35" i="11"/>
  <c r="G69" i="10"/>
  <c r="I96" i="10"/>
  <c r="E86" i="10"/>
  <c r="H11" i="10"/>
  <c r="A10" i="16"/>
  <c r="L65" i="11"/>
  <c r="L22" i="22"/>
  <c r="L27" i="22"/>
  <c r="L38" i="15"/>
  <c r="L33" i="17"/>
  <c r="J12" i="19"/>
  <c r="H69" i="19"/>
  <c r="H48" i="18"/>
  <c r="N73" i="18"/>
  <c r="J100" i="18"/>
  <c r="F58" i="17"/>
  <c r="K58" i="17"/>
  <c r="L101" i="17"/>
  <c r="K102" i="18"/>
  <c r="N52" i="17"/>
  <c r="B111" i="16"/>
  <c r="J41" i="16"/>
  <c r="A133" i="15"/>
  <c r="B16" i="17"/>
  <c r="C103" i="14"/>
  <c r="G50" i="14"/>
  <c r="J50" i="14"/>
  <c r="D63" i="14"/>
  <c r="J47" i="17"/>
  <c r="F31" i="14"/>
  <c r="E22" i="13"/>
  <c r="G79" i="14"/>
  <c r="G74" i="14"/>
  <c r="G72" i="12"/>
  <c r="L41" i="14"/>
  <c r="H118" i="12"/>
  <c r="G83" i="16"/>
  <c r="N87" i="11"/>
  <c r="B44" i="16"/>
  <c r="N35" i="11"/>
  <c r="J78" i="11"/>
  <c r="F86" i="10"/>
  <c r="L10" i="16"/>
  <c r="I42" i="8"/>
  <c r="N69" i="19"/>
  <c r="I69" i="19"/>
  <c r="L100" i="18"/>
  <c r="I56" i="19"/>
  <c r="L26" i="17"/>
  <c r="B101" i="17"/>
  <c r="G58" i="17"/>
  <c r="A102" i="18"/>
  <c r="G52" i="17"/>
  <c r="F52" i="17"/>
  <c r="I20" i="15"/>
  <c r="B25" i="17"/>
  <c r="C133" i="15"/>
  <c r="F107" i="15"/>
  <c r="F16" i="17"/>
  <c r="G103" i="14"/>
  <c r="H50" i="14"/>
  <c r="E63" i="14"/>
  <c r="I15" i="17"/>
  <c r="A77" i="13"/>
  <c r="F22" i="13"/>
  <c r="F12" i="14"/>
  <c r="D109" i="12"/>
  <c r="I79" i="14"/>
  <c r="H74" i="14"/>
  <c r="K72" i="12"/>
  <c r="N41" i="14"/>
  <c r="J118" i="12"/>
  <c r="H83" i="16"/>
  <c r="C87" i="11"/>
  <c r="I44" i="16"/>
  <c r="D42" i="8"/>
  <c r="N12" i="11"/>
  <c r="K60" i="10"/>
  <c r="A11" i="11"/>
  <c r="G86" i="10"/>
  <c r="N22" i="10"/>
  <c r="J10" i="16"/>
  <c r="H42" i="8"/>
  <c r="I12" i="19"/>
  <c r="J56" i="19"/>
  <c r="B105" i="18"/>
  <c r="B33" i="17"/>
  <c r="H133" i="15"/>
  <c r="I50" i="14"/>
  <c r="B77" i="13"/>
  <c r="G22" i="13"/>
  <c r="J79" i="14"/>
  <c r="K41" i="14"/>
  <c r="C65" i="11"/>
  <c r="N52" i="11"/>
  <c r="K52" i="11"/>
  <c r="I10" i="16"/>
  <c r="L47" i="13"/>
  <c r="L12" i="19"/>
  <c r="F27" i="22"/>
  <c r="B67" i="19"/>
  <c r="B64" i="18"/>
  <c r="B56" i="19"/>
  <c r="H105" i="18"/>
  <c r="I28" i="17"/>
  <c r="K46" i="17"/>
  <c r="G102" i="18"/>
  <c r="I133" i="15"/>
  <c r="I60" i="15"/>
  <c r="F35" i="14"/>
  <c r="J103" i="14"/>
  <c r="H126" i="13"/>
  <c r="D50" i="14"/>
  <c r="C77" i="13"/>
  <c r="K22" i="13"/>
  <c r="K100" i="12"/>
  <c r="L79" i="14"/>
  <c r="H101" i="13"/>
  <c r="G121" i="13"/>
  <c r="D120" i="10"/>
  <c r="H40" i="13"/>
  <c r="I117" i="10"/>
  <c r="K69" i="10"/>
  <c r="B52" i="11"/>
  <c r="I86" i="10"/>
  <c r="B22" i="10"/>
  <c r="A21" i="22"/>
  <c r="G27" i="22"/>
  <c r="B34" i="21"/>
  <c r="L10" i="20"/>
  <c r="C67" i="19"/>
  <c r="H77" i="18"/>
  <c r="E64" i="18"/>
  <c r="G56" i="19"/>
  <c r="C39" i="18"/>
  <c r="L105" i="18"/>
  <c r="A46" i="17"/>
  <c r="H102" i="18"/>
  <c r="C105" i="17"/>
  <c r="J133" i="15"/>
  <c r="F109" i="14"/>
  <c r="J35" i="14"/>
  <c r="I123" i="14"/>
  <c r="L103" i="14"/>
  <c r="K25" i="16"/>
  <c r="D77" i="13"/>
  <c r="F75" i="12"/>
  <c r="B79" i="14"/>
  <c r="G77" i="13"/>
  <c r="K83" i="16"/>
  <c r="J121" i="13"/>
  <c r="L40" i="13"/>
  <c r="M117" i="10"/>
  <c r="F87" i="11"/>
  <c r="C87" i="10"/>
  <c r="F28" i="10"/>
  <c r="F69" i="10"/>
  <c r="C52" i="11"/>
  <c r="J86" i="10"/>
  <c r="E9" i="11"/>
  <c r="C22" i="10"/>
  <c r="L14" i="15"/>
  <c r="L21" i="22"/>
  <c r="I27" i="22"/>
  <c r="K34" i="23"/>
  <c r="L23" i="19"/>
  <c r="C17" i="20"/>
  <c r="E67" i="19"/>
  <c r="E77" i="18"/>
  <c r="H64" i="18"/>
  <c r="D56" i="19"/>
  <c r="D105" i="18"/>
  <c r="N102" i="18"/>
  <c r="E48" i="15"/>
  <c r="E105" i="17"/>
  <c r="L133" i="15"/>
  <c r="E35" i="14"/>
  <c r="L107" i="15"/>
  <c r="I33" i="14"/>
  <c r="L123" i="14"/>
  <c r="G124" i="15"/>
  <c r="I22" i="17"/>
  <c r="N103" i="14"/>
  <c r="E17" i="14"/>
  <c r="B25" i="16"/>
  <c r="H77" i="13"/>
  <c r="G70" i="12"/>
  <c r="E79" i="14"/>
  <c r="F68" i="13"/>
  <c r="L83" i="16"/>
  <c r="D121" i="13"/>
  <c r="J87" i="10"/>
  <c r="H104" i="12"/>
  <c r="D65" i="10"/>
  <c r="I60" i="10"/>
  <c r="K86" i="10"/>
  <c r="J9" i="11"/>
  <c r="K129" i="10"/>
  <c r="A17" i="11"/>
  <c r="G22" i="10"/>
  <c r="N20" i="10"/>
  <c r="E21" i="22"/>
  <c r="J27" i="22"/>
  <c r="N12" i="19"/>
  <c r="H22" i="19"/>
  <c r="D17" i="20"/>
  <c r="F67" i="19"/>
  <c r="G69" i="18"/>
  <c r="I64" i="18"/>
  <c r="F56" i="19"/>
  <c r="E35" i="20"/>
  <c r="F105" i="18"/>
  <c r="A49" i="18"/>
  <c r="N20" i="15"/>
  <c r="L105" i="17"/>
  <c r="B83" i="15"/>
  <c r="M133" i="15"/>
  <c r="B60" i="15"/>
  <c r="N35" i="14"/>
  <c r="A28" i="15"/>
  <c r="G95" i="17"/>
  <c r="G109" i="14"/>
  <c r="A37" i="16"/>
  <c r="B103" i="14"/>
  <c r="D25" i="16"/>
  <c r="J77" i="13"/>
  <c r="F79" i="14"/>
  <c r="J63" i="12"/>
  <c r="A83" i="16"/>
  <c r="E121" i="13"/>
  <c r="K121" i="13"/>
  <c r="L117" i="10"/>
  <c r="G60" i="10"/>
  <c r="A31" i="12"/>
  <c r="F20" i="10"/>
  <c r="H12" i="11"/>
  <c r="A86" i="10"/>
  <c r="L86" i="10"/>
  <c r="L129" i="10"/>
  <c r="C17" i="11"/>
  <c r="H22" i="10"/>
  <c r="A20" i="10"/>
  <c r="L96" i="10"/>
  <c r="L55" i="14"/>
  <c r="G21" i="22"/>
  <c r="K27" i="22"/>
  <c r="A12" i="19"/>
  <c r="H12" i="19"/>
  <c r="K69" i="19"/>
  <c r="G67" i="19"/>
  <c r="L56" i="19"/>
  <c r="D118" i="18"/>
  <c r="G105" i="18"/>
  <c r="D49" i="18"/>
  <c r="K105" i="17"/>
  <c r="H83" i="15"/>
  <c r="N133" i="15"/>
  <c r="C60" i="15"/>
  <c r="D109" i="17"/>
  <c r="J47" i="15"/>
  <c r="B28" i="15"/>
  <c r="D103" i="14"/>
  <c r="B126" i="13"/>
  <c r="A12" i="14"/>
  <c r="K12" i="14"/>
  <c r="G25" i="16"/>
  <c r="E108" i="18"/>
  <c r="C126" i="13"/>
  <c r="A116" i="12"/>
  <c r="N63" i="12"/>
  <c r="B83" i="16"/>
  <c r="F121" i="13"/>
  <c r="K41" i="10"/>
  <c r="D31" i="12"/>
  <c r="D86" i="10"/>
  <c r="M110" i="10"/>
  <c r="I22" i="10"/>
  <c r="B20" i="10"/>
  <c r="K21" i="22"/>
  <c r="N27" i="22"/>
  <c r="D12" i="19"/>
  <c r="D67" i="19"/>
  <c r="K105" i="18"/>
  <c r="H49" i="18"/>
  <c r="K41" i="16"/>
  <c r="B105" i="17"/>
  <c r="J83" i="15"/>
  <c r="B133" i="15"/>
  <c r="K60" i="15"/>
  <c r="C111" i="15"/>
  <c r="E103" i="14"/>
  <c r="B37" i="13"/>
  <c r="H82" i="13"/>
  <c r="B12" i="14"/>
  <c r="I25" i="16"/>
  <c r="B116" i="12"/>
  <c r="K93" i="11"/>
  <c r="I121" i="13"/>
  <c r="C101" i="10"/>
  <c r="K87" i="11"/>
  <c r="E28" i="10"/>
  <c r="E96" i="12"/>
  <c r="A66" i="10"/>
  <c r="J22" i="10"/>
  <c r="C20" i="10"/>
  <c r="B27" i="22"/>
  <c r="K99" i="15"/>
  <c r="D133" i="15"/>
  <c r="C37" i="13"/>
  <c r="C126" i="16"/>
  <c r="I27" i="15"/>
  <c r="N121" i="13"/>
  <c r="N103" i="11"/>
  <c r="E96" i="10"/>
  <c r="J35" i="10"/>
  <c r="A32" i="21"/>
  <c r="D29" i="20"/>
  <c r="F50" i="20"/>
  <c r="L69" i="18"/>
  <c r="H35" i="20"/>
  <c r="L92" i="17"/>
  <c r="K49" i="18"/>
  <c r="C111" i="16"/>
  <c r="D52" i="17"/>
  <c r="J62" i="17"/>
  <c r="F28" i="15"/>
  <c r="D109" i="15"/>
  <c r="A95" i="14"/>
  <c r="G37" i="13"/>
  <c r="H12" i="14"/>
  <c r="A108" i="18"/>
  <c r="D126" i="16"/>
  <c r="E129" i="12"/>
  <c r="F116" i="12"/>
  <c r="A111" i="12"/>
  <c r="G68" i="16"/>
  <c r="A27" i="15"/>
  <c r="B121" i="13"/>
  <c r="C72" i="10"/>
  <c r="A88" i="13"/>
  <c r="B103" i="11"/>
  <c r="E20" i="10"/>
  <c r="N92" i="15"/>
  <c r="H96" i="12"/>
  <c r="E66" i="10"/>
  <c r="D116" i="10"/>
  <c r="K35" i="10"/>
  <c r="E29" i="20"/>
  <c r="H10" i="20"/>
  <c r="H50" i="20"/>
  <c r="C17" i="21"/>
  <c r="A35" i="20"/>
  <c r="M118" i="18"/>
  <c r="N45" i="18"/>
  <c r="H56" i="17"/>
  <c r="A15" i="20"/>
  <c r="F79" i="16"/>
  <c r="F9" i="16"/>
  <c r="H120" i="16"/>
  <c r="A53" i="17"/>
  <c r="D47" i="15"/>
  <c r="N37" i="16"/>
  <c r="G28" i="15"/>
  <c r="C98" i="14"/>
  <c r="G116" i="15"/>
  <c r="H13" i="14"/>
  <c r="J28" i="15"/>
  <c r="F109" i="15"/>
  <c r="G95" i="14"/>
  <c r="K37" i="13"/>
  <c r="J12" i="14"/>
  <c r="H95" i="14"/>
  <c r="F37" i="13"/>
  <c r="D108" i="18"/>
  <c r="I126" i="16"/>
  <c r="B109" i="12"/>
  <c r="J116" i="12"/>
  <c r="D111" i="12"/>
  <c r="D68" i="16"/>
  <c r="E27" i="15"/>
  <c r="A121" i="13"/>
  <c r="B88" i="13"/>
  <c r="I20" i="10"/>
  <c r="E103" i="11"/>
  <c r="F92" i="15"/>
  <c r="I96" i="12"/>
  <c r="G66" i="10"/>
  <c r="L35" i="10"/>
  <c r="L29" i="20"/>
  <c r="B35" i="20"/>
  <c r="A118" i="18"/>
  <c r="I56" i="17"/>
  <c r="B12" i="15"/>
  <c r="N79" i="16"/>
  <c r="E116" i="16"/>
  <c r="H53" i="17"/>
  <c r="N47" i="15"/>
  <c r="A22" i="17"/>
  <c r="D44" i="17"/>
  <c r="G108" i="18"/>
  <c r="A126" i="16"/>
  <c r="A42" i="11"/>
  <c r="C88" i="13"/>
  <c r="J96" i="12"/>
  <c r="H66" i="10"/>
  <c r="N35" i="10"/>
  <c r="C34" i="23"/>
  <c r="B49" i="19"/>
  <c r="H19" i="18"/>
  <c r="B66" i="15"/>
  <c r="B125" i="16"/>
  <c r="E127" i="13"/>
  <c r="J79" i="11"/>
  <c r="E108" i="10"/>
  <c r="L27" i="20"/>
  <c r="D49" i="19"/>
  <c r="K19" i="18"/>
  <c r="B11" i="17"/>
  <c r="C125" i="16"/>
  <c r="H70" i="17"/>
  <c r="E70" i="13"/>
  <c r="A106" i="11"/>
  <c r="I108" i="10"/>
  <c r="F49" i="19"/>
  <c r="D27" i="20"/>
  <c r="F11" i="17"/>
  <c r="L70" i="17"/>
  <c r="K16" i="21"/>
  <c r="H49" i="19"/>
  <c r="J33" i="19"/>
  <c r="E27" i="20"/>
  <c r="J11" i="17"/>
  <c r="E70" i="17"/>
  <c r="K124" i="12"/>
  <c r="H106" i="11"/>
  <c r="N108" i="10"/>
  <c r="E18" i="21"/>
  <c r="I49" i="19"/>
  <c r="B33" i="19"/>
  <c r="J27" i="20"/>
  <c r="D34" i="18"/>
  <c r="G70" i="17"/>
  <c r="K24" i="15"/>
  <c r="E115" i="11"/>
  <c r="D108" i="10"/>
  <c r="D27" i="21"/>
  <c r="I18" i="21"/>
  <c r="I22" i="19"/>
  <c r="C22" i="19"/>
  <c r="K49" i="19"/>
  <c r="C33" i="19"/>
  <c r="N27" i="20"/>
  <c r="E28" i="16"/>
  <c r="L125" i="16"/>
  <c r="I70" i="17"/>
  <c r="I24" i="15"/>
  <c r="L57" i="12"/>
  <c r="B62" i="12"/>
  <c r="F51" i="12"/>
  <c r="K110" i="11"/>
  <c r="G108" i="10"/>
  <c r="B132" i="11"/>
  <c r="L18" i="21"/>
  <c r="N22" i="19"/>
  <c r="E49" i="19"/>
  <c r="B11" i="18"/>
  <c r="K33" i="19"/>
  <c r="G90" i="18"/>
  <c r="C70" i="17"/>
  <c r="F127" i="13"/>
  <c r="B51" i="12"/>
  <c r="E90" i="10"/>
  <c r="L77" i="12"/>
  <c r="D18" i="21"/>
  <c r="B22" i="19"/>
  <c r="B12" i="20"/>
  <c r="L49" i="19"/>
  <c r="E11" i="18"/>
  <c r="K90" i="18"/>
  <c r="D70" i="17"/>
  <c r="D97" i="12"/>
  <c r="J27" i="13"/>
  <c r="C51" i="12"/>
  <c r="F90" i="10"/>
  <c r="I28" i="22"/>
  <c r="D12" i="20"/>
  <c r="A49" i="19"/>
  <c r="H11" i="18"/>
  <c r="E78" i="18"/>
  <c r="I71" i="17"/>
  <c r="A90" i="18"/>
  <c r="D49" i="16"/>
  <c r="G90" i="14"/>
  <c r="E63" i="13"/>
  <c r="K10" i="14"/>
  <c r="E90" i="18"/>
  <c r="I49" i="16"/>
  <c r="H90" i="18"/>
  <c r="K49" i="16"/>
  <c r="A28" i="22"/>
  <c r="A12" i="20"/>
  <c r="I52" i="18"/>
  <c r="D52" i="18"/>
  <c r="C90" i="18"/>
  <c r="G13" i="15"/>
  <c r="L49" i="16"/>
  <c r="B12" i="23"/>
  <c r="B24" i="22"/>
  <c r="D90" i="18"/>
  <c r="L32" i="14"/>
  <c r="E12" i="23"/>
  <c r="D116" i="17"/>
  <c r="B50" i="20"/>
  <c r="A86" i="19"/>
  <c r="L50" i="20"/>
  <c r="K52" i="18"/>
  <c r="I111" i="18"/>
  <c r="G48" i="18"/>
  <c r="E119" i="18"/>
  <c r="G61" i="18"/>
  <c r="F90" i="18"/>
  <c r="D28" i="16"/>
  <c r="H29" i="19"/>
  <c r="K13" i="15"/>
  <c r="F97" i="12"/>
  <c r="B115" i="14"/>
  <c r="I62" i="13"/>
  <c r="J49" i="11"/>
  <c r="C76" i="11"/>
  <c r="A12" i="23"/>
  <c r="J116" i="17"/>
  <c r="D50" i="20"/>
  <c r="H86" i="19"/>
  <c r="L52" i="18"/>
  <c r="I119" i="18"/>
  <c r="B61" i="18"/>
  <c r="L90" i="18"/>
  <c r="B32" i="18"/>
  <c r="F125" i="17"/>
  <c r="J84" i="17"/>
  <c r="I29" i="19"/>
  <c r="D13" i="15"/>
  <c r="H127" i="13"/>
  <c r="L43" i="15"/>
  <c r="D115" i="14"/>
  <c r="K50" i="10"/>
  <c r="D88" i="11"/>
  <c r="G44" i="12"/>
  <c r="N117" i="12"/>
  <c r="L49" i="11"/>
  <c r="B76" i="11"/>
  <c r="F12" i="23"/>
  <c r="F86" i="19"/>
  <c r="N52" i="18"/>
  <c r="K59" i="21"/>
  <c r="F61" i="18"/>
  <c r="B90" i="18"/>
  <c r="I125" i="17"/>
  <c r="L29" i="19"/>
  <c r="M115" i="14"/>
  <c r="A130" i="14"/>
  <c r="K68" i="17"/>
  <c r="G63" i="13"/>
  <c r="B50" i="10"/>
  <c r="E76" i="11"/>
  <c r="G12" i="23"/>
  <c r="K13" i="21"/>
  <c r="N59" i="21"/>
  <c r="L125" i="17"/>
  <c r="H60" i="17"/>
  <c r="K29" i="19"/>
  <c r="I127" i="13"/>
  <c r="I29" i="16"/>
  <c r="L70" i="12"/>
  <c r="F115" i="14"/>
  <c r="I112" i="12"/>
  <c r="B130" i="14"/>
  <c r="F58" i="14"/>
  <c r="B55" i="12"/>
  <c r="F128" i="11"/>
  <c r="E39" i="11"/>
  <c r="H88" i="11"/>
  <c r="I44" i="12"/>
  <c r="A117" i="12"/>
  <c r="H76" i="11"/>
  <c r="A47" i="11"/>
  <c r="L96" i="16"/>
  <c r="L13" i="15"/>
  <c r="K12" i="23"/>
  <c r="I34" i="23"/>
  <c r="F22" i="19"/>
  <c r="D21" i="19"/>
  <c r="C50" i="20"/>
  <c r="J48" i="18"/>
  <c r="H22" i="18"/>
  <c r="F59" i="21"/>
  <c r="A125" i="17"/>
  <c r="I60" i="17"/>
  <c r="J29" i="19"/>
  <c r="G127" i="13"/>
  <c r="H70" i="13"/>
  <c r="E109" i="14"/>
  <c r="L89" i="16"/>
  <c r="I57" i="12"/>
  <c r="I115" i="14"/>
  <c r="J58" i="14"/>
  <c r="B101" i="13"/>
  <c r="D55" i="12"/>
  <c r="H128" i="11"/>
  <c r="F39" i="11"/>
  <c r="I88" i="11"/>
  <c r="B117" i="12"/>
  <c r="I76" i="11"/>
  <c r="D47" i="11"/>
  <c r="A34" i="23"/>
  <c r="I21" i="19"/>
  <c r="F11" i="18"/>
  <c r="C59" i="21"/>
  <c r="E9" i="19"/>
  <c r="B125" i="17"/>
  <c r="I60" i="19"/>
  <c r="J125" i="16"/>
  <c r="G58" i="14"/>
  <c r="A29" i="13"/>
  <c r="E55" i="12"/>
  <c r="N111" i="14"/>
  <c r="E50" i="10"/>
  <c r="I128" i="11"/>
  <c r="K88" i="11"/>
  <c r="C30" i="12"/>
  <c r="D47" i="12"/>
  <c r="J117" i="12"/>
  <c r="G47" i="11"/>
  <c r="F12" i="15"/>
  <c r="D11" i="23"/>
  <c r="B34" i="23"/>
  <c r="E74" i="19"/>
  <c r="B59" i="21"/>
  <c r="C125" i="17"/>
  <c r="A60" i="19"/>
  <c r="F104" i="15"/>
  <c r="B97" i="12"/>
  <c r="I58" i="14"/>
  <c r="C29" i="13"/>
  <c r="M110" i="11"/>
  <c r="G12" i="15"/>
  <c r="L21" i="10"/>
  <c r="G11" i="23"/>
  <c r="F34" i="23"/>
  <c r="D59" i="21"/>
  <c r="E15" i="20"/>
  <c r="G125" i="17"/>
  <c r="H28" i="16"/>
  <c r="A125" i="16"/>
  <c r="J95" i="17"/>
  <c r="J37" i="17"/>
  <c r="D76" i="14"/>
  <c r="A57" i="12"/>
  <c r="K36" i="14"/>
  <c r="D44" i="13"/>
  <c r="H29" i="13"/>
  <c r="C93" i="12"/>
  <c r="J55" i="12"/>
  <c r="D111" i="14"/>
  <c r="F110" i="11"/>
  <c r="J47" i="11"/>
  <c r="I12" i="15"/>
  <c r="I11" i="23"/>
  <c r="H34" i="23"/>
  <c r="G15" i="20"/>
  <c r="M125" i="17"/>
  <c r="G125" i="16"/>
  <c r="C95" i="17"/>
  <c r="C27" i="13"/>
  <c r="J29" i="13"/>
  <c r="H110" i="11"/>
  <c r="K45" i="11"/>
  <c r="J12" i="15"/>
  <c r="L98" i="15"/>
  <c r="A11" i="23"/>
  <c r="D34" i="23"/>
  <c r="D22" i="19"/>
  <c r="G74" i="19"/>
  <c r="J19" i="18"/>
  <c r="H15" i="20"/>
  <c r="H125" i="16"/>
  <c r="D47" i="14"/>
  <c r="D110" i="11"/>
  <c r="B79" i="11"/>
  <c r="E57" i="11"/>
  <c r="B108" i="10"/>
  <c r="E37" i="5"/>
  <c r="H12" i="15"/>
  <c r="E67" i="18"/>
  <c r="H20" i="17"/>
  <c r="I20" i="17"/>
  <c r="E113" i="10"/>
  <c r="A23" i="22"/>
  <c r="G95" i="18"/>
  <c r="J20" i="17"/>
  <c r="E10" i="13"/>
  <c r="B23" i="22"/>
  <c r="H74" i="18"/>
  <c r="H39" i="19"/>
  <c r="N95" i="18"/>
  <c r="A20" i="17"/>
  <c r="G15" i="14"/>
  <c r="A11" i="20"/>
  <c r="I39" i="19"/>
  <c r="B95" i="18"/>
  <c r="B20" i="17"/>
  <c r="H28" i="14"/>
  <c r="I15" i="14"/>
  <c r="L21" i="13"/>
  <c r="J11" i="20"/>
  <c r="E10" i="18"/>
  <c r="J39" i="19"/>
  <c r="C95" i="18"/>
  <c r="E20" i="17"/>
  <c r="E23" i="16"/>
  <c r="J15" i="14"/>
  <c r="L33" i="12"/>
  <c r="C30" i="20"/>
  <c r="K89" i="19"/>
  <c r="B10" i="18"/>
  <c r="K39" i="19"/>
  <c r="F20" i="17"/>
  <c r="N15" i="14"/>
  <c r="L39" i="19"/>
  <c r="F30" i="20"/>
  <c r="N39" i="19"/>
  <c r="H85" i="13"/>
  <c r="D108" i="11"/>
  <c r="A87" i="18"/>
  <c r="F17" i="21"/>
  <c r="B39" i="19"/>
  <c r="H114" i="17"/>
  <c r="F54" i="13"/>
  <c r="L48" i="5"/>
  <c r="G87" i="18"/>
  <c r="A17" i="21"/>
  <c r="C39" i="19"/>
  <c r="A106" i="15"/>
  <c r="I60" i="18"/>
  <c r="A112" i="15"/>
  <c r="G54" i="13"/>
  <c r="L26" i="19"/>
  <c r="G17" i="21"/>
  <c r="C40" i="18"/>
  <c r="N27" i="18"/>
  <c r="C27" i="18"/>
  <c r="E39" i="19"/>
  <c r="H70" i="16"/>
  <c r="C9" i="12"/>
  <c r="D27" i="18"/>
  <c r="D39" i="19"/>
  <c r="J70" i="16"/>
  <c r="F9" i="12"/>
  <c r="C10" i="18"/>
  <c r="D90" i="20"/>
  <c r="K61" i="18"/>
  <c r="B27" i="18"/>
  <c r="G39" i="19"/>
  <c r="J28" i="14"/>
  <c r="F117" i="13"/>
  <c r="F65" i="13"/>
  <c r="J9" i="12"/>
  <c r="D10" i="18"/>
  <c r="H27" i="18"/>
  <c r="B12" i="16"/>
  <c r="K9" i="12"/>
  <c r="G10" i="18"/>
  <c r="A50" i="20"/>
  <c r="A121" i="17"/>
  <c r="E61" i="18"/>
  <c r="F29" i="15"/>
  <c r="K29" i="15"/>
  <c r="D78" i="16"/>
  <c r="L51" i="17"/>
  <c r="H104" i="15"/>
  <c r="H12" i="13"/>
  <c r="H93" i="14"/>
  <c r="C106" i="14"/>
  <c r="D128" i="13"/>
  <c r="H65" i="13"/>
  <c r="N98" i="11"/>
  <c r="K125" i="11"/>
  <c r="G12" i="5"/>
  <c r="A43" i="10"/>
  <c r="J20" i="22"/>
  <c r="I90" i="20"/>
  <c r="A66" i="18"/>
  <c r="K20" i="22"/>
  <c r="A79" i="17"/>
  <c r="G81" i="17"/>
  <c r="N28" i="14"/>
  <c r="G9" i="12"/>
  <c r="I79" i="17"/>
  <c r="E79" i="17"/>
  <c r="F74" i="17"/>
  <c r="L55" i="15"/>
  <c r="A28" i="14"/>
  <c r="A78" i="13"/>
  <c r="L28" i="17"/>
  <c r="L24" i="17"/>
  <c r="B30" i="17"/>
  <c r="C28" i="14"/>
  <c r="E87" i="13"/>
  <c r="A19" i="21"/>
  <c r="J124" i="19"/>
  <c r="B66" i="18"/>
  <c r="D30" i="17"/>
  <c r="B112" i="15"/>
  <c r="B64" i="15"/>
  <c r="E103" i="16"/>
  <c r="C41" i="11"/>
  <c r="D19" i="21"/>
  <c r="C66" i="18"/>
  <c r="I30" i="17"/>
  <c r="D20" i="17"/>
  <c r="E64" i="15"/>
  <c r="G125" i="10"/>
  <c r="J30" i="17"/>
  <c r="K30" i="17"/>
  <c r="B111" i="15"/>
  <c r="G25" i="21"/>
  <c r="L24" i="22"/>
  <c r="C35" i="19"/>
  <c r="E74" i="18"/>
  <c r="F27" i="18"/>
  <c r="E14" i="18"/>
  <c r="E118" i="16"/>
  <c r="E51" i="16"/>
  <c r="J43" i="15"/>
  <c r="I43" i="15"/>
  <c r="L99" i="14"/>
  <c r="J122" i="14"/>
  <c r="J10" i="13"/>
  <c r="L90" i="14"/>
  <c r="D68" i="17"/>
  <c r="B27" i="13"/>
  <c r="C125" i="13"/>
  <c r="A12" i="16"/>
  <c r="L67" i="14"/>
  <c r="L87" i="12"/>
  <c r="N93" i="16"/>
  <c r="H101" i="12"/>
  <c r="B38" i="11"/>
  <c r="H114" i="11"/>
  <c r="I45" i="11"/>
  <c r="B10" i="13"/>
  <c r="L32" i="20"/>
  <c r="L18" i="14"/>
  <c r="L15" i="22"/>
  <c r="L9" i="23"/>
  <c r="F24" i="22"/>
  <c r="I74" i="18"/>
  <c r="I76" i="19"/>
  <c r="A27" i="18"/>
  <c r="K14" i="18"/>
  <c r="I108" i="16"/>
  <c r="A84" i="17"/>
  <c r="F23" i="17"/>
  <c r="K129" i="17"/>
  <c r="B115" i="15"/>
  <c r="B10" i="15"/>
  <c r="G51" i="16"/>
  <c r="G23" i="16"/>
  <c r="A116" i="13"/>
  <c r="G89" i="15"/>
  <c r="K53" i="13"/>
  <c r="N59" i="14"/>
  <c r="J58" i="15"/>
  <c r="H90" i="14"/>
  <c r="F68" i="17"/>
  <c r="D27" i="13"/>
  <c r="D69" i="12"/>
  <c r="D101" i="12"/>
  <c r="D21" i="11"/>
  <c r="A94" i="10"/>
  <c r="J115" i="11"/>
  <c r="E30" i="12"/>
  <c r="C49" i="11"/>
  <c r="D10" i="11"/>
  <c r="D10" i="13"/>
  <c r="J76" i="19"/>
  <c r="E84" i="17"/>
  <c r="G131" i="15"/>
  <c r="J118" i="16"/>
  <c r="H67" i="16"/>
  <c r="D10" i="15"/>
  <c r="C34" i="17"/>
  <c r="C24" i="15"/>
  <c r="C35" i="13"/>
  <c r="B18" i="14"/>
  <c r="A102" i="11"/>
  <c r="H27" i="13"/>
  <c r="E69" i="12"/>
  <c r="E101" i="12"/>
  <c r="K21" i="11"/>
  <c r="H10" i="14"/>
  <c r="D49" i="11"/>
  <c r="C77" i="12"/>
  <c r="D99" i="18"/>
  <c r="F84" i="17"/>
  <c r="G101" i="12"/>
  <c r="J101" i="12"/>
  <c r="B77" i="12"/>
  <c r="K10" i="13"/>
  <c r="I10" i="13"/>
  <c r="A19" i="22"/>
  <c r="D13" i="21"/>
  <c r="E76" i="19"/>
  <c r="L128" i="17"/>
  <c r="F25" i="18"/>
  <c r="B67" i="16"/>
  <c r="G84" i="17"/>
  <c r="A10" i="15"/>
  <c r="J105" i="13"/>
  <c r="G58" i="15"/>
  <c r="G130" i="14"/>
  <c r="F101" i="12"/>
  <c r="J64" i="12"/>
  <c r="L101" i="12"/>
  <c r="L95" i="15"/>
  <c r="L50" i="10"/>
  <c r="L32" i="11"/>
  <c r="I23" i="22"/>
  <c r="D19" i="22"/>
  <c r="L28" i="22"/>
  <c r="J19" i="21"/>
  <c r="J13" i="21"/>
  <c r="B17" i="19"/>
  <c r="B50" i="18"/>
  <c r="F78" i="18"/>
  <c r="N76" i="19"/>
  <c r="G27" i="19"/>
  <c r="B25" i="18"/>
  <c r="L114" i="17"/>
  <c r="J125" i="17"/>
  <c r="K90" i="17"/>
  <c r="H84" i="17"/>
  <c r="G21" i="16"/>
  <c r="E21" i="16"/>
  <c r="D107" i="13"/>
  <c r="F36" i="17"/>
  <c r="I58" i="15"/>
  <c r="A52" i="12"/>
  <c r="L75" i="14"/>
  <c r="G110" i="13"/>
  <c r="D29" i="13"/>
  <c r="J26" i="14"/>
  <c r="E62" i="12"/>
  <c r="H9" i="12"/>
  <c r="E46" i="12"/>
  <c r="F115" i="11"/>
  <c r="D10" i="14"/>
  <c r="I79" i="11"/>
  <c r="L58" i="10"/>
  <c r="F64" i="12"/>
  <c r="C67" i="13"/>
  <c r="G10" i="11"/>
  <c r="H49" i="11"/>
  <c r="H19" i="10"/>
  <c r="K12" i="11"/>
  <c r="H23" i="22"/>
  <c r="C19" i="22"/>
  <c r="K19" i="21"/>
  <c r="N13" i="21"/>
  <c r="D76" i="19"/>
  <c r="K27" i="19"/>
  <c r="I108" i="17"/>
  <c r="C25" i="18"/>
  <c r="N114" i="17"/>
  <c r="D84" i="17"/>
  <c r="D127" i="15"/>
  <c r="H21" i="16"/>
  <c r="B56" i="15"/>
  <c r="C25" i="15"/>
  <c r="E107" i="13"/>
  <c r="H116" i="13"/>
  <c r="C58" i="15"/>
  <c r="A54" i="13"/>
  <c r="I110" i="13"/>
  <c r="G29" i="13"/>
  <c r="L32" i="12"/>
  <c r="I9" i="12"/>
  <c r="A115" i="11"/>
  <c r="J10" i="14"/>
  <c r="L79" i="11"/>
  <c r="I49" i="11"/>
  <c r="E117" i="15"/>
  <c r="L96" i="17"/>
  <c r="L76" i="17"/>
  <c r="L26" i="12"/>
  <c r="G19" i="22"/>
  <c r="L19" i="21"/>
  <c r="N30" i="20"/>
  <c r="N22" i="18"/>
  <c r="D44" i="18"/>
  <c r="K40" i="18"/>
  <c r="N27" i="19"/>
  <c r="H25" i="18"/>
  <c r="N15" i="16"/>
  <c r="C101" i="16"/>
  <c r="K25" i="15"/>
  <c r="G56" i="15"/>
  <c r="F47" i="14"/>
  <c r="K51" i="16"/>
  <c r="F35" i="13"/>
  <c r="K70" i="16"/>
  <c r="A42" i="14"/>
  <c r="I54" i="13"/>
  <c r="J121" i="16"/>
  <c r="H27" i="16"/>
  <c r="K25" i="12"/>
  <c r="B29" i="13"/>
  <c r="B9" i="12"/>
  <c r="G105" i="11"/>
  <c r="A9" i="12"/>
  <c r="E77" i="14"/>
  <c r="D119" i="11"/>
  <c r="K49" i="11"/>
  <c r="B117" i="15"/>
  <c r="N12" i="10"/>
  <c r="L70" i="10"/>
  <c r="L74" i="16"/>
  <c r="L62" i="12"/>
  <c r="L40" i="18"/>
  <c r="L26" i="11"/>
  <c r="L9" i="12"/>
  <c r="J19" i="22"/>
  <c r="A30" i="20"/>
  <c r="D89" i="19"/>
  <c r="I40" i="18"/>
  <c r="J14" i="17"/>
  <c r="B27" i="19"/>
  <c r="K25" i="18"/>
  <c r="B125" i="15"/>
  <c r="I15" i="16"/>
  <c r="F101" i="16"/>
  <c r="L25" i="15"/>
  <c r="F45" i="14"/>
  <c r="H35" i="13"/>
  <c r="K116" i="13"/>
  <c r="D42" i="14"/>
  <c r="D43" i="13"/>
  <c r="F107" i="13"/>
  <c r="G19" i="14"/>
  <c r="C54" i="13"/>
  <c r="L27" i="16"/>
  <c r="I23" i="12"/>
  <c r="D9" i="12"/>
  <c r="C50" i="10"/>
  <c r="I57" i="11"/>
  <c r="H119" i="11"/>
  <c r="B49" i="11"/>
  <c r="B34" i="11"/>
  <c r="L52" i="15"/>
  <c r="L23" i="15"/>
  <c r="L23" i="21"/>
  <c r="N19" i="22"/>
  <c r="E89" i="19"/>
  <c r="L97" i="18"/>
  <c r="N25" i="18"/>
  <c r="H129" i="15"/>
  <c r="C40" i="17"/>
  <c r="F125" i="15"/>
  <c r="I128" i="14"/>
  <c r="E18" i="15"/>
  <c r="G101" i="16"/>
  <c r="N25" i="15"/>
  <c r="A21" i="16"/>
  <c r="H45" i="14"/>
  <c r="L35" i="13"/>
  <c r="K39" i="13"/>
  <c r="D35" i="13"/>
  <c r="J42" i="14"/>
  <c r="H95" i="13"/>
  <c r="H19" i="14"/>
  <c r="A48" i="13"/>
  <c r="A27" i="16"/>
  <c r="E9" i="12"/>
  <c r="A38" i="11"/>
  <c r="F50" i="11"/>
  <c r="K119" i="11"/>
  <c r="C34" i="11"/>
  <c r="N10" i="13"/>
  <c r="C12" i="11"/>
  <c r="H99" i="18"/>
  <c r="H42" i="19"/>
  <c r="A89" i="19"/>
  <c r="L76" i="19"/>
  <c r="H59" i="18"/>
  <c r="B97" i="18"/>
  <c r="F18" i="15"/>
  <c r="J127" i="18"/>
  <c r="E25" i="15"/>
  <c r="K45" i="14"/>
  <c r="J35" i="13"/>
  <c r="K119" i="12"/>
  <c r="C42" i="14"/>
  <c r="J95" i="13"/>
  <c r="E19" i="14"/>
  <c r="D48" i="13"/>
  <c r="C27" i="16"/>
  <c r="E19" i="11"/>
  <c r="A123" i="11"/>
  <c r="H41" i="10"/>
  <c r="E12" i="10"/>
  <c r="H50" i="11"/>
  <c r="L119" i="11"/>
  <c r="J34" i="11"/>
  <c r="L10" i="13"/>
  <c r="A12" i="11"/>
  <c r="L84" i="17"/>
  <c r="L59" i="18"/>
  <c r="L64" i="12"/>
  <c r="L40" i="12"/>
  <c r="F15" i="22"/>
  <c r="N34" i="23"/>
  <c r="E12" i="20"/>
  <c r="C43" i="20"/>
  <c r="C122" i="18"/>
  <c r="K42" i="19"/>
  <c r="I89" i="19"/>
  <c r="K59" i="18"/>
  <c r="C97" i="18"/>
  <c r="A41" i="18"/>
  <c r="H123" i="17"/>
  <c r="H67" i="15"/>
  <c r="A105" i="16"/>
  <c r="H18" i="15"/>
  <c r="N127" i="18"/>
  <c r="K73" i="15"/>
  <c r="L45" i="14"/>
  <c r="J73" i="13"/>
  <c r="K52" i="12"/>
  <c r="G42" i="14"/>
  <c r="N95" i="13"/>
  <c r="N19" i="14"/>
  <c r="C31" i="16"/>
  <c r="D19" i="13"/>
  <c r="A117" i="13"/>
  <c r="C59" i="12"/>
  <c r="D108" i="12"/>
  <c r="E27" i="16"/>
  <c r="N19" i="11"/>
  <c r="I25" i="11"/>
  <c r="F27" i="11"/>
  <c r="K50" i="11"/>
  <c r="C11" i="11"/>
  <c r="N119" i="11"/>
  <c r="N34" i="11"/>
  <c r="D79" i="10"/>
  <c r="L10" i="15"/>
  <c r="H10" i="13"/>
  <c r="K15" i="22"/>
  <c r="I63" i="19"/>
  <c r="L42" i="19"/>
  <c r="F97" i="18"/>
  <c r="G123" i="17"/>
  <c r="J67" i="15"/>
  <c r="I40" i="14"/>
  <c r="E129" i="15"/>
  <c r="N49" i="15"/>
  <c r="E29" i="17"/>
  <c r="G29" i="17"/>
  <c r="K43" i="15"/>
  <c r="H42" i="14"/>
  <c r="G95" i="13"/>
  <c r="C117" i="13"/>
  <c r="L27" i="13"/>
  <c r="F27" i="16"/>
  <c r="L114" i="13"/>
  <c r="A78" i="10"/>
  <c r="D19" i="11"/>
  <c r="A21" i="11"/>
  <c r="H58" i="10"/>
  <c r="D11" i="11"/>
  <c r="B119" i="11"/>
  <c r="I34" i="11"/>
  <c r="F79" i="10"/>
  <c r="C10" i="15"/>
  <c r="E19" i="7"/>
  <c r="L34" i="10"/>
  <c r="L37" i="11"/>
  <c r="L12" i="16"/>
  <c r="E9" i="23"/>
  <c r="E15" i="22"/>
  <c r="C20" i="20"/>
  <c r="L22" i="19"/>
  <c r="H12" i="20"/>
  <c r="J43" i="20"/>
  <c r="G78" i="18"/>
  <c r="D42" i="19"/>
  <c r="K76" i="19"/>
  <c r="J97" i="18"/>
  <c r="K123" i="17"/>
  <c r="B105" i="16"/>
  <c r="K125" i="15"/>
  <c r="E73" i="15"/>
  <c r="N103" i="15"/>
  <c r="F29" i="17"/>
  <c r="A43" i="15"/>
  <c r="A43" i="17"/>
  <c r="B122" i="14"/>
  <c r="J20" i="14"/>
  <c r="E105" i="12"/>
  <c r="J84" i="13"/>
  <c r="F115" i="13"/>
  <c r="E117" i="13"/>
  <c r="D99" i="12"/>
  <c r="G85" i="12"/>
  <c r="G27" i="16"/>
  <c r="G114" i="13"/>
  <c r="D46" i="12"/>
  <c r="G19" i="11"/>
  <c r="K57" i="11"/>
  <c r="B12" i="11"/>
  <c r="L12" i="11"/>
  <c r="A41" i="10"/>
  <c r="F11" i="11"/>
  <c r="C119" i="11"/>
  <c r="K34" i="11"/>
  <c r="I40" i="10"/>
  <c r="G10" i="15"/>
  <c r="P60" i="5"/>
  <c r="G19" i="8"/>
  <c r="D12" i="5"/>
  <c r="P32" i="5"/>
  <c r="J12" i="5"/>
  <c r="L94" i="18"/>
  <c r="L80" i="14"/>
  <c r="L40" i="17"/>
  <c r="L20" i="12"/>
  <c r="I15" i="22"/>
  <c r="H78" i="18"/>
  <c r="I19" i="19"/>
  <c r="I78" i="18"/>
  <c r="F42" i="19"/>
  <c r="C129" i="17"/>
  <c r="H29" i="17"/>
  <c r="C43" i="15"/>
  <c r="F122" i="14"/>
  <c r="K117" i="13"/>
  <c r="B27" i="16"/>
  <c r="H114" i="13"/>
  <c r="B57" i="11"/>
  <c r="D38" i="11"/>
  <c r="F12" i="10"/>
  <c r="G11" i="11"/>
  <c r="B15" i="11"/>
  <c r="F119" i="11"/>
  <c r="G48" i="5"/>
  <c r="E12" i="5"/>
  <c r="E21" i="6"/>
  <c r="B63" i="5"/>
  <c r="L102" i="11"/>
  <c r="L77" i="14"/>
  <c r="L83" i="11"/>
  <c r="L23" i="17"/>
  <c r="L22" i="12"/>
  <c r="D9" i="23"/>
  <c r="H15" i="22"/>
  <c r="B26" i="22"/>
  <c r="N43" i="20"/>
  <c r="J78" i="18"/>
  <c r="J42" i="19"/>
  <c r="F17" i="16"/>
  <c r="C53" i="20"/>
  <c r="G129" i="17"/>
  <c r="G105" i="16"/>
  <c r="E80" i="13"/>
  <c r="J40" i="15"/>
  <c r="I29" i="17"/>
  <c r="E43" i="15"/>
  <c r="E43" i="17"/>
  <c r="C122" i="14"/>
  <c r="C89" i="15"/>
  <c r="M117" i="13"/>
  <c r="B100" i="11"/>
  <c r="D27" i="16"/>
  <c r="D87" i="12"/>
  <c r="J114" i="13"/>
  <c r="C19" i="11"/>
  <c r="A10" i="11"/>
  <c r="H11" i="11"/>
  <c r="E15" i="11"/>
  <c r="G119" i="11"/>
  <c r="B10" i="11"/>
  <c r="G10" i="13"/>
  <c r="F10" i="13"/>
  <c r="M63" i="5"/>
  <c r="B15" i="22"/>
  <c r="D26" i="22"/>
  <c r="N78" i="18"/>
  <c r="I35" i="19"/>
  <c r="H17" i="16"/>
  <c r="G118" i="16"/>
  <c r="F53" i="20"/>
  <c r="C102" i="16"/>
  <c r="I112" i="17"/>
  <c r="F25" i="15"/>
  <c r="M60" i="19"/>
  <c r="K29" i="17"/>
  <c r="C19" i="16"/>
  <c r="F43" i="15"/>
  <c r="H43" i="17"/>
  <c r="E122" i="14"/>
  <c r="G99" i="14"/>
  <c r="F27" i="13"/>
  <c r="G100" i="11"/>
  <c r="A67" i="14"/>
  <c r="G87" i="12"/>
  <c r="D104" i="11"/>
  <c r="C32" i="10"/>
  <c r="E10" i="11"/>
  <c r="I11" i="11"/>
  <c r="I119" i="11"/>
  <c r="B45" i="10"/>
  <c r="A116" i="10"/>
  <c r="E26" i="11"/>
  <c r="C10" i="11"/>
  <c r="P11" i="5"/>
  <c r="L46" i="11"/>
  <c r="L29" i="10"/>
  <c r="A9" i="23"/>
  <c r="B11" i="23"/>
  <c r="N15" i="22"/>
  <c r="J26" i="22"/>
  <c r="F52" i="19"/>
  <c r="F33" i="19"/>
  <c r="H61" i="18"/>
  <c r="D14" i="18"/>
  <c r="H118" i="16"/>
  <c r="I53" i="20"/>
  <c r="D102" i="16"/>
  <c r="I101" i="16"/>
  <c r="I109" i="14"/>
  <c r="N60" i="19"/>
  <c r="L51" i="16"/>
  <c r="J29" i="17"/>
  <c r="E19" i="16"/>
  <c r="G43" i="15"/>
  <c r="K35" i="13"/>
  <c r="J43" i="17"/>
  <c r="G122" i="14"/>
  <c r="H52" i="12"/>
  <c r="L107" i="13"/>
  <c r="J99" i="14"/>
  <c r="G53" i="13"/>
  <c r="C22" i="12"/>
  <c r="G27" i="13"/>
  <c r="J100" i="11"/>
  <c r="A23" i="12"/>
  <c r="K99" i="12"/>
  <c r="F67" i="14"/>
  <c r="H87" i="12"/>
  <c r="B16" i="11"/>
  <c r="B36" i="11"/>
  <c r="C40" i="13"/>
  <c r="K26" i="14"/>
  <c r="K80" i="10"/>
  <c r="B94" i="13"/>
  <c r="M113" i="10"/>
  <c r="H10" i="11"/>
  <c r="A105" i="10"/>
  <c r="K11" i="11"/>
  <c r="E119" i="11"/>
  <c r="C45" i="10"/>
  <c r="F61" i="11"/>
  <c r="B116" i="10"/>
  <c r="F10" i="11"/>
  <c r="L104" i="13"/>
  <c r="L21" i="11"/>
  <c r="C9" i="23"/>
  <c r="N11" i="23"/>
  <c r="H26" i="21"/>
  <c r="K26" i="22"/>
  <c r="G24" i="22"/>
  <c r="A74" i="18"/>
  <c r="I61" i="18"/>
  <c r="D23" i="18"/>
  <c r="I14" i="18"/>
  <c r="E125" i="17"/>
  <c r="I118" i="16"/>
  <c r="A53" i="20"/>
  <c r="E102" i="16"/>
  <c r="G60" i="19"/>
  <c r="E37" i="17"/>
  <c r="I65" i="16"/>
  <c r="H19" i="16"/>
  <c r="B43" i="15"/>
  <c r="B126" i="12"/>
  <c r="K43" i="17"/>
  <c r="H122" i="14"/>
  <c r="K42" i="12"/>
  <c r="E99" i="14"/>
  <c r="I28" i="13"/>
  <c r="F53" i="13"/>
  <c r="G28" i="13"/>
  <c r="D22" i="12"/>
  <c r="I27" i="13"/>
  <c r="K18" i="14"/>
  <c r="C23" i="12"/>
  <c r="E67" i="14"/>
  <c r="I87" i="12"/>
  <c r="C36" i="11"/>
  <c r="J94" i="13"/>
  <c r="K10" i="11"/>
  <c r="E11" i="11"/>
  <c r="J119" i="11"/>
  <c r="G45" i="10"/>
  <c r="C116" i="10"/>
  <c r="N10" i="11"/>
  <c r="M9" i="18"/>
  <c r="L19" i="14"/>
  <c r="L25" i="18"/>
  <c r="G9" i="23"/>
  <c r="F11" i="23"/>
  <c r="C25" i="21"/>
  <c r="J24" i="22"/>
  <c r="E16" i="21"/>
  <c r="H33" i="19"/>
  <c r="D74" i="18"/>
  <c r="J61" i="18"/>
  <c r="N23" i="18"/>
  <c r="D125" i="17"/>
  <c r="K118" i="16"/>
  <c r="B53" i="20"/>
  <c r="G102" i="16"/>
  <c r="C34" i="18"/>
  <c r="A129" i="15"/>
  <c r="K101" i="16"/>
  <c r="C51" i="16"/>
  <c r="K65" i="16"/>
  <c r="I19" i="16"/>
  <c r="L43" i="17"/>
  <c r="I99" i="14"/>
  <c r="K24" i="13"/>
  <c r="H28" i="13"/>
  <c r="J90" i="14"/>
  <c r="C68" i="17"/>
  <c r="K27" i="13"/>
  <c r="A125" i="13"/>
  <c r="I67" i="14"/>
  <c r="A83" i="13"/>
  <c r="K87" i="12"/>
  <c r="E36" i="11"/>
  <c r="H45" i="10"/>
  <c r="B45" i="11"/>
  <c r="J10" i="23"/>
  <c r="C14" i="19"/>
  <c r="D74" i="17"/>
  <c r="H74" i="17"/>
  <c r="F13" i="16"/>
  <c r="J55" i="15"/>
  <c r="I120" i="15"/>
  <c r="I58" i="11"/>
  <c r="J44" i="18"/>
  <c r="B92" i="18"/>
  <c r="A90" i="17"/>
  <c r="I97" i="15"/>
  <c r="N55" i="15"/>
  <c r="F128" i="13"/>
  <c r="D28" i="22"/>
  <c r="I24" i="22"/>
  <c r="I33" i="19"/>
  <c r="N44" i="18"/>
  <c r="C92" i="18"/>
  <c r="J74" i="17"/>
  <c r="B97" i="15"/>
  <c r="K23" i="14"/>
  <c r="K125" i="14"/>
  <c r="H70" i="12"/>
  <c r="K15" i="14"/>
  <c r="C118" i="12"/>
  <c r="G128" i="13"/>
  <c r="I92" i="13"/>
  <c r="J130" i="10"/>
  <c r="D17" i="11"/>
  <c r="L26" i="20"/>
  <c r="J128" i="13"/>
  <c r="F121" i="11"/>
  <c r="M130" i="10"/>
  <c r="I97" i="11"/>
  <c r="F17" i="11"/>
  <c r="L48" i="11"/>
  <c r="E28" i="22"/>
  <c r="N24" i="22"/>
  <c r="A33" i="19"/>
  <c r="N26" i="20"/>
  <c r="H95" i="18"/>
  <c r="G112" i="15"/>
  <c r="B38" i="17"/>
  <c r="E82" i="14"/>
  <c r="D82" i="14"/>
  <c r="B15" i="14"/>
  <c r="A93" i="14"/>
  <c r="A13" i="13"/>
  <c r="C125" i="10"/>
  <c r="K68" i="11"/>
  <c r="G14" i="8"/>
  <c r="K97" i="11"/>
  <c r="L17" i="11"/>
  <c r="L12" i="5"/>
  <c r="L34" i="16"/>
  <c r="M31" i="21"/>
  <c r="H28" i="22"/>
  <c r="C24" i="22"/>
  <c r="E22" i="18"/>
  <c r="H23" i="18"/>
  <c r="G120" i="17"/>
  <c r="N32" i="18"/>
  <c r="K95" i="18"/>
  <c r="C38" i="17"/>
  <c r="D61" i="15"/>
  <c r="A42" i="15"/>
  <c r="N113" i="15"/>
  <c r="D23" i="14"/>
  <c r="E109" i="15"/>
  <c r="F15" i="14"/>
  <c r="I93" i="14"/>
  <c r="C13" i="13"/>
  <c r="D22" i="11"/>
  <c r="D97" i="11"/>
  <c r="C129" i="10"/>
  <c r="N17" i="11"/>
  <c r="H20" i="21"/>
  <c r="F61" i="15"/>
  <c r="I55" i="17"/>
  <c r="F100" i="16"/>
  <c r="H61" i="15"/>
  <c r="F23" i="14"/>
  <c r="G109" i="15"/>
  <c r="A103" i="16"/>
  <c r="A44" i="17"/>
  <c r="D85" i="13"/>
  <c r="B93" i="14"/>
  <c r="D13" i="13"/>
  <c r="M28" i="14"/>
  <c r="H129" i="10"/>
  <c r="L78" i="15"/>
  <c r="L50" i="16"/>
  <c r="N28" i="22"/>
  <c r="A24" i="22"/>
  <c r="C16" i="21"/>
  <c r="H81" i="19"/>
  <c r="I65" i="18"/>
  <c r="H63" i="19"/>
  <c r="I14" i="20"/>
  <c r="G93" i="18"/>
  <c r="A59" i="18"/>
  <c r="C23" i="18"/>
  <c r="L113" i="17"/>
  <c r="G108" i="17"/>
  <c r="A95" i="18"/>
  <c r="E13" i="18"/>
  <c r="G80" i="15"/>
  <c r="B29" i="15"/>
  <c r="H100" i="16"/>
  <c r="C78" i="16"/>
  <c r="A29" i="19"/>
  <c r="B109" i="17"/>
  <c r="A64" i="15"/>
  <c r="J29" i="16"/>
  <c r="C103" i="16"/>
  <c r="D19" i="20"/>
  <c r="C44" i="17"/>
  <c r="G85" i="14"/>
  <c r="J44" i="17"/>
  <c r="H81" i="16"/>
  <c r="F26" i="15"/>
  <c r="E52" i="14"/>
  <c r="K122" i="13"/>
  <c r="L15" i="15"/>
  <c r="J85" i="13"/>
  <c r="C93" i="14"/>
  <c r="D41" i="12"/>
  <c r="F13" i="13"/>
  <c r="M120" i="15"/>
  <c r="A50" i="13"/>
  <c r="D106" i="14"/>
  <c r="I125" i="10"/>
  <c r="N55" i="12"/>
  <c r="K17" i="10"/>
  <c r="C73" i="12"/>
  <c r="F125" i="10"/>
  <c r="G126" i="11"/>
  <c r="A53" i="11"/>
  <c r="I129" i="10"/>
  <c r="F127" i="11"/>
  <c r="L13" i="20"/>
  <c r="A13" i="16"/>
  <c r="B13" i="16"/>
  <c r="E78" i="16"/>
  <c r="F103" i="16"/>
  <c r="I85" i="13"/>
  <c r="B78" i="13"/>
  <c r="B108" i="11"/>
  <c r="I13" i="16"/>
  <c r="L73" i="16"/>
  <c r="E14" i="19"/>
  <c r="J44" i="19"/>
  <c r="J63" i="19"/>
  <c r="A63" i="19"/>
  <c r="B128" i="17"/>
  <c r="D95" i="18"/>
  <c r="I100" i="16"/>
  <c r="I109" i="17"/>
  <c r="G64" i="15"/>
  <c r="A97" i="16"/>
  <c r="B104" i="15"/>
  <c r="L103" i="16"/>
  <c r="G44" i="17"/>
  <c r="N85" i="13"/>
  <c r="E15" i="14"/>
  <c r="J13" i="13"/>
  <c r="E78" i="13"/>
  <c r="J62" i="13"/>
  <c r="M129" i="10"/>
  <c r="L13" i="16"/>
  <c r="G63" i="5"/>
  <c r="L58" i="13"/>
  <c r="E11" i="22"/>
  <c r="L16" i="21"/>
  <c r="J81" i="19"/>
  <c r="K44" i="19"/>
  <c r="G35" i="19"/>
  <c r="E99" i="18"/>
  <c r="H82" i="18"/>
  <c r="C62" i="19"/>
  <c r="H28" i="18"/>
  <c r="J93" i="18"/>
  <c r="D9" i="19"/>
  <c r="C127" i="17"/>
  <c r="H81" i="17"/>
  <c r="E95" i="18"/>
  <c r="A114" i="15"/>
  <c r="N129" i="15"/>
  <c r="J100" i="16"/>
  <c r="A34" i="18"/>
  <c r="H29" i="15"/>
  <c r="I76" i="16"/>
  <c r="I18" i="15"/>
  <c r="K132" i="15"/>
  <c r="J109" i="17"/>
  <c r="I64" i="15"/>
  <c r="B97" i="16"/>
  <c r="E19" i="20"/>
  <c r="F123" i="16"/>
  <c r="A86" i="18"/>
  <c r="N70" i="12"/>
  <c r="N76" i="14"/>
  <c r="A52" i="14"/>
  <c r="I15" i="15"/>
  <c r="B65" i="13"/>
  <c r="E101" i="11"/>
  <c r="B38" i="16"/>
  <c r="B13" i="13"/>
  <c r="D128" i="12"/>
  <c r="G125" i="13"/>
  <c r="B38" i="12"/>
  <c r="J78" i="13"/>
  <c r="D23" i="12"/>
  <c r="H50" i="13"/>
  <c r="K44" i="13"/>
  <c r="F69" i="13"/>
  <c r="B62" i="13"/>
  <c r="L125" i="10"/>
  <c r="I58" i="13"/>
  <c r="E18" i="12"/>
  <c r="A113" i="10"/>
  <c r="F103" i="12"/>
  <c r="A33" i="12"/>
  <c r="A93" i="10"/>
  <c r="L94" i="12"/>
  <c r="F11" i="22"/>
  <c r="D38" i="22"/>
  <c r="N16" i="21"/>
  <c r="E10" i="19"/>
  <c r="F28" i="20"/>
  <c r="A81" i="19"/>
  <c r="L44" i="19"/>
  <c r="L63" i="19"/>
  <c r="G99" i="18"/>
  <c r="F99" i="18"/>
  <c r="B82" i="18"/>
  <c r="E62" i="19"/>
  <c r="B21" i="18"/>
  <c r="C53" i="18"/>
  <c r="K93" i="18"/>
  <c r="F9" i="19"/>
  <c r="C128" i="17"/>
  <c r="F127" i="17"/>
  <c r="F95" i="18"/>
  <c r="B55" i="17"/>
  <c r="I120" i="14"/>
  <c r="F34" i="18"/>
  <c r="C22" i="16"/>
  <c r="D21" i="15"/>
  <c r="J76" i="16"/>
  <c r="B96" i="14"/>
  <c r="L18" i="15"/>
  <c r="D101" i="16"/>
  <c r="K109" i="17"/>
  <c r="N77" i="16"/>
  <c r="D56" i="15"/>
  <c r="I23" i="14"/>
  <c r="C97" i="16"/>
  <c r="I36" i="16"/>
  <c r="J19" i="20"/>
  <c r="J123" i="16"/>
  <c r="E86" i="18"/>
  <c r="H89" i="15"/>
  <c r="A76" i="14"/>
  <c r="I12" i="13"/>
  <c r="N15" i="15"/>
  <c r="B109" i="16"/>
  <c r="D38" i="16"/>
  <c r="G128" i="12"/>
  <c r="H125" i="13"/>
  <c r="C38" i="12"/>
  <c r="K78" i="13"/>
  <c r="H23" i="12"/>
  <c r="L44" i="13"/>
  <c r="H69" i="13"/>
  <c r="C62" i="13"/>
  <c r="C126" i="11"/>
  <c r="G113" i="10"/>
  <c r="J89" i="10"/>
  <c r="H18" i="11"/>
  <c r="I53" i="10"/>
  <c r="C33" i="12"/>
  <c r="B93" i="10"/>
  <c r="A79" i="10"/>
  <c r="L35" i="19"/>
  <c r="I11" i="22"/>
  <c r="N11" i="21"/>
  <c r="F24" i="21"/>
  <c r="D16" i="21"/>
  <c r="B28" i="20"/>
  <c r="I10" i="19"/>
  <c r="J28" i="20"/>
  <c r="A13" i="20"/>
  <c r="I81" i="19"/>
  <c r="N44" i="19"/>
  <c r="G63" i="19"/>
  <c r="I131" i="18"/>
  <c r="I62" i="19"/>
  <c r="D11" i="18"/>
  <c r="A118" i="17"/>
  <c r="D53" i="18"/>
  <c r="N93" i="18"/>
  <c r="G9" i="19"/>
  <c r="A99" i="17"/>
  <c r="G127" i="17"/>
  <c r="A37" i="18"/>
  <c r="B127" i="17"/>
  <c r="I95" i="18"/>
  <c r="C55" i="17"/>
  <c r="H97" i="15"/>
  <c r="E9" i="18"/>
  <c r="G34" i="18"/>
  <c r="E22" i="16"/>
  <c r="A14" i="16"/>
  <c r="A18" i="15"/>
  <c r="E101" i="16"/>
  <c r="B73" i="15"/>
  <c r="G109" i="17"/>
  <c r="A62" i="16"/>
  <c r="C107" i="14"/>
  <c r="D97" i="16"/>
  <c r="K36" i="16"/>
  <c r="K19" i="20"/>
  <c r="A123" i="16"/>
  <c r="F86" i="18"/>
  <c r="D94" i="18"/>
  <c r="F87" i="13"/>
  <c r="B76" i="14"/>
  <c r="J68" i="13"/>
  <c r="F38" i="16"/>
  <c r="J128" i="12"/>
  <c r="F125" i="13"/>
  <c r="E38" i="12"/>
  <c r="J23" i="12"/>
  <c r="J69" i="13"/>
  <c r="D62" i="13"/>
  <c r="J18" i="12"/>
  <c r="H126" i="11"/>
  <c r="D29" i="11"/>
  <c r="F17" i="10"/>
  <c r="A19" i="11"/>
  <c r="K18" i="11"/>
  <c r="B63" i="11"/>
  <c r="F33" i="12"/>
  <c r="C93" i="10"/>
  <c r="H11" i="21"/>
  <c r="C11" i="22"/>
  <c r="L68" i="13"/>
  <c r="L57" i="16"/>
  <c r="L53" i="16"/>
  <c r="N11" i="22"/>
  <c r="A11" i="21"/>
  <c r="J16" i="21"/>
  <c r="D28" i="20"/>
  <c r="F30" i="22"/>
  <c r="F13" i="20"/>
  <c r="E28" i="20"/>
  <c r="B99" i="18"/>
  <c r="D44" i="19"/>
  <c r="L99" i="18"/>
  <c r="E124" i="19"/>
  <c r="B80" i="18"/>
  <c r="G65" i="18"/>
  <c r="J62" i="19"/>
  <c r="K61" i="21"/>
  <c r="B118" i="17"/>
  <c r="E93" i="18"/>
  <c r="H9" i="19"/>
  <c r="I127" i="17"/>
  <c r="L95" i="18"/>
  <c r="D55" i="17"/>
  <c r="N97" i="15"/>
  <c r="A107" i="17"/>
  <c r="B97" i="17"/>
  <c r="I34" i="18"/>
  <c r="G22" i="16"/>
  <c r="F33" i="16"/>
  <c r="B14" i="16"/>
  <c r="C18" i="15"/>
  <c r="H109" i="17"/>
  <c r="B62" i="16"/>
  <c r="C104" i="15"/>
  <c r="E97" i="16"/>
  <c r="A104" i="15"/>
  <c r="F53" i="14"/>
  <c r="C123" i="16"/>
  <c r="I86" i="18"/>
  <c r="J26" i="15"/>
  <c r="F94" i="18"/>
  <c r="C84" i="13"/>
  <c r="C76" i="14"/>
  <c r="K68" i="13"/>
  <c r="G126" i="12"/>
  <c r="F99" i="13"/>
  <c r="A124" i="13"/>
  <c r="H38" i="16"/>
  <c r="K128" i="12"/>
  <c r="I125" i="13"/>
  <c r="C69" i="13"/>
  <c r="E32" i="10"/>
  <c r="C111" i="14"/>
  <c r="B71" i="11"/>
  <c r="I126" i="11"/>
  <c r="H29" i="11"/>
  <c r="A125" i="10"/>
  <c r="E63" i="11"/>
  <c r="H33" i="12"/>
  <c r="E93" i="10"/>
  <c r="A15" i="11"/>
  <c r="G11" i="21"/>
  <c r="J11" i="22"/>
  <c r="H37" i="5"/>
  <c r="B11" i="22"/>
  <c r="D11" i="21"/>
  <c r="B16" i="21"/>
  <c r="A28" i="20"/>
  <c r="I30" i="22"/>
  <c r="C99" i="18"/>
  <c r="G79" i="18"/>
  <c r="G124" i="19"/>
  <c r="C80" i="18"/>
  <c r="A57" i="18"/>
  <c r="K62" i="19"/>
  <c r="N61" i="21"/>
  <c r="K118" i="17"/>
  <c r="J9" i="19"/>
  <c r="K23" i="18"/>
  <c r="E106" i="17"/>
  <c r="E127" i="17"/>
  <c r="A127" i="17"/>
  <c r="J55" i="17"/>
  <c r="B107" i="17"/>
  <c r="D97" i="17"/>
  <c r="K97" i="15"/>
  <c r="J34" i="18"/>
  <c r="B56" i="14"/>
  <c r="D14" i="16"/>
  <c r="M109" i="17"/>
  <c r="J104" i="15"/>
  <c r="H62" i="16"/>
  <c r="D17" i="15"/>
  <c r="I97" i="16"/>
  <c r="J42" i="18"/>
  <c r="D123" i="16"/>
  <c r="K86" i="18"/>
  <c r="K26" i="15"/>
  <c r="F84" i="13"/>
  <c r="A24" i="13"/>
  <c r="C57" i="13"/>
  <c r="A32" i="13"/>
  <c r="B124" i="13"/>
  <c r="I38" i="16"/>
  <c r="N128" i="12"/>
  <c r="J125" i="13"/>
  <c r="E60" i="13"/>
  <c r="E128" i="12"/>
  <c r="M111" i="14"/>
  <c r="C71" i="11"/>
  <c r="K126" i="11"/>
  <c r="K29" i="11"/>
  <c r="K130" i="10"/>
  <c r="F41" i="10"/>
  <c r="F63" i="11"/>
  <c r="I33" i="12"/>
  <c r="G93" i="10"/>
  <c r="C15" i="11"/>
  <c r="B11" i="21"/>
  <c r="A11" i="22"/>
  <c r="H36" i="23"/>
  <c r="L11" i="21"/>
  <c r="F16" i="21"/>
  <c r="C28" i="20"/>
  <c r="N30" i="22"/>
  <c r="C124" i="19"/>
  <c r="K28" i="18"/>
  <c r="L65" i="18"/>
  <c r="E80" i="18"/>
  <c r="N62" i="19"/>
  <c r="D118" i="17"/>
  <c r="B9" i="19"/>
  <c r="F106" i="17"/>
  <c r="K113" i="17"/>
  <c r="C107" i="17"/>
  <c r="E97" i="17"/>
  <c r="I48" i="14"/>
  <c r="K34" i="18"/>
  <c r="C46" i="16"/>
  <c r="F76" i="15"/>
  <c r="F14" i="16"/>
  <c r="D122" i="15"/>
  <c r="K104" i="15"/>
  <c r="I62" i="16"/>
  <c r="E17" i="15"/>
  <c r="D62" i="16"/>
  <c r="A90" i="15"/>
  <c r="G59" i="17"/>
  <c r="F97" i="16"/>
  <c r="E123" i="16"/>
  <c r="A87" i="13"/>
  <c r="C86" i="18"/>
  <c r="L26" i="15"/>
  <c r="D57" i="13"/>
  <c r="B32" i="13"/>
  <c r="C72" i="13"/>
  <c r="G124" i="13"/>
  <c r="A75" i="14"/>
  <c r="J38" i="16"/>
  <c r="K125" i="13"/>
  <c r="F60" i="13"/>
  <c r="A111" i="14"/>
  <c r="J58" i="11"/>
  <c r="L126" i="11"/>
  <c r="K113" i="10"/>
  <c r="K128" i="10"/>
  <c r="K33" i="12"/>
  <c r="H93" i="10"/>
  <c r="D15" i="11"/>
  <c r="J33" i="12"/>
  <c r="L48" i="14"/>
  <c r="L21" i="14"/>
  <c r="K36" i="23"/>
  <c r="F29" i="21"/>
  <c r="G24" i="21"/>
  <c r="H16" i="21"/>
  <c r="G28" i="20"/>
  <c r="A30" i="22"/>
  <c r="D124" i="19"/>
  <c r="N28" i="18"/>
  <c r="L80" i="18"/>
  <c r="A62" i="19"/>
  <c r="D100" i="18"/>
  <c r="G121" i="19"/>
  <c r="F53" i="18"/>
  <c r="I9" i="19"/>
  <c r="K9" i="19"/>
  <c r="H113" i="17"/>
  <c r="H106" i="17"/>
  <c r="J27" i="19"/>
  <c r="M106" i="17"/>
  <c r="N65" i="15"/>
  <c r="D107" i="17"/>
  <c r="H97" i="17"/>
  <c r="J107" i="17"/>
  <c r="H107" i="17"/>
  <c r="L34" i="18"/>
  <c r="C20" i="16"/>
  <c r="H14" i="16"/>
  <c r="E122" i="15"/>
  <c r="I107" i="14"/>
  <c r="H73" i="15"/>
  <c r="N104" i="15"/>
  <c r="K62" i="16"/>
  <c r="C90" i="15"/>
  <c r="K59" i="17"/>
  <c r="G97" i="16"/>
  <c r="F113" i="16"/>
  <c r="G123" i="16"/>
  <c r="B87" i="13"/>
  <c r="B26" i="15"/>
  <c r="A57" i="13"/>
  <c r="C32" i="13"/>
  <c r="B110" i="12"/>
  <c r="I124" i="13"/>
  <c r="C75" i="14"/>
  <c r="K38" i="16"/>
  <c r="L125" i="13"/>
  <c r="E111" i="11"/>
  <c r="F128" i="12"/>
  <c r="I78" i="12"/>
  <c r="G24" i="11"/>
  <c r="D18" i="12"/>
  <c r="D17" i="13"/>
  <c r="L19" i="11"/>
  <c r="G111" i="14"/>
  <c r="D89" i="10"/>
  <c r="N126" i="11"/>
  <c r="G98" i="11"/>
  <c r="K93" i="10"/>
  <c r="F15" i="11"/>
  <c r="C91" i="14"/>
  <c r="L61" i="21"/>
  <c r="L86" i="11"/>
  <c r="L75" i="11"/>
  <c r="L57" i="18"/>
  <c r="L24" i="18"/>
  <c r="G36" i="23"/>
  <c r="E16" i="23"/>
  <c r="N24" i="21"/>
  <c r="A16" i="21"/>
  <c r="D13" i="20"/>
  <c r="G30" i="22"/>
  <c r="F124" i="19"/>
  <c r="H80" i="18"/>
  <c r="F65" i="18"/>
  <c r="I82" i="18"/>
  <c r="B121" i="19"/>
  <c r="F121" i="19"/>
  <c r="N9" i="19"/>
  <c r="K81" i="17"/>
  <c r="A113" i="17"/>
  <c r="B106" i="17"/>
  <c r="F99" i="17"/>
  <c r="A21" i="15"/>
  <c r="E107" i="17"/>
  <c r="J97" i="17"/>
  <c r="F96" i="17"/>
  <c r="I103" i="17"/>
  <c r="I20" i="16"/>
  <c r="G61" i="15"/>
  <c r="B16" i="14"/>
  <c r="C14" i="16"/>
  <c r="G122" i="15"/>
  <c r="N73" i="15"/>
  <c r="E104" i="15"/>
  <c r="N62" i="16"/>
  <c r="L117" i="14"/>
  <c r="H132" i="15"/>
  <c r="K29" i="16"/>
  <c r="A59" i="17"/>
  <c r="H97" i="16"/>
  <c r="G113" i="16"/>
  <c r="H123" i="16"/>
  <c r="N85" i="14"/>
  <c r="C87" i="13"/>
  <c r="D89" i="13"/>
  <c r="E26" i="15"/>
  <c r="J28" i="13"/>
  <c r="D124" i="13"/>
  <c r="D75" i="14"/>
  <c r="C38" i="16"/>
  <c r="N86" i="17"/>
  <c r="N125" i="13"/>
  <c r="J111" i="11"/>
  <c r="I128" i="12"/>
  <c r="I44" i="13"/>
  <c r="G18" i="12"/>
  <c r="E17" i="13"/>
  <c r="K125" i="10"/>
  <c r="H111" i="14"/>
  <c r="H17" i="10"/>
  <c r="M67" i="14"/>
  <c r="D124" i="10"/>
  <c r="L50" i="11"/>
  <c r="A132" i="11"/>
  <c r="G15" i="11"/>
  <c r="D91" i="14"/>
  <c r="C37" i="5"/>
  <c r="H16" i="23"/>
  <c r="K24" i="21"/>
  <c r="E13" i="20"/>
  <c r="C30" i="22"/>
  <c r="I21" i="20"/>
  <c r="J99" i="18"/>
  <c r="L124" i="19"/>
  <c r="A80" i="18"/>
  <c r="I100" i="18"/>
  <c r="E121" i="19"/>
  <c r="D113" i="18"/>
  <c r="C106" i="17"/>
  <c r="C27" i="19"/>
  <c r="L94" i="17"/>
  <c r="G107" i="17"/>
  <c r="N97" i="17"/>
  <c r="H96" i="17"/>
  <c r="N13" i="16"/>
  <c r="E14" i="16"/>
  <c r="A122" i="15"/>
  <c r="G104" i="15"/>
  <c r="C62" i="16"/>
  <c r="K113" i="16"/>
  <c r="I123" i="16"/>
  <c r="C85" i="14"/>
  <c r="D87" i="13"/>
  <c r="F89" i="13"/>
  <c r="G26" i="15"/>
  <c r="K57" i="13"/>
  <c r="F75" i="14"/>
  <c r="C25" i="13"/>
  <c r="A120" i="15"/>
  <c r="E38" i="16"/>
  <c r="A86" i="17"/>
  <c r="H67" i="12"/>
  <c r="B106" i="14"/>
  <c r="J116" i="11"/>
  <c r="K17" i="13"/>
  <c r="I111" i="14"/>
  <c r="D41" i="10"/>
  <c r="J121" i="11"/>
  <c r="B127" i="10"/>
  <c r="H89" i="10"/>
  <c r="G124" i="10"/>
  <c r="B17" i="10"/>
  <c r="F47" i="12"/>
  <c r="I15" i="11"/>
  <c r="G91" i="14"/>
  <c r="C27" i="10"/>
  <c r="N12" i="5"/>
  <c r="G37" i="5"/>
  <c r="D10" i="23"/>
  <c r="L16" i="23"/>
  <c r="A24" i="21"/>
  <c r="G13" i="20"/>
  <c r="H30" i="22"/>
  <c r="C13" i="20"/>
  <c r="A74" i="19"/>
  <c r="G11" i="18"/>
  <c r="E56" i="18"/>
  <c r="D121" i="19"/>
  <c r="C81" i="17"/>
  <c r="L106" i="17"/>
  <c r="I107" i="17"/>
  <c r="K97" i="17"/>
  <c r="C96" i="17"/>
  <c r="A16" i="18"/>
  <c r="G13" i="16"/>
  <c r="I104" i="15"/>
  <c r="E62" i="16"/>
  <c r="G132" i="15"/>
  <c r="K123" i="16"/>
  <c r="F85" i="14"/>
  <c r="I87" i="13"/>
  <c r="L87" i="13"/>
  <c r="H26" i="15"/>
  <c r="G75" i="14"/>
  <c r="D25" i="13"/>
  <c r="C120" i="15"/>
  <c r="D86" i="17"/>
  <c r="A44" i="13"/>
  <c r="K24" i="11"/>
  <c r="C121" i="11"/>
  <c r="H17" i="13"/>
  <c r="D32" i="10"/>
  <c r="J111" i="14"/>
  <c r="G41" i="10"/>
  <c r="K53" i="11"/>
  <c r="D125" i="10"/>
  <c r="H47" i="12"/>
  <c r="J15" i="11"/>
  <c r="A19" i="10"/>
  <c r="F27" i="10"/>
  <c r="L10" i="17"/>
  <c r="J16" i="23"/>
  <c r="H13" i="20"/>
  <c r="K30" i="22"/>
  <c r="B74" i="19"/>
  <c r="K63" i="19"/>
  <c r="B57" i="18"/>
  <c r="L119" i="17"/>
  <c r="H56" i="18"/>
  <c r="H121" i="19"/>
  <c r="I94" i="17"/>
  <c r="H33" i="15"/>
  <c r="K107" i="17"/>
  <c r="F97" i="17"/>
  <c r="B74" i="17"/>
  <c r="G74" i="17"/>
  <c r="G29" i="16"/>
  <c r="H85" i="14"/>
  <c r="K87" i="13"/>
  <c r="I26" i="15"/>
  <c r="A99" i="14"/>
  <c r="L30" i="13"/>
  <c r="E97" i="13"/>
  <c r="J75" i="14"/>
  <c r="A15" i="14"/>
  <c r="E25" i="13"/>
  <c r="H120" i="15"/>
  <c r="E86" i="17"/>
  <c r="N77" i="15"/>
  <c r="E44" i="13"/>
  <c r="G92" i="13"/>
  <c r="G63" i="11"/>
  <c r="H121" i="11"/>
  <c r="K111" i="14"/>
  <c r="A32" i="10"/>
  <c r="J27" i="11"/>
  <c r="J98" i="11"/>
  <c r="A50" i="11"/>
  <c r="J47" i="12"/>
  <c r="A118" i="10"/>
  <c r="K15" i="11"/>
  <c r="C19" i="10"/>
  <c r="H91" i="14"/>
  <c r="G27" i="10"/>
  <c r="F12" i="5"/>
  <c r="A16" i="23"/>
  <c r="B30" i="22"/>
  <c r="D79" i="18"/>
  <c r="C14" i="20"/>
  <c r="I56" i="18"/>
  <c r="F82" i="18"/>
  <c r="J121" i="19"/>
  <c r="A94" i="17"/>
  <c r="C13" i="18"/>
  <c r="N33" i="15"/>
  <c r="F107" i="17"/>
  <c r="A103" i="17"/>
  <c r="D45" i="17"/>
  <c r="B41" i="15"/>
  <c r="A26" i="15"/>
  <c r="I97" i="13"/>
  <c r="E120" i="15"/>
  <c r="H86" i="17"/>
  <c r="C77" i="15"/>
  <c r="H92" i="13"/>
  <c r="F58" i="11"/>
  <c r="N27" i="11"/>
  <c r="G12" i="8"/>
  <c r="A66" i="11"/>
  <c r="K98" i="11"/>
  <c r="J113" i="10"/>
  <c r="G47" i="12"/>
  <c r="I27" i="10"/>
  <c r="P42" i="5"/>
  <c r="G21" i="6"/>
  <c r="C37" i="19"/>
  <c r="H30" i="13"/>
  <c r="F120" i="15"/>
  <c r="C128" i="13"/>
  <c r="B13" i="11"/>
  <c r="I104" i="12"/>
  <c r="N104" i="12"/>
  <c r="D104" i="12"/>
  <c r="N9" i="16"/>
  <c r="K9" i="16"/>
  <c r="A9" i="16"/>
  <c r="G9" i="16"/>
  <c r="D9" i="16"/>
  <c r="E9" i="16"/>
  <c r="C9" i="16"/>
  <c r="B9" i="16"/>
  <c r="H37" i="19"/>
  <c r="L12" i="18"/>
  <c r="K12" i="18"/>
  <c r="D75" i="16"/>
  <c r="E75" i="16"/>
  <c r="N15" i="12"/>
  <c r="B15" i="12"/>
  <c r="J15" i="12"/>
  <c r="J37" i="19"/>
  <c r="A121" i="11"/>
  <c r="B58" i="11"/>
  <c r="E65" i="11"/>
  <c r="A65" i="11"/>
  <c r="G65" i="11"/>
  <c r="A59" i="10"/>
  <c r="K59" i="10"/>
  <c r="G59" i="10"/>
  <c r="F59" i="10"/>
  <c r="C59" i="10"/>
  <c r="B59" i="10"/>
  <c r="E84" i="10"/>
  <c r="J84" i="10"/>
  <c r="F84" i="10"/>
  <c r="D84" i="10"/>
  <c r="C84" i="10"/>
  <c r="B84" i="10"/>
  <c r="H31" i="12"/>
  <c r="C31" i="12"/>
  <c r="I31" i="12"/>
  <c r="H55" i="14"/>
  <c r="C55" i="14"/>
  <c r="N111" i="12"/>
  <c r="B111" i="12"/>
  <c r="J111" i="12"/>
  <c r="D27" i="15"/>
  <c r="B27" i="15"/>
  <c r="C27" i="15"/>
  <c r="C17" i="14"/>
  <c r="J17" i="14"/>
  <c r="H17" i="14"/>
  <c r="A47" i="13"/>
  <c r="I47" i="13"/>
  <c r="N68" i="16"/>
  <c r="C68" i="16"/>
  <c r="E68" i="16"/>
  <c r="B68" i="16"/>
  <c r="H68" i="16"/>
  <c r="L74" i="14"/>
  <c r="C74" i="14"/>
  <c r="J92" i="15"/>
  <c r="E92" i="15"/>
  <c r="N25" i="16"/>
  <c r="F25" i="16"/>
  <c r="N117" i="17"/>
  <c r="I117" i="17"/>
  <c r="D51" i="19"/>
  <c r="C51" i="19"/>
  <c r="A51" i="17"/>
  <c r="E51" i="17"/>
  <c r="D121" i="16"/>
  <c r="L121" i="16"/>
  <c r="K94" i="18"/>
  <c r="J94" i="18"/>
  <c r="A94" i="18"/>
  <c r="F28" i="11"/>
  <c r="H28" i="11"/>
  <c r="C101" i="15"/>
  <c r="I101" i="15"/>
  <c r="C52" i="13"/>
  <c r="J52" i="13"/>
  <c r="J37" i="5"/>
  <c r="E30" i="18"/>
  <c r="A56" i="19"/>
  <c r="I105" i="18"/>
  <c r="D93" i="17"/>
  <c r="C17" i="17"/>
  <c r="I37" i="16"/>
  <c r="F13" i="14"/>
  <c r="G94" i="18"/>
  <c r="A25" i="16"/>
  <c r="E109" i="12"/>
  <c r="K79" i="14"/>
  <c r="F74" i="14"/>
  <c r="H128" i="13"/>
  <c r="F27" i="15"/>
  <c r="J31" i="12"/>
  <c r="B77" i="10"/>
  <c r="H86" i="18"/>
  <c r="L86" i="18"/>
  <c r="J86" i="18"/>
  <c r="E34" i="18"/>
  <c r="B34" i="18"/>
  <c r="H34" i="18"/>
  <c r="H48" i="5"/>
  <c r="L31" i="20"/>
  <c r="H30" i="18"/>
  <c r="G20" i="12"/>
  <c r="B18" i="17"/>
  <c r="G18" i="17"/>
  <c r="E18" i="17"/>
  <c r="A18" i="17"/>
  <c r="K108" i="11"/>
  <c r="F108" i="11"/>
  <c r="C108" i="11"/>
  <c r="H92" i="11"/>
  <c r="J92" i="11"/>
  <c r="F92" i="11"/>
  <c r="A92" i="11"/>
  <c r="L92" i="11"/>
  <c r="B92" i="11"/>
  <c r="N121" i="11"/>
  <c r="M121" i="11"/>
  <c r="G121" i="11"/>
  <c r="I121" i="11"/>
  <c r="K58" i="11"/>
  <c r="H58" i="11"/>
  <c r="C58" i="11"/>
  <c r="L41" i="11"/>
  <c r="D41" i="11"/>
  <c r="K41" i="11"/>
  <c r="N30" i="10"/>
  <c r="L30" i="10"/>
  <c r="J30" i="10"/>
  <c r="H30" i="10"/>
  <c r="E30" i="10"/>
  <c r="C30" i="10"/>
  <c r="I129" i="13"/>
  <c r="A129" i="13"/>
  <c r="C129" i="13"/>
  <c r="K85" i="13"/>
  <c r="G85" i="13"/>
  <c r="N120" i="15"/>
  <c r="L120" i="15"/>
  <c r="J120" i="15"/>
  <c r="D120" i="15"/>
  <c r="B120" i="15"/>
  <c r="L78" i="13"/>
  <c r="H78" i="13"/>
  <c r="J93" i="14"/>
  <c r="F93" i="14"/>
  <c r="E93" i="14"/>
  <c r="D93" i="14"/>
  <c r="C98" i="15"/>
  <c r="B98" i="15"/>
  <c r="I97" i="17"/>
  <c r="G97" i="17"/>
  <c r="C97" i="17"/>
  <c r="C59" i="17"/>
  <c r="L59" i="17"/>
  <c r="G103" i="16"/>
  <c r="D103" i="16"/>
  <c r="B103" i="16"/>
  <c r="O12" i="5"/>
  <c r="E56" i="19"/>
  <c r="A102" i="19"/>
  <c r="A105" i="18"/>
  <c r="C105" i="16"/>
  <c r="L20" i="15"/>
  <c r="I17" i="17"/>
  <c r="B48" i="15"/>
  <c r="K42" i="18"/>
  <c r="I94" i="18"/>
  <c r="C25" i="16"/>
  <c r="N79" i="14"/>
  <c r="G120" i="15"/>
  <c r="C72" i="12"/>
  <c r="M128" i="13"/>
  <c r="E15" i="12"/>
  <c r="K27" i="15"/>
  <c r="G48" i="11"/>
  <c r="H20" i="12"/>
  <c r="D121" i="11"/>
  <c r="D65" i="11"/>
  <c r="K121" i="11"/>
  <c r="I77" i="10"/>
  <c r="N9" i="11"/>
  <c r="F11" i="21"/>
  <c r="C11" i="21"/>
  <c r="I11" i="21"/>
  <c r="K11" i="21"/>
  <c r="E11" i="21"/>
  <c r="N30" i="18"/>
  <c r="A17" i="17"/>
  <c r="L72" i="18"/>
  <c r="H72" i="18"/>
  <c r="H24" i="22"/>
  <c r="H44" i="19"/>
  <c r="D33" i="19"/>
  <c r="I124" i="19"/>
  <c r="N95" i="20"/>
  <c r="C56" i="19"/>
  <c r="D21" i="18"/>
  <c r="E59" i="21"/>
  <c r="C102" i="19"/>
  <c r="E105" i="18"/>
  <c r="I90" i="18"/>
  <c r="F56" i="17"/>
  <c r="E108" i="17"/>
  <c r="D105" i="16"/>
  <c r="L97" i="17"/>
  <c r="E96" i="17"/>
  <c r="L12" i="17"/>
  <c r="J62" i="16"/>
  <c r="F45" i="17"/>
  <c r="A113" i="16"/>
  <c r="E25" i="16"/>
  <c r="H20" i="13"/>
  <c r="K93" i="14"/>
  <c r="A18" i="14"/>
  <c r="J72" i="12"/>
  <c r="A55" i="14"/>
  <c r="G15" i="12"/>
  <c r="J27" i="15"/>
  <c r="H108" i="11"/>
  <c r="F15" i="12"/>
  <c r="I60" i="16"/>
  <c r="K94" i="16"/>
  <c r="C18" i="12"/>
  <c r="I18" i="12"/>
  <c r="N18" i="12"/>
  <c r="I18" i="11"/>
  <c r="E18" i="11"/>
  <c r="H106" i="14"/>
  <c r="A106" i="14"/>
  <c r="J103" i="12"/>
  <c r="C103" i="12"/>
  <c r="G103" i="12"/>
  <c r="D103" i="12"/>
  <c r="H92" i="12"/>
  <c r="K92" i="12"/>
  <c r="L52" i="14"/>
  <c r="B52" i="14"/>
  <c r="J52" i="14"/>
  <c r="K52" i="14"/>
  <c r="H52" i="14"/>
  <c r="H121" i="15"/>
  <c r="I121" i="15"/>
  <c r="N39" i="16"/>
  <c r="F39" i="16"/>
  <c r="H39" i="16"/>
  <c r="K68" i="15"/>
  <c r="N68" i="15"/>
  <c r="F68" i="15"/>
  <c r="B68" i="15"/>
  <c r="B12" i="5"/>
  <c r="E12" i="22"/>
  <c r="B31" i="20"/>
  <c r="K56" i="19"/>
  <c r="J59" i="21"/>
  <c r="H102" i="19"/>
  <c r="M41" i="19"/>
  <c r="J105" i="18"/>
  <c r="A72" i="18"/>
  <c r="B96" i="17"/>
  <c r="D99" i="15"/>
  <c r="D37" i="16"/>
  <c r="G94" i="16"/>
  <c r="I113" i="16"/>
  <c r="L39" i="13"/>
  <c r="H37" i="13"/>
  <c r="H25" i="16"/>
  <c r="C52" i="14"/>
  <c r="J129" i="13"/>
  <c r="J55" i="14"/>
  <c r="J108" i="11"/>
  <c r="K103" i="12"/>
  <c r="L92" i="15"/>
  <c r="E97" i="10"/>
  <c r="N22" i="17"/>
  <c r="D22" i="17"/>
  <c r="B22" i="17"/>
  <c r="F75" i="18"/>
  <c r="N75" i="18"/>
  <c r="C25" i="17"/>
  <c r="D25" i="17"/>
  <c r="J9" i="18"/>
  <c r="G9" i="18"/>
  <c r="D9" i="18"/>
  <c r="A9" i="18"/>
  <c r="B9" i="18"/>
  <c r="H12" i="22"/>
  <c r="D31" i="20"/>
  <c r="K70" i="10"/>
  <c r="J80" i="11"/>
  <c r="L80" i="11"/>
  <c r="G89" i="11"/>
  <c r="D89" i="11"/>
  <c r="D84" i="12"/>
  <c r="F84" i="12"/>
  <c r="L84" i="12"/>
  <c r="L43" i="13"/>
  <c r="J43" i="13"/>
  <c r="N18" i="14"/>
  <c r="J18" i="14"/>
  <c r="J105" i="15"/>
  <c r="E105" i="15"/>
  <c r="F105" i="15"/>
  <c r="C105" i="15"/>
  <c r="A88" i="15"/>
  <c r="D88" i="15"/>
  <c r="N64" i="12"/>
  <c r="N115" i="12"/>
  <c r="A115" i="12"/>
  <c r="H97" i="18"/>
  <c r="E97" i="18"/>
  <c r="E58" i="15"/>
  <c r="A58" i="15"/>
  <c r="H58" i="15"/>
  <c r="K58" i="15"/>
  <c r="B58" i="15"/>
  <c r="J12" i="22"/>
  <c r="D24" i="22"/>
  <c r="F31" i="20"/>
  <c r="K99" i="18"/>
  <c r="C44" i="19"/>
  <c r="I99" i="18"/>
  <c r="J35" i="19"/>
  <c r="D50" i="18"/>
  <c r="H59" i="21"/>
  <c r="I65" i="19"/>
  <c r="M9" i="19"/>
  <c r="N105" i="18"/>
  <c r="D72" i="18"/>
  <c r="G26" i="17"/>
  <c r="C19" i="18"/>
  <c r="F32" i="18"/>
  <c r="B130" i="16"/>
  <c r="K61" i="15"/>
  <c r="K54" i="17"/>
  <c r="D16" i="18"/>
  <c r="C18" i="17"/>
  <c r="G62" i="16"/>
  <c r="B37" i="16"/>
  <c r="H113" i="16"/>
  <c r="C99" i="16"/>
  <c r="D129" i="13"/>
  <c r="N55" i="14"/>
  <c r="K48" i="11"/>
  <c r="E42" i="10"/>
  <c r="D58" i="11"/>
  <c r="C66" i="11"/>
  <c r="D92" i="15"/>
  <c r="I92" i="11"/>
  <c r="A9" i="11"/>
  <c r="H84" i="10"/>
  <c r="N51" i="10"/>
  <c r="I51" i="10"/>
  <c r="D61" i="10"/>
  <c r="G61" i="10"/>
  <c r="F120" i="13"/>
  <c r="C120" i="13"/>
  <c r="D116" i="15"/>
  <c r="H116" i="15"/>
  <c r="C116" i="15"/>
  <c r="I128" i="15"/>
  <c r="B128" i="15"/>
  <c r="C128" i="15"/>
  <c r="J75" i="15"/>
  <c r="L75" i="15"/>
  <c r="B75" i="15"/>
  <c r="F75" i="15"/>
  <c r="L12" i="22"/>
  <c r="N12" i="22"/>
  <c r="K24" i="22"/>
  <c r="G43" i="20"/>
  <c r="I44" i="19"/>
  <c r="B63" i="19"/>
  <c r="J50" i="18"/>
  <c r="D124" i="17"/>
  <c r="B30" i="18"/>
  <c r="B79" i="18"/>
  <c r="H56" i="19"/>
  <c r="I59" i="21"/>
  <c r="J65" i="19"/>
  <c r="F72" i="18"/>
  <c r="D19" i="18"/>
  <c r="G32" i="18"/>
  <c r="I93" i="17"/>
  <c r="D130" i="16"/>
  <c r="L54" i="17"/>
  <c r="I16" i="18"/>
  <c r="C20" i="15"/>
  <c r="F18" i="17"/>
  <c r="G121" i="15"/>
  <c r="K22" i="17"/>
  <c r="B87" i="14"/>
  <c r="I39" i="16"/>
  <c r="E121" i="12"/>
  <c r="F47" i="13"/>
  <c r="L38" i="13"/>
  <c r="E129" i="13"/>
  <c r="B55" i="14"/>
  <c r="H65" i="11"/>
  <c r="A37" i="15"/>
  <c r="D36" i="11"/>
  <c r="F66" i="11"/>
  <c r="C64" i="12"/>
  <c r="H92" i="15"/>
  <c r="K92" i="11"/>
  <c r="C9" i="11"/>
  <c r="I84" i="10"/>
  <c r="G11" i="22"/>
  <c r="I19" i="10"/>
  <c r="G19" i="10"/>
  <c r="D19" i="10"/>
  <c r="B19" i="10"/>
  <c r="I50" i="11"/>
  <c r="C50" i="11"/>
  <c r="I93" i="10"/>
  <c r="L93" i="10"/>
  <c r="J93" i="10"/>
  <c r="F93" i="10"/>
  <c r="D93" i="10"/>
  <c r="E25" i="12"/>
  <c r="B25" i="12"/>
  <c r="E126" i="12"/>
  <c r="H126" i="12"/>
  <c r="C126" i="12"/>
  <c r="K129" i="15"/>
  <c r="I129" i="15"/>
  <c r="I107" i="13"/>
  <c r="C107" i="13"/>
  <c r="H67" i="14"/>
  <c r="C67" i="14"/>
  <c r="J67" i="14"/>
  <c r="D125" i="13"/>
  <c r="B125" i="13"/>
  <c r="H15" i="11"/>
  <c r="L15" i="11"/>
  <c r="L73" i="15"/>
  <c r="F73" i="15"/>
  <c r="C73" i="15"/>
  <c r="F112" i="17"/>
  <c r="E112" i="17"/>
  <c r="B112" i="17"/>
  <c r="K93" i="16"/>
  <c r="E93" i="16"/>
  <c r="C93" i="16"/>
  <c r="B93" i="16"/>
  <c r="J93" i="16"/>
  <c r="J27" i="16"/>
  <c r="I27" i="16"/>
  <c r="N27" i="16"/>
  <c r="H27" i="19"/>
  <c r="L27" i="19"/>
  <c r="I27" i="19"/>
  <c r="A12" i="22"/>
  <c r="I17" i="22"/>
  <c r="D28" i="21"/>
  <c r="H43" i="20"/>
  <c r="C63" i="19"/>
  <c r="K124" i="19"/>
  <c r="K50" i="18"/>
  <c r="J124" i="17"/>
  <c r="A59" i="21"/>
  <c r="B65" i="19"/>
  <c r="G72" i="18"/>
  <c r="I32" i="18"/>
  <c r="C126" i="19"/>
  <c r="B99" i="15"/>
  <c r="H93" i="17"/>
  <c r="F130" i="16"/>
  <c r="K16" i="18"/>
  <c r="A97" i="15"/>
  <c r="I18" i="17"/>
  <c r="K121" i="15"/>
  <c r="D87" i="14"/>
  <c r="K39" i="16"/>
  <c r="F19" i="13"/>
  <c r="A85" i="13"/>
  <c r="F129" i="13"/>
  <c r="D55" i="14"/>
  <c r="L68" i="16"/>
  <c r="A14" i="12"/>
  <c r="C37" i="15"/>
  <c r="C84" i="12"/>
  <c r="C71" i="10"/>
  <c r="B31" i="11"/>
  <c r="E104" i="12"/>
  <c r="H66" i="11"/>
  <c r="I92" i="15"/>
  <c r="N92" i="11"/>
  <c r="N118" i="10"/>
  <c r="D9" i="11"/>
  <c r="H38" i="10"/>
  <c r="J79" i="10"/>
  <c r="G79" i="10"/>
  <c r="E79" i="10"/>
  <c r="I117" i="13"/>
  <c r="D117" i="13"/>
  <c r="B117" i="13"/>
  <c r="A126" i="11"/>
  <c r="F126" i="11"/>
  <c r="N33" i="12"/>
  <c r="E33" i="12"/>
  <c r="B33" i="12"/>
  <c r="G33" i="12"/>
  <c r="N75" i="14"/>
  <c r="E75" i="14"/>
  <c r="B75" i="14"/>
  <c r="N99" i="14"/>
  <c r="F99" i="14"/>
  <c r="G28" i="14"/>
  <c r="I28" i="14"/>
  <c r="D28" i="14"/>
  <c r="I42" i="14"/>
  <c r="E42" i="14"/>
  <c r="N53" i="13"/>
  <c r="J53" i="13"/>
  <c r="E53" i="13"/>
  <c r="I56" i="15"/>
  <c r="E56" i="15"/>
  <c r="H56" i="15"/>
  <c r="I89" i="15"/>
  <c r="B89" i="15"/>
  <c r="F89" i="15"/>
  <c r="L101" i="16"/>
  <c r="B101" i="16"/>
  <c r="D122" i="14"/>
  <c r="K122" i="14"/>
  <c r="N21" i="16"/>
  <c r="I21" i="16"/>
  <c r="F63" i="19"/>
  <c r="L30" i="18"/>
  <c r="A99" i="18"/>
  <c r="H124" i="19"/>
  <c r="A119" i="18"/>
  <c r="F65" i="19"/>
  <c r="J32" i="18"/>
  <c r="C51" i="17"/>
  <c r="A12" i="18"/>
  <c r="J16" i="18"/>
  <c r="L18" i="17"/>
  <c r="A15" i="12"/>
  <c r="K129" i="13"/>
  <c r="E55" i="14"/>
  <c r="C60" i="11"/>
  <c r="I37" i="15"/>
  <c r="E31" i="11"/>
  <c r="A92" i="15"/>
  <c r="C92" i="11"/>
  <c r="B118" i="10"/>
  <c r="I38" i="10"/>
  <c r="L19" i="18"/>
  <c r="F19" i="18"/>
  <c r="A19" i="18"/>
  <c r="N70" i="17"/>
  <c r="J70" i="17"/>
  <c r="I11" i="17"/>
  <c r="H11" i="17"/>
  <c r="E49" i="16"/>
  <c r="F49" i="16"/>
  <c r="A49" i="16"/>
  <c r="I9" i="16"/>
  <c r="D48" i="5"/>
  <c r="L59" i="21"/>
  <c r="N72" i="18"/>
  <c r="K26" i="17"/>
  <c r="N19" i="18"/>
  <c r="K32" i="18"/>
  <c r="G126" i="19"/>
  <c r="J99" i="15"/>
  <c r="G48" i="15"/>
  <c r="D51" i="17"/>
  <c r="N121" i="15"/>
  <c r="E123" i="14"/>
  <c r="C47" i="13"/>
  <c r="H19" i="13"/>
  <c r="C15" i="12"/>
  <c r="M129" i="13"/>
  <c r="F55" i="14"/>
  <c r="B92" i="12"/>
  <c r="J68" i="16"/>
  <c r="C92" i="12"/>
  <c r="A58" i="11"/>
  <c r="B104" i="12"/>
  <c r="K66" i="11"/>
  <c r="B92" i="15"/>
  <c r="D92" i="11"/>
  <c r="C118" i="10"/>
  <c r="F9" i="11"/>
  <c r="A30" i="10"/>
  <c r="A95" i="17"/>
  <c r="E95" i="17"/>
  <c r="B95" i="17"/>
  <c r="K124" i="16"/>
  <c r="E124" i="16"/>
  <c r="H11" i="22"/>
  <c r="I12" i="5"/>
  <c r="F48" i="5"/>
  <c r="K17" i="22"/>
  <c r="F10" i="19"/>
  <c r="C10" i="19"/>
  <c r="D63" i="19"/>
  <c r="B62" i="19"/>
  <c r="B72" i="18"/>
  <c r="L32" i="18"/>
  <c r="I48" i="15"/>
  <c r="K17" i="17"/>
  <c r="G51" i="17"/>
  <c r="F123" i="14"/>
  <c r="H47" i="13"/>
  <c r="C85" i="13"/>
  <c r="A74" i="14"/>
  <c r="D15" i="12"/>
  <c r="H129" i="13"/>
  <c r="I15" i="12"/>
  <c r="A68" i="16"/>
  <c r="K128" i="13"/>
  <c r="E58" i="11"/>
  <c r="C104" i="12"/>
  <c r="C92" i="15"/>
  <c r="G92" i="11"/>
  <c r="F118" i="10"/>
  <c r="H9" i="11"/>
  <c r="D30" i="10"/>
  <c r="N37" i="17"/>
  <c r="H37" i="17"/>
  <c r="F37" i="17"/>
  <c r="M24" i="19"/>
  <c r="E37" i="19"/>
  <c r="G118" i="10"/>
  <c r="F30" i="10"/>
  <c r="Y164" i="24"/>
  <c r="M15" i="14"/>
  <c r="E60" i="17"/>
  <c r="F60" i="17"/>
  <c r="C60" i="19"/>
  <c r="F60" i="19"/>
  <c r="G37" i="19"/>
  <c r="B131" i="15"/>
  <c r="D131" i="15"/>
  <c r="E102" i="13"/>
  <c r="A102" i="13"/>
  <c r="F37" i="15"/>
  <c r="J37" i="15"/>
  <c r="H37" i="15"/>
  <c r="E37" i="15"/>
  <c r="N119" i="15"/>
  <c r="C119" i="15"/>
  <c r="F126" i="19"/>
  <c r="B126" i="19"/>
  <c r="B9" i="11"/>
  <c r="M9" i="11"/>
  <c r="G9" i="11"/>
  <c r="J17" i="22"/>
  <c r="M15" i="22"/>
  <c r="G29" i="20"/>
  <c r="A35" i="19"/>
  <c r="F62" i="19"/>
  <c r="D119" i="18"/>
  <c r="K37" i="19"/>
  <c r="E32" i="18"/>
  <c r="M126" i="19"/>
  <c r="J82" i="17"/>
  <c r="N40" i="15"/>
  <c r="B119" i="15"/>
  <c r="I17" i="14"/>
  <c r="J37" i="13"/>
  <c r="H68" i="15"/>
  <c r="L85" i="13"/>
  <c r="J74" i="14"/>
  <c r="B121" i="16"/>
  <c r="E111" i="12"/>
  <c r="D78" i="13"/>
  <c r="L92" i="12"/>
  <c r="I68" i="16"/>
  <c r="F111" i="12"/>
  <c r="C111" i="12"/>
  <c r="A18" i="12"/>
  <c r="A41" i="11"/>
  <c r="L121" i="11"/>
  <c r="J104" i="12"/>
  <c r="K92" i="15"/>
  <c r="K9" i="11"/>
  <c r="I30" i="10"/>
  <c r="P30" i="5"/>
  <c r="H104" i="17"/>
  <c r="C104" i="17"/>
  <c r="I12" i="16"/>
  <c r="D12" i="16"/>
  <c r="H12" i="16"/>
  <c r="B105" i="13"/>
  <c r="I105" i="13"/>
  <c r="E105" i="13"/>
  <c r="F105" i="13"/>
  <c r="E23" i="17"/>
  <c r="H23" i="17"/>
  <c r="A129" i="17"/>
  <c r="H129" i="17"/>
  <c r="A17" i="22"/>
  <c r="H29" i="20"/>
  <c r="D36" i="19"/>
  <c r="B35" i="19"/>
  <c r="E63" i="19"/>
  <c r="G62" i="19"/>
  <c r="F119" i="18"/>
  <c r="C119" i="18"/>
  <c r="I51" i="19"/>
  <c r="B37" i="19"/>
  <c r="H32" i="18"/>
  <c r="N126" i="19"/>
  <c r="J17" i="17"/>
  <c r="D60" i="16"/>
  <c r="E40" i="15"/>
  <c r="B39" i="13"/>
  <c r="D119" i="15"/>
  <c r="K17" i="14"/>
  <c r="E30" i="13"/>
  <c r="B85" i="13"/>
  <c r="N74" i="14"/>
  <c r="F121" i="16"/>
  <c r="G111" i="12"/>
  <c r="K68" i="16"/>
  <c r="C123" i="11"/>
  <c r="K104" i="12"/>
  <c r="K30" i="10"/>
  <c r="N59" i="10"/>
  <c r="A14" i="10"/>
  <c r="H14" i="10"/>
  <c r="K36" i="11"/>
  <c r="A36" i="11"/>
  <c r="A9" i="14"/>
  <c r="N9" i="14"/>
  <c r="E35" i="19"/>
  <c r="H62" i="19"/>
  <c r="L119" i="18"/>
  <c r="K51" i="19"/>
  <c r="D37" i="19"/>
  <c r="A126" i="19"/>
  <c r="A84" i="14"/>
  <c r="A98" i="15"/>
  <c r="B45" i="16"/>
  <c r="N84" i="14"/>
  <c r="G49" i="16"/>
  <c r="K70" i="17"/>
  <c r="D117" i="17"/>
  <c r="G39" i="13"/>
  <c r="E119" i="15"/>
  <c r="K109" i="12"/>
  <c r="D17" i="14"/>
  <c r="F30" i="13"/>
  <c r="E85" i="13"/>
  <c r="E74" i="14"/>
  <c r="E121" i="16"/>
  <c r="H111" i="12"/>
  <c r="F78" i="13"/>
  <c r="I92" i="12"/>
  <c r="A128" i="13"/>
  <c r="N36" i="11"/>
  <c r="F18" i="12"/>
  <c r="D42" i="10"/>
  <c r="E123" i="11"/>
  <c r="L104" i="12"/>
  <c r="D59" i="10"/>
  <c r="G111" i="10"/>
  <c r="J111" i="10"/>
  <c r="L9" i="16"/>
  <c r="A63" i="11"/>
  <c r="G89" i="10"/>
  <c r="F89" i="10"/>
  <c r="L63" i="5"/>
  <c r="E43" i="10"/>
  <c r="E20" i="7"/>
  <c r="H43" i="10"/>
  <c r="B57" i="13"/>
  <c r="H128" i="12"/>
  <c r="D50" i="13"/>
  <c r="E98" i="11"/>
  <c r="C63" i="11"/>
  <c r="L128" i="12"/>
  <c r="G50" i="13"/>
  <c r="H98" i="11"/>
  <c r="J50" i="13"/>
  <c r="D25" i="10"/>
  <c r="F77" i="12"/>
  <c r="L74" i="17"/>
  <c r="G25" i="10"/>
  <c r="M12" i="5"/>
  <c r="H10" i="23"/>
  <c r="E61" i="21"/>
  <c r="G51" i="18"/>
  <c r="F26" i="20"/>
  <c r="G128" i="17"/>
  <c r="J92" i="18"/>
  <c r="I127" i="18"/>
  <c r="I23" i="16"/>
  <c r="C84" i="15"/>
  <c r="C10" i="23"/>
  <c r="B60" i="20"/>
  <c r="G61" i="21"/>
  <c r="B51" i="18"/>
  <c r="A26" i="20"/>
  <c r="H128" i="17"/>
  <c r="K92" i="18"/>
  <c r="J23" i="16"/>
  <c r="D84" i="15"/>
  <c r="E47" i="12"/>
  <c r="J127" i="11"/>
  <c r="J25" i="10"/>
  <c r="P41" i="5"/>
  <c r="E63" i="5"/>
  <c r="B25" i="20"/>
  <c r="M49" i="19"/>
  <c r="K60" i="20"/>
  <c r="G52" i="19"/>
  <c r="H61" i="21"/>
  <c r="C51" i="18"/>
  <c r="B26" i="20"/>
  <c r="H89" i="19"/>
  <c r="I128" i="17"/>
  <c r="N92" i="18"/>
  <c r="J49" i="16"/>
  <c r="K91" i="17"/>
  <c r="B70" i="17"/>
  <c r="G78" i="17"/>
  <c r="K23" i="16"/>
  <c r="K45" i="12"/>
  <c r="N44" i="16"/>
  <c r="C133" i="11"/>
  <c r="A13" i="11"/>
  <c r="I47" i="12"/>
  <c r="M127" i="11"/>
  <c r="N25" i="10"/>
  <c r="E20" i="6"/>
  <c r="K48" i="5"/>
  <c r="P10" i="5"/>
  <c r="C25" i="20"/>
  <c r="D107" i="18"/>
  <c r="K52" i="19"/>
  <c r="F61" i="21"/>
  <c r="E51" i="18"/>
  <c r="D26" i="20"/>
  <c r="H113" i="18"/>
  <c r="J128" i="17"/>
  <c r="A92" i="18"/>
  <c r="E69" i="16"/>
  <c r="L23" i="16"/>
  <c r="I61" i="14"/>
  <c r="D13" i="11"/>
  <c r="H133" i="11"/>
  <c r="K47" i="12"/>
  <c r="A114" i="10"/>
  <c r="M82" i="14"/>
  <c r="A25" i="10"/>
  <c r="K63" i="5"/>
  <c r="G10" i="23"/>
  <c r="E25" i="20"/>
  <c r="A118" i="19"/>
  <c r="M118" i="19"/>
  <c r="L52" i="19"/>
  <c r="I89" i="18"/>
  <c r="H51" i="18"/>
  <c r="E26" i="20"/>
  <c r="D36" i="18"/>
  <c r="D92" i="18"/>
  <c r="I33" i="15"/>
  <c r="A72" i="13"/>
  <c r="H13" i="11"/>
  <c r="J133" i="11"/>
  <c r="C23" i="11"/>
  <c r="N47" i="12"/>
  <c r="B114" i="10"/>
  <c r="F25" i="20"/>
  <c r="B118" i="19"/>
  <c r="B89" i="18"/>
  <c r="N52" i="19"/>
  <c r="D57" i="18"/>
  <c r="J52" i="19"/>
  <c r="D84" i="19"/>
  <c r="K51" i="18"/>
  <c r="G26" i="20"/>
  <c r="E36" i="18"/>
  <c r="A23" i="18"/>
  <c r="G92" i="18"/>
  <c r="F91" i="16"/>
  <c r="F78" i="17"/>
  <c r="A126" i="17"/>
  <c r="B61" i="14"/>
  <c r="B72" i="13"/>
  <c r="K13" i="11"/>
  <c r="C44" i="16"/>
  <c r="M133" i="11"/>
  <c r="L47" i="12"/>
  <c r="C114" i="10"/>
  <c r="G25" i="20"/>
  <c r="D118" i="19"/>
  <c r="H107" i="18"/>
  <c r="A52" i="19"/>
  <c r="I121" i="17"/>
  <c r="L51" i="18"/>
  <c r="I26" i="20"/>
  <c r="F36" i="18"/>
  <c r="G91" i="16"/>
  <c r="N13" i="11"/>
  <c r="N133" i="11"/>
  <c r="K127" i="11"/>
  <c r="E114" i="10"/>
  <c r="L10" i="23"/>
  <c r="I25" i="20"/>
  <c r="E118" i="19"/>
  <c r="D52" i="19"/>
  <c r="H52" i="19"/>
  <c r="G36" i="18"/>
  <c r="H91" i="16"/>
  <c r="F34" i="12"/>
  <c r="B112" i="11"/>
  <c r="J127" i="10"/>
  <c r="K133" i="11"/>
  <c r="E133" i="11"/>
  <c r="G114" i="10"/>
  <c r="A23" i="21"/>
  <c r="K25" i="20"/>
  <c r="G118" i="19"/>
  <c r="D89" i="18"/>
  <c r="C84" i="19"/>
  <c r="E44" i="18"/>
  <c r="H36" i="18"/>
  <c r="L37" i="18"/>
  <c r="J23" i="18"/>
  <c r="C114" i="17"/>
  <c r="F70" i="17"/>
  <c r="D118" i="11"/>
  <c r="L100" i="13"/>
  <c r="J114" i="10"/>
  <c r="C23" i="21"/>
  <c r="L25" i="20"/>
  <c r="H118" i="19"/>
  <c r="F57" i="18"/>
  <c r="I36" i="18"/>
  <c r="C37" i="18"/>
  <c r="A16" i="13"/>
  <c r="G100" i="13"/>
  <c r="D37" i="12"/>
  <c r="G33" i="21"/>
  <c r="E23" i="21"/>
  <c r="I118" i="19"/>
  <c r="J36" i="18"/>
  <c r="B37" i="18"/>
  <c r="F57" i="16"/>
  <c r="B127" i="14"/>
  <c r="A61" i="14"/>
  <c r="G126" i="17"/>
  <c r="E16" i="13"/>
  <c r="D100" i="13"/>
  <c r="H127" i="11"/>
  <c r="D22" i="10"/>
  <c r="I59" i="10"/>
  <c r="N84" i="10"/>
  <c r="K23" i="22"/>
  <c r="F23" i="21"/>
  <c r="D23" i="21"/>
  <c r="A36" i="19"/>
  <c r="H57" i="18"/>
  <c r="C118" i="19"/>
  <c r="E69" i="18"/>
  <c r="J87" i="18"/>
  <c r="C111" i="18"/>
  <c r="C77" i="18"/>
  <c r="M113" i="18"/>
  <c r="K36" i="18"/>
  <c r="I59" i="18"/>
  <c r="E37" i="18"/>
  <c r="J90" i="18"/>
  <c r="I19" i="18"/>
  <c r="D102" i="18"/>
  <c r="B114" i="17"/>
  <c r="M107" i="17"/>
  <c r="G16" i="18"/>
  <c r="H57" i="16"/>
  <c r="D127" i="14"/>
  <c r="D61" i="14"/>
  <c r="D29" i="17"/>
  <c r="H126" i="17"/>
  <c r="B94" i="18"/>
  <c r="D25" i="14"/>
  <c r="I121" i="16"/>
  <c r="J13" i="11"/>
  <c r="B66" i="10"/>
  <c r="E22" i="10"/>
  <c r="J59" i="10"/>
  <c r="G84" i="10"/>
  <c r="J23" i="21"/>
  <c r="I57" i="18"/>
  <c r="F118" i="19"/>
  <c r="N113" i="18"/>
  <c r="C90" i="17"/>
  <c r="J57" i="16"/>
  <c r="E127" i="14"/>
  <c r="C61" i="14"/>
  <c r="N25" i="14"/>
  <c r="K62" i="13"/>
  <c r="D53" i="11"/>
  <c r="B37" i="5"/>
  <c r="H23" i="21"/>
  <c r="B23" i="21"/>
  <c r="K57" i="18"/>
  <c r="E113" i="18"/>
  <c r="J113" i="18"/>
  <c r="A53" i="22"/>
  <c r="E41" i="18"/>
  <c r="F90" i="17"/>
  <c r="J135" i="15"/>
  <c r="D57" i="16"/>
  <c r="F61" i="14"/>
  <c r="K25" i="14"/>
  <c r="B97" i="13"/>
  <c r="E62" i="13"/>
  <c r="G121" i="10"/>
  <c r="F53" i="11"/>
  <c r="C64" i="10"/>
  <c r="N57" i="18"/>
  <c r="C57" i="18"/>
  <c r="E84" i="19"/>
  <c r="F113" i="18"/>
  <c r="B53" i="22"/>
  <c r="L41" i="18"/>
  <c r="H90" i="17"/>
  <c r="I64" i="14"/>
  <c r="B33" i="15"/>
  <c r="G127" i="18"/>
  <c r="B135" i="15"/>
  <c r="D36" i="16"/>
  <c r="H61" i="14"/>
  <c r="C97" i="13"/>
  <c r="F62" i="13"/>
  <c r="H53" i="11"/>
  <c r="L44" i="11"/>
  <c r="N68" i="11"/>
  <c r="M9" i="12"/>
  <c r="K20" i="10"/>
  <c r="B12" i="21"/>
  <c r="A107" i="18"/>
  <c r="F121" i="17"/>
  <c r="G113" i="18"/>
  <c r="J53" i="22"/>
  <c r="B41" i="18"/>
  <c r="I90" i="17"/>
  <c r="L127" i="18"/>
  <c r="E36" i="16"/>
  <c r="J61" i="14"/>
  <c r="D97" i="13"/>
  <c r="G62" i="13"/>
  <c r="I53" i="11"/>
  <c r="B68" i="11"/>
  <c r="C12" i="21"/>
  <c r="K107" i="18"/>
  <c r="B61" i="21"/>
  <c r="A113" i="18"/>
  <c r="K53" i="22"/>
  <c r="H41" i="18"/>
  <c r="L90" i="17"/>
  <c r="A127" i="18"/>
  <c r="G36" i="16"/>
  <c r="K61" i="14"/>
  <c r="K42" i="13"/>
  <c r="H12" i="21"/>
  <c r="F20" i="19"/>
  <c r="G57" i="18"/>
  <c r="E52" i="19"/>
  <c r="C61" i="21"/>
  <c r="B113" i="18"/>
  <c r="C53" i="22"/>
  <c r="K41" i="18"/>
  <c r="N90" i="17"/>
  <c r="B127" i="18"/>
  <c r="H36" i="16"/>
  <c r="E13" i="11"/>
  <c r="B42" i="13"/>
  <c r="A127" i="11"/>
  <c r="L12" i="21"/>
  <c r="E12" i="21"/>
  <c r="F31" i="18"/>
  <c r="J118" i="19"/>
  <c r="D61" i="21"/>
  <c r="D53" i="22"/>
  <c r="A128" i="17"/>
  <c r="N41" i="18"/>
  <c r="G37" i="18"/>
  <c r="D90" i="17"/>
  <c r="C127" i="18"/>
  <c r="J36" i="16"/>
  <c r="A29" i="17"/>
  <c r="K97" i="13"/>
  <c r="N62" i="13"/>
  <c r="L114" i="10"/>
  <c r="B127" i="11"/>
  <c r="D20" i="10"/>
  <c r="K12" i="21"/>
  <c r="I42" i="19"/>
  <c r="I61" i="21"/>
  <c r="H26" i="20"/>
  <c r="G53" i="22"/>
  <c r="D128" i="17"/>
  <c r="K37" i="18"/>
  <c r="M37" i="19"/>
  <c r="B19" i="18"/>
  <c r="E90" i="17"/>
  <c r="D127" i="18"/>
  <c r="F95" i="17"/>
  <c r="L36" i="16"/>
  <c r="A23" i="16"/>
  <c r="B29" i="17"/>
  <c r="A45" i="12"/>
  <c r="A62" i="13"/>
  <c r="E23" i="11"/>
  <c r="A47" i="12"/>
  <c r="C127" i="11"/>
  <c r="G20" i="10"/>
  <c r="L13" i="11"/>
  <c r="B10" i="23"/>
  <c r="J12" i="21"/>
  <c r="E57" i="18"/>
  <c r="J61" i="21"/>
  <c r="K26" i="20"/>
  <c r="N53" i="22"/>
  <c r="E128" i="17"/>
  <c r="K128" i="17"/>
  <c r="G90" i="17"/>
  <c r="E127" i="18"/>
  <c r="D23" i="16"/>
  <c r="C37" i="12"/>
  <c r="D127" i="11"/>
  <c r="H20" i="10"/>
  <c r="J20" i="10"/>
  <c r="G121" i="17"/>
  <c r="B121" i="17"/>
  <c r="A51" i="18"/>
  <c r="C26" i="20"/>
  <c r="F92" i="18"/>
  <c r="J90" i="17"/>
  <c r="K127" i="18"/>
  <c r="H23" i="16"/>
  <c r="A84" i="15"/>
  <c r="P36" i="5"/>
  <c r="A10" i="21"/>
  <c r="F131" i="18"/>
  <c r="I65" i="15"/>
  <c r="A57" i="16"/>
  <c r="G57" i="16"/>
  <c r="L34" i="17"/>
  <c r="J64" i="13"/>
  <c r="F64" i="13"/>
  <c r="L25" i="13"/>
  <c r="B25" i="13"/>
  <c r="K116" i="11"/>
  <c r="L64" i="10"/>
  <c r="A73" i="11"/>
  <c r="I37" i="12"/>
  <c r="I100" i="13"/>
  <c r="G42" i="13"/>
  <c r="B73" i="10"/>
  <c r="B42" i="11"/>
  <c r="G77" i="10"/>
  <c r="D37" i="5"/>
  <c r="E10" i="7"/>
  <c r="H131" i="18"/>
  <c r="N12" i="18"/>
  <c r="H33" i="16"/>
  <c r="B57" i="16"/>
  <c r="C91" i="16"/>
  <c r="A117" i="17"/>
  <c r="N34" i="17"/>
  <c r="L105" i="15"/>
  <c r="J29" i="14"/>
  <c r="H120" i="13"/>
  <c r="G43" i="13"/>
  <c r="F75" i="16"/>
  <c r="F18" i="14"/>
  <c r="J19" i="13"/>
  <c r="A101" i="13"/>
  <c r="F84" i="15"/>
  <c r="B116" i="11"/>
  <c r="I84" i="12"/>
  <c r="C73" i="11"/>
  <c r="N21" i="11"/>
  <c r="J37" i="12"/>
  <c r="N123" i="11"/>
  <c r="H64" i="10"/>
  <c r="J100" i="13"/>
  <c r="C111" i="10"/>
  <c r="J42" i="13"/>
  <c r="C100" i="10"/>
  <c r="B64" i="12"/>
  <c r="C78" i="11"/>
  <c r="H77" i="10"/>
  <c r="K12" i="12"/>
  <c r="L30" i="11"/>
  <c r="E107" i="18"/>
  <c r="G42" i="19"/>
  <c r="E23" i="18"/>
  <c r="C57" i="16"/>
  <c r="E91" i="16"/>
  <c r="C117" i="17"/>
  <c r="B105" i="15"/>
  <c r="L29" i="14"/>
  <c r="B82" i="14"/>
  <c r="I120" i="13"/>
  <c r="H39" i="13"/>
  <c r="C89" i="13"/>
  <c r="N91" i="12"/>
  <c r="A25" i="13"/>
  <c r="C18" i="14"/>
  <c r="D54" i="13"/>
  <c r="H12" i="12"/>
  <c r="E84" i="15"/>
  <c r="G116" i="11"/>
  <c r="L49" i="12"/>
  <c r="D73" i="11"/>
  <c r="N37" i="12"/>
  <c r="B123" i="11"/>
  <c r="N100" i="13"/>
  <c r="I121" i="10"/>
  <c r="H89" i="12"/>
  <c r="D64" i="12"/>
  <c r="A44" i="11"/>
  <c r="B77" i="14"/>
  <c r="G78" i="11"/>
  <c r="J77" i="10"/>
  <c r="K114" i="10"/>
  <c r="B43" i="10"/>
  <c r="F73" i="16"/>
  <c r="K78" i="11"/>
  <c r="B43" i="18"/>
  <c r="L78" i="11"/>
  <c r="E20" i="21"/>
  <c r="E20" i="19"/>
  <c r="D60" i="20"/>
  <c r="J89" i="18"/>
  <c r="E43" i="18"/>
  <c r="G74" i="18"/>
  <c r="G99" i="17"/>
  <c r="D114" i="17"/>
  <c r="G86" i="16"/>
  <c r="A65" i="15"/>
  <c r="A135" i="15"/>
  <c r="K57" i="16"/>
  <c r="I91" i="16"/>
  <c r="F41" i="15"/>
  <c r="G105" i="15"/>
  <c r="A89" i="13"/>
  <c r="G82" i="14"/>
  <c r="B75" i="16"/>
  <c r="G32" i="13"/>
  <c r="C43" i="13"/>
  <c r="D34" i="12"/>
  <c r="K25" i="13"/>
  <c r="A77" i="15"/>
  <c r="G84" i="15"/>
  <c r="G49" i="12"/>
  <c r="F61" i="10"/>
  <c r="L116" i="11"/>
  <c r="E71" i="11"/>
  <c r="G84" i="12"/>
  <c r="I73" i="12"/>
  <c r="C68" i="11"/>
  <c r="C80" i="11"/>
  <c r="B57" i="10"/>
  <c r="E64" i="12"/>
  <c r="K64" i="12"/>
  <c r="G77" i="14"/>
  <c r="F78" i="11"/>
  <c r="D114" i="10"/>
  <c r="C10" i="12"/>
  <c r="P33" i="5"/>
  <c r="I20" i="21"/>
  <c r="C16" i="19"/>
  <c r="B20" i="19"/>
  <c r="E60" i="20"/>
  <c r="B24" i="18"/>
  <c r="D19" i="19"/>
  <c r="L43" i="18"/>
  <c r="A50" i="17"/>
  <c r="D103" i="17"/>
  <c r="E65" i="15"/>
  <c r="D135" i="15"/>
  <c r="J91" i="16"/>
  <c r="D109" i="14"/>
  <c r="G41" i="15"/>
  <c r="I105" i="15"/>
  <c r="H82" i="14"/>
  <c r="C39" i="13"/>
  <c r="G25" i="13"/>
  <c r="E19" i="13"/>
  <c r="E77" i="15"/>
  <c r="K56" i="11"/>
  <c r="A90" i="13"/>
  <c r="H84" i="15"/>
  <c r="H49" i="12"/>
  <c r="F71" i="11"/>
  <c r="D100" i="10"/>
  <c r="N44" i="11"/>
  <c r="B49" i="12"/>
  <c r="E116" i="11"/>
  <c r="G80" i="11"/>
  <c r="I77" i="14"/>
  <c r="H78" i="11"/>
  <c r="B12" i="10"/>
  <c r="K20" i="21"/>
  <c r="D14" i="19"/>
  <c r="A16" i="19"/>
  <c r="F60" i="20"/>
  <c r="E24" i="18"/>
  <c r="F122" i="18"/>
  <c r="B35" i="18"/>
  <c r="C92" i="17"/>
  <c r="E135" i="15"/>
  <c r="A91" i="16"/>
  <c r="I41" i="15"/>
  <c r="H105" i="15"/>
  <c r="A82" i="13"/>
  <c r="I82" i="14"/>
  <c r="K34" i="12"/>
  <c r="B25" i="14"/>
  <c r="H25" i="13"/>
  <c r="G77" i="15"/>
  <c r="D90" i="13"/>
  <c r="I84" i="15"/>
  <c r="I49" i="12"/>
  <c r="H71" i="11"/>
  <c r="G100" i="10"/>
  <c r="B44" i="11"/>
  <c r="B29" i="12"/>
  <c r="J99" i="11"/>
  <c r="K37" i="12"/>
  <c r="I71" i="11"/>
  <c r="L89" i="12"/>
  <c r="G44" i="11"/>
  <c r="A73" i="10"/>
  <c r="N77" i="14"/>
  <c r="J48" i="5"/>
  <c r="D12" i="10"/>
  <c r="F12" i="21"/>
  <c r="D20" i="21"/>
  <c r="F28" i="19"/>
  <c r="B14" i="19"/>
  <c r="H60" i="20"/>
  <c r="D17" i="21"/>
  <c r="B69" i="18"/>
  <c r="K14" i="20"/>
  <c r="H89" i="18"/>
  <c r="A95" i="20"/>
  <c r="E35" i="18"/>
  <c r="E122" i="18"/>
  <c r="G44" i="18"/>
  <c r="J74" i="18"/>
  <c r="F76" i="19"/>
  <c r="A65" i="19"/>
  <c r="E53" i="22"/>
  <c r="D59" i="18"/>
  <c r="E92" i="17"/>
  <c r="K97" i="18"/>
  <c r="B65" i="17"/>
  <c r="I15" i="20"/>
  <c r="A114" i="17"/>
  <c r="E92" i="18"/>
  <c r="C54" i="16"/>
  <c r="F124" i="16"/>
  <c r="A130" i="15"/>
  <c r="H127" i="18"/>
  <c r="F135" i="15"/>
  <c r="I95" i="17"/>
  <c r="G135" i="15"/>
  <c r="B91" i="16"/>
  <c r="E51" i="14"/>
  <c r="H41" i="15"/>
  <c r="F23" i="16"/>
  <c r="C29" i="17"/>
  <c r="N105" i="15"/>
  <c r="E128" i="15"/>
  <c r="B82" i="13"/>
  <c r="L89" i="13"/>
  <c r="J128" i="15"/>
  <c r="D72" i="13"/>
  <c r="A43" i="13"/>
  <c r="I25" i="13"/>
  <c r="H77" i="15"/>
  <c r="L56" i="11"/>
  <c r="K40" i="11"/>
  <c r="B90" i="13"/>
  <c r="N84" i="15"/>
  <c r="H118" i="11"/>
  <c r="K49" i="12"/>
  <c r="K84" i="12"/>
  <c r="L73" i="10"/>
  <c r="C44" i="11"/>
  <c r="H84" i="12"/>
  <c r="J44" i="11"/>
  <c r="H73" i="12"/>
  <c r="I64" i="12"/>
  <c r="C77" i="14"/>
  <c r="L66" i="10"/>
  <c r="H114" i="10"/>
  <c r="C79" i="10"/>
  <c r="J10" i="12"/>
  <c r="C9" i="15"/>
  <c r="C12" i="10"/>
  <c r="C29" i="21"/>
  <c r="G20" i="21"/>
  <c r="I20" i="19"/>
  <c r="A21" i="20"/>
  <c r="I60" i="20"/>
  <c r="I17" i="21"/>
  <c r="H35" i="18"/>
  <c r="F111" i="18"/>
  <c r="H44" i="18"/>
  <c r="N74" i="18"/>
  <c r="G76" i="19"/>
  <c r="F59" i="18"/>
  <c r="H92" i="17"/>
  <c r="A97" i="18"/>
  <c r="K114" i="17"/>
  <c r="J124" i="16"/>
  <c r="C130" i="15"/>
  <c r="B88" i="15"/>
  <c r="H135" i="15"/>
  <c r="K95" i="17"/>
  <c r="L51" i="14"/>
  <c r="L29" i="17"/>
  <c r="G128" i="15"/>
  <c r="C82" i="13"/>
  <c r="E126" i="17"/>
  <c r="A25" i="14"/>
  <c r="H72" i="13"/>
  <c r="J38" i="13"/>
  <c r="J25" i="13"/>
  <c r="B77" i="15"/>
  <c r="E90" i="13"/>
  <c r="F49" i="12"/>
  <c r="A40" i="13"/>
  <c r="E44" i="11"/>
  <c r="L121" i="10"/>
  <c r="I80" i="11"/>
  <c r="G42" i="11"/>
  <c r="F73" i="10"/>
  <c r="B64" i="10"/>
  <c r="F77" i="14"/>
  <c r="I114" i="10"/>
  <c r="H10" i="12"/>
  <c r="D9" i="15"/>
  <c r="G12" i="10"/>
  <c r="G34" i="21"/>
  <c r="A28" i="21"/>
  <c r="B20" i="21"/>
  <c r="K20" i="19"/>
  <c r="G14" i="19"/>
  <c r="C21" i="20"/>
  <c r="B10" i="19"/>
  <c r="J60" i="20"/>
  <c r="K17" i="21"/>
  <c r="C95" i="20"/>
  <c r="C100" i="18"/>
  <c r="I44" i="18"/>
  <c r="C89" i="19"/>
  <c r="B74" i="18"/>
  <c r="H76" i="19"/>
  <c r="G89" i="19"/>
  <c r="I53" i="22"/>
  <c r="G59" i="18"/>
  <c r="F92" i="17"/>
  <c r="D97" i="18"/>
  <c r="F23" i="18"/>
  <c r="B15" i="20"/>
  <c r="M114" i="17"/>
  <c r="I92" i="18"/>
  <c r="K65" i="15"/>
  <c r="E33" i="15"/>
  <c r="F105" i="16"/>
  <c r="C88" i="15"/>
  <c r="M127" i="18"/>
  <c r="I135" i="15"/>
  <c r="C109" i="14"/>
  <c r="F75" i="13"/>
  <c r="A75" i="15"/>
  <c r="D82" i="13"/>
  <c r="I20" i="13"/>
  <c r="N25" i="13"/>
  <c r="D77" i="15"/>
  <c r="G90" i="13"/>
  <c r="B40" i="13"/>
  <c r="J49" i="12"/>
  <c r="K64" i="10"/>
  <c r="B73" i="12"/>
  <c r="H37" i="12"/>
  <c r="G48" i="10"/>
  <c r="H77" i="14"/>
  <c r="F114" i="10"/>
  <c r="A40" i="10"/>
  <c r="D10" i="12"/>
  <c r="B9" i="15"/>
  <c r="P46" i="5"/>
  <c r="K12" i="10"/>
  <c r="H12" i="10"/>
  <c r="J16" i="19"/>
  <c r="F64" i="10"/>
  <c r="E73" i="10"/>
  <c r="J77" i="14"/>
  <c r="B40" i="10"/>
  <c r="F38" i="22"/>
  <c r="G38" i="22"/>
  <c r="E28" i="21"/>
  <c r="A20" i="21"/>
  <c r="L14" i="19"/>
  <c r="H10" i="19"/>
  <c r="K21" i="20"/>
  <c r="B107" i="18"/>
  <c r="N60" i="20"/>
  <c r="J17" i="21"/>
  <c r="J122" i="18"/>
  <c r="K44" i="18"/>
  <c r="J59" i="18"/>
  <c r="L50" i="17"/>
  <c r="F114" i="17"/>
  <c r="K33" i="15"/>
  <c r="H115" i="15"/>
  <c r="H105" i="16"/>
  <c r="H88" i="15"/>
  <c r="N135" i="15"/>
  <c r="H109" i="14"/>
  <c r="K78" i="17"/>
  <c r="B90" i="15"/>
  <c r="B109" i="14"/>
  <c r="H53" i="14"/>
  <c r="K82" i="13"/>
  <c r="F25" i="14"/>
  <c r="H89" i="13"/>
  <c r="D120" i="13"/>
  <c r="G19" i="13"/>
  <c r="G45" i="12"/>
  <c r="I90" i="13"/>
  <c r="D40" i="13"/>
  <c r="C99" i="11"/>
  <c r="E42" i="11"/>
  <c r="D73" i="12"/>
  <c r="L42" i="11"/>
  <c r="E121" i="10"/>
  <c r="C47" i="12"/>
  <c r="M114" i="10"/>
  <c r="C40" i="10"/>
  <c r="K84" i="10"/>
  <c r="L12" i="10"/>
  <c r="J38" i="22"/>
  <c r="B38" i="22"/>
  <c r="K28" i="21"/>
  <c r="C20" i="21"/>
  <c r="D21" i="20"/>
  <c r="C107" i="18"/>
  <c r="A60" i="20"/>
  <c r="L122" i="18"/>
  <c r="J85" i="17"/>
  <c r="J115" i="15"/>
  <c r="J88" i="15"/>
  <c r="J109" i="14"/>
  <c r="C117" i="14"/>
  <c r="G75" i="13"/>
  <c r="L78" i="17"/>
  <c r="D90" i="15"/>
  <c r="J53" i="14"/>
  <c r="B126" i="17"/>
  <c r="G25" i="14"/>
  <c r="L82" i="13"/>
  <c r="J20" i="13"/>
  <c r="I19" i="13"/>
  <c r="I45" i="12"/>
  <c r="N90" i="13"/>
  <c r="I40" i="13"/>
  <c r="E99" i="11"/>
  <c r="H42" i="11"/>
  <c r="E73" i="12"/>
  <c r="F57" i="10"/>
  <c r="E64" i="10"/>
  <c r="D42" i="13"/>
  <c r="J89" i="12"/>
  <c r="F36" i="10"/>
  <c r="A57" i="10"/>
  <c r="D40" i="10"/>
  <c r="J10" i="18"/>
  <c r="K38" i="22"/>
  <c r="L28" i="21"/>
  <c r="H21" i="20"/>
  <c r="M13" i="19"/>
  <c r="F107" i="18"/>
  <c r="C60" i="20"/>
  <c r="F120" i="17"/>
  <c r="I114" i="17"/>
  <c r="K88" i="15"/>
  <c r="F117" i="14"/>
  <c r="B78" i="17"/>
  <c r="E90" i="15"/>
  <c r="A103" i="15"/>
  <c r="K53" i="14"/>
  <c r="C126" i="17"/>
  <c r="H25" i="14"/>
  <c r="K20" i="13"/>
  <c r="B122" i="13"/>
  <c r="K19" i="13"/>
  <c r="J45" i="12"/>
  <c r="B56" i="11"/>
  <c r="D73" i="10"/>
  <c r="J40" i="13"/>
  <c r="A99" i="11"/>
  <c r="I42" i="11"/>
  <c r="L57" i="10"/>
  <c r="J73" i="12"/>
  <c r="A100" i="13"/>
  <c r="I44" i="11"/>
  <c r="E57" i="10"/>
  <c r="E42" i="13"/>
  <c r="E37" i="12"/>
  <c r="E40" i="10"/>
  <c r="N38" i="22"/>
  <c r="N28" i="21"/>
  <c r="A20" i="19"/>
  <c r="J21" i="20"/>
  <c r="G107" i="18"/>
  <c r="G60" i="20"/>
  <c r="K89" i="18"/>
  <c r="H84" i="19"/>
  <c r="I120" i="17"/>
  <c r="L103" i="17"/>
  <c r="J103" i="17"/>
  <c r="F12" i="18"/>
  <c r="E88" i="15"/>
  <c r="H117" i="14"/>
  <c r="N78" i="17"/>
  <c r="G90" i="15"/>
  <c r="E42" i="18"/>
  <c r="D103" i="15"/>
  <c r="I25" i="14"/>
  <c r="K64" i="13"/>
  <c r="L82" i="14"/>
  <c r="L20" i="13"/>
  <c r="A39" i="13"/>
  <c r="A19" i="13"/>
  <c r="N45" i="12"/>
  <c r="L77" i="15"/>
  <c r="E29" i="12"/>
  <c r="G73" i="10"/>
  <c r="K40" i="13"/>
  <c r="A80" i="11"/>
  <c r="I116" i="11"/>
  <c r="L73" i="12"/>
  <c r="F116" i="11"/>
  <c r="J73" i="10"/>
  <c r="N89" i="12"/>
  <c r="C100" i="13"/>
  <c r="J48" i="10"/>
  <c r="F42" i="13"/>
  <c r="F40" i="10"/>
  <c r="I48" i="5"/>
  <c r="P47" i="5"/>
  <c r="P7" i="5"/>
  <c r="N37" i="5"/>
  <c r="L37" i="5"/>
  <c r="C27" i="23"/>
  <c r="C38" i="22"/>
  <c r="G20" i="19"/>
  <c r="J20" i="19"/>
  <c r="I107" i="18"/>
  <c r="N84" i="19"/>
  <c r="J27" i="18"/>
  <c r="E51" i="19"/>
  <c r="M120" i="17"/>
  <c r="F103" i="17"/>
  <c r="G88" i="15"/>
  <c r="K135" i="15"/>
  <c r="J117" i="14"/>
  <c r="A78" i="17"/>
  <c r="H90" i="15"/>
  <c r="F42" i="18"/>
  <c r="E103" i="15"/>
  <c r="L126" i="17"/>
  <c r="C29" i="14"/>
  <c r="J25" i="14"/>
  <c r="H43" i="13"/>
  <c r="D14" i="13"/>
  <c r="D122" i="13"/>
  <c r="J14" i="13"/>
  <c r="B54" i="13"/>
  <c r="B19" i="13"/>
  <c r="J54" i="13"/>
  <c r="G29" i="12"/>
  <c r="E40" i="13"/>
  <c r="B80" i="11"/>
  <c r="A121" i="10"/>
  <c r="E100" i="13"/>
  <c r="H42" i="13"/>
  <c r="G40" i="10"/>
  <c r="I37" i="5"/>
  <c r="K27" i="23"/>
  <c r="E38" i="22"/>
  <c r="D20" i="19"/>
  <c r="H16" i="19"/>
  <c r="E42" i="19"/>
  <c r="E119" i="17"/>
  <c r="A89" i="18"/>
  <c r="H53" i="22"/>
  <c r="F28" i="17"/>
  <c r="L27" i="18"/>
  <c r="G51" i="19"/>
  <c r="G103" i="17"/>
  <c r="H92" i="18"/>
  <c r="I88" i="15"/>
  <c r="H75" i="13"/>
  <c r="I57" i="16"/>
  <c r="I42" i="18"/>
  <c r="F103" i="15"/>
  <c r="I40" i="15"/>
  <c r="M126" i="17"/>
  <c r="E29" i="14"/>
  <c r="N64" i="13"/>
  <c r="I39" i="13"/>
  <c r="E54" i="13"/>
  <c r="C19" i="13"/>
  <c r="B40" i="11"/>
  <c r="I29" i="12"/>
  <c r="D80" i="11"/>
  <c r="D121" i="10"/>
  <c r="B23" i="11"/>
  <c r="C89" i="12"/>
  <c r="K100" i="13"/>
  <c r="I42" i="13"/>
  <c r="B73" i="11"/>
  <c r="A77" i="10"/>
  <c r="B14" i="10"/>
  <c r="M21" i="21"/>
  <c r="K10" i="18"/>
  <c r="C12" i="5"/>
  <c r="P45" i="5"/>
  <c r="B48" i="5"/>
  <c r="D16" i="19"/>
  <c r="G119" i="17"/>
  <c r="B131" i="18"/>
  <c r="J29" i="12"/>
  <c r="J57" i="10"/>
  <c r="A116" i="11"/>
  <c r="F10" i="18"/>
  <c r="I16" i="19"/>
  <c r="M119" i="17"/>
  <c r="C131" i="18"/>
  <c r="E57" i="16"/>
  <c r="I103" i="15"/>
  <c r="K89" i="13"/>
  <c r="D57" i="10"/>
  <c r="F23" i="11"/>
  <c r="A37" i="12"/>
  <c r="I89" i="12"/>
  <c r="B100" i="13"/>
  <c r="J23" i="11"/>
  <c r="I36" i="10"/>
  <c r="K105" i="11"/>
  <c r="L42" i="13"/>
  <c r="K16" i="12"/>
  <c r="C77" i="10"/>
  <c r="H10" i="18"/>
  <c r="O63" i="5"/>
  <c r="K25" i="21"/>
  <c r="K16" i="19"/>
  <c r="E16" i="19"/>
  <c r="G131" i="18"/>
  <c r="L51" i="19"/>
  <c r="H65" i="15"/>
  <c r="B12" i="18"/>
  <c r="B42" i="18"/>
  <c r="K29" i="14"/>
  <c r="B84" i="12"/>
  <c r="B37" i="12"/>
  <c r="L100" i="10"/>
  <c r="F100" i="13"/>
  <c r="F21" i="11"/>
  <c r="A42" i="13"/>
  <c r="A16" i="12"/>
  <c r="D77" i="10"/>
  <c r="J25" i="21"/>
  <c r="A131" i="18"/>
  <c r="E27" i="18"/>
  <c r="B23" i="18"/>
  <c r="I23" i="18"/>
  <c r="F34" i="17"/>
  <c r="H18" i="14"/>
  <c r="D18" i="14"/>
  <c r="A12" i="12"/>
  <c r="C42" i="13"/>
  <c r="M9" i="23"/>
  <c r="M84" i="19"/>
  <c r="E115" i="20"/>
  <c r="A90" i="20"/>
  <c r="D87" i="18"/>
  <c r="G25" i="19"/>
  <c r="A67" i="18"/>
  <c r="L30" i="17"/>
  <c r="A60" i="18"/>
  <c r="K119" i="14"/>
  <c r="G10" i="17"/>
  <c r="D130" i="14"/>
  <c r="I90" i="14"/>
  <c r="G68" i="17"/>
  <c r="J76" i="12"/>
  <c r="L38" i="11"/>
  <c r="F30" i="12"/>
  <c r="I45" i="10"/>
  <c r="G16" i="8"/>
  <c r="B90" i="20"/>
  <c r="F46" i="19"/>
  <c r="H11" i="20"/>
  <c r="A30" i="17"/>
  <c r="B60" i="18"/>
  <c r="E60" i="18"/>
  <c r="C10" i="17"/>
  <c r="A15" i="17"/>
  <c r="F42" i="12"/>
  <c r="F130" i="14"/>
  <c r="A122" i="10"/>
  <c r="B115" i="11"/>
  <c r="H30" i="12"/>
  <c r="J45" i="10"/>
  <c r="N36" i="23"/>
  <c r="B16" i="23"/>
  <c r="L26" i="22"/>
  <c r="N22" i="20"/>
  <c r="C90" i="20"/>
  <c r="E50" i="20"/>
  <c r="H87" i="18"/>
  <c r="B86" i="19"/>
  <c r="K17" i="20"/>
  <c r="M61" i="21"/>
  <c r="A41" i="19"/>
  <c r="G46" i="19"/>
  <c r="D40" i="18"/>
  <c r="J104" i="17"/>
  <c r="J123" i="17"/>
  <c r="K15" i="20"/>
  <c r="N53" i="20"/>
  <c r="L60" i="17"/>
  <c r="I72" i="14"/>
  <c r="K60" i="18"/>
  <c r="D125" i="16"/>
  <c r="B119" i="14"/>
  <c r="J60" i="19"/>
  <c r="B32" i="15"/>
  <c r="A65" i="16"/>
  <c r="J19" i="16"/>
  <c r="D10" i="17"/>
  <c r="A60" i="14"/>
  <c r="C15" i="17"/>
  <c r="B71" i="15"/>
  <c r="A59" i="14"/>
  <c r="K71" i="15"/>
  <c r="G115" i="13"/>
  <c r="K130" i="14"/>
  <c r="G36" i="12"/>
  <c r="K102" i="11"/>
  <c r="D33" i="13"/>
  <c r="B85" i="12"/>
  <c r="B68" i="12"/>
  <c r="I127" i="10"/>
  <c r="K46" i="12"/>
  <c r="E19" i="6"/>
  <c r="E10" i="14"/>
  <c r="G44" i="10"/>
  <c r="F122" i="10"/>
  <c r="G67" i="13"/>
  <c r="I110" i="11"/>
  <c r="I30" i="12"/>
  <c r="J108" i="10"/>
  <c r="N90" i="10"/>
  <c r="K45" i="10"/>
  <c r="H110" i="10"/>
  <c r="A36" i="23"/>
  <c r="H21" i="21"/>
  <c r="A26" i="22"/>
  <c r="E90" i="20"/>
  <c r="G50" i="20"/>
  <c r="F83" i="18"/>
  <c r="C86" i="19"/>
  <c r="E17" i="21"/>
  <c r="I46" i="19"/>
  <c r="C74" i="18"/>
  <c r="F40" i="18"/>
  <c r="M52" i="19"/>
  <c r="B59" i="18"/>
  <c r="G89" i="17"/>
  <c r="C123" i="17"/>
  <c r="L15" i="20"/>
  <c r="B27" i="20"/>
  <c r="J114" i="17"/>
  <c r="C28" i="16"/>
  <c r="D53" i="20"/>
  <c r="N60" i="17"/>
  <c r="N108" i="15"/>
  <c r="L60" i="18"/>
  <c r="B16" i="18"/>
  <c r="F125" i="16"/>
  <c r="D119" i="14"/>
  <c r="K60" i="19"/>
  <c r="G70" i="13"/>
  <c r="E32" i="15"/>
  <c r="F126" i="17"/>
  <c r="C65" i="16"/>
  <c r="K19" i="16"/>
  <c r="D26" i="15"/>
  <c r="H10" i="17"/>
  <c r="B60" i="14"/>
  <c r="E15" i="17"/>
  <c r="C71" i="15"/>
  <c r="E59" i="14"/>
  <c r="H115" i="13"/>
  <c r="M130" i="14"/>
  <c r="B41" i="12"/>
  <c r="C121" i="16"/>
  <c r="H36" i="12"/>
  <c r="F33" i="13"/>
  <c r="G76" i="12"/>
  <c r="C68" i="12"/>
  <c r="I10" i="14"/>
  <c r="J122" i="10"/>
  <c r="J67" i="13"/>
  <c r="J30" i="12"/>
  <c r="A90" i="10"/>
  <c r="L45" i="10"/>
  <c r="I110" i="10"/>
  <c r="L117" i="15"/>
  <c r="N26" i="11"/>
  <c r="J9" i="23"/>
  <c r="E21" i="7"/>
  <c r="P9" i="5"/>
  <c r="J10" i="15"/>
  <c r="I10" i="15"/>
  <c r="H10" i="15"/>
  <c r="E36" i="23"/>
  <c r="F26" i="22"/>
  <c r="G90" i="20"/>
  <c r="M115" i="20"/>
  <c r="I50" i="20"/>
  <c r="D86" i="19"/>
  <c r="F90" i="20"/>
  <c r="M17" i="21"/>
  <c r="B83" i="18"/>
  <c r="J46" i="19"/>
  <c r="E11" i="20"/>
  <c r="G40" i="18"/>
  <c r="M12" i="19"/>
  <c r="C59" i="18"/>
  <c r="K28" i="17"/>
  <c r="L104" i="17"/>
  <c r="H89" i="17"/>
  <c r="F104" i="17"/>
  <c r="A88" i="18"/>
  <c r="E123" i="17"/>
  <c r="N15" i="20"/>
  <c r="C27" i="20"/>
  <c r="I28" i="16"/>
  <c r="E53" i="20"/>
  <c r="A60" i="17"/>
  <c r="F111" i="16"/>
  <c r="E119" i="14"/>
  <c r="L60" i="19"/>
  <c r="F70" i="13"/>
  <c r="G32" i="15"/>
  <c r="J126" i="17"/>
  <c r="D65" i="16"/>
  <c r="N19" i="16"/>
  <c r="G65" i="16"/>
  <c r="B10" i="17"/>
  <c r="C60" i="14"/>
  <c r="F15" i="17"/>
  <c r="A71" i="15"/>
  <c r="I59" i="14"/>
  <c r="M22" i="19"/>
  <c r="I115" i="13"/>
  <c r="C130" i="14"/>
  <c r="B58" i="14"/>
  <c r="I36" i="12"/>
  <c r="G33" i="13"/>
  <c r="D68" i="12"/>
  <c r="K127" i="10"/>
  <c r="I51" i="12"/>
  <c r="G87" i="11"/>
  <c r="G38" i="11"/>
  <c r="B87" i="11"/>
  <c r="M122" i="10"/>
  <c r="K67" i="13"/>
  <c r="K30" i="12"/>
  <c r="E132" i="11"/>
  <c r="C90" i="10"/>
  <c r="J110" i="10"/>
  <c r="A117" i="15"/>
  <c r="G26" i="11"/>
  <c r="H26" i="22"/>
  <c r="K90" i="20"/>
  <c r="E86" i="19"/>
  <c r="N17" i="21"/>
  <c r="H33" i="18"/>
  <c r="K46" i="19"/>
  <c r="F11" i="20"/>
  <c r="J40" i="18"/>
  <c r="E59" i="18"/>
  <c r="C88" i="18"/>
  <c r="F123" i="17"/>
  <c r="C15" i="20"/>
  <c r="A27" i="20"/>
  <c r="G53" i="20"/>
  <c r="G60" i="17"/>
  <c r="L111" i="16"/>
  <c r="F119" i="14"/>
  <c r="E60" i="19"/>
  <c r="B77" i="16"/>
  <c r="K126" i="17"/>
  <c r="E65" i="16"/>
  <c r="G15" i="17"/>
  <c r="D71" i="15"/>
  <c r="I111" i="13"/>
  <c r="E130" i="14"/>
  <c r="D58" i="14"/>
  <c r="E68" i="12"/>
  <c r="G46" i="12"/>
  <c r="L67" i="13"/>
  <c r="A30" i="12"/>
  <c r="D90" i="10"/>
  <c r="J45" i="11"/>
  <c r="K110" i="10"/>
  <c r="C117" i="15"/>
  <c r="J26" i="11"/>
  <c r="P44" i="5"/>
  <c r="E48" i="5"/>
  <c r="L46" i="19"/>
  <c r="B59" i="16"/>
  <c r="H15" i="17"/>
  <c r="M79" i="14"/>
  <c r="H46" i="12"/>
  <c r="E38" i="11"/>
  <c r="E67" i="13"/>
  <c r="B26" i="11"/>
  <c r="N26" i="22"/>
  <c r="A33" i="18"/>
  <c r="G86" i="19"/>
  <c r="N33" i="18"/>
  <c r="M46" i="19"/>
  <c r="B11" i="20"/>
  <c r="N40" i="18"/>
  <c r="B100" i="20"/>
  <c r="G88" i="18"/>
  <c r="M78" i="15"/>
  <c r="I32" i="14"/>
  <c r="D59" i="16"/>
  <c r="D60" i="19"/>
  <c r="J15" i="17"/>
  <c r="H130" i="14"/>
  <c r="G102" i="11"/>
  <c r="I46" i="12"/>
  <c r="F67" i="13"/>
  <c r="C26" i="11"/>
  <c r="C26" i="22"/>
  <c r="K86" i="19"/>
  <c r="N46" i="19"/>
  <c r="C11" i="20"/>
  <c r="B40" i="18"/>
  <c r="J100" i="20"/>
  <c r="G27" i="18"/>
  <c r="K88" i="18"/>
  <c r="N123" i="17"/>
  <c r="D15" i="20"/>
  <c r="F27" i="20"/>
  <c r="L53" i="20"/>
  <c r="D77" i="16"/>
  <c r="E24" i="15"/>
  <c r="I23" i="20"/>
  <c r="N126" i="17"/>
  <c r="N65" i="16"/>
  <c r="M109" i="13"/>
  <c r="K15" i="17"/>
  <c r="H71" i="15"/>
  <c r="H115" i="14"/>
  <c r="B95" i="13"/>
  <c r="M106" i="13"/>
  <c r="F22" i="12"/>
  <c r="N58" i="14"/>
  <c r="N76" i="12"/>
  <c r="J63" i="13"/>
  <c r="B110" i="13"/>
  <c r="A22" i="12"/>
  <c r="H68" i="12"/>
  <c r="C106" i="11"/>
  <c r="J46" i="12"/>
  <c r="I50" i="10"/>
  <c r="E127" i="10"/>
  <c r="K33" i="11"/>
  <c r="I67" i="13"/>
  <c r="D34" i="11"/>
  <c r="D110" i="10"/>
  <c r="I117" i="15"/>
  <c r="D26" i="11"/>
  <c r="P31" i="5"/>
  <c r="D26" i="19"/>
  <c r="B77" i="18"/>
  <c r="L86" i="19"/>
  <c r="B67" i="18"/>
  <c r="F48" i="18"/>
  <c r="E46" i="19"/>
  <c r="D11" i="20"/>
  <c r="E40" i="18"/>
  <c r="L100" i="20"/>
  <c r="N88" i="18"/>
  <c r="F15" i="20"/>
  <c r="G27" i="20"/>
  <c r="A66" i="15"/>
  <c r="G77" i="16"/>
  <c r="H24" i="15"/>
  <c r="C23" i="20"/>
  <c r="D126" i="17"/>
  <c r="F65" i="16"/>
  <c r="B102" i="12"/>
  <c r="K20" i="14"/>
  <c r="L15" i="17"/>
  <c r="I71" i="15"/>
  <c r="J115" i="14"/>
  <c r="E95" i="13"/>
  <c r="A106" i="13"/>
  <c r="C58" i="14"/>
  <c r="B76" i="12"/>
  <c r="K63" i="13"/>
  <c r="C110" i="13"/>
  <c r="C95" i="11"/>
  <c r="C127" i="10"/>
  <c r="C114" i="13"/>
  <c r="C56" i="10"/>
  <c r="K68" i="12"/>
  <c r="E106" i="11"/>
  <c r="A46" i="12"/>
  <c r="N56" i="10"/>
  <c r="A67" i="13"/>
  <c r="F34" i="11"/>
  <c r="J117" i="15"/>
  <c r="F26" i="11"/>
  <c r="M12" i="12"/>
  <c r="J9" i="17"/>
  <c r="F9" i="17"/>
  <c r="D9" i="17"/>
  <c r="A9" i="17"/>
  <c r="I26" i="19"/>
  <c r="L17" i="20"/>
  <c r="C67" i="18"/>
  <c r="K48" i="18"/>
  <c r="I17" i="20"/>
  <c r="I11" i="20"/>
  <c r="H40" i="18"/>
  <c r="A28" i="17"/>
  <c r="N100" i="20"/>
  <c r="D104" i="17"/>
  <c r="M51" i="19"/>
  <c r="H88" i="18"/>
  <c r="H27" i="20"/>
  <c r="H77" i="16"/>
  <c r="A13" i="15"/>
  <c r="E77" i="16"/>
  <c r="J24" i="15"/>
  <c r="E23" i="20"/>
  <c r="H65" i="16"/>
  <c r="C102" i="12"/>
  <c r="B15" i="17"/>
  <c r="F20" i="14"/>
  <c r="K115" i="14"/>
  <c r="F95" i="13"/>
  <c r="E58" i="14"/>
  <c r="I76" i="12"/>
  <c r="N63" i="13"/>
  <c r="F110" i="13"/>
  <c r="L125" i="12"/>
  <c r="G127" i="10"/>
  <c r="I114" i="13"/>
  <c r="J68" i="12"/>
  <c r="F106" i="11"/>
  <c r="B46" i="12"/>
  <c r="D51" i="12"/>
  <c r="D115" i="11"/>
  <c r="B67" i="13"/>
  <c r="A45" i="11"/>
  <c r="G34" i="11"/>
  <c r="K117" i="15"/>
  <c r="A26" i="11"/>
  <c r="N77" i="12"/>
  <c r="N14" i="13"/>
  <c r="I14" i="13"/>
  <c r="H14" i="13"/>
  <c r="C14" i="13"/>
  <c r="B14" i="13"/>
  <c r="A14" i="13"/>
  <c r="N12" i="12"/>
  <c r="B12" i="12"/>
  <c r="L12" i="12"/>
  <c r="J12" i="12"/>
  <c r="I12" i="12"/>
  <c r="P8" i="5"/>
  <c r="I9" i="15"/>
  <c r="L9" i="15"/>
  <c r="E9" i="15"/>
  <c r="J11" i="23"/>
  <c r="H67" i="18"/>
  <c r="K11" i="20"/>
  <c r="G28" i="17"/>
  <c r="D100" i="20"/>
  <c r="I104" i="17"/>
  <c r="K27" i="20"/>
  <c r="B100" i="17"/>
  <c r="D15" i="19"/>
  <c r="J77" i="16"/>
  <c r="E83" i="14"/>
  <c r="H23" i="20"/>
  <c r="E97" i="12"/>
  <c r="L52" i="12"/>
  <c r="E115" i="14"/>
  <c r="E102" i="12"/>
  <c r="D102" i="11"/>
  <c r="H58" i="14"/>
  <c r="N81" i="12"/>
  <c r="L76" i="12"/>
  <c r="H110" i="13"/>
  <c r="A51" i="12"/>
  <c r="A87" i="11"/>
  <c r="D56" i="10"/>
  <c r="M114" i="13"/>
  <c r="I68" i="12"/>
  <c r="K38" i="11"/>
  <c r="F46" i="12"/>
  <c r="D94" i="10"/>
  <c r="H115" i="11"/>
  <c r="D67" i="13"/>
  <c r="L56" i="10"/>
  <c r="C45" i="11"/>
  <c r="L34" i="11"/>
  <c r="N117" i="15"/>
  <c r="M132" i="11"/>
  <c r="H26" i="11"/>
  <c r="D77" i="12"/>
  <c r="P6" i="5"/>
  <c r="D18" i="19"/>
  <c r="K67" i="18"/>
  <c r="N11" i="20"/>
  <c r="E100" i="20"/>
  <c r="A104" i="17"/>
  <c r="C100" i="17"/>
  <c r="B15" i="19"/>
  <c r="N91" i="17"/>
  <c r="H91" i="17"/>
  <c r="F83" i="14"/>
  <c r="K23" i="20"/>
  <c r="A90" i="14"/>
  <c r="A68" i="17"/>
  <c r="N114" i="13"/>
  <c r="C46" i="12"/>
  <c r="I115" i="11"/>
  <c r="H67" i="13"/>
  <c r="E45" i="11"/>
  <c r="N132" i="11"/>
  <c r="I26" i="11"/>
  <c r="E77" i="12"/>
  <c r="Y4" i="24"/>
  <c r="M9" i="16"/>
  <c r="K9" i="14"/>
  <c r="L9" i="14"/>
  <c r="E9" i="14"/>
  <c r="J9" i="14"/>
  <c r="I9" i="14"/>
  <c r="H9" i="14"/>
  <c r="G9" i="14"/>
  <c r="F9" i="14"/>
  <c r="D9" i="14"/>
  <c r="C9" i="14"/>
  <c r="B9" i="14"/>
  <c r="E13" i="6"/>
  <c r="H11" i="23"/>
  <c r="F18" i="19"/>
  <c r="L67" i="18"/>
  <c r="I87" i="18"/>
  <c r="F100" i="20"/>
  <c r="G104" i="17"/>
  <c r="G31" i="17"/>
  <c r="I100" i="17"/>
  <c r="C15" i="19"/>
  <c r="E30" i="17"/>
  <c r="A91" i="17"/>
  <c r="I83" i="14"/>
  <c r="N23" i="20"/>
  <c r="B90" i="14"/>
  <c r="M25" i="14"/>
  <c r="L68" i="17"/>
  <c r="A114" i="13"/>
  <c r="K25" i="11"/>
  <c r="I38" i="11"/>
  <c r="K115" i="11"/>
  <c r="F45" i="11"/>
  <c r="A34" i="11"/>
  <c r="D117" i="15"/>
  <c r="C132" i="11"/>
  <c r="G77" i="12"/>
  <c r="B78" i="12"/>
  <c r="F94" i="17"/>
  <c r="K11" i="16"/>
  <c r="I11" i="16"/>
  <c r="G11" i="16"/>
  <c r="E11" i="16"/>
  <c r="A11" i="16"/>
  <c r="C11" i="23"/>
  <c r="F16" i="23"/>
  <c r="L18" i="19"/>
  <c r="K20" i="18"/>
  <c r="M56" i="19"/>
  <c r="G100" i="20"/>
  <c r="C33" i="17"/>
  <c r="H31" i="17"/>
  <c r="E100" i="17"/>
  <c r="E15" i="19"/>
  <c r="C30" i="17"/>
  <c r="E91" i="17"/>
  <c r="L77" i="16"/>
  <c r="L83" i="14"/>
  <c r="A23" i="20"/>
  <c r="L102" i="12"/>
  <c r="E47" i="17"/>
  <c r="L115" i="14"/>
  <c r="D90" i="14"/>
  <c r="M93" i="14"/>
  <c r="N68" i="17"/>
  <c r="N110" i="13"/>
  <c r="C122" i="10"/>
  <c r="E51" i="12"/>
  <c r="B114" i="13"/>
  <c r="B56" i="10"/>
  <c r="B25" i="11"/>
  <c r="L46" i="12"/>
  <c r="F50" i="10"/>
  <c r="L115" i="11"/>
  <c r="D45" i="11"/>
  <c r="E34" i="11"/>
  <c r="F117" i="15"/>
  <c r="D132" i="11"/>
  <c r="K77" i="12"/>
  <c r="D78" i="12"/>
  <c r="J94" i="17"/>
  <c r="E11" i="23"/>
  <c r="C16" i="23"/>
  <c r="J49" i="19"/>
  <c r="H115" i="20"/>
  <c r="C46" i="19"/>
  <c r="I27" i="18"/>
  <c r="H100" i="20"/>
  <c r="G23" i="18"/>
  <c r="E114" i="17"/>
  <c r="F100" i="17"/>
  <c r="H15" i="19"/>
  <c r="B91" i="17"/>
  <c r="H13" i="15"/>
  <c r="B23" i="20"/>
  <c r="K97" i="12"/>
  <c r="I47" i="17"/>
  <c r="N115" i="14"/>
  <c r="D19" i="14"/>
  <c r="I88" i="12"/>
  <c r="F90" i="14"/>
  <c r="B68" i="17"/>
  <c r="M125" i="12"/>
  <c r="H99" i="12"/>
  <c r="E114" i="13"/>
  <c r="I87" i="11"/>
  <c r="G10" i="14"/>
  <c r="A45" i="10"/>
  <c r="H45" i="11"/>
  <c r="G90" i="10"/>
  <c r="F132" i="11"/>
  <c r="E78" i="12"/>
  <c r="C94" i="17"/>
  <c r="N14" i="12"/>
  <c r="K14" i="12"/>
  <c r="J14" i="12"/>
  <c r="I14" i="12"/>
  <c r="H14" i="12"/>
  <c r="G14" i="12"/>
  <c r="F14" i="12"/>
  <c r="E14" i="12"/>
  <c r="D14" i="12"/>
  <c r="C14" i="12"/>
  <c r="G78" i="12"/>
  <c r="B94" i="17"/>
  <c r="M48" i="5"/>
  <c r="N10" i="16"/>
  <c r="G10" i="16"/>
  <c r="K10" i="16"/>
  <c r="F10" i="16"/>
  <c r="E10" i="16"/>
  <c r="D10" i="16"/>
  <c r="C10" i="16"/>
  <c r="H11" i="15"/>
  <c r="K11" i="15"/>
  <c r="G11" i="15"/>
  <c r="F11" i="15"/>
  <c r="E11" i="15"/>
  <c r="A11" i="15"/>
  <c r="H78" i="12"/>
  <c r="K94" i="17"/>
  <c r="D9" i="10"/>
  <c r="N9" i="10"/>
  <c r="G9" i="10"/>
  <c r="E9" i="10"/>
  <c r="A9" i="10"/>
  <c r="N63" i="5"/>
  <c r="A17" i="20"/>
  <c r="J17" i="20"/>
  <c r="A100" i="17"/>
  <c r="I19" i="14"/>
  <c r="N90" i="14"/>
  <c r="J68" i="17"/>
  <c r="K114" i="13"/>
  <c r="D45" i="10"/>
  <c r="L45" i="11"/>
  <c r="J132" i="11"/>
  <c r="H77" i="12"/>
  <c r="J78" i="12"/>
  <c r="N94" i="17"/>
  <c r="F13" i="12"/>
  <c r="C13" i="12"/>
  <c r="J90" i="20"/>
  <c r="B17" i="20"/>
  <c r="I48" i="18"/>
  <c r="F74" i="18"/>
  <c r="G11" i="20"/>
  <c r="F30" i="17"/>
  <c r="F15" i="19"/>
  <c r="B13" i="15"/>
  <c r="F13" i="15"/>
  <c r="B60" i="19"/>
  <c r="G60" i="14"/>
  <c r="F47" i="17"/>
  <c r="J19" i="14"/>
  <c r="D42" i="12"/>
  <c r="C90" i="14"/>
  <c r="H68" i="17"/>
  <c r="D114" i="13"/>
  <c r="H51" i="12"/>
  <c r="A110" i="11"/>
  <c r="A10" i="14"/>
  <c r="H108" i="10"/>
  <c r="E45" i="10"/>
  <c r="N45" i="11"/>
  <c r="J76" i="11"/>
  <c r="I77" i="12"/>
  <c r="N13" i="13"/>
  <c r="K13" i="13"/>
  <c r="I13" i="13"/>
  <c r="H90" i="20"/>
  <c r="D15" i="17"/>
  <c r="E90" i="14"/>
  <c r="I68" i="17"/>
  <c r="H132" i="11"/>
  <c r="F45" i="10"/>
  <c r="K13" i="16"/>
  <c r="H13" i="16"/>
  <c r="E13" i="16"/>
  <c r="D13" i="16"/>
  <c r="C13" i="16"/>
  <c r="A97" i="10"/>
  <c r="E27" i="10"/>
  <c r="G33" i="10"/>
  <c r="D33" i="10"/>
  <c r="A33" i="10"/>
  <c r="N33" i="10"/>
  <c r="J33" i="10"/>
  <c r="E33" i="10"/>
  <c r="I33" i="10"/>
  <c r="L33" i="10"/>
  <c r="N85" i="11"/>
  <c r="J85" i="11"/>
  <c r="D27" i="12"/>
  <c r="A27" i="12"/>
  <c r="F27" i="12"/>
  <c r="E27" i="12"/>
  <c r="B27" i="12"/>
  <c r="N27" i="12"/>
  <c r="K27" i="12"/>
  <c r="J27" i="12"/>
  <c r="I27" i="12"/>
  <c r="H27" i="12"/>
  <c r="G27" i="12"/>
  <c r="L27" i="12"/>
  <c r="C27" i="12"/>
  <c r="L123" i="12"/>
  <c r="N123" i="12"/>
  <c r="J123" i="12"/>
  <c r="F123" i="12"/>
  <c r="B123" i="12"/>
  <c r="M123" i="12"/>
  <c r="C123" i="12"/>
  <c r="H46" i="14"/>
  <c r="J46" i="14"/>
  <c r="I46" i="14"/>
  <c r="L46" i="14"/>
  <c r="K46" i="14"/>
  <c r="G46" i="14"/>
  <c r="F46" i="14"/>
  <c r="D46" i="14"/>
  <c r="C46" i="14"/>
  <c r="B46" i="14"/>
  <c r="A46" i="14"/>
  <c r="E46" i="14"/>
  <c r="N46" i="14"/>
  <c r="H70" i="10"/>
  <c r="I70" i="10"/>
  <c r="D70" i="10"/>
  <c r="E70" i="10"/>
  <c r="L60" i="11"/>
  <c r="F60" i="11"/>
  <c r="I60" i="11"/>
  <c r="D60" i="11"/>
  <c r="N32" i="11"/>
  <c r="A32" i="11"/>
  <c r="J32" i="11"/>
  <c r="I32" i="11"/>
  <c r="H32" i="11"/>
  <c r="F32" i="11"/>
  <c r="E32" i="11"/>
  <c r="D32" i="11"/>
  <c r="C32" i="11"/>
  <c r="B32" i="11"/>
  <c r="N49" i="13"/>
  <c r="K49" i="13"/>
  <c r="J49" i="13"/>
  <c r="G49" i="13"/>
  <c r="B49" i="13"/>
  <c r="F49" i="13"/>
  <c r="E49" i="13"/>
  <c r="D49" i="13"/>
  <c r="L49" i="13"/>
  <c r="N51" i="11"/>
  <c r="G51" i="11"/>
  <c r="D51" i="11"/>
  <c r="C51" i="11"/>
  <c r="B51" i="11"/>
  <c r="A51" i="11"/>
  <c r="L51" i="11"/>
  <c r="K51" i="11"/>
  <c r="H51" i="11"/>
  <c r="F51" i="11"/>
  <c r="I51" i="11"/>
  <c r="E51" i="11"/>
  <c r="C52" i="15"/>
  <c r="A52" i="15"/>
  <c r="B52" i="15"/>
  <c r="A99" i="10"/>
  <c r="L99" i="10"/>
  <c r="J99" i="10"/>
  <c r="I99" i="10"/>
  <c r="H99" i="10"/>
  <c r="G99" i="10"/>
  <c r="F99" i="10"/>
  <c r="E99" i="10"/>
  <c r="D99" i="10"/>
  <c r="C99" i="10"/>
  <c r="N99" i="10"/>
  <c r="K99" i="10"/>
  <c r="N20" i="12"/>
  <c r="J20" i="12"/>
  <c r="B20" i="12"/>
  <c r="I20" i="12"/>
  <c r="D20" i="12"/>
  <c r="K20" i="12"/>
  <c r="F20" i="12"/>
  <c r="E20" i="12"/>
  <c r="N121" i="12"/>
  <c r="L121" i="12"/>
  <c r="J121" i="12"/>
  <c r="I121" i="12"/>
  <c r="C121" i="12"/>
  <c r="H121" i="12"/>
  <c r="A121" i="12"/>
  <c r="L39" i="12"/>
  <c r="K39" i="12"/>
  <c r="B39" i="12"/>
  <c r="C39" i="12"/>
  <c r="F39" i="12"/>
  <c r="I82" i="12"/>
  <c r="H82" i="12"/>
  <c r="G82" i="12"/>
  <c r="J82" i="12"/>
  <c r="N82" i="12"/>
  <c r="F82" i="12"/>
  <c r="E82" i="12"/>
  <c r="D82" i="12"/>
  <c r="C82" i="12"/>
  <c r="B82" i="12"/>
  <c r="K82" i="12"/>
  <c r="N65" i="19"/>
  <c r="K65" i="19"/>
  <c r="N23" i="15"/>
  <c r="G23" i="15"/>
  <c r="A23" i="15"/>
  <c r="F23" i="15"/>
  <c r="E23" i="15"/>
  <c r="D23" i="15"/>
  <c r="C23" i="15"/>
  <c r="B23" i="15"/>
  <c r="I23" i="15"/>
  <c r="H23" i="15"/>
  <c r="J23" i="15"/>
  <c r="K23" i="15"/>
  <c r="L45" i="16"/>
  <c r="H45" i="16"/>
  <c r="G45" i="16"/>
  <c r="E45" i="16"/>
  <c r="D45" i="16"/>
  <c r="J45" i="16"/>
  <c r="I45" i="16"/>
  <c r="C45" i="16"/>
  <c r="A45" i="16"/>
  <c r="K45" i="16"/>
  <c r="H39" i="17"/>
  <c r="B39" i="17"/>
  <c r="E39" i="17"/>
  <c r="C39" i="17"/>
  <c r="A39" i="17"/>
  <c r="L39" i="17"/>
  <c r="I39" i="17"/>
  <c r="G39" i="17"/>
  <c r="K39" i="17"/>
  <c r="F39" i="17"/>
  <c r="N120" i="11"/>
  <c r="E120" i="11"/>
  <c r="M120" i="11"/>
  <c r="L120" i="11"/>
  <c r="K120" i="11"/>
  <c r="I120" i="11"/>
  <c r="G120" i="11"/>
  <c r="H120" i="11"/>
  <c r="F120" i="11"/>
  <c r="D120" i="11"/>
  <c r="C120" i="11"/>
  <c r="A120" i="11"/>
  <c r="B120" i="11"/>
  <c r="H40" i="15"/>
  <c r="C40" i="15"/>
  <c r="G40" i="15"/>
  <c r="H74" i="13"/>
  <c r="G74" i="13"/>
  <c r="F74" i="13"/>
  <c r="B74" i="13"/>
  <c r="N74" i="13"/>
  <c r="I74" i="13"/>
  <c r="K74" i="13"/>
  <c r="N131" i="15"/>
  <c r="M131" i="15"/>
  <c r="I131" i="15"/>
  <c r="F131" i="15"/>
  <c r="E131" i="15"/>
  <c r="C131" i="15"/>
  <c r="A131" i="15"/>
  <c r="J114" i="11"/>
  <c r="K114" i="11"/>
  <c r="I114" i="11"/>
  <c r="G114" i="11"/>
  <c r="N114" i="11"/>
  <c r="M114" i="11"/>
  <c r="L114" i="11"/>
  <c r="A114" i="11"/>
  <c r="D114" i="11"/>
  <c r="E114" i="11"/>
  <c r="N102" i="13"/>
  <c r="H102" i="13"/>
  <c r="G102" i="13"/>
  <c r="F102" i="13"/>
  <c r="K102" i="13"/>
  <c r="I102" i="13"/>
  <c r="B102" i="13"/>
  <c r="H30" i="14"/>
  <c r="N30" i="14"/>
  <c r="L30" i="14"/>
  <c r="F30" i="14"/>
  <c r="E30" i="14"/>
  <c r="K30" i="14"/>
  <c r="J30" i="14"/>
  <c r="I30" i="14"/>
  <c r="D30" i="14"/>
  <c r="C30" i="14"/>
  <c r="B30" i="14"/>
  <c r="A30" i="14"/>
  <c r="G30" i="14"/>
  <c r="I98" i="16"/>
  <c r="E98" i="16"/>
  <c r="G98" i="16"/>
  <c r="C98" i="16"/>
  <c r="N98" i="16"/>
  <c r="K98" i="16"/>
  <c r="F98" i="16"/>
  <c r="B98" i="16"/>
  <c r="A98" i="16"/>
  <c r="L98" i="16"/>
  <c r="J98" i="16"/>
  <c r="H98" i="16"/>
  <c r="D98" i="16"/>
  <c r="N102" i="19"/>
  <c r="G102" i="19"/>
  <c r="N63" i="15"/>
  <c r="K63" i="15"/>
  <c r="E63" i="15"/>
  <c r="B63" i="15"/>
  <c r="J63" i="15"/>
  <c r="I63" i="15"/>
  <c r="H63" i="15"/>
  <c r="F63" i="15"/>
  <c r="G63" i="15"/>
  <c r="A63" i="15"/>
  <c r="D37" i="15"/>
  <c r="K37" i="15"/>
  <c r="F119" i="15"/>
  <c r="K119" i="15"/>
  <c r="H32" i="19"/>
  <c r="K32" i="19"/>
  <c r="N32" i="19"/>
  <c r="J32" i="19"/>
  <c r="I32" i="19"/>
  <c r="G32" i="19"/>
  <c r="F32" i="19"/>
  <c r="D32" i="19"/>
  <c r="A32" i="19"/>
  <c r="B32" i="19"/>
  <c r="C32" i="19"/>
  <c r="D82" i="17"/>
  <c r="K82" i="17"/>
  <c r="E82" i="17"/>
  <c r="I82" i="17"/>
  <c r="N82" i="17"/>
  <c r="B82" i="17"/>
  <c r="F82" i="17"/>
  <c r="F54" i="17"/>
  <c r="C54" i="17"/>
  <c r="G54" i="17"/>
  <c r="D54" i="17"/>
  <c r="B54" i="17"/>
  <c r="I54" i="17"/>
  <c r="P43" i="5"/>
  <c r="O48" i="5"/>
  <c r="L81" i="11"/>
  <c r="F81" i="11"/>
  <c r="N81" i="11"/>
  <c r="J81" i="11"/>
  <c r="I81" i="11"/>
  <c r="H81" i="11"/>
  <c r="E81" i="11"/>
  <c r="K81" i="11"/>
  <c r="B81" i="11"/>
  <c r="A81" i="11"/>
  <c r="N55" i="10"/>
  <c r="K55" i="10"/>
  <c r="G55" i="10"/>
  <c r="D55" i="10"/>
  <c r="C55" i="10"/>
  <c r="B55" i="10"/>
  <c r="H57" i="17"/>
  <c r="N57" i="17"/>
  <c r="L57" i="17"/>
  <c r="K57" i="17"/>
  <c r="F57" i="17"/>
  <c r="J57" i="17"/>
  <c r="I57" i="17"/>
  <c r="G57" i="17"/>
  <c r="C57" i="17"/>
  <c r="H27" i="23"/>
  <c r="F27" i="23"/>
  <c r="A27" i="23"/>
  <c r="F25" i="21"/>
  <c r="D25" i="21"/>
  <c r="N25" i="21"/>
  <c r="I25" i="21"/>
  <c r="N20" i="20"/>
  <c r="F20" i="20"/>
  <c r="E20" i="20"/>
  <c r="D20" i="20"/>
  <c r="K20" i="20"/>
  <c r="J20" i="20"/>
  <c r="H20" i="20"/>
  <c r="B20" i="20"/>
  <c r="J128" i="16"/>
  <c r="B128" i="16"/>
  <c r="M128" i="16"/>
  <c r="D128" i="16"/>
  <c r="L128" i="16"/>
  <c r="C128" i="16"/>
  <c r="E128" i="16"/>
  <c r="N128" i="16"/>
  <c r="F128" i="16"/>
  <c r="N98" i="17"/>
  <c r="L98" i="17"/>
  <c r="E98" i="17"/>
  <c r="N22" i="22"/>
  <c r="J22" i="22"/>
  <c r="K22" i="22"/>
  <c r="K102" i="17"/>
  <c r="N102" i="17"/>
  <c r="G102" i="17"/>
  <c r="J102" i="17"/>
  <c r="B102" i="17"/>
  <c r="A102" i="17"/>
  <c r="F102" i="17"/>
  <c r="H19" i="19"/>
  <c r="E19" i="19"/>
  <c r="G19" i="19"/>
  <c r="F19" i="19"/>
  <c r="B19" i="19"/>
  <c r="N64" i="17"/>
  <c r="I64" i="17"/>
  <c r="F64" i="17"/>
  <c r="C64" i="17"/>
  <c r="H64" i="17"/>
  <c r="L64" i="17"/>
  <c r="J64" i="17"/>
  <c r="E64" i="17"/>
  <c r="A64" i="17"/>
  <c r="G64" i="17"/>
  <c r="D64" i="17"/>
  <c r="K64" i="17"/>
  <c r="B64" i="17"/>
  <c r="J34" i="17"/>
  <c r="K34" i="17"/>
  <c r="I34" i="17"/>
  <c r="G34" i="17"/>
  <c r="H34" i="17"/>
  <c r="G28" i="19"/>
  <c r="L28" i="19"/>
  <c r="N28" i="19"/>
  <c r="K28" i="19"/>
  <c r="J28" i="19"/>
  <c r="C28" i="19"/>
  <c r="I28" i="19"/>
  <c r="E28" i="19"/>
  <c r="N38" i="10"/>
  <c r="J38" i="10"/>
  <c r="F38" i="10"/>
  <c r="K27" i="14"/>
  <c r="A27" i="14"/>
  <c r="D27" i="14"/>
  <c r="B27" i="14"/>
  <c r="N27" i="14"/>
  <c r="L27" i="14"/>
  <c r="B69" i="11"/>
  <c r="G69" i="11"/>
  <c r="J69" i="11"/>
  <c r="E69" i="11"/>
  <c r="I69" i="11"/>
  <c r="C104" i="13"/>
  <c r="I104" i="13"/>
  <c r="H104" i="13"/>
  <c r="B104" i="13"/>
  <c r="J104" i="13"/>
  <c r="N104" i="13"/>
  <c r="G104" i="13"/>
  <c r="E104" i="13"/>
  <c r="A104" i="13"/>
  <c r="I21" i="13"/>
  <c r="K21" i="13"/>
  <c r="N21" i="13"/>
  <c r="E21" i="13"/>
  <c r="H21" i="13"/>
  <c r="N47" i="10"/>
  <c r="L47" i="10"/>
  <c r="I47" i="10"/>
  <c r="C47" i="10"/>
  <c r="H47" i="10"/>
  <c r="N46" i="11"/>
  <c r="I46" i="11"/>
  <c r="F46" i="11"/>
  <c r="E46" i="11"/>
  <c r="D46" i="11"/>
  <c r="B46" i="11"/>
  <c r="C46" i="11"/>
  <c r="K46" i="11"/>
  <c r="J46" i="11"/>
  <c r="A46" i="11"/>
  <c r="H46" i="11"/>
  <c r="N83" i="11"/>
  <c r="J83" i="11"/>
  <c r="G83" i="11"/>
  <c r="I83" i="11"/>
  <c r="J37" i="11"/>
  <c r="G37" i="11"/>
  <c r="F37" i="11"/>
  <c r="B37" i="11"/>
  <c r="A37" i="11"/>
  <c r="E37" i="11"/>
  <c r="C37" i="11"/>
  <c r="D37" i="11"/>
  <c r="H61" i="13"/>
  <c r="G61" i="13"/>
  <c r="F61" i="13"/>
  <c r="E61" i="13"/>
  <c r="A61" i="13"/>
  <c r="N61" i="13"/>
  <c r="L61" i="13"/>
  <c r="D61" i="13"/>
  <c r="C61" i="13"/>
  <c r="K61" i="13"/>
  <c r="J61" i="13"/>
  <c r="I61" i="13"/>
  <c r="B61" i="13"/>
  <c r="K55" i="11"/>
  <c r="G55" i="11"/>
  <c r="N55" i="11"/>
  <c r="L55" i="11"/>
  <c r="J55" i="11"/>
  <c r="D55" i="11"/>
  <c r="A55" i="11"/>
  <c r="H55" i="11"/>
  <c r="B55" i="11"/>
  <c r="I20" i="22"/>
  <c r="E20" i="22"/>
  <c r="D20" i="22"/>
  <c r="A20" i="22"/>
  <c r="K102" i="10"/>
  <c r="L102" i="10"/>
  <c r="C102" i="10"/>
  <c r="N102" i="10"/>
  <c r="J102" i="10"/>
  <c r="I102" i="10"/>
  <c r="B102" i="10"/>
  <c r="G102" i="10"/>
  <c r="F102" i="10"/>
  <c r="G32" i="12"/>
  <c r="D32" i="12"/>
  <c r="K32" i="12"/>
  <c r="E32" i="12"/>
  <c r="N23" i="13"/>
  <c r="L23" i="13"/>
  <c r="K23" i="13"/>
  <c r="I23" i="13"/>
  <c r="J23" i="13"/>
  <c r="H23" i="13"/>
  <c r="F23" i="13"/>
  <c r="B23" i="13"/>
  <c r="A23" i="13"/>
  <c r="G23" i="13"/>
  <c r="E23" i="13"/>
  <c r="D23" i="13"/>
  <c r="C23" i="13"/>
  <c r="N48" i="12"/>
  <c r="H48" i="12"/>
  <c r="G48" i="12"/>
  <c r="F48" i="12"/>
  <c r="I48" i="12"/>
  <c r="L48" i="12"/>
  <c r="K48" i="12"/>
  <c r="E48" i="12"/>
  <c r="D48" i="12"/>
  <c r="C48" i="12"/>
  <c r="B48" i="12"/>
  <c r="J48" i="12"/>
  <c r="A48" i="12"/>
  <c r="N48" i="13"/>
  <c r="H48" i="13"/>
  <c r="E48" i="13"/>
  <c r="L48" i="13"/>
  <c r="H40" i="12"/>
  <c r="N40" i="12"/>
  <c r="I40" i="12"/>
  <c r="K40" i="12"/>
  <c r="A40" i="12"/>
  <c r="F40" i="12"/>
  <c r="G40" i="12"/>
  <c r="E40" i="12"/>
  <c r="D40" i="12"/>
  <c r="C40" i="12"/>
  <c r="B40" i="12"/>
  <c r="N45" i="15"/>
  <c r="D45" i="15"/>
  <c r="B45" i="15"/>
  <c r="A45" i="15"/>
  <c r="B87" i="16"/>
  <c r="C87" i="16"/>
  <c r="K87" i="16"/>
  <c r="N70" i="16"/>
  <c r="I70" i="16"/>
  <c r="A70" i="16"/>
  <c r="B26" i="12"/>
  <c r="J26" i="12"/>
  <c r="K26" i="12"/>
  <c r="I26" i="12"/>
  <c r="F86" i="15"/>
  <c r="D86" i="15"/>
  <c r="C86" i="15"/>
  <c r="B86" i="15"/>
  <c r="K86" i="15"/>
  <c r="J86" i="15"/>
  <c r="I86" i="15"/>
  <c r="A86" i="15"/>
  <c r="L86" i="15"/>
  <c r="N86" i="15"/>
  <c r="H86" i="15"/>
  <c r="G86" i="15"/>
  <c r="B80" i="13"/>
  <c r="A80" i="13"/>
  <c r="N80" i="13"/>
  <c r="L80" i="13"/>
  <c r="J80" i="13"/>
  <c r="D80" i="13"/>
  <c r="K80" i="13"/>
  <c r="C80" i="13"/>
  <c r="H80" i="13"/>
  <c r="F80" i="13"/>
  <c r="J12" i="16"/>
  <c r="N12" i="16"/>
  <c r="K12" i="16"/>
  <c r="F12" i="16"/>
  <c r="C122" i="11"/>
  <c r="D122" i="11"/>
  <c r="K122" i="11"/>
  <c r="I122" i="11"/>
  <c r="F122" i="11"/>
  <c r="A122" i="11"/>
  <c r="E122" i="11"/>
  <c r="N122" i="11"/>
  <c r="G122" i="11"/>
  <c r="B122" i="11"/>
  <c r="L105" i="13"/>
  <c r="M105" i="13"/>
  <c r="D105" i="13"/>
  <c r="G105" i="13"/>
  <c r="K80" i="14"/>
  <c r="G80" i="14"/>
  <c r="F80" i="14"/>
  <c r="E80" i="14"/>
  <c r="N80" i="14"/>
  <c r="J80" i="14"/>
  <c r="H80" i="14"/>
  <c r="C80" i="14"/>
  <c r="A80" i="14"/>
  <c r="D80" i="14"/>
  <c r="N118" i="16"/>
  <c r="F118" i="16"/>
  <c r="A118" i="16"/>
  <c r="M118" i="16"/>
  <c r="L118" i="16"/>
  <c r="D118" i="16"/>
  <c r="K32" i="20"/>
  <c r="A32" i="20"/>
  <c r="B32" i="20"/>
  <c r="D32" i="20"/>
  <c r="J32" i="20"/>
  <c r="I32" i="20"/>
  <c r="H32" i="20"/>
  <c r="F32" i="20"/>
  <c r="N32" i="20"/>
  <c r="E32" i="20"/>
  <c r="C32" i="20"/>
  <c r="N67" i="15"/>
  <c r="I67" i="15"/>
  <c r="F67" i="15"/>
  <c r="E67" i="15"/>
  <c r="A67" i="15"/>
  <c r="C67" i="15"/>
  <c r="B23" i="17"/>
  <c r="J23" i="17"/>
  <c r="N23" i="17"/>
  <c r="C23" i="17"/>
  <c r="N67" i="16"/>
  <c r="C67" i="16"/>
  <c r="I67" i="16"/>
  <c r="E67" i="16"/>
  <c r="J67" i="16"/>
  <c r="A67" i="16"/>
  <c r="F67" i="16"/>
  <c r="L67" i="16"/>
  <c r="D67" i="16"/>
  <c r="L102" i="16"/>
  <c r="F102" i="16"/>
  <c r="N102" i="16"/>
  <c r="B102" i="16"/>
  <c r="J102" i="16"/>
  <c r="K102" i="16"/>
  <c r="A102" i="16"/>
  <c r="L129" i="17"/>
  <c r="E129" i="17"/>
  <c r="N129" i="17"/>
  <c r="J129" i="17"/>
  <c r="D129" i="17"/>
  <c r="F129" i="17"/>
  <c r="A15" i="16"/>
  <c r="H15" i="16"/>
  <c r="K15" i="16"/>
  <c r="J15" i="16"/>
  <c r="B15" i="16"/>
  <c r="G15" i="16"/>
  <c r="C15" i="16"/>
  <c r="J14" i="18"/>
  <c r="C14" i="18"/>
  <c r="G14" i="18"/>
  <c r="F14" i="18"/>
  <c r="N67" i="11"/>
  <c r="K67" i="11"/>
  <c r="G67" i="11"/>
  <c r="F67" i="11"/>
  <c r="E67" i="11"/>
  <c r="D67" i="11"/>
  <c r="B67" i="11"/>
  <c r="H67" i="11"/>
  <c r="C67" i="11"/>
  <c r="A67" i="11"/>
  <c r="I67" i="11"/>
  <c r="L67" i="11"/>
  <c r="J51" i="11"/>
  <c r="D83" i="11"/>
  <c r="I119" i="10"/>
  <c r="F97" i="10"/>
  <c r="E52" i="13"/>
  <c r="K38" i="10"/>
  <c r="L66" i="12"/>
  <c r="K66" i="12"/>
  <c r="J66" i="12"/>
  <c r="D66" i="12"/>
  <c r="N66" i="12"/>
  <c r="I66" i="12"/>
  <c r="G66" i="12"/>
  <c r="F66" i="12"/>
  <c r="E66" i="12"/>
  <c r="C66" i="12"/>
  <c r="H66" i="12"/>
  <c r="B66" i="12"/>
  <c r="I33" i="13"/>
  <c r="E33" i="13"/>
  <c r="A33" i="13"/>
  <c r="K43" i="14"/>
  <c r="J43" i="14"/>
  <c r="F43" i="14"/>
  <c r="D43" i="14"/>
  <c r="C43" i="14"/>
  <c r="B43" i="14"/>
  <c r="H43" i="14"/>
  <c r="I43" i="14"/>
  <c r="G43" i="14"/>
  <c r="A43" i="14"/>
  <c r="N68" i="10"/>
  <c r="K68" i="10"/>
  <c r="L68" i="10"/>
  <c r="I68" i="10"/>
  <c r="D68" i="10"/>
  <c r="N52" i="10"/>
  <c r="J52" i="10"/>
  <c r="I52" i="10"/>
  <c r="D52" i="10"/>
  <c r="I56" i="12"/>
  <c r="H56" i="12"/>
  <c r="G56" i="12"/>
  <c r="N56" i="12"/>
  <c r="D56" i="12"/>
  <c r="L56" i="12"/>
  <c r="K56" i="12"/>
  <c r="J56" i="12"/>
  <c r="F56" i="12"/>
  <c r="E56" i="12"/>
  <c r="C59" i="13"/>
  <c r="J59" i="13"/>
  <c r="I59" i="13"/>
  <c r="H59" i="13"/>
  <c r="F59" i="13"/>
  <c r="E59" i="13"/>
  <c r="D59" i="13"/>
  <c r="B59" i="13"/>
  <c r="G59" i="13"/>
  <c r="A59" i="13"/>
  <c r="N113" i="11"/>
  <c r="C113" i="11"/>
  <c r="A113" i="11"/>
  <c r="M113" i="11"/>
  <c r="J113" i="11"/>
  <c r="H113" i="11"/>
  <c r="E113" i="11"/>
  <c r="B113" i="11"/>
  <c r="K113" i="11"/>
  <c r="I73" i="13"/>
  <c r="H73" i="13"/>
  <c r="E73" i="13"/>
  <c r="D73" i="13"/>
  <c r="C73" i="13"/>
  <c r="J61" i="11"/>
  <c r="C61" i="11"/>
  <c r="E61" i="11"/>
  <c r="N61" i="11"/>
  <c r="H61" i="11"/>
  <c r="I23" i="10"/>
  <c r="F23" i="10"/>
  <c r="E23" i="10"/>
  <c r="D23" i="10"/>
  <c r="N23" i="10"/>
  <c r="L23" i="10"/>
  <c r="K23" i="10"/>
  <c r="J23" i="10"/>
  <c r="H23" i="10"/>
  <c r="G23" i="10"/>
  <c r="C23" i="10"/>
  <c r="B23" i="10"/>
  <c r="A23" i="10"/>
  <c r="L105" i="10"/>
  <c r="N105" i="10"/>
  <c r="J105" i="10"/>
  <c r="I105" i="10"/>
  <c r="H105" i="10"/>
  <c r="F105" i="10"/>
  <c r="E105" i="10"/>
  <c r="K105" i="10"/>
  <c r="C105" i="10"/>
  <c r="B105" i="10"/>
  <c r="G105" i="10"/>
  <c r="N74" i="12"/>
  <c r="K74" i="12"/>
  <c r="G74" i="12"/>
  <c r="D74" i="12"/>
  <c r="L74" i="12"/>
  <c r="J74" i="12"/>
  <c r="I74" i="12"/>
  <c r="H74" i="12"/>
  <c r="F74" i="12"/>
  <c r="E74" i="12"/>
  <c r="C74" i="12"/>
  <c r="B74" i="12"/>
  <c r="N94" i="13"/>
  <c r="K94" i="13"/>
  <c r="D94" i="13"/>
  <c r="H94" i="13"/>
  <c r="N54" i="12"/>
  <c r="I54" i="12"/>
  <c r="K54" i="12"/>
  <c r="B54" i="12"/>
  <c r="E54" i="12"/>
  <c r="L54" i="12"/>
  <c r="C54" i="12"/>
  <c r="D79" i="13"/>
  <c r="B79" i="13"/>
  <c r="A79" i="13"/>
  <c r="L79" i="13"/>
  <c r="N79" i="13"/>
  <c r="K79" i="13"/>
  <c r="J79" i="13"/>
  <c r="I79" i="13"/>
  <c r="F79" i="13"/>
  <c r="H79" i="13"/>
  <c r="I53" i="12"/>
  <c r="G53" i="12"/>
  <c r="A53" i="12"/>
  <c r="L122" i="17"/>
  <c r="G122" i="17"/>
  <c r="H122" i="17"/>
  <c r="K122" i="17"/>
  <c r="D122" i="17"/>
  <c r="B122" i="17"/>
  <c r="A122" i="17"/>
  <c r="F122" i="17"/>
  <c r="N122" i="17"/>
  <c r="E122" i="17"/>
  <c r="E57" i="15"/>
  <c r="J57" i="15"/>
  <c r="I87" i="17"/>
  <c r="C87" i="17"/>
  <c r="H87" i="17"/>
  <c r="F87" i="17"/>
  <c r="D87" i="17"/>
  <c r="K87" i="17"/>
  <c r="A87" i="17"/>
  <c r="N87" i="17"/>
  <c r="J87" i="17"/>
  <c r="B87" i="17"/>
  <c r="D59" i="12"/>
  <c r="A59" i="12"/>
  <c r="N59" i="12"/>
  <c r="L59" i="12"/>
  <c r="K59" i="12"/>
  <c r="J59" i="12"/>
  <c r="H59" i="12"/>
  <c r="B59" i="12"/>
  <c r="D123" i="15"/>
  <c r="N123" i="15"/>
  <c r="I123" i="15"/>
  <c r="E123" i="15"/>
  <c r="J123" i="15"/>
  <c r="H123" i="15"/>
  <c r="G123" i="15"/>
  <c r="C118" i="13"/>
  <c r="N118" i="13"/>
  <c r="M118" i="13"/>
  <c r="K118" i="13"/>
  <c r="J118" i="13"/>
  <c r="H118" i="13"/>
  <c r="I118" i="13"/>
  <c r="G118" i="13"/>
  <c r="F118" i="13"/>
  <c r="E118" i="13"/>
  <c r="B118" i="13"/>
  <c r="A118" i="13"/>
  <c r="L118" i="13"/>
  <c r="D118" i="13"/>
  <c r="K31" i="16"/>
  <c r="H31" i="16"/>
  <c r="J31" i="16"/>
  <c r="I31" i="16"/>
  <c r="G31" i="16"/>
  <c r="A31" i="16"/>
  <c r="D31" i="16"/>
  <c r="K21" i="12"/>
  <c r="F21" i="12"/>
  <c r="C21" i="12"/>
  <c r="B21" i="12"/>
  <c r="D21" i="12"/>
  <c r="E21" i="12"/>
  <c r="N112" i="13"/>
  <c r="L112" i="13"/>
  <c r="F112" i="13"/>
  <c r="C112" i="13"/>
  <c r="M112" i="13"/>
  <c r="J112" i="13"/>
  <c r="D101" i="14"/>
  <c r="I101" i="14"/>
  <c r="G101" i="14"/>
  <c r="N101" i="14"/>
  <c r="E101" i="14"/>
  <c r="A101" i="14"/>
  <c r="B101" i="14"/>
  <c r="J41" i="17"/>
  <c r="F41" i="17"/>
  <c r="H54" i="14"/>
  <c r="N54" i="14"/>
  <c r="D54" i="14"/>
  <c r="C54" i="14"/>
  <c r="B54" i="14"/>
  <c r="A54" i="14"/>
  <c r="J54" i="14"/>
  <c r="L54" i="14"/>
  <c r="K54" i="14"/>
  <c r="I54" i="14"/>
  <c r="G54" i="14"/>
  <c r="F54" i="14"/>
  <c r="E54" i="14"/>
  <c r="J91" i="15"/>
  <c r="G91" i="15"/>
  <c r="A91" i="15"/>
  <c r="N34" i="14"/>
  <c r="K34" i="14"/>
  <c r="J34" i="14"/>
  <c r="I34" i="14"/>
  <c r="H34" i="14"/>
  <c r="B34" i="14"/>
  <c r="K95" i="16"/>
  <c r="L95" i="16"/>
  <c r="A127" i="16"/>
  <c r="F127" i="16"/>
  <c r="K127" i="16"/>
  <c r="C29" i="18"/>
  <c r="J29" i="18"/>
  <c r="I29" i="18"/>
  <c r="K29" i="18"/>
  <c r="G29" i="18"/>
  <c r="F29" i="18"/>
  <c r="B29" i="18"/>
  <c r="N30" i="16"/>
  <c r="F30" i="16"/>
  <c r="A30" i="16"/>
  <c r="K30" i="16"/>
  <c r="J30" i="16"/>
  <c r="I30" i="16"/>
  <c r="P62" i="5"/>
  <c r="I74" i="15"/>
  <c r="K74" i="15"/>
  <c r="N74" i="15"/>
  <c r="L74" i="15"/>
  <c r="J74" i="15"/>
  <c r="E74" i="15"/>
  <c r="D74" i="15"/>
  <c r="B74" i="15"/>
  <c r="G74" i="15"/>
  <c r="F74" i="15"/>
  <c r="A71" i="10"/>
  <c r="I71" i="10"/>
  <c r="G71" i="10"/>
  <c r="F71" i="10"/>
  <c r="B71" i="10"/>
  <c r="N71" i="10"/>
  <c r="J71" i="10"/>
  <c r="D65" i="19"/>
  <c r="E102" i="17"/>
  <c r="E60" i="15"/>
  <c r="H60" i="15"/>
  <c r="M39" i="14"/>
  <c r="B70" i="16"/>
  <c r="J48" i="13"/>
  <c r="A26" i="12"/>
  <c r="B32" i="12"/>
  <c r="H97" i="10"/>
  <c r="F52" i="13"/>
  <c r="G52" i="13"/>
  <c r="L38" i="10"/>
  <c r="E37" i="6"/>
  <c r="K131" i="18"/>
  <c r="L62" i="19"/>
  <c r="H43" i="18"/>
  <c r="C19" i="19"/>
  <c r="E65" i="19"/>
  <c r="M122" i="17"/>
  <c r="H102" i="17"/>
  <c r="F51" i="19"/>
  <c r="N14" i="18"/>
  <c r="H126" i="19"/>
  <c r="D41" i="17"/>
  <c r="A57" i="17"/>
  <c r="E16" i="18"/>
  <c r="H74" i="15"/>
  <c r="B53" i="17"/>
  <c r="F60" i="15"/>
  <c r="H47" i="15"/>
  <c r="A101" i="15"/>
  <c r="N105" i="13"/>
  <c r="A123" i="15"/>
  <c r="D70" i="16"/>
  <c r="K48" i="13"/>
  <c r="G48" i="13"/>
  <c r="E12" i="16"/>
  <c r="A21" i="13"/>
  <c r="K92" i="13"/>
  <c r="L37" i="15"/>
  <c r="K57" i="15"/>
  <c r="C26" i="12"/>
  <c r="K33" i="10"/>
  <c r="A46" i="10"/>
  <c r="A69" i="11"/>
  <c r="H55" i="10"/>
  <c r="H37" i="11"/>
  <c r="I91" i="15"/>
  <c r="J97" i="10"/>
  <c r="A52" i="13"/>
  <c r="I61" i="11"/>
  <c r="G61" i="11"/>
  <c r="D38" i="10"/>
  <c r="A129" i="10"/>
  <c r="H17" i="11"/>
  <c r="N49" i="10"/>
  <c r="L49" i="10"/>
  <c r="K49" i="10"/>
  <c r="J49" i="10"/>
  <c r="H49" i="10"/>
  <c r="F49" i="10"/>
  <c r="I49" i="10"/>
  <c r="M9" i="21"/>
  <c r="M20" i="21"/>
  <c r="C65" i="19"/>
  <c r="L102" i="17"/>
  <c r="B51" i="19"/>
  <c r="I126" i="19"/>
  <c r="B67" i="15"/>
  <c r="B57" i="17"/>
  <c r="K67" i="16"/>
  <c r="B118" i="16"/>
  <c r="I45" i="15"/>
  <c r="A47" i="15"/>
  <c r="A105" i="13"/>
  <c r="F70" i="16"/>
  <c r="I48" i="13"/>
  <c r="G121" i="16"/>
  <c r="G12" i="16"/>
  <c r="C21" i="13"/>
  <c r="N60" i="11"/>
  <c r="N37" i="15"/>
  <c r="L57" i="15"/>
  <c r="E26" i="12"/>
  <c r="D71" i="10"/>
  <c r="K37" i="11"/>
  <c r="N91" i="15"/>
  <c r="B114" i="11"/>
  <c r="D97" i="10"/>
  <c r="D28" i="11"/>
  <c r="B52" i="13"/>
  <c r="K61" i="11"/>
  <c r="L36" i="18"/>
  <c r="B36" i="18"/>
  <c r="A36" i="18"/>
  <c r="C36" i="18"/>
  <c r="H25" i="20"/>
  <c r="A25" i="20"/>
  <c r="J25" i="20"/>
  <c r="N25" i="20"/>
  <c r="N118" i="19"/>
  <c r="K118" i="19"/>
  <c r="N36" i="16"/>
  <c r="B36" i="16"/>
  <c r="A36" i="16"/>
  <c r="F36" i="16"/>
  <c r="K113" i="18"/>
  <c r="L113" i="18"/>
  <c r="I113" i="18"/>
  <c r="I23" i="21"/>
  <c r="N23" i="21"/>
  <c r="K23" i="21"/>
  <c r="M128" i="17"/>
  <c r="N128" i="17"/>
  <c r="N49" i="12"/>
  <c r="E49" i="12"/>
  <c r="A49" i="12"/>
  <c r="H65" i="19"/>
  <c r="D39" i="17"/>
  <c r="E57" i="17"/>
  <c r="I27" i="14"/>
  <c r="F40" i="15"/>
  <c r="M121" i="12"/>
  <c r="C70" i="16"/>
  <c r="D104" i="13"/>
  <c r="D21" i="13"/>
  <c r="G32" i="11"/>
  <c r="B60" i="11"/>
  <c r="D69" i="11"/>
  <c r="H26" i="12"/>
  <c r="H102" i="10"/>
  <c r="N37" i="11"/>
  <c r="C85" i="11"/>
  <c r="N50" i="17"/>
  <c r="D50" i="17"/>
  <c r="I50" i="17"/>
  <c r="J50" i="17"/>
  <c r="H50" i="17"/>
  <c r="G50" i="17"/>
  <c r="F50" i="17"/>
  <c r="E50" i="17"/>
  <c r="B50" i="17"/>
  <c r="C50" i="17"/>
  <c r="N16" i="19"/>
  <c r="F16" i="19"/>
  <c r="L16" i="19"/>
  <c r="N43" i="18"/>
  <c r="J43" i="18"/>
  <c r="I43" i="18"/>
  <c r="C43" i="18"/>
  <c r="F43" i="18"/>
  <c r="D43" i="18"/>
  <c r="G43" i="18"/>
  <c r="C10" i="21"/>
  <c r="K10" i="21"/>
  <c r="E10" i="21"/>
  <c r="I10" i="21"/>
  <c r="J10" i="21"/>
  <c r="G10" i="21"/>
  <c r="N10" i="21"/>
  <c r="L10" i="21"/>
  <c r="F10" i="21"/>
  <c r="D10" i="21"/>
  <c r="B10" i="21"/>
  <c r="D9" i="20"/>
  <c r="I9" i="20"/>
  <c r="L9" i="20"/>
  <c r="B9" i="20"/>
  <c r="E9" i="20"/>
  <c r="A9" i="20"/>
  <c r="N9" i="20"/>
  <c r="K9" i="20"/>
  <c r="J9" i="20"/>
  <c r="F9" i="20"/>
  <c r="C9" i="20"/>
  <c r="G9" i="20"/>
  <c r="F53" i="16"/>
  <c r="A53" i="16"/>
  <c r="D131" i="18"/>
  <c r="J131" i="18"/>
  <c r="N131" i="18"/>
  <c r="M131" i="18"/>
  <c r="E131" i="18"/>
  <c r="K14" i="19"/>
  <c r="F14" i="19"/>
  <c r="A14" i="19"/>
  <c r="N73" i="16"/>
  <c r="E73" i="16"/>
  <c r="K73" i="16"/>
  <c r="B73" i="16"/>
  <c r="A73" i="16"/>
  <c r="I73" i="16"/>
  <c r="G73" i="16"/>
  <c r="D73" i="16"/>
  <c r="C73" i="16"/>
  <c r="J73" i="16"/>
  <c r="G35" i="18"/>
  <c r="A35" i="18"/>
  <c r="F35" i="18"/>
  <c r="N35" i="18"/>
  <c r="L35" i="18"/>
  <c r="I35" i="18"/>
  <c r="J35" i="18"/>
  <c r="D35" i="18"/>
  <c r="N119" i="17"/>
  <c r="H119" i="17"/>
  <c r="D119" i="17"/>
  <c r="I119" i="17"/>
  <c r="F119" i="17"/>
  <c r="C119" i="17"/>
  <c r="K119" i="17"/>
  <c r="A119" i="17"/>
  <c r="B119" i="17"/>
  <c r="K116" i="10"/>
  <c r="I116" i="10"/>
  <c r="N116" i="10"/>
  <c r="M116" i="10"/>
  <c r="L116" i="10"/>
  <c r="H116" i="10"/>
  <c r="P34" i="5"/>
  <c r="M37" i="5"/>
  <c r="N54" i="10"/>
  <c r="L54" i="10"/>
  <c r="K54" i="10"/>
  <c r="J54" i="10"/>
  <c r="H54" i="10"/>
  <c r="N97" i="10"/>
  <c r="B97" i="10"/>
  <c r="I97" i="10"/>
  <c r="N46" i="10"/>
  <c r="E46" i="10"/>
  <c r="C46" i="10"/>
  <c r="B46" i="10"/>
  <c r="I46" i="10"/>
  <c r="H46" i="10"/>
  <c r="G46" i="10"/>
  <c r="F46" i="10"/>
  <c r="N90" i="11"/>
  <c r="K90" i="11"/>
  <c r="H90" i="11"/>
  <c r="B90" i="11"/>
  <c r="J88" i="10"/>
  <c r="N88" i="10"/>
  <c r="K88" i="10"/>
  <c r="I88" i="10"/>
  <c r="L88" i="10"/>
  <c r="F88" i="10"/>
  <c r="E88" i="10"/>
  <c r="A88" i="10"/>
  <c r="A115" i="10"/>
  <c r="B115" i="10"/>
  <c r="L115" i="10"/>
  <c r="J115" i="10"/>
  <c r="I115" i="10"/>
  <c r="H115" i="10"/>
  <c r="G115" i="10"/>
  <c r="N115" i="10"/>
  <c r="M115" i="10"/>
  <c r="K115" i="10"/>
  <c r="F115" i="10"/>
  <c r="E115" i="10"/>
  <c r="D115" i="10"/>
  <c r="C115" i="10"/>
  <c r="N119" i="10"/>
  <c r="K119" i="10"/>
  <c r="F119" i="10"/>
  <c r="A119" i="10"/>
  <c r="B119" i="10"/>
  <c r="M119" i="10"/>
  <c r="L28" i="11"/>
  <c r="J28" i="11"/>
  <c r="G28" i="11"/>
  <c r="A28" i="11"/>
  <c r="C28" i="11"/>
  <c r="C116" i="14"/>
  <c r="H116" i="14"/>
  <c r="M116" i="14"/>
  <c r="L116" i="14"/>
  <c r="J116" i="14"/>
  <c r="F116" i="14"/>
  <c r="G116" i="14"/>
  <c r="K116" i="14"/>
  <c r="E116" i="14"/>
  <c r="D116" i="14"/>
  <c r="A116" i="14"/>
  <c r="I116" i="14"/>
  <c r="B116" i="14"/>
  <c r="L120" i="10"/>
  <c r="I120" i="10"/>
  <c r="G120" i="10"/>
  <c r="F120" i="10"/>
  <c r="N120" i="10"/>
  <c r="K120" i="10"/>
  <c r="J120" i="10"/>
  <c r="H120" i="10"/>
  <c r="A120" i="10"/>
  <c r="B120" i="10"/>
  <c r="N80" i="12"/>
  <c r="E80" i="12"/>
  <c r="C80" i="12"/>
  <c r="B80" i="12"/>
  <c r="J80" i="12"/>
  <c r="I80" i="12"/>
  <c r="H80" i="12"/>
  <c r="L80" i="12"/>
  <c r="D80" i="12"/>
  <c r="F80" i="12"/>
  <c r="G80" i="12"/>
  <c r="N15" i="10"/>
  <c r="K15" i="10"/>
  <c r="I15" i="10"/>
  <c r="H15" i="10"/>
  <c r="J15" i="10"/>
  <c r="G15" i="10"/>
  <c r="F15" i="10"/>
  <c r="E15" i="10"/>
  <c r="D15" i="10"/>
  <c r="C15" i="10"/>
  <c r="B15" i="10"/>
  <c r="A15" i="10"/>
  <c r="N14" i="11"/>
  <c r="K14" i="11"/>
  <c r="I14" i="11"/>
  <c r="F14" i="11"/>
  <c r="D14" i="11"/>
  <c r="B14" i="11"/>
  <c r="A14" i="11"/>
  <c r="E14" i="11"/>
  <c r="C14" i="11"/>
  <c r="M113" i="12"/>
  <c r="N113" i="12"/>
  <c r="K113" i="12"/>
  <c r="J113" i="12"/>
  <c r="H113" i="12"/>
  <c r="B113" i="12"/>
  <c r="L113" i="12"/>
  <c r="E113" i="12"/>
  <c r="G39" i="15"/>
  <c r="L39" i="15"/>
  <c r="K39" i="15"/>
  <c r="J39" i="15"/>
  <c r="N55" i="13"/>
  <c r="D55" i="13"/>
  <c r="B55" i="13"/>
  <c r="C55" i="13"/>
  <c r="A55" i="13"/>
  <c r="J55" i="13"/>
  <c r="K55" i="13"/>
  <c r="I55" i="13"/>
  <c r="K101" i="15"/>
  <c r="E101" i="15"/>
  <c r="B101" i="15"/>
  <c r="G101" i="15"/>
  <c r="N60" i="15"/>
  <c r="A60" i="15"/>
  <c r="K112" i="14"/>
  <c r="D112" i="14"/>
  <c r="F112" i="14"/>
  <c r="E112" i="14"/>
  <c r="C112" i="14"/>
  <c r="L112" i="14"/>
  <c r="M112" i="14"/>
  <c r="J112" i="14"/>
  <c r="A112" i="14"/>
  <c r="N112" i="14"/>
  <c r="H112" i="14"/>
  <c r="G112" i="14"/>
  <c r="I112" i="14"/>
  <c r="L52" i="13"/>
  <c r="N52" i="13"/>
  <c r="I52" i="13"/>
  <c r="G86" i="13"/>
  <c r="E86" i="13"/>
  <c r="C86" i="13"/>
  <c r="B86" i="13"/>
  <c r="N86" i="13"/>
  <c r="L86" i="13"/>
  <c r="J86" i="13"/>
  <c r="I86" i="13"/>
  <c r="H86" i="13"/>
  <c r="F86" i="13"/>
  <c r="A86" i="13"/>
  <c r="K86" i="13"/>
  <c r="D86" i="13"/>
  <c r="C108" i="14"/>
  <c r="K108" i="14"/>
  <c r="D108" i="14"/>
  <c r="J108" i="14"/>
  <c r="I108" i="14"/>
  <c r="H108" i="14"/>
  <c r="A108" i="14"/>
  <c r="M108" i="14"/>
  <c r="B108" i="14"/>
  <c r="L108" i="14"/>
  <c r="G108" i="14"/>
  <c r="E108" i="14"/>
  <c r="F108" i="14"/>
  <c r="L53" i="17"/>
  <c r="K53" i="17"/>
  <c r="J53" i="17"/>
  <c r="N53" i="17"/>
  <c r="I53" i="17"/>
  <c r="D53" i="17"/>
  <c r="N56" i="13"/>
  <c r="I56" i="13"/>
  <c r="L56" i="13"/>
  <c r="G56" i="13"/>
  <c r="C56" i="13"/>
  <c r="B56" i="13"/>
  <c r="H56" i="13"/>
  <c r="D56" i="13"/>
  <c r="K56" i="13"/>
  <c r="J56" i="13"/>
  <c r="F56" i="13"/>
  <c r="E56" i="13"/>
  <c r="A56" i="13"/>
  <c r="K113" i="14"/>
  <c r="H113" i="14"/>
  <c r="N113" i="14"/>
  <c r="L113" i="14"/>
  <c r="J113" i="14"/>
  <c r="G113" i="14"/>
  <c r="M113" i="14"/>
  <c r="I113" i="14"/>
  <c r="E113" i="14"/>
  <c r="D113" i="14"/>
  <c r="C113" i="14"/>
  <c r="B113" i="14"/>
  <c r="F113" i="14"/>
  <c r="A113" i="14"/>
  <c r="N107" i="15"/>
  <c r="J107" i="15"/>
  <c r="N37" i="14"/>
  <c r="I37" i="14"/>
  <c r="D37" i="14"/>
  <c r="E37" i="14"/>
  <c r="C37" i="14"/>
  <c r="B37" i="14"/>
  <c r="A37" i="14"/>
  <c r="G37" i="14"/>
  <c r="N85" i="16"/>
  <c r="D85" i="16"/>
  <c r="C85" i="16"/>
  <c r="K85" i="16"/>
  <c r="J85" i="16"/>
  <c r="F85" i="16"/>
  <c r="E47" i="16"/>
  <c r="B47" i="16"/>
  <c r="I47" i="16"/>
  <c r="G47" i="16"/>
  <c r="K47" i="16"/>
  <c r="J47" i="16"/>
  <c r="H47" i="16"/>
  <c r="C47" i="16"/>
  <c r="A47" i="16"/>
  <c r="L47" i="16"/>
  <c r="D47" i="16"/>
  <c r="I23" i="19"/>
  <c r="E23" i="19"/>
  <c r="C23" i="19"/>
  <c r="A23" i="19"/>
  <c r="N23" i="19"/>
  <c r="K23" i="19"/>
  <c r="J23" i="19"/>
  <c r="H23" i="19"/>
  <c r="B23" i="19"/>
  <c r="N118" i="18"/>
  <c r="J118" i="18"/>
  <c r="N124" i="15"/>
  <c r="M124" i="15"/>
  <c r="L124" i="15"/>
  <c r="I124" i="15"/>
  <c r="D124" i="15"/>
  <c r="H124" i="15"/>
  <c r="J124" i="15"/>
  <c r="A124" i="15"/>
  <c r="D13" i="17"/>
  <c r="F13" i="17"/>
  <c r="K13" i="17"/>
  <c r="H13" i="17"/>
  <c r="G13" i="17"/>
  <c r="I13" i="17"/>
  <c r="N13" i="17"/>
  <c r="E13" i="17"/>
  <c r="B13" i="17"/>
  <c r="A13" i="17"/>
  <c r="C13" i="17"/>
  <c r="J13" i="17"/>
  <c r="C77" i="17"/>
  <c r="K77" i="17"/>
  <c r="N77" i="17"/>
  <c r="I77" i="17"/>
  <c r="G77" i="17"/>
  <c r="D77" i="17"/>
  <c r="L77" i="17"/>
  <c r="J77" i="17"/>
  <c r="H77" i="17"/>
  <c r="F77" i="17"/>
  <c r="E77" i="17"/>
  <c r="B77" i="17"/>
  <c r="A77" i="17"/>
  <c r="L72" i="10"/>
  <c r="J72" i="10"/>
  <c r="I72" i="10"/>
  <c r="H72" i="10"/>
  <c r="G72" i="10"/>
  <c r="E72" i="10"/>
  <c r="F72" i="10"/>
  <c r="N72" i="10"/>
  <c r="K72" i="10"/>
  <c r="M23" i="21"/>
  <c r="A28" i="19"/>
  <c r="M27" i="19"/>
  <c r="E27" i="14"/>
  <c r="J45" i="15"/>
  <c r="J101" i="15"/>
  <c r="G70" i="16"/>
  <c r="K104" i="13"/>
  <c r="D123" i="12"/>
  <c r="G21" i="13"/>
  <c r="J120" i="11"/>
  <c r="E60" i="11"/>
  <c r="H69" i="11"/>
  <c r="F26" i="12"/>
  <c r="E83" i="11"/>
  <c r="H85" i="11"/>
  <c r="B70" i="10"/>
  <c r="I28" i="11"/>
  <c r="D52" i="13"/>
  <c r="G20" i="8"/>
  <c r="A47" i="10"/>
  <c r="J117" i="17"/>
  <c r="F117" i="17"/>
  <c r="K117" i="17"/>
  <c r="H117" i="17"/>
  <c r="E117" i="17"/>
  <c r="G117" i="17"/>
  <c r="M117" i="17"/>
  <c r="N122" i="18"/>
  <c r="I122" i="18"/>
  <c r="G122" i="18"/>
  <c r="A122" i="18"/>
  <c r="K122" i="18"/>
  <c r="H122" i="18"/>
  <c r="D122" i="18"/>
  <c r="N21" i="20"/>
  <c r="B21" i="20"/>
  <c r="F21" i="20"/>
  <c r="J12" i="18"/>
  <c r="G12" i="18"/>
  <c r="E12" i="18"/>
  <c r="H12" i="18"/>
  <c r="I12" i="18"/>
  <c r="D12" i="18"/>
  <c r="G75" i="16"/>
  <c r="K75" i="16"/>
  <c r="J75" i="16"/>
  <c r="C75" i="16"/>
  <c r="I28" i="21"/>
  <c r="C28" i="21"/>
  <c r="H28" i="21"/>
  <c r="G28" i="21"/>
  <c r="F28" i="21"/>
  <c r="B28" i="21"/>
  <c r="I85" i="17"/>
  <c r="B85" i="17"/>
  <c r="G85" i="17"/>
  <c r="E85" i="17"/>
  <c r="D85" i="17"/>
  <c r="C85" i="17"/>
  <c r="K85" i="17"/>
  <c r="H85" i="17"/>
  <c r="F85" i="17"/>
  <c r="N85" i="17"/>
  <c r="N99" i="16"/>
  <c r="L99" i="16"/>
  <c r="K99" i="16"/>
  <c r="J99" i="16"/>
  <c r="I99" i="16"/>
  <c r="B99" i="16"/>
  <c r="N10" i="19"/>
  <c r="G10" i="19"/>
  <c r="L10" i="19"/>
  <c r="H42" i="18"/>
  <c r="G42" i="18"/>
  <c r="D42" i="18"/>
  <c r="F28" i="2"/>
  <c r="C28" i="2"/>
  <c r="F62" i="12"/>
  <c r="I62" i="12"/>
  <c r="N112" i="10"/>
  <c r="M112" i="10"/>
  <c r="J112" i="10"/>
  <c r="I112" i="10"/>
  <c r="E112" i="10"/>
  <c r="A112" i="10"/>
  <c r="B17" i="11"/>
  <c r="K17" i="11"/>
  <c r="I17" i="11"/>
  <c r="G17" i="11"/>
  <c r="E17" i="11"/>
  <c r="N97" i="11"/>
  <c r="F97" i="11"/>
  <c r="H97" i="11"/>
  <c r="F103" i="10"/>
  <c r="E103" i="10"/>
  <c r="D103" i="10"/>
  <c r="N103" i="10"/>
  <c r="K103" i="10"/>
  <c r="I103" i="10"/>
  <c r="H103" i="10"/>
  <c r="J103" i="10"/>
  <c r="B103" i="10"/>
  <c r="L130" i="10"/>
  <c r="E130" i="10"/>
  <c r="D130" i="10"/>
  <c r="C130" i="10"/>
  <c r="B130" i="10"/>
  <c r="N130" i="10"/>
  <c r="I130" i="10"/>
  <c r="H130" i="10"/>
  <c r="G130" i="10"/>
  <c r="A130" i="10"/>
  <c r="L22" i="11"/>
  <c r="N22" i="11"/>
  <c r="K22" i="11"/>
  <c r="J22" i="11"/>
  <c r="G22" i="11"/>
  <c r="F22" i="11"/>
  <c r="I22" i="11"/>
  <c r="E22" i="11"/>
  <c r="A22" i="11"/>
  <c r="N86" i="11"/>
  <c r="K86" i="11"/>
  <c r="H86" i="11"/>
  <c r="G86" i="11"/>
  <c r="F86" i="11"/>
  <c r="E86" i="11"/>
  <c r="B86" i="11"/>
  <c r="J86" i="11"/>
  <c r="I86" i="11"/>
  <c r="C86" i="11"/>
  <c r="D86" i="11"/>
  <c r="N43" i="11"/>
  <c r="B43" i="11"/>
  <c r="L43" i="11"/>
  <c r="I43" i="11"/>
  <c r="H43" i="11"/>
  <c r="G43" i="11"/>
  <c r="F43" i="11"/>
  <c r="K43" i="11"/>
  <c r="D43" i="11"/>
  <c r="A43" i="11"/>
  <c r="C43" i="11"/>
  <c r="N129" i="10"/>
  <c r="J129" i="10"/>
  <c r="F129" i="10"/>
  <c r="E129" i="10"/>
  <c r="D129" i="10"/>
  <c r="J94" i="12"/>
  <c r="H94" i="12"/>
  <c r="G94" i="12"/>
  <c r="D94" i="12"/>
  <c r="E94" i="12"/>
  <c r="I94" i="12"/>
  <c r="N94" i="12"/>
  <c r="K94" i="12"/>
  <c r="L27" i="10"/>
  <c r="D27" i="10"/>
  <c r="F17" i="13"/>
  <c r="B17" i="13"/>
  <c r="L17" i="13"/>
  <c r="C17" i="13"/>
  <c r="A17" i="13"/>
  <c r="N17" i="13"/>
  <c r="M118" i="12"/>
  <c r="N118" i="12"/>
  <c r="L118" i="12"/>
  <c r="E118" i="12"/>
  <c r="I118" i="12"/>
  <c r="K118" i="12"/>
  <c r="D118" i="12"/>
  <c r="A118" i="12"/>
  <c r="N21" i="14"/>
  <c r="I21" i="14"/>
  <c r="G21" i="14"/>
  <c r="E21" i="14"/>
  <c r="D21" i="14"/>
  <c r="B21" i="14"/>
  <c r="K21" i="14"/>
  <c r="C21" i="14"/>
  <c r="A21" i="14"/>
  <c r="J60" i="13"/>
  <c r="K60" i="13"/>
  <c r="N122" i="15"/>
  <c r="M122" i="15"/>
  <c r="J122" i="15"/>
  <c r="I122" i="15"/>
  <c r="H122" i="15"/>
  <c r="B122" i="15"/>
  <c r="I109" i="15"/>
  <c r="N109" i="15"/>
  <c r="L109" i="15"/>
  <c r="K109" i="15"/>
  <c r="C109" i="15"/>
  <c r="J109" i="15"/>
  <c r="A109" i="15"/>
  <c r="N125" i="14"/>
  <c r="D125" i="14"/>
  <c r="B125" i="14"/>
  <c r="A125" i="14"/>
  <c r="M125" i="14"/>
  <c r="I125" i="14"/>
  <c r="G125" i="14"/>
  <c r="E125" i="14"/>
  <c r="G58" i="13"/>
  <c r="C58" i="13"/>
  <c r="H58" i="13"/>
  <c r="A23" i="14"/>
  <c r="N23" i="14"/>
  <c r="G23" i="14"/>
  <c r="C23" i="14"/>
  <c r="H23" i="14"/>
  <c r="I42" i="15"/>
  <c r="K42" i="15"/>
  <c r="N42" i="15"/>
  <c r="L42" i="15"/>
  <c r="J42" i="15"/>
  <c r="E42" i="15"/>
  <c r="D42" i="15"/>
  <c r="B42" i="15"/>
  <c r="G42" i="15"/>
  <c r="F42" i="15"/>
  <c r="I68" i="13"/>
  <c r="A68" i="13"/>
  <c r="B68" i="13"/>
  <c r="C68" i="13"/>
  <c r="E68" i="13"/>
  <c r="N92" i="13"/>
  <c r="J92" i="13"/>
  <c r="B92" i="13"/>
  <c r="N17" i="15"/>
  <c r="A17" i="15"/>
  <c r="K17" i="15"/>
  <c r="J17" i="15"/>
  <c r="I17" i="15"/>
  <c r="G17" i="15"/>
  <c r="C17" i="15"/>
  <c r="L17" i="15"/>
  <c r="M126" i="15"/>
  <c r="N126" i="15"/>
  <c r="D126" i="15"/>
  <c r="C126" i="15"/>
  <c r="B126" i="15"/>
  <c r="L126" i="15"/>
  <c r="K126" i="15"/>
  <c r="J126" i="15"/>
  <c r="I126" i="15"/>
  <c r="H126" i="15"/>
  <c r="G126" i="15"/>
  <c r="F126" i="15"/>
  <c r="A126" i="15"/>
  <c r="K48" i="14"/>
  <c r="N48" i="14"/>
  <c r="J48" i="14"/>
  <c r="D48" i="14"/>
  <c r="E48" i="14"/>
  <c r="G48" i="14"/>
  <c r="F48" i="14"/>
  <c r="A48" i="14"/>
  <c r="H48" i="14"/>
  <c r="C48" i="14"/>
  <c r="L44" i="17"/>
  <c r="H44" i="17"/>
  <c r="F44" i="17"/>
  <c r="B44" i="17"/>
  <c r="L100" i="16"/>
  <c r="A100" i="16"/>
  <c r="G100" i="16"/>
  <c r="D100" i="16"/>
  <c r="B100" i="16"/>
  <c r="N100" i="16"/>
  <c r="I50" i="15"/>
  <c r="H50" i="15"/>
  <c r="N50" i="15"/>
  <c r="L50" i="15"/>
  <c r="B50" i="15"/>
  <c r="K50" i="15"/>
  <c r="F50" i="15"/>
  <c r="E50" i="15"/>
  <c r="D50" i="15"/>
  <c r="J50" i="15"/>
  <c r="G50" i="15"/>
  <c r="A50" i="15"/>
  <c r="N43" i="16"/>
  <c r="I43" i="16"/>
  <c r="E43" i="16"/>
  <c r="L43" i="16"/>
  <c r="J43" i="16"/>
  <c r="F43" i="16"/>
  <c r="H43" i="16"/>
  <c r="G43" i="16"/>
  <c r="C43" i="16"/>
  <c r="A43" i="16"/>
  <c r="K43" i="16"/>
  <c r="D43" i="16"/>
  <c r="N38" i="17"/>
  <c r="J38" i="17"/>
  <c r="I38" i="17"/>
  <c r="H38" i="17"/>
  <c r="K38" i="17"/>
  <c r="L38" i="17"/>
  <c r="C32" i="16"/>
  <c r="E32" i="16"/>
  <c r="D32" i="16"/>
  <c r="B32" i="16"/>
  <c r="N32" i="16"/>
  <c r="A32" i="16"/>
  <c r="K32" i="16"/>
  <c r="J32" i="16"/>
  <c r="I32" i="16"/>
  <c r="H32" i="16"/>
  <c r="G32" i="16"/>
  <c r="F32" i="16"/>
  <c r="N55" i="17"/>
  <c r="H55" i="17"/>
  <c r="E55" i="17"/>
  <c r="G55" i="17"/>
  <c r="A55" i="17"/>
  <c r="M19" i="22"/>
  <c r="D28" i="19"/>
  <c r="M122" i="18"/>
  <c r="J51" i="19"/>
  <c r="N45" i="16"/>
  <c r="J54" i="17"/>
  <c r="C12" i="18"/>
  <c r="H102" i="16"/>
  <c r="B23" i="14"/>
  <c r="I80" i="13"/>
  <c r="B17" i="15"/>
  <c r="C45" i="15"/>
  <c r="L101" i="15"/>
  <c r="B109" i="15"/>
  <c r="C27" i="14"/>
  <c r="M15" i="19"/>
  <c r="D102" i="13"/>
  <c r="E123" i="12"/>
  <c r="B118" i="12"/>
  <c r="J21" i="13"/>
  <c r="G17" i="13"/>
  <c r="K69" i="11"/>
  <c r="G26" i="12"/>
  <c r="H119" i="10"/>
  <c r="L94" i="13"/>
  <c r="B127" i="16"/>
  <c r="J14" i="11"/>
  <c r="H91" i="15"/>
  <c r="E53" i="12"/>
  <c r="F83" i="11"/>
  <c r="I85" i="11"/>
  <c r="C70" i="10"/>
  <c r="N28" i="11"/>
  <c r="E39" i="12"/>
  <c r="E116" i="10"/>
  <c r="B47" i="10"/>
  <c r="Y1341" i="24"/>
  <c r="M19" i="14"/>
  <c r="J11" i="18"/>
  <c r="N11" i="18"/>
  <c r="A11" i="18"/>
  <c r="L11" i="18"/>
  <c r="C11" i="18"/>
  <c r="L74" i="19"/>
  <c r="N74" i="19"/>
  <c r="K74" i="19"/>
  <c r="I74" i="19"/>
  <c r="H74" i="19"/>
  <c r="F74" i="19"/>
  <c r="D74" i="19"/>
  <c r="H21" i="19"/>
  <c r="B21" i="19"/>
  <c r="N21" i="19"/>
  <c r="J21" i="19"/>
  <c r="G21" i="19"/>
  <c r="A21" i="19"/>
  <c r="F21" i="19"/>
  <c r="E21" i="19"/>
  <c r="C21" i="19"/>
  <c r="C26" i="21"/>
  <c r="K26" i="21"/>
  <c r="G26" i="21"/>
  <c r="F26" i="21"/>
  <c r="A26" i="21"/>
  <c r="I26" i="21"/>
  <c r="L26" i="21"/>
  <c r="J26" i="21"/>
  <c r="D26" i="21"/>
  <c r="E26" i="21"/>
  <c r="B26" i="21"/>
  <c r="E44" i="19"/>
  <c r="F44" i="19"/>
  <c r="B44" i="19"/>
  <c r="G44" i="19"/>
  <c r="G22" i="18"/>
  <c r="B22" i="18"/>
  <c r="I22" i="18"/>
  <c r="J22" i="18"/>
  <c r="L22" i="18"/>
  <c r="F22" i="18"/>
  <c r="D22" i="18"/>
  <c r="A22" i="18"/>
  <c r="C22" i="18"/>
  <c r="M113" i="16"/>
  <c r="L113" i="16"/>
  <c r="J113" i="16"/>
  <c r="E113" i="16"/>
  <c r="D113" i="16"/>
  <c r="C113" i="16"/>
  <c r="N113" i="16"/>
  <c r="D96" i="17"/>
  <c r="N96" i="17"/>
  <c r="G96" i="17"/>
  <c r="J96" i="17"/>
  <c r="I96" i="17"/>
  <c r="A96" i="17"/>
  <c r="I106" i="16"/>
  <c r="A106" i="16"/>
  <c r="N106" i="16"/>
  <c r="G106" i="16"/>
  <c r="C106" i="16"/>
  <c r="M106" i="16"/>
  <c r="L106" i="16"/>
  <c r="K106" i="16"/>
  <c r="J106" i="16"/>
  <c r="H106" i="16"/>
  <c r="F106" i="16"/>
  <c r="E106" i="16"/>
  <c r="D106" i="16"/>
  <c r="B106" i="16"/>
  <c r="N35" i="19"/>
  <c r="H35" i="19"/>
  <c r="F35" i="19"/>
  <c r="D35" i="19"/>
  <c r="J56" i="18"/>
  <c r="G56" i="18"/>
  <c r="L56" i="18"/>
  <c r="F56" i="18"/>
  <c r="D56" i="18"/>
  <c r="A56" i="18"/>
  <c r="N56" i="18"/>
  <c r="K56" i="18"/>
  <c r="C56" i="18"/>
  <c r="C102" i="17"/>
  <c r="J60" i="15"/>
  <c r="B39" i="15"/>
  <c r="N101" i="15"/>
  <c r="G121" i="12"/>
  <c r="G123" i="12"/>
  <c r="B21" i="13"/>
  <c r="L69" i="11"/>
  <c r="N26" i="12"/>
  <c r="L74" i="13"/>
  <c r="H83" i="11"/>
  <c r="K85" i="11"/>
  <c r="F70" i="10"/>
  <c r="B28" i="11"/>
  <c r="G39" i="12"/>
  <c r="D47" i="10"/>
  <c r="K47" i="10"/>
  <c r="N15" i="18"/>
  <c r="K15" i="18"/>
  <c r="D15" i="18"/>
  <c r="L15" i="18"/>
  <c r="J15" i="18"/>
  <c r="I15" i="18"/>
  <c r="H15" i="18"/>
  <c r="C15" i="18"/>
  <c r="G15" i="18"/>
  <c r="F15" i="18"/>
  <c r="E15" i="18"/>
  <c r="B15" i="18"/>
  <c r="A15" i="18"/>
  <c r="M124" i="19"/>
  <c r="N124" i="19"/>
  <c r="G119" i="18"/>
  <c r="H119" i="18"/>
  <c r="B119" i="18"/>
  <c r="N51" i="17"/>
  <c r="B51" i="17"/>
  <c r="F51" i="17"/>
  <c r="J51" i="17"/>
  <c r="N16" i="18"/>
  <c r="C16" i="18"/>
  <c r="F16" i="18"/>
  <c r="L16" i="18"/>
  <c r="N108" i="17"/>
  <c r="A108" i="17"/>
  <c r="L108" i="17"/>
  <c r="C108" i="17"/>
  <c r="H108" i="17"/>
  <c r="M108" i="17"/>
  <c r="B108" i="17"/>
  <c r="K108" i="17"/>
  <c r="J108" i="17"/>
  <c r="K121" i="16"/>
  <c r="N121" i="16"/>
  <c r="J31" i="21"/>
  <c r="H31" i="21"/>
  <c r="C31" i="21"/>
  <c r="E31" i="21"/>
  <c r="G31" i="21"/>
  <c r="D31" i="21"/>
  <c r="N31" i="21"/>
  <c r="F31" i="21"/>
  <c r="B31" i="21"/>
  <c r="A31" i="21"/>
  <c r="L31" i="21"/>
  <c r="K31" i="21"/>
  <c r="I31" i="21"/>
  <c r="L82" i="12"/>
  <c r="D13" i="6"/>
  <c r="A20" i="20"/>
  <c r="A19" i="19"/>
  <c r="E45" i="15"/>
  <c r="D101" i="15"/>
  <c r="K98" i="17"/>
  <c r="H123" i="12"/>
  <c r="N69" i="11"/>
  <c r="A74" i="13"/>
  <c r="L122" i="11"/>
  <c r="K83" i="11"/>
  <c r="A85" i="11"/>
  <c r="G70" i="10"/>
  <c r="K97" i="10"/>
  <c r="E28" i="11"/>
  <c r="I39" i="12"/>
  <c r="B54" i="10"/>
  <c r="E47" i="10"/>
  <c r="C33" i="2"/>
  <c r="J58" i="18"/>
  <c r="I58" i="18"/>
  <c r="E58" i="18"/>
  <c r="N58" i="18"/>
  <c r="G58" i="18"/>
  <c r="H58" i="18"/>
  <c r="L58" i="18"/>
  <c r="K58" i="18"/>
  <c r="D58" i="18"/>
  <c r="A58" i="18"/>
  <c r="F58" i="18"/>
  <c r="L43" i="20"/>
  <c r="F43" i="20"/>
  <c r="L95" i="20"/>
  <c r="G95" i="20"/>
  <c r="G86" i="18"/>
  <c r="D86" i="18"/>
  <c r="B86" i="18"/>
  <c r="C29" i="19"/>
  <c r="N29" i="19"/>
  <c r="B29" i="19"/>
  <c r="J69" i="17"/>
  <c r="I69" i="17"/>
  <c r="B69" i="17"/>
  <c r="N69" i="17"/>
  <c r="F69" i="17"/>
  <c r="D69" i="17"/>
  <c r="K69" i="17"/>
  <c r="H69" i="17"/>
  <c r="G69" i="17"/>
  <c r="E69" i="17"/>
  <c r="C69" i="17"/>
  <c r="A69" i="17"/>
  <c r="A61" i="18"/>
  <c r="N61" i="18"/>
  <c r="H129" i="16"/>
  <c r="G129" i="16"/>
  <c r="F129" i="16"/>
  <c r="N129" i="16"/>
  <c r="B129" i="16"/>
  <c r="A129" i="16"/>
  <c r="E129" i="16"/>
  <c r="D129" i="16"/>
  <c r="M129" i="16"/>
  <c r="L129" i="16"/>
  <c r="J129" i="16"/>
  <c r="C129" i="16"/>
  <c r="I129" i="16"/>
  <c r="L9" i="19"/>
  <c r="C9" i="19"/>
  <c r="N78" i="11"/>
  <c r="A78" i="11"/>
  <c r="E78" i="11"/>
  <c r="B78" i="11"/>
  <c r="I78" i="11"/>
  <c r="L111" i="10"/>
  <c r="A111" i="10"/>
  <c r="N111" i="10"/>
  <c r="I111" i="10"/>
  <c r="H111" i="10"/>
  <c r="E111" i="10"/>
  <c r="F111" i="10"/>
  <c r="D111" i="10"/>
  <c r="B111" i="10"/>
  <c r="K111" i="10"/>
  <c r="G45" i="15"/>
  <c r="K45" i="15"/>
  <c r="F101" i="15"/>
  <c r="E99" i="16"/>
  <c r="A87" i="16"/>
  <c r="I123" i="12"/>
  <c r="C20" i="12"/>
  <c r="A60" i="13"/>
  <c r="E43" i="11"/>
  <c r="E120" i="10"/>
  <c r="D62" i="12"/>
  <c r="J17" i="13"/>
  <c r="A58" i="13"/>
  <c r="C119" i="10"/>
  <c r="N53" i="16"/>
  <c r="D74" i="13"/>
  <c r="H122" i="11"/>
  <c r="A83" i="11"/>
  <c r="B85" i="11"/>
  <c r="A70" i="10"/>
  <c r="A39" i="12"/>
  <c r="G17" i="8"/>
  <c r="J17" i="8"/>
  <c r="C54" i="10"/>
  <c r="G116" i="10"/>
  <c r="F47" i="10"/>
  <c r="N42" i="11"/>
  <c r="J42" i="11"/>
  <c r="F42" i="11"/>
  <c r="D42" i="11"/>
  <c r="C42" i="11"/>
  <c r="H38" i="22"/>
  <c r="G20" i="20"/>
  <c r="M10" i="19"/>
  <c r="J14" i="19"/>
  <c r="G16" i="19"/>
  <c r="D10" i="19"/>
  <c r="A124" i="19"/>
  <c r="N19" i="19"/>
  <c r="M14" i="20"/>
  <c r="M102" i="19"/>
  <c r="I122" i="17"/>
  <c r="N51" i="19"/>
  <c r="L87" i="17"/>
  <c r="F108" i="17"/>
  <c r="F55" i="17"/>
  <c r="G30" i="16"/>
  <c r="K67" i="15"/>
  <c r="A54" i="17"/>
  <c r="B80" i="14"/>
  <c r="J101" i="14"/>
  <c r="H45" i="15"/>
  <c r="C109" i="17"/>
  <c r="F122" i="15"/>
  <c r="H17" i="15"/>
  <c r="F37" i="14"/>
  <c r="E85" i="16"/>
  <c r="F99" i="16"/>
  <c r="E44" i="17"/>
  <c r="K73" i="13"/>
  <c r="E94" i="18"/>
  <c r="N68" i="13"/>
  <c r="C79" i="13"/>
  <c r="J102" i="13"/>
  <c r="D87" i="16"/>
  <c r="K123" i="12"/>
  <c r="M121" i="16"/>
  <c r="E52" i="15"/>
  <c r="B60" i="13"/>
  <c r="C33" i="13"/>
  <c r="H62" i="12"/>
  <c r="C114" i="11"/>
  <c r="J60" i="11"/>
  <c r="B58" i="13"/>
  <c r="G119" i="10"/>
  <c r="K53" i="16"/>
  <c r="C69" i="11"/>
  <c r="E87" i="11"/>
  <c r="H71" i="10"/>
  <c r="C74" i="13"/>
  <c r="I55" i="11"/>
  <c r="D119" i="10"/>
  <c r="G127" i="16"/>
  <c r="A112" i="13"/>
  <c r="M122" i="11"/>
  <c r="A55" i="10"/>
  <c r="D85" i="11"/>
  <c r="A52" i="10"/>
  <c r="D39" i="12"/>
  <c r="P5" i="5"/>
  <c r="E54" i="10"/>
  <c r="J116" i="10"/>
  <c r="G47" i="10"/>
  <c r="B22" i="22"/>
  <c r="I102" i="17"/>
  <c r="A51" i="19"/>
  <c r="F45" i="15"/>
  <c r="L60" i="15"/>
  <c r="G27" i="14"/>
  <c r="G99" i="16"/>
  <c r="I44" i="17"/>
  <c r="A119" i="15"/>
  <c r="B98" i="17"/>
  <c r="D68" i="13"/>
  <c r="E87" i="16"/>
  <c r="H121" i="16"/>
  <c r="F52" i="15"/>
  <c r="C60" i="13"/>
  <c r="A113" i="12"/>
  <c r="J62" i="12"/>
  <c r="D58" i="13"/>
  <c r="J119" i="10"/>
  <c r="I53" i="16"/>
  <c r="G60" i="11"/>
  <c r="L55" i="10"/>
  <c r="E74" i="13"/>
  <c r="E85" i="11"/>
  <c r="B52" i="10"/>
  <c r="H39" i="12"/>
  <c r="A90" i="11"/>
  <c r="F54" i="10"/>
  <c r="B88" i="10"/>
  <c r="J47" i="10"/>
  <c r="L88" i="18"/>
  <c r="E88" i="18"/>
  <c r="B88" i="18"/>
  <c r="I88" i="18"/>
  <c r="J88" i="18"/>
  <c r="I10" i="17"/>
  <c r="K10" i="17"/>
  <c r="J10" i="17"/>
  <c r="E10" i="17"/>
  <c r="N10" i="17"/>
  <c r="M10" i="17"/>
  <c r="A10" i="17"/>
  <c r="J33" i="18"/>
  <c r="B33" i="18"/>
  <c r="L33" i="18"/>
  <c r="G33" i="18"/>
  <c r="F33" i="18"/>
  <c r="E33" i="18"/>
  <c r="C33" i="18"/>
  <c r="I33" i="18"/>
  <c r="J25" i="19"/>
  <c r="H25" i="19"/>
  <c r="E25" i="19"/>
  <c r="K25" i="19"/>
  <c r="F25" i="19"/>
  <c r="D25" i="19"/>
  <c r="L25" i="19"/>
  <c r="C25" i="19"/>
  <c r="A81" i="15"/>
  <c r="K81" i="15"/>
  <c r="G81" i="15"/>
  <c r="L81" i="15"/>
  <c r="J81" i="15"/>
  <c r="F81" i="15"/>
  <c r="E81" i="15"/>
  <c r="C81" i="15"/>
  <c r="B81" i="15"/>
  <c r="I81" i="15"/>
  <c r="D81" i="15"/>
  <c r="N81" i="15"/>
  <c r="K15" i="19"/>
  <c r="J15" i="19"/>
  <c r="L15" i="19"/>
  <c r="F91" i="17"/>
  <c r="D91" i="17"/>
  <c r="N115" i="20"/>
  <c r="L115" i="20"/>
  <c r="N27" i="23"/>
  <c r="F22" i="22"/>
  <c r="A39" i="15"/>
  <c r="H99" i="16"/>
  <c r="C98" i="17"/>
  <c r="E55" i="13"/>
  <c r="G87" i="16"/>
  <c r="J52" i="15"/>
  <c r="C48" i="13"/>
  <c r="L60" i="13"/>
  <c r="C113" i="12"/>
  <c r="K62" i="12"/>
  <c r="B22" i="11"/>
  <c r="E58" i="13"/>
  <c r="J53" i="16"/>
  <c r="J74" i="13"/>
  <c r="G46" i="11"/>
  <c r="G85" i="11"/>
  <c r="J39" i="12"/>
  <c r="C90" i="11"/>
  <c r="G54" i="10"/>
  <c r="C88" i="10"/>
  <c r="N100" i="18"/>
  <c r="K100" i="18"/>
  <c r="G100" i="18"/>
  <c r="H100" i="18"/>
  <c r="B100" i="18"/>
  <c r="A100" i="18"/>
  <c r="L16" i="17"/>
  <c r="D16" i="17"/>
  <c r="A16" i="17"/>
  <c r="E16" i="17"/>
  <c r="N16" i="17"/>
  <c r="C16" i="17"/>
  <c r="J16" i="17"/>
  <c r="I16" i="17"/>
  <c r="H31" i="19"/>
  <c r="B31" i="19"/>
  <c r="C31" i="19"/>
  <c r="E31" i="19"/>
  <c r="N31" i="19"/>
  <c r="K31" i="19"/>
  <c r="J31" i="19"/>
  <c r="I31" i="19"/>
  <c r="F31" i="19"/>
  <c r="A31" i="19"/>
  <c r="H15" i="21"/>
  <c r="F15" i="21"/>
  <c r="A15" i="21"/>
  <c r="K15" i="21"/>
  <c r="I15" i="21"/>
  <c r="D15" i="21"/>
  <c r="C15" i="21"/>
  <c r="G15" i="21"/>
  <c r="E15" i="21"/>
  <c r="B15" i="21"/>
  <c r="N15" i="21"/>
  <c r="J15" i="21"/>
  <c r="L15" i="21"/>
  <c r="I26" i="16"/>
  <c r="B26" i="16"/>
  <c r="J26" i="16"/>
  <c r="N26" i="16"/>
  <c r="L26" i="16"/>
  <c r="K26" i="16"/>
  <c r="D26" i="16"/>
  <c r="A26" i="16"/>
  <c r="H26" i="16"/>
  <c r="G26" i="16"/>
  <c r="F26" i="16"/>
  <c r="E26" i="16"/>
  <c r="C26" i="16"/>
  <c r="H30" i="19"/>
  <c r="C30" i="19"/>
  <c r="L30" i="19"/>
  <c r="G30" i="19"/>
  <c r="N30" i="19"/>
  <c r="K30" i="19"/>
  <c r="J30" i="19"/>
  <c r="F30" i="19"/>
  <c r="A30" i="19"/>
  <c r="M113" i="17"/>
  <c r="E113" i="17"/>
  <c r="J113" i="17"/>
  <c r="C113" i="17"/>
  <c r="D113" i="17"/>
  <c r="B113" i="17"/>
  <c r="F113" i="17"/>
  <c r="I113" i="17"/>
  <c r="N113" i="17"/>
  <c r="L24" i="21"/>
  <c r="C24" i="21"/>
  <c r="H24" i="21"/>
  <c r="D24" i="21"/>
  <c r="B24" i="21"/>
  <c r="B27" i="23"/>
  <c r="C20" i="22"/>
  <c r="A22" i="22"/>
  <c r="M16" i="21"/>
  <c r="H51" i="19"/>
  <c r="A128" i="16"/>
  <c r="D39" i="15"/>
  <c r="L45" i="15"/>
  <c r="A99" i="16"/>
  <c r="G98" i="17"/>
  <c r="D40" i="15"/>
  <c r="F55" i="13"/>
  <c r="D121" i="12"/>
  <c r="L102" i="13"/>
  <c r="B121" i="12"/>
  <c r="H87" i="16"/>
  <c r="D52" i="15"/>
  <c r="N60" i="13"/>
  <c r="D113" i="12"/>
  <c r="M20" i="14"/>
  <c r="N62" i="12"/>
  <c r="F58" i="13"/>
  <c r="B53" i="16"/>
  <c r="C55" i="11"/>
  <c r="H14" i="11"/>
  <c r="E119" i="10"/>
  <c r="K46" i="10"/>
  <c r="J46" i="10"/>
  <c r="C103" i="10"/>
  <c r="B112" i="10"/>
  <c r="E52" i="10"/>
  <c r="N39" i="12"/>
  <c r="F90" i="11"/>
  <c r="I54" i="10"/>
  <c r="D88" i="10"/>
  <c r="N20" i="17"/>
  <c r="K20" i="17"/>
  <c r="L20" i="17"/>
  <c r="C20" i="17"/>
  <c r="K79" i="17"/>
  <c r="D79" i="17"/>
  <c r="N79" i="17"/>
  <c r="G79" i="17"/>
  <c r="F79" i="17"/>
  <c r="C79" i="17"/>
  <c r="H79" i="17"/>
  <c r="B79" i="17"/>
  <c r="N28" i="20"/>
  <c r="L28" i="20"/>
  <c r="I19" i="20"/>
  <c r="H19" i="20"/>
  <c r="C19" i="20"/>
  <c r="J46" i="16"/>
  <c r="N46" i="16"/>
  <c r="H46" i="16"/>
  <c r="F46" i="16"/>
  <c r="L46" i="16"/>
  <c r="K46" i="16"/>
  <c r="I46" i="16"/>
  <c r="D46" i="16"/>
  <c r="B46" i="16"/>
  <c r="G46" i="16"/>
  <c r="N13" i="20"/>
  <c r="K13" i="20"/>
  <c r="L127" i="17"/>
  <c r="M127" i="17"/>
  <c r="K127" i="17"/>
  <c r="J13" i="8"/>
  <c r="G13" i="8"/>
  <c r="D27" i="23"/>
  <c r="H20" i="22"/>
  <c r="G22" i="22"/>
  <c r="G128" i="16"/>
  <c r="E39" i="15"/>
  <c r="H27" i="14"/>
  <c r="I98" i="17"/>
  <c r="H55" i="13"/>
  <c r="I87" i="16"/>
  <c r="G52" i="15"/>
  <c r="F48" i="13"/>
  <c r="G113" i="12"/>
  <c r="C62" i="12"/>
  <c r="C53" i="16"/>
  <c r="A32" i="12"/>
  <c r="E55" i="11"/>
  <c r="G103" i="10"/>
  <c r="C112" i="10"/>
  <c r="B97" i="11"/>
  <c r="I90" i="11"/>
  <c r="A54" i="10"/>
  <c r="G88" i="10"/>
  <c r="J27" i="10"/>
  <c r="N26" i="17"/>
  <c r="C26" i="17"/>
  <c r="D26" i="17"/>
  <c r="B26" i="17"/>
  <c r="A26" i="17"/>
  <c r="H26" i="17"/>
  <c r="E26" i="17"/>
  <c r="I26" i="17"/>
  <c r="J26" i="17"/>
  <c r="Y21" i="24"/>
  <c r="M11" i="22"/>
  <c r="H73" i="17"/>
  <c r="E73" i="17"/>
  <c r="F73" i="17"/>
  <c r="N73" i="17"/>
  <c r="B73" i="17"/>
  <c r="L73" i="17"/>
  <c r="I73" i="17"/>
  <c r="G73" i="17"/>
  <c r="A73" i="17"/>
  <c r="N37" i="19"/>
  <c r="F37" i="19"/>
  <c r="A37" i="19"/>
  <c r="L37" i="19"/>
  <c r="I12" i="22"/>
  <c r="C12" i="22"/>
  <c r="G12" i="22"/>
  <c r="F12" i="22"/>
  <c r="B12" i="22"/>
  <c r="D12" i="22"/>
  <c r="N17" i="17"/>
  <c r="L17" i="17"/>
  <c r="D17" i="17"/>
  <c r="H17" i="17"/>
  <c r="G17" i="17"/>
  <c r="F17" i="17"/>
  <c r="E17" i="17"/>
  <c r="N60" i="16"/>
  <c r="B60" i="16"/>
  <c r="F60" i="16"/>
  <c r="A60" i="16"/>
  <c r="J60" i="16"/>
  <c r="H60" i="16"/>
  <c r="G60" i="16"/>
  <c r="E60" i="16"/>
  <c r="I31" i="20"/>
  <c r="N31" i="20"/>
  <c r="K31" i="20"/>
  <c r="C31" i="20"/>
  <c r="H31" i="20"/>
  <c r="G31" i="20"/>
  <c r="E31" i="20"/>
  <c r="D30" i="18"/>
  <c r="G30" i="18"/>
  <c r="C30" i="18"/>
  <c r="F30" i="18"/>
  <c r="A30" i="18"/>
  <c r="I94" i="16"/>
  <c r="F94" i="16"/>
  <c r="A94" i="16"/>
  <c r="H94" i="16"/>
  <c r="B94" i="16"/>
  <c r="E94" i="16"/>
  <c r="D94" i="16"/>
  <c r="J94" i="16"/>
  <c r="F16" i="10"/>
  <c r="G16" i="10"/>
  <c r="K16" i="10"/>
  <c r="H16" i="10"/>
  <c r="N16" i="10"/>
  <c r="J16" i="10"/>
  <c r="I16" i="10"/>
  <c r="C16" i="10"/>
  <c r="B16" i="10"/>
  <c r="L14" i="10"/>
  <c r="K14" i="10"/>
  <c r="J14" i="10"/>
  <c r="I14" i="10"/>
  <c r="C14" i="10"/>
  <c r="A35" i="13"/>
  <c r="I35" i="13"/>
  <c r="N35" i="13"/>
  <c r="B35" i="13"/>
  <c r="K11" i="12"/>
  <c r="L11" i="12"/>
  <c r="H11" i="12"/>
  <c r="G11" i="12"/>
  <c r="E11" i="12"/>
  <c r="I11" i="12"/>
  <c r="D11" i="12"/>
  <c r="F11" i="12"/>
  <c r="C11" i="12"/>
  <c r="B11" i="12"/>
  <c r="A11" i="12"/>
  <c r="N11" i="12"/>
  <c r="J11" i="12"/>
  <c r="C90" i="13"/>
  <c r="L90" i="13"/>
  <c r="K90" i="13"/>
  <c r="F90" i="13"/>
  <c r="A51" i="10"/>
  <c r="G51" i="10"/>
  <c r="D51" i="10"/>
  <c r="C51" i="10"/>
  <c r="K51" i="10"/>
  <c r="J51" i="10"/>
  <c r="E51" i="10"/>
  <c r="H51" i="10"/>
  <c r="F51" i="10"/>
  <c r="N40" i="13"/>
  <c r="F40" i="13"/>
  <c r="N127" i="12"/>
  <c r="B127" i="12"/>
  <c r="I127" i="12"/>
  <c r="H127" i="12"/>
  <c r="E127" i="12"/>
  <c r="D127" i="12"/>
  <c r="M127" i="12"/>
  <c r="J127" i="12"/>
  <c r="F127" i="12"/>
  <c r="K127" i="12"/>
  <c r="C127" i="12"/>
  <c r="N99" i="11"/>
  <c r="L99" i="11"/>
  <c r="I99" i="11"/>
  <c r="D99" i="11"/>
  <c r="H99" i="11"/>
  <c r="F99" i="11"/>
  <c r="K40" i="16"/>
  <c r="N40" i="16"/>
  <c r="I40" i="16"/>
  <c r="J40" i="16"/>
  <c r="C40" i="16"/>
  <c r="A40" i="16"/>
  <c r="F40" i="16"/>
  <c r="G40" i="16"/>
  <c r="H40" i="16"/>
  <c r="L40" i="16"/>
  <c r="E40" i="16"/>
  <c r="D40" i="16"/>
  <c r="B40" i="16"/>
  <c r="H61" i="10"/>
  <c r="K61" i="10"/>
  <c r="J61" i="10"/>
  <c r="I61" i="10"/>
  <c r="C61" i="10"/>
  <c r="N61" i="10"/>
  <c r="A61" i="10"/>
  <c r="B61" i="10"/>
  <c r="E61" i="10"/>
  <c r="N82" i="13"/>
  <c r="G82" i="13"/>
  <c r="F82" i="13"/>
  <c r="J82" i="13"/>
  <c r="M109" i="14"/>
  <c r="N109" i="14"/>
  <c r="A109" i="14"/>
  <c r="L109" i="14"/>
  <c r="I85" i="10"/>
  <c r="N85" i="10"/>
  <c r="K85" i="10"/>
  <c r="D85" i="10"/>
  <c r="A85" i="10"/>
  <c r="L85" i="10"/>
  <c r="H85" i="10"/>
  <c r="J85" i="10"/>
  <c r="F85" i="10"/>
  <c r="G85" i="10"/>
  <c r="E85" i="10"/>
  <c r="C85" i="10"/>
  <c r="B85" i="10"/>
  <c r="I16" i="12"/>
  <c r="N16" i="12"/>
  <c r="H16" i="12"/>
  <c r="F16" i="12"/>
  <c r="C16" i="12"/>
  <c r="G16" i="12"/>
  <c r="E16" i="12"/>
  <c r="D16" i="12"/>
  <c r="B89" i="12"/>
  <c r="K89" i="12"/>
  <c r="F89" i="12"/>
  <c r="D89" i="12"/>
  <c r="N102" i="15"/>
  <c r="H102" i="15"/>
  <c r="G102" i="15"/>
  <c r="F102" i="15"/>
  <c r="C102" i="15"/>
  <c r="B102" i="15"/>
  <c r="A102" i="15"/>
  <c r="J102" i="15"/>
  <c r="K102" i="15"/>
  <c r="L102" i="15"/>
  <c r="I102" i="15"/>
  <c r="D102" i="15"/>
  <c r="L75" i="13"/>
  <c r="K75" i="13"/>
  <c r="J75" i="13"/>
  <c r="D75" i="13"/>
  <c r="N75" i="13"/>
  <c r="B75" i="13"/>
  <c r="C75" i="13"/>
  <c r="A75" i="13"/>
  <c r="I75" i="13"/>
  <c r="J101" i="13"/>
  <c r="G101" i="13"/>
  <c r="K101" i="13"/>
  <c r="I101" i="13"/>
  <c r="N101" i="13"/>
  <c r="E101" i="13"/>
  <c r="D101" i="13"/>
  <c r="C101" i="13"/>
  <c r="A29" i="14"/>
  <c r="D29" i="14"/>
  <c r="B29" i="14"/>
  <c r="N29" i="14"/>
  <c r="E120" i="13"/>
  <c r="M120" i="13"/>
  <c r="A120" i="13"/>
  <c r="L120" i="13"/>
  <c r="B120" i="13"/>
  <c r="K120" i="13"/>
  <c r="N120" i="13"/>
  <c r="N39" i="14"/>
  <c r="G39" i="14"/>
  <c r="C39" i="14"/>
  <c r="A39" i="14"/>
  <c r="K39" i="14"/>
  <c r="I39" i="14"/>
  <c r="J39" i="14"/>
  <c r="H39" i="14"/>
  <c r="D39" i="14"/>
  <c r="B39" i="14"/>
  <c r="K92" i="17"/>
  <c r="I92" i="17"/>
  <c r="A92" i="17"/>
  <c r="J92" i="17"/>
  <c r="G92" i="17"/>
  <c r="N92" i="17"/>
  <c r="N130" i="15"/>
  <c r="H130" i="15"/>
  <c r="L130" i="15"/>
  <c r="G130" i="15"/>
  <c r="I130" i="15"/>
  <c r="E130" i="15"/>
  <c r="M130" i="15"/>
  <c r="K130" i="15"/>
  <c r="J130" i="15"/>
  <c r="F130" i="15"/>
  <c r="D130" i="15"/>
  <c r="G64" i="16"/>
  <c r="E64" i="16"/>
  <c r="K64" i="16"/>
  <c r="N64" i="16"/>
  <c r="J64" i="16"/>
  <c r="I64" i="16"/>
  <c r="B64" i="16"/>
  <c r="H64" i="16"/>
  <c r="F64" i="16"/>
  <c r="D64" i="16"/>
  <c r="A64" i="16"/>
  <c r="C64" i="16"/>
  <c r="J116" i="15"/>
  <c r="F116" i="15"/>
  <c r="E116" i="15"/>
  <c r="B116" i="15"/>
  <c r="A116" i="15"/>
  <c r="E27" i="23"/>
  <c r="N20" i="22"/>
  <c r="C22" i="22"/>
  <c r="E25" i="21"/>
  <c r="L65" i="19"/>
  <c r="H128" i="16"/>
  <c r="F39" i="15"/>
  <c r="A98" i="17"/>
  <c r="G55" i="13"/>
  <c r="J87" i="16"/>
  <c r="H52" i="15"/>
  <c r="K32" i="11"/>
  <c r="I113" i="12"/>
  <c r="C120" i="10"/>
  <c r="C32" i="12"/>
  <c r="H60" i="11"/>
  <c r="F55" i="11"/>
  <c r="H33" i="10"/>
  <c r="D112" i="10"/>
  <c r="J70" i="10"/>
  <c r="J97" i="11"/>
  <c r="K28" i="11"/>
  <c r="D90" i="11"/>
  <c r="D54" i="10"/>
  <c r="H88" i="10"/>
  <c r="K27" i="10"/>
  <c r="D14" i="10"/>
  <c r="I27" i="23"/>
  <c r="B20" i="22"/>
  <c r="D22" i="22"/>
  <c r="L25" i="21"/>
  <c r="M12" i="21"/>
  <c r="N39" i="17"/>
  <c r="H131" i="15"/>
  <c r="I128" i="16"/>
  <c r="E38" i="17"/>
  <c r="C122" i="15"/>
  <c r="H39" i="15"/>
  <c r="N109" i="17"/>
  <c r="C125" i="14"/>
  <c r="A34" i="17"/>
  <c r="N42" i="18"/>
  <c r="G119" i="15"/>
  <c r="D98" i="17"/>
  <c r="I75" i="16"/>
  <c r="F87" i="16"/>
  <c r="I52" i="15"/>
  <c r="G60" i="13"/>
  <c r="F113" i="12"/>
  <c r="J40" i="12"/>
  <c r="K60" i="11"/>
  <c r="N58" i="13"/>
  <c r="E53" i="16"/>
  <c r="F32" i="12"/>
  <c r="I37" i="11"/>
  <c r="F112" i="10"/>
  <c r="K52" i="10"/>
  <c r="A97" i="11"/>
  <c r="A38" i="10"/>
  <c r="C68" i="10"/>
  <c r="E90" i="11"/>
  <c r="F94" i="12"/>
  <c r="N27" i="10"/>
  <c r="E14" i="10"/>
  <c r="C48" i="5"/>
  <c r="J27" i="23"/>
  <c r="I38" i="22"/>
  <c r="F20" i="22"/>
  <c r="I22" i="22"/>
  <c r="A25" i="21"/>
  <c r="H14" i="19"/>
  <c r="E21" i="20"/>
  <c r="M21" i="19"/>
  <c r="A43" i="18"/>
  <c r="J119" i="18"/>
  <c r="K102" i="19"/>
  <c r="M65" i="19"/>
  <c r="J39" i="17"/>
  <c r="E86" i="15"/>
  <c r="C41" i="17"/>
  <c r="J131" i="15"/>
  <c r="G82" i="17"/>
  <c r="D38" i="17"/>
  <c r="G67" i="15"/>
  <c r="B129" i="17"/>
  <c r="I23" i="17"/>
  <c r="K128" i="16"/>
  <c r="I51" i="17"/>
  <c r="I39" i="15"/>
  <c r="L109" i="17"/>
  <c r="C107" i="15"/>
  <c r="E95" i="16"/>
  <c r="J27" i="14"/>
  <c r="C124" i="15"/>
  <c r="F125" i="14"/>
  <c r="E34" i="17"/>
  <c r="A42" i="18"/>
  <c r="A40" i="15"/>
  <c r="H119" i="15"/>
  <c r="H98" i="17"/>
  <c r="C49" i="13"/>
  <c r="C94" i="18"/>
  <c r="N75" i="16"/>
  <c r="I49" i="13"/>
  <c r="B73" i="13"/>
  <c r="M11" i="14"/>
  <c r="L87" i="16"/>
  <c r="G113" i="11"/>
  <c r="N52" i="15"/>
  <c r="I59" i="12"/>
  <c r="H60" i="13"/>
  <c r="K33" i="13"/>
  <c r="J54" i="12"/>
  <c r="C81" i="11"/>
  <c r="J87" i="11"/>
  <c r="A102" i="10"/>
  <c r="J58" i="13"/>
  <c r="G53" i="16"/>
  <c r="H32" i="12"/>
  <c r="A94" i="13"/>
  <c r="N53" i="12"/>
  <c r="B33" i="10"/>
  <c r="G112" i="10"/>
  <c r="L52" i="10"/>
  <c r="C97" i="11"/>
  <c r="E68" i="10"/>
  <c r="G90" i="11"/>
  <c r="A61" i="11"/>
  <c r="B94" i="12"/>
  <c r="A27" i="10"/>
  <c r="F14" i="10"/>
  <c r="G27" i="23"/>
  <c r="G20" i="22"/>
  <c r="H22" i="22"/>
  <c r="B25" i="21"/>
  <c r="G21" i="20"/>
  <c r="C35" i="18"/>
  <c r="K19" i="19"/>
  <c r="C37" i="6"/>
  <c r="H37" i="6" s="1"/>
  <c r="K119" i="18"/>
  <c r="F102" i="19"/>
  <c r="B118" i="18"/>
  <c r="B14" i="18"/>
  <c r="L131" i="15"/>
  <c r="H82" i="17"/>
  <c r="F38" i="17"/>
  <c r="M129" i="17"/>
  <c r="C100" i="16"/>
  <c r="K51" i="17"/>
  <c r="E15" i="16"/>
  <c r="N39" i="15"/>
  <c r="A109" i="17"/>
  <c r="E107" i="15"/>
  <c r="G95" i="16"/>
  <c r="L23" i="14"/>
  <c r="E124" i="15"/>
  <c r="H125" i="14"/>
  <c r="L117" i="17"/>
  <c r="B34" i="17"/>
  <c r="L42" i="18"/>
  <c r="B40" i="15"/>
  <c r="I119" i="15"/>
  <c r="F98" i="17"/>
  <c r="A49" i="13"/>
  <c r="N94" i="18"/>
  <c r="A75" i="16"/>
  <c r="K121" i="12"/>
  <c r="D34" i="14"/>
  <c r="H68" i="13"/>
  <c r="N87" i="16"/>
  <c r="K52" i="15"/>
  <c r="I60" i="13"/>
  <c r="L33" i="13"/>
  <c r="F92" i="13"/>
  <c r="G37" i="15"/>
  <c r="B83" i="11"/>
  <c r="D102" i="10"/>
  <c r="A57" i="15"/>
  <c r="H53" i="16"/>
  <c r="I32" i="12"/>
  <c r="C94" i="13"/>
  <c r="E102" i="10"/>
  <c r="H112" i="10"/>
  <c r="M63" i="14"/>
  <c r="G52" i="10"/>
  <c r="E97" i="11"/>
  <c r="C38" i="10"/>
  <c r="F68" i="10"/>
  <c r="J90" i="11"/>
  <c r="B129" i="10"/>
  <c r="C94" i="12"/>
  <c r="G14" i="10"/>
  <c r="L71" i="12"/>
  <c r="N71" i="12"/>
  <c r="K71" i="12"/>
  <c r="I71" i="12"/>
  <c r="J71" i="12"/>
  <c r="H71" i="12"/>
  <c r="F71" i="12"/>
  <c r="E71" i="12"/>
  <c r="D71" i="12"/>
  <c r="C71" i="12"/>
  <c r="B71" i="12"/>
  <c r="G71" i="12"/>
  <c r="L127" i="10"/>
  <c r="N127" i="10"/>
  <c r="H127" i="10"/>
  <c r="D127" i="10"/>
  <c r="A127" i="10"/>
  <c r="F127" i="10"/>
  <c r="M95" i="14"/>
  <c r="N32" i="12"/>
  <c r="C33" i="10"/>
  <c r="G14" i="11"/>
  <c r="E38" i="10"/>
  <c r="P61" i="5"/>
  <c r="F35" i="11"/>
  <c r="B35" i="11"/>
  <c r="A35" i="11"/>
  <c r="K35" i="11"/>
  <c r="H35" i="11"/>
  <c r="D35" i="11"/>
  <c r="C35" i="11"/>
  <c r="K108" i="15"/>
  <c r="H108" i="15"/>
  <c r="B108" i="15"/>
  <c r="A108" i="15"/>
  <c r="D108" i="15"/>
  <c r="I108" i="15"/>
  <c r="E108" i="15"/>
  <c r="C108" i="15"/>
  <c r="N16" i="11"/>
  <c r="A16" i="11"/>
  <c r="I16" i="11"/>
  <c r="H16" i="11"/>
  <c r="E16" i="11"/>
  <c r="L16" i="11"/>
  <c r="J16" i="11"/>
  <c r="F16" i="11"/>
  <c r="D16" i="11"/>
  <c r="C16" i="11"/>
  <c r="N74" i="10"/>
  <c r="J74" i="10"/>
  <c r="I74" i="10"/>
  <c r="H74" i="10"/>
  <c r="L74" i="10"/>
  <c r="K74" i="10"/>
  <c r="G74" i="10"/>
  <c r="C74" i="10"/>
  <c r="B74" i="10"/>
  <c r="E74" i="10"/>
  <c r="D74" i="10"/>
  <c r="A74" i="10"/>
  <c r="M115" i="13"/>
  <c r="K115" i="13"/>
  <c r="E115" i="13"/>
  <c r="L115" i="13"/>
  <c r="D115" i="13"/>
  <c r="B115" i="13"/>
  <c r="A115" i="13"/>
  <c r="N125" i="12"/>
  <c r="B125" i="12"/>
  <c r="H125" i="12"/>
  <c r="F125" i="12"/>
  <c r="I83" i="13"/>
  <c r="H83" i="13"/>
  <c r="D83" i="13"/>
  <c r="F83" i="13"/>
  <c r="E83" i="13"/>
  <c r="B83" i="13"/>
  <c r="M108" i="12"/>
  <c r="K108" i="12"/>
  <c r="J108" i="12"/>
  <c r="G108" i="12"/>
  <c r="F108" i="12"/>
  <c r="N108" i="12"/>
  <c r="L108" i="12"/>
  <c r="E108" i="12"/>
  <c r="C108" i="12"/>
  <c r="K44" i="10"/>
  <c r="I44" i="10"/>
  <c r="F44" i="10"/>
  <c r="N44" i="10"/>
  <c r="L44" i="10"/>
  <c r="H44" i="10"/>
  <c r="E44" i="10"/>
  <c r="D44" i="10"/>
  <c r="C44" i="10"/>
  <c r="B44" i="10"/>
  <c r="A44" i="10"/>
  <c r="J33" i="11"/>
  <c r="L33" i="11"/>
  <c r="I33" i="11"/>
  <c r="F33" i="11"/>
  <c r="D33" i="11"/>
  <c r="C33" i="11"/>
  <c r="A33" i="11"/>
  <c r="G33" i="11"/>
  <c r="E33" i="11"/>
  <c r="N33" i="11"/>
  <c r="H33" i="11"/>
  <c r="N99" i="12"/>
  <c r="B99" i="12"/>
  <c r="C99" i="12"/>
  <c r="J99" i="12"/>
  <c r="F99" i="12"/>
  <c r="N109" i="13"/>
  <c r="K109" i="13"/>
  <c r="H109" i="13"/>
  <c r="G109" i="13"/>
  <c r="K85" i="12"/>
  <c r="H85" i="12"/>
  <c r="D85" i="12"/>
  <c r="J111" i="13"/>
  <c r="L111" i="13"/>
  <c r="K111" i="13"/>
  <c r="F111" i="13"/>
  <c r="E111" i="13"/>
  <c r="D111" i="13"/>
  <c r="B111" i="13"/>
  <c r="C111" i="13"/>
  <c r="N111" i="13"/>
  <c r="H111" i="13"/>
  <c r="L91" i="13"/>
  <c r="K91" i="13"/>
  <c r="J91" i="13"/>
  <c r="I91" i="13"/>
  <c r="G91" i="13"/>
  <c r="F91" i="13"/>
  <c r="D91" i="13"/>
  <c r="H91" i="13"/>
  <c r="C91" i="13"/>
  <c r="N91" i="13"/>
  <c r="E91" i="13"/>
  <c r="B91" i="13"/>
  <c r="A91" i="13"/>
  <c r="I83" i="18"/>
  <c r="L83" i="18"/>
  <c r="K61" i="16"/>
  <c r="I61" i="16"/>
  <c r="E61" i="16"/>
  <c r="D61" i="16"/>
  <c r="F61" i="16"/>
  <c r="B61" i="16"/>
  <c r="G61" i="16"/>
  <c r="C61" i="16"/>
  <c r="H61" i="16"/>
  <c r="L20" i="14"/>
  <c r="I20" i="14"/>
  <c r="H20" i="14"/>
  <c r="C36" i="12"/>
  <c r="J36" i="12"/>
  <c r="B36" i="12"/>
  <c r="N36" i="12"/>
  <c r="L36" i="12"/>
  <c r="F36" i="12"/>
  <c r="D36" i="12"/>
  <c r="L119" i="13"/>
  <c r="N119" i="13"/>
  <c r="M119" i="13"/>
  <c r="K119" i="13"/>
  <c r="I119" i="13"/>
  <c r="C119" i="13"/>
  <c r="H119" i="13"/>
  <c r="L36" i="15"/>
  <c r="J36" i="15"/>
  <c r="I58" i="16"/>
  <c r="A58" i="16"/>
  <c r="E58" i="16"/>
  <c r="L58" i="16"/>
  <c r="N58" i="16"/>
  <c r="B58" i="16"/>
  <c r="K58" i="16"/>
  <c r="J58" i="16"/>
  <c r="H58" i="16"/>
  <c r="G58" i="16"/>
  <c r="F58" i="16"/>
  <c r="D58" i="16"/>
  <c r="C58" i="16"/>
  <c r="K44" i="14"/>
  <c r="I44" i="14"/>
  <c r="G44" i="14"/>
  <c r="E44" i="14"/>
  <c r="H115" i="16"/>
  <c r="L115" i="16"/>
  <c r="M115" i="16"/>
  <c r="K115" i="16"/>
  <c r="J115" i="16"/>
  <c r="I115" i="16"/>
  <c r="L115" i="17"/>
  <c r="F115" i="17"/>
  <c r="K115" i="17"/>
  <c r="I115" i="17"/>
  <c r="H115" i="17"/>
  <c r="G115" i="17"/>
  <c r="J115" i="17"/>
  <c r="C115" i="17"/>
  <c r="E115" i="17"/>
  <c r="N115" i="17"/>
  <c r="C124" i="18"/>
  <c r="H124" i="18"/>
  <c r="N124" i="18"/>
  <c r="I124" i="18"/>
  <c r="J124" i="18"/>
  <c r="B124" i="18"/>
  <c r="G124" i="18"/>
  <c r="D124" i="18"/>
  <c r="L124" i="18"/>
  <c r="F18" i="20"/>
  <c r="K18" i="20"/>
  <c r="H18" i="20"/>
  <c r="N18" i="20"/>
  <c r="J18" i="20"/>
  <c r="L114" i="14"/>
  <c r="B114" i="14"/>
  <c r="K114" i="14"/>
  <c r="J114" i="14"/>
  <c r="F114" i="14"/>
  <c r="D114" i="14"/>
  <c r="M114" i="14"/>
  <c r="N114" i="14"/>
  <c r="G31" i="13"/>
  <c r="K31" i="13"/>
  <c r="J31" i="13"/>
  <c r="I31" i="13"/>
  <c r="H31" i="13"/>
  <c r="C31" i="13"/>
  <c r="L31" i="13"/>
  <c r="F31" i="13"/>
  <c r="D31" i="13"/>
  <c r="B31" i="13"/>
  <c r="A31" i="13"/>
  <c r="N31" i="13"/>
  <c r="E31" i="13"/>
  <c r="A58" i="14"/>
  <c r="K51" i="12"/>
  <c r="G17" i="22"/>
  <c r="C17" i="22"/>
  <c r="N9" i="21"/>
  <c r="L9" i="21"/>
  <c r="H9" i="21"/>
  <c r="D32" i="18"/>
  <c r="C32" i="18"/>
  <c r="K79" i="18"/>
  <c r="E79" i="18"/>
  <c r="N79" i="18"/>
  <c r="J79" i="18"/>
  <c r="I79" i="18"/>
  <c r="H79" i="18"/>
  <c r="A79" i="18"/>
  <c r="F79" i="18"/>
  <c r="G50" i="18"/>
  <c r="E50" i="18"/>
  <c r="N50" i="18"/>
  <c r="H50" i="18"/>
  <c r="F50" i="18"/>
  <c r="A50" i="18"/>
  <c r="N18" i="17"/>
  <c r="J18" i="17"/>
  <c r="K18" i="17"/>
  <c r="H18" i="17"/>
  <c r="D18" i="17"/>
  <c r="G28" i="22"/>
  <c r="C28" i="22"/>
  <c r="N33" i="19"/>
  <c r="E33" i="19"/>
  <c r="N54" i="13"/>
  <c r="L54" i="13"/>
  <c r="H54" i="13"/>
  <c r="I122" i="12"/>
  <c r="H122" i="12"/>
  <c r="G122" i="12"/>
  <c r="J122" i="12"/>
  <c r="C122" i="12"/>
  <c r="F122" i="12"/>
  <c r="B122" i="12"/>
  <c r="A122" i="12"/>
  <c r="L122" i="12"/>
  <c r="K122" i="12"/>
  <c r="D122" i="12"/>
  <c r="N122" i="12"/>
  <c r="M122" i="12"/>
  <c r="E122" i="12"/>
  <c r="N60" i="10"/>
  <c r="L60" i="10"/>
  <c r="H60" i="10"/>
  <c r="F60" i="10"/>
  <c r="E60" i="10"/>
  <c r="A60" i="10"/>
  <c r="C60" i="10"/>
  <c r="N64" i="11"/>
  <c r="E64" i="11"/>
  <c r="A64" i="11"/>
  <c r="H64" i="11"/>
  <c r="D64" i="11"/>
  <c r="C64" i="11"/>
  <c r="J64" i="11"/>
  <c r="F64" i="11"/>
  <c r="I64" i="11"/>
  <c r="N87" i="10"/>
  <c r="K87" i="10"/>
  <c r="G87" i="10"/>
  <c r="F87" i="10"/>
  <c r="A87" i="10"/>
  <c r="E87" i="10"/>
  <c r="B87" i="10"/>
  <c r="N11" i="10"/>
  <c r="K11" i="10"/>
  <c r="J11" i="10"/>
  <c r="A51" i="15"/>
  <c r="D51" i="15"/>
  <c r="C51" i="15"/>
  <c r="K51" i="15"/>
  <c r="F51" i="15"/>
  <c r="N51" i="15"/>
  <c r="I51" i="15"/>
  <c r="G51" i="15"/>
  <c r="E51" i="15"/>
  <c r="M134" i="15"/>
  <c r="C134" i="15"/>
  <c r="I134" i="15"/>
  <c r="D134" i="15"/>
  <c r="K134" i="15"/>
  <c r="H134" i="15"/>
  <c r="G134" i="15"/>
  <c r="F134" i="15"/>
  <c r="B134" i="15"/>
  <c r="A134" i="15"/>
  <c r="L134" i="15"/>
  <c r="J134" i="15"/>
  <c r="N134" i="15"/>
  <c r="N129" i="12"/>
  <c r="C129" i="12"/>
  <c r="B129" i="12"/>
  <c r="A129" i="12"/>
  <c r="L129" i="12"/>
  <c r="H129" i="12"/>
  <c r="M129" i="12"/>
  <c r="K129" i="12"/>
  <c r="I129" i="12"/>
  <c r="J129" i="12"/>
  <c r="G129" i="12"/>
  <c r="D129" i="12"/>
  <c r="N76" i="10"/>
  <c r="L76" i="10"/>
  <c r="K76" i="10"/>
  <c r="H76" i="10"/>
  <c r="I76" i="10"/>
  <c r="F76" i="10"/>
  <c r="E76" i="10"/>
  <c r="D76" i="10"/>
  <c r="A76" i="10"/>
  <c r="C76" i="10"/>
  <c r="N93" i="11"/>
  <c r="H93" i="11"/>
  <c r="A93" i="11"/>
  <c r="C93" i="11"/>
  <c r="J93" i="11"/>
  <c r="F93" i="11"/>
  <c r="D93" i="11"/>
  <c r="E93" i="11"/>
  <c r="D116" i="12"/>
  <c r="M116" i="12"/>
  <c r="C116" i="12"/>
  <c r="G116" i="12"/>
  <c r="N95" i="12"/>
  <c r="J95" i="12"/>
  <c r="I95" i="12"/>
  <c r="F95" i="12"/>
  <c r="B95" i="12"/>
  <c r="H95" i="12"/>
  <c r="G95" i="12"/>
  <c r="D95" i="12"/>
  <c r="C95" i="12"/>
  <c r="E95" i="12"/>
  <c r="K11" i="14"/>
  <c r="J11" i="14"/>
  <c r="D11" i="14"/>
  <c r="C11" i="14"/>
  <c r="G11" i="14"/>
  <c r="F11" i="14"/>
  <c r="I11" i="14"/>
  <c r="H11" i="14"/>
  <c r="B11" i="14"/>
  <c r="A11" i="14"/>
  <c r="N126" i="13"/>
  <c r="M126" i="13"/>
  <c r="K126" i="13"/>
  <c r="J126" i="13"/>
  <c r="I126" i="13"/>
  <c r="G126" i="13"/>
  <c r="L126" i="13"/>
  <c r="C86" i="12"/>
  <c r="I86" i="12"/>
  <c r="N86" i="12"/>
  <c r="J86" i="12"/>
  <c r="B86" i="12"/>
  <c r="K86" i="12"/>
  <c r="H86" i="12"/>
  <c r="G86" i="12"/>
  <c r="F86" i="12"/>
  <c r="E86" i="12"/>
  <c r="D86" i="12"/>
  <c r="H116" i="16"/>
  <c r="F116" i="16"/>
  <c r="A116" i="16"/>
  <c r="G116" i="16"/>
  <c r="J116" i="16"/>
  <c r="I116" i="16"/>
  <c r="B116" i="16"/>
  <c r="K33" i="14"/>
  <c r="L33" i="14"/>
  <c r="E33" i="14"/>
  <c r="N33" i="14"/>
  <c r="B33" i="14"/>
  <c r="A33" i="14"/>
  <c r="D33" i="14"/>
  <c r="C33" i="14"/>
  <c r="B110" i="17"/>
  <c r="A110" i="17"/>
  <c r="F110" i="17"/>
  <c r="H110" i="17"/>
  <c r="G110" i="17"/>
  <c r="E110" i="17"/>
  <c r="L110" i="17"/>
  <c r="I110" i="17"/>
  <c r="D110" i="17"/>
  <c r="C110" i="17"/>
  <c r="N110" i="17"/>
  <c r="M110" i="17"/>
  <c r="J110" i="17"/>
  <c r="B50" i="12"/>
  <c r="L50" i="12"/>
  <c r="I50" i="12"/>
  <c r="A50" i="12"/>
  <c r="K50" i="12"/>
  <c r="J50" i="12"/>
  <c r="G50" i="12"/>
  <c r="D50" i="12"/>
  <c r="H50" i="12"/>
  <c r="N50" i="12"/>
  <c r="F50" i="12"/>
  <c r="E50" i="12"/>
  <c r="C50" i="12"/>
  <c r="L12" i="14"/>
  <c r="I12" i="14"/>
  <c r="G12" i="14"/>
  <c r="K44" i="15"/>
  <c r="D44" i="15"/>
  <c r="C44" i="15"/>
  <c r="B44" i="15"/>
  <c r="L44" i="15"/>
  <c r="H44" i="15"/>
  <c r="E44" i="15"/>
  <c r="A44" i="15"/>
  <c r="N58" i="17"/>
  <c r="J58" i="17"/>
  <c r="E58" i="17"/>
  <c r="A58" i="17"/>
  <c r="B58" i="17"/>
  <c r="I58" i="17"/>
  <c r="N95" i="14"/>
  <c r="J95" i="14"/>
  <c r="F100" i="15"/>
  <c r="J100" i="15"/>
  <c r="I100" i="15"/>
  <c r="H100" i="15"/>
  <c r="E100" i="15"/>
  <c r="G100" i="15"/>
  <c r="D100" i="15"/>
  <c r="B100" i="15"/>
  <c r="C100" i="15"/>
  <c r="C92" i="14"/>
  <c r="K92" i="14"/>
  <c r="F92" i="14"/>
  <c r="E92" i="14"/>
  <c r="I92" i="14"/>
  <c r="H92" i="14"/>
  <c r="G92" i="14"/>
  <c r="D92" i="14"/>
  <c r="J92" i="14"/>
  <c r="N72" i="17"/>
  <c r="F72" i="17"/>
  <c r="I72" i="17"/>
  <c r="A72" i="17"/>
  <c r="H72" i="17"/>
  <c r="N28" i="15"/>
  <c r="L28" i="15"/>
  <c r="I28" i="15"/>
  <c r="D28" i="15"/>
  <c r="H28" i="15"/>
  <c r="L45" i="18"/>
  <c r="G45" i="18"/>
  <c r="I45" i="18"/>
  <c r="K24" i="12"/>
  <c r="G24" i="12"/>
  <c r="I24" i="12"/>
  <c r="N24" i="12"/>
  <c r="H24" i="12"/>
  <c r="B84" i="11"/>
  <c r="D84" i="11"/>
  <c r="C84" i="11"/>
  <c r="I84" i="11"/>
  <c r="J63" i="5"/>
  <c r="N82" i="18"/>
  <c r="J82" i="18"/>
  <c r="E82" i="18"/>
  <c r="C82" i="18"/>
  <c r="L82" i="18"/>
  <c r="K82" i="18"/>
  <c r="A82" i="18"/>
  <c r="N16" i="23"/>
  <c r="K16" i="23"/>
  <c r="G16" i="23"/>
  <c r="J36" i="23"/>
  <c r="I36" i="23"/>
  <c r="D36" i="23"/>
  <c r="F36" i="23"/>
  <c r="E18" i="19"/>
  <c r="H18" i="19"/>
  <c r="A18" i="19"/>
  <c r="C18" i="19"/>
  <c r="N18" i="19"/>
  <c r="K18" i="19"/>
  <c r="I18" i="19"/>
  <c r="G18" i="19"/>
  <c r="B18" i="19"/>
  <c r="K26" i="19"/>
  <c r="H26" i="19"/>
  <c r="F26" i="19"/>
  <c r="A26" i="19"/>
  <c r="G26" i="19"/>
  <c r="E26" i="19"/>
  <c r="C26" i="19"/>
  <c r="N26" i="19"/>
  <c r="B26" i="19"/>
  <c r="K87" i="18"/>
  <c r="N87" i="18"/>
  <c r="L87" i="18"/>
  <c r="E87" i="18"/>
  <c r="C87" i="18"/>
  <c r="B87" i="18"/>
  <c r="N30" i="17"/>
  <c r="G30" i="17"/>
  <c r="J22" i="20"/>
  <c r="H22" i="20"/>
  <c r="F22" i="20"/>
  <c r="C22" i="20"/>
  <c r="L22" i="20"/>
  <c r="K22" i="20"/>
  <c r="I22" i="20"/>
  <c r="G22" i="20"/>
  <c r="E22" i="20"/>
  <c r="D22" i="20"/>
  <c r="B22" i="20"/>
  <c r="N101" i="12"/>
  <c r="B101" i="12"/>
  <c r="I101" i="12"/>
  <c r="L69" i="12"/>
  <c r="G69" i="12"/>
  <c r="K69" i="12"/>
  <c r="J69" i="12"/>
  <c r="I69" i="12"/>
  <c r="N69" i="12"/>
  <c r="C69" i="12"/>
  <c r="M129" i="11"/>
  <c r="L129" i="11"/>
  <c r="B129" i="11"/>
  <c r="N129" i="11"/>
  <c r="I129" i="11"/>
  <c r="F129" i="11"/>
  <c r="E129" i="11"/>
  <c r="C129" i="11"/>
  <c r="A129" i="11"/>
  <c r="K129" i="11"/>
  <c r="J129" i="11"/>
  <c r="L52" i="11"/>
  <c r="H52" i="11"/>
  <c r="J52" i="11"/>
  <c r="I52" i="11"/>
  <c r="G52" i="11"/>
  <c r="F52" i="11"/>
  <c r="D52" i="11"/>
  <c r="L28" i="10"/>
  <c r="A28" i="10"/>
  <c r="N28" i="10"/>
  <c r="K28" i="10"/>
  <c r="J28" i="10"/>
  <c r="H28" i="10"/>
  <c r="G28" i="10"/>
  <c r="D28" i="10"/>
  <c r="C28" i="10"/>
  <c r="B28" i="10"/>
  <c r="F24" i="10"/>
  <c r="K24" i="10"/>
  <c r="J24" i="10"/>
  <c r="I24" i="10"/>
  <c r="H24" i="10"/>
  <c r="N24" i="10"/>
  <c r="G24" i="10"/>
  <c r="I69" i="10"/>
  <c r="H69" i="10"/>
  <c r="E69" i="10"/>
  <c r="D69" i="10"/>
  <c r="C69" i="10"/>
  <c r="A69" i="10"/>
  <c r="L101" i="10"/>
  <c r="N101" i="10"/>
  <c r="K101" i="10"/>
  <c r="J101" i="10"/>
  <c r="H101" i="10"/>
  <c r="F101" i="10"/>
  <c r="G101" i="10"/>
  <c r="E101" i="10"/>
  <c r="N77" i="13"/>
  <c r="F77" i="13"/>
  <c r="E77" i="13"/>
  <c r="J82" i="10"/>
  <c r="N82" i="10"/>
  <c r="L82" i="10"/>
  <c r="K82" i="10"/>
  <c r="I82" i="10"/>
  <c r="H82" i="10"/>
  <c r="B82" i="10"/>
  <c r="A82" i="10"/>
  <c r="E82" i="10"/>
  <c r="D82" i="10"/>
  <c r="K103" i="11"/>
  <c r="H103" i="11"/>
  <c r="G103" i="11"/>
  <c r="L103" i="11"/>
  <c r="F103" i="11"/>
  <c r="D103" i="11"/>
  <c r="C103" i="11"/>
  <c r="A103" i="11"/>
  <c r="K63" i="14"/>
  <c r="J63" i="14"/>
  <c r="N63" i="14"/>
  <c r="N117" i="10"/>
  <c r="K117" i="10"/>
  <c r="G117" i="10"/>
  <c r="D117" i="10"/>
  <c r="B117" i="10"/>
  <c r="C117" i="10"/>
  <c r="L100" i="12"/>
  <c r="J100" i="12"/>
  <c r="D100" i="12"/>
  <c r="C100" i="12"/>
  <c r="N100" i="12"/>
  <c r="E100" i="12"/>
  <c r="B100" i="12"/>
  <c r="F100" i="12"/>
  <c r="D107" i="12"/>
  <c r="N107" i="12"/>
  <c r="L107" i="12"/>
  <c r="M107" i="12"/>
  <c r="I107" i="12"/>
  <c r="H107" i="12"/>
  <c r="G107" i="12"/>
  <c r="E107" i="12"/>
  <c r="C107" i="12"/>
  <c r="B107" i="12"/>
  <c r="A107" i="12"/>
  <c r="K107" i="12"/>
  <c r="J107" i="12"/>
  <c r="F107" i="12"/>
  <c r="G41" i="14"/>
  <c r="A41" i="14"/>
  <c r="C41" i="14"/>
  <c r="M121" i="13"/>
  <c r="C121" i="13"/>
  <c r="N22" i="13"/>
  <c r="H22" i="13"/>
  <c r="C22" i="13"/>
  <c r="B22" i="13"/>
  <c r="A22" i="13"/>
  <c r="I22" i="13"/>
  <c r="K67" i="17"/>
  <c r="J67" i="17"/>
  <c r="I67" i="17"/>
  <c r="H67" i="17"/>
  <c r="D67" i="17"/>
  <c r="N67" i="17"/>
  <c r="G67" i="17"/>
  <c r="F67" i="17"/>
  <c r="E67" i="17"/>
  <c r="C67" i="17"/>
  <c r="A67" i="17"/>
  <c r="B67" i="17"/>
  <c r="D69" i="14"/>
  <c r="G69" i="14"/>
  <c r="E69" i="14"/>
  <c r="N69" i="14"/>
  <c r="I69" i="14"/>
  <c r="G62" i="15"/>
  <c r="F62" i="15"/>
  <c r="I62" i="15"/>
  <c r="N62" i="15"/>
  <c r="L62" i="15"/>
  <c r="K62" i="15"/>
  <c r="J62" i="15"/>
  <c r="A62" i="15"/>
  <c r="C62" i="15"/>
  <c r="B62" i="15"/>
  <c r="H62" i="15"/>
  <c r="D62" i="15"/>
  <c r="K63" i="12"/>
  <c r="I63" i="12"/>
  <c r="D63" i="12"/>
  <c r="G63" i="12"/>
  <c r="E63" i="12"/>
  <c r="C63" i="12"/>
  <c r="B63" i="12"/>
  <c r="K35" i="14"/>
  <c r="D35" i="14"/>
  <c r="B35" i="14"/>
  <c r="A35" i="14"/>
  <c r="C83" i="15"/>
  <c r="A83" i="15"/>
  <c r="N83" i="15"/>
  <c r="K83" i="15"/>
  <c r="I83" i="15"/>
  <c r="G83" i="15"/>
  <c r="F83" i="15"/>
  <c r="E83" i="15"/>
  <c r="D83" i="15"/>
  <c r="M111" i="17"/>
  <c r="N111" i="17"/>
  <c r="D111" i="17"/>
  <c r="J111" i="17"/>
  <c r="K111" i="17"/>
  <c r="I111" i="17"/>
  <c r="H111" i="17"/>
  <c r="F111" i="17"/>
  <c r="E111" i="17"/>
  <c r="A111" i="17"/>
  <c r="H14" i="15"/>
  <c r="N14" i="15"/>
  <c r="J14" i="15"/>
  <c r="F14" i="15"/>
  <c r="K14" i="15"/>
  <c r="I14" i="15"/>
  <c r="G14" i="15"/>
  <c r="D14" i="15"/>
  <c r="C14" i="15"/>
  <c r="B14" i="15"/>
  <c r="A14" i="15"/>
  <c r="K133" i="15"/>
  <c r="G133" i="15"/>
  <c r="E133" i="15"/>
  <c r="N98" i="14"/>
  <c r="K98" i="14"/>
  <c r="A98" i="14"/>
  <c r="J98" i="14"/>
  <c r="F98" i="14"/>
  <c r="B98" i="14"/>
  <c r="D98" i="14"/>
  <c r="G64" i="18"/>
  <c r="N64" i="18"/>
  <c r="F64" i="18"/>
  <c r="A64" i="18"/>
  <c r="J64" i="18"/>
  <c r="C64" i="18"/>
  <c r="L64" i="18"/>
  <c r="K64" i="18"/>
  <c r="I105" i="17"/>
  <c r="D105" i="17"/>
  <c r="H105" i="17"/>
  <c r="F105" i="17"/>
  <c r="N105" i="17"/>
  <c r="J105" i="17"/>
  <c r="G105" i="17"/>
  <c r="M105" i="17"/>
  <c r="N38" i="15"/>
  <c r="D38" i="15"/>
  <c r="B38" i="15"/>
  <c r="A38" i="15"/>
  <c r="J38" i="15"/>
  <c r="I38" i="15"/>
  <c r="H38" i="15"/>
  <c r="G38" i="15"/>
  <c r="F38" i="15"/>
  <c r="C38" i="15"/>
  <c r="K38" i="15"/>
  <c r="G73" i="18"/>
  <c r="D73" i="18"/>
  <c r="A73" i="18"/>
  <c r="L73" i="18"/>
  <c r="E73" i="18"/>
  <c r="C73" i="18"/>
  <c r="B73" i="18"/>
  <c r="J73" i="18"/>
  <c r="B94" i="11"/>
  <c r="I94" i="11"/>
  <c r="K94" i="11"/>
  <c r="G94" i="11"/>
  <c r="F94" i="11"/>
  <c r="E94" i="11"/>
  <c r="J94" i="11"/>
  <c r="N94" i="11"/>
  <c r="H94" i="11"/>
  <c r="K74" i="11"/>
  <c r="B74" i="11"/>
  <c r="H74" i="11"/>
  <c r="E74" i="11"/>
  <c r="N74" i="11"/>
  <c r="L74" i="11"/>
  <c r="I74" i="11"/>
  <c r="J74" i="11"/>
  <c r="G74" i="11"/>
  <c r="A74" i="11"/>
  <c r="F74" i="11"/>
  <c r="C74" i="11"/>
  <c r="M120" i="12"/>
  <c r="A120" i="12"/>
  <c r="L120" i="12"/>
  <c r="H120" i="12"/>
  <c r="N120" i="12"/>
  <c r="J120" i="12"/>
  <c r="G120" i="12"/>
  <c r="E120" i="12"/>
  <c r="I120" i="12"/>
  <c r="F39" i="10"/>
  <c r="E39" i="10"/>
  <c r="D39" i="10"/>
  <c r="C39" i="10"/>
  <c r="A39" i="10"/>
  <c r="N39" i="10"/>
  <c r="K39" i="10"/>
  <c r="L39" i="10"/>
  <c r="I39" i="10"/>
  <c r="H39" i="10"/>
  <c r="G39" i="10"/>
  <c r="B39" i="10"/>
  <c r="H72" i="12"/>
  <c r="E72" i="12"/>
  <c r="N72" i="12"/>
  <c r="F72" i="12"/>
  <c r="D72" i="12"/>
  <c r="L72" i="12"/>
  <c r="N65" i="11"/>
  <c r="J65" i="11"/>
  <c r="I65" i="11"/>
  <c r="L42" i="10"/>
  <c r="K42" i="10"/>
  <c r="J42" i="10"/>
  <c r="I42" i="10"/>
  <c r="H42" i="10"/>
  <c r="F42" i="10"/>
  <c r="N42" i="10"/>
  <c r="G42" i="10"/>
  <c r="L109" i="10"/>
  <c r="H109" i="10"/>
  <c r="G109" i="10"/>
  <c r="F109" i="10"/>
  <c r="E109" i="10"/>
  <c r="C109" i="10"/>
  <c r="N109" i="10"/>
  <c r="J109" i="10"/>
  <c r="D109" i="10"/>
  <c r="B109" i="10"/>
  <c r="A109" i="10"/>
  <c r="A13" i="14"/>
  <c r="D13" i="14"/>
  <c r="C13" i="14"/>
  <c r="B13" i="14"/>
  <c r="N13" i="14"/>
  <c r="K13" i="14"/>
  <c r="I13" i="14"/>
  <c r="G13" i="14"/>
  <c r="E13" i="14"/>
  <c r="J13" i="14"/>
  <c r="N96" i="10"/>
  <c r="K96" i="10"/>
  <c r="G96" i="10"/>
  <c r="H96" i="10"/>
  <c r="F96" i="10"/>
  <c r="D96" i="10"/>
  <c r="C96" i="10"/>
  <c r="B96" i="10"/>
  <c r="A96" i="10"/>
  <c r="L31" i="12"/>
  <c r="E31" i="12"/>
  <c r="G31" i="12"/>
  <c r="F31" i="12"/>
  <c r="B31" i="12"/>
  <c r="N31" i="12"/>
  <c r="J123" i="14"/>
  <c r="M123" i="14"/>
  <c r="K123" i="14"/>
  <c r="B123" i="14"/>
  <c r="H123" i="14"/>
  <c r="G123" i="14"/>
  <c r="D123" i="14"/>
  <c r="C123" i="14"/>
  <c r="A123" i="14"/>
  <c r="A123" i="10"/>
  <c r="N123" i="10"/>
  <c r="M123" i="10"/>
  <c r="L123" i="10"/>
  <c r="J123" i="10"/>
  <c r="I123" i="10"/>
  <c r="H123" i="10"/>
  <c r="G123" i="10"/>
  <c r="F123" i="10"/>
  <c r="K123" i="10"/>
  <c r="D123" i="10"/>
  <c r="E123" i="10"/>
  <c r="C123" i="10"/>
  <c r="B123" i="10"/>
  <c r="L109" i="12"/>
  <c r="M109" i="12"/>
  <c r="F109" i="12"/>
  <c r="N109" i="12"/>
  <c r="H109" i="12"/>
  <c r="G109" i="12"/>
  <c r="C109" i="12"/>
  <c r="A109" i="12"/>
  <c r="J109" i="12"/>
  <c r="H48" i="15"/>
  <c r="F48" i="15"/>
  <c r="K48" i="15"/>
  <c r="J48" i="15"/>
  <c r="C48" i="15"/>
  <c r="N48" i="15"/>
  <c r="L48" i="15"/>
  <c r="D48" i="15"/>
  <c r="N17" i="14"/>
  <c r="B17" i="14"/>
  <c r="A17" i="14"/>
  <c r="F17" i="14"/>
  <c r="N47" i="13"/>
  <c r="E47" i="13"/>
  <c r="J47" i="13"/>
  <c r="K47" i="13"/>
  <c r="D47" i="13"/>
  <c r="N93" i="17"/>
  <c r="G93" i="17"/>
  <c r="E93" i="17"/>
  <c r="H79" i="14"/>
  <c r="C79" i="14"/>
  <c r="A79" i="14"/>
  <c r="N37" i="13"/>
  <c r="E37" i="13"/>
  <c r="I37" i="13"/>
  <c r="D37" i="13"/>
  <c r="K29" i="20"/>
  <c r="F29" i="20"/>
  <c r="N29" i="20"/>
  <c r="I29" i="20"/>
  <c r="C29" i="20"/>
  <c r="A29" i="20"/>
  <c r="E37" i="16"/>
  <c r="H37" i="16"/>
  <c r="F37" i="16"/>
  <c r="C37" i="16"/>
  <c r="K37" i="16"/>
  <c r="G37" i="16"/>
  <c r="K20" i="15"/>
  <c r="J20" i="15"/>
  <c r="H20" i="15"/>
  <c r="G20" i="15"/>
  <c r="A20" i="15"/>
  <c r="E20" i="15"/>
  <c r="D20" i="15"/>
  <c r="N124" i="17"/>
  <c r="F124" i="17"/>
  <c r="B124" i="17"/>
  <c r="M124" i="17"/>
  <c r="H124" i="17"/>
  <c r="E124" i="17"/>
  <c r="C124" i="17"/>
  <c r="A124" i="17"/>
  <c r="L124" i="17"/>
  <c r="G124" i="17"/>
  <c r="K124" i="17"/>
  <c r="N99" i="15"/>
  <c r="I99" i="15"/>
  <c r="F99" i="15"/>
  <c r="A99" i="15"/>
  <c r="E99" i="15"/>
  <c r="C99" i="15"/>
  <c r="K130" i="16"/>
  <c r="I130" i="16"/>
  <c r="A130" i="16"/>
  <c r="L130" i="16"/>
  <c r="N130" i="16"/>
  <c r="M130" i="16"/>
  <c r="J130" i="16"/>
  <c r="H130" i="16"/>
  <c r="G130" i="16"/>
  <c r="E130" i="16"/>
  <c r="J56" i="17"/>
  <c r="G56" i="17"/>
  <c r="E56" i="17"/>
  <c r="N56" i="17"/>
  <c r="B56" i="17"/>
  <c r="D56" i="17"/>
  <c r="A56" i="17"/>
  <c r="C56" i="17"/>
  <c r="N81" i="10"/>
  <c r="J81" i="10"/>
  <c r="I81" i="10"/>
  <c r="H81" i="10"/>
  <c r="L81" i="10"/>
  <c r="K81" i="10"/>
  <c r="F81" i="10"/>
  <c r="F100" i="10"/>
  <c r="B100" i="10"/>
  <c r="A100" i="10"/>
  <c r="N100" i="10"/>
  <c r="K100" i="10"/>
  <c r="H100" i="10"/>
  <c r="N65" i="10"/>
  <c r="A65" i="10"/>
  <c r="K65" i="10"/>
  <c r="F65" i="10"/>
  <c r="E65" i="10"/>
  <c r="C65" i="10"/>
  <c r="J65" i="10"/>
  <c r="H65" i="10"/>
  <c r="B65" i="10"/>
  <c r="L65" i="10"/>
  <c r="N56" i="11"/>
  <c r="J56" i="11"/>
  <c r="I56" i="11"/>
  <c r="H56" i="11"/>
  <c r="F56" i="11"/>
  <c r="D56" i="11"/>
  <c r="E56" i="11"/>
  <c r="C56" i="11"/>
  <c r="A56" i="11"/>
  <c r="H118" i="10"/>
  <c r="M118" i="10"/>
  <c r="K118" i="10"/>
  <c r="I118" i="10"/>
  <c r="L118" i="10"/>
  <c r="J118" i="10"/>
  <c r="K31" i="11"/>
  <c r="D31" i="11"/>
  <c r="L31" i="11"/>
  <c r="J31" i="11"/>
  <c r="I31" i="11"/>
  <c r="G31" i="11"/>
  <c r="A31" i="11"/>
  <c r="N31" i="11"/>
  <c r="C31" i="11"/>
  <c r="I108" i="11"/>
  <c r="L108" i="11"/>
  <c r="N108" i="11"/>
  <c r="E108" i="11"/>
  <c r="A108" i="11"/>
  <c r="N48" i="11"/>
  <c r="H48" i="11"/>
  <c r="J48" i="11"/>
  <c r="C48" i="11"/>
  <c r="A48" i="11"/>
  <c r="E48" i="11"/>
  <c r="D48" i="11"/>
  <c r="I48" i="11"/>
  <c r="F48" i="11"/>
  <c r="N58" i="11"/>
  <c r="G58" i="11"/>
  <c r="N41" i="11"/>
  <c r="I41" i="11"/>
  <c r="J41" i="11"/>
  <c r="H41" i="11"/>
  <c r="E41" i="11"/>
  <c r="G41" i="11"/>
  <c r="F41" i="11"/>
  <c r="N30" i="13"/>
  <c r="J30" i="13"/>
  <c r="I30" i="13"/>
  <c r="B30" i="13"/>
  <c r="K30" i="13"/>
  <c r="C30" i="13"/>
  <c r="A30" i="13"/>
  <c r="D30" i="13"/>
  <c r="N128" i="13"/>
  <c r="L128" i="13"/>
  <c r="I128" i="13"/>
  <c r="E128" i="13"/>
  <c r="N129" i="13"/>
  <c r="L129" i="13"/>
  <c r="G129" i="13"/>
  <c r="L113" i="15"/>
  <c r="J113" i="15"/>
  <c r="G113" i="15"/>
  <c r="F113" i="15"/>
  <c r="M113" i="15"/>
  <c r="B113" i="15"/>
  <c r="A113" i="15"/>
  <c r="K113" i="15"/>
  <c r="I113" i="15"/>
  <c r="C113" i="15"/>
  <c r="E113" i="15"/>
  <c r="D113" i="15"/>
  <c r="I34" i="16"/>
  <c r="E34" i="16"/>
  <c r="A34" i="16"/>
  <c r="J34" i="16"/>
  <c r="H34" i="16"/>
  <c r="G34" i="16"/>
  <c r="B34" i="16"/>
  <c r="K34" i="16"/>
  <c r="F34" i="16"/>
  <c r="D34" i="16"/>
  <c r="C34" i="16"/>
  <c r="N34" i="16"/>
  <c r="N61" i="15"/>
  <c r="J61" i="15"/>
  <c r="I61" i="15"/>
  <c r="E61" i="15"/>
  <c r="C61" i="15"/>
  <c r="L61" i="15"/>
  <c r="A61" i="15"/>
  <c r="J66" i="13"/>
  <c r="N66" i="13"/>
  <c r="I66" i="13"/>
  <c r="K66" i="13"/>
  <c r="G66" i="13"/>
  <c r="F66" i="13"/>
  <c r="D66" i="13"/>
  <c r="C66" i="13"/>
  <c r="A66" i="13"/>
  <c r="H66" i="13"/>
  <c r="E66" i="13"/>
  <c r="B66" i="13"/>
  <c r="L66" i="13"/>
  <c r="K56" i="14"/>
  <c r="G56" i="14"/>
  <c r="F56" i="14"/>
  <c r="E56" i="14"/>
  <c r="D56" i="14"/>
  <c r="N56" i="14"/>
  <c r="L56" i="14"/>
  <c r="C56" i="14"/>
  <c r="J56" i="14"/>
  <c r="H56" i="14"/>
  <c r="A56" i="14"/>
  <c r="F97" i="15"/>
  <c r="L97" i="15"/>
  <c r="J97" i="15"/>
  <c r="G97" i="15"/>
  <c r="D97" i="15"/>
  <c r="C97" i="15"/>
  <c r="G78" i="13"/>
  <c r="I78" i="13"/>
  <c r="C78" i="13"/>
  <c r="G93" i="14"/>
  <c r="N93" i="14"/>
  <c r="N98" i="15"/>
  <c r="K98" i="15"/>
  <c r="J98" i="15"/>
  <c r="G98" i="15"/>
  <c r="I98" i="15"/>
  <c r="H98" i="15"/>
  <c r="F98" i="15"/>
  <c r="E98" i="15"/>
  <c r="D98" i="15"/>
  <c r="J96" i="16"/>
  <c r="I96" i="16"/>
  <c r="H96" i="16"/>
  <c r="E96" i="16"/>
  <c r="D96" i="16"/>
  <c r="C96" i="16"/>
  <c r="B96" i="16"/>
  <c r="F96" i="16"/>
  <c r="N96" i="16"/>
  <c r="K96" i="16"/>
  <c r="G96" i="16"/>
  <c r="A96" i="16"/>
  <c r="H70" i="14"/>
  <c r="L70" i="14"/>
  <c r="G70" i="14"/>
  <c r="F70" i="14"/>
  <c r="E70" i="14"/>
  <c r="D70" i="14"/>
  <c r="B70" i="14"/>
  <c r="A70" i="14"/>
  <c r="N70" i="14"/>
  <c r="J70" i="14"/>
  <c r="I70" i="14"/>
  <c r="K70" i="14"/>
  <c r="C70" i="14"/>
  <c r="I59" i="17"/>
  <c r="F59" i="17"/>
  <c r="E59" i="17"/>
  <c r="B59" i="17"/>
  <c r="J59" i="17"/>
  <c r="H59" i="17"/>
  <c r="D59" i="17"/>
  <c r="J78" i="15"/>
  <c r="H78" i="15"/>
  <c r="N78" i="15"/>
  <c r="G78" i="15"/>
  <c r="F78" i="15"/>
  <c r="D78" i="15"/>
  <c r="C78" i="15"/>
  <c r="A78" i="15"/>
  <c r="K78" i="15"/>
  <c r="I78" i="15"/>
  <c r="B78" i="15"/>
  <c r="K103" i="16"/>
  <c r="H103" i="16"/>
  <c r="I103" i="16"/>
  <c r="J103" i="16"/>
  <c r="K74" i="17"/>
  <c r="A74" i="17"/>
  <c r="E74" i="17"/>
  <c r="I74" i="17"/>
  <c r="N74" i="17"/>
  <c r="N78" i="16"/>
  <c r="B78" i="16"/>
  <c r="A78" i="16"/>
  <c r="L78" i="16"/>
  <c r="K78" i="16"/>
  <c r="J78" i="16"/>
  <c r="I78" i="16"/>
  <c r="H78" i="16"/>
  <c r="F78" i="16"/>
  <c r="F88" i="17"/>
  <c r="C88" i="17"/>
  <c r="J88" i="17"/>
  <c r="I88" i="17"/>
  <c r="K88" i="17"/>
  <c r="G88" i="17"/>
  <c r="E88" i="17"/>
  <c r="D88" i="17"/>
  <c r="B88" i="17"/>
  <c r="H88" i="17"/>
  <c r="N88" i="17"/>
  <c r="A88" i="17"/>
  <c r="K55" i="15"/>
  <c r="H55" i="15"/>
  <c r="E55" i="15"/>
  <c r="D55" i="15"/>
  <c r="C55" i="15"/>
  <c r="B55" i="15"/>
  <c r="A55" i="15"/>
  <c r="G55" i="15"/>
  <c r="F55" i="15"/>
  <c r="N10" i="20"/>
  <c r="J10" i="20"/>
  <c r="N65" i="17"/>
  <c r="E65" i="17"/>
  <c r="A65" i="17"/>
  <c r="L65" i="17"/>
  <c r="G65" i="17"/>
  <c r="J65" i="17"/>
  <c r="I65" i="17"/>
  <c r="F65" i="17"/>
  <c r="K65" i="17"/>
  <c r="H65" i="17"/>
  <c r="G42" i="17"/>
  <c r="C42" i="17"/>
  <c r="K42" i="17"/>
  <c r="J42" i="17"/>
  <c r="I42" i="17"/>
  <c r="N42" i="17"/>
  <c r="L42" i="17"/>
  <c r="H42" i="17"/>
  <c r="D42" i="17"/>
  <c r="F42" i="17"/>
  <c r="E42" i="17"/>
  <c r="N34" i="21"/>
  <c r="I34" i="21"/>
  <c r="E12" i="17"/>
  <c r="C12" i="17"/>
  <c r="A12" i="17"/>
  <c r="K12" i="17"/>
  <c r="I12" i="17"/>
  <c r="J12" i="17"/>
  <c r="H12" i="17"/>
  <c r="G12" i="17"/>
  <c r="D12" i="17"/>
  <c r="N12" i="17"/>
  <c r="B26" i="18"/>
  <c r="C26" i="18"/>
  <c r="I26" i="18"/>
  <c r="A26" i="18"/>
  <c r="H26" i="18"/>
  <c r="E26" i="18"/>
  <c r="G26" i="18"/>
  <c r="D26" i="18"/>
  <c r="F22" i="17"/>
  <c r="H22" i="17"/>
  <c r="G22" i="17"/>
  <c r="J22" i="17"/>
  <c r="N41" i="16"/>
  <c r="A41" i="16"/>
  <c r="B41" i="16"/>
  <c r="L41" i="16"/>
  <c r="I41" i="16"/>
  <c r="G41" i="16"/>
  <c r="C41" i="16"/>
  <c r="A75" i="18"/>
  <c r="I75" i="18"/>
  <c r="G75" i="18"/>
  <c r="D75" i="18"/>
  <c r="L25" i="17"/>
  <c r="F25" i="17"/>
  <c r="N25" i="17"/>
  <c r="J25" i="17"/>
  <c r="I25" i="17"/>
  <c r="H25" i="17"/>
  <c r="A25" i="17"/>
  <c r="N62" i="10"/>
  <c r="K62" i="10"/>
  <c r="H62" i="10"/>
  <c r="I62" i="10"/>
  <c r="E62" i="10"/>
  <c r="C62" i="10"/>
  <c r="B62" i="10"/>
  <c r="O37" i="5"/>
  <c r="G23" i="11"/>
  <c r="K23" i="11"/>
  <c r="I23" i="11"/>
  <c r="D23" i="11"/>
  <c r="A23" i="11"/>
  <c r="N23" i="11"/>
  <c r="L23" i="11"/>
  <c r="K44" i="11"/>
  <c r="H44" i="11"/>
  <c r="D44" i="11"/>
  <c r="N34" i="12"/>
  <c r="J34" i="12"/>
  <c r="I34" i="12"/>
  <c r="H34" i="12"/>
  <c r="E34" i="12"/>
  <c r="C34" i="12"/>
  <c r="A34" i="12"/>
  <c r="B34" i="12"/>
  <c r="N121" i="10"/>
  <c r="K121" i="10"/>
  <c r="J121" i="10"/>
  <c r="H121" i="10"/>
  <c r="F121" i="10"/>
  <c r="M121" i="10"/>
  <c r="B121" i="10"/>
  <c r="H45" i="12"/>
  <c r="C45" i="12"/>
  <c r="E45" i="12"/>
  <c r="B45" i="12"/>
  <c r="L45" i="12"/>
  <c r="D45" i="12"/>
  <c r="A75" i="11"/>
  <c r="K75" i="11"/>
  <c r="H75" i="11"/>
  <c r="G75" i="11"/>
  <c r="F75" i="11"/>
  <c r="E75" i="11"/>
  <c r="C75" i="11"/>
  <c r="N75" i="11"/>
  <c r="J75" i="11"/>
  <c r="I75" i="11"/>
  <c r="D75" i="11"/>
  <c r="B75" i="11"/>
  <c r="L37" i="12"/>
  <c r="F37" i="12"/>
  <c r="H68" i="11"/>
  <c r="I68" i="11"/>
  <c r="G68" i="11"/>
  <c r="F68" i="11"/>
  <c r="D68" i="11"/>
  <c r="J68" i="11"/>
  <c r="A68" i="11"/>
  <c r="K77" i="11"/>
  <c r="F77" i="11"/>
  <c r="L77" i="11"/>
  <c r="C77" i="11"/>
  <c r="A77" i="11"/>
  <c r="N77" i="11"/>
  <c r="J77" i="11"/>
  <c r="I77" i="11"/>
  <c r="H77" i="11"/>
  <c r="G77" i="11"/>
  <c r="E77" i="11"/>
  <c r="D77" i="11"/>
  <c r="B77" i="11"/>
  <c r="N64" i="10"/>
  <c r="J64" i="10"/>
  <c r="G64" i="10"/>
  <c r="A64" i="10"/>
  <c r="D64" i="10"/>
  <c r="K49" i="14"/>
  <c r="H49" i="14"/>
  <c r="G49" i="14"/>
  <c r="F49" i="14"/>
  <c r="A49" i="14"/>
  <c r="L49" i="14"/>
  <c r="J49" i="14"/>
  <c r="I49" i="14"/>
  <c r="E49" i="14"/>
  <c r="C49" i="14"/>
  <c r="B49" i="14"/>
  <c r="N49" i="14"/>
  <c r="D49" i="14"/>
  <c r="K51" i="14"/>
  <c r="J51" i="14"/>
  <c r="H51" i="14"/>
  <c r="F51" i="14"/>
  <c r="D51" i="14"/>
  <c r="C51" i="14"/>
  <c r="A51" i="14"/>
  <c r="B51" i="14"/>
  <c r="I51" i="14"/>
  <c r="G51" i="14"/>
  <c r="L135" i="15"/>
  <c r="M135" i="15"/>
  <c r="K61" i="17"/>
  <c r="G61" i="17"/>
  <c r="B61" i="17"/>
  <c r="L61" i="17"/>
  <c r="J61" i="17"/>
  <c r="I61" i="17"/>
  <c r="D61" i="17"/>
  <c r="E61" i="17"/>
  <c r="N61" i="17"/>
  <c r="F61" i="17"/>
  <c r="H61" i="17"/>
  <c r="C61" i="17"/>
  <c r="A61" i="17"/>
  <c r="L69" i="16"/>
  <c r="G69" i="16"/>
  <c r="B69" i="16"/>
  <c r="F69" i="16"/>
  <c r="D69" i="16"/>
  <c r="C69" i="16"/>
  <c r="A69" i="16"/>
  <c r="N69" i="16"/>
  <c r="K69" i="16"/>
  <c r="J69" i="16"/>
  <c r="H69" i="16"/>
  <c r="J84" i="15"/>
  <c r="B84" i="15"/>
  <c r="E25" i="14"/>
  <c r="C25" i="14"/>
  <c r="N61" i="14"/>
  <c r="E61" i="14"/>
  <c r="H15" i="14"/>
  <c r="C15" i="14"/>
  <c r="M112" i="15"/>
  <c r="H112" i="15"/>
  <c r="F112" i="15"/>
  <c r="C112" i="15"/>
  <c r="N112" i="15"/>
  <c r="L112" i="15"/>
  <c r="K112" i="15"/>
  <c r="J112" i="15"/>
  <c r="D112" i="15"/>
  <c r="I106" i="15"/>
  <c r="N106" i="15"/>
  <c r="L106" i="15"/>
  <c r="K106" i="15"/>
  <c r="J106" i="15"/>
  <c r="F106" i="15"/>
  <c r="G106" i="15"/>
  <c r="E106" i="15"/>
  <c r="D106" i="15"/>
  <c r="B106" i="15"/>
  <c r="H66" i="18"/>
  <c r="K66" i="18"/>
  <c r="E66" i="18"/>
  <c r="J66" i="18"/>
  <c r="F66" i="18"/>
  <c r="N66" i="18"/>
  <c r="L66" i="18"/>
  <c r="I66" i="18"/>
  <c r="K73" i="14"/>
  <c r="L73" i="14"/>
  <c r="N73" i="14"/>
  <c r="J73" i="14"/>
  <c r="H73" i="14"/>
  <c r="G73" i="14"/>
  <c r="F73" i="14"/>
  <c r="E73" i="14"/>
  <c r="B73" i="14"/>
  <c r="I73" i="14"/>
  <c r="D73" i="14"/>
  <c r="C73" i="14"/>
  <c r="A73" i="14"/>
  <c r="B18" i="18"/>
  <c r="I18" i="18"/>
  <c r="N18" i="18"/>
  <c r="D18" i="18"/>
  <c r="K18" i="18"/>
  <c r="L18" i="18"/>
  <c r="A18" i="18"/>
  <c r="H18" i="18"/>
  <c r="G18" i="18"/>
  <c r="F18" i="18"/>
  <c r="E18" i="18"/>
  <c r="C18" i="18"/>
  <c r="L111" i="15"/>
  <c r="I111" i="15"/>
  <c r="F111" i="15"/>
  <c r="H111" i="15"/>
  <c r="M111" i="15"/>
  <c r="G111" i="15"/>
  <c r="E111" i="15"/>
  <c r="A111" i="15"/>
  <c r="K111" i="15"/>
  <c r="J111" i="15"/>
  <c r="L123" i="16"/>
  <c r="M123" i="16"/>
  <c r="N123" i="16"/>
  <c r="N81" i="17"/>
  <c r="I81" i="17"/>
  <c r="F81" i="17"/>
  <c r="B81" i="17"/>
  <c r="J81" i="17"/>
  <c r="E81" i="17"/>
  <c r="A81" i="17"/>
  <c r="N97" i="16"/>
  <c r="L97" i="16"/>
  <c r="K97" i="16"/>
  <c r="N106" i="17"/>
  <c r="G106" i="17"/>
  <c r="K106" i="17"/>
  <c r="D106" i="17"/>
  <c r="I106" i="17"/>
  <c r="A106" i="17"/>
  <c r="N64" i="15"/>
  <c r="J64" i="15"/>
  <c r="H64" i="15"/>
  <c r="F64" i="15"/>
  <c r="D64" i="15"/>
  <c r="C64" i="15"/>
  <c r="K64" i="15"/>
  <c r="F63" i="5"/>
  <c r="A108" i="10"/>
  <c r="Y10" i="24"/>
  <c r="M9" i="13"/>
  <c r="N17" i="20"/>
  <c r="F17" i="20"/>
  <c r="G17" i="20"/>
  <c r="H17" i="20"/>
  <c r="N100" i="17"/>
  <c r="L100" i="17"/>
  <c r="G100" i="17"/>
  <c r="J100" i="17"/>
  <c r="N67" i="18"/>
  <c r="G67" i="18"/>
  <c r="F67" i="18"/>
  <c r="D67" i="18"/>
  <c r="I67" i="18"/>
  <c r="F60" i="18"/>
  <c r="C60" i="18"/>
  <c r="H60" i="18"/>
  <c r="G60" i="18"/>
  <c r="D60" i="18"/>
  <c r="N31" i="17"/>
  <c r="D31" i="17"/>
  <c r="A31" i="17"/>
  <c r="I31" i="17"/>
  <c r="F31" i="17"/>
  <c r="L31" i="17"/>
  <c r="K31" i="17"/>
  <c r="B31" i="17"/>
  <c r="E31" i="17"/>
  <c r="C31" i="17"/>
  <c r="N59" i="16"/>
  <c r="L59" i="16"/>
  <c r="K59" i="16"/>
  <c r="F59" i="16"/>
  <c r="C59" i="16"/>
  <c r="J59" i="16"/>
  <c r="I59" i="16"/>
  <c r="H59" i="16"/>
  <c r="G59" i="16"/>
  <c r="E59" i="16"/>
  <c r="H46" i="19"/>
  <c r="D46" i="19"/>
  <c r="A46" i="19"/>
  <c r="N28" i="17"/>
  <c r="J28" i="17"/>
  <c r="D28" i="17"/>
  <c r="H28" i="17"/>
  <c r="B28" i="17"/>
  <c r="E28" i="17"/>
  <c r="A37" i="10"/>
  <c r="N37" i="10"/>
  <c r="J37" i="10"/>
  <c r="I37" i="10"/>
  <c r="H37" i="10"/>
  <c r="L37" i="10"/>
  <c r="K37" i="10"/>
  <c r="G37" i="10"/>
  <c r="F37" i="10"/>
  <c r="E37" i="10"/>
  <c r="D37" i="10"/>
  <c r="C37" i="10"/>
  <c r="G29" i="11"/>
  <c r="B29" i="11"/>
  <c r="J29" i="11"/>
  <c r="F29" i="11"/>
  <c r="E29" i="11"/>
  <c r="C29" i="11"/>
  <c r="A29" i="11"/>
  <c r="I29" i="11"/>
  <c r="K55" i="12"/>
  <c r="C55" i="12"/>
  <c r="K89" i="14"/>
  <c r="H89" i="14"/>
  <c r="J89" i="14"/>
  <c r="I89" i="14"/>
  <c r="C89" i="14"/>
  <c r="D89" i="14"/>
  <c r="B89" i="14"/>
  <c r="G89" i="14"/>
  <c r="A89" i="14"/>
  <c r="F89" i="14"/>
  <c r="N89" i="14"/>
  <c r="E89" i="14"/>
  <c r="A124" i="10"/>
  <c r="N124" i="10"/>
  <c r="M124" i="10"/>
  <c r="L124" i="10"/>
  <c r="K124" i="10"/>
  <c r="I124" i="10"/>
  <c r="H124" i="10"/>
  <c r="F124" i="10"/>
  <c r="B124" i="10"/>
  <c r="E124" i="10"/>
  <c r="C124" i="10"/>
  <c r="N44" i="13"/>
  <c r="H44" i="13"/>
  <c r="G44" i="13"/>
  <c r="C44" i="13"/>
  <c r="J44" i="13"/>
  <c r="F44" i="13"/>
  <c r="K101" i="11"/>
  <c r="F101" i="11"/>
  <c r="J101" i="11"/>
  <c r="G101" i="11"/>
  <c r="D101" i="11"/>
  <c r="C101" i="11"/>
  <c r="A101" i="11"/>
  <c r="N101" i="11"/>
  <c r="L101" i="11"/>
  <c r="H101" i="11"/>
  <c r="I101" i="11"/>
  <c r="L112" i="12"/>
  <c r="N112" i="12"/>
  <c r="G112" i="12"/>
  <c r="C112" i="12"/>
  <c r="M112" i="12"/>
  <c r="E112" i="12"/>
  <c r="A112" i="12"/>
  <c r="J112" i="12"/>
  <c r="H112" i="12"/>
  <c r="F112" i="12"/>
  <c r="D112" i="12"/>
  <c r="B112" i="12"/>
  <c r="A91" i="11"/>
  <c r="C91" i="11"/>
  <c r="D91" i="11"/>
  <c r="N91" i="11"/>
  <c r="L91" i="11"/>
  <c r="J91" i="11"/>
  <c r="I91" i="11"/>
  <c r="H91" i="11"/>
  <c r="G91" i="11"/>
  <c r="F91" i="11"/>
  <c r="E91" i="11"/>
  <c r="B91" i="11"/>
  <c r="M128" i="11"/>
  <c r="D128" i="11"/>
  <c r="L128" i="11"/>
  <c r="J128" i="11"/>
  <c r="B128" i="11"/>
  <c r="G128" i="11"/>
  <c r="N65" i="13"/>
  <c r="L65" i="13"/>
  <c r="K65" i="13"/>
  <c r="J65" i="13"/>
  <c r="D65" i="13"/>
  <c r="A67" i="10"/>
  <c r="N67" i="10"/>
  <c r="K67" i="10"/>
  <c r="I67" i="10"/>
  <c r="H67" i="10"/>
  <c r="G67" i="10"/>
  <c r="E67" i="10"/>
  <c r="F67" i="10"/>
  <c r="D67" i="10"/>
  <c r="C67" i="10"/>
  <c r="J67" i="10"/>
  <c r="H87" i="13"/>
  <c r="N87" i="13"/>
  <c r="L35" i="12"/>
  <c r="K35" i="12"/>
  <c r="N35" i="12"/>
  <c r="H35" i="12"/>
  <c r="G35" i="12"/>
  <c r="F35" i="12"/>
  <c r="E35" i="12"/>
  <c r="D35" i="12"/>
  <c r="C35" i="12"/>
  <c r="B35" i="12"/>
  <c r="A35" i="12"/>
  <c r="J35" i="12"/>
  <c r="I35" i="12"/>
  <c r="K76" i="14"/>
  <c r="G76" i="14"/>
  <c r="F76" i="14"/>
  <c r="E76" i="14"/>
  <c r="I76" i="14"/>
  <c r="H76" i="14"/>
  <c r="N15" i="13"/>
  <c r="G15" i="13"/>
  <c r="F15" i="13"/>
  <c r="E15" i="13"/>
  <c r="D15" i="13"/>
  <c r="H15" i="13"/>
  <c r="C15" i="13"/>
  <c r="A15" i="13"/>
  <c r="I15" i="13"/>
  <c r="K15" i="13"/>
  <c r="J15" i="13"/>
  <c r="B15" i="13"/>
  <c r="F65" i="12"/>
  <c r="H65" i="12"/>
  <c r="D65" i="12"/>
  <c r="C65" i="12"/>
  <c r="J65" i="12"/>
  <c r="E65" i="12"/>
  <c r="N65" i="12"/>
  <c r="L65" i="12"/>
  <c r="K65" i="12"/>
  <c r="I65" i="12"/>
  <c r="G65" i="12"/>
  <c r="B65" i="12"/>
  <c r="N29" i="16"/>
  <c r="F29" i="16"/>
  <c r="H29" i="16"/>
  <c r="K57" i="14"/>
  <c r="N57" i="14"/>
  <c r="L57" i="14"/>
  <c r="H57" i="14"/>
  <c r="G57" i="14"/>
  <c r="F57" i="14"/>
  <c r="E57" i="14"/>
  <c r="C57" i="14"/>
  <c r="B57" i="14"/>
  <c r="A57" i="14"/>
  <c r="J57" i="14"/>
  <c r="I57" i="14"/>
  <c r="D57" i="14"/>
  <c r="H78" i="14"/>
  <c r="I78" i="14"/>
  <c r="N78" i="14"/>
  <c r="E78" i="14"/>
  <c r="K78" i="14"/>
  <c r="J78" i="14"/>
  <c r="F78" i="14"/>
  <c r="D78" i="14"/>
  <c r="A78" i="14"/>
  <c r="C78" i="14"/>
  <c r="B78" i="14"/>
  <c r="G78" i="14"/>
  <c r="H76" i="16"/>
  <c r="E76" i="16"/>
  <c r="N76" i="16"/>
  <c r="L76" i="16"/>
  <c r="G76" i="16"/>
  <c r="F76" i="16"/>
  <c r="D76" i="16"/>
  <c r="B76" i="16"/>
  <c r="A76" i="16"/>
  <c r="H38" i="14"/>
  <c r="G38" i="14"/>
  <c r="F38" i="14"/>
  <c r="A38" i="14"/>
  <c r="L38" i="14"/>
  <c r="K38" i="14"/>
  <c r="J38" i="14"/>
  <c r="I38" i="14"/>
  <c r="D38" i="14"/>
  <c r="E38" i="14"/>
  <c r="C38" i="14"/>
  <c r="B38" i="14"/>
  <c r="N38" i="14"/>
  <c r="J132" i="15"/>
  <c r="L132" i="15"/>
  <c r="D132" i="15"/>
  <c r="B132" i="15"/>
  <c r="J56" i="16"/>
  <c r="I56" i="16"/>
  <c r="H56" i="16"/>
  <c r="C56" i="16"/>
  <c r="A56" i="16"/>
  <c r="N56" i="16"/>
  <c r="K56" i="16"/>
  <c r="E56" i="16"/>
  <c r="B56" i="16"/>
  <c r="G56" i="16"/>
  <c r="F56" i="16"/>
  <c r="D56" i="16"/>
  <c r="K24" i="20"/>
  <c r="J24" i="20"/>
  <c r="F24" i="20"/>
  <c r="I24" i="20"/>
  <c r="H24" i="20"/>
  <c r="C24" i="20"/>
  <c r="L24" i="20"/>
  <c r="E24" i="20"/>
  <c r="D24" i="20"/>
  <c r="B24" i="20"/>
  <c r="N24" i="20"/>
  <c r="A24" i="20"/>
  <c r="K81" i="14"/>
  <c r="G81" i="14"/>
  <c r="L81" i="14"/>
  <c r="D81" i="14"/>
  <c r="C81" i="14"/>
  <c r="A81" i="14"/>
  <c r="N81" i="14"/>
  <c r="J81" i="14"/>
  <c r="H81" i="14"/>
  <c r="F81" i="14"/>
  <c r="E81" i="14"/>
  <c r="B81" i="14"/>
  <c r="I81" i="14"/>
  <c r="A93" i="18"/>
  <c r="B93" i="18"/>
  <c r="C93" i="18"/>
  <c r="F93" i="18"/>
  <c r="M118" i="15"/>
  <c r="N118" i="15"/>
  <c r="I118" i="15"/>
  <c r="H118" i="15"/>
  <c r="L118" i="15"/>
  <c r="G118" i="15"/>
  <c r="F118" i="15"/>
  <c r="D118" i="15"/>
  <c r="C118" i="15"/>
  <c r="A118" i="15"/>
  <c r="K118" i="15"/>
  <c r="J118" i="15"/>
  <c r="B118" i="15"/>
  <c r="E28" i="18"/>
  <c r="B28" i="18"/>
  <c r="A28" i="18"/>
  <c r="G28" i="18"/>
  <c r="F28" i="18"/>
  <c r="C28" i="18"/>
  <c r="J114" i="16"/>
  <c r="H114" i="16"/>
  <c r="F114" i="16"/>
  <c r="E114" i="16"/>
  <c r="D114" i="16"/>
  <c r="G114" i="16"/>
  <c r="A114" i="16"/>
  <c r="N114" i="16"/>
  <c r="C114" i="16"/>
  <c r="M114" i="16"/>
  <c r="L114" i="16"/>
  <c r="K114" i="16"/>
  <c r="I114" i="16"/>
  <c r="B114" i="16"/>
  <c r="N110" i="19"/>
  <c r="I110" i="19"/>
  <c r="J110" i="19"/>
  <c r="F80" i="15"/>
  <c r="D80" i="15"/>
  <c r="N80" i="15"/>
  <c r="J80" i="15"/>
  <c r="H80" i="15"/>
  <c r="C80" i="15"/>
  <c r="K80" i="15"/>
  <c r="N12" i="23"/>
  <c r="I12" i="23"/>
  <c r="L12" i="23"/>
  <c r="H12" i="23"/>
  <c r="J12" i="23"/>
  <c r="C12" i="23"/>
  <c r="F116" i="17"/>
  <c r="H116" i="17"/>
  <c r="I116" i="17"/>
  <c r="A116" i="17"/>
  <c r="L116" i="17"/>
  <c r="K116" i="17"/>
  <c r="G116" i="17"/>
  <c r="C116" i="17"/>
  <c r="B116" i="17"/>
  <c r="M116" i="17"/>
  <c r="N116" i="17"/>
  <c r="C49" i="19"/>
  <c r="N49" i="19"/>
  <c r="C27" i="22"/>
  <c r="D27" i="22"/>
  <c r="E27" i="22"/>
  <c r="H27" i="22"/>
  <c r="N77" i="18"/>
  <c r="K77" i="18"/>
  <c r="A77" i="18"/>
  <c r="I77" i="18"/>
  <c r="F77" i="18"/>
  <c r="D77" i="18"/>
  <c r="L77" i="18"/>
  <c r="J77" i="18"/>
  <c r="K12" i="19"/>
  <c r="G12" i="19"/>
  <c r="K16" i="20"/>
  <c r="H16" i="20"/>
  <c r="F16" i="20"/>
  <c r="C16" i="20"/>
  <c r="B16" i="20"/>
  <c r="N16" i="20"/>
  <c r="J16" i="20"/>
  <c r="I16" i="20"/>
  <c r="E16" i="20"/>
  <c r="D16" i="20"/>
  <c r="A16" i="20"/>
  <c r="K33" i="17"/>
  <c r="J33" i="17"/>
  <c r="N33" i="17"/>
  <c r="I33" i="17"/>
  <c r="H33" i="17"/>
  <c r="G33" i="17"/>
  <c r="F33" i="17"/>
  <c r="E33" i="17"/>
  <c r="A33" i="17"/>
  <c r="C70" i="12"/>
  <c r="K70" i="12"/>
  <c r="J70" i="12"/>
  <c r="I70" i="12"/>
  <c r="B70" i="12"/>
  <c r="F70" i="12"/>
  <c r="D70" i="12"/>
  <c r="N112" i="11"/>
  <c r="C112" i="11"/>
  <c r="G112" i="11"/>
  <c r="L112" i="11"/>
  <c r="K112" i="11"/>
  <c r="J112" i="11"/>
  <c r="I112" i="11"/>
  <c r="F112" i="11"/>
  <c r="M112" i="11"/>
  <c r="D112" i="11"/>
  <c r="H112" i="11"/>
  <c r="A112" i="11"/>
  <c r="K121" i="14"/>
  <c r="G121" i="14"/>
  <c r="M121" i="14"/>
  <c r="J121" i="14"/>
  <c r="I121" i="14"/>
  <c r="F121" i="14"/>
  <c r="H121" i="14"/>
  <c r="E121" i="14"/>
  <c r="D121" i="14"/>
  <c r="C121" i="14"/>
  <c r="A121" i="14"/>
  <c r="N121" i="14"/>
  <c r="L121" i="14"/>
  <c r="B121" i="14"/>
  <c r="F10" i="10"/>
  <c r="E10" i="10"/>
  <c r="D10" i="10"/>
  <c r="C10" i="10"/>
  <c r="A10" i="10"/>
  <c r="N10" i="10"/>
  <c r="K10" i="10"/>
  <c r="J10" i="10"/>
  <c r="I10" i="10"/>
  <c r="H10" i="10"/>
  <c r="G10" i="10"/>
  <c r="G53" i="11"/>
  <c r="J53" i="11"/>
  <c r="E53" i="11"/>
  <c r="C53" i="11"/>
  <c r="B53" i="11"/>
  <c r="E96" i="13"/>
  <c r="D96" i="13"/>
  <c r="C96" i="13"/>
  <c r="B96" i="13"/>
  <c r="N96" i="13"/>
  <c r="K96" i="13"/>
  <c r="I96" i="13"/>
  <c r="H96" i="13"/>
  <c r="F96" i="13"/>
  <c r="G96" i="13"/>
  <c r="A96" i="13"/>
  <c r="J96" i="13"/>
  <c r="K109" i="11"/>
  <c r="F109" i="11"/>
  <c r="M109" i="11"/>
  <c r="L109" i="11"/>
  <c r="I109" i="11"/>
  <c r="H109" i="11"/>
  <c r="E109" i="11"/>
  <c r="N109" i="11"/>
  <c r="G109" i="11"/>
  <c r="D109" i="11"/>
  <c r="C109" i="11"/>
  <c r="B109" i="11"/>
  <c r="A109" i="11"/>
  <c r="M118" i="11"/>
  <c r="N118" i="11"/>
  <c r="B118" i="11"/>
  <c r="C118" i="11"/>
  <c r="E118" i="11"/>
  <c r="F118" i="11"/>
  <c r="L118" i="11"/>
  <c r="J118" i="11"/>
  <c r="K118" i="11"/>
  <c r="I118" i="11"/>
  <c r="G118" i="11"/>
  <c r="N72" i="13"/>
  <c r="I72" i="13"/>
  <c r="F72" i="13"/>
  <c r="K72" i="13"/>
  <c r="L72" i="13"/>
  <c r="G72" i="13"/>
  <c r="E72" i="13"/>
  <c r="J33" i="15"/>
  <c r="F33" i="15"/>
  <c r="L33" i="15"/>
  <c r="G33" i="15"/>
  <c r="D33" i="15"/>
  <c r="C33" i="15"/>
  <c r="G103" i="13"/>
  <c r="K103" i="13"/>
  <c r="A103" i="13"/>
  <c r="C103" i="13"/>
  <c r="B103" i="13"/>
  <c r="I103" i="13"/>
  <c r="F103" i="13"/>
  <c r="D103" i="13"/>
  <c r="N103" i="13"/>
  <c r="L103" i="13"/>
  <c r="H103" i="13"/>
  <c r="E103" i="13"/>
  <c r="J103" i="13"/>
  <c r="L43" i="12"/>
  <c r="K43" i="12"/>
  <c r="J43" i="12"/>
  <c r="G43" i="12"/>
  <c r="I43" i="12"/>
  <c r="D43" i="12"/>
  <c r="C43" i="12"/>
  <c r="A43" i="12"/>
  <c r="N43" i="12"/>
  <c r="H43" i="12"/>
  <c r="F43" i="12"/>
  <c r="E43" i="12"/>
  <c r="B43" i="12"/>
  <c r="H86" i="14"/>
  <c r="I86" i="14"/>
  <c r="G86" i="14"/>
  <c r="F86" i="14"/>
  <c r="A86" i="14"/>
  <c r="L86" i="14"/>
  <c r="J86" i="14"/>
  <c r="E86" i="14"/>
  <c r="D86" i="14"/>
  <c r="B86" i="14"/>
  <c r="N86" i="14"/>
  <c r="K86" i="14"/>
  <c r="C86" i="14"/>
  <c r="N97" i="13"/>
  <c r="L97" i="13"/>
  <c r="J97" i="13"/>
  <c r="G97" i="13"/>
  <c r="F97" i="13"/>
  <c r="H97" i="13"/>
  <c r="J106" i="12"/>
  <c r="I106" i="12"/>
  <c r="H106" i="12"/>
  <c r="B106" i="12"/>
  <c r="K106" i="12"/>
  <c r="G106" i="12"/>
  <c r="E106" i="12"/>
  <c r="D106" i="12"/>
  <c r="C106" i="12"/>
  <c r="N106" i="12"/>
  <c r="F106" i="12"/>
  <c r="L16" i="13"/>
  <c r="I16" i="13"/>
  <c r="N16" i="13"/>
  <c r="J16" i="13"/>
  <c r="G16" i="13"/>
  <c r="B16" i="13"/>
  <c r="H16" i="13"/>
  <c r="F16" i="13"/>
  <c r="D16" i="13"/>
  <c r="C16" i="13"/>
  <c r="K64" i="14"/>
  <c r="J64" i="14"/>
  <c r="N64" i="14"/>
  <c r="H64" i="14"/>
  <c r="F64" i="14"/>
  <c r="E64" i="14"/>
  <c r="A64" i="14"/>
  <c r="D64" i="14"/>
  <c r="C64" i="14"/>
  <c r="G64" i="14"/>
  <c r="N127" i="14"/>
  <c r="M127" i="14"/>
  <c r="J127" i="14"/>
  <c r="I127" i="14"/>
  <c r="H127" i="14"/>
  <c r="A127" i="14"/>
  <c r="L127" i="14"/>
  <c r="G127" i="14"/>
  <c r="C127" i="14"/>
  <c r="K127" i="14"/>
  <c r="N37" i="18"/>
  <c r="H37" i="18"/>
  <c r="F37" i="18"/>
  <c r="K65" i="14"/>
  <c r="N65" i="14"/>
  <c r="L65" i="14"/>
  <c r="J65" i="14"/>
  <c r="E65" i="14"/>
  <c r="D65" i="14"/>
  <c r="H65" i="14"/>
  <c r="G65" i="14"/>
  <c r="F65" i="14"/>
  <c r="C65" i="14"/>
  <c r="I65" i="14"/>
  <c r="B65" i="14"/>
  <c r="A65" i="14"/>
  <c r="J22" i="16"/>
  <c r="H22" i="16"/>
  <c r="D22" i="16"/>
  <c r="I22" i="16"/>
  <c r="F22" i="16"/>
  <c r="K22" i="16"/>
  <c r="A22" i="16"/>
  <c r="N22" i="16"/>
  <c r="B22" i="16"/>
  <c r="M118" i="17"/>
  <c r="I118" i="17"/>
  <c r="F118" i="17"/>
  <c r="E118" i="17"/>
  <c r="C118" i="17"/>
  <c r="J118" i="17"/>
  <c r="N118" i="17"/>
  <c r="H118" i="17"/>
  <c r="I85" i="14"/>
  <c r="D85" i="14"/>
  <c r="I42" i="16"/>
  <c r="B42" i="16"/>
  <c r="D42" i="16"/>
  <c r="C42" i="16"/>
  <c r="A42" i="16"/>
  <c r="F42" i="16"/>
  <c r="E42" i="16"/>
  <c r="N42" i="16"/>
  <c r="L42" i="16"/>
  <c r="K42" i="16"/>
  <c r="J42" i="16"/>
  <c r="H42" i="16"/>
  <c r="G42" i="16"/>
  <c r="N20" i="16"/>
  <c r="B20" i="16"/>
  <c r="F20" i="16"/>
  <c r="J20" i="16"/>
  <c r="H20" i="16"/>
  <c r="G20" i="16"/>
  <c r="E20" i="16"/>
  <c r="D20" i="16"/>
  <c r="A20" i="16"/>
  <c r="B65" i="18"/>
  <c r="D65" i="18"/>
  <c r="C65" i="18"/>
  <c r="C13" i="19"/>
  <c r="J13" i="19"/>
  <c r="E13" i="19"/>
  <c r="G13" i="19"/>
  <c r="B13" i="19"/>
  <c r="A13" i="19"/>
  <c r="N13" i="19"/>
  <c r="I13" i="19"/>
  <c r="H13" i="19"/>
  <c r="L13" i="18"/>
  <c r="A13" i="18"/>
  <c r="N31" i="15"/>
  <c r="H31" i="15"/>
  <c r="G31" i="15"/>
  <c r="K31" i="15"/>
  <c r="I31" i="15"/>
  <c r="F31" i="15"/>
  <c r="E31" i="15"/>
  <c r="B31" i="15"/>
  <c r="A31" i="15"/>
  <c r="J31" i="15"/>
  <c r="N50" i="20"/>
  <c r="K50" i="20"/>
  <c r="F21" i="21"/>
  <c r="J21" i="21"/>
  <c r="E21" i="21"/>
  <c r="C21" i="21"/>
  <c r="K21" i="21"/>
  <c r="I21" i="21"/>
  <c r="G21" i="21"/>
  <c r="N21" i="21"/>
  <c r="D21" i="21"/>
  <c r="B21" i="21"/>
  <c r="M123" i="17"/>
  <c r="B123" i="17"/>
  <c r="I123" i="17"/>
  <c r="L123" i="17"/>
  <c r="N48" i="18"/>
  <c r="D48" i="18"/>
  <c r="A48" i="18"/>
  <c r="C48" i="18"/>
  <c r="G32" i="21"/>
  <c r="E32" i="21"/>
  <c r="N32" i="21"/>
  <c r="L32" i="21"/>
  <c r="K32" i="21"/>
  <c r="J32" i="21"/>
  <c r="H32" i="21"/>
  <c r="F32" i="21"/>
  <c r="D32" i="21"/>
  <c r="B32" i="21"/>
  <c r="C32" i="21"/>
  <c r="J84" i="18"/>
  <c r="H84" i="18"/>
  <c r="E84" i="18"/>
  <c r="D84" i="18"/>
  <c r="G84" i="18"/>
  <c r="A84" i="18"/>
  <c r="L84" i="18"/>
  <c r="K84" i="18"/>
  <c r="I84" i="18"/>
  <c r="N84" i="18"/>
  <c r="F84" i="18"/>
  <c r="L41" i="19"/>
  <c r="H41" i="19"/>
  <c r="J41" i="19"/>
  <c r="K41" i="19"/>
  <c r="I41" i="19"/>
  <c r="I52" i="17"/>
  <c r="A52" i="17"/>
  <c r="B52" i="17"/>
  <c r="H52" i="17"/>
  <c r="C52" i="17"/>
  <c r="I111" i="16"/>
  <c r="A111" i="16"/>
  <c r="E111" i="16"/>
  <c r="J111" i="16"/>
  <c r="G111" i="16"/>
  <c r="K111" i="16"/>
  <c r="H111" i="16"/>
  <c r="N21" i="22"/>
  <c r="F21" i="22"/>
  <c r="C21" i="22"/>
  <c r="I21" i="22"/>
  <c r="D21" i="22"/>
  <c r="B21" i="22"/>
  <c r="N46" i="17"/>
  <c r="B46" i="17"/>
  <c r="G46" i="17"/>
  <c r="F46" i="17"/>
  <c r="L46" i="17"/>
  <c r="J46" i="17"/>
  <c r="D46" i="17"/>
  <c r="E46" i="17"/>
  <c r="C46" i="17"/>
  <c r="N111" i="11"/>
  <c r="G111" i="11"/>
  <c r="L111" i="11"/>
  <c r="A111" i="11"/>
  <c r="B111" i="11"/>
  <c r="K111" i="11"/>
  <c r="I111" i="11"/>
  <c r="F111" i="11"/>
  <c r="D111" i="11"/>
  <c r="C111" i="11"/>
  <c r="H36" i="14"/>
  <c r="F36" i="14"/>
  <c r="J36" i="14"/>
  <c r="I36" i="14"/>
  <c r="L36" i="14"/>
  <c r="H18" i="12"/>
  <c r="B18" i="12"/>
  <c r="K18" i="10"/>
  <c r="J18" i="10"/>
  <c r="I18" i="10"/>
  <c r="H18" i="10"/>
  <c r="F18" i="10"/>
  <c r="N18" i="10"/>
  <c r="G18" i="10"/>
  <c r="C18" i="10"/>
  <c r="B18" i="10"/>
  <c r="E18" i="10"/>
  <c r="D18" i="10"/>
  <c r="A18" i="10"/>
  <c r="N18" i="11"/>
  <c r="L18" i="11"/>
  <c r="G18" i="11"/>
  <c r="F18" i="11"/>
  <c r="D18" i="11"/>
  <c r="C18" i="11"/>
  <c r="J18" i="11"/>
  <c r="B18" i="11"/>
  <c r="B66" i="11"/>
  <c r="D66" i="11"/>
  <c r="N66" i="11"/>
  <c r="J66" i="11"/>
  <c r="G66" i="11"/>
  <c r="H53" i="10"/>
  <c r="G53" i="10"/>
  <c r="F53" i="10"/>
  <c r="E53" i="10"/>
  <c r="C53" i="10"/>
  <c r="N53" i="10"/>
  <c r="L53" i="10"/>
  <c r="K53" i="10"/>
  <c r="D53" i="10"/>
  <c r="B53" i="10"/>
  <c r="A53" i="10"/>
  <c r="N125" i="11"/>
  <c r="J125" i="11"/>
  <c r="A125" i="11"/>
  <c r="G125" i="11"/>
  <c r="D125" i="11"/>
  <c r="C125" i="11"/>
  <c r="M125" i="11"/>
  <c r="I125" i="11"/>
  <c r="H125" i="11"/>
  <c r="F125" i="11"/>
  <c r="E125" i="11"/>
  <c r="J106" i="14"/>
  <c r="M106" i="14"/>
  <c r="K106" i="14"/>
  <c r="F106" i="14"/>
  <c r="N103" i="12"/>
  <c r="H103" i="12"/>
  <c r="I103" i="12"/>
  <c r="G92" i="12"/>
  <c r="D92" i="12"/>
  <c r="B93" i="13"/>
  <c r="A93" i="13"/>
  <c r="J93" i="13"/>
  <c r="I93" i="13"/>
  <c r="H93" i="13"/>
  <c r="F93" i="13"/>
  <c r="C93" i="13"/>
  <c r="L93" i="13"/>
  <c r="D93" i="13"/>
  <c r="N93" i="13"/>
  <c r="K93" i="13"/>
  <c r="G93" i="13"/>
  <c r="E93" i="13"/>
  <c r="N59" i="11"/>
  <c r="A59" i="11"/>
  <c r="L59" i="11"/>
  <c r="K59" i="11"/>
  <c r="H59" i="11"/>
  <c r="E59" i="11"/>
  <c r="C59" i="11"/>
  <c r="B59" i="11"/>
  <c r="I59" i="11"/>
  <c r="G59" i="11"/>
  <c r="F59" i="11"/>
  <c r="D59" i="11"/>
  <c r="A131" i="11"/>
  <c r="K131" i="11"/>
  <c r="D131" i="11"/>
  <c r="L131" i="11"/>
  <c r="I131" i="11"/>
  <c r="H131" i="11"/>
  <c r="G131" i="11"/>
  <c r="E131" i="11"/>
  <c r="F131" i="11"/>
  <c r="B131" i="11"/>
  <c r="M131" i="11"/>
  <c r="C131" i="11"/>
  <c r="N67" i="12"/>
  <c r="E67" i="12"/>
  <c r="F67" i="12"/>
  <c r="D67" i="12"/>
  <c r="K105" i="14"/>
  <c r="H105" i="14"/>
  <c r="E105" i="14"/>
  <c r="D105" i="14"/>
  <c r="C105" i="14"/>
  <c r="J105" i="14"/>
  <c r="I105" i="14"/>
  <c r="G105" i="14"/>
  <c r="F105" i="14"/>
  <c r="A105" i="14"/>
  <c r="N105" i="14"/>
  <c r="L105" i="14"/>
  <c r="B105" i="14"/>
  <c r="C114" i="12"/>
  <c r="B114" i="12"/>
  <c r="A114" i="12"/>
  <c r="M114" i="12"/>
  <c r="J114" i="12"/>
  <c r="I114" i="12"/>
  <c r="G114" i="12"/>
  <c r="E114" i="12"/>
  <c r="D114" i="12"/>
  <c r="N114" i="12"/>
  <c r="K114" i="12"/>
  <c r="H114" i="12"/>
  <c r="L114" i="12"/>
  <c r="F114" i="12"/>
  <c r="N51" i="13"/>
  <c r="I51" i="13"/>
  <c r="B51" i="13"/>
  <c r="J51" i="13"/>
  <c r="H51" i="13"/>
  <c r="F51" i="13"/>
  <c r="E51" i="13"/>
  <c r="D51" i="13"/>
  <c r="C51" i="13"/>
  <c r="K51" i="13"/>
  <c r="G51" i="13"/>
  <c r="A51" i="13"/>
  <c r="A121" i="15"/>
  <c r="B121" i="15"/>
  <c r="D121" i="15"/>
  <c r="C121" i="15"/>
  <c r="M121" i="15"/>
  <c r="J121" i="15"/>
  <c r="F121" i="15"/>
  <c r="E121" i="15"/>
  <c r="N21" i="15"/>
  <c r="I21" i="15"/>
  <c r="B21" i="15"/>
  <c r="G21" i="15"/>
  <c r="H21" i="15"/>
  <c r="K21" i="15"/>
  <c r="J21" i="15"/>
  <c r="E21" i="15"/>
  <c r="C21" i="15"/>
  <c r="L21" i="15"/>
  <c r="K96" i="14"/>
  <c r="H96" i="14"/>
  <c r="G96" i="14"/>
  <c r="F96" i="14"/>
  <c r="N96" i="14"/>
  <c r="L96" i="14"/>
  <c r="A96" i="14"/>
  <c r="J96" i="14"/>
  <c r="E96" i="14"/>
  <c r="D96" i="14"/>
  <c r="C96" i="14"/>
  <c r="H87" i="14"/>
  <c r="K87" i="14"/>
  <c r="J87" i="14"/>
  <c r="I87" i="14"/>
  <c r="G87" i="14"/>
  <c r="N87" i="14"/>
  <c r="C87" i="14"/>
  <c r="A87" i="14"/>
  <c r="A80" i="16"/>
  <c r="H80" i="16"/>
  <c r="G80" i="16"/>
  <c r="F80" i="16"/>
  <c r="C80" i="16"/>
  <c r="L80" i="16"/>
  <c r="K80" i="16"/>
  <c r="J80" i="16"/>
  <c r="I80" i="16"/>
  <c r="D80" i="16"/>
  <c r="B80" i="16"/>
  <c r="N80" i="16"/>
  <c r="E80" i="16"/>
  <c r="B27" i="17"/>
  <c r="N27" i="17"/>
  <c r="K27" i="17"/>
  <c r="I27" i="17"/>
  <c r="F27" i="17"/>
  <c r="J27" i="17"/>
  <c r="G27" i="17"/>
  <c r="E27" i="17"/>
  <c r="D27" i="17"/>
  <c r="C84" i="14"/>
  <c r="H84" i="14"/>
  <c r="I84" i="14"/>
  <c r="G84" i="14"/>
  <c r="F84" i="14"/>
  <c r="E84" i="14"/>
  <c r="J84" i="14"/>
  <c r="D84" i="14"/>
  <c r="K84" i="14"/>
  <c r="L84" i="14"/>
  <c r="K97" i="14"/>
  <c r="B97" i="14"/>
  <c r="L97" i="14"/>
  <c r="G97" i="14"/>
  <c r="F97" i="14"/>
  <c r="E97" i="14"/>
  <c r="D97" i="14"/>
  <c r="A97" i="14"/>
  <c r="N97" i="14"/>
  <c r="I97" i="14"/>
  <c r="H97" i="14"/>
  <c r="J97" i="14"/>
  <c r="C97" i="14"/>
  <c r="K19" i="15"/>
  <c r="N19" i="15"/>
  <c r="I19" i="15"/>
  <c r="G19" i="15"/>
  <c r="H19" i="15"/>
  <c r="F19" i="15"/>
  <c r="E19" i="15"/>
  <c r="G92" i="16"/>
  <c r="A92" i="16"/>
  <c r="N92" i="16"/>
  <c r="E92" i="16"/>
  <c r="L92" i="16"/>
  <c r="H92" i="16"/>
  <c r="F92" i="16"/>
  <c r="D92" i="16"/>
  <c r="B92" i="16"/>
  <c r="J39" i="16"/>
  <c r="E39" i="16"/>
  <c r="C39" i="16"/>
  <c r="B39" i="16"/>
  <c r="A39" i="16"/>
  <c r="G39" i="16"/>
  <c r="D39" i="16"/>
  <c r="N45" i="17"/>
  <c r="G45" i="17"/>
  <c r="E45" i="17"/>
  <c r="B34" i="19"/>
  <c r="D34" i="19"/>
  <c r="H34" i="19"/>
  <c r="A34" i="19"/>
  <c r="L34" i="19"/>
  <c r="K34" i="19"/>
  <c r="I34" i="19"/>
  <c r="N34" i="19"/>
  <c r="F34" i="19"/>
  <c r="E34" i="19"/>
  <c r="C34" i="19"/>
  <c r="I53" i="18"/>
  <c r="L53" i="18"/>
  <c r="N53" i="18"/>
  <c r="H53" i="18"/>
  <c r="N21" i="18"/>
  <c r="J21" i="18"/>
  <c r="H21" i="18"/>
  <c r="K21" i="18"/>
  <c r="L68" i="15"/>
  <c r="J68" i="15"/>
  <c r="I68" i="15"/>
  <c r="E19" i="22"/>
  <c r="H19" i="22"/>
  <c r="K19" i="22"/>
  <c r="E13" i="21"/>
  <c r="H13" i="21"/>
  <c r="G13" i="21"/>
  <c r="L13" i="21"/>
  <c r="B13" i="21"/>
  <c r="A13" i="21"/>
  <c r="I13" i="21"/>
  <c r="C13" i="21"/>
  <c r="G15" i="22"/>
  <c r="J15" i="22"/>
  <c r="C15" i="22"/>
  <c r="A15" i="22"/>
  <c r="L78" i="18"/>
  <c r="A78" i="18"/>
  <c r="C78" i="18"/>
  <c r="B78" i="18"/>
  <c r="B84" i="17"/>
  <c r="N84" i="17"/>
  <c r="K84" i="17"/>
  <c r="I84" i="17"/>
  <c r="I67" i="19"/>
  <c r="J67" i="19"/>
  <c r="K67" i="19"/>
  <c r="L67" i="19"/>
  <c r="N67" i="19"/>
  <c r="L62" i="17"/>
  <c r="N62" i="17"/>
  <c r="F62" i="17"/>
  <c r="F83" i="17"/>
  <c r="I83" i="17"/>
  <c r="D83" i="17"/>
  <c r="E83" i="17"/>
  <c r="C83" i="17"/>
  <c r="B83" i="17"/>
  <c r="L83" i="17"/>
  <c r="K83" i="17"/>
  <c r="J83" i="17"/>
  <c r="H83" i="17"/>
  <c r="A83" i="17"/>
  <c r="G83" i="17"/>
  <c r="N83" i="17"/>
  <c r="N120" i="16"/>
  <c r="M120" i="16"/>
  <c r="L120" i="16"/>
  <c r="I120" i="16"/>
  <c r="J120" i="16"/>
  <c r="E120" i="16"/>
  <c r="A120" i="16"/>
  <c r="C49" i="18"/>
  <c r="B49" i="18"/>
  <c r="F49" i="18"/>
  <c r="E49" i="18"/>
  <c r="G49" i="18"/>
  <c r="C13" i="11"/>
  <c r="G13" i="11"/>
  <c r="H63" i="5"/>
  <c r="I73" i="11"/>
  <c r="J73" i="11"/>
  <c r="E73" i="11"/>
  <c r="F73" i="11"/>
  <c r="H73" i="11"/>
  <c r="L73" i="11"/>
  <c r="K73" i="11"/>
  <c r="K29" i="12"/>
  <c r="A29" i="12"/>
  <c r="D29" i="12"/>
  <c r="L29" i="12"/>
  <c r="N57" i="10"/>
  <c r="K57" i="10"/>
  <c r="H57" i="10"/>
  <c r="C57" i="10"/>
  <c r="N17" i="10"/>
  <c r="J17" i="10"/>
  <c r="G17" i="10"/>
  <c r="E17" i="10"/>
  <c r="A17" i="10"/>
  <c r="D17" i="10"/>
  <c r="J41" i="12"/>
  <c r="I41" i="12"/>
  <c r="G41" i="12"/>
  <c r="N41" i="12"/>
  <c r="A41" i="12"/>
  <c r="K41" i="12"/>
  <c r="A31" i="10"/>
  <c r="F31" i="10"/>
  <c r="C31" i="10"/>
  <c r="B31" i="10"/>
  <c r="N31" i="10"/>
  <c r="L31" i="10"/>
  <c r="I31" i="10"/>
  <c r="H31" i="10"/>
  <c r="E31" i="10"/>
  <c r="G31" i="10"/>
  <c r="K31" i="10"/>
  <c r="J31" i="10"/>
  <c r="D31" i="10"/>
  <c r="N24" i="11"/>
  <c r="J24" i="11"/>
  <c r="A24" i="11"/>
  <c r="I24" i="11"/>
  <c r="H24" i="11"/>
  <c r="F24" i="11"/>
  <c r="E24" i="11"/>
  <c r="D24" i="11"/>
  <c r="C24" i="11"/>
  <c r="B98" i="11"/>
  <c r="A98" i="11"/>
  <c r="I98" i="11"/>
  <c r="F98" i="11"/>
  <c r="C98" i="11"/>
  <c r="N89" i="10"/>
  <c r="I89" i="10"/>
  <c r="E89" i="10"/>
  <c r="C89" i="10"/>
  <c r="L89" i="10"/>
  <c r="B89" i="10"/>
  <c r="J131" i="12"/>
  <c r="F131" i="12"/>
  <c r="M131" i="12"/>
  <c r="L131" i="12"/>
  <c r="I131" i="12"/>
  <c r="N131" i="12"/>
  <c r="K131" i="12"/>
  <c r="H131" i="12"/>
  <c r="E131" i="12"/>
  <c r="B131" i="12"/>
  <c r="G131" i="12"/>
  <c r="D131" i="12"/>
  <c r="C131" i="12"/>
  <c r="A131" i="12"/>
  <c r="N50" i="13"/>
  <c r="I50" i="13"/>
  <c r="C50" i="13"/>
  <c r="L50" i="13"/>
  <c r="N93" i="15"/>
  <c r="A93" i="15"/>
  <c r="I93" i="15"/>
  <c r="E93" i="15"/>
  <c r="C93" i="15"/>
  <c r="J93" i="15"/>
  <c r="N63" i="11"/>
  <c r="K63" i="11"/>
  <c r="I63" i="11"/>
  <c r="J63" i="11"/>
  <c r="D63" i="11"/>
  <c r="N38" i="12"/>
  <c r="I38" i="12"/>
  <c r="H38" i="12"/>
  <c r="G38" i="12"/>
  <c r="F38" i="12"/>
  <c r="K38" i="12"/>
  <c r="N66" i="14"/>
  <c r="D66" i="14"/>
  <c r="B66" i="14"/>
  <c r="A66" i="14"/>
  <c r="K66" i="14"/>
  <c r="J66" i="14"/>
  <c r="F66" i="14"/>
  <c r="N110" i="12"/>
  <c r="M110" i="12"/>
  <c r="L110" i="12"/>
  <c r="J110" i="12"/>
  <c r="E110" i="12"/>
  <c r="D110" i="12"/>
  <c r="A110" i="12"/>
  <c r="G110" i="12"/>
  <c r="K110" i="12"/>
  <c r="I110" i="12"/>
  <c r="H110" i="12"/>
  <c r="F110" i="12"/>
  <c r="L114" i="15"/>
  <c r="K114" i="15"/>
  <c r="D114" i="15"/>
  <c r="N114" i="15"/>
  <c r="M114" i="15"/>
  <c r="J114" i="15"/>
  <c r="G114" i="15"/>
  <c r="F114" i="15"/>
  <c r="E114" i="15"/>
  <c r="B114" i="15"/>
  <c r="H114" i="15"/>
  <c r="I114" i="15"/>
  <c r="L30" i="15"/>
  <c r="C30" i="15"/>
  <c r="B30" i="15"/>
  <c r="A30" i="15"/>
  <c r="N30" i="15"/>
  <c r="K30" i="15"/>
  <c r="J30" i="15"/>
  <c r="I30" i="15"/>
  <c r="H30" i="15"/>
  <c r="G30" i="15"/>
  <c r="F30" i="15"/>
  <c r="D30" i="15"/>
  <c r="N12" i="13"/>
  <c r="E12" i="13"/>
  <c r="D12" i="13"/>
  <c r="C12" i="13"/>
  <c r="B12" i="13"/>
  <c r="F12" i="13"/>
  <c r="A12" i="13"/>
  <c r="N57" i="13"/>
  <c r="F57" i="13"/>
  <c r="E57" i="13"/>
  <c r="I57" i="13"/>
  <c r="G57" i="13"/>
  <c r="J14" i="16"/>
  <c r="N14" i="16"/>
  <c r="K14" i="16"/>
  <c r="N29" i="15"/>
  <c r="L29" i="15"/>
  <c r="E29" i="15"/>
  <c r="C29" i="15"/>
  <c r="A29" i="15"/>
  <c r="I29" i="15"/>
  <c r="K104" i="14"/>
  <c r="L104" i="14"/>
  <c r="J104" i="14"/>
  <c r="G104" i="14"/>
  <c r="N104" i="14"/>
  <c r="H104" i="14"/>
  <c r="A104" i="14"/>
  <c r="E104" i="14"/>
  <c r="F104" i="14"/>
  <c r="D104" i="14"/>
  <c r="C104" i="14"/>
  <c r="N34" i="15"/>
  <c r="L34" i="15"/>
  <c r="I34" i="15"/>
  <c r="H34" i="15"/>
  <c r="K34" i="15"/>
  <c r="J34" i="15"/>
  <c r="G34" i="15"/>
  <c r="F34" i="15"/>
  <c r="E34" i="15"/>
  <c r="D34" i="15"/>
  <c r="D28" i="12"/>
  <c r="N28" i="12"/>
  <c r="K24" i="19"/>
  <c r="A24" i="19"/>
  <c r="F24" i="19"/>
  <c r="H107" i="14"/>
  <c r="K107" i="14"/>
  <c r="J107" i="14"/>
  <c r="A107" i="14"/>
  <c r="M107" i="14"/>
  <c r="G85" i="15"/>
  <c r="K85" i="15"/>
  <c r="J85" i="15"/>
  <c r="H85" i="15"/>
  <c r="C85" i="15"/>
  <c r="A85" i="15"/>
  <c r="I85" i="15"/>
  <c r="E85" i="15"/>
  <c r="H55" i="16"/>
  <c r="J55" i="16"/>
  <c r="K55" i="16"/>
  <c r="I55" i="16"/>
  <c r="H80" i="17"/>
  <c r="F80" i="17"/>
  <c r="G80" i="17"/>
  <c r="N80" i="17"/>
  <c r="L80" i="17"/>
  <c r="I80" i="17"/>
  <c r="H16" i="15"/>
  <c r="B16" i="15"/>
  <c r="K16" i="15"/>
  <c r="J16" i="15"/>
  <c r="E16" i="15"/>
  <c r="A16" i="15"/>
  <c r="N16" i="15"/>
  <c r="D16" i="15"/>
  <c r="C16" i="15"/>
  <c r="G129" i="18"/>
  <c r="J129" i="18"/>
  <c r="E129" i="18"/>
  <c r="N116" i="18"/>
  <c r="D116" i="18"/>
  <c r="J116" i="18"/>
  <c r="E116" i="18"/>
  <c r="M116" i="18"/>
  <c r="H72" i="15"/>
  <c r="L72" i="15"/>
  <c r="D72" i="15"/>
  <c r="F72" i="15"/>
  <c r="C72" i="15"/>
  <c r="B72" i="15"/>
  <c r="A72" i="15"/>
  <c r="I100" i="10"/>
  <c r="E100" i="10"/>
  <c r="F108" i="10"/>
  <c r="D76" i="11"/>
  <c r="H59" i="10"/>
  <c r="J34" i="23"/>
  <c r="E34" i="23"/>
  <c r="G18" i="21"/>
  <c r="J18" i="21"/>
  <c r="N18" i="21"/>
  <c r="K18" i="21"/>
  <c r="H18" i="21"/>
  <c r="B18" i="21"/>
  <c r="A18" i="21"/>
  <c r="N12" i="20"/>
  <c r="L12" i="20"/>
  <c r="K12" i="20"/>
  <c r="I12" i="20"/>
  <c r="K22" i="19"/>
  <c r="G22" i="19"/>
  <c r="A22" i="19"/>
  <c r="K37" i="17"/>
  <c r="A37" i="17"/>
  <c r="I37" i="17"/>
  <c r="D37" i="17"/>
  <c r="C37" i="17"/>
  <c r="B37" i="17"/>
  <c r="E52" i="18"/>
  <c r="F52" i="18"/>
  <c r="C52" i="18"/>
  <c r="B52" i="18"/>
  <c r="H52" i="18"/>
  <c r="G52" i="18"/>
  <c r="A52" i="18"/>
  <c r="N11" i="17"/>
  <c r="K11" i="17"/>
  <c r="G11" i="17"/>
  <c r="E11" i="17"/>
  <c r="D11" i="17"/>
  <c r="C11" i="17"/>
  <c r="A11" i="17"/>
  <c r="C49" i="16"/>
  <c r="N49" i="16"/>
  <c r="B49" i="16"/>
  <c r="A75" i="10"/>
  <c r="G75" i="10"/>
  <c r="F75" i="10"/>
  <c r="E75" i="10"/>
  <c r="D75" i="10"/>
  <c r="B75" i="10"/>
  <c r="N75" i="10"/>
  <c r="L75" i="10"/>
  <c r="K75" i="10"/>
  <c r="J75" i="10"/>
  <c r="I75" i="10"/>
  <c r="H75" i="10"/>
  <c r="C75" i="10"/>
  <c r="F105" i="11"/>
  <c r="N105" i="11"/>
  <c r="J105" i="11"/>
  <c r="I105" i="11"/>
  <c r="H105" i="11"/>
  <c r="E105" i="11"/>
  <c r="C105" i="11"/>
  <c r="B105" i="11"/>
  <c r="A105" i="11"/>
  <c r="N73" i="10"/>
  <c r="K73" i="10"/>
  <c r="H73" i="10"/>
  <c r="C73" i="10"/>
  <c r="C91" i="12"/>
  <c r="B91" i="12"/>
  <c r="D91" i="12"/>
  <c r="J91" i="12"/>
  <c r="G91" i="12"/>
  <c r="K91" i="12"/>
  <c r="I91" i="12"/>
  <c r="F91" i="12"/>
  <c r="H91" i="12"/>
  <c r="E91" i="12"/>
  <c r="L36" i="10"/>
  <c r="J36" i="10"/>
  <c r="H36" i="10"/>
  <c r="G36" i="10"/>
  <c r="D36" i="10"/>
  <c r="B36" i="10"/>
  <c r="N36" i="10"/>
  <c r="K36" i="10"/>
  <c r="C36" i="10"/>
  <c r="A36" i="10"/>
  <c r="N71" i="11"/>
  <c r="K71" i="11"/>
  <c r="G71" i="11"/>
  <c r="D71" i="11"/>
  <c r="A71" i="11"/>
  <c r="M116" i="11"/>
  <c r="H116" i="11"/>
  <c r="N116" i="11"/>
  <c r="D116" i="11"/>
  <c r="N40" i="11"/>
  <c r="L40" i="11"/>
  <c r="J40" i="11"/>
  <c r="A40" i="11"/>
  <c r="I40" i="11"/>
  <c r="H40" i="11"/>
  <c r="F40" i="11"/>
  <c r="E40" i="11"/>
  <c r="D40" i="11"/>
  <c r="C40" i="11"/>
  <c r="E53" i="14"/>
  <c r="D53" i="14"/>
  <c r="C53" i="14"/>
  <c r="N53" i="14"/>
  <c r="I53" i="14"/>
  <c r="G53" i="14"/>
  <c r="B53" i="14"/>
  <c r="A53" i="14"/>
  <c r="K18" i="13"/>
  <c r="E18" i="13"/>
  <c r="D18" i="13"/>
  <c r="C18" i="13"/>
  <c r="B18" i="13"/>
  <c r="N18" i="13"/>
  <c r="L18" i="13"/>
  <c r="H18" i="13"/>
  <c r="G18" i="13"/>
  <c r="F18" i="13"/>
  <c r="I18" i="13"/>
  <c r="A18" i="13"/>
  <c r="K26" i="13"/>
  <c r="D26" i="13"/>
  <c r="C26" i="13"/>
  <c r="A26" i="13"/>
  <c r="N26" i="13"/>
  <c r="L26" i="13"/>
  <c r="I26" i="13"/>
  <c r="H26" i="13"/>
  <c r="G26" i="13"/>
  <c r="F26" i="13"/>
  <c r="E26" i="13"/>
  <c r="B26" i="13"/>
  <c r="C64" i="13"/>
  <c r="H64" i="13"/>
  <c r="A64" i="13"/>
  <c r="I64" i="13"/>
  <c r="E64" i="13"/>
  <c r="B64" i="13"/>
  <c r="N26" i="10"/>
  <c r="J26" i="10"/>
  <c r="K26" i="10"/>
  <c r="G26" i="10"/>
  <c r="F26" i="10"/>
  <c r="E26" i="10"/>
  <c r="H26" i="10"/>
  <c r="D26" i="10"/>
  <c r="B26" i="10"/>
  <c r="I26" i="10"/>
  <c r="C26" i="10"/>
  <c r="A26" i="10"/>
  <c r="N72" i="11"/>
  <c r="L72" i="11"/>
  <c r="J72" i="11"/>
  <c r="C72" i="11"/>
  <c r="I72" i="11"/>
  <c r="H72" i="11"/>
  <c r="G72" i="11"/>
  <c r="F72" i="11"/>
  <c r="K72" i="11"/>
  <c r="E72" i="11"/>
  <c r="D72" i="11"/>
  <c r="B72" i="11"/>
  <c r="A72" i="11"/>
  <c r="L58" i="12"/>
  <c r="K58" i="12"/>
  <c r="J58" i="12"/>
  <c r="F58" i="12"/>
  <c r="C58" i="12"/>
  <c r="B58" i="12"/>
  <c r="I58" i="12"/>
  <c r="H58" i="12"/>
  <c r="G58" i="12"/>
  <c r="E58" i="12"/>
  <c r="A58" i="12"/>
  <c r="D58" i="12"/>
  <c r="N58" i="12"/>
  <c r="J82" i="14"/>
  <c r="K82" i="14"/>
  <c r="N82" i="14"/>
  <c r="N32" i="13"/>
  <c r="I32" i="13"/>
  <c r="E32" i="13"/>
  <c r="J32" i="13"/>
  <c r="H32" i="13"/>
  <c r="F32" i="13"/>
  <c r="D32" i="13"/>
  <c r="K120" i="17"/>
  <c r="L120" i="17"/>
  <c r="D120" i="17"/>
  <c r="A120" i="17"/>
  <c r="J120" i="17"/>
  <c r="E120" i="17"/>
  <c r="H120" i="17"/>
  <c r="C120" i="17"/>
  <c r="B120" i="17"/>
  <c r="C65" i="15"/>
  <c r="J65" i="15"/>
  <c r="L65" i="15"/>
  <c r="F65" i="15"/>
  <c r="G65" i="15"/>
  <c r="D65" i="15"/>
  <c r="N89" i="13"/>
  <c r="J89" i="13"/>
  <c r="I89" i="13"/>
  <c r="E89" i="13"/>
  <c r="B89" i="13"/>
  <c r="L48" i="16"/>
  <c r="D48" i="16"/>
  <c r="C48" i="16"/>
  <c r="B48" i="16"/>
  <c r="J48" i="16"/>
  <c r="K48" i="16"/>
  <c r="H48" i="16"/>
  <c r="G48" i="16"/>
  <c r="F48" i="16"/>
  <c r="E48" i="16"/>
  <c r="A48" i="16"/>
  <c r="N48" i="16"/>
  <c r="I48" i="16"/>
  <c r="K103" i="15"/>
  <c r="G103" i="15"/>
  <c r="C103" i="15"/>
  <c r="B103" i="15"/>
  <c r="N117" i="14"/>
  <c r="A117" i="14"/>
  <c r="M117" i="14"/>
  <c r="I117" i="14"/>
  <c r="G117" i="14"/>
  <c r="B117" i="14"/>
  <c r="E117" i="14"/>
  <c r="D117" i="14"/>
  <c r="K77" i="15"/>
  <c r="I77" i="15"/>
  <c r="I60" i="12"/>
  <c r="N60" i="12"/>
  <c r="J60" i="12"/>
  <c r="H60" i="12"/>
  <c r="F60" i="12"/>
  <c r="G60" i="12"/>
  <c r="C60" i="12"/>
  <c r="K60" i="12"/>
  <c r="E60" i="12"/>
  <c r="D60" i="12"/>
  <c r="B60" i="12"/>
  <c r="A60" i="12"/>
  <c r="L60" i="12"/>
  <c r="N73" i="12"/>
  <c r="K73" i="12"/>
  <c r="G73" i="12"/>
  <c r="H94" i="14"/>
  <c r="E94" i="14"/>
  <c r="B94" i="14"/>
  <c r="A94" i="14"/>
  <c r="F94" i="14"/>
  <c r="D94" i="14"/>
  <c r="C94" i="14"/>
  <c r="N94" i="14"/>
  <c r="L94" i="14"/>
  <c r="K94" i="14"/>
  <c r="J94" i="14"/>
  <c r="G94" i="14"/>
  <c r="I94" i="14"/>
  <c r="L41" i="15"/>
  <c r="J41" i="15"/>
  <c r="E41" i="15"/>
  <c r="A41" i="15"/>
  <c r="K41" i="15"/>
  <c r="J90" i="15"/>
  <c r="F90" i="15"/>
  <c r="L90" i="15"/>
  <c r="K90" i="15"/>
  <c r="N90" i="15"/>
  <c r="C99" i="17"/>
  <c r="B99" i="17"/>
  <c r="J99" i="17"/>
  <c r="I99" i="17"/>
  <c r="E99" i="17"/>
  <c r="N99" i="17"/>
  <c r="K99" i="17"/>
  <c r="D99" i="17"/>
  <c r="F86" i="16"/>
  <c r="B86" i="16"/>
  <c r="A86" i="16"/>
  <c r="N86" i="16"/>
  <c r="K86" i="16"/>
  <c r="J86" i="16"/>
  <c r="I86" i="16"/>
  <c r="H86" i="16"/>
  <c r="N103" i="17"/>
  <c r="C103" i="17"/>
  <c r="B103" i="17"/>
  <c r="H103" i="17"/>
  <c r="E103" i="17"/>
  <c r="G22" i="15"/>
  <c r="N22" i="15"/>
  <c r="L22" i="15"/>
  <c r="K22" i="15"/>
  <c r="J22" i="15"/>
  <c r="H22" i="15"/>
  <c r="I22" i="15"/>
  <c r="F22" i="15"/>
  <c r="D22" i="15"/>
  <c r="C22" i="15"/>
  <c r="B22" i="15"/>
  <c r="A22" i="15"/>
  <c r="K80" i="18"/>
  <c r="J80" i="18"/>
  <c r="D80" i="18"/>
  <c r="F80" i="18"/>
  <c r="N80" i="18"/>
  <c r="G80" i="18"/>
  <c r="N33" i="16"/>
  <c r="B33" i="16"/>
  <c r="K33" i="16"/>
  <c r="E33" i="16"/>
  <c r="I33" i="16"/>
  <c r="G33" i="16"/>
  <c r="D33" i="16"/>
  <c r="C33" i="16"/>
  <c r="A33" i="16"/>
  <c r="L33" i="16"/>
  <c r="K76" i="15"/>
  <c r="L76" i="15"/>
  <c r="A76" i="15"/>
  <c r="I76" i="15"/>
  <c r="H76" i="15"/>
  <c r="E76" i="15"/>
  <c r="D76" i="15"/>
  <c r="C76" i="15"/>
  <c r="B76" i="15"/>
  <c r="G23" i="22"/>
  <c r="C23" i="22"/>
  <c r="J23" i="22"/>
  <c r="F23" i="22"/>
  <c r="E23" i="22"/>
  <c r="D23" i="22"/>
  <c r="L30" i="20"/>
  <c r="I30" i="20"/>
  <c r="H30" i="20"/>
  <c r="J30" i="20"/>
  <c r="G30" i="20"/>
  <c r="D30" i="20"/>
  <c r="K30" i="20"/>
  <c r="B30" i="20"/>
  <c r="N89" i="19"/>
  <c r="F89" i="19"/>
  <c r="J89" i="19"/>
  <c r="L14" i="17"/>
  <c r="G14" i="17"/>
  <c r="E14" i="17"/>
  <c r="D14" i="17"/>
  <c r="C14" i="17"/>
  <c r="N14" i="17"/>
  <c r="K14" i="17"/>
  <c r="B14" i="17"/>
  <c r="A14" i="17"/>
  <c r="H14" i="17"/>
  <c r="I14" i="17"/>
  <c r="K125" i="17"/>
  <c r="H125" i="17"/>
  <c r="K27" i="21"/>
  <c r="N27" i="21"/>
  <c r="C27" i="21"/>
  <c r="B27" i="21"/>
  <c r="I27" i="21"/>
  <c r="J27" i="21"/>
  <c r="G27" i="21"/>
  <c r="E27" i="21"/>
  <c r="N95" i="17"/>
  <c r="H95" i="17"/>
  <c r="N69" i="18"/>
  <c r="I69" i="18"/>
  <c r="J69" i="18"/>
  <c r="A69" i="18"/>
  <c r="K69" i="18"/>
  <c r="H69" i="18"/>
  <c r="D69" i="18"/>
  <c r="C69" i="18"/>
  <c r="L21" i="17"/>
  <c r="K21" i="17"/>
  <c r="F21" i="17"/>
  <c r="G21" i="17"/>
  <c r="E21" i="17"/>
  <c r="D21" i="17"/>
  <c r="C21" i="17"/>
  <c r="B21" i="17"/>
  <c r="J21" i="17"/>
  <c r="H21" i="17"/>
  <c r="A21" i="17"/>
  <c r="N21" i="17"/>
  <c r="I21" i="17"/>
  <c r="I124" i="16"/>
  <c r="H124" i="16"/>
  <c r="D124" i="16"/>
  <c r="N124" i="16"/>
  <c r="M124" i="16"/>
  <c r="L124" i="16"/>
  <c r="G124" i="16"/>
  <c r="C124" i="16"/>
  <c r="B124" i="16"/>
  <c r="A124" i="16"/>
  <c r="N111" i="18"/>
  <c r="B111" i="18"/>
  <c r="J111" i="18"/>
  <c r="L111" i="18"/>
  <c r="M111" i="18"/>
  <c r="K111" i="18"/>
  <c r="E111" i="18"/>
  <c r="K132" i="11"/>
  <c r="L132" i="11"/>
  <c r="I48" i="10"/>
  <c r="H48" i="10"/>
  <c r="E48" i="10"/>
  <c r="D48" i="10"/>
  <c r="C48" i="10"/>
  <c r="B48" i="10"/>
  <c r="A48" i="10"/>
  <c r="N48" i="10"/>
  <c r="K48" i="10"/>
  <c r="J21" i="11"/>
  <c r="B21" i="11"/>
  <c r="I21" i="11"/>
  <c r="G21" i="11"/>
  <c r="E21" i="11"/>
  <c r="C21" i="11"/>
  <c r="A81" i="13"/>
  <c r="H81" i="13"/>
  <c r="G81" i="13"/>
  <c r="F81" i="13"/>
  <c r="E81" i="13"/>
  <c r="I81" i="13"/>
  <c r="C81" i="13"/>
  <c r="D81" i="13"/>
  <c r="B81" i="13"/>
  <c r="N81" i="13"/>
  <c r="L81" i="13"/>
  <c r="K81" i="13"/>
  <c r="J81" i="13"/>
  <c r="N80" i="11"/>
  <c r="F80" i="11"/>
  <c r="E80" i="11"/>
  <c r="K80" i="11"/>
  <c r="H80" i="11"/>
  <c r="N20" i="13"/>
  <c r="E20" i="13"/>
  <c r="A20" i="13"/>
  <c r="C20" i="13"/>
  <c r="B20" i="13"/>
  <c r="F20" i="13"/>
  <c r="D20" i="13"/>
  <c r="N40" i="10"/>
  <c r="L40" i="10"/>
  <c r="K40" i="10"/>
  <c r="J40" i="10"/>
  <c r="K82" i="11"/>
  <c r="I82" i="11"/>
  <c r="F82" i="11"/>
  <c r="E82" i="11"/>
  <c r="D82" i="11"/>
  <c r="C82" i="11"/>
  <c r="A82" i="11"/>
  <c r="N82" i="11"/>
  <c r="L82" i="11"/>
  <c r="J82" i="11"/>
  <c r="H82" i="11"/>
  <c r="G82" i="11"/>
  <c r="B82" i="11"/>
  <c r="L123" i="11"/>
  <c r="I123" i="11"/>
  <c r="G123" i="11"/>
  <c r="M123" i="11"/>
  <c r="K123" i="11"/>
  <c r="J123" i="11"/>
  <c r="F123" i="11"/>
  <c r="D123" i="11"/>
  <c r="G54" i="11"/>
  <c r="D54" i="11"/>
  <c r="C54" i="11"/>
  <c r="B54" i="11"/>
  <c r="A54" i="11"/>
  <c r="N54" i="11"/>
  <c r="K54" i="11"/>
  <c r="J54" i="11"/>
  <c r="I54" i="11"/>
  <c r="F54" i="11"/>
  <c r="L54" i="11"/>
  <c r="E54" i="11"/>
  <c r="H102" i="14"/>
  <c r="J102" i="14"/>
  <c r="E102" i="14"/>
  <c r="D102" i="14"/>
  <c r="C102" i="14"/>
  <c r="N102" i="14"/>
  <c r="L102" i="14"/>
  <c r="K102" i="14"/>
  <c r="F102" i="14"/>
  <c r="B102" i="14"/>
  <c r="A102" i="14"/>
  <c r="I102" i="14"/>
  <c r="G102" i="14"/>
  <c r="B38" i="13"/>
  <c r="A38" i="13"/>
  <c r="E38" i="13"/>
  <c r="D38" i="13"/>
  <c r="H38" i="13"/>
  <c r="G38" i="13"/>
  <c r="C38" i="13"/>
  <c r="N38" i="13"/>
  <c r="I38" i="13"/>
  <c r="F38" i="13"/>
  <c r="E39" i="13"/>
  <c r="J39" i="13"/>
  <c r="F39" i="13"/>
  <c r="N39" i="13"/>
  <c r="K77" i="10"/>
  <c r="N77" i="10"/>
  <c r="L77" i="10"/>
  <c r="N89" i="11"/>
  <c r="L89" i="11"/>
  <c r="J89" i="11"/>
  <c r="A89" i="11"/>
  <c r="C89" i="11"/>
  <c r="K89" i="11"/>
  <c r="I89" i="11"/>
  <c r="H89" i="11"/>
  <c r="F89" i="11"/>
  <c r="B89" i="11"/>
  <c r="E89" i="11"/>
  <c r="N84" i="12"/>
  <c r="E84" i="12"/>
  <c r="J84" i="12"/>
  <c r="K70" i="15"/>
  <c r="L70" i="15"/>
  <c r="J70" i="15"/>
  <c r="B70" i="15"/>
  <c r="N70" i="15"/>
  <c r="I70" i="15"/>
  <c r="H70" i="15"/>
  <c r="G70" i="15"/>
  <c r="F70" i="15"/>
  <c r="D70" i="15"/>
  <c r="C70" i="15"/>
  <c r="A70" i="15"/>
  <c r="N43" i="13"/>
  <c r="F43" i="13"/>
  <c r="E43" i="13"/>
  <c r="B43" i="13"/>
  <c r="I43" i="13"/>
  <c r="I105" i="16"/>
  <c r="K105" i="16"/>
  <c r="E105" i="16"/>
  <c r="N105" i="16"/>
  <c r="A41" i="13"/>
  <c r="J41" i="13"/>
  <c r="I41" i="13"/>
  <c r="H41" i="13"/>
  <c r="G41" i="13"/>
  <c r="C41" i="13"/>
  <c r="L41" i="13"/>
  <c r="D41" i="13"/>
  <c r="K41" i="13"/>
  <c r="N41" i="13"/>
  <c r="F41" i="13"/>
  <c r="E41" i="13"/>
  <c r="B41" i="13"/>
  <c r="H40" i="17"/>
  <c r="J40" i="17"/>
  <c r="N40" i="17"/>
  <c r="G40" i="17"/>
  <c r="F40" i="17"/>
  <c r="I40" i="17"/>
  <c r="K40" i="17"/>
  <c r="E40" i="17"/>
  <c r="D40" i="17"/>
  <c r="B40" i="17"/>
  <c r="M115" i="15"/>
  <c r="K115" i="15"/>
  <c r="I115" i="15"/>
  <c r="G115" i="15"/>
  <c r="C115" i="15"/>
  <c r="N115" i="15"/>
  <c r="E115" i="15"/>
  <c r="F115" i="15"/>
  <c r="D115" i="15"/>
  <c r="A115" i="15"/>
  <c r="F88" i="15"/>
  <c r="N88" i="15"/>
  <c r="C115" i="12"/>
  <c r="M115" i="12"/>
  <c r="L115" i="12"/>
  <c r="F115" i="12"/>
  <c r="H115" i="12"/>
  <c r="D115" i="12"/>
  <c r="B115" i="12"/>
  <c r="K115" i="12"/>
  <c r="J115" i="12"/>
  <c r="I115" i="12"/>
  <c r="G115" i="12"/>
  <c r="E115" i="12"/>
  <c r="C100" i="14"/>
  <c r="A100" i="14"/>
  <c r="L100" i="14"/>
  <c r="J100" i="14"/>
  <c r="I100" i="14"/>
  <c r="H100" i="14"/>
  <c r="G100" i="14"/>
  <c r="D100" i="14"/>
  <c r="E100" i="14"/>
  <c r="F100" i="14"/>
  <c r="K100" i="14"/>
  <c r="K49" i="15"/>
  <c r="L49" i="15"/>
  <c r="J49" i="15"/>
  <c r="I49" i="15"/>
  <c r="G49" i="15"/>
  <c r="F49" i="15"/>
  <c r="E49" i="15"/>
  <c r="D49" i="15"/>
  <c r="C49" i="15"/>
  <c r="B49" i="15"/>
  <c r="A49" i="15"/>
  <c r="N95" i="15"/>
  <c r="I95" i="15"/>
  <c r="F95" i="15"/>
  <c r="E95" i="15"/>
  <c r="K95" i="15"/>
  <c r="J95" i="15"/>
  <c r="G95" i="15"/>
  <c r="H95" i="15"/>
  <c r="B95" i="15"/>
  <c r="A95" i="15"/>
  <c r="N97" i="18"/>
  <c r="I97" i="18"/>
  <c r="G122" i="16"/>
  <c r="A122" i="16"/>
  <c r="I122" i="16"/>
  <c r="D122" i="16"/>
  <c r="K122" i="16"/>
  <c r="J122" i="16"/>
  <c r="H122" i="16"/>
  <c r="N122" i="16"/>
  <c r="M122" i="16"/>
  <c r="L122" i="16"/>
  <c r="F122" i="16"/>
  <c r="E122" i="16"/>
  <c r="C122" i="16"/>
  <c r="B122" i="16"/>
  <c r="D25" i="18"/>
  <c r="J25" i="18"/>
  <c r="G25" i="18"/>
  <c r="N58" i="15"/>
  <c r="F58" i="15"/>
  <c r="I74" i="16"/>
  <c r="A74" i="16"/>
  <c r="K74" i="16"/>
  <c r="G74" i="16"/>
  <c r="D74" i="16"/>
  <c r="B74" i="16"/>
  <c r="H74" i="16"/>
  <c r="N74" i="16"/>
  <c r="J74" i="16"/>
  <c r="F74" i="16"/>
  <c r="E74" i="16"/>
  <c r="C74" i="16"/>
  <c r="C94" i="15"/>
  <c r="N94" i="15"/>
  <c r="H94" i="15"/>
  <c r="L94" i="15"/>
  <c r="K94" i="15"/>
  <c r="J94" i="15"/>
  <c r="I94" i="15"/>
  <c r="F94" i="15"/>
  <c r="G94" i="15"/>
  <c r="D94" i="15"/>
  <c r="B94" i="15"/>
  <c r="A94" i="15"/>
  <c r="N75" i="12"/>
  <c r="L75" i="12"/>
  <c r="J75" i="12"/>
  <c r="E75" i="12"/>
  <c r="C75" i="12"/>
  <c r="H75" i="12"/>
  <c r="B75" i="12"/>
  <c r="I75" i="12"/>
  <c r="N130" i="12"/>
  <c r="M130" i="12"/>
  <c r="B130" i="12"/>
  <c r="L130" i="12"/>
  <c r="K130" i="12"/>
  <c r="I130" i="12"/>
  <c r="H130" i="12"/>
  <c r="G130" i="12"/>
  <c r="F130" i="12"/>
  <c r="D130" i="12"/>
  <c r="A130" i="12"/>
  <c r="J130" i="12"/>
  <c r="E130" i="12"/>
  <c r="C130" i="12"/>
  <c r="H118" i="14"/>
  <c r="K118" i="14"/>
  <c r="F118" i="14"/>
  <c r="E118" i="14"/>
  <c r="D118" i="14"/>
  <c r="C118" i="14"/>
  <c r="A118" i="14"/>
  <c r="M118" i="14"/>
  <c r="L118" i="14"/>
  <c r="G118" i="14"/>
  <c r="I118" i="14"/>
  <c r="B118" i="14"/>
  <c r="J118" i="14"/>
  <c r="N118" i="14"/>
  <c r="K53" i="15"/>
  <c r="J53" i="15"/>
  <c r="G53" i="15"/>
  <c r="H53" i="15"/>
  <c r="A53" i="15"/>
  <c r="I53" i="15"/>
  <c r="E53" i="15"/>
  <c r="C53" i="15"/>
  <c r="K128" i="15"/>
  <c r="L128" i="15"/>
  <c r="H128" i="15"/>
  <c r="N128" i="15"/>
  <c r="M128" i="15"/>
  <c r="F128" i="15"/>
  <c r="L54" i="16"/>
  <c r="F54" i="16"/>
  <c r="B54" i="16"/>
  <c r="K54" i="16"/>
  <c r="N54" i="16"/>
  <c r="J54" i="16"/>
  <c r="D54" i="16"/>
  <c r="A54" i="16"/>
  <c r="N101" i="17"/>
  <c r="H101" i="17"/>
  <c r="J101" i="17"/>
  <c r="I101" i="17"/>
  <c r="G101" i="17"/>
  <c r="F101" i="17"/>
  <c r="E101" i="17"/>
  <c r="D101" i="17"/>
  <c r="A101" i="17"/>
  <c r="H39" i="18"/>
  <c r="E39" i="18"/>
  <c r="A39" i="18"/>
  <c r="F39" i="18"/>
  <c r="I39" i="18"/>
  <c r="J39" i="18"/>
  <c r="G39" i="18"/>
  <c r="D39" i="18"/>
  <c r="B39" i="18"/>
  <c r="I75" i="15"/>
  <c r="K75" i="15"/>
  <c r="N75" i="15"/>
  <c r="D75" i="15"/>
  <c r="K79" i="16"/>
  <c r="I79" i="16"/>
  <c r="H79" i="16"/>
  <c r="D79" i="16"/>
  <c r="J79" i="16"/>
  <c r="G79" i="16"/>
  <c r="E79" i="16"/>
  <c r="C79" i="16"/>
  <c r="B79" i="16"/>
  <c r="A79" i="16"/>
  <c r="N110" i="15"/>
  <c r="L110" i="15"/>
  <c r="J110" i="15"/>
  <c r="G110" i="15"/>
  <c r="F110" i="15"/>
  <c r="D110" i="15"/>
  <c r="C110" i="15"/>
  <c r="B110" i="15"/>
  <c r="A110" i="15"/>
  <c r="K110" i="15"/>
  <c r="H110" i="15"/>
  <c r="I110" i="15"/>
  <c r="N122" i="13"/>
  <c r="G122" i="13"/>
  <c r="A122" i="13"/>
  <c r="H122" i="13"/>
  <c r="I122" i="13"/>
  <c r="L122" i="13"/>
  <c r="N104" i="17"/>
  <c r="K104" i="17"/>
  <c r="B104" i="17"/>
  <c r="G26" i="22"/>
  <c r="I26" i="22"/>
  <c r="H19" i="21"/>
  <c r="F19" i="21"/>
  <c r="E19" i="21"/>
  <c r="B19" i="21"/>
  <c r="G19" i="21"/>
  <c r="N19" i="21"/>
  <c r="I19" i="21"/>
  <c r="H104" i="16"/>
  <c r="G104" i="16"/>
  <c r="F104" i="16"/>
  <c r="I104" i="16"/>
  <c r="D104" i="16"/>
  <c r="A104" i="16"/>
  <c r="E104" i="16"/>
  <c r="C104" i="16"/>
  <c r="K104" i="16"/>
  <c r="N104" i="16"/>
  <c r="J104" i="16"/>
  <c r="B104" i="16"/>
  <c r="L104" i="16"/>
  <c r="C60" i="17"/>
  <c r="D60" i="17"/>
  <c r="K60" i="17"/>
  <c r="B60" i="17"/>
  <c r="H20" i="18"/>
  <c r="C20" i="18"/>
  <c r="G20" i="18"/>
  <c r="B20" i="18"/>
  <c r="E20" i="18"/>
  <c r="D20" i="18"/>
  <c r="A20" i="18"/>
  <c r="L20" i="18"/>
  <c r="J20" i="18"/>
  <c r="I20" i="18"/>
  <c r="F20" i="18"/>
  <c r="J86" i="19"/>
  <c r="I86" i="19"/>
  <c r="N89" i="17"/>
  <c r="J89" i="17"/>
  <c r="F89" i="17"/>
  <c r="L89" i="17"/>
  <c r="K89" i="17"/>
  <c r="I89" i="17"/>
  <c r="C89" i="17"/>
  <c r="E89" i="17"/>
  <c r="B89" i="17"/>
  <c r="D89" i="17"/>
  <c r="N71" i="17"/>
  <c r="L71" i="17"/>
  <c r="K71" i="17"/>
  <c r="E71" i="17"/>
  <c r="B71" i="17"/>
  <c r="F71" i="17"/>
  <c r="G71" i="17"/>
  <c r="H71" i="17"/>
  <c r="D71" i="17"/>
  <c r="C71" i="17"/>
  <c r="A71" i="17"/>
  <c r="K79" i="11"/>
  <c r="E79" i="11"/>
  <c r="D79" i="11"/>
  <c r="C79" i="11"/>
  <c r="A79" i="11"/>
  <c r="H79" i="11"/>
  <c r="F79" i="11"/>
  <c r="L36" i="11"/>
  <c r="I36" i="11"/>
  <c r="F36" i="11"/>
  <c r="N69" i="13"/>
  <c r="K69" i="13"/>
  <c r="I69" i="13"/>
  <c r="E69" i="13"/>
  <c r="L69" i="13"/>
  <c r="B18" i="15"/>
  <c r="G18" i="15"/>
  <c r="D18" i="15"/>
  <c r="K18" i="15"/>
  <c r="J18" i="15"/>
  <c r="K98" i="10"/>
  <c r="D98" i="10"/>
  <c r="C98" i="10"/>
  <c r="B98" i="10"/>
  <c r="A98" i="10"/>
  <c r="L98" i="10"/>
  <c r="J98" i="10"/>
  <c r="I98" i="10"/>
  <c r="N98" i="10"/>
  <c r="H98" i="10"/>
  <c r="G98" i="10"/>
  <c r="E98" i="10"/>
  <c r="N41" i="10"/>
  <c r="L41" i="10"/>
  <c r="I41" i="10"/>
  <c r="E41" i="10"/>
  <c r="C41" i="10"/>
  <c r="B41" i="10"/>
  <c r="D76" i="13"/>
  <c r="C76" i="13"/>
  <c r="B76" i="13"/>
  <c r="K76" i="13"/>
  <c r="I76" i="13"/>
  <c r="G76" i="13"/>
  <c r="F76" i="13"/>
  <c r="A76" i="13"/>
  <c r="L76" i="13"/>
  <c r="N76" i="13"/>
  <c r="J76" i="13"/>
  <c r="H76" i="13"/>
  <c r="E76" i="13"/>
  <c r="N104" i="11"/>
  <c r="B104" i="11"/>
  <c r="H104" i="11"/>
  <c r="E104" i="11"/>
  <c r="C104" i="11"/>
  <c r="A104" i="11"/>
  <c r="L104" i="11"/>
  <c r="J104" i="11"/>
  <c r="I104" i="11"/>
  <c r="G104" i="11"/>
  <c r="F104" i="11"/>
  <c r="N19" i="10"/>
  <c r="K19" i="10"/>
  <c r="L19" i="10"/>
  <c r="J19" i="10"/>
  <c r="N50" i="11"/>
  <c r="J50" i="11"/>
  <c r="D50" i="11"/>
  <c r="B50" i="11"/>
  <c r="G50" i="11"/>
  <c r="J98" i="13"/>
  <c r="B98" i="13"/>
  <c r="K98" i="13"/>
  <c r="I98" i="13"/>
  <c r="H98" i="13"/>
  <c r="G98" i="13"/>
  <c r="C98" i="13"/>
  <c r="A98" i="13"/>
  <c r="N98" i="13"/>
  <c r="F98" i="13"/>
  <c r="E98" i="13"/>
  <c r="D98" i="13"/>
  <c r="A29" i="10"/>
  <c r="K29" i="10"/>
  <c r="N29" i="10"/>
  <c r="D29" i="10"/>
  <c r="C29" i="10"/>
  <c r="B29" i="10"/>
  <c r="J29" i="10"/>
  <c r="I29" i="10"/>
  <c r="H29" i="10"/>
  <c r="G29" i="10"/>
  <c r="F29" i="10"/>
  <c r="E29" i="10"/>
  <c r="H25" i="12"/>
  <c r="G25" i="12"/>
  <c r="F25" i="12"/>
  <c r="N25" i="12"/>
  <c r="L25" i="12"/>
  <c r="J25" i="12"/>
  <c r="C25" i="12"/>
  <c r="I25" i="12"/>
  <c r="A25" i="12"/>
  <c r="N126" i="12"/>
  <c r="A126" i="12"/>
  <c r="F126" i="12"/>
  <c r="K126" i="12"/>
  <c r="J126" i="12"/>
  <c r="I126" i="12"/>
  <c r="D126" i="12"/>
  <c r="M126" i="12"/>
  <c r="M129" i="15"/>
  <c r="L129" i="15"/>
  <c r="J129" i="15"/>
  <c r="G129" i="15"/>
  <c r="C129" i="15"/>
  <c r="F129" i="15"/>
  <c r="D129" i="15"/>
  <c r="K84" i="13"/>
  <c r="N84" i="13"/>
  <c r="L84" i="13"/>
  <c r="I84" i="13"/>
  <c r="H84" i="13"/>
  <c r="A84" i="13"/>
  <c r="E84" i="13"/>
  <c r="G84" i="13"/>
  <c r="B84" i="13"/>
  <c r="M107" i="13"/>
  <c r="N107" i="13"/>
  <c r="H107" i="13"/>
  <c r="J107" i="13"/>
  <c r="D67" i="14"/>
  <c r="B67" i="14"/>
  <c r="G67" i="14"/>
  <c r="A45" i="14"/>
  <c r="E45" i="14"/>
  <c r="N45" i="14"/>
  <c r="G45" i="14"/>
  <c r="D45" i="14"/>
  <c r="I45" i="14"/>
  <c r="C45" i="14"/>
  <c r="B45" i="14"/>
  <c r="H22" i="14"/>
  <c r="J22" i="14"/>
  <c r="I22" i="14"/>
  <c r="C22" i="14"/>
  <c r="B22" i="14"/>
  <c r="F22" i="14"/>
  <c r="N22" i="14"/>
  <c r="K22" i="14"/>
  <c r="G22" i="14"/>
  <c r="D22" i="14"/>
  <c r="A22" i="14"/>
  <c r="L22" i="14"/>
  <c r="E22" i="14"/>
  <c r="D117" i="16"/>
  <c r="L117" i="16"/>
  <c r="E117" i="16"/>
  <c r="C117" i="16"/>
  <c r="B117" i="16"/>
  <c r="I117" i="16"/>
  <c r="A117" i="16"/>
  <c r="H117" i="16"/>
  <c r="G117" i="16"/>
  <c r="F117" i="16"/>
  <c r="M117" i="16"/>
  <c r="K117" i="16"/>
  <c r="J117" i="16"/>
  <c r="N117" i="16"/>
  <c r="H14" i="14"/>
  <c r="J14" i="14"/>
  <c r="I14" i="14"/>
  <c r="C14" i="14"/>
  <c r="B14" i="14"/>
  <c r="L14" i="14"/>
  <c r="K14" i="14"/>
  <c r="A14" i="14"/>
  <c r="G14" i="14"/>
  <c r="N14" i="14"/>
  <c r="F14" i="14"/>
  <c r="D14" i="14"/>
  <c r="E14" i="14"/>
  <c r="N90" i="12"/>
  <c r="G90" i="12"/>
  <c r="C90" i="12"/>
  <c r="J90" i="12"/>
  <c r="I90" i="12"/>
  <c r="F90" i="12"/>
  <c r="K90" i="12"/>
  <c r="H90" i="12"/>
  <c r="D90" i="12"/>
  <c r="B90" i="12"/>
  <c r="E90" i="12"/>
  <c r="L90" i="12"/>
  <c r="N28" i="13"/>
  <c r="F28" i="13"/>
  <c r="E28" i="13"/>
  <c r="D28" i="13"/>
  <c r="C28" i="13"/>
  <c r="B28" i="13"/>
  <c r="A28" i="13"/>
  <c r="K128" i="14"/>
  <c r="G128" i="14"/>
  <c r="L128" i="14"/>
  <c r="J128" i="14"/>
  <c r="H128" i="14"/>
  <c r="F128" i="14"/>
  <c r="D128" i="14"/>
  <c r="C128" i="14"/>
  <c r="A128" i="14"/>
  <c r="N128" i="14"/>
  <c r="M128" i="14"/>
  <c r="E128" i="14"/>
  <c r="K112" i="17"/>
  <c r="N112" i="17"/>
  <c r="C112" i="17"/>
  <c r="G112" i="17"/>
  <c r="A112" i="17"/>
  <c r="K88" i="14"/>
  <c r="N88" i="14"/>
  <c r="L88" i="14"/>
  <c r="E88" i="14"/>
  <c r="D88" i="14"/>
  <c r="A88" i="14"/>
  <c r="G88" i="14"/>
  <c r="F88" i="14"/>
  <c r="C88" i="14"/>
  <c r="J88" i="14"/>
  <c r="H88" i="14"/>
  <c r="K120" i="14"/>
  <c r="D120" i="14"/>
  <c r="C120" i="14"/>
  <c r="A120" i="14"/>
  <c r="N120" i="14"/>
  <c r="M120" i="14"/>
  <c r="L120" i="14"/>
  <c r="E120" i="14"/>
  <c r="H120" i="14"/>
  <c r="G120" i="14"/>
  <c r="F120" i="14"/>
  <c r="J120" i="14"/>
  <c r="G88" i="16"/>
  <c r="F88" i="16"/>
  <c r="E88" i="16"/>
  <c r="K88" i="16"/>
  <c r="D88" i="16"/>
  <c r="L88" i="16"/>
  <c r="H88" i="16"/>
  <c r="I88" i="16"/>
  <c r="A88" i="16"/>
  <c r="J88" i="16"/>
  <c r="N88" i="16"/>
  <c r="C88" i="16"/>
  <c r="B88" i="16"/>
  <c r="N125" i="15"/>
  <c r="C125" i="15"/>
  <c r="I125" i="15"/>
  <c r="M125" i="15"/>
  <c r="J125" i="15"/>
  <c r="E125" i="15"/>
  <c r="A125" i="15"/>
  <c r="L125" i="15"/>
  <c r="B110" i="11"/>
  <c r="G65" i="10"/>
  <c r="L108" i="10"/>
  <c r="L76" i="11"/>
  <c r="L59" i="10"/>
  <c r="A44" i="18"/>
  <c r="C44" i="18"/>
  <c r="B44" i="18"/>
  <c r="L44" i="18"/>
  <c r="G29" i="21"/>
  <c r="A29" i="21"/>
  <c r="N29" i="21"/>
  <c r="I29" i="21"/>
  <c r="H29" i="21"/>
  <c r="J29" i="21"/>
  <c r="D29" i="21"/>
  <c r="B29" i="21"/>
  <c r="L29" i="21"/>
  <c r="K29" i="21"/>
  <c r="I50" i="16"/>
  <c r="G50" i="16"/>
  <c r="E50" i="16"/>
  <c r="B50" i="16"/>
  <c r="F50" i="16"/>
  <c r="D50" i="16"/>
  <c r="N50" i="16"/>
  <c r="K50" i="16"/>
  <c r="A50" i="16"/>
  <c r="J50" i="16"/>
  <c r="H50" i="16"/>
  <c r="C50" i="16"/>
  <c r="J16" i="16"/>
  <c r="H16" i="16"/>
  <c r="G16" i="16"/>
  <c r="B16" i="16"/>
  <c r="L16" i="16"/>
  <c r="N16" i="16"/>
  <c r="K16" i="16"/>
  <c r="I16" i="16"/>
  <c r="F16" i="16"/>
  <c r="E16" i="16"/>
  <c r="D16" i="16"/>
  <c r="C16" i="16"/>
  <c r="A16" i="16"/>
  <c r="C42" i="19"/>
  <c r="B42" i="19"/>
  <c r="A42" i="19"/>
  <c r="H17" i="21"/>
  <c r="L17" i="21"/>
  <c r="N79" i="10"/>
  <c r="L79" i="10"/>
  <c r="K79" i="10"/>
  <c r="I79" i="10"/>
  <c r="H79" i="10"/>
  <c r="G46" i="13"/>
  <c r="F46" i="13"/>
  <c r="E46" i="13"/>
  <c r="D46" i="13"/>
  <c r="B46" i="13"/>
  <c r="C46" i="13"/>
  <c r="A46" i="13"/>
  <c r="H46" i="13"/>
  <c r="N46" i="13"/>
  <c r="K46" i="13"/>
  <c r="L46" i="13"/>
  <c r="J46" i="13"/>
  <c r="I46" i="13"/>
  <c r="L122" i="10"/>
  <c r="G122" i="10"/>
  <c r="E122" i="10"/>
  <c r="D122" i="10"/>
  <c r="N122" i="10"/>
  <c r="K122" i="10"/>
  <c r="I122" i="10"/>
  <c r="H122" i="10"/>
  <c r="N100" i="11"/>
  <c r="L100" i="11"/>
  <c r="A100" i="11"/>
  <c r="D100" i="11"/>
  <c r="C100" i="11"/>
  <c r="F100" i="11"/>
  <c r="K100" i="11"/>
  <c r="H100" i="11"/>
  <c r="E100" i="11"/>
  <c r="A21" i="10"/>
  <c r="I21" i="10"/>
  <c r="H21" i="10"/>
  <c r="G21" i="10"/>
  <c r="F21" i="10"/>
  <c r="D21" i="10"/>
  <c r="K21" i="10"/>
  <c r="N21" i="10"/>
  <c r="J21" i="10"/>
  <c r="E21" i="10"/>
  <c r="B21" i="10"/>
  <c r="C21" i="10"/>
  <c r="N70" i="11"/>
  <c r="J70" i="11"/>
  <c r="I70" i="11"/>
  <c r="G70" i="11"/>
  <c r="F70" i="11"/>
  <c r="D70" i="11"/>
  <c r="K70" i="11"/>
  <c r="E70" i="11"/>
  <c r="C70" i="11"/>
  <c r="A70" i="11"/>
  <c r="L70" i="11"/>
  <c r="B70" i="11"/>
  <c r="L128" i="10"/>
  <c r="A128" i="10"/>
  <c r="N128" i="10"/>
  <c r="J128" i="10"/>
  <c r="G128" i="10"/>
  <c r="F128" i="10"/>
  <c r="D128" i="10"/>
  <c r="E128" i="10"/>
  <c r="C128" i="10"/>
  <c r="B128" i="10"/>
  <c r="I128" i="10"/>
  <c r="H128" i="10"/>
  <c r="C78" i="10"/>
  <c r="G78" i="10"/>
  <c r="N78" i="10"/>
  <c r="L78" i="10"/>
  <c r="K78" i="10"/>
  <c r="J78" i="10"/>
  <c r="I78" i="10"/>
  <c r="E78" i="10"/>
  <c r="H78" i="10"/>
  <c r="F78" i="10"/>
  <c r="N117" i="13"/>
  <c r="G117" i="13"/>
  <c r="L117" i="13"/>
  <c r="H117" i="13"/>
  <c r="B23" i="12"/>
  <c r="G23" i="12"/>
  <c r="N23" i="12"/>
  <c r="L23" i="12"/>
  <c r="F23" i="12"/>
  <c r="E23" i="12"/>
  <c r="K27" i="11"/>
  <c r="G27" i="11"/>
  <c r="B27" i="11"/>
  <c r="A27" i="11"/>
  <c r="L27" i="11"/>
  <c r="I27" i="11"/>
  <c r="H27" i="11"/>
  <c r="D27" i="11"/>
  <c r="C27" i="11"/>
  <c r="M126" i="11"/>
  <c r="E126" i="11"/>
  <c r="B126" i="11"/>
  <c r="J126" i="11"/>
  <c r="A113" i="13"/>
  <c r="K113" i="13"/>
  <c r="E113" i="13"/>
  <c r="B113" i="13"/>
  <c r="M113" i="13"/>
  <c r="J113" i="13"/>
  <c r="H113" i="13"/>
  <c r="G113" i="13"/>
  <c r="D113" i="13"/>
  <c r="C113" i="13"/>
  <c r="L113" i="13"/>
  <c r="I113" i="13"/>
  <c r="F113" i="13"/>
  <c r="N113" i="13"/>
  <c r="F32" i="10"/>
  <c r="L32" i="10"/>
  <c r="N32" i="10"/>
  <c r="K32" i="10"/>
  <c r="J32" i="10"/>
  <c r="I32" i="10"/>
  <c r="H32" i="10"/>
  <c r="G32" i="10"/>
  <c r="N113" i="10"/>
  <c r="L113" i="10"/>
  <c r="H113" i="10"/>
  <c r="I113" i="10"/>
  <c r="F113" i="10"/>
  <c r="C113" i="10"/>
  <c r="B113" i="10"/>
  <c r="L24" i="13"/>
  <c r="N24" i="13"/>
  <c r="J24" i="13"/>
  <c r="I24" i="13"/>
  <c r="H24" i="13"/>
  <c r="C24" i="13"/>
  <c r="D24" i="13"/>
  <c r="B24" i="13"/>
  <c r="F24" i="13"/>
  <c r="G24" i="13"/>
  <c r="D17" i="16"/>
  <c r="N17" i="16"/>
  <c r="K17" i="16"/>
  <c r="I17" i="16"/>
  <c r="C17" i="16"/>
  <c r="A17" i="16"/>
  <c r="L17" i="16"/>
  <c r="G17" i="16"/>
  <c r="E17" i="16"/>
  <c r="B17" i="16"/>
  <c r="N99" i="13"/>
  <c r="K99" i="13"/>
  <c r="L99" i="13"/>
  <c r="I99" i="13"/>
  <c r="C99" i="13"/>
  <c r="E99" i="13"/>
  <c r="B99" i="13"/>
  <c r="A99" i="13"/>
  <c r="J99" i="13"/>
  <c r="H99" i="13"/>
  <c r="G99" i="13"/>
  <c r="C124" i="13"/>
  <c r="L124" i="13"/>
  <c r="M124" i="13"/>
  <c r="J124" i="13"/>
  <c r="F124" i="13"/>
  <c r="N124" i="13"/>
  <c r="H124" i="13"/>
  <c r="E124" i="13"/>
  <c r="H75" i="14"/>
  <c r="K75" i="14"/>
  <c r="K16" i="14"/>
  <c r="D16" i="14"/>
  <c r="C16" i="14"/>
  <c r="A16" i="14"/>
  <c r="G16" i="14"/>
  <c r="F16" i="14"/>
  <c r="N16" i="14"/>
  <c r="J16" i="14"/>
  <c r="H16" i="14"/>
  <c r="E16" i="14"/>
  <c r="B99" i="14"/>
  <c r="K99" i="14"/>
  <c r="H99" i="14"/>
  <c r="D99" i="14"/>
  <c r="L28" i="14"/>
  <c r="K28" i="14"/>
  <c r="E28" i="14"/>
  <c r="B28" i="14"/>
  <c r="K24" i="17"/>
  <c r="B24" i="17"/>
  <c r="N24" i="17"/>
  <c r="H24" i="17"/>
  <c r="E24" i="17"/>
  <c r="F24" i="17"/>
  <c r="C24" i="17"/>
  <c r="A24" i="17"/>
  <c r="I24" i="17"/>
  <c r="G24" i="17"/>
  <c r="D24" i="17"/>
  <c r="L42" i="14"/>
  <c r="N42" i="14"/>
  <c r="F42" i="14"/>
  <c r="B42" i="14"/>
  <c r="I19" i="11"/>
  <c r="F19" i="11"/>
  <c r="B19" i="11"/>
  <c r="N98" i="12"/>
  <c r="I98" i="12"/>
  <c r="L98" i="12"/>
  <c r="G98" i="12"/>
  <c r="D98" i="12"/>
  <c r="K98" i="12"/>
  <c r="H98" i="12"/>
  <c r="F98" i="12"/>
  <c r="E98" i="12"/>
  <c r="C98" i="12"/>
  <c r="J98" i="12"/>
  <c r="B98" i="12"/>
  <c r="I53" i="13"/>
  <c r="D53" i="13"/>
  <c r="C53" i="13"/>
  <c r="B53" i="13"/>
  <c r="A53" i="13"/>
  <c r="A56" i="15"/>
  <c r="L56" i="15"/>
  <c r="N56" i="15"/>
  <c r="F56" i="15"/>
  <c r="J89" i="15"/>
  <c r="D89" i="15"/>
  <c r="E89" i="15"/>
  <c r="F17" i="19"/>
  <c r="L17" i="19"/>
  <c r="C17" i="19"/>
  <c r="H17" i="19"/>
  <c r="G17" i="19"/>
  <c r="E17" i="19"/>
  <c r="D17" i="19"/>
  <c r="K17" i="19"/>
  <c r="J17" i="19"/>
  <c r="I17" i="19"/>
  <c r="N101" i="16"/>
  <c r="J101" i="16"/>
  <c r="N122" i="14"/>
  <c r="M122" i="14"/>
  <c r="L122" i="14"/>
  <c r="J25" i="15"/>
  <c r="A25" i="15"/>
  <c r="I66" i="16"/>
  <c r="A66" i="16"/>
  <c r="L66" i="16"/>
  <c r="E66" i="16"/>
  <c r="N66" i="16"/>
  <c r="K66" i="16"/>
  <c r="J66" i="16"/>
  <c r="H66" i="16"/>
  <c r="G66" i="16"/>
  <c r="F66" i="16"/>
  <c r="D66" i="16"/>
  <c r="C66" i="16"/>
  <c r="B66" i="16"/>
  <c r="N108" i="16"/>
  <c r="L108" i="16"/>
  <c r="F108" i="16"/>
  <c r="H108" i="16"/>
  <c r="A108" i="16"/>
  <c r="E108" i="16"/>
  <c r="N51" i="16"/>
  <c r="A51" i="16"/>
  <c r="D75" i="12"/>
  <c r="B121" i="11"/>
  <c r="F31" i="11"/>
  <c r="E118" i="10"/>
  <c r="D66" i="10"/>
  <c r="B30" i="10"/>
  <c r="I51" i="18"/>
  <c r="N51" i="18"/>
  <c r="J51" i="18"/>
  <c r="F51" i="18"/>
  <c r="N31" i="18"/>
  <c r="D31" i="18"/>
  <c r="A31" i="18"/>
  <c r="J31" i="18"/>
  <c r="L31" i="18"/>
  <c r="K31" i="18"/>
  <c r="H31" i="18"/>
  <c r="G31" i="18"/>
  <c r="E31" i="18"/>
  <c r="B31" i="18"/>
  <c r="I31" i="18"/>
  <c r="I10" i="23"/>
  <c r="K10" i="23"/>
  <c r="F10" i="23"/>
  <c r="E10" i="23"/>
  <c r="C52" i="19"/>
  <c r="B52" i="19"/>
  <c r="C23" i="16"/>
  <c r="B23" i="16"/>
  <c r="G41" i="18"/>
  <c r="F41" i="18"/>
  <c r="C41" i="18"/>
  <c r="J41" i="18"/>
  <c r="I41" i="18"/>
  <c r="I12" i="21"/>
  <c r="A12" i="21"/>
  <c r="G12" i="21"/>
  <c r="D12" i="21"/>
  <c r="K121" i="17"/>
  <c r="E121" i="17"/>
  <c r="N121" i="17"/>
  <c r="M121" i="17"/>
  <c r="C121" i="17"/>
  <c r="L121" i="17"/>
  <c r="H121" i="17"/>
  <c r="D121" i="17"/>
  <c r="L127" i="11"/>
  <c r="N127" i="11"/>
  <c r="G34" i="10"/>
  <c r="D34" i="10"/>
  <c r="C34" i="10"/>
  <c r="B34" i="10"/>
  <c r="K34" i="10"/>
  <c r="N34" i="10"/>
  <c r="J34" i="10"/>
  <c r="I34" i="10"/>
  <c r="H34" i="10"/>
  <c r="F34" i="10"/>
  <c r="E34" i="10"/>
  <c r="A34" i="10"/>
  <c r="N102" i="11"/>
  <c r="J102" i="11"/>
  <c r="F102" i="11"/>
  <c r="C102" i="11"/>
  <c r="B102" i="11"/>
  <c r="E102" i="11"/>
  <c r="H102" i="11"/>
  <c r="M115" i="11"/>
  <c r="C115" i="11"/>
  <c r="G115" i="11"/>
  <c r="C19" i="14"/>
  <c r="B19" i="14"/>
  <c r="A19" i="14"/>
  <c r="F19" i="14"/>
  <c r="N38" i="11"/>
  <c r="F38" i="11"/>
  <c r="J38" i="11"/>
  <c r="C38" i="11"/>
  <c r="C76" i="12"/>
  <c r="H76" i="12"/>
  <c r="D76" i="12"/>
  <c r="F76" i="12"/>
  <c r="E76" i="12"/>
  <c r="N119" i="14"/>
  <c r="G119" i="14"/>
  <c r="J119" i="14"/>
  <c r="H119" i="14"/>
  <c r="C119" i="14"/>
  <c r="L119" i="14"/>
  <c r="I119" i="14"/>
  <c r="A119" i="14"/>
  <c r="N42" i="12"/>
  <c r="L42" i="12"/>
  <c r="J42" i="12"/>
  <c r="H42" i="12"/>
  <c r="A42" i="12"/>
  <c r="I42" i="12"/>
  <c r="E42" i="12"/>
  <c r="C42" i="12"/>
  <c r="B42" i="12"/>
  <c r="D30" i="12"/>
  <c r="N30" i="12"/>
  <c r="L30" i="12"/>
  <c r="G30" i="12"/>
  <c r="N106" i="13"/>
  <c r="I106" i="13"/>
  <c r="B106" i="13"/>
  <c r="L106" i="13"/>
  <c r="K106" i="13"/>
  <c r="H106" i="13"/>
  <c r="F106" i="13"/>
  <c r="E106" i="13"/>
  <c r="C106" i="13"/>
  <c r="D106" i="13"/>
  <c r="G106" i="13"/>
  <c r="K40" i="14"/>
  <c r="N40" i="14"/>
  <c r="L40" i="14"/>
  <c r="E40" i="14"/>
  <c r="D40" i="14"/>
  <c r="J40" i="14"/>
  <c r="A40" i="14"/>
  <c r="G40" i="14"/>
  <c r="F40" i="14"/>
  <c r="C40" i="14"/>
  <c r="H40" i="14"/>
  <c r="N130" i="14"/>
  <c r="L130" i="14"/>
  <c r="J130" i="14"/>
  <c r="K32" i="14"/>
  <c r="N32" i="14"/>
  <c r="H32" i="14"/>
  <c r="D32" i="14"/>
  <c r="J32" i="14"/>
  <c r="G32" i="14"/>
  <c r="E32" i="14"/>
  <c r="C32" i="14"/>
  <c r="A32" i="14"/>
  <c r="F32" i="14"/>
  <c r="G76" i="17"/>
  <c r="H76" i="17"/>
  <c r="J76" i="17"/>
  <c r="B76" i="17"/>
  <c r="N76" i="17"/>
  <c r="D76" i="17"/>
  <c r="C76" i="17"/>
  <c r="A76" i="17"/>
  <c r="E76" i="17"/>
  <c r="K76" i="17"/>
  <c r="I76" i="17"/>
  <c r="D83" i="14"/>
  <c r="C83" i="14"/>
  <c r="B83" i="14"/>
  <c r="K83" i="14"/>
  <c r="J83" i="14"/>
  <c r="H83" i="14"/>
  <c r="G83" i="14"/>
  <c r="A83" i="14"/>
  <c r="N25" i="11"/>
  <c r="J25" i="11"/>
  <c r="H25" i="11"/>
  <c r="G25" i="11"/>
  <c r="F25" i="11"/>
  <c r="D25" i="11"/>
  <c r="C25" i="11"/>
  <c r="A25" i="11"/>
  <c r="L25" i="11"/>
  <c r="N102" i="12"/>
  <c r="K102" i="12"/>
  <c r="J102" i="12"/>
  <c r="D102" i="12"/>
  <c r="I102" i="12"/>
  <c r="F102" i="12"/>
  <c r="G71" i="13"/>
  <c r="N71" i="13"/>
  <c r="L71" i="13"/>
  <c r="K71" i="13"/>
  <c r="F71" i="13"/>
  <c r="J71" i="13"/>
  <c r="I71" i="13"/>
  <c r="D71" i="13"/>
  <c r="H71" i="13"/>
  <c r="E71" i="13"/>
  <c r="B71" i="13"/>
  <c r="A71" i="13"/>
  <c r="C71" i="13"/>
  <c r="N127" i="15"/>
  <c r="G127" i="15"/>
  <c r="J127" i="15"/>
  <c r="E127" i="15"/>
  <c r="M127" i="15"/>
  <c r="K127" i="15"/>
  <c r="F127" i="15"/>
  <c r="I127" i="15"/>
  <c r="H127" i="15"/>
  <c r="B127" i="15"/>
  <c r="A127" i="15"/>
  <c r="G19" i="16"/>
  <c r="A19" i="16"/>
  <c r="F19" i="16"/>
  <c r="M110" i="13"/>
  <c r="L110" i="13"/>
  <c r="E110" i="13"/>
  <c r="A110" i="13"/>
  <c r="D110" i="13"/>
  <c r="N32" i="15"/>
  <c r="K32" i="15"/>
  <c r="F32" i="15"/>
  <c r="D32" i="15"/>
  <c r="C32" i="15"/>
  <c r="H32" i="15"/>
  <c r="J32" i="15"/>
  <c r="I82" i="16"/>
  <c r="K82" i="16"/>
  <c r="N82" i="16"/>
  <c r="J82" i="16"/>
  <c r="C82" i="16"/>
  <c r="A82" i="16"/>
  <c r="E82" i="16"/>
  <c r="L82" i="16"/>
  <c r="B82" i="16"/>
  <c r="D82" i="16"/>
  <c r="H82" i="16"/>
  <c r="G82" i="16"/>
  <c r="F82" i="16"/>
  <c r="D24" i="16"/>
  <c r="N24" i="16"/>
  <c r="L24" i="16"/>
  <c r="K24" i="16"/>
  <c r="B24" i="16"/>
  <c r="A24" i="16"/>
  <c r="I24" i="16"/>
  <c r="C24" i="16"/>
  <c r="H24" i="16"/>
  <c r="G24" i="16"/>
  <c r="F24" i="16"/>
  <c r="E24" i="16"/>
  <c r="J24" i="16"/>
  <c r="F112" i="16"/>
  <c r="L112" i="16"/>
  <c r="B112" i="16"/>
  <c r="A112" i="16"/>
  <c r="M112" i="16"/>
  <c r="I112" i="16"/>
  <c r="E112" i="16"/>
  <c r="D112" i="16"/>
  <c r="C112" i="16"/>
  <c r="K112" i="16"/>
  <c r="H112" i="16"/>
  <c r="G112" i="16"/>
  <c r="N112" i="16"/>
  <c r="J112" i="16"/>
  <c r="L72" i="16"/>
  <c r="H72" i="16"/>
  <c r="N72" i="16"/>
  <c r="K72" i="16"/>
  <c r="E72" i="16"/>
  <c r="C72" i="16"/>
  <c r="A72" i="16"/>
  <c r="J72" i="16"/>
  <c r="I72" i="16"/>
  <c r="G72" i="16"/>
  <c r="F72" i="16"/>
  <c r="D72" i="16"/>
  <c r="B72" i="16"/>
  <c r="C94" i="10"/>
  <c r="B94" i="10"/>
  <c r="H94" i="10"/>
  <c r="E94" i="10"/>
  <c r="N94" i="10"/>
  <c r="K94" i="10"/>
  <c r="J94" i="10"/>
  <c r="I94" i="10"/>
  <c r="G94" i="10"/>
  <c r="F94" i="10"/>
  <c r="N125" i="10"/>
  <c r="H125" i="10"/>
  <c r="E125" i="10"/>
  <c r="B125" i="10"/>
  <c r="A13" i="10"/>
  <c r="E13" i="10"/>
  <c r="D13" i="10"/>
  <c r="C13" i="10"/>
  <c r="B13" i="10"/>
  <c r="N13" i="10"/>
  <c r="L13" i="10"/>
  <c r="J13" i="10"/>
  <c r="K13" i="10"/>
  <c r="I13" i="10"/>
  <c r="H13" i="10"/>
  <c r="G13" i="10"/>
  <c r="F13" i="10"/>
  <c r="K37" i="5"/>
  <c r="M125" i="16"/>
  <c r="N125" i="16"/>
  <c r="A91" i="10"/>
  <c r="D91" i="10"/>
  <c r="C91" i="10"/>
  <c r="K91" i="10"/>
  <c r="I91" i="10"/>
  <c r="H91" i="10"/>
  <c r="G91" i="10"/>
  <c r="F91" i="10"/>
  <c r="E91" i="10"/>
  <c r="N91" i="10"/>
  <c r="J91" i="10"/>
  <c r="A107" i="11"/>
  <c r="L107" i="11"/>
  <c r="F107" i="11"/>
  <c r="C107" i="11"/>
  <c r="B107" i="11"/>
  <c r="K107" i="11"/>
  <c r="J107" i="11"/>
  <c r="I107" i="11"/>
  <c r="E107" i="11"/>
  <c r="D107" i="11"/>
  <c r="N107" i="11"/>
  <c r="G107" i="11"/>
  <c r="N57" i="11"/>
  <c r="C57" i="11"/>
  <c r="L57" i="11"/>
  <c r="H57" i="11"/>
  <c r="G57" i="11"/>
  <c r="D57" i="11"/>
  <c r="A57" i="11"/>
  <c r="F57" i="11"/>
  <c r="G22" i="12"/>
  <c r="E22" i="12"/>
  <c r="K22" i="12"/>
  <c r="J22" i="12"/>
  <c r="I22" i="12"/>
  <c r="H22" i="12"/>
  <c r="N22" i="12"/>
  <c r="N58" i="10"/>
  <c r="K58" i="10"/>
  <c r="J58" i="10"/>
  <c r="I58" i="10"/>
  <c r="G58" i="10"/>
  <c r="F58" i="10"/>
  <c r="E58" i="10"/>
  <c r="D58" i="10"/>
  <c r="C58" i="10"/>
  <c r="B58" i="10"/>
  <c r="N50" i="10"/>
  <c r="J50" i="10"/>
  <c r="D50" i="10"/>
  <c r="G50" i="10"/>
  <c r="A50" i="10"/>
  <c r="M130" i="11"/>
  <c r="L130" i="11"/>
  <c r="I130" i="11"/>
  <c r="N130" i="11"/>
  <c r="K130" i="11"/>
  <c r="J130" i="11"/>
  <c r="G130" i="11"/>
  <c r="F130" i="11"/>
  <c r="E130" i="11"/>
  <c r="D130" i="11"/>
  <c r="C130" i="11"/>
  <c r="B130" i="11"/>
  <c r="A130" i="11"/>
  <c r="J87" i="12"/>
  <c r="B87" i="12"/>
  <c r="C87" i="12"/>
  <c r="F87" i="12"/>
  <c r="N87" i="12"/>
  <c r="E56" i="10"/>
  <c r="J56" i="10"/>
  <c r="G56" i="10"/>
  <c r="K56" i="10"/>
  <c r="I56" i="10"/>
  <c r="F56" i="10"/>
  <c r="H56" i="10"/>
  <c r="F83" i="12"/>
  <c r="B83" i="12"/>
  <c r="H83" i="12"/>
  <c r="D83" i="12"/>
  <c r="C83" i="12"/>
  <c r="N83" i="12"/>
  <c r="L83" i="12"/>
  <c r="J83" i="12"/>
  <c r="E83" i="12"/>
  <c r="K83" i="12"/>
  <c r="I83" i="12"/>
  <c r="G83" i="12"/>
  <c r="D95" i="13"/>
  <c r="C95" i="13"/>
  <c r="A95" i="13"/>
  <c r="K95" i="13"/>
  <c r="I52" i="12"/>
  <c r="F52" i="12"/>
  <c r="N52" i="12"/>
  <c r="J52" i="12"/>
  <c r="E52" i="12"/>
  <c r="G52" i="12"/>
  <c r="B52" i="12"/>
  <c r="N47" i="14"/>
  <c r="G47" i="14"/>
  <c r="C47" i="14"/>
  <c r="A47" i="14"/>
  <c r="L47" i="14"/>
  <c r="K47" i="14"/>
  <c r="J47" i="14"/>
  <c r="H47" i="14"/>
  <c r="I47" i="14"/>
  <c r="N29" i="13"/>
  <c r="K29" i="13"/>
  <c r="I29" i="13"/>
  <c r="L29" i="13"/>
  <c r="E29" i="13"/>
  <c r="L129" i="14"/>
  <c r="M129" i="14"/>
  <c r="J129" i="14"/>
  <c r="I129" i="14"/>
  <c r="H129" i="14"/>
  <c r="E129" i="14"/>
  <c r="C129" i="14"/>
  <c r="B129" i="14"/>
  <c r="N129" i="14"/>
  <c r="D129" i="14"/>
  <c r="G129" i="14"/>
  <c r="F129" i="14"/>
  <c r="A129" i="14"/>
  <c r="N24" i="15"/>
  <c r="L24" i="15"/>
  <c r="F24" i="15"/>
  <c r="B24" i="15"/>
  <c r="A24" i="15"/>
  <c r="F59" i="14"/>
  <c r="D59" i="14"/>
  <c r="C59" i="14"/>
  <c r="K59" i="14"/>
  <c r="J59" i="14"/>
  <c r="G59" i="14"/>
  <c r="H59" i="14"/>
  <c r="B59" i="14"/>
  <c r="N27" i="13"/>
  <c r="E27" i="13"/>
  <c r="N43" i="15"/>
  <c r="D43" i="15"/>
  <c r="N119" i="12"/>
  <c r="I119" i="12"/>
  <c r="E119" i="12"/>
  <c r="F119" i="12"/>
  <c r="B119" i="12"/>
  <c r="A119" i="12"/>
  <c r="M119" i="12"/>
  <c r="J119" i="12"/>
  <c r="H119" i="12"/>
  <c r="G119" i="12"/>
  <c r="D119" i="12"/>
  <c r="C119" i="12"/>
  <c r="L116" i="13"/>
  <c r="N116" i="13"/>
  <c r="I116" i="13"/>
  <c r="F116" i="13"/>
  <c r="E116" i="13"/>
  <c r="I18" i="16"/>
  <c r="J18" i="16"/>
  <c r="L18" i="16"/>
  <c r="K18" i="16"/>
  <c r="D18" i="16"/>
  <c r="B18" i="16"/>
  <c r="N18" i="16"/>
  <c r="H18" i="16"/>
  <c r="G18" i="16"/>
  <c r="F18" i="16"/>
  <c r="E18" i="16"/>
  <c r="C18" i="16"/>
  <c r="A18" i="16"/>
  <c r="K35" i="16"/>
  <c r="F35" i="16"/>
  <c r="N35" i="16"/>
  <c r="E35" i="16"/>
  <c r="L35" i="16"/>
  <c r="J35" i="16"/>
  <c r="G35" i="16"/>
  <c r="C35" i="16"/>
  <c r="I35" i="16"/>
  <c r="H35" i="16"/>
  <c r="A35" i="16"/>
  <c r="H110" i="14"/>
  <c r="L110" i="14"/>
  <c r="M110" i="14"/>
  <c r="K110" i="14"/>
  <c r="I110" i="14"/>
  <c r="D110" i="14"/>
  <c r="C110" i="14"/>
  <c r="B110" i="14"/>
  <c r="A110" i="14"/>
  <c r="F110" i="14"/>
  <c r="N110" i="14"/>
  <c r="J110" i="14"/>
  <c r="G110" i="14"/>
  <c r="E110" i="14"/>
  <c r="K69" i="15"/>
  <c r="G69" i="15"/>
  <c r="E69" i="15"/>
  <c r="E19" i="17"/>
  <c r="K19" i="17"/>
  <c r="A19" i="17"/>
  <c r="B19" i="17"/>
  <c r="J19" i="17"/>
  <c r="F19" i="17"/>
  <c r="G19" i="17"/>
  <c r="H19" i="17"/>
  <c r="C19" i="17"/>
  <c r="J110" i="16"/>
  <c r="I110" i="16"/>
  <c r="N110" i="16"/>
  <c r="M110" i="16"/>
  <c r="L110" i="16"/>
  <c r="K110" i="16"/>
  <c r="H110" i="16"/>
  <c r="A110" i="16"/>
  <c r="H71" i="16"/>
  <c r="E71" i="16"/>
  <c r="K71" i="16"/>
  <c r="J71" i="16"/>
  <c r="I71" i="16"/>
  <c r="G71" i="16"/>
  <c r="D71" i="16"/>
  <c r="B71" i="16"/>
  <c r="A71" i="16"/>
  <c r="F37" i="5"/>
  <c r="H12" i="5"/>
  <c r="P35" i="5"/>
  <c r="P37" i="5" s="1"/>
  <c r="G81" i="12"/>
  <c r="C81" i="12"/>
  <c r="K81" i="12"/>
  <c r="J81" i="12"/>
  <c r="H81" i="12"/>
  <c r="E81" i="12"/>
  <c r="D81" i="12"/>
  <c r="L81" i="12"/>
  <c r="I81" i="12"/>
  <c r="G62" i="11"/>
  <c r="I62" i="11"/>
  <c r="A62" i="11"/>
  <c r="L62" i="11"/>
  <c r="N62" i="11"/>
  <c r="K62" i="11"/>
  <c r="J62" i="11"/>
  <c r="F62" i="11"/>
  <c r="E62" i="11"/>
  <c r="D62" i="11"/>
  <c r="C62" i="11"/>
  <c r="B62" i="11"/>
  <c r="N51" i="12"/>
  <c r="J51" i="12"/>
  <c r="G51" i="12"/>
  <c r="K95" i="11"/>
  <c r="H95" i="11"/>
  <c r="N95" i="11"/>
  <c r="I95" i="11"/>
  <c r="G95" i="11"/>
  <c r="E95" i="11"/>
  <c r="D95" i="11"/>
  <c r="A95" i="11"/>
  <c r="F95" i="11"/>
  <c r="B95" i="11"/>
  <c r="N97" i="12"/>
  <c r="H97" i="12"/>
  <c r="J97" i="12"/>
  <c r="I97" i="12"/>
  <c r="C97" i="12"/>
  <c r="A83" i="10"/>
  <c r="F83" i="10"/>
  <c r="E83" i="10"/>
  <c r="D83" i="10"/>
  <c r="C83" i="10"/>
  <c r="K83" i="10"/>
  <c r="J83" i="10"/>
  <c r="I83" i="10"/>
  <c r="H83" i="10"/>
  <c r="G83" i="10"/>
  <c r="B83" i="10"/>
  <c r="N83" i="10"/>
  <c r="L83" i="10"/>
  <c r="F19" i="12"/>
  <c r="E19" i="12"/>
  <c r="D19" i="12"/>
  <c r="G19" i="12"/>
  <c r="I19" i="12"/>
  <c r="B19" i="12"/>
  <c r="A19" i="12"/>
  <c r="L19" i="12"/>
  <c r="N19" i="12"/>
  <c r="K19" i="12"/>
  <c r="J19" i="12"/>
  <c r="H19" i="12"/>
  <c r="C19" i="12"/>
  <c r="H63" i="13"/>
  <c r="C63" i="13"/>
  <c r="B63" i="13"/>
  <c r="F63" i="13"/>
  <c r="I63" i="13"/>
  <c r="D63" i="13"/>
  <c r="N70" i="13"/>
  <c r="J70" i="13"/>
  <c r="L70" i="13"/>
  <c r="K70" i="13"/>
  <c r="C70" i="13"/>
  <c r="B70" i="13"/>
  <c r="D70" i="13"/>
  <c r="A70" i="13"/>
  <c r="H90" i="10"/>
  <c r="J90" i="10"/>
  <c r="I90" i="10"/>
  <c r="K90" i="10"/>
  <c r="N106" i="11"/>
  <c r="K106" i="11"/>
  <c r="D106" i="11"/>
  <c r="B106" i="11"/>
  <c r="G106" i="11"/>
  <c r="L88" i="12"/>
  <c r="E88" i="12"/>
  <c r="D88" i="12"/>
  <c r="C88" i="12"/>
  <c r="N88" i="12"/>
  <c r="J88" i="12"/>
  <c r="G88" i="12"/>
  <c r="H88" i="12"/>
  <c r="F88" i="12"/>
  <c r="B88" i="12"/>
  <c r="N66" i="15"/>
  <c r="L66" i="15"/>
  <c r="I66" i="15"/>
  <c r="H66" i="15"/>
  <c r="J66" i="15"/>
  <c r="F66" i="15"/>
  <c r="K66" i="15"/>
  <c r="G66" i="15"/>
  <c r="E66" i="15"/>
  <c r="D66" i="15"/>
  <c r="F57" i="12"/>
  <c r="E57" i="12"/>
  <c r="G57" i="12"/>
  <c r="H57" i="12"/>
  <c r="N57" i="12"/>
  <c r="J57" i="12"/>
  <c r="B57" i="12"/>
  <c r="C115" i="14"/>
  <c r="A115" i="14"/>
  <c r="N13" i="15"/>
  <c r="J13" i="15"/>
  <c r="N28" i="16"/>
  <c r="A28" i="16"/>
  <c r="J28" i="16"/>
  <c r="F28" i="16"/>
  <c r="B28" i="16"/>
  <c r="L28" i="16"/>
  <c r="G28" i="16"/>
  <c r="N110" i="11"/>
  <c r="C110" i="11"/>
  <c r="J110" i="11"/>
  <c r="G110" i="11"/>
  <c r="L110" i="11"/>
  <c r="K72" i="14"/>
  <c r="H72" i="14"/>
  <c r="G72" i="14"/>
  <c r="F72" i="14"/>
  <c r="C72" i="14"/>
  <c r="A72" i="14"/>
  <c r="J72" i="14"/>
  <c r="N72" i="14"/>
  <c r="E72" i="14"/>
  <c r="D72" i="14"/>
  <c r="D36" i="13"/>
  <c r="N36" i="13"/>
  <c r="L36" i="13"/>
  <c r="K36" i="13"/>
  <c r="I36" i="13"/>
  <c r="H36" i="13"/>
  <c r="G36" i="13"/>
  <c r="F36" i="13"/>
  <c r="C36" i="13"/>
  <c r="J36" i="13"/>
  <c r="E36" i="13"/>
  <c r="B36" i="13"/>
  <c r="A36" i="13"/>
  <c r="F54" i="15"/>
  <c r="D54" i="15"/>
  <c r="K54" i="15"/>
  <c r="J54" i="15"/>
  <c r="I54" i="15"/>
  <c r="C54" i="15"/>
  <c r="B54" i="15"/>
  <c r="A54" i="15"/>
  <c r="N54" i="15"/>
  <c r="L54" i="15"/>
  <c r="H54" i="15"/>
  <c r="G54" i="15"/>
  <c r="N76" i="11"/>
  <c r="F76" i="11"/>
  <c r="L124" i="12"/>
  <c r="N124" i="12"/>
  <c r="M124" i="12"/>
  <c r="F124" i="12"/>
  <c r="J124" i="12"/>
  <c r="B124" i="12"/>
  <c r="E124" i="12"/>
  <c r="D124" i="12"/>
  <c r="C124" i="12"/>
  <c r="A124" i="12"/>
  <c r="J127" i="13"/>
  <c r="M127" i="13"/>
  <c r="A127" i="13"/>
  <c r="L127" i="13"/>
  <c r="K127" i="13"/>
  <c r="D127" i="13"/>
  <c r="C127" i="13"/>
  <c r="B127" i="13"/>
  <c r="H84" i="16"/>
  <c r="E84" i="16"/>
  <c r="D84" i="16"/>
  <c r="B84" i="16"/>
  <c r="F84" i="16"/>
  <c r="G84" i="16"/>
  <c r="A84" i="16"/>
  <c r="F52" i="16"/>
  <c r="J52" i="16"/>
  <c r="E52" i="16"/>
  <c r="D52" i="16"/>
  <c r="B52" i="16"/>
  <c r="N35" i="15"/>
  <c r="I35" i="15"/>
  <c r="F35" i="15"/>
  <c r="E35" i="15"/>
  <c r="A35" i="15"/>
  <c r="C35" i="15"/>
  <c r="H62" i="14"/>
  <c r="G62" i="14"/>
  <c r="F62" i="14"/>
  <c r="K62" i="14"/>
  <c r="J62" i="14"/>
  <c r="I62" i="14"/>
  <c r="E62" i="14"/>
  <c r="C62" i="14"/>
  <c r="B62" i="14"/>
  <c r="A62" i="14"/>
  <c r="D62" i="14"/>
  <c r="N62" i="14"/>
  <c r="N35" i="17"/>
  <c r="A35" i="17"/>
  <c r="K35" i="17"/>
  <c r="J35" i="17"/>
  <c r="C35" i="17"/>
  <c r="G35" i="17"/>
  <c r="D35" i="17"/>
  <c r="E35" i="17"/>
  <c r="B35" i="17"/>
  <c r="F35" i="17"/>
  <c r="N48" i="17"/>
  <c r="B48" i="17"/>
  <c r="K48" i="17"/>
  <c r="J48" i="17"/>
  <c r="I48" i="17"/>
  <c r="G48" i="17"/>
  <c r="E48" i="17"/>
  <c r="H48" i="17"/>
  <c r="A48" i="17"/>
  <c r="N107" i="16"/>
  <c r="K107" i="16"/>
  <c r="L49" i="17"/>
  <c r="C49" i="17"/>
  <c r="H49" i="17"/>
  <c r="K63" i="17"/>
  <c r="N63" i="17"/>
  <c r="B63" i="17"/>
  <c r="L63" i="17"/>
  <c r="H63" i="17"/>
  <c r="G63" i="17"/>
  <c r="E63" i="17"/>
  <c r="A63" i="17"/>
  <c r="N105" i="12"/>
  <c r="L105" i="12"/>
  <c r="K105" i="12"/>
  <c r="I105" i="12"/>
  <c r="J105" i="12"/>
  <c r="C105" i="12"/>
  <c r="H105" i="12"/>
  <c r="G105" i="12"/>
  <c r="B105" i="12"/>
  <c r="D105" i="12"/>
  <c r="J78" i="17"/>
  <c r="E78" i="17"/>
  <c r="C78" i="17"/>
  <c r="H78" i="17"/>
  <c r="D78" i="17"/>
  <c r="H36" i="19"/>
  <c r="G36" i="19"/>
  <c r="N36" i="19"/>
  <c r="J36" i="19"/>
  <c r="L36" i="19"/>
  <c r="E36" i="19"/>
  <c r="C36" i="19"/>
  <c r="B36" i="19"/>
  <c r="I36" i="19"/>
  <c r="F36" i="19"/>
  <c r="N107" i="18"/>
  <c r="L107" i="18"/>
  <c r="H33" i="21"/>
  <c r="L33" i="21"/>
  <c r="K33" i="21"/>
  <c r="C33" i="21"/>
  <c r="I33" i="21"/>
  <c r="E33" i="21"/>
  <c r="D33" i="21"/>
  <c r="N33" i="21"/>
  <c r="F33" i="21"/>
  <c r="A33" i="21"/>
  <c r="B33" i="21"/>
  <c r="N20" i="21"/>
  <c r="F20" i="21"/>
  <c r="K84" i="19"/>
  <c r="G84" i="19"/>
  <c r="J84" i="19"/>
  <c r="I84" i="19"/>
  <c r="F84" i="19"/>
  <c r="B84" i="19"/>
  <c r="N20" i="19"/>
  <c r="H20" i="19"/>
  <c r="L20" i="19"/>
  <c r="N91" i="16"/>
  <c r="L91" i="16"/>
  <c r="K91" i="16"/>
  <c r="L89" i="18"/>
  <c r="G89" i="18"/>
  <c r="N89" i="18"/>
  <c r="F89" i="18"/>
  <c r="E89" i="18"/>
  <c r="F24" i="18"/>
  <c r="I24" i="18"/>
  <c r="N24" i="18"/>
  <c r="K24" i="18"/>
  <c r="C24" i="18"/>
  <c r="G24" i="18"/>
  <c r="D24" i="18"/>
  <c r="A24" i="18"/>
  <c r="J24" i="18"/>
  <c r="I133" i="11"/>
  <c r="G133" i="11"/>
  <c r="F133" i="11"/>
  <c r="B133" i="11"/>
  <c r="A133" i="11"/>
  <c r="L133" i="11"/>
  <c r="I63" i="5"/>
  <c r="B88" i="11"/>
  <c r="G88" i="11"/>
  <c r="J88" i="11"/>
  <c r="E88" i="11"/>
  <c r="C88" i="11"/>
  <c r="D108" i="13"/>
  <c r="M108" i="13"/>
  <c r="L108" i="13"/>
  <c r="K108" i="13"/>
  <c r="J108" i="13"/>
  <c r="F108" i="13"/>
  <c r="E108" i="13"/>
  <c r="H108" i="13"/>
  <c r="C108" i="13"/>
  <c r="A108" i="13"/>
  <c r="N108" i="13"/>
  <c r="I108" i="13"/>
  <c r="G108" i="13"/>
  <c r="B108" i="13"/>
  <c r="L63" i="10"/>
  <c r="N63" i="10"/>
  <c r="K63" i="10"/>
  <c r="I63" i="10"/>
  <c r="H63" i="10"/>
  <c r="G63" i="10"/>
  <c r="F63" i="10"/>
  <c r="E63" i="10"/>
  <c r="N126" i="10"/>
  <c r="L126" i="10"/>
  <c r="J126" i="10"/>
  <c r="H126" i="10"/>
  <c r="G126" i="10"/>
  <c r="E126" i="10"/>
  <c r="F126" i="10"/>
  <c r="C126" i="10"/>
  <c r="B126" i="10"/>
  <c r="N44" i="12"/>
  <c r="F44" i="12"/>
  <c r="L44" i="12"/>
  <c r="J44" i="12"/>
  <c r="D20" i="11"/>
  <c r="J20" i="11"/>
  <c r="I20" i="11"/>
  <c r="H20" i="11"/>
  <c r="G20" i="11"/>
  <c r="F20" i="11"/>
  <c r="B123" i="13"/>
  <c r="J123" i="13"/>
  <c r="N123" i="13"/>
  <c r="M123" i="13"/>
  <c r="L123" i="13"/>
  <c r="K123" i="13"/>
  <c r="F123" i="13"/>
  <c r="E123" i="13"/>
  <c r="G123" i="13"/>
  <c r="I123" i="13"/>
  <c r="D123" i="13"/>
  <c r="H123" i="13"/>
  <c r="C123" i="13"/>
  <c r="A123" i="13"/>
  <c r="L92" i="10"/>
  <c r="N92" i="10"/>
  <c r="K92" i="10"/>
  <c r="I92" i="10"/>
  <c r="H92" i="10"/>
  <c r="F92" i="10"/>
  <c r="E92" i="10"/>
  <c r="D92" i="10"/>
  <c r="A92" i="10"/>
  <c r="C92" i="10"/>
  <c r="N124" i="11"/>
  <c r="A124" i="11"/>
  <c r="M124" i="11"/>
  <c r="F124" i="11"/>
  <c r="I124" i="11"/>
  <c r="D124" i="11"/>
  <c r="C124" i="11"/>
  <c r="N39" i="11"/>
  <c r="I39" i="11"/>
  <c r="G39" i="11"/>
  <c r="D39" i="11"/>
  <c r="C39" i="11"/>
  <c r="J39" i="11"/>
  <c r="K39" i="11"/>
  <c r="K79" i="12"/>
  <c r="H79" i="12"/>
  <c r="F79" i="12"/>
  <c r="N79" i="12"/>
  <c r="J79" i="12"/>
  <c r="I79" i="12"/>
  <c r="A17" i="18"/>
  <c r="C17" i="18"/>
  <c r="B17" i="18"/>
  <c r="L17" i="18"/>
  <c r="E17" i="18"/>
  <c r="D17" i="18"/>
  <c r="I17" i="18"/>
  <c r="G17" i="18"/>
  <c r="J17" i="18"/>
  <c r="F17" i="18"/>
  <c r="C124" i="14"/>
  <c r="E124" i="14"/>
  <c r="L124" i="14"/>
  <c r="J124" i="14"/>
  <c r="I124" i="14"/>
  <c r="G124" i="14"/>
  <c r="M124" i="14"/>
  <c r="K124" i="14"/>
  <c r="H124" i="14"/>
  <c r="F124" i="14"/>
  <c r="D124" i="14"/>
  <c r="B124" i="14"/>
  <c r="A124" i="14"/>
  <c r="L46" i="15"/>
  <c r="K46" i="15"/>
  <c r="J46" i="15"/>
  <c r="I46" i="15"/>
  <c r="H46" i="15"/>
  <c r="F46" i="15"/>
  <c r="B46" i="15"/>
  <c r="N46" i="15"/>
  <c r="G46" i="15"/>
  <c r="C46" i="15"/>
  <c r="D46" i="15"/>
  <c r="A46" i="15"/>
  <c r="J117" i="11"/>
  <c r="G117" i="11"/>
  <c r="D117" i="11"/>
  <c r="B117" i="11"/>
  <c r="N117" i="11"/>
  <c r="M117" i="11"/>
  <c r="H126" i="14"/>
  <c r="F126" i="14"/>
  <c r="N126" i="14"/>
  <c r="M126" i="14"/>
  <c r="K126" i="14"/>
  <c r="B126" i="14"/>
  <c r="A126" i="14"/>
  <c r="I126" i="14"/>
  <c r="G126" i="14"/>
  <c r="D126" i="14"/>
  <c r="L126" i="14"/>
  <c r="E126" i="14"/>
  <c r="C126" i="14"/>
  <c r="J126" i="14"/>
  <c r="A87" i="15"/>
  <c r="K87" i="15"/>
  <c r="H87" i="15"/>
  <c r="G87" i="15"/>
  <c r="F87" i="15"/>
  <c r="D87" i="15"/>
  <c r="E87" i="15"/>
  <c r="C87" i="15"/>
  <c r="B87" i="15"/>
  <c r="D96" i="11"/>
  <c r="K96" i="11"/>
  <c r="J96" i="11"/>
  <c r="H96" i="11"/>
  <c r="G96" i="11"/>
  <c r="E96" i="11"/>
  <c r="F96" i="11"/>
  <c r="C96" i="11"/>
  <c r="B96" i="11"/>
  <c r="A96" i="11"/>
  <c r="N34" i="13"/>
  <c r="K34" i="13"/>
  <c r="F34" i="13"/>
  <c r="G34" i="13"/>
  <c r="E34" i="13"/>
  <c r="A34" i="13"/>
  <c r="D34" i="13"/>
  <c r="C34" i="13"/>
  <c r="H34" i="13"/>
  <c r="I34" i="13"/>
  <c r="K24" i="14"/>
  <c r="N24" i="14"/>
  <c r="J24" i="14"/>
  <c r="H24" i="14"/>
  <c r="G24" i="14"/>
  <c r="F24" i="14"/>
  <c r="D24" i="14"/>
  <c r="A24" i="14"/>
  <c r="C24" i="14"/>
  <c r="E24" i="14"/>
  <c r="I90" i="16"/>
  <c r="G90" i="16"/>
  <c r="F90" i="16"/>
  <c r="E90" i="16"/>
  <c r="D90" i="16"/>
  <c r="J90" i="16"/>
  <c r="H90" i="16"/>
  <c r="N90" i="16"/>
  <c r="L90" i="16"/>
  <c r="K90" i="16"/>
  <c r="C90" i="16"/>
  <c r="B90" i="16"/>
  <c r="A90" i="16"/>
  <c r="D32" i="17"/>
  <c r="L32" i="17"/>
  <c r="K32" i="17"/>
  <c r="J32" i="17"/>
  <c r="N59" i="15"/>
  <c r="A59" i="15"/>
  <c r="E59" i="15"/>
  <c r="C59" i="15"/>
  <c r="H68" i="14"/>
  <c r="G68" i="14"/>
  <c r="E68" i="14"/>
  <c r="I68" i="14"/>
  <c r="L68" i="14"/>
  <c r="K68" i="14"/>
  <c r="J68" i="14"/>
  <c r="D68" i="14"/>
  <c r="F68" i="14"/>
  <c r="L82" i="15"/>
  <c r="K82" i="15"/>
  <c r="D82" i="15"/>
  <c r="N82" i="15"/>
  <c r="J82" i="15"/>
  <c r="G82" i="15"/>
  <c r="F82" i="15"/>
  <c r="E82" i="15"/>
  <c r="B82" i="15"/>
  <c r="I82" i="15"/>
  <c r="H82" i="15"/>
  <c r="E68" i="18"/>
  <c r="I68" i="18"/>
  <c r="F68" i="18"/>
  <c r="J68" i="18"/>
  <c r="N75" i="17"/>
  <c r="D75" i="17"/>
  <c r="H75" i="17"/>
  <c r="C75" i="17"/>
  <c r="B75" i="17"/>
  <c r="A75" i="17"/>
  <c r="E75" i="17"/>
  <c r="K66" i="17"/>
  <c r="N66" i="17"/>
  <c r="H66" i="17"/>
  <c r="G66" i="17"/>
  <c r="C66" i="17"/>
  <c r="E66" i="17"/>
  <c r="B66" i="17"/>
  <c r="A66" i="17"/>
  <c r="F66" i="17"/>
  <c r="I66" i="17"/>
  <c r="D66" i="17"/>
  <c r="N28" i="23"/>
  <c r="F28" i="23"/>
  <c r="G28" i="23"/>
  <c r="K28" i="23"/>
  <c r="L80" i="10"/>
  <c r="N80" i="10"/>
  <c r="J80" i="10"/>
  <c r="H80" i="10"/>
  <c r="G80" i="10"/>
  <c r="C80" i="10"/>
  <c r="A80" i="10"/>
  <c r="D80" i="10"/>
  <c r="B80" i="10"/>
  <c r="Y1265" i="24"/>
  <c r="M106" i="15"/>
  <c r="Y1310" i="24"/>
  <c r="M102" i="16"/>
  <c r="Y875" i="24"/>
  <c r="M63" i="17"/>
  <c r="Y1083" i="24"/>
  <c r="M93" i="11"/>
  <c r="Y455" i="24"/>
  <c r="M50" i="15"/>
  <c r="Y476" i="24"/>
  <c r="M56" i="11"/>
  <c r="Y301" i="24"/>
  <c r="M24" i="17"/>
  <c r="Y116" i="24"/>
  <c r="M20" i="15"/>
  <c r="Y307" i="24"/>
  <c r="M40" i="11"/>
  <c r="Y559" i="24"/>
  <c r="M48" i="16"/>
  <c r="Y547" i="24"/>
  <c r="M46" i="16"/>
  <c r="Y877" i="24"/>
  <c r="M74" i="16"/>
  <c r="Y71" i="24"/>
  <c r="M15" i="13"/>
  <c r="H94" i="23"/>
  <c r="M94" i="23"/>
  <c r="I94" i="23"/>
  <c r="B94" i="23"/>
  <c r="L94" i="23"/>
  <c r="K94" i="23"/>
  <c r="D94" i="23"/>
  <c r="C94" i="23"/>
  <c r="N94" i="23"/>
  <c r="J94" i="23"/>
  <c r="G94" i="23"/>
  <c r="F94" i="23"/>
  <c r="E94" i="23"/>
  <c r="A94" i="23"/>
  <c r="Y788" i="24"/>
  <c r="M68" i="18"/>
  <c r="Y14" i="24"/>
  <c r="M10" i="16"/>
  <c r="H25" i="22"/>
  <c r="N25" i="22"/>
  <c r="M25" i="22"/>
  <c r="L25" i="22"/>
  <c r="I25" i="22"/>
  <c r="D25" i="22"/>
  <c r="C25" i="22"/>
  <c r="B25" i="22"/>
  <c r="G25" i="22"/>
  <c r="F25" i="22"/>
  <c r="E25" i="22"/>
  <c r="A25" i="22"/>
  <c r="K25" i="22"/>
  <c r="J25" i="22"/>
  <c r="H89" i="22"/>
  <c r="N89" i="22"/>
  <c r="K89" i="22"/>
  <c r="J89" i="22"/>
  <c r="M89" i="22"/>
  <c r="I89" i="22"/>
  <c r="F89" i="22"/>
  <c r="C89" i="22"/>
  <c r="G89" i="22"/>
  <c r="A89" i="22"/>
  <c r="D89" i="22"/>
  <c r="L89" i="22"/>
  <c r="E89" i="22"/>
  <c r="B89" i="22"/>
  <c r="Y263" i="24"/>
  <c r="M36" i="13"/>
  <c r="Y568" i="24"/>
  <c r="M56" i="13"/>
  <c r="L35" i="23"/>
  <c r="C35" i="23"/>
  <c r="E35" i="23"/>
  <c r="J35" i="23"/>
  <c r="K35" i="23"/>
  <c r="I35" i="23"/>
  <c r="F35" i="23"/>
  <c r="B35" i="23"/>
  <c r="H35" i="23"/>
  <c r="G35" i="23"/>
  <c r="N35" i="23"/>
  <c r="M35" i="23"/>
  <c r="D35" i="23"/>
  <c r="A35" i="23"/>
  <c r="Y707" i="24"/>
  <c r="M59" i="12"/>
  <c r="H85" i="22"/>
  <c r="E85" i="22"/>
  <c r="L85" i="22"/>
  <c r="J85" i="22"/>
  <c r="F85" i="22"/>
  <c r="D85" i="22"/>
  <c r="B85" i="22"/>
  <c r="K85" i="22"/>
  <c r="G85" i="22"/>
  <c r="A85" i="22"/>
  <c r="I85" i="22"/>
  <c r="N85" i="22"/>
  <c r="M85" i="22"/>
  <c r="C85" i="22"/>
  <c r="G54" i="21"/>
  <c r="D54" i="21"/>
  <c r="I54" i="21"/>
  <c r="L54" i="21"/>
  <c r="N54" i="21"/>
  <c r="K54" i="21"/>
  <c r="J54" i="21"/>
  <c r="E54" i="21"/>
  <c r="B54" i="21"/>
  <c r="M54" i="21"/>
  <c r="F54" i="21"/>
  <c r="C54" i="21"/>
  <c r="A54" i="21"/>
  <c r="H54" i="21"/>
  <c r="E125" i="20"/>
  <c r="A125" i="20"/>
  <c r="D125" i="20"/>
  <c r="H125" i="20"/>
  <c r="B125" i="20"/>
  <c r="N125" i="20"/>
  <c r="M125" i="20"/>
  <c r="L125" i="20"/>
  <c r="K125" i="20"/>
  <c r="J125" i="20"/>
  <c r="I125" i="20"/>
  <c r="G125" i="20"/>
  <c r="F125" i="20"/>
  <c r="C125" i="20"/>
  <c r="K52" i="22"/>
  <c r="C52" i="22"/>
  <c r="G52" i="22"/>
  <c r="L52" i="22"/>
  <c r="J52" i="22"/>
  <c r="N52" i="22"/>
  <c r="H52" i="22"/>
  <c r="D52" i="22"/>
  <c r="A52" i="22"/>
  <c r="F52" i="22"/>
  <c r="B52" i="22"/>
  <c r="M52" i="22"/>
  <c r="I52" i="22"/>
  <c r="E52" i="22"/>
  <c r="H29" i="22"/>
  <c r="G29" i="22"/>
  <c r="M29" i="22"/>
  <c r="J29" i="22"/>
  <c r="I29" i="22"/>
  <c r="N29" i="22"/>
  <c r="B29" i="22"/>
  <c r="K29" i="22"/>
  <c r="F29" i="22"/>
  <c r="C29" i="22"/>
  <c r="L29" i="22"/>
  <c r="E29" i="22"/>
  <c r="D29" i="22"/>
  <c r="A29" i="22"/>
  <c r="M23" i="22"/>
  <c r="Y1047" i="24"/>
  <c r="M89" i="15"/>
  <c r="M30" i="20"/>
  <c r="M50" i="20"/>
  <c r="M26" i="18"/>
  <c r="Y235" i="24"/>
  <c r="M25" i="21"/>
  <c r="J47" i="20"/>
  <c r="F47" i="20"/>
  <c r="D47" i="20"/>
  <c r="B47" i="20"/>
  <c r="A47" i="20"/>
  <c r="N47" i="20"/>
  <c r="L47" i="20"/>
  <c r="K47" i="20"/>
  <c r="I47" i="20"/>
  <c r="H47" i="20"/>
  <c r="G47" i="20"/>
  <c r="M47" i="20"/>
  <c r="E47" i="20"/>
  <c r="C47" i="20"/>
  <c r="M76" i="18"/>
  <c r="L76" i="18"/>
  <c r="K76" i="18"/>
  <c r="J76" i="18"/>
  <c r="I76" i="18"/>
  <c r="H76" i="18"/>
  <c r="G76" i="18"/>
  <c r="F76" i="18"/>
  <c r="E76" i="18"/>
  <c r="D76" i="18"/>
  <c r="C76" i="18"/>
  <c r="N76" i="18"/>
  <c r="B76" i="18"/>
  <c r="A76" i="18"/>
  <c r="M34" i="20"/>
  <c r="I34" i="20"/>
  <c r="G34" i="20"/>
  <c r="E34" i="20"/>
  <c r="D34" i="20"/>
  <c r="B34" i="20"/>
  <c r="A34" i="20"/>
  <c r="K34" i="20"/>
  <c r="J34" i="20"/>
  <c r="F34" i="20"/>
  <c r="N34" i="20"/>
  <c r="L34" i="20"/>
  <c r="H34" i="20"/>
  <c r="C34" i="20"/>
  <c r="N110" i="18"/>
  <c r="K110" i="18"/>
  <c r="J110" i="18"/>
  <c r="I110" i="18"/>
  <c r="H110" i="18"/>
  <c r="F110" i="18"/>
  <c r="E110" i="18"/>
  <c r="D110" i="18"/>
  <c r="B110" i="18"/>
  <c r="A110" i="18"/>
  <c r="M110" i="18"/>
  <c r="G110" i="18"/>
  <c r="L110" i="18"/>
  <c r="C110" i="18"/>
  <c r="G71" i="19"/>
  <c r="D71" i="19"/>
  <c r="N71" i="19"/>
  <c r="J71" i="19"/>
  <c r="L71" i="19"/>
  <c r="K71" i="19"/>
  <c r="I71" i="19"/>
  <c r="H71" i="19"/>
  <c r="F71" i="19"/>
  <c r="E71" i="19"/>
  <c r="C71" i="19"/>
  <c r="B71" i="19"/>
  <c r="A71" i="19"/>
  <c r="M71" i="19"/>
  <c r="I129" i="19"/>
  <c r="C129" i="19"/>
  <c r="A129" i="19"/>
  <c r="M129" i="19"/>
  <c r="L129" i="19"/>
  <c r="K129" i="19"/>
  <c r="J129" i="19"/>
  <c r="E129" i="19"/>
  <c r="N129" i="19"/>
  <c r="H129" i="19"/>
  <c r="G129" i="19"/>
  <c r="F129" i="19"/>
  <c r="D129" i="19"/>
  <c r="B129" i="19"/>
  <c r="C91" i="19"/>
  <c r="D91" i="19"/>
  <c r="J91" i="19"/>
  <c r="I91" i="19"/>
  <c r="H91" i="19"/>
  <c r="G91" i="19"/>
  <c r="F91" i="19"/>
  <c r="E91" i="19"/>
  <c r="B91" i="19"/>
  <c r="A91" i="19"/>
  <c r="N91" i="19"/>
  <c r="M91" i="19"/>
  <c r="L91" i="19"/>
  <c r="K91" i="19"/>
  <c r="N125" i="18"/>
  <c r="M125" i="18"/>
  <c r="K125" i="18"/>
  <c r="J125" i="18"/>
  <c r="G125" i="18"/>
  <c r="F125" i="18"/>
  <c r="E125" i="18"/>
  <c r="D125" i="18"/>
  <c r="L125" i="18"/>
  <c r="I125" i="18"/>
  <c r="A125" i="18"/>
  <c r="H125" i="18"/>
  <c r="B125" i="18"/>
  <c r="C125" i="18"/>
  <c r="G87" i="19"/>
  <c r="D87" i="19"/>
  <c r="C87" i="19"/>
  <c r="F87" i="19"/>
  <c r="A87" i="19"/>
  <c r="N87" i="19"/>
  <c r="M87" i="19"/>
  <c r="L87" i="19"/>
  <c r="K87" i="19"/>
  <c r="J87" i="19"/>
  <c r="I87" i="19"/>
  <c r="E87" i="19"/>
  <c r="B87" i="19"/>
  <c r="H87" i="19"/>
  <c r="B83" i="22"/>
  <c r="N83" i="22"/>
  <c r="I83" i="22"/>
  <c r="J83" i="22"/>
  <c r="F83" i="22"/>
  <c r="C83" i="22"/>
  <c r="A83" i="22"/>
  <c r="G83" i="22"/>
  <c r="E83" i="22"/>
  <c r="D83" i="22"/>
  <c r="K83" i="22"/>
  <c r="H83" i="22"/>
  <c r="M83" i="22"/>
  <c r="L83" i="22"/>
  <c r="H121" i="21"/>
  <c r="M121" i="21"/>
  <c r="J121" i="21"/>
  <c r="C121" i="21"/>
  <c r="K121" i="21"/>
  <c r="B121" i="21"/>
  <c r="N121" i="21"/>
  <c r="E121" i="21"/>
  <c r="L121" i="21"/>
  <c r="F121" i="21"/>
  <c r="A121" i="21"/>
  <c r="I121" i="21"/>
  <c r="G121" i="21"/>
  <c r="D121" i="21"/>
  <c r="M44" i="23"/>
  <c r="A44" i="23"/>
  <c r="I44" i="23"/>
  <c r="F44" i="23"/>
  <c r="E44" i="23"/>
  <c r="B44" i="23"/>
  <c r="H44" i="23"/>
  <c r="G44" i="23"/>
  <c r="C44" i="23"/>
  <c r="L44" i="23"/>
  <c r="N44" i="23"/>
  <c r="K44" i="23"/>
  <c r="J44" i="23"/>
  <c r="D44" i="23"/>
  <c r="D49" i="23"/>
  <c r="I49" i="23"/>
  <c r="C49" i="23"/>
  <c r="A49" i="23"/>
  <c r="N49" i="23"/>
  <c r="L49" i="23"/>
  <c r="H49" i="23"/>
  <c r="M49" i="23"/>
  <c r="K49" i="23"/>
  <c r="F49" i="23"/>
  <c r="G49" i="23"/>
  <c r="B49" i="23"/>
  <c r="J49" i="23"/>
  <c r="E49" i="23"/>
  <c r="I112" i="23"/>
  <c r="A112" i="23"/>
  <c r="L112" i="23"/>
  <c r="J112" i="23"/>
  <c r="E112" i="23"/>
  <c r="D112" i="23"/>
  <c r="N112" i="23"/>
  <c r="F112" i="23"/>
  <c r="B112" i="23"/>
  <c r="C112" i="23"/>
  <c r="M112" i="23"/>
  <c r="K112" i="23"/>
  <c r="H112" i="23"/>
  <c r="G112" i="23"/>
  <c r="M11" i="20"/>
  <c r="M90" i="18"/>
  <c r="M32" i="18"/>
  <c r="M15" i="20"/>
  <c r="M97" i="17"/>
  <c r="M27" i="18"/>
  <c r="M76" i="16"/>
  <c r="M52" i="16"/>
  <c r="M29" i="16"/>
  <c r="M39" i="16"/>
  <c r="M23" i="20"/>
  <c r="M90" i="14"/>
  <c r="M81" i="16"/>
  <c r="M53" i="13"/>
  <c r="M54" i="13"/>
  <c r="M82" i="11"/>
  <c r="H19" i="6"/>
  <c r="M96" i="10"/>
  <c r="M52" i="10"/>
  <c r="Y9" i="24"/>
  <c r="M9" i="14"/>
  <c r="Y1235" i="24"/>
  <c r="M97" i="14"/>
  <c r="M58" i="11"/>
  <c r="M86" i="10"/>
  <c r="Y1323" i="24"/>
  <c r="M105" i="14"/>
  <c r="Y1263" i="24"/>
  <c r="M98" i="16"/>
  <c r="Y1185" i="24"/>
  <c r="M89" i="14"/>
  <c r="Y795" i="24"/>
  <c r="M71" i="12"/>
  <c r="Y670" i="24"/>
  <c r="M49" i="14"/>
  <c r="Y578" i="24"/>
  <c r="M58" i="12"/>
  <c r="Y429" i="24"/>
  <c r="M48" i="12"/>
  <c r="Y137" i="24"/>
  <c r="M24" i="15"/>
  <c r="Y445" i="24"/>
  <c r="M50" i="11"/>
  <c r="Y1222" i="24"/>
  <c r="M102" i="11"/>
  <c r="Y104" i="24"/>
  <c r="M18" i="15"/>
  <c r="Y1176" i="24"/>
  <c r="M90" i="20"/>
  <c r="A102" i="23"/>
  <c r="C102" i="23"/>
  <c r="K102" i="23"/>
  <c r="L102" i="23"/>
  <c r="H102" i="23"/>
  <c r="G102" i="23"/>
  <c r="E102" i="23"/>
  <c r="D102" i="23"/>
  <c r="B102" i="23"/>
  <c r="J102" i="23"/>
  <c r="I102" i="23"/>
  <c r="F102" i="23"/>
  <c r="N102" i="23"/>
  <c r="M102" i="23"/>
  <c r="Y29" i="24"/>
  <c r="M11" i="16"/>
  <c r="K32" i="22"/>
  <c r="C32" i="22"/>
  <c r="N32" i="22"/>
  <c r="J32" i="22"/>
  <c r="D32" i="22"/>
  <c r="I32" i="22"/>
  <c r="H32" i="22"/>
  <c r="E32" i="22"/>
  <c r="M32" i="22"/>
  <c r="L32" i="22"/>
  <c r="G32" i="22"/>
  <c r="F32" i="22"/>
  <c r="B32" i="22"/>
  <c r="A32" i="22"/>
  <c r="L75" i="23"/>
  <c r="E75" i="23"/>
  <c r="F75" i="23"/>
  <c r="H75" i="23"/>
  <c r="J75" i="23"/>
  <c r="K75" i="23"/>
  <c r="I75" i="23"/>
  <c r="C75" i="23"/>
  <c r="B75" i="23"/>
  <c r="A75" i="23"/>
  <c r="N75" i="23"/>
  <c r="M75" i="23"/>
  <c r="G75" i="23"/>
  <c r="D75" i="23"/>
  <c r="Y946" i="24"/>
  <c r="M89" i="13"/>
  <c r="H109" i="22"/>
  <c r="L109" i="22"/>
  <c r="K109" i="22"/>
  <c r="J109" i="22"/>
  <c r="N109" i="22"/>
  <c r="E109" i="22"/>
  <c r="M109" i="22"/>
  <c r="I109" i="22"/>
  <c r="G109" i="22"/>
  <c r="C109" i="22"/>
  <c r="B109" i="22"/>
  <c r="F109" i="22"/>
  <c r="D109" i="22"/>
  <c r="A109" i="22"/>
  <c r="L99" i="23"/>
  <c r="K99" i="23"/>
  <c r="H99" i="23"/>
  <c r="B99" i="23"/>
  <c r="C99" i="23"/>
  <c r="N99" i="23"/>
  <c r="M99" i="23"/>
  <c r="F99" i="23"/>
  <c r="J99" i="23"/>
  <c r="E99" i="23"/>
  <c r="I99" i="23"/>
  <c r="D99" i="23"/>
  <c r="A99" i="23"/>
  <c r="G99" i="23"/>
  <c r="Y33" i="24"/>
  <c r="M14" i="12"/>
  <c r="Y786" i="24"/>
  <c r="M70" i="12"/>
  <c r="E54" i="22"/>
  <c r="H54" i="22"/>
  <c r="M54" i="22"/>
  <c r="L54" i="22"/>
  <c r="J54" i="22"/>
  <c r="G54" i="22"/>
  <c r="C54" i="22"/>
  <c r="N54" i="22"/>
  <c r="F54" i="22"/>
  <c r="I54" i="22"/>
  <c r="B54" i="22"/>
  <c r="A54" i="22"/>
  <c r="K54" i="22"/>
  <c r="D54" i="22"/>
  <c r="G46" i="21"/>
  <c r="D46" i="21"/>
  <c r="C46" i="21"/>
  <c r="A46" i="21"/>
  <c r="N46" i="21"/>
  <c r="L46" i="21"/>
  <c r="K46" i="21"/>
  <c r="H46" i="21"/>
  <c r="E46" i="21"/>
  <c r="M46" i="21"/>
  <c r="J46" i="21"/>
  <c r="I46" i="21"/>
  <c r="F46" i="21"/>
  <c r="B46" i="21"/>
  <c r="M117" i="20"/>
  <c r="I117" i="20"/>
  <c r="A117" i="20"/>
  <c r="C117" i="20"/>
  <c r="L117" i="20"/>
  <c r="K117" i="20"/>
  <c r="J117" i="20"/>
  <c r="H117" i="20"/>
  <c r="G117" i="20"/>
  <c r="F117" i="20"/>
  <c r="E117" i="20"/>
  <c r="B117" i="20"/>
  <c r="N117" i="20"/>
  <c r="D117" i="20"/>
  <c r="N87" i="22"/>
  <c r="B87" i="22"/>
  <c r="A87" i="22"/>
  <c r="M87" i="22"/>
  <c r="L87" i="22"/>
  <c r="I87" i="22"/>
  <c r="H87" i="22"/>
  <c r="K87" i="22"/>
  <c r="F87" i="22"/>
  <c r="C87" i="22"/>
  <c r="J87" i="22"/>
  <c r="G87" i="22"/>
  <c r="E87" i="22"/>
  <c r="D87" i="22"/>
  <c r="B122" i="21"/>
  <c r="A122" i="21"/>
  <c r="H122" i="21"/>
  <c r="C122" i="21"/>
  <c r="N122" i="21"/>
  <c r="K122" i="21"/>
  <c r="J122" i="21"/>
  <c r="I122" i="21"/>
  <c r="G122" i="21"/>
  <c r="D122" i="21"/>
  <c r="M122" i="21"/>
  <c r="F122" i="21"/>
  <c r="E122" i="21"/>
  <c r="L122" i="21"/>
  <c r="Y643" i="24"/>
  <c r="M61" i="15"/>
  <c r="M27" i="22"/>
  <c r="Y259" i="24"/>
  <c r="M26" i="21"/>
  <c r="N66" i="20"/>
  <c r="J66" i="20"/>
  <c r="H66" i="20"/>
  <c r="F66" i="20"/>
  <c r="E66" i="20"/>
  <c r="D66" i="20"/>
  <c r="C66" i="20"/>
  <c r="B66" i="20"/>
  <c r="M66" i="20"/>
  <c r="K66" i="20"/>
  <c r="I66" i="20"/>
  <c r="G66" i="20"/>
  <c r="A66" i="20"/>
  <c r="L66" i="20"/>
  <c r="M81" i="18"/>
  <c r="L81" i="18"/>
  <c r="I81" i="18"/>
  <c r="H81" i="18"/>
  <c r="E81" i="18"/>
  <c r="D81" i="18"/>
  <c r="C81" i="18"/>
  <c r="B81" i="18"/>
  <c r="A81" i="18"/>
  <c r="N81" i="18"/>
  <c r="K81" i="18"/>
  <c r="G81" i="18"/>
  <c r="J81" i="18"/>
  <c r="F81" i="18"/>
  <c r="F108" i="20"/>
  <c r="E108" i="20"/>
  <c r="C108" i="20"/>
  <c r="N108" i="20"/>
  <c r="J108" i="20"/>
  <c r="H108" i="20"/>
  <c r="D108" i="20"/>
  <c r="B108" i="20"/>
  <c r="A108" i="20"/>
  <c r="M108" i="20"/>
  <c r="L108" i="20"/>
  <c r="K108" i="20"/>
  <c r="I108" i="20"/>
  <c r="G108" i="20"/>
  <c r="N115" i="18"/>
  <c r="L115" i="18"/>
  <c r="K115" i="18"/>
  <c r="J115" i="18"/>
  <c r="H115" i="18"/>
  <c r="G115" i="18"/>
  <c r="F115" i="18"/>
  <c r="E115" i="18"/>
  <c r="D115" i="18"/>
  <c r="C115" i="18"/>
  <c r="B115" i="18"/>
  <c r="A115" i="18"/>
  <c r="M115" i="18"/>
  <c r="I115" i="18"/>
  <c r="J82" i="19"/>
  <c r="G82" i="19"/>
  <c r="F82" i="19"/>
  <c r="N82" i="19"/>
  <c r="I82" i="19"/>
  <c r="M82" i="19"/>
  <c r="L82" i="19"/>
  <c r="K82" i="19"/>
  <c r="H82" i="19"/>
  <c r="A82" i="19"/>
  <c r="E82" i="19"/>
  <c r="D82" i="19"/>
  <c r="C82" i="19"/>
  <c r="B82" i="19"/>
  <c r="D49" i="20"/>
  <c r="M49" i="20"/>
  <c r="L49" i="20"/>
  <c r="K49" i="20"/>
  <c r="J49" i="20"/>
  <c r="I49" i="20"/>
  <c r="F49" i="20"/>
  <c r="G49" i="20"/>
  <c r="E49" i="20"/>
  <c r="C49" i="20"/>
  <c r="B49" i="20"/>
  <c r="A49" i="20"/>
  <c r="N49" i="20"/>
  <c r="H49" i="20"/>
  <c r="C99" i="19"/>
  <c r="L99" i="19"/>
  <c r="G99" i="19"/>
  <c r="F99" i="19"/>
  <c r="E99" i="19"/>
  <c r="D99" i="19"/>
  <c r="B99" i="19"/>
  <c r="A99" i="19"/>
  <c r="N99" i="19"/>
  <c r="K99" i="19"/>
  <c r="J99" i="19"/>
  <c r="I99" i="19"/>
  <c r="H99" i="19"/>
  <c r="M99" i="19"/>
  <c r="C133" i="18"/>
  <c r="A133" i="18"/>
  <c r="J133" i="18"/>
  <c r="I133" i="18"/>
  <c r="G133" i="18"/>
  <c r="F133" i="18"/>
  <c r="E133" i="18"/>
  <c r="B133" i="18"/>
  <c r="K133" i="18"/>
  <c r="H133" i="18"/>
  <c r="D133" i="18"/>
  <c r="N133" i="18"/>
  <c r="M133" i="18"/>
  <c r="L133" i="18"/>
  <c r="G95" i="19"/>
  <c r="D95" i="19"/>
  <c r="C95" i="19"/>
  <c r="N95" i="19"/>
  <c r="M95" i="19"/>
  <c r="L95" i="19"/>
  <c r="K95" i="19"/>
  <c r="J95" i="19"/>
  <c r="I95" i="19"/>
  <c r="H95" i="19"/>
  <c r="F95" i="19"/>
  <c r="E95" i="19"/>
  <c r="B95" i="19"/>
  <c r="A95" i="19"/>
  <c r="I48" i="23"/>
  <c r="H48" i="23"/>
  <c r="K48" i="23"/>
  <c r="E48" i="23"/>
  <c r="M48" i="23"/>
  <c r="G48" i="23"/>
  <c r="F48" i="23"/>
  <c r="B48" i="23"/>
  <c r="A48" i="23"/>
  <c r="L48" i="23"/>
  <c r="J48" i="23"/>
  <c r="N48" i="23"/>
  <c r="D48" i="23"/>
  <c r="C48" i="23"/>
  <c r="F61" i="23"/>
  <c r="N61" i="23"/>
  <c r="G61" i="23"/>
  <c r="I61" i="23"/>
  <c r="C61" i="23"/>
  <c r="A61" i="23"/>
  <c r="L61" i="23"/>
  <c r="M61" i="23"/>
  <c r="K61" i="23"/>
  <c r="J61" i="23"/>
  <c r="E61" i="23"/>
  <c r="D61" i="23"/>
  <c r="H61" i="23"/>
  <c r="B61" i="23"/>
  <c r="L51" i="21"/>
  <c r="D51" i="21"/>
  <c r="A51" i="21"/>
  <c r="N51" i="21"/>
  <c r="M51" i="21"/>
  <c r="H51" i="21"/>
  <c r="G51" i="21"/>
  <c r="F51" i="21"/>
  <c r="J51" i="21"/>
  <c r="E51" i="21"/>
  <c r="I51" i="21"/>
  <c r="C51" i="21"/>
  <c r="K51" i="21"/>
  <c r="B51" i="21"/>
  <c r="C130" i="23"/>
  <c r="G130" i="23"/>
  <c r="J130" i="23"/>
  <c r="A130" i="23"/>
  <c r="L130" i="23"/>
  <c r="H130" i="23"/>
  <c r="E130" i="23"/>
  <c r="I130" i="23"/>
  <c r="N130" i="23"/>
  <c r="M130" i="23"/>
  <c r="K130" i="23"/>
  <c r="B130" i="23"/>
  <c r="F130" i="23"/>
  <c r="D130" i="23"/>
  <c r="H9" i="22"/>
  <c r="L9" i="22"/>
  <c r="I9" i="22"/>
  <c r="G9" i="22"/>
  <c r="C9" i="22"/>
  <c r="F9" i="22"/>
  <c r="K9" i="22"/>
  <c r="J9" i="22"/>
  <c r="E9" i="22"/>
  <c r="D9" i="22"/>
  <c r="N9" i="22"/>
  <c r="A9" i="22"/>
  <c r="M9" i="22"/>
  <c r="B9" i="22"/>
  <c r="M105" i="18"/>
  <c r="M48" i="17"/>
  <c r="M17" i="17"/>
  <c r="M102" i="18"/>
  <c r="M34" i="18"/>
  <c r="M16" i="18"/>
  <c r="M20" i="16"/>
  <c r="M93" i="13"/>
  <c r="M40" i="15"/>
  <c r="M65" i="16"/>
  <c r="M73" i="13"/>
  <c r="M33" i="13"/>
  <c r="M80" i="13"/>
  <c r="M11" i="15"/>
  <c r="M71" i="15"/>
  <c r="M51" i="10"/>
  <c r="Y98" i="24"/>
  <c r="M12" i="14"/>
  <c r="Y683" i="24"/>
  <c r="M51" i="14"/>
  <c r="M23" i="11"/>
  <c r="Y1100" i="24"/>
  <c r="M89" i="18"/>
  <c r="Y1110" i="24"/>
  <c r="M77" i="17"/>
  <c r="Y1253" i="24"/>
  <c r="M104" i="11"/>
  <c r="Y938" i="24"/>
  <c r="M78" i="10"/>
  <c r="Y979" i="24"/>
  <c r="M70" i="14"/>
  <c r="Y851" i="24"/>
  <c r="M69" i="16"/>
  <c r="Y866" i="24"/>
  <c r="M78" i="12"/>
  <c r="Y434" i="24"/>
  <c r="M35" i="17"/>
  <c r="Y92" i="24"/>
  <c r="M12" i="10"/>
  <c r="Y114" i="24"/>
  <c r="M15" i="10"/>
  <c r="Y106" i="24"/>
  <c r="M18" i="16"/>
  <c r="Y627" i="24"/>
  <c r="M55" i="16"/>
  <c r="Y68" i="24"/>
  <c r="M17" i="22"/>
  <c r="Y738" i="24"/>
  <c r="M57" i="17"/>
  <c r="Y56" i="24"/>
  <c r="M13" i="16"/>
  <c r="F110" i="23"/>
  <c r="C110" i="23"/>
  <c r="N110" i="23"/>
  <c r="H110" i="23"/>
  <c r="A110" i="23"/>
  <c r="J110" i="23"/>
  <c r="I110" i="23"/>
  <c r="E110" i="23"/>
  <c r="B110" i="23"/>
  <c r="M110" i="23"/>
  <c r="K110" i="23"/>
  <c r="G110" i="23"/>
  <c r="D110" i="23"/>
  <c r="L110" i="23"/>
  <c r="Y1058" i="24"/>
  <c r="M88" i="10"/>
  <c r="N39" i="22"/>
  <c r="B39" i="22"/>
  <c r="K39" i="22"/>
  <c r="E39" i="22"/>
  <c r="G39" i="22"/>
  <c r="C39" i="22"/>
  <c r="A39" i="22"/>
  <c r="F39" i="22"/>
  <c r="D39" i="22"/>
  <c r="M39" i="22"/>
  <c r="L39" i="22"/>
  <c r="J39" i="22"/>
  <c r="I39" i="22"/>
  <c r="H39" i="22"/>
  <c r="L25" i="23"/>
  <c r="K25" i="23"/>
  <c r="J25" i="23"/>
  <c r="I25" i="23"/>
  <c r="F25" i="23"/>
  <c r="E25" i="23"/>
  <c r="M25" i="23"/>
  <c r="B25" i="23"/>
  <c r="A25" i="23"/>
  <c r="H25" i="23"/>
  <c r="G25" i="23"/>
  <c r="D25" i="23"/>
  <c r="N25" i="23"/>
  <c r="C25" i="23"/>
  <c r="E98" i="22"/>
  <c r="L98" i="22"/>
  <c r="K98" i="22"/>
  <c r="N98" i="22"/>
  <c r="C98" i="22"/>
  <c r="M98" i="22"/>
  <c r="I98" i="22"/>
  <c r="H98" i="22"/>
  <c r="D98" i="22"/>
  <c r="J98" i="22"/>
  <c r="F98" i="22"/>
  <c r="B98" i="22"/>
  <c r="A98" i="22"/>
  <c r="G98" i="22"/>
  <c r="E34" i="22"/>
  <c r="K34" i="22"/>
  <c r="C34" i="22"/>
  <c r="H34" i="22"/>
  <c r="G34" i="22"/>
  <c r="F34" i="22"/>
  <c r="A34" i="22"/>
  <c r="L34" i="22"/>
  <c r="D34" i="22"/>
  <c r="B34" i="22"/>
  <c r="M34" i="22"/>
  <c r="J34" i="22"/>
  <c r="I34" i="22"/>
  <c r="N34" i="22"/>
  <c r="G38" i="21"/>
  <c r="D38" i="21"/>
  <c r="A38" i="21"/>
  <c r="J38" i="21"/>
  <c r="H38" i="21"/>
  <c r="B38" i="21"/>
  <c r="K38" i="21"/>
  <c r="L38" i="21"/>
  <c r="E38" i="21"/>
  <c r="C38" i="21"/>
  <c r="N38" i="21"/>
  <c r="M38" i="21"/>
  <c r="I38" i="21"/>
  <c r="F38" i="21"/>
  <c r="H109" i="20"/>
  <c r="F109" i="20"/>
  <c r="N109" i="20"/>
  <c r="M109" i="20"/>
  <c r="B109" i="20"/>
  <c r="A109" i="20"/>
  <c r="E109" i="20"/>
  <c r="D109" i="20"/>
  <c r="C109" i="20"/>
  <c r="L109" i="20"/>
  <c r="K109" i="20"/>
  <c r="J109" i="20"/>
  <c r="G109" i="20"/>
  <c r="I109" i="20"/>
  <c r="K112" i="22"/>
  <c r="C112" i="22"/>
  <c r="L112" i="22"/>
  <c r="J112" i="22"/>
  <c r="I112" i="22"/>
  <c r="B112" i="22"/>
  <c r="H112" i="22"/>
  <c r="G112" i="22"/>
  <c r="D112" i="22"/>
  <c r="M112" i="22"/>
  <c r="N112" i="22"/>
  <c r="F112" i="22"/>
  <c r="E112" i="22"/>
  <c r="A112" i="22"/>
  <c r="H113" i="21"/>
  <c r="L113" i="21"/>
  <c r="K113" i="21"/>
  <c r="E113" i="21"/>
  <c r="D113" i="21"/>
  <c r="G113" i="21"/>
  <c r="N113" i="21"/>
  <c r="I113" i="21"/>
  <c r="C113" i="21"/>
  <c r="B113" i="21"/>
  <c r="F113" i="21"/>
  <c r="M113" i="21"/>
  <c r="J113" i="21"/>
  <c r="A113" i="21"/>
  <c r="Y523" i="24"/>
  <c r="M56" i="15"/>
  <c r="M17" i="19"/>
  <c r="E82" i="22"/>
  <c r="J82" i="22"/>
  <c r="G82" i="22"/>
  <c r="F82" i="22"/>
  <c r="K82" i="22"/>
  <c r="D82" i="22"/>
  <c r="A82" i="22"/>
  <c r="M82" i="22"/>
  <c r="C82" i="22"/>
  <c r="N82" i="22"/>
  <c r="L82" i="22"/>
  <c r="I82" i="22"/>
  <c r="H82" i="22"/>
  <c r="B82" i="22"/>
  <c r="N59" i="20"/>
  <c r="M59" i="20"/>
  <c r="L59" i="20"/>
  <c r="K59" i="20"/>
  <c r="J59" i="20"/>
  <c r="I59" i="20"/>
  <c r="H59" i="20"/>
  <c r="F59" i="20"/>
  <c r="D59" i="20"/>
  <c r="C59" i="20"/>
  <c r="B59" i="20"/>
  <c r="A59" i="20"/>
  <c r="G59" i="20"/>
  <c r="E59" i="20"/>
  <c r="M55" i="21"/>
  <c r="K55" i="21"/>
  <c r="J55" i="21"/>
  <c r="I55" i="21"/>
  <c r="E55" i="21"/>
  <c r="D55" i="21"/>
  <c r="C55" i="21"/>
  <c r="F55" i="21"/>
  <c r="N55" i="21"/>
  <c r="G55" i="21"/>
  <c r="B55" i="21"/>
  <c r="L55" i="21"/>
  <c r="H55" i="21"/>
  <c r="A55" i="21"/>
  <c r="F120" i="18"/>
  <c r="E120" i="18"/>
  <c r="C120" i="18"/>
  <c r="B120" i="18"/>
  <c r="N120" i="18"/>
  <c r="M120" i="18"/>
  <c r="L120" i="18"/>
  <c r="K120" i="18"/>
  <c r="J120" i="18"/>
  <c r="I120" i="18"/>
  <c r="H120" i="18"/>
  <c r="G120" i="18"/>
  <c r="D120" i="18"/>
  <c r="A120" i="18"/>
  <c r="I105" i="19"/>
  <c r="A105" i="19"/>
  <c r="N105" i="19"/>
  <c r="J105" i="19"/>
  <c r="M105" i="19"/>
  <c r="K105" i="19"/>
  <c r="H105" i="19"/>
  <c r="G105" i="19"/>
  <c r="F105" i="19"/>
  <c r="E105" i="19"/>
  <c r="D105" i="19"/>
  <c r="C105" i="19"/>
  <c r="B105" i="19"/>
  <c r="L105" i="19"/>
  <c r="L61" i="20"/>
  <c r="J61" i="20"/>
  <c r="H61" i="20"/>
  <c r="G61" i="20"/>
  <c r="F61" i="20"/>
  <c r="E61" i="20"/>
  <c r="D61" i="20"/>
  <c r="M61" i="20"/>
  <c r="K61" i="20"/>
  <c r="I61" i="20"/>
  <c r="C61" i="20"/>
  <c r="B61" i="20"/>
  <c r="N61" i="20"/>
  <c r="A61" i="20"/>
  <c r="C107" i="19"/>
  <c r="N107" i="19"/>
  <c r="M107" i="19"/>
  <c r="L107" i="19"/>
  <c r="H107" i="19"/>
  <c r="G107" i="19"/>
  <c r="F107" i="19"/>
  <c r="E107" i="19"/>
  <c r="D107" i="19"/>
  <c r="B107" i="19"/>
  <c r="A107" i="19"/>
  <c r="J107" i="19"/>
  <c r="I107" i="19"/>
  <c r="K107" i="19"/>
  <c r="K84" i="21"/>
  <c r="I84" i="21"/>
  <c r="A84" i="21"/>
  <c r="J84" i="21"/>
  <c r="E84" i="21"/>
  <c r="H84" i="21"/>
  <c r="B84" i="21"/>
  <c r="N84" i="21"/>
  <c r="M84" i="21"/>
  <c r="L84" i="21"/>
  <c r="G84" i="21"/>
  <c r="F84" i="21"/>
  <c r="D84" i="21"/>
  <c r="C84" i="21"/>
  <c r="G103" i="19"/>
  <c r="D103" i="19"/>
  <c r="C103" i="19"/>
  <c r="K103" i="19"/>
  <c r="N103" i="19"/>
  <c r="M103" i="19"/>
  <c r="L103" i="19"/>
  <c r="J103" i="19"/>
  <c r="I103" i="19"/>
  <c r="H103" i="19"/>
  <c r="F103" i="19"/>
  <c r="E103" i="19"/>
  <c r="B103" i="19"/>
  <c r="A103" i="19"/>
  <c r="M36" i="21"/>
  <c r="J36" i="21"/>
  <c r="D36" i="21"/>
  <c r="K36" i="21"/>
  <c r="H36" i="21"/>
  <c r="C36" i="21"/>
  <c r="B36" i="21"/>
  <c r="A36" i="21"/>
  <c r="I36" i="21"/>
  <c r="N36" i="21"/>
  <c r="L36" i="21"/>
  <c r="G36" i="21"/>
  <c r="F36" i="21"/>
  <c r="E36" i="21"/>
  <c r="H104" i="20"/>
  <c r="I104" i="20"/>
  <c r="N104" i="20"/>
  <c r="J104" i="20"/>
  <c r="F104" i="20"/>
  <c r="D104" i="20"/>
  <c r="C104" i="20"/>
  <c r="B104" i="20"/>
  <c r="A104" i="20"/>
  <c r="M104" i="20"/>
  <c r="L104" i="20"/>
  <c r="G104" i="20"/>
  <c r="E104" i="20"/>
  <c r="K104" i="20"/>
  <c r="M93" i="21"/>
  <c r="L93" i="21"/>
  <c r="N93" i="21"/>
  <c r="K93" i="21"/>
  <c r="J93" i="21"/>
  <c r="G93" i="21"/>
  <c r="F93" i="21"/>
  <c r="E93" i="21"/>
  <c r="D93" i="21"/>
  <c r="A93" i="21"/>
  <c r="I93" i="21"/>
  <c r="H93" i="21"/>
  <c r="C93" i="21"/>
  <c r="B93" i="21"/>
  <c r="K76" i="21"/>
  <c r="D76" i="21"/>
  <c r="J76" i="21"/>
  <c r="M76" i="21"/>
  <c r="L76" i="21"/>
  <c r="I76" i="21"/>
  <c r="C76" i="21"/>
  <c r="G76" i="21"/>
  <c r="E76" i="21"/>
  <c r="H76" i="21"/>
  <c r="F76" i="21"/>
  <c r="B76" i="21"/>
  <c r="A76" i="21"/>
  <c r="N76" i="21"/>
  <c r="E46" i="22"/>
  <c r="N46" i="22"/>
  <c r="C46" i="22"/>
  <c r="K46" i="22"/>
  <c r="H46" i="22"/>
  <c r="G46" i="22"/>
  <c r="F46" i="22"/>
  <c r="J46" i="22"/>
  <c r="A46" i="22"/>
  <c r="M46" i="22"/>
  <c r="L46" i="22"/>
  <c r="I46" i="22"/>
  <c r="B46" i="22"/>
  <c r="D46" i="22"/>
  <c r="M45" i="18"/>
  <c r="M100" i="20"/>
  <c r="M23" i="17"/>
  <c r="M87" i="15"/>
  <c r="M75" i="15"/>
  <c r="M22" i="13"/>
  <c r="M63" i="13"/>
  <c r="M27" i="15"/>
  <c r="M87" i="12"/>
  <c r="M84" i="15"/>
  <c r="M29" i="13"/>
  <c r="M37" i="15"/>
  <c r="M49" i="12"/>
  <c r="M94" i="11"/>
  <c r="M73" i="10"/>
  <c r="M40" i="13"/>
  <c r="M93" i="16"/>
  <c r="M100" i="13"/>
  <c r="M57" i="11"/>
  <c r="M16" i="12"/>
  <c r="M85" i="11"/>
  <c r="G18" i="8"/>
  <c r="G21" i="8"/>
  <c r="Y934" i="24"/>
  <c r="M64" i="14"/>
  <c r="Y1303" i="24"/>
  <c r="M103" i="14"/>
  <c r="G15" i="8"/>
  <c r="Y654" i="24"/>
  <c r="M46" i="17"/>
  <c r="Y337" i="24"/>
  <c r="M34" i="19"/>
  <c r="Y229" i="24"/>
  <c r="M21" i="10"/>
  <c r="Y365" i="24"/>
  <c r="M31" i="17"/>
  <c r="Y295" i="24"/>
  <c r="M29" i="21"/>
  <c r="Y456" i="24"/>
  <c r="M53" i="11"/>
  <c r="Y1129" i="24"/>
  <c r="M96" i="11"/>
  <c r="Y356" i="24"/>
  <c r="M32" i="16"/>
  <c r="Y351" i="24"/>
  <c r="M31" i="16"/>
  <c r="Y78" i="24"/>
  <c r="M18" i="21"/>
  <c r="K118" i="23"/>
  <c r="F118" i="23"/>
  <c r="N118" i="23"/>
  <c r="J118" i="23"/>
  <c r="E118" i="23"/>
  <c r="C118" i="23"/>
  <c r="L118" i="23"/>
  <c r="I118" i="23"/>
  <c r="H118" i="23"/>
  <c r="A118" i="23"/>
  <c r="G118" i="23"/>
  <c r="D118" i="23"/>
  <c r="M118" i="23"/>
  <c r="B118" i="23"/>
  <c r="Y240" i="24"/>
  <c r="M23" i="10"/>
  <c r="E114" i="22"/>
  <c r="D114" i="22"/>
  <c r="N114" i="22"/>
  <c r="M114" i="22"/>
  <c r="I114" i="22"/>
  <c r="H114" i="22"/>
  <c r="G114" i="22"/>
  <c r="F114" i="22"/>
  <c r="B114" i="22"/>
  <c r="A114" i="22"/>
  <c r="L114" i="22"/>
  <c r="K114" i="22"/>
  <c r="J114" i="22"/>
  <c r="C114" i="22"/>
  <c r="E23" i="23"/>
  <c r="M23" i="23"/>
  <c r="K23" i="23"/>
  <c r="J23" i="23"/>
  <c r="G23" i="23"/>
  <c r="F23" i="23"/>
  <c r="N23" i="23"/>
  <c r="I23" i="23"/>
  <c r="C23" i="23"/>
  <c r="L23" i="23"/>
  <c r="B23" i="23"/>
  <c r="A23" i="23"/>
  <c r="D23" i="23"/>
  <c r="H23" i="23"/>
  <c r="E78" i="22"/>
  <c r="F78" i="22"/>
  <c r="L78" i="22"/>
  <c r="K78" i="22"/>
  <c r="M78" i="22"/>
  <c r="J78" i="22"/>
  <c r="D78" i="22"/>
  <c r="N78" i="22"/>
  <c r="H78" i="22"/>
  <c r="B78" i="22"/>
  <c r="A78" i="22"/>
  <c r="G78" i="22"/>
  <c r="C78" i="22"/>
  <c r="I78" i="22"/>
  <c r="Y222" i="24"/>
  <c r="M28" i="12"/>
  <c r="G30" i="21"/>
  <c r="D30" i="21"/>
  <c r="K30" i="21"/>
  <c r="J30" i="21"/>
  <c r="I30" i="21"/>
  <c r="B30" i="21"/>
  <c r="E30" i="21"/>
  <c r="L30" i="21"/>
  <c r="H30" i="21"/>
  <c r="C30" i="21"/>
  <c r="A30" i="21"/>
  <c r="N30" i="21"/>
  <c r="M30" i="21"/>
  <c r="F30" i="21"/>
  <c r="C101" i="20"/>
  <c r="A101" i="20"/>
  <c r="D101" i="20"/>
  <c r="N101" i="20"/>
  <c r="L101" i="20"/>
  <c r="K101" i="20"/>
  <c r="M101" i="20"/>
  <c r="J101" i="20"/>
  <c r="I101" i="20"/>
  <c r="H101" i="20"/>
  <c r="G101" i="20"/>
  <c r="F101" i="20"/>
  <c r="E101" i="20"/>
  <c r="B101" i="20"/>
  <c r="C18" i="23"/>
  <c r="E18" i="23"/>
  <c r="B18" i="23"/>
  <c r="L18" i="23"/>
  <c r="K18" i="23"/>
  <c r="H18" i="23"/>
  <c r="G18" i="23"/>
  <c r="D18" i="23"/>
  <c r="N18" i="23"/>
  <c r="M18" i="23"/>
  <c r="J18" i="23"/>
  <c r="A18" i="23"/>
  <c r="I18" i="23"/>
  <c r="F18" i="23"/>
  <c r="Y1180" i="24"/>
  <c r="M98" i="15"/>
  <c r="M28" i="22"/>
  <c r="M19" i="19"/>
  <c r="I106" i="18"/>
  <c r="B106" i="18"/>
  <c r="N106" i="18"/>
  <c r="M106" i="18"/>
  <c r="L106" i="18"/>
  <c r="K106" i="18"/>
  <c r="J106" i="18"/>
  <c r="H106" i="18"/>
  <c r="G106" i="18"/>
  <c r="C106" i="18"/>
  <c r="A106" i="18"/>
  <c r="E106" i="18"/>
  <c r="D106" i="18"/>
  <c r="F106" i="18"/>
  <c r="K87" i="20"/>
  <c r="D87" i="20"/>
  <c r="G87" i="20"/>
  <c r="F87" i="20"/>
  <c r="C87" i="20"/>
  <c r="A87" i="20"/>
  <c r="N87" i="20"/>
  <c r="M87" i="20"/>
  <c r="L87" i="20"/>
  <c r="J87" i="20"/>
  <c r="I87" i="20"/>
  <c r="H87" i="20"/>
  <c r="E87" i="20"/>
  <c r="B87" i="20"/>
  <c r="J112" i="18"/>
  <c r="M112" i="18"/>
  <c r="L112" i="18"/>
  <c r="H112" i="18"/>
  <c r="G112" i="18"/>
  <c r="F112" i="18"/>
  <c r="E112" i="18"/>
  <c r="N112" i="18"/>
  <c r="K112" i="18"/>
  <c r="I112" i="18"/>
  <c r="D112" i="18"/>
  <c r="C112" i="18"/>
  <c r="B112" i="18"/>
  <c r="A112" i="18"/>
  <c r="A46" i="20"/>
  <c r="N46" i="20"/>
  <c r="M46" i="20"/>
  <c r="D46" i="20"/>
  <c r="C46" i="20"/>
  <c r="B46" i="20"/>
  <c r="K46" i="20"/>
  <c r="J46" i="20"/>
  <c r="I46" i="20"/>
  <c r="L46" i="20"/>
  <c r="H46" i="20"/>
  <c r="G46" i="20"/>
  <c r="F46" i="20"/>
  <c r="E46" i="20"/>
  <c r="I91" i="20"/>
  <c r="A91" i="20"/>
  <c r="N91" i="20"/>
  <c r="M91" i="20"/>
  <c r="L91" i="20"/>
  <c r="K91" i="20"/>
  <c r="J91" i="20"/>
  <c r="H91" i="20"/>
  <c r="G91" i="20"/>
  <c r="E91" i="20"/>
  <c r="D91" i="20"/>
  <c r="F91" i="20"/>
  <c r="B91" i="20"/>
  <c r="C91" i="20"/>
  <c r="M102" i="20"/>
  <c r="L102" i="20"/>
  <c r="J102" i="20"/>
  <c r="H102" i="20"/>
  <c r="F102" i="20"/>
  <c r="E102" i="20"/>
  <c r="D102" i="20"/>
  <c r="C102" i="20"/>
  <c r="B102" i="20"/>
  <c r="N102" i="20"/>
  <c r="K102" i="20"/>
  <c r="I102" i="20"/>
  <c r="G102" i="20"/>
  <c r="A102" i="20"/>
  <c r="C115" i="19"/>
  <c r="M115" i="19"/>
  <c r="K115" i="19"/>
  <c r="J115" i="19"/>
  <c r="I115" i="19"/>
  <c r="H115" i="19"/>
  <c r="D115" i="19"/>
  <c r="L115" i="19"/>
  <c r="G115" i="19"/>
  <c r="F115" i="19"/>
  <c r="E115" i="19"/>
  <c r="B115" i="19"/>
  <c r="A115" i="19"/>
  <c r="N115" i="19"/>
  <c r="E106" i="21"/>
  <c r="L106" i="21"/>
  <c r="N106" i="21"/>
  <c r="B106" i="21"/>
  <c r="K106" i="21"/>
  <c r="J106" i="21"/>
  <c r="I106" i="21"/>
  <c r="C106" i="21"/>
  <c r="H106" i="21"/>
  <c r="D106" i="21"/>
  <c r="M106" i="21"/>
  <c r="G106" i="21"/>
  <c r="F106" i="21"/>
  <c r="A106" i="21"/>
  <c r="G111" i="19"/>
  <c r="D111" i="19"/>
  <c r="C111" i="19"/>
  <c r="N111" i="19"/>
  <c r="M111" i="19"/>
  <c r="L111" i="19"/>
  <c r="K111" i="19"/>
  <c r="F111" i="19"/>
  <c r="J111" i="19"/>
  <c r="I111" i="19"/>
  <c r="H111" i="19"/>
  <c r="E111" i="19"/>
  <c r="B111" i="19"/>
  <c r="A111" i="19"/>
  <c r="L107" i="23"/>
  <c r="A107" i="23"/>
  <c r="I107" i="23"/>
  <c r="E107" i="23"/>
  <c r="N107" i="23"/>
  <c r="F107" i="23"/>
  <c r="B107" i="23"/>
  <c r="K107" i="23"/>
  <c r="H107" i="23"/>
  <c r="G107" i="23"/>
  <c r="D107" i="23"/>
  <c r="C107" i="23"/>
  <c r="M107" i="23"/>
  <c r="J107" i="23"/>
  <c r="J41" i="21"/>
  <c r="G41" i="21"/>
  <c r="L41" i="21"/>
  <c r="N41" i="21"/>
  <c r="M41" i="21"/>
  <c r="E41" i="21"/>
  <c r="I41" i="21"/>
  <c r="H41" i="21"/>
  <c r="A41" i="21"/>
  <c r="K41" i="21"/>
  <c r="C41" i="21"/>
  <c r="B41" i="21"/>
  <c r="F41" i="21"/>
  <c r="D41" i="21"/>
  <c r="H13" i="22"/>
  <c r="L13" i="22"/>
  <c r="F13" i="22"/>
  <c r="C13" i="22"/>
  <c r="B13" i="22"/>
  <c r="G13" i="22"/>
  <c r="A13" i="22"/>
  <c r="E13" i="22"/>
  <c r="D13" i="22"/>
  <c r="N13" i="22"/>
  <c r="M13" i="22"/>
  <c r="K13" i="22"/>
  <c r="J13" i="22"/>
  <c r="I13" i="22"/>
  <c r="H81" i="22"/>
  <c r="M81" i="22"/>
  <c r="I81" i="22"/>
  <c r="D81" i="22"/>
  <c r="A81" i="22"/>
  <c r="N81" i="22"/>
  <c r="J81" i="22"/>
  <c r="G81" i="22"/>
  <c r="F81" i="22"/>
  <c r="B81" i="22"/>
  <c r="L81" i="22"/>
  <c r="E81" i="22"/>
  <c r="C81" i="22"/>
  <c r="K81" i="22"/>
  <c r="N79" i="22"/>
  <c r="B79" i="22"/>
  <c r="H79" i="22"/>
  <c r="C79" i="22"/>
  <c r="M79" i="22"/>
  <c r="J79" i="22"/>
  <c r="G79" i="22"/>
  <c r="D79" i="22"/>
  <c r="I79" i="22"/>
  <c r="E79" i="22"/>
  <c r="L79" i="22"/>
  <c r="K79" i="22"/>
  <c r="A79" i="22"/>
  <c r="F79" i="22"/>
  <c r="M30" i="18"/>
  <c r="M62" i="16"/>
  <c r="M101" i="15"/>
  <c r="M78" i="17"/>
  <c r="M37" i="17"/>
  <c r="M37" i="13"/>
  <c r="M36" i="17"/>
  <c r="M28" i="13"/>
  <c r="M19" i="13"/>
  <c r="M55" i="14"/>
  <c r="M27" i="16"/>
  <c r="M21" i="13"/>
  <c r="M63" i="10"/>
  <c r="M90" i="10"/>
  <c r="M48" i="10"/>
  <c r="Y871" i="24"/>
  <c r="M74" i="19"/>
  <c r="Y772" i="24"/>
  <c r="M53" i="14"/>
  <c r="M22" i="10"/>
  <c r="M70" i="10"/>
  <c r="Y79" i="24"/>
  <c r="M16" i="13"/>
  <c r="Y108" i="24"/>
  <c r="M18" i="13"/>
  <c r="Y570" i="24"/>
  <c r="M50" i="16"/>
  <c r="Y913" i="24"/>
  <c r="M67" i="17"/>
  <c r="E126" i="23"/>
  <c r="A126" i="23"/>
  <c r="M126" i="23"/>
  <c r="I126" i="23"/>
  <c r="L126" i="23"/>
  <c r="H126" i="23"/>
  <c r="G126" i="23"/>
  <c r="D126" i="23"/>
  <c r="C126" i="23"/>
  <c r="B126" i="23"/>
  <c r="N126" i="23"/>
  <c r="J126" i="23"/>
  <c r="K126" i="23"/>
  <c r="F126" i="23"/>
  <c r="Y1354" i="24"/>
  <c r="M105" i="10"/>
  <c r="H121" i="22"/>
  <c r="M121" i="22"/>
  <c r="L121" i="22"/>
  <c r="J121" i="22"/>
  <c r="F121" i="22"/>
  <c r="C121" i="22"/>
  <c r="A121" i="22"/>
  <c r="I121" i="22"/>
  <c r="G121" i="22"/>
  <c r="E121" i="22"/>
  <c r="B121" i="22"/>
  <c r="N121" i="22"/>
  <c r="K121" i="22"/>
  <c r="D121" i="22"/>
  <c r="K17" i="23"/>
  <c r="G17" i="23"/>
  <c r="L17" i="23"/>
  <c r="J17" i="23"/>
  <c r="F17" i="23"/>
  <c r="E17" i="23"/>
  <c r="M17" i="23"/>
  <c r="H17" i="23"/>
  <c r="B17" i="23"/>
  <c r="N17" i="23"/>
  <c r="C17" i="23"/>
  <c r="A17" i="23"/>
  <c r="I17" i="23"/>
  <c r="D17" i="23"/>
  <c r="Y760" i="24"/>
  <c r="M76" i="13"/>
  <c r="Y713" i="24"/>
  <c r="M65" i="12"/>
  <c r="G22" i="21"/>
  <c r="D22" i="21"/>
  <c r="M22" i="21"/>
  <c r="N22" i="21"/>
  <c r="J22" i="21"/>
  <c r="C22" i="21"/>
  <c r="I22" i="21"/>
  <c r="H22" i="21"/>
  <c r="E22" i="21"/>
  <c r="A22" i="21"/>
  <c r="L22" i="21"/>
  <c r="K22" i="21"/>
  <c r="F22" i="21"/>
  <c r="B22" i="21"/>
  <c r="D55" i="23"/>
  <c r="J55" i="23"/>
  <c r="F55" i="23"/>
  <c r="I55" i="23"/>
  <c r="L55" i="23"/>
  <c r="E55" i="23"/>
  <c r="K55" i="23"/>
  <c r="H55" i="23"/>
  <c r="G55" i="23"/>
  <c r="B55" i="23"/>
  <c r="A55" i="23"/>
  <c r="N55" i="23"/>
  <c r="M55" i="23"/>
  <c r="C55" i="23"/>
  <c r="C26" i="23"/>
  <c r="A26" i="23"/>
  <c r="J26" i="23"/>
  <c r="M26" i="23"/>
  <c r="K26" i="23"/>
  <c r="I26" i="23"/>
  <c r="N26" i="23"/>
  <c r="G26" i="23"/>
  <c r="L26" i="23"/>
  <c r="H26" i="23"/>
  <c r="D26" i="23"/>
  <c r="B26" i="23"/>
  <c r="F26" i="23"/>
  <c r="E26" i="23"/>
  <c r="Y30" i="24"/>
  <c r="M9" i="15"/>
  <c r="Y1197" i="24"/>
  <c r="M99" i="15"/>
  <c r="M20" i="19"/>
  <c r="M10" i="20"/>
  <c r="M30" i="22"/>
  <c r="M14" i="19"/>
  <c r="C128" i="18"/>
  <c r="A128" i="18"/>
  <c r="M128" i="18"/>
  <c r="N128" i="18"/>
  <c r="L128" i="18"/>
  <c r="K128" i="18"/>
  <c r="J128" i="18"/>
  <c r="I128" i="18"/>
  <c r="E128" i="18"/>
  <c r="D128" i="18"/>
  <c r="H128" i="18"/>
  <c r="G128" i="18"/>
  <c r="F128" i="18"/>
  <c r="B128" i="18"/>
  <c r="M112" i="20"/>
  <c r="N112" i="20"/>
  <c r="I112" i="20"/>
  <c r="G112" i="20"/>
  <c r="E112" i="20"/>
  <c r="D112" i="20"/>
  <c r="C112" i="20"/>
  <c r="B112" i="20"/>
  <c r="A112" i="20"/>
  <c r="L112" i="20"/>
  <c r="K112" i="20"/>
  <c r="J112" i="20"/>
  <c r="H112" i="20"/>
  <c r="F112" i="20"/>
  <c r="C123" i="18"/>
  <c r="A123" i="18"/>
  <c r="M123" i="18"/>
  <c r="L123" i="18"/>
  <c r="I123" i="18"/>
  <c r="H123" i="18"/>
  <c r="G123" i="18"/>
  <c r="F123" i="18"/>
  <c r="N123" i="18"/>
  <c r="K123" i="18"/>
  <c r="J123" i="18"/>
  <c r="E123" i="18"/>
  <c r="D123" i="18"/>
  <c r="B123" i="18"/>
  <c r="C85" i="20"/>
  <c r="H85" i="20"/>
  <c r="D85" i="20"/>
  <c r="A85" i="20"/>
  <c r="G85" i="20"/>
  <c r="F85" i="20"/>
  <c r="E85" i="20"/>
  <c r="B85" i="20"/>
  <c r="N85" i="20"/>
  <c r="K85" i="20"/>
  <c r="J85" i="20"/>
  <c r="I85" i="20"/>
  <c r="M85" i="20"/>
  <c r="L85" i="20"/>
  <c r="I69" i="21"/>
  <c r="A69" i="21"/>
  <c r="F69" i="21"/>
  <c r="E69" i="21"/>
  <c r="D69" i="21"/>
  <c r="C69" i="21"/>
  <c r="M69" i="21"/>
  <c r="L69" i="21"/>
  <c r="J69" i="21"/>
  <c r="G69" i="21"/>
  <c r="B69" i="21"/>
  <c r="N69" i="21"/>
  <c r="K69" i="21"/>
  <c r="H69" i="21"/>
  <c r="F45" i="21"/>
  <c r="G45" i="21"/>
  <c r="L45" i="21"/>
  <c r="K45" i="21"/>
  <c r="J45" i="21"/>
  <c r="C45" i="21"/>
  <c r="B45" i="21"/>
  <c r="N45" i="21"/>
  <c r="M45" i="21"/>
  <c r="I45" i="21"/>
  <c r="H45" i="21"/>
  <c r="E45" i="21"/>
  <c r="D45" i="21"/>
  <c r="A45" i="21"/>
  <c r="C123" i="19"/>
  <c r="M123" i="19"/>
  <c r="K123" i="19"/>
  <c r="J123" i="19"/>
  <c r="I123" i="19"/>
  <c r="H123" i="19"/>
  <c r="D123" i="19"/>
  <c r="N123" i="19"/>
  <c r="L123" i="19"/>
  <c r="G123" i="19"/>
  <c r="F123" i="19"/>
  <c r="E123" i="19"/>
  <c r="B123" i="19"/>
  <c r="A123" i="19"/>
  <c r="H77" i="22"/>
  <c r="C77" i="22"/>
  <c r="G77" i="22"/>
  <c r="L77" i="22"/>
  <c r="I77" i="22"/>
  <c r="D77" i="22"/>
  <c r="A77" i="22"/>
  <c r="M77" i="22"/>
  <c r="N77" i="22"/>
  <c r="K77" i="22"/>
  <c r="J77" i="22"/>
  <c r="F77" i="22"/>
  <c r="E77" i="22"/>
  <c r="B77" i="22"/>
  <c r="I119" i="19"/>
  <c r="G119" i="19"/>
  <c r="D119" i="19"/>
  <c r="C119" i="19"/>
  <c r="N119" i="19"/>
  <c r="L119" i="19"/>
  <c r="K119" i="19"/>
  <c r="J119" i="19"/>
  <c r="H119" i="19"/>
  <c r="A119" i="19"/>
  <c r="M119" i="19"/>
  <c r="F119" i="19"/>
  <c r="E119" i="19"/>
  <c r="B119" i="19"/>
  <c r="K68" i="21"/>
  <c r="M68" i="21"/>
  <c r="L68" i="21"/>
  <c r="J68" i="21"/>
  <c r="I68" i="21"/>
  <c r="D68" i="21"/>
  <c r="G68" i="21"/>
  <c r="E68" i="21"/>
  <c r="C68" i="21"/>
  <c r="N68" i="21"/>
  <c r="H68" i="21"/>
  <c r="F68" i="21"/>
  <c r="B68" i="21"/>
  <c r="A68" i="21"/>
  <c r="E78" i="21"/>
  <c r="M78" i="21"/>
  <c r="N78" i="21"/>
  <c r="I78" i="21"/>
  <c r="L78" i="21"/>
  <c r="K78" i="21"/>
  <c r="D78" i="21"/>
  <c r="C78" i="21"/>
  <c r="J78" i="21"/>
  <c r="H78" i="21"/>
  <c r="G78" i="21"/>
  <c r="F78" i="21"/>
  <c r="B78" i="21"/>
  <c r="A78" i="21"/>
  <c r="N47" i="22"/>
  <c r="B47" i="22"/>
  <c r="L47" i="22"/>
  <c r="K47" i="22"/>
  <c r="J47" i="22"/>
  <c r="G47" i="22"/>
  <c r="E47" i="22"/>
  <c r="A47" i="22"/>
  <c r="C47" i="22"/>
  <c r="M47" i="22"/>
  <c r="I47" i="22"/>
  <c r="H47" i="22"/>
  <c r="F47" i="22"/>
  <c r="D47" i="22"/>
  <c r="N95" i="22"/>
  <c r="B95" i="22"/>
  <c r="L95" i="22"/>
  <c r="G95" i="22"/>
  <c r="F95" i="22"/>
  <c r="C95" i="22"/>
  <c r="A95" i="22"/>
  <c r="K95" i="22"/>
  <c r="H95" i="22"/>
  <c r="I95" i="22"/>
  <c r="E95" i="22"/>
  <c r="J95" i="22"/>
  <c r="D95" i="22"/>
  <c r="M95" i="22"/>
  <c r="K100" i="21"/>
  <c r="L100" i="21"/>
  <c r="H100" i="21"/>
  <c r="B100" i="21"/>
  <c r="A100" i="21"/>
  <c r="G100" i="21"/>
  <c r="F100" i="21"/>
  <c r="E100" i="21"/>
  <c r="D100" i="21"/>
  <c r="J100" i="21"/>
  <c r="I100" i="21"/>
  <c r="C100" i="21"/>
  <c r="N100" i="21"/>
  <c r="M100" i="21"/>
  <c r="M101" i="17"/>
  <c r="M53" i="20"/>
  <c r="M19" i="18"/>
  <c r="M61" i="13"/>
  <c r="M44" i="17"/>
  <c r="M68" i="14"/>
  <c r="M97" i="12"/>
  <c r="M51" i="17"/>
  <c r="M57" i="13"/>
  <c r="M87" i="16"/>
  <c r="M85" i="12"/>
  <c r="M93" i="12"/>
  <c r="M82" i="10"/>
  <c r="M84" i="12"/>
  <c r="M57" i="15"/>
  <c r="M98" i="10"/>
  <c r="M74" i="10"/>
  <c r="M59" i="14"/>
  <c r="M17" i="10"/>
  <c r="Y171" i="24"/>
  <c r="M18" i="19"/>
  <c r="Y1291" i="24"/>
  <c r="M102" i="14"/>
  <c r="M39" i="12"/>
  <c r="M26" i="11"/>
  <c r="Y1332" i="24"/>
  <c r="M11" i="12"/>
  <c r="Y1336" i="24"/>
  <c r="M11" i="18"/>
  <c r="Y1131" i="24"/>
  <c r="M95" i="15"/>
  <c r="Y987" i="24"/>
  <c r="M79" i="18"/>
  <c r="Y292" i="24"/>
  <c r="M30" i="10"/>
  <c r="Y245" i="24"/>
  <c r="M32" i="15"/>
  <c r="Y214" i="24"/>
  <c r="M30" i="13"/>
  <c r="Y532" i="24"/>
  <c r="M60" i="11"/>
  <c r="Y1339" i="24"/>
  <c r="M31" i="11"/>
  <c r="Y99" i="24"/>
  <c r="M17" i="20"/>
  <c r="Y1343" i="24"/>
  <c r="M72" i="10"/>
  <c r="F21" i="23"/>
  <c r="A21" i="23"/>
  <c r="J21" i="23"/>
  <c r="L21" i="23"/>
  <c r="K21" i="23"/>
  <c r="G21" i="23"/>
  <c r="E21" i="23"/>
  <c r="N21" i="23"/>
  <c r="M21" i="23"/>
  <c r="D21" i="23"/>
  <c r="C21" i="23"/>
  <c r="I21" i="23"/>
  <c r="H21" i="23"/>
  <c r="B21" i="23"/>
  <c r="L15" i="23"/>
  <c r="K15" i="23"/>
  <c r="J15" i="23"/>
  <c r="G15" i="23"/>
  <c r="F15" i="23"/>
  <c r="D15" i="23"/>
  <c r="C15" i="23"/>
  <c r="A15" i="23"/>
  <c r="N15" i="23"/>
  <c r="M15" i="23"/>
  <c r="I15" i="23"/>
  <c r="E15" i="23"/>
  <c r="B15" i="23"/>
  <c r="H15" i="23"/>
  <c r="Y191" i="24"/>
  <c r="M26" i="13"/>
  <c r="Y432" i="24"/>
  <c r="M46" i="13"/>
  <c r="Y977" i="24"/>
  <c r="M81" i="12"/>
  <c r="G14" i="21"/>
  <c r="D14" i="21"/>
  <c r="K14" i="21"/>
  <c r="I14" i="21"/>
  <c r="C14" i="21"/>
  <c r="B14" i="21"/>
  <c r="E14" i="21"/>
  <c r="N14" i="21"/>
  <c r="L14" i="21"/>
  <c r="H14" i="21"/>
  <c r="F14" i="21"/>
  <c r="A14" i="21"/>
  <c r="M14" i="21"/>
  <c r="J14" i="21"/>
  <c r="F29" i="23"/>
  <c r="H29" i="23"/>
  <c r="C29" i="23"/>
  <c r="K29" i="23"/>
  <c r="M29" i="23"/>
  <c r="L29" i="23"/>
  <c r="G29" i="23"/>
  <c r="E29" i="23"/>
  <c r="D29" i="23"/>
  <c r="N29" i="23"/>
  <c r="B29" i="23"/>
  <c r="A29" i="23"/>
  <c r="J29" i="23"/>
  <c r="I29" i="23"/>
  <c r="F37" i="23"/>
  <c r="N37" i="23"/>
  <c r="A37" i="23"/>
  <c r="J37" i="23"/>
  <c r="L37" i="23"/>
  <c r="K37" i="23"/>
  <c r="D37" i="23"/>
  <c r="H37" i="23"/>
  <c r="G37" i="23"/>
  <c r="M37" i="23"/>
  <c r="I37" i="23"/>
  <c r="C37" i="23"/>
  <c r="E37" i="23"/>
  <c r="B37" i="23"/>
  <c r="Y41" i="24"/>
  <c r="M12" i="15"/>
  <c r="Y837" i="24"/>
  <c r="M73" i="15"/>
  <c r="Y1151" i="24"/>
  <c r="M96" i="15"/>
  <c r="M16" i="19"/>
  <c r="M72" i="19"/>
  <c r="G72" i="19"/>
  <c r="B72" i="19"/>
  <c r="N72" i="19"/>
  <c r="L72" i="19"/>
  <c r="K72" i="19"/>
  <c r="J72" i="19"/>
  <c r="E72" i="19"/>
  <c r="D72" i="19"/>
  <c r="A72" i="19"/>
  <c r="I72" i="19"/>
  <c r="H72" i="19"/>
  <c r="F72" i="19"/>
  <c r="C72" i="19"/>
  <c r="M128" i="19"/>
  <c r="L128" i="19"/>
  <c r="D128" i="19"/>
  <c r="A128" i="19"/>
  <c r="N128" i="19"/>
  <c r="K128" i="19"/>
  <c r="J128" i="19"/>
  <c r="I128" i="19"/>
  <c r="H128" i="19"/>
  <c r="G128" i="19"/>
  <c r="F128" i="19"/>
  <c r="E128" i="19"/>
  <c r="C128" i="19"/>
  <c r="B128" i="19"/>
  <c r="M53" i="19"/>
  <c r="J53" i="19"/>
  <c r="D53" i="19"/>
  <c r="N53" i="19"/>
  <c r="L53" i="19"/>
  <c r="K53" i="19"/>
  <c r="I53" i="19"/>
  <c r="G53" i="19"/>
  <c r="F53" i="19"/>
  <c r="E53" i="19"/>
  <c r="C53" i="19"/>
  <c r="B53" i="19"/>
  <c r="A53" i="19"/>
  <c r="H53" i="19"/>
  <c r="K88" i="22"/>
  <c r="M88" i="22"/>
  <c r="C88" i="22"/>
  <c r="B88" i="22"/>
  <c r="A88" i="22"/>
  <c r="J88" i="22"/>
  <c r="N88" i="22"/>
  <c r="H88" i="22"/>
  <c r="G88" i="22"/>
  <c r="D88" i="22"/>
  <c r="L88" i="22"/>
  <c r="I88" i="22"/>
  <c r="E88" i="22"/>
  <c r="F88" i="22"/>
  <c r="K90" i="21"/>
  <c r="H90" i="21"/>
  <c r="E90" i="21"/>
  <c r="A90" i="21"/>
  <c r="M90" i="21"/>
  <c r="F90" i="21"/>
  <c r="B90" i="21"/>
  <c r="L90" i="21"/>
  <c r="G90" i="21"/>
  <c r="D90" i="21"/>
  <c r="N90" i="21"/>
  <c r="J90" i="21"/>
  <c r="I90" i="21"/>
  <c r="C90" i="21"/>
  <c r="E70" i="21"/>
  <c r="K70" i="21"/>
  <c r="H70" i="21"/>
  <c r="M70" i="21"/>
  <c r="L70" i="21"/>
  <c r="J70" i="21"/>
  <c r="C70" i="21"/>
  <c r="I70" i="21"/>
  <c r="F70" i="21"/>
  <c r="A70" i="21"/>
  <c r="N70" i="21"/>
  <c r="G70" i="21"/>
  <c r="D70" i="21"/>
  <c r="B70" i="21"/>
  <c r="B75" i="21"/>
  <c r="K75" i="21"/>
  <c r="H75" i="21"/>
  <c r="A75" i="21"/>
  <c r="E75" i="21"/>
  <c r="D75" i="21"/>
  <c r="C75" i="21"/>
  <c r="N75" i="21"/>
  <c r="M75" i="21"/>
  <c r="L75" i="21"/>
  <c r="J75" i="21"/>
  <c r="I75" i="21"/>
  <c r="G75" i="21"/>
  <c r="F75" i="21"/>
  <c r="M117" i="19"/>
  <c r="J117" i="19"/>
  <c r="I117" i="19"/>
  <c r="N117" i="19"/>
  <c r="K117" i="19"/>
  <c r="H117" i="19"/>
  <c r="G117" i="19"/>
  <c r="F117" i="19"/>
  <c r="B117" i="19"/>
  <c r="L117" i="19"/>
  <c r="E117" i="19"/>
  <c r="D117" i="19"/>
  <c r="C117" i="19"/>
  <c r="A117" i="19"/>
  <c r="I127" i="19"/>
  <c r="G127" i="19"/>
  <c r="D127" i="19"/>
  <c r="C127" i="19"/>
  <c r="M127" i="19"/>
  <c r="L127" i="19"/>
  <c r="K127" i="19"/>
  <c r="J127" i="19"/>
  <c r="B127" i="19"/>
  <c r="F127" i="19"/>
  <c r="E127" i="19"/>
  <c r="A127" i="19"/>
  <c r="N127" i="19"/>
  <c r="H127" i="19"/>
  <c r="E86" i="21"/>
  <c r="D86" i="21"/>
  <c r="I86" i="21"/>
  <c r="C86" i="21"/>
  <c r="K86" i="21"/>
  <c r="L86" i="21"/>
  <c r="H86" i="21"/>
  <c r="G86" i="21"/>
  <c r="A86" i="21"/>
  <c r="J86" i="21"/>
  <c r="F86" i="21"/>
  <c r="B86" i="21"/>
  <c r="N86" i="21"/>
  <c r="M86" i="21"/>
  <c r="H101" i="22"/>
  <c r="A101" i="22"/>
  <c r="D101" i="22"/>
  <c r="K101" i="22"/>
  <c r="G101" i="22"/>
  <c r="F101" i="22"/>
  <c r="L101" i="22"/>
  <c r="M101" i="22"/>
  <c r="N101" i="22"/>
  <c r="J101" i="22"/>
  <c r="I101" i="22"/>
  <c r="E101" i="22"/>
  <c r="C101" i="22"/>
  <c r="B101" i="22"/>
  <c r="E62" i="22"/>
  <c r="J62" i="22"/>
  <c r="I62" i="22"/>
  <c r="F62" i="22"/>
  <c r="D62" i="22"/>
  <c r="N62" i="22"/>
  <c r="M62" i="22"/>
  <c r="H62" i="22"/>
  <c r="B62" i="22"/>
  <c r="G62" i="22"/>
  <c r="A62" i="22"/>
  <c r="L62" i="22"/>
  <c r="K62" i="22"/>
  <c r="C62" i="22"/>
  <c r="L59" i="23"/>
  <c r="B59" i="23"/>
  <c r="J59" i="23"/>
  <c r="H59" i="23"/>
  <c r="C59" i="23"/>
  <c r="N59" i="23"/>
  <c r="I59" i="23"/>
  <c r="G59" i="23"/>
  <c r="M59" i="23"/>
  <c r="E59" i="23"/>
  <c r="F59" i="23"/>
  <c r="D59" i="23"/>
  <c r="A59" i="23"/>
  <c r="K59" i="23"/>
  <c r="K40" i="22"/>
  <c r="L40" i="22"/>
  <c r="H40" i="22"/>
  <c r="G40" i="22"/>
  <c r="F40" i="22"/>
  <c r="C40" i="22"/>
  <c r="B40" i="22"/>
  <c r="M40" i="22"/>
  <c r="E40" i="22"/>
  <c r="A40" i="22"/>
  <c r="N40" i="22"/>
  <c r="D40" i="22"/>
  <c r="J40" i="22"/>
  <c r="I40" i="22"/>
  <c r="M26" i="20"/>
  <c r="M94" i="17"/>
  <c r="M92" i="18"/>
  <c r="M82" i="17"/>
  <c r="M80" i="12"/>
  <c r="M22" i="16"/>
  <c r="M34" i="14"/>
  <c r="M44" i="16"/>
  <c r="M62" i="13"/>
  <c r="M80" i="11"/>
  <c r="M80" i="10"/>
  <c r="M98" i="11"/>
  <c r="M25" i="11"/>
  <c r="M79" i="15"/>
  <c r="M105" i="11"/>
  <c r="P12" i="5"/>
  <c r="Y204" i="24"/>
  <c r="M23" i="19"/>
  <c r="Y810" i="24"/>
  <c r="M58" i="14"/>
  <c r="Y1112" i="24"/>
  <c r="M86" i="14"/>
  <c r="M84" i="10"/>
  <c r="C30" i="2"/>
  <c r="F30" i="2"/>
  <c r="Y1288" i="24"/>
  <c r="M100" i="14"/>
  <c r="Y1024" i="24"/>
  <c r="M88" i="11"/>
  <c r="Y1295" i="24"/>
  <c r="M102" i="10"/>
  <c r="Y867" i="24"/>
  <c r="M71" i="16"/>
  <c r="Y914" i="24"/>
  <c r="M76" i="10"/>
  <c r="Y530" i="24"/>
  <c r="M51" i="13"/>
  <c r="Y370" i="24"/>
  <c r="M31" i="20"/>
  <c r="Y268" i="24"/>
  <c r="M20" i="17"/>
  <c r="Y392" i="24"/>
  <c r="M30" i="14"/>
  <c r="Y192" i="24"/>
  <c r="M18" i="10"/>
  <c r="Y84" i="24"/>
  <c r="M16" i="20"/>
  <c r="Y219" i="24"/>
  <c r="M32" i="11"/>
  <c r="Y774" i="24"/>
  <c r="M66" i="16"/>
  <c r="Y1274" i="24"/>
  <c r="M99" i="16"/>
  <c r="Y920" i="24"/>
  <c r="M69" i="17"/>
  <c r="Y86" i="24"/>
  <c r="M13" i="17"/>
  <c r="Y448" i="24"/>
  <c r="M33" i="18"/>
  <c r="Y275" i="24"/>
  <c r="M26" i="10"/>
  <c r="Y1271" i="24"/>
  <c r="M99" i="10"/>
  <c r="I96" i="23"/>
  <c r="D96" i="23"/>
  <c r="K96" i="23"/>
  <c r="F96" i="23"/>
  <c r="J96" i="23"/>
  <c r="L96" i="23"/>
  <c r="N96" i="23"/>
  <c r="G96" i="23"/>
  <c r="H96" i="23"/>
  <c r="A96" i="23"/>
  <c r="M96" i="23"/>
  <c r="B96" i="23"/>
  <c r="E96" i="23"/>
  <c r="C96" i="23"/>
  <c r="F13" i="23"/>
  <c r="D13" i="23"/>
  <c r="L13" i="23"/>
  <c r="K13" i="23"/>
  <c r="H13" i="23"/>
  <c r="G13" i="23"/>
  <c r="N13" i="23"/>
  <c r="I13" i="23"/>
  <c r="E13" i="23"/>
  <c r="C13" i="23"/>
  <c r="B13" i="23"/>
  <c r="M13" i="23"/>
  <c r="J13" i="23"/>
  <c r="A13" i="23"/>
  <c r="Y36" i="24"/>
  <c r="M11" i="13"/>
  <c r="I63" i="23"/>
  <c r="C63" i="23"/>
  <c r="H63" i="23"/>
  <c r="E63" i="23"/>
  <c r="A63" i="23"/>
  <c r="K63" i="23"/>
  <c r="M63" i="23"/>
  <c r="G63" i="23"/>
  <c r="D63" i="23"/>
  <c r="N63" i="23"/>
  <c r="F63" i="23"/>
  <c r="L63" i="23"/>
  <c r="J63" i="23"/>
  <c r="B63" i="23"/>
  <c r="H117" i="22"/>
  <c r="E117" i="22"/>
  <c r="D117" i="22"/>
  <c r="A117" i="22"/>
  <c r="K117" i="22"/>
  <c r="G117" i="22"/>
  <c r="F117" i="22"/>
  <c r="C117" i="22"/>
  <c r="N117" i="22"/>
  <c r="M117" i="22"/>
  <c r="J117" i="22"/>
  <c r="I117" i="22"/>
  <c r="L117" i="22"/>
  <c r="B117" i="22"/>
  <c r="F85" i="23"/>
  <c r="E85" i="23"/>
  <c r="M85" i="23"/>
  <c r="L85" i="23"/>
  <c r="H85" i="23"/>
  <c r="B85" i="23"/>
  <c r="J85" i="23"/>
  <c r="I85" i="23"/>
  <c r="K85" i="23"/>
  <c r="D85" i="23"/>
  <c r="C85" i="23"/>
  <c r="N85" i="23"/>
  <c r="G85" i="23"/>
  <c r="A85" i="23"/>
  <c r="Y757" i="24"/>
  <c r="M66" i="15"/>
  <c r="M9" i="20"/>
  <c r="N125" i="22"/>
  <c r="H125" i="22"/>
  <c r="J125" i="22"/>
  <c r="E125" i="22"/>
  <c r="M125" i="22"/>
  <c r="D125" i="22"/>
  <c r="C125" i="22"/>
  <c r="B125" i="22"/>
  <c r="A125" i="22"/>
  <c r="L125" i="22"/>
  <c r="K125" i="22"/>
  <c r="I125" i="22"/>
  <c r="G125" i="22"/>
  <c r="F125" i="22"/>
  <c r="M77" i="19"/>
  <c r="J77" i="19"/>
  <c r="I77" i="19"/>
  <c r="N77" i="19"/>
  <c r="H77" i="19"/>
  <c r="F77" i="19"/>
  <c r="D77" i="19"/>
  <c r="C77" i="19"/>
  <c r="L77" i="19"/>
  <c r="K77" i="19"/>
  <c r="E77" i="19"/>
  <c r="B77" i="19"/>
  <c r="G77" i="19"/>
  <c r="A77" i="19"/>
  <c r="K92" i="20"/>
  <c r="G92" i="20"/>
  <c r="C92" i="20"/>
  <c r="A92" i="20"/>
  <c r="J92" i="20"/>
  <c r="I92" i="20"/>
  <c r="F92" i="20"/>
  <c r="D92" i="20"/>
  <c r="B92" i="20"/>
  <c r="N92" i="20"/>
  <c r="M92" i="20"/>
  <c r="L92" i="20"/>
  <c r="H92" i="20"/>
  <c r="E92" i="20"/>
  <c r="M88" i="19"/>
  <c r="L88" i="19"/>
  <c r="N88" i="19"/>
  <c r="J88" i="19"/>
  <c r="I88" i="19"/>
  <c r="E88" i="19"/>
  <c r="K88" i="19"/>
  <c r="H88" i="19"/>
  <c r="G88" i="19"/>
  <c r="F88" i="19"/>
  <c r="D88" i="19"/>
  <c r="C88" i="19"/>
  <c r="B88" i="19"/>
  <c r="A88" i="19"/>
  <c r="I119" i="20"/>
  <c r="H119" i="20"/>
  <c r="G119" i="20"/>
  <c r="C119" i="20"/>
  <c r="N119" i="20"/>
  <c r="M119" i="20"/>
  <c r="L119" i="20"/>
  <c r="K119" i="20"/>
  <c r="J119" i="20"/>
  <c r="F119" i="20"/>
  <c r="E119" i="20"/>
  <c r="D119" i="20"/>
  <c r="B119" i="20"/>
  <c r="A119" i="20"/>
  <c r="M109" i="19"/>
  <c r="J109" i="19"/>
  <c r="I109" i="19"/>
  <c r="N109" i="19"/>
  <c r="L109" i="19"/>
  <c r="F109" i="19"/>
  <c r="K109" i="19"/>
  <c r="H109" i="19"/>
  <c r="G109" i="19"/>
  <c r="E109" i="19"/>
  <c r="D109" i="19"/>
  <c r="C109" i="19"/>
  <c r="B109" i="19"/>
  <c r="A109" i="19"/>
  <c r="B91" i="21"/>
  <c r="E91" i="21"/>
  <c r="N91" i="21"/>
  <c r="M91" i="21"/>
  <c r="L91" i="21"/>
  <c r="K91" i="21"/>
  <c r="J91" i="21"/>
  <c r="G91" i="21"/>
  <c r="F91" i="21"/>
  <c r="D91" i="21"/>
  <c r="I91" i="21"/>
  <c r="H91" i="21"/>
  <c r="C91" i="21"/>
  <c r="A91" i="21"/>
  <c r="E96" i="21"/>
  <c r="L96" i="21"/>
  <c r="B96" i="21"/>
  <c r="C96" i="21"/>
  <c r="A96" i="21"/>
  <c r="J96" i="21"/>
  <c r="G96" i="21"/>
  <c r="D96" i="21"/>
  <c r="N96" i="21"/>
  <c r="M96" i="21"/>
  <c r="K96" i="21"/>
  <c r="I96" i="21"/>
  <c r="H96" i="21"/>
  <c r="F96" i="21"/>
  <c r="M125" i="19"/>
  <c r="J125" i="19"/>
  <c r="I125" i="19"/>
  <c r="L125" i="19"/>
  <c r="K125" i="19"/>
  <c r="H125" i="19"/>
  <c r="G125" i="19"/>
  <c r="C125" i="19"/>
  <c r="N125" i="19"/>
  <c r="F125" i="19"/>
  <c r="E125" i="19"/>
  <c r="D125" i="19"/>
  <c r="B125" i="19"/>
  <c r="A125" i="19"/>
  <c r="F88" i="20"/>
  <c r="K88" i="20"/>
  <c r="I88" i="20"/>
  <c r="G88" i="20"/>
  <c r="E88" i="20"/>
  <c r="D88" i="20"/>
  <c r="C88" i="20"/>
  <c r="B88" i="20"/>
  <c r="N88" i="20"/>
  <c r="M88" i="20"/>
  <c r="L88" i="20"/>
  <c r="J88" i="20"/>
  <c r="H88" i="20"/>
  <c r="A88" i="20"/>
  <c r="G125" i="21"/>
  <c r="F125" i="21"/>
  <c r="I125" i="21"/>
  <c r="D125" i="21"/>
  <c r="J125" i="21"/>
  <c r="B125" i="21"/>
  <c r="E125" i="21"/>
  <c r="C125" i="21"/>
  <c r="A125" i="21"/>
  <c r="L125" i="21"/>
  <c r="H125" i="21"/>
  <c r="N125" i="21"/>
  <c r="M125" i="21"/>
  <c r="K125" i="21"/>
  <c r="C52" i="23"/>
  <c r="K52" i="23"/>
  <c r="N52" i="23"/>
  <c r="J52" i="23"/>
  <c r="I52" i="23"/>
  <c r="F52" i="23"/>
  <c r="E52" i="23"/>
  <c r="M52" i="23"/>
  <c r="A52" i="23"/>
  <c r="H52" i="23"/>
  <c r="G52" i="23"/>
  <c r="D52" i="23"/>
  <c r="L52" i="23"/>
  <c r="B52" i="23"/>
  <c r="K72" i="22"/>
  <c r="H72" i="22"/>
  <c r="E72" i="22"/>
  <c r="D72" i="22"/>
  <c r="L72" i="22"/>
  <c r="G72" i="22"/>
  <c r="B72" i="22"/>
  <c r="N72" i="22"/>
  <c r="F72" i="22"/>
  <c r="A72" i="22"/>
  <c r="M72" i="22"/>
  <c r="J72" i="22"/>
  <c r="I72" i="22"/>
  <c r="C72" i="22"/>
  <c r="E102" i="22"/>
  <c r="L102" i="22"/>
  <c r="K102" i="22"/>
  <c r="J102" i="22"/>
  <c r="G102" i="22"/>
  <c r="F102" i="22"/>
  <c r="N102" i="22"/>
  <c r="I102" i="22"/>
  <c r="C102" i="22"/>
  <c r="M102" i="22"/>
  <c r="B102" i="22"/>
  <c r="A102" i="22"/>
  <c r="H102" i="22"/>
  <c r="D102" i="22"/>
  <c r="M44" i="18"/>
  <c r="M36" i="18"/>
  <c r="M35" i="20"/>
  <c r="M52" i="18"/>
  <c r="M54" i="17"/>
  <c r="M102" i="15"/>
  <c r="M103" i="16"/>
  <c r="M17" i="14"/>
  <c r="M75" i="12"/>
  <c r="M43" i="17"/>
  <c r="M14" i="13"/>
  <c r="M45" i="17"/>
  <c r="M18" i="14"/>
  <c r="M83" i="16"/>
  <c r="M29" i="12"/>
  <c r="M87" i="11"/>
  <c r="M74" i="14"/>
  <c r="M89" i="12"/>
  <c r="M44" i="11"/>
  <c r="M47" i="16"/>
  <c r="Y105" i="24"/>
  <c r="M13" i="14"/>
  <c r="Y784" i="24"/>
  <c r="M54" i="14"/>
  <c r="Y1340" i="24"/>
  <c r="M16" i="14"/>
  <c r="M20" i="11"/>
  <c r="F34" i="2"/>
  <c r="C34" i="2"/>
  <c r="C31" i="2"/>
  <c r="J24" i="8"/>
  <c r="Y841" i="24"/>
  <c r="M61" i="17"/>
  <c r="Y842" i="24"/>
  <c r="M74" i="12"/>
  <c r="Y647" i="24"/>
  <c r="M66" i="13"/>
  <c r="Y554" i="24"/>
  <c r="M40" i="14"/>
  <c r="Y207" i="24"/>
  <c r="M26" i="22"/>
  <c r="Y183" i="24"/>
  <c r="M22" i="18"/>
  <c r="Y332" i="24"/>
  <c r="M43" i="11"/>
  <c r="Y1322" i="24"/>
  <c r="M104" i="16"/>
  <c r="Y51" i="24"/>
  <c r="M12" i="17"/>
  <c r="Y493" i="24"/>
  <c r="M39" i="18"/>
  <c r="J116" i="23"/>
  <c r="L116" i="23"/>
  <c r="G116" i="23"/>
  <c r="E116" i="23"/>
  <c r="A116" i="23"/>
  <c r="M116" i="23"/>
  <c r="H116" i="23"/>
  <c r="F116" i="23"/>
  <c r="C116" i="23"/>
  <c r="B116" i="23"/>
  <c r="K116" i="23"/>
  <c r="N116" i="23"/>
  <c r="I116" i="23"/>
  <c r="D116" i="23"/>
  <c r="Y753" i="24"/>
  <c r="M66" i="12"/>
  <c r="F93" i="23"/>
  <c r="K93" i="23"/>
  <c r="A93" i="23"/>
  <c r="J93" i="23"/>
  <c r="L93" i="23"/>
  <c r="G93" i="23"/>
  <c r="E93" i="23"/>
  <c r="B93" i="23"/>
  <c r="N93" i="23"/>
  <c r="I93" i="23"/>
  <c r="H93" i="23"/>
  <c r="D93" i="23"/>
  <c r="C93" i="23"/>
  <c r="M93" i="23"/>
  <c r="K104" i="22"/>
  <c r="H104" i="22"/>
  <c r="I104" i="22"/>
  <c r="G104" i="22"/>
  <c r="D104" i="22"/>
  <c r="C104" i="22"/>
  <c r="E104" i="22"/>
  <c r="B104" i="22"/>
  <c r="A104" i="22"/>
  <c r="M104" i="22"/>
  <c r="L104" i="22"/>
  <c r="F104" i="22"/>
  <c r="N104" i="22"/>
  <c r="J104" i="22"/>
  <c r="I40" i="23"/>
  <c r="C40" i="23"/>
  <c r="H40" i="23"/>
  <c r="G40" i="23"/>
  <c r="D40" i="23"/>
  <c r="B40" i="23"/>
  <c r="M40" i="23"/>
  <c r="J40" i="23"/>
  <c r="F40" i="23"/>
  <c r="N40" i="23"/>
  <c r="E40" i="23"/>
  <c r="L40" i="23"/>
  <c r="K40" i="23"/>
  <c r="A40" i="23"/>
  <c r="Y732" i="24"/>
  <c r="M64" i="15"/>
  <c r="M11" i="23"/>
  <c r="M22" i="20"/>
  <c r="M28" i="20"/>
  <c r="L122" i="20"/>
  <c r="N122" i="20"/>
  <c r="J122" i="20"/>
  <c r="M122" i="20"/>
  <c r="I122" i="20"/>
  <c r="H122" i="20"/>
  <c r="G122" i="20"/>
  <c r="F122" i="20"/>
  <c r="E122" i="20"/>
  <c r="K122" i="20"/>
  <c r="D122" i="20"/>
  <c r="C122" i="20"/>
  <c r="A122" i="20"/>
  <c r="B122" i="20"/>
  <c r="M62" i="19"/>
  <c r="H81" i="21"/>
  <c r="D81" i="21"/>
  <c r="I81" i="21"/>
  <c r="G81" i="21"/>
  <c r="F81" i="21"/>
  <c r="E81" i="21"/>
  <c r="A81" i="21"/>
  <c r="N81" i="21"/>
  <c r="M81" i="21"/>
  <c r="K81" i="21"/>
  <c r="C81" i="21"/>
  <c r="B81" i="21"/>
  <c r="L81" i="21"/>
  <c r="J81" i="21"/>
  <c r="J66" i="19"/>
  <c r="G66" i="19"/>
  <c r="N66" i="19"/>
  <c r="L66" i="19"/>
  <c r="K66" i="19"/>
  <c r="E66" i="19"/>
  <c r="M66" i="19"/>
  <c r="I66" i="19"/>
  <c r="H66" i="19"/>
  <c r="F66" i="19"/>
  <c r="D66" i="19"/>
  <c r="C66" i="19"/>
  <c r="B66" i="19"/>
  <c r="A66" i="19"/>
  <c r="M93" i="19"/>
  <c r="J93" i="19"/>
  <c r="I93" i="19"/>
  <c r="B93" i="19"/>
  <c r="N93" i="19"/>
  <c r="L93" i="19"/>
  <c r="K93" i="19"/>
  <c r="H93" i="19"/>
  <c r="G93" i="19"/>
  <c r="F93" i="19"/>
  <c r="E93" i="19"/>
  <c r="D93" i="19"/>
  <c r="C93" i="19"/>
  <c r="A93" i="19"/>
  <c r="M44" i="21"/>
  <c r="J44" i="21"/>
  <c r="E44" i="21"/>
  <c r="C44" i="21"/>
  <c r="L44" i="21"/>
  <c r="H44" i="21"/>
  <c r="F44" i="21"/>
  <c r="D44" i="21"/>
  <c r="N44" i="21"/>
  <c r="K44" i="21"/>
  <c r="G44" i="21"/>
  <c r="A44" i="21"/>
  <c r="I44" i="21"/>
  <c r="B44" i="21"/>
  <c r="J63" i="20"/>
  <c r="F63" i="20"/>
  <c r="D63" i="20"/>
  <c r="B63" i="20"/>
  <c r="A63" i="20"/>
  <c r="N63" i="20"/>
  <c r="M63" i="20"/>
  <c r="L63" i="20"/>
  <c r="H63" i="20"/>
  <c r="K63" i="20"/>
  <c r="I63" i="20"/>
  <c r="G63" i="20"/>
  <c r="E63" i="20"/>
  <c r="C63" i="20"/>
  <c r="B99" i="21"/>
  <c r="J99" i="21"/>
  <c r="A99" i="21"/>
  <c r="L99" i="21"/>
  <c r="N99" i="21"/>
  <c r="M99" i="21"/>
  <c r="K99" i="21"/>
  <c r="E99" i="21"/>
  <c r="I99" i="21"/>
  <c r="F99" i="21"/>
  <c r="C99" i="21"/>
  <c r="D99" i="21"/>
  <c r="H99" i="21"/>
  <c r="G99" i="21"/>
  <c r="N111" i="22"/>
  <c r="B111" i="22"/>
  <c r="H111" i="22"/>
  <c r="M111" i="22"/>
  <c r="L111" i="22"/>
  <c r="I111" i="22"/>
  <c r="G111" i="22"/>
  <c r="D111" i="22"/>
  <c r="C111" i="22"/>
  <c r="A111" i="22"/>
  <c r="F111" i="22"/>
  <c r="E111" i="22"/>
  <c r="K111" i="22"/>
  <c r="J111" i="22"/>
  <c r="M98" i="20"/>
  <c r="L98" i="20"/>
  <c r="K98" i="20"/>
  <c r="J98" i="20"/>
  <c r="I98" i="20"/>
  <c r="G98" i="20"/>
  <c r="F98" i="20"/>
  <c r="E98" i="20"/>
  <c r="D98" i="20"/>
  <c r="C98" i="20"/>
  <c r="B98" i="20"/>
  <c r="A98" i="20"/>
  <c r="N98" i="20"/>
  <c r="H98" i="20"/>
  <c r="L106" i="20"/>
  <c r="J106" i="20"/>
  <c r="C106" i="20"/>
  <c r="F106" i="20"/>
  <c r="I106" i="20"/>
  <c r="G106" i="20"/>
  <c r="D106" i="20"/>
  <c r="B106" i="20"/>
  <c r="A106" i="20"/>
  <c r="N106" i="20"/>
  <c r="M106" i="20"/>
  <c r="K106" i="20"/>
  <c r="H106" i="20"/>
  <c r="E106" i="20"/>
  <c r="D65" i="20"/>
  <c r="N65" i="20"/>
  <c r="K65" i="20"/>
  <c r="A65" i="20"/>
  <c r="M65" i="20"/>
  <c r="L65" i="20"/>
  <c r="J65" i="20"/>
  <c r="G65" i="20"/>
  <c r="F65" i="20"/>
  <c r="E65" i="20"/>
  <c r="H65" i="20"/>
  <c r="C65" i="20"/>
  <c r="B65" i="20"/>
  <c r="I65" i="20"/>
  <c r="B91" i="22"/>
  <c r="N91" i="22"/>
  <c r="L91" i="22"/>
  <c r="K91" i="22"/>
  <c r="H91" i="22"/>
  <c r="G91" i="22"/>
  <c r="M91" i="22"/>
  <c r="C91" i="22"/>
  <c r="J91" i="22"/>
  <c r="I91" i="22"/>
  <c r="D91" i="22"/>
  <c r="F91" i="22"/>
  <c r="E91" i="22"/>
  <c r="A91" i="22"/>
  <c r="I120" i="23"/>
  <c r="F120" i="23"/>
  <c r="B120" i="23"/>
  <c r="K120" i="23"/>
  <c r="J120" i="23"/>
  <c r="D120" i="23"/>
  <c r="A120" i="23"/>
  <c r="G120" i="23"/>
  <c r="N120" i="23"/>
  <c r="L120" i="23"/>
  <c r="H120" i="23"/>
  <c r="E120" i="23"/>
  <c r="C120" i="23"/>
  <c r="M120" i="23"/>
  <c r="F45" i="23"/>
  <c r="C45" i="23"/>
  <c r="B45" i="23"/>
  <c r="L45" i="23"/>
  <c r="J45" i="23"/>
  <c r="D45" i="23"/>
  <c r="M45" i="23"/>
  <c r="K45" i="23"/>
  <c r="E45" i="23"/>
  <c r="N45" i="23"/>
  <c r="G45" i="23"/>
  <c r="A45" i="23"/>
  <c r="I45" i="23"/>
  <c r="H45" i="23"/>
  <c r="M89" i="19"/>
  <c r="M39" i="17"/>
  <c r="M13" i="18"/>
  <c r="M79" i="16"/>
  <c r="M46" i="15"/>
  <c r="M100" i="16"/>
  <c r="M70" i="15"/>
  <c r="M29" i="19"/>
  <c r="M95" i="16"/>
  <c r="M22" i="15"/>
  <c r="M85" i="13"/>
  <c r="M52" i="15"/>
  <c r="M63" i="12"/>
  <c r="M26" i="14"/>
  <c r="M64" i="10"/>
  <c r="M57" i="10"/>
  <c r="M106" i="11"/>
  <c r="M46" i="12"/>
  <c r="M42" i="10"/>
  <c r="M33" i="12"/>
  <c r="M9" i="10"/>
  <c r="M17" i="13"/>
  <c r="M94" i="15"/>
  <c r="M30" i="11"/>
  <c r="Y936" i="24"/>
  <c r="M65" i="14"/>
  <c r="Y1210" i="24"/>
  <c r="M94" i="14"/>
  <c r="M90" i="13"/>
  <c r="Y989" i="24"/>
  <c r="M83" i="12"/>
  <c r="Y933" i="24"/>
  <c r="M83" i="15"/>
  <c r="Y458" i="24"/>
  <c r="M40" i="10"/>
  <c r="Y279" i="24"/>
  <c r="M21" i="17"/>
  <c r="Y271" i="24"/>
  <c r="M34" i="15"/>
  <c r="Y127" i="24"/>
  <c r="M19" i="21"/>
  <c r="Y592" i="24"/>
  <c r="M65" i="11"/>
  <c r="Y658" i="24"/>
  <c r="M60" i="12"/>
  <c r="Y481" i="24"/>
  <c r="M40" i="16"/>
  <c r="Y494" i="24"/>
  <c r="M42" i="16"/>
  <c r="Y289" i="24"/>
  <c r="M28" i="10"/>
  <c r="L19" i="23"/>
  <c r="F19" i="23"/>
  <c r="B19" i="23"/>
  <c r="K19" i="23"/>
  <c r="J19" i="23"/>
  <c r="G19" i="23"/>
  <c r="E19" i="23"/>
  <c r="C19" i="23"/>
  <c r="D19" i="23"/>
  <c r="I19" i="23"/>
  <c r="N19" i="23"/>
  <c r="M19" i="23"/>
  <c r="H19" i="23"/>
  <c r="A19" i="23"/>
  <c r="Y881" i="24"/>
  <c r="M84" i="13"/>
  <c r="Y1158" i="24"/>
  <c r="M99" i="13"/>
  <c r="Y218" i="24"/>
  <c r="M27" i="12"/>
  <c r="Y1062" i="24"/>
  <c r="M86" i="12"/>
  <c r="L20" i="23"/>
  <c r="B20" i="23"/>
  <c r="A20" i="23"/>
  <c r="K20" i="23"/>
  <c r="I20" i="23"/>
  <c r="F20" i="23"/>
  <c r="G20" i="23"/>
  <c r="E20" i="23"/>
  <c r="D20" i="23"/>
  <c r="N20" i="23"/>
  <c r="M20" i="23"/>
  <c r="J20" i="23"/>
  <c r="H20" i="23"/>
  <c r="C20" i="23"/>
  <c r="L128" i="21"/>
  <c r="K128" i="21"/>
  <c r="G128" i="21"/>
  <c r="I128" i="21"/>
  <c r="D128" i="21"/>
  <c r="B128" i="21"/>
  <c r="A128" i="21"/>
  <c r="J128" i="21"/>
  <c r="F128" i="21"/>
  <c r="H128" i="21"/>
  <c r="E128" i="21"/>
  <c r="N128" i="21"/>
  <c r="M128" i="21"/>
  <c r="C128" i="21"/>
  <c r="F101" i="23"/>
  <c r="H101" i="23"/>
  <c r="M101" i="23"/>
  <c r="E101" i="23"/>
  <c r="D101" i="23"/>
  <c r="L101" i="23"/>
  <c r="I101" i="23"/>
  <c r="G101" i="23"/>
  <c r="K101" i="23"/>
  <c r="C101" i="23"/>
  <c r="B101" i="23"/>
  <c r="N101" i="23"/>
  <c r="J101" i="23"/>
  <c r="A101" i="23"/>
  <c r="M27" i="23"/>
  <c r="Y125" i="24"/>
  <c r="M21" i="15"/>
  <c r="Y921" i="24"/>
  <c r="M81" i="15"/>
  <c r="M13" i="20"/>
  <c r="J39" i="20"/>
  <c r="F39" i="20"/>
  <c r="D39" i="20"/>
  <c r="B39" i="20"/>
  <c r="A39" i="20"/>
  <c r="C39" i="20"/>
  <c r="N39" i="20"/>
  <c r="M39" i="20"/>
  <c r="L39" i="20"/>
  <c r="H39" i="20"/>
  <c r="G39" i="20"/>
  <c r="E39" i="20"/>
  <c r="K39" i="20"/>
  <c r="I39" i="20"/>
  <c r="N47" i="18"/>
  <c r="D47" i="18"/>
  <c r="A47" i="18"/>
  <c r="M47" i="18"/>
  <c r="L47" i="18"/>
  <c r="K47" i="18"/>
  <c r="J47" i="18"/>
  <c r="H47" i="18"/>
  <c r="G47" i="18"/>
  <c r="E47" i="18"/>
  <c r="B47" i="18"/>
  <c r="I47" i="18"/>
  <c r="F47" i="18"/>
  <c r="C47" i="18"/>
  <c r="M85" i="19"/>
  <c r="J85" i="19"/>
  <c r="I85" i="19"/>
  <c r="F85" i="19"/>
  <c r="C85" i="19"/>
  <c r="A85" i="19"/>
  <c r="N85" i="19"/>
  <c r="L85" i="19"/>
  <c r="K85" i="19"/>
  <c r="H85" i="19"/>
  <c r="G85" i="19"/>
  <c r="E85" i="19"/>
  <c r="D85" i="19"/>
  <c r="B85" i="19"/>
  <c r="M120" i="19"/>
  <c r="L120" i="19"/>
  <c r="C120" i="19"/>
  <c r="N120" i="19"/>
  <c r="K120" i="19"/>
  <c r="J120" i="19"/>
  <c r="I120" i="19"/>
  <c r="H120" i="19"/>
  <c r="G120" i="19"/>
  <c r="F120" i="19"/>
  <c r="E120" i="19"/>
  <c r="D120" i="19"/>
  <c r="B120" i="19"/>
  <c r="A120" i="19"/>
  <c r="G44" i="20"/>
  <c r="C44" i="20"/>
  <c r="A44" i="20"/>
  <c r="L44" i="20"/>
  <c r="N44" i="20"/>
  <c r="M44" i="20"/>
  <c r="K44" i="20"/>
  <c r="J44" i="20"/>
  <c r="I44" i="20"/>
  <c r="H44" i="20"/>
  <c r="F44" i="20"/>
  <c r="E44" i="20"/>
  <c r="D44" i="20"/>
  <c r="B44" i="20"/>
  <c r="L78" i="20"/>
  <c r="I78" i="20"/>
  <c r="E78" i="20"/>
  <c r="C78" i="20"/>
  <c r="A78" i="20"/>
  <c r="N78" i="20"/>
  <c r="M78" i="20"/>
  <c r="K78" i="20"/>
  <c r="G78" i="20"/>
  <c r="J78" i="20"/>
  <c r="H78" i="20"/>
  <c r="F78" i="20"/>
  <c r="D78" i="20"/>
  <c r="B78" i="20"/>
  <c r="B107" i="21"/>
  <c r="A107" i="21"/>
  <c r="H107" i="21"/>
  <c r="E107" i="21"/>
  <c r="M107" i="21"/>
  <c r="G107" i="21"/>
  <c r="F107" i="21"/>
  <c r="D107" i="21"/>
  <c r="C107" i="21"/>
  <c r="N107" i="21"/>
  <c r="L107" i="21"/>
  <c r="J107" i="21"/>
  <c r="K107" i="21"/>
  <c r="I107" i="21"/>
  <c r="K82" i="20"/>
  <c r="A82" i="20"/>
  <c r="N82" i="20"/>
  <c r="D82" i="20"/>
  <c r="C82" i="20"/>
  <c r="M82" i="20"/>
  <c r="L82" i="20"/>
  <c r="J82" i="20"/>
  <c r="B82" i="20"/>
  <c r="I82" i="20"/>
  <c r="H82" i="20"/>
  <c r="G82" i="20"/>
  <c r="E82" i="20"/>
  <c r="F82" i="20"/>
  <c r="C50" i="21"/>
  <c r="M50" i="21"/>
  <c r="A50" i="21"/>
  <c r="N50" i="21"/>
  <c r="B50" i="21"/>
  <c r="K50" i="21"/>
  <c r="J50" i="21"/>
  <c r="I50" i="21"/>
  <c r="H50" i="21"/>
  <c r="G50" i="21"/>
  <c r="F50" i="21"/>
  <c r="L50" i="21"/>
  <c r="E50" i="21"/>
  <c r="D50" i="21"/>
  <c r="L114" i="20"/>
  <c r="H114" i="20"/>
  <c r="J114" i="20"/>
  <c r="G114" i="20"/>
  <c r="E114" i="20"/>
  <c r="D114" i="20"/>
  <c r="C114" i="20"/>
  <c r="B114" i="20"/>
  <c r="A114" i="20"/>
  <c r="N114" i="20"/>
  <c r="M114" i="20"/>
  <c r="K114" i="20"/>
  <c r="I114" i="20"/>
  <c r="F114" i="20"/>
  <c r="I73" i="20"/>
  <c r="E73" i="20"/>
  <c r="C73" i="20"/>
  <c r="A73" i="20"/>
  <c r="N73" i="20"/>
  <c r="M73" i="20"/>
  <c r="L73" i="20"/>
  <c r="K73" i="20"/>
  <c r="G73" i="20"/>
  <c r="J73" i="20"/>
  <c r="H73" i="20"/>
  <c r="F73" i="20"/>
  <c r="D73" i="20"/>
  <c r="B73" i="20"/>
  <c r="B51" i="22"/>
  <c r="N51" i="22"/>
  <c r="J51" i="22"/>
  <c r="G51" i="22"/>
  <c r="F51" i="22"/>
  <c r="L51" i="22"/>
  <c r="C51" i="22"/>
  <c r="K51" i="22"/>
  <c r="I51" i="22"/>
  <c r="D51" i="22"/>
  <c r="H51" i="22"/>
  <c r="E51" i="22"/>
  <c r="A51" i="22"/>
  <c r="M51" i="22"/>
  <c r="B43" i="22"/>
  <c r="N43" i="22"/>
  <c r="G43" i="22"/>
  <c r="E43" i="22"/>
  <c r="A43" i="22"/>
  <c r="M43" i="22"/>
  <c r="L43" i="22"/>
  <c r="K43" i="22"/>
  <c r="H43" i="22"/>
  <c r="I43" i="22"/>
  <c r="F43" i="22"/>
  <c r="D43" i="22"/>
  <c r="C43" i="22"/>
  <c r="J43" i="22"/>
  <c r="C98" i="23"/>
  <c r="K98" i="23"/>
  <c r="H98" i="23"/>
  <c r="D98" i="23"/>
  <c r="E98" i="23"/>
  <c r="N98" i="23"/>
  <c r="L98" i="23"/>
  <c r="G98" i="23"/>
  <c r="F98" i="23"/>
  <c r="B98" i="23"/>
  <c r="A98" i="23"/>
  <c r="M98" i="23"/>
  <c r="I98" i="23"/>
  <c r="J98" i="23"/>
  <c r="M53" i="22"/>
  <c r="M72" i="18"/>
  <c r="M53" i="18"/>
  <c r="M89" i="17"/>
  <c r="M30" i="16"/>
  <c r="M83" i="18"/>
  <c r="M62" i="15"/>
  <c r="M70" i="17"/>
  <c r="M42" i="18"/>
  <c r="M43" i="13"/>
  <c r="M15" i="17"/>
  <c r="M50" i="10"/>
  <c r="M62" i="11"/>
  <c r="M99" i="11"/>
  <c r="M60" i="10"/>
  <c r="M53" i="12"/>
  <c r="M78" i="11"/>
  <c r="M15" i="11"/>
  <c r="M66" i="10"/>
  <c r="M79" i="10"/>
  <c r="M10" i="12"/>
  <c r="M47" i="10"/>
  <c r="Y352" i="24"/>
  <c r="M36" i="19"/>
  <c r="Y787" i="24"/>
  <c r="M56" i="14"/>
  <c r="Y1251" i="24"/>
  <c r="M99" i="14"/>
  <c r="M45" i="11"/>
  <c r="Y959" i="24"/>
  <c r="M71" i="17"/>
  <c r="Y1147" i="24"/>
  <c r="M90" i="16"/>
  <c r="Y911" i="24"/>
  <c r="M62" i="14"/>
  <c r="Y394" i="24"/>
  <c r="M48" i="11"/>
  <c r="Y336" i="24"/>
  <c r="M33" i="19"/>
  <c r="Y247" i="24"/>
  <c r="M18" i="17"/>
  <c r="Y1223" i="24"/>
  <c r="M97" i="16"/>
  <c r="Y109" i="24"/>
  <c r="M20" i="22"/>
  <c r="Y305" i="24"/>
  <c r="M25" i="17"/>
  <c r="Y846" i="24"/>
  <c r="M62" i="17"/>
  <c r="Y330" i="24"/>
  <c r="M31" i="10"/>
  <c r="I24" i="23"/>
  <c r="F24" i="23"/>
  <c r="B24" i="23"/>
  <c r="G24" i="23"/>
  <c r="K24" i="23"/>
  <c r="H24" i="23"/>
  <c r="C24" i="23"/>
  <c r="A24" i="23"/>
  <c r="N24" i="23"/>
  <c r="M24" i="23"/>
  <c r="J24" i="23"/>
  <c r="L24" i="23"/>
  <c r="D24" i="23"/>
  <c r="E24" i="23"/>
  <c r="Y169" i="24"/>
  <c r="M24" i="13"/>
  <c r="Y1059" i="24"/>
  <c r="M95" i="13"/>
  <c r="Y342" i="24"/>
  <c r="M38" i="12"/>
  <c r="Y985" i="24"/>
  <c r="M82" i="12"/>
  <c r="J126" i="22"/>
  <c r="F126" i="22"/>
  <c r="K126" i="22"/>
  <c r="I126" i="22"/>
  <c r="E126" i="22"/>
  <c r="D126" i="22"/>
  <c r="M126" i="22"/>
  <c r="L126" i="22"/>
  <c r="G126" i="22"/>
  <c r="B126" i="22"/>
  <c r="N126" i="22"/>
  <c r="A126" i="22"/>
  <c r="H126" i="22"/>
  <c r="C126" i="22"/>
  <c r="B127" i="23"/>
  <c r="C127" i="23"/>
  <c r="J127" i="23"/>
  <c r="N127" i="23"/>
  <c r="L127" i="23"/>
  <c r="G127" i="23"/>
  <c r="F127" i="23"/>
  <c r="M127" i="23"/>
  <c r="I127" i="23"/>
  <c r="D127" i="23"/>
  <c r="H127" i="23"/>
  <c r="E127" i="23"/>
  <c r="A127" i="23"/>
  <c r="K127" i="23"/>
  <c r="B117" i="21"/>
  <c r="A117" i="21"/>
  <c r="I117" i="21"/>
  <c r="K117" i="21"/>
  <c r="F117" i="21"/>
  <c r="H117" i="21"/>
  <c r="G117" i="21"/>
  <c r="E117" i="21"/>
  <c r="D117" i="21"/>
  <c r="M117" i="21"/>
  <c r="J117" i="21"/>
  <c r="C117" i="21"/>
  <c r="L117" i="21"/>
  <c r="N117" i="21"/>
  <c r="C122" i="23"/>
  <c r="A122" i="23"/>
  <c r="G122" i="23"/>
  <c r="I122" i="23"/>
  <c r="D122" i="23"/>
  <c r="M122" i="23"/>
  <c r="L122" i="23"/>
  <c r="H122" i="23"/>
  <c r="F122" i="23"/>
  <c r="N122" i="23"/>
  <c r="E122" i="23"/>
  <c r="J122" i="23"/>
  <c r="K122" i="23"/>
  <c r="B122" i="23"/>
  <c r="Y147" i="24"/>
  <c r="M25" i="15"/>
  <c r="M22" i="22"/>
  <c r="M29" i="20"/>
  <c r="N55" i="18"/>
  <c r="J55" i="18"/>
  <c r="G55" i="18"/>
  <c r="F55" i="18"/>
  <c r="E55" i="18"/>
  <c r="D55" i="18"/>
  <c r="C55" i="18"/>
  <c r="B55" i="18"/>
  <c r="A55" i="18"/>
  <c r="L55" i="18"/>
  <c r="H55" i="18"/>
  <c r="M55" i="18"/>
  <c r="K55" i="18"/>
  <c r="I55" i="18"/>
  <c r="J98" i="19"/>
  <c r="G98" i="19"/>
  <c r="F98" i="19"/>
  <c r="N98" i="19"/>
  <c r="K98" i="19"/>
  <c r="H98" i="19"/>
  <c r="E98" i="19"/>
  <c r="D98" i="19"/>
  <c r="C98" i="19"/>
  <c r="M98" i="19"/>
  <c r="L98" i="19"/>
  <c r="I98" i="19"/>
  <c r="B98" i="19"/>
  <c r="A98" i="19"/>
  <c r="G52" i="20"/>
  <c r="C52" i="20"/>
  <c r="A52" i="20"/>
  <c r="K52" i="20"/>
  <c r="J52" i="20"/>
  <c r="H52" i="20"/>
  <c r="E52" i="20"/>
  <c r="D52" i="20"/>
  <c r="B52" i="20"/>
  <c r="N52" i="20"/>
  <c r="M52" i="20"/>
  <c r="L52" i="20"/>
  <c r="I52" i="20"/>
  <c r="F52" i="20"/>
  <c r="M58" i="20"/>
  <c r="I58" i="20"/>
  <c r="G58" i="20"/>
  <c r="E58" i="20"/>
  <c r="D58" i="20"/>
  <c r="C58" i="20"/>
  <c r="B58" i="20"/>
  <c r="A58" i="20"/>
  <c r="K58" i="20"/>
  <c r="N58" i="20"/>
  <c r="L58" i="20"/>
  <c r="J58" i="20"/>
  <c r="H58" i="20"/>
  <c r="F58" i="20"/>
  <c r="K68" i="22"/>
  <c r="B68" i="22"/>
  <c r="E68" i="22"/>
  <c r="A68" i="22"/>
  <c r="I68" i="22"/>
  <c r="N68" i="22"/>
  <c r="L68" i="22"/>
  <c r="G68" i="22"/>
  <c r="F68" i="22"/>
  <c r="J68" i="22"/>
  <c r="H68" i="22"/>
  <c r="C68" i="22"/>
  <c r="M68" i="22"/>
  <c r="D68" i="22"/>
  <c r="F57" i="23"/>
  <c r="B57" i="23"/>
  <c r="N57" i="23"/>
  <c r="I57" i="23"/>
  <c r="A57" i="23"/>
  <c r="G57" i="23"/>
  <c r="D57" i="23"/>
  <c r="K57" i="23"/>
  <c r="J57" i="23"/>
  <c r="E57" i="23"/>
  <c r="H57" i="23"/>
  <c r="C57" i="23"/>
  <c r="M57" i="23"/>
  <c r="L57" i="23"/>
  <c r="C105" i="20"/>
  <c r="L105" i="20"/>
  <c r="N105" i="20"/>
  <c r="M105" i="20"/>
  <c r="K105" i="20"/>
  <c r="I105" i="20"/>
  <c r="H105" i="20"/>
  <c r="G105" i="20"/>
  <c r="F105" i="20"/>
  <c r="E105" i="20"/>
  <c r="D105" i="20"/>
  <c r="B105" i="20"/>
  <c r="J105" i="20"/>
  <c r="A105" i="20"/>
  <c r="N72" i="21"/>
  <c r="F72" i="21"/>
  <c r="C72" i="21"/>
  <c r="L72" i="21"/>
  <c r="K72" i="21"/>
  <c r="J72" i="21"/>
  <c r="D72" i="21"/>
  <c r="I72" i="21"/>
  <c r="H72" i="21"/>
  <c r="G72" i="21"/>
  <c r="E72" i="21"/>
  <c r="B72" i="21"/>
  <c r="A72" i="21"/>
  <c r="M72" i="21"/>
  <c r="B99" i="22"/>
  <c r="N99" i="22"/>
  <c r="E99" i="22"/>
  <c r="A99" i="22"/>
  <c r="H99" i="22"/>
  <c r="D99" i="22"/>
  <c r="C99" i="22"/>
  <c r="L99" i="22"/>
  <c r="J99" i="22"/>
  <c r="G99" i="22"/>
  <c r="F99" i="22"/>
  <c r="I99" i="22"/>
  <c r="M99" i="22"/>
  <c r="K99" i="22"/>
  <c r="A81" i="20"/>
  <c r="K81" i="20"/>
  <c r="I81" i="20"/>
  <c r="G81" i="20"/>
  <c r="F81" i="20"/>
  <c r="E81" i="20"/>
  <c r="D81" i="20"/>
  <c r="C81" i="20"/>
  <c r="N81" i="20"/>
  <c r="L81" i="20"/>
  <c r="J81" i="20"/>
  <c r="H81" i="20"/>
  <c r="B81" i="20"/>
  <c r="M81" i="20"/>
  <c r="E86" i="22"/>
  <c r="F86" i="22"/>
  <c r="D86" i="22"/>
  <c r="A86" i="22"/>
  <c r="N86" i="22"/>
  <c r="K86" i="22"/>
  <c r="B86" i="22"/>
  <c r="L86" i="22"/>
  <c r="J86" i="22"/>
  <c r="G86" i="22"/>
  <c r="I86" i="22"/>
  <c r="H86" i="22"/>
  <c r="C86" i="22"/>
  <c r="M86" i="22"/>
  <c r="D65" i="23"/>
  <c r="L65" i="23"/>
  <c r="H65" i="23"/>
  <c r="F65" i="23"/>
  <c r="B65" i="23"/>
  <c r="A65" i="23"/>
  <c r="K65" i="23"/>
  <c r="I65" i="23"/>
  <c r="C65" i="23"/>
  <c r="E65" i="23"/>
  <c r="N65" i="23"/>
  <c r="M65" i="23"/>
  <c r="G65" i="23"/>
  <c r="J65" i="23"/>
  <c r="E42" i="22"/>
  <c r="I42" i="22"/>
  <c r="F42" i="22"/>
  <c r="D42" i="22"/>
  <c r="J42" i="22"/>
  <c r="C42" i="22"/>
  <c r="B42" i="22"/>
  <c r="M42" i="22"/>
  <c r="K42" i="22"/>
  <c r="A42" i="22"/>
  <c r="L42" i="22"/>
  <c r="N42" i="22"/>
  <c r="H42" i="22"/>
  <c r="G42" i="22"/>
  <c r="M10" i="18"/>
  <c r="M38" i="15"/>
  <c r="M13" i="15"/>
  <c r="M104" i="15"/>
  <c r="M65" i="18"/>
  <c r="M72" i="12"/>
  <c r="M49" i="13"/>
  <c r="M92" i="15"/>
  <c r="M22" i="11"/>
  <c r="M13" i="12"/>
  <c r="M55" i="11"/>
  <c r="M52" i="13"/>
  <c r="M97" i="11"/>
  <c r="M95" i="10"/>
  <c r="Y991" i="24"/>
  <c r="M81" i="19"/>
  <c r="Y398" i="24"/>
  <c r="M32" i="14"/>
  <c r="M35" i="10"/>
  <c r="M81" i="10"/>
  <c r="Y1236" i="24"/>
  <c r="M96" i="14"/>
  <c r="Y1088" i="24"/>
  <c r="M81" i="17"/>
  <c r="Y986" i="24"/>
  <c r="M91" i="13"/>
  <c r="Y1022" i="24"/>
  <c r="M83" i="10"/>
  <c r="Y590" i="24"/>
  <c r="M60" i="15"/>
  <c r="Y577" i="24"/>
  <c r="M63" i="11"/>
  <c r="Y145" i="24"/>
  <c r="M22" i="12"/>
  <c r="Y859" i="24"/>
  <c r="M77" i="11"/>
  <c r="Y72" i="24"/>
  <c r="M15" i="18"/>
  <c r="Y822" i="24"/>
  <c r="M67" i="16"/>
  <c r="Y88" i="24"/>
  <c r="M14" i="17"/>
  <c r="Y1103" i="24"/>
  <c r="M83" i="17"/>
  <c r="Y274" i="24"/>
  <c r="M24" i="20"/>
  <c r="Y1256" i="24"/>
  <c r="M95" i="20"/>
  <c r="A97" i="23"/>
  <c r="K97" i="23"/>
  <c r="E97" i="23"/>
  <c r="N97" i="23"/>
  <c r="M97" i="23"/>
  <c r="I97" i="23"/>
  <c r="H97" i="23"/>
  <c r="J97" i="23"/>
  <c r="G97" i="23"/>
  <c r="D97" i="23"/>
  <c r="C97" i="23"/>
  <c r="L97" i="23"/>
  <c r="F97" i="23"/>
  <c r="B97" i="23"/>
  <c r="Y499" i="24"/>
  <c r="M44" i="10"/>
  <c r="C50" i="23"/>
  <c r="D50" i="23"/>
  <c r="G50" i="23"/>
  <c r="A50" i="23"/>
  <c r="M50" i="23"/>
  <c r="J50" i="23"/>
  <c r="I50" i="23"/>
  <c r="E50" i="23"/>
  <c r="B50" i="23"/>
  <c r="H50" i="23"/>
  <c r="N50" i="23"/>
  <c r="K50" i="23"/>
  <c r="L50" i="23"/>
  <c r="F50" i="23"/>
  <c r="Y329" i="24"/>
  <c r="M41" i="13"/>
  <c r="F123" i="22"/>
  <c r="B123" i="22"/>
  <c r="N123" i="22"/>
  <c r="L123" i="22"/>
  <c r="A123" i="22"/>
  <c r="J123" i="22"/>
  <c r="H123" i="22"/>
  <c r="D123" i="22"/>
  <c r="M123" i="22"/>
  <c r="K123" i="22"/>
  <c r="I123" i="22"/>
  <c r="C123" i="22"/>
  <c r="G123" i="22"/>
  <c r="E123" i="22"/>
  <c r="B115" i="22"/>
  <c r="N115" i="22"/>
  <c r="H115" i="22"/>
  <c r="G115" i="22"/>
  <c r="D115" i="22"/>
  <c r="C115" i="22"/>
  <c r="F115" i="22"/>
  <c r="L115" i="22"/>
  <c r="I115" i="22"/>
  <c r="K115" i="22"/>
  <c r="M115" i="22"/>
  <c r="J115" i="22"/>
  <c r="E115" i="22"/>
  <c r="A115" i="22"/>
  <c r="B35" i="22"/>
  <c r="N35" i="22"/>
  <c r="E35" i="22"/>
  <c r="A35" i="22"/>
  <c r="L35" i="22"/>
  <c r="I35" i="22"/>
  <c r="G35" i="22"/>
  <c r="C35" i="22"/>
  <c r="M35" i="22"/>
  <c r="K35" i="22"/>
  <c r="F35" i="22"/>
  <c r="J35" i="22"/>
  <c r="H35" i="22"/>
  <c r="D35" i="22"/>
  <c r="C74" i="23"/>
  <c r="M74" i="23"/>
  <c r="I74" i="23"/>
  <c r="D74" i="23"/>
  <c r="F74" i="23"/>
  <c r="B74" i="23"/>
  <c r="L74" i="23"/>
  <c r="K74" i="23"/>
  <c r="H74" i="23"/>
  <c r="E74" i="23"/>
  <c r="A74" i="23"/>
  <c r="N74" i="23"/>
  <c r="J74" i="23"/>
  <c r="G74" i="23"/>
  <c r="M63" i="19"/>
  <c r="Y345" i="24"/>
  <c r="M32" i="21"/>
  <c r="N63" i="18"/>
  <c r="M63" i="18"/>
  <c r="L63" i="18"/>
  <c r="K63" i="18"/>
  <c r="J63" i="18"/>
  <c r="I63" i="18"/>
  <c r="H63" i="18"/>
  <c r="G63" i="18"/>
  <c r="F63" i="18"/>
  <c r="E63" i="18"/>
  <c r="A63" i="18"/>
  <c r="D63" i="18"/>
  <c r="C63" i="18"/>
  <c r="B63" i="18"/>
  <c r="J106" i="19"/>
  <c r="G106" i="19"/>
  <c r="F106" i="19"/>
  <c r="I106" i="19"/>
  <c r="D106" i="19"/>
  <c r="B106" i="19"/>
  <c r="A106" i="19"/>
  <c r="N106" i="19"/>
  <c r="M106" i="19"/>
  <c r="L106" i="19"/>
  <c r="K106" i="19"/>
  <c r="H106" i="19"/>
  <c r="E106" i="19"/>
  <c r="C106" i="19"/>
  <c r="N38" i="18"/>
  <c r="K38" i="18"/>
  <c r="H38" i="18"/>
  <c r="E38" i="18"/>
  <c r="M38" i="18"/>
  <c r="J38" i="18"/>
  <c r="I38" i="18"/>
  <c r="G38" i="18"/>
  <c r="F38" i="18"/>
  <c r="D38" i="18"/>
  <c r="C38" i="18"/>
  <c r="B38" i="18"/>
  <c r="A38" i="18"/>
  <c r="L38" i="18"/>
  <c r="L70" i="20"/>
  <c r="D70" i="20"/>
  <c r="K70" i="20"/>
  <c r="N70" i="20"/>
  <c r="M70" i="20"/>
  <c r="J70" i="20"/>
  <c r="I70" i="20"/>
  <c r="H70" i="20"/>
  <c r="G70" i="20"/>
  <c r="F70" i="20"/>
  <c r="E70" i="20"/>
  <c r="B70" i="20"/>
  <c r="A70" i="20"/>
  <c r="C70" i="20"/>
  <c r="H104" i="18"/>
  <c r="C104" i="18"/>
  <c r="B104" i="18"/>
  <c r="N104" i="18"/>
  <c r="L104" i="18"/>
  <c r="K104" i="18"/>
  <c r="J104" i="18"/>
  <c r="I104" i="18"/>
  <c r="G104" i="18"/>
  <c r="F104" i="18"/>
  <c r="E104" i="18"/>
  <c r="D104" i="18"/>
  <c r="A104" i="18"/>
  <c r="M104" i="18"/>
  <c r="A38" i="20"/>
  <c r="N38" i="20"/>
  <c r="M38" i="20"/>
  <c r="K38" i="20"/>
  <c r="I38" i="20"/>
  <c r="H38" i="20"/>
  <c r="G38" i="20"/>
  <c r="F38" i="20"/>
  <c r="E38" i="20"/>
  <c r="B38" i="20"/>
  <c r="L38" i="20"/>
  <c r="J38" i="20"/>
  <c r="D38" i="20"/>
  <c r="C38" i="20"/>
  <c r="M107" i="20"/>
  <c r="I107" i="20"/>
  <c r="N107" i="20"/>
  <c r="L107" i="20"/>
  <c r="K107" i="20"/>
  <c r="H107" i="20"/>
  <c r="G107" i="20"/>
  <c r="J107" i="20"/>
  <c r="F107" i="20"/>
  <c r="E107" i="20"/>
  <c r="D107" i="20"/>
  <c r="C107" i="20"/>
  <c r="B107" i="20"/>
  <c r="A107" i="20"/>
  <c r="H89" i="21"/>
  <c r="J89" i="21"/>
  <c r="A89" i="21"/>
  <c r="M89" i="21"/>
  <c r="L89" i="21"/>
  <c r="K89" i="21"/>
  <c r="I89" i="21"/>
  <c r="E89" i="21"/>
  <c r="D89" i="21"/>
  <c r="C89" i="21"/>
  <c r="N89" i="21"/>
  <c r="G89" i="21"/>
  <c r="B89" i="21"/>
  <c r="F89" i="21"/>
  <c r="I103" i="20"/>
  <c r="A103" i="20"/>
  <c r="N103" i="20"/>
  <c r="D103" i="20"/>
  <c r="C103" i="20"/>
  <c r="J103" i="20"/>
  <c r="H103" i="20"/>
  <c r="G103" i="20"/>
  <c r="F103" i="20"/>
  <c r="E103" i="20"/>
  <c r="B103" i="20"/>
  <c r="M103" i="20"/>
  <c r="L103" i="20"/>
  <c r="K103" i="20"/>
  <c r="F89" i="20"/>
  <c r="N89" i="20"/>
  <c r="M89" i="20"/>
  <c r="L89" i="20"/>
  <c r="K89" i="20"/>
  <c r="I89" i="20"/>
  <c r="G89" i="20"/>
  <c r="E89" i="20"/>
  <c r="D89" i="20"/>
  <c r="C89" i="20"/>
  <c r="B89" i="20"/>
  <c r="J89" i="20"/>
  <c r="H89" i="20"/>
  <c r="A89" i="20"/>
  <c r="K108" i="22"/>
  <c r="A108" i="22"/>
  <c r="D108" i="22"/>
  <c r="C108" i="22"/>
  <c r="I108" i="22"/>
  <c r="F108" i="22"/>
  <c r="E108" i="22"/>
  <c r="M108" i="22"/>
  <c r="H108" i="22"/>
  <c r="N108" i="22"/>
  <c r="L108" i="22"/>
  <c r="J108" i="22"/>
  <c r="G108" i="22"/>
  <c r="B108" i="22"/>
  <c r="K48" i="22"/>
  <c r="J48" i="22"/>
  <c r="A48" i="22"/>
  <c r="M48" i="22"/>
  <c r="H48" i="22"/>
  <c r="G48" i="22"/>
  <c r="B48" i="22"/>
  <c r="N48" i="22"/>
  <c r="I48" i="22"/>
  <c r="F48" i="22"/>
  <c r="C48" i="22"/>
  <c r="L48" i="22"/>
  <c r="D48" i="22"/>
  <c r="E48" i="22"/>
  <c r="E58" i="22"/>
  <c r="N58" i="22"/>
  <c r="K58" i="22"/>
  <c r="J58" i="22"/>
  <c r="I58" i="22"/>
  <c r="G58" i="22"/>
  <c r="L58" i="22"/>
  <c r="D58" i="22"/>
  <c r="C58" i="22"/>
  <c r="H58" i="22"/>
  <c r="F58" i="22"/>
  <c r="A58" i="22"/>
  <c r="M58" i="22"/>
  <c r="B58" i="22"/>
  <c r="M58" i="17"/>
  <c r="M95" i="18"/>
  <c r="M28" i="18"/>
  <c r="M21" i="18"/>
  <c r="M107" i="15"/>
  <c r="M61" i="16"/>
  <c r="M94" i="16"/>
  <c r="M97" i="15"/>
  <c r="M42" i="12"/>
  <c r="M91" i="17"/>
  <c r="M68" i="16"/>
  <c r="M89" i="10"/>
  <c r="H5" i="8"/>
  <c r="M45" i="12"/>
  <c r="M14" i="11"/>
  <c r="M42" i="11"/>
  <c r="Y1290" i="24"/>
  <c r="M101" i="14"/>
  <c r="M25" i="10"/>
  <c r="Y1122" i="24"/>
  <c r="M92" i="12"/>
  <c r="Y1214" i="24"/>
  <c r="M100" i="12"/>
  <c r="Y1345" i="24"/>
  <c r="M10" i="10"/>
  <c r="Y1073" i="24"/>
  <c r="M88" i="12"/>
  <c r="Y874" i="24"/>
  <c r="M73" i="16"/>
  <c r="Y887" i="24"/>
  <c r="M64" i="17"/>
  <c r="Y1034" i="24"/>
  <c r="M85" i="10"/>
  <c r="Y622" i="24"/>
  <c r="M54" i="16"/>
  <c r="Y671" i="24"/>
  <c r="M68" i="11"/>
  <c r="Y291" i="24"/>
  <c r="M29" i="10"/>
  <c r="Y223" i="24"/>
  <c r="M26" i="19"/>
  <c r="Y733" i="24"/>
  <c r="M72" i="11"/>
  <c r="Y239" i="24"/>
  <c r="M23" i="16"/>
  <c r="Y484" i="24"/>
  <c r="M41" i="16"/>
  <c r="Y637" i="24"/>
  <c r="M58" i="16"/>
  <c r="Y1219" i="24"/>
  <c r="M96" i="16"/>
  <c r="I104" i="23"/>
  <c r="H104" i="23"/>
  <c r="L104" i="23"/>
  <c r="K104" i="23"/>
  <c r="G104" i="23"/>
  <c r="F104" i="23"/>
  <c r="E104" i="23"/>
  <c r="N104" i="23"/>
  <c r="M104" i="23"/>
  <c r="D104" i="23"/>
  <c r="J104" i="23"/>
  <c r="C104" i="23"/>
  <c r="A104" i="23"/>
  <c r="B104" i="23"/>
  <c r="Y1171" i="24"/>
  <c r="M97" i="10"/>
  <c r="Y198" i="24"/>
  <c r="M29" i="15"/>
  <c r="I80" i="23"/>
  <c r="E80" i="23"/>
  <c r="J80" i="23"/>
  <c r="D80" i="23"/>
  <c r="C80" i="23"/>
  <c r="L80" i="23"/>
  <c r="G80" i="23"/>
  <c r="B80" i="23"/>
  <c r="N80" i="23"/>
  <c r="M80" i="23"/>
  <c r="H80" i="23"/>
  <c r="F80" i="23"/>
  <c r="A80" i="23"/>
  <c r="K80" i="23"/>
  <c r="Y34" i="24"/>
  <c r="M10" i="13"/>
  <c r="Y1282" i="24"/>
  <c r="M105" i="12"/>
  <c r="E110" i="22"/>
  <c r="A110" i="22"/>
  <c r="L110" i="22"/>
  <c r="I110" i="22"/>
  <c r="H110" i="22"/>
  <c r="K110" i="22"/>
  <c r="G110" i="22"/>
  <c r="C110" i="22"/>
  <c r="N110" i="22"/>
  <c r="J110" i="22"/>
  <c r="F110" i="22"/>
  <c r="D110" i="22"/>
  <c r="B110" i="22"/>
  <c r="M110" i="22"/>
  <c r="B107" i="22"/>
  <c r="N107" i="22"/>
  <c r="M107" i="22"/>
  <c r="L107" i="22"/>
  <c r="I107" i="22"/>
  <c r="J107" i="22"/>
  <c r="F107" i="22"/>
  <c r="G107" i="22"/>
  <c r="E107" i="22"/>
  <c r="D107" i="22"/>
  <c r="A107" i="22"/>
  <c r="C107" i="22"/>
  <c r="H107" i="22"/>
  <c r="K107" i="22"/>
  <c r="H37" i="22"/>
  <c r="B37" i="22"/>
  <c r="M37" i="22"/>
  <c r="K37" i="22"/>
  <c r="G37" i="22"/>
  <c r="I37" i="22"/>
  <c r="F37" i="22"/>
  <c r="C37" i="22"/>
  <c r="J37" i="22"/>
  <c r="E37" i="22"/>
  <c r="D37" i="22"/>
  <c r="L37" i="22"/>
  <c r="N37" i="22"/>
  <c r="A37" i="22"/>
  <c r="F77" i="23"/>
  <c r="B77" i="23"/>
  <c r="E77" i="23"/>
  <c r="K77" i="23"/>
  <c r="M77" i="23"/>
  <c r="L77" i="23"/>
  <c r="H77" i="23"/>
  <c r="G77" i="23"/>
  <c r="C77" i="23"/>
  <c r="N77" i="23"/>
  <c r="I77" i="23"/>
  <c r="D77" i="23"/>
  <c r="A77" i="23"/>
  <c r="J77" i="23"/>
  <c r="Y134" i="24"/>
  <c r="M23" i="15"/>
  <c r="D57" i="20"/>
  <c r="G57" i="20"/>
  <c r="F57" i="20"/>
  <c r="C57" i="20"/>
  <c r="A57" i="20"/>
  <c r="E57" i="20"/>
  <c r="B57" i="20"/>
  <c r="N57" i="20"/>
  <c r="M57" i="20"/>
  <c r="L57" i="20"/>
  <c r="K57" i="20"/>
  <c r="H57" i="20"/>
  <c r="J57" i="20"/>
  <c r="I57" i="20"/>
  <c r="N71" i="18"/>
  <c r="M71" i="18"/>
  <c r="L71" i="18"/>
  <c r="K71" i="18"/>
  <c r="G71" i="18"/>
  <c r="F71" i="18"/>
  <c r="B71" i="18"/>
  <c r="J71" i="18"/>
  <c r="I71" i="18"/>
  <c r="H71" i="18"/>
  <c r="E71" i="18"/>
  <c r="D71" i="18"/>
  <c r="C71" i="18"/>
  <c r="A71" i="18"/>
  <c r="J114" i="19"/>
  <c r="G114" i="19"/>
  <c r="F114" i="19"/>
  <c r="C114" i="19"/>
  <c r="N114" i="19"/>
  <c r="M114" i="19"/>
  <c r="L114" i="19"/>
  <c r="K114" i="19"/>
  <c r="I114" i="19"/>
  <c r="H114" i="19"/>
  <c r="E114" i="19"/>
  <c r="B114" i="19"/>
  <c r="A114" i="19"/>
  <c r="D114" i="19"/>
  <c r="N46" i="18"/>
  <c r="K46" i="18"/>
  <c r="H46" i="18"/>
  <c r="E46" i="18"/>
  <c r="L46" i="18"/>
  <c r="J46" i="18"/>
  <c r="I46" i="18"/>
  <c r="G46" i="18"/>
  <c r="F46" i="18"/>
  <c r="D46" i="18"/>
  <c r="C46" i="18"/>
  <c r="B46" i="18"/>
  <c r="A46" i="18"/>
  <c r="M46" i="18"/>
  <c r="I75" i="20"/>
  <c r="D75" i="20"/>
  <c r="L75" i="20"/>
  <c r="N75" i="20"/>
  <c r="M75" i="20"/>
  <c r="K75" i="20"/>
  <c r="J75" i="20"/>
  <c r="H75" i="20"/>
  <c r="G75" i="20"/>
  <c r="F75" i="20"/>
  <c r="E75" i="20"/>
  <c r="C75" i="20"/>
  <c r="B75" i="20"/>
  <c r="A75" i="20"/>
  <c r="M45" i="19"/>
  <c r="J45" i="19"/>
  <c r="L45" i="19"/>
  <c r="F45" i="19"/>
  <c r="H45" i="19"/>
  <c r="G45" i="19"/>
  <c r="E45" i="19"/>
  <c r="D45" i="19"/>
  <c r="C45" i="19"/>
  <c r="B45" i="19"/>
  <c r="A45" i="19"/>
  <c r="K45" i="19"/>
  <c r="I45" i="19"/>
  <c r="N45" i="19"/>
  <c r="L94" i="20"/>
  <c r="F94" i="20"/>
  <c r="C94" i="20"/>
  <c r="M94" i="20"/>
  <c r="J94" i="20"/>
  <c r="I94" i="20"/>
  <c r="H94" i="20"/>
  <c r="G94" i="20"/>
  <c r="E94" i="20"/>
  <c r="B94" i="20"/>
  <c r="A94" i="20"/>
  <c r="N94" i="20"/>
  <c r="K94" i="20"/>
  <c r="D94" i="20"/>
  <c r="F53" i="21"/>
  <c r="M53" i="21"/>
  <c r="L53" i="21"/>
  <c r="K53" i="21"/>
  <c r="G53" i="21"/>
  <c r="E53" i="21"/>
  <c r="D53" i="21"/>
  <c r="N53" i="21"/>
  <c r="J53" i="21"/>
  <c r="A53" i="21"/>
  <c r="I53" i="21"/>
  <c r="H53" i="21"/>
  <c r="C53" i="21"/>
  <c r="B53" i="21"/>
  <c r="M40" i="20"/>
  <c r="K40" i="20"/>
  <c r="J40" i="20"/>
  <c r="H40" i="20"/>
  <c r="G40" i="20"/>
  <c r="N40" i="20"/>
  <c r="L40" i="20"/>
  <c r="I40" i="20"/>
  <c r="F40" i="20"/>
  <c r="C40" i="20"/>
  <c r="E40" i="20"/>
  <c r="D40" i="20"/>
  <c r="B40" i="20"/>
  <c r="A40" i="20"/>
  <c r="C66" i="23"/>
  <c r="N66" i="23"/>
  <c r="A66" i="23"/>
  <c r="J66" i="23"/>
  <c r="M66" i="23"/>
  <c r="L66" i="23"/>
  <c r="D66" i="23"/>
  <c r="I66" i="23"/>
  <c r="G66" i="23"/>
  <c r="B66" i="23"/>
  <c r="H66" i="23"/>
  <c r="F66" i="23"/>
  <c r="E66" i="23"/>
  <c r="K66" i="23"/>
  <c r="K97" i="20"/>
  <c r="J97" i="20"/>
  <c r="F97" i="20"/>
  <c r="D97" i="20"/>
  <c r="B97" i="20"/>
  <c r="A97" i="20"/>
  <c r="N97" i="20"/>
  <c r="M97" i="20"/>
  <c r="I97" i="20"/>
  <c r="G97" i="20"/>
  <c r="E97" i="20"/>
  <c r="C97" i="20"/>
  <c r="L97" i="20"/>
  <c r="H97" i="20"/>
  <c r="I74" i="21"/>
  <c r="A74" i="21"/>
  <c r="L74" i="21"/>
  <c r="K74" i="21"/>
  <c r="J74" i="21"/>
  <c r="D74" i="21"/>
  <c r="H74" i="21"/>
  <c r="E74" i="21"/>
  <c r="B74" i="21"/>
  <c r="C74" i="21"/>
  <c r="N74" i="21"/>
  <c r="M74" i="21"/>
  <c r="G74" i="21"/>
  <c r="F74" i="21"/>
  <c r="H93" i="22"/>
  <c r="J93" i="22"/>
  <c r="I93" i="22"/>
  <c r="E93" i="22"/>
  <c r="D93" i="22"/>
  <c r="A93" i="22"/>
  <c r="M93" i="22"/>
  <c r="L93" i="22"/>
  <c r="K93" i="22"/>
  <c r="C93" i="22"/>
  <c r="N93" i="22"/>
  <c r="F93" i="22"/>
  <c r="B93" i="22"/>
  <c r="G93" i="22"/>
  <c r="F69" i="23"/>
  <c r="I69" i="23"/>
  <c r="D69" i="23"/>
  <c r="H69" i="23"/>
  <c r="J69" i="23"/>
  <c r="C69" i="23"/>
  <c r="B69" i="23"/>
  <c r="N69" i="23"/>
  <c r="G69" i="23"/>
  <c r="L69" i="23"/>
  <c r="M69" i="23"/>
  <c r="K69" i="23"/>
  <c r="A69" i="23"/>
  <c r="E69" i="23"/>
  <c r="M74" i="18"/>
  <c r="M102" i="17"/>
  <c r="M37" i="18"/>
  <c r="M87" i="17"/>
  <c r="M52" i="17"/>
  <c r="M74" i="17"/>
  <c r="M12" i="18"/>
  <c r="M47" i="15"/>
  <c r="M34" i="12"/>
  <c r="M68" i="15"/>
  <c r="M108" i="18"/>
  <c r="M68" i="13"/>
  <c r="M70" i="13"/>
  <c r="M38" i="13"/>
  <c r="M69" i="13"/>
  <c r="M76" i="12"/>
  <c r="M23" i="12"/>
  <c r="M38" i="11"/>
  <c r="M43" i="10"/>
  <c r="M71" i="10"/>
  <c r="M32" i="12"/>
  <c r="M88" i="13"/>
  <c r="F37" i="6"/>
  <c r="M103" i="11"/>
  <c r="M54" i="11"/>
  <c r="M49" i="11"/>
  <c r="Y1090" i="24"/>
  <c r="M86" i="19"/>
  <c r="Y958" i="24"/>
  <c r="M69" i="14"/>
  <c r="M125" i="3"/>
  <c r="M65" i="3"/>
  <c r="F120" i="3"/>
  <c r="C98" i="3"/>
  <c r="D49" i="3"/>
  <c r="H125" i="3"/>
  <c r="O64" i="3"/>
  <c r="G23" i="8"/>
  <c r="Y1241" i="24"/>
  <c r="M95" i="17"/>
  <c r="Y1054" i="24"/>
  <c r="M84" i="18"/>
  <c r="Y807" i="24"/>
  <c r="M67" i="10"/>
  <c r="Y816" i="24"/>
  <c r="M79" i="13"/>
  <c r="Y613" i="24"/>
  <c r="M44" i="14"/>
  <c r="Y542" i="24"/>
  <c r="M40" i="17"/>
  <c r="Y372" i="24"/>
  <c r="M42" i="15"/>
  <c r="Y359" i="24"/>
  <c r="M41" i="12"/>
  <c r="Y138" i="24"/>
  <c r="M20" i="12"/>
  <c r="Y124" i="24"/>
  <c r="M16" i="11"/>
  <c r="Y813" i="24"/>
  <c r="M75" i="11"/>
  <c r="Y730" i="24"/>
  <c r="M64" i="16"/>
  <c r="Y944" i="24"/>
  <c r="M80" i="16"/>
  <c r="Y1362" i="24"/>
  <c r="M105" i="16"/>
  <c r="Y385" i="24"/>
  <c r="M33" i="17"/>
  <c r="J76" i="23"/>
  <c r="F76" i="23"/>
  <c r="L76" i="23"/>
  <c r="N76" i="23"/>
  <c r="I76" i="23"/>
  <c r="H76" i="23"/>
  <c r="M76" i="23"/>
  <c r="B76" i="23"/>
  <c r="K76" i="23"/>
  <c r="E76" i="23"/>
  <c r="D76" i="23"/>
  <c r="A76" i="23"/>
  <c r="G76" i="23"/>
  <c r="C76" i="23"/>
  <c r="Y1232" i="24"/>
  <c r="M99" i="18"/>
  <c r="E89" i="23"/>
  <c r="G89" i="23"/>
  <c r="B89" i="23"/>
  <c r="C89" i="23"/>
  <c r="D89" i="23"/>
  <c r="J89" i="23"/>
  <c r="H89" i="23"/>
  <c r="M89" i="23"/>
  <c r="K89" i="23"/>
  <c r="I89" i="23"/>
  <c r="A89" i="23"/>
  <c r="N89" i="23"/>
  <c r="L89" i="23"/>
  <c r="F89" i="23"/>
  <c r="Y296" i="24"/>
  <c r="M36" i="12"/>
  <c r="Y1179" i="24"/>
  <c r="M98" i="12"/>
  <c r="H97" i="22"/>
  <c r="I97" i="22"/>
  <c r="D97" i="22"/>
  <c r="C97" i="22"/>
  <c r="B97" i="22"/>
  <c r="L97" i="22"/>
  <c r="J97" i="22"/>
  <c r="E97" i="22"/>
  <c r="F97" i="22"/>
  <c r="A97" i="22"/>
  <c r="N97" i="22"/>
  <c r="M97" i="22"/>
  <c r="K97" i="22"/>
  <c r="G97" i="22"/>
  <c r="E94" i="22"/>
  <c r="A94" i="22"/>
  <c r="I94" i="22"/>
  <c r="L94" i="22"/>
  <c r="H94" i="22"/>
  <c r="G94" i="22"/>
  <c r="M94" i="22"/>
  <c r="F94" i="22"/>
  <c r="K94" i="22"/>
  <c r="J94" i="22"/>
  <c r="D94" i="22"/>
  <c r="N94" i="22"/>
  <c r="C94" i="22"/>
  <c r="B94" i="22"/>
  <c r="B67" i="22"/>
  <c r="N67" i="22"/>
  <c r="M67" i="22"/>
  <c r="L67" i="22"/>
  <c r="K67" i="22"/>
  <c r="I67" i="22"/>
  <c r="F67" i="22"/>
  <c r="C67" i="22"/>
  <c r="J67" i="22"/>
  <c r="H67" i="22"/>
  <c r="G67" i="22"/>
  <c r="E67" i="22"/>
  <c r="D67" i="22"/>
  <c r="A67" i="22"/>
  <c r="L91" i="23"/>
  <c r="A91" i="23"/>
  <c r="D91" i="23"/>
  <c r="M91" i="23"/>
  <c r="G91" i="23"/>
  <c r="C91" i="23"/>
  <c r="B91" i="23"/>
  <c r="N91" i="23"/>
  <c r="H91" i="23"/>
  <c r="K91" i="23"/>
  <c r="J91" i="23"/>
  <c r="I91" i="23"/>
  <c r="E91" i="23"/>
  <c r="F91" i="23"/>
  <c r="M12" i="20"/>
  <c r="M85" i="18"/>
  <c r="C42" i="21"/>
  <c r="G42" i="21"/>
  <c r="E42" i="21"/>
  <c r="F42" i="21"/>
  <c r="A42" i="21"/>
  <c r="M42" i="21"/>
  <c r="L42" i="21"/>
  <c r="K42" i="21"/>
  <c r="J42" i="21"/>
  <c r="I42" i="21"/>
  <c r="H42" i="21"/>
  <c r="D42" i="21"/>
  <c r="B42" i="21"/>
  <c r="N42" i="21"/>
  <c r="M67" i="18"/>
  <c r="L130" i="18"/>
  <c r="N130" i="18"/>
  <c r="K130" i="18"/>
  <c r="E130" i="18"/>
  <c r="D130" i="18"/>
  <c r="C130" i="18"/>
  <c r="A130" i="18"/>
  <c r="M130" i="18"/>
  <c r="J130" i="18"/>
  <c r="I130" i="18"/>
  <c r="H130" i="18"/>
  <c r="F130" i="18"/>
  <c r="G130" i="18"/>
  <c r="B130" i="18"/>
  <c r="N71" i="20"/>
  <c r="J71" i="20"/>
  <c r="H71" i="20"/>
  <c r="F71" i="20"/>
  <c r="E71" i="20"/>
  <c r="D71" i="20"/>
  <c r="C71" i="20"/>
  <c r="B71" i="20"/>
  <c r="M71" i="20"/>
  <c r="K71" i="20"/>
  <c r="I71" i="20"/>
  <c r="G71" i="20"/>
  <c r="A71" i="20"/>
  <c r="L71" i="20"/>
  <c r="N54" i="18"/>
  <c r="K54" i="18"/>
  <c r="H54" i="18"/>
  <c r="F54" i="18"/>
  <c r="E54" i="18"/>
  <c r="M54" i="18"/>
  <c r="L54" i="18"/>
  <c r="D54" i="18"/>
  <c r="C54" i="18"/>
  <c r="J54" i="18"/>
  <c r="G54" i="18"/>
  <c r="B54" i="18"/>
  <c r="I54" i="18"/>
  <c r="A54" i="18"/>
  <c r="F80" i="20"/>
  <c r="D80" i="20"/>
  <c r="M80" i="20"/>
  <c r="L80" i="20"/>
  <c r="I80" i="20"/>
  <c r="H80" i="20"/>
  <c r="G80" i="20"/>
  <c r="E80" i="20"/>
  <c r="C80" i="20"/>
  <c r="B80" i="20"/>
  <c r="A80" i="20"/>
  <c r="N80" i="20"/>
  <c r="J80" i="20"/>
  <c r="K80" i="20"/>
  <c r="D33" i="20"/>
  <c r="N33" i="20"/>
  <c r="M33" i="20"/>
  <c r="L33" i="20"/>
  <c r="K33" i="20"/>
  <c r="H33" i="20"/>
  <c r="J33" i="20"/>
  <c r="I33" i="20"/>
  <c r="G33" i="20"/>
  <c r="F33" i="20"/>
  <c r="E33" i="20"/>
  <c r="C33" i="20"/>
  <c r="B33" i="20"/>
  <c r="A33" i="20"/>
  <c r="I40" i="21"/>
  <c r="A40" i="21"/>
  <c r="H40" i="21"/>
  <c r="F40" i="21"/>
  <c r="B40" i="21"/>
  <c r="N40" i="21"/>
  <c r="L40" i="21"/>
  <c r="K40" i="21"/>
  <c r="J40" i="21"/>
  <c r="G40" i="21"/>
  <c r="E40" i="21"/>
  <c r="D40" i="21"/>
  <c r="C40" i="21"/>
  <c r="M40" i="21"/>
  <c r="A54" i="20"/>
  <c r="N54" i="20"/>
  <c r="M54" i="20"/>
  <c r="L54" i="20"/>
  <c r="K54" i="20"/>
  <c r="I54" i="20"/>
  <c r="G54" i="20"/>
  <c r="F54" i="20"/>
  <c r="E54" i="20"/>
  <c r="D54" i="20"/>
  <c r="C54" i="20"/>
  <c r="J54" i="20"/>
  <c r="H54" i="20"/>
  <c r="B54" i="20"/>
  <c r="M48" i="20"/>
  <c r="K48" i="20"/>
  <c r="J48" i="20"/>
  <c r="H48" i="20"/>
  <c r="G48" i="20"/>
  <c r="B48" i="20"/>
  <c r="A48" i="20"/>
  <c r="N48" i="20"/>
  <c r="L48" i="20"/>
  <c r="I48" i="20"/>
  <c r="F48" i="20"/>
  <c r="E48" i="20"/>
  <c r="D48" i="20"/>
  <c r="C48" i="20"/>
  <c r="E50" i="22"/>
  <c r="G50" i="22"/>
  <c r="M50" i="22"/>
  <c r="J50" i="22"/>
  <c r="I50" i="22"/>
  <c r="F50" i="22"/>
  <c r="B50" i="22"/>
  <c r="D50" i="22"/>
  <c r="C50" i="22"/>
  <c r="H50" i="22"/>
  <c r="N50" i="22"/>
  <c r="L50" i="22"/>
  <c r="A50" i="22"/>
  <c r="K50" i="22"/>
  <c r="I48" i="21"/>
  <c r="A48" i="21"/>
  <c r="C48" i="21"/>
  <c r="M48" i="21"/>
  <c r="K48" i="21"/>
  <c r="G48" i="21"/>
  <c r="D48" i="21"/>
  <c r="B48" i="21"/>
  <c r="J48" i="21"/>
  <c r="H48" i="21"/>
  <c r="F48" i="21"/>
  <c r="N48" i="21"/>
  <c r="L48" i="21"/>
  <c r="E48" i="21"/>
  <c r="K124" i="21"/>
  <c r="E124" i="21"/>
  <c r="M124" i="21"/>
  <c r="D124" i="21"/>
  <c r="J124" i="21"/>
  <c r="I124" i="21"/>
  <c r="H124" i="21"/>
  <c r="A124" i="21"/>
  <c r="N124" i="21"/>
  <c r="F124" i="21"/>
  <c r="B124" i="21"/>
  <c r="L124" i="21"/>
  <c r="G124" i="21"/>
  <c r="C124" i="21"/>
  <c r="F105" i="23"/>
  <c r="L105" i="23"/>
  <c r="H105" i="23"/>
  <c r="A105" i="23"/>
  <c r="K105" i="23"/>
  <c r="B105" i="23"/>
  <c r="J105" i="23"/>
  <c r="I105" i="23"/>
  <c r="E105" i="23"/>
  <c r="N105" i="23"/>
  <c r="M105" i="23"/>
  <c r="D105" i="23"/>
  <c r="G105" i="23"/>
  <c r="C105" i="23"/>
  <c r="N111" i="23"/>
  <c r="D111" i="23"/>
  <c r="L111" i="23"/>
  <c r="M111" i="23"/>
  <c r="I111" i="23"/>
  <c r="H111" i="23"/>
  <c r="F111" i="23"/>
  <c r="E111" i="23"/>
  <c r="C111" i="23"/>
  <c r="K111" i="23"/>
  <c r="G111" i="23"/>
  <c r="B111" i="23"/>
  <c r="J111" i="23"/>
  <c r="A111" i="23"/>
  <c r="M59" i="21"/>
  <c r="M75" i="17"/>
  <c r="M28" i="16"/>
  <c r="M60" i="17"/>
  <c r="M32" i="17"/>
  <c r="M49" i="16"/>
  <c r="M91" i="16"/>
  <c r="M84" i="16"/>
  <c r="M20" i="13"/>
  <c r="M41" i="14"/>
  <c r="M50" i="13"/>
  <c r="M46" i="10"/>
  <c r="M61" i="14"/>
  <c r="Y996" i="24"/>
  <c r="M73" i="14"/>
  <c r="M53" i="10"/>
  <c r="Y1105" i="24"/>
  <c r="M93" i="15"/>
  <c r="Y747" i="24"/>
  <c r="M73" i="11"/>
  <c r="Y220" i="24"/>
  <c r="M31" i="13"/>
  <c r="Y101" i="24"/>
  <c r="M17" i="16"/>
  <c r="Y298" i="24"/>
  <c r="M26" i="16"/>
  <c r="Y415" i="24"/>
  <c r="M35" i="16"/>
  <c r="Y130" i="24"/>
  <c r="M18" i="11"/>
  <c r="Y254" i="24"/>
  <c r="M19" i="17"/>
  <c r="Y1273" i="24"/>
  <c r="M96" i="17"/>
  <c r="Y311" i="24"/>
  <c r="M25" i="20"/>
  <c r="L81" i="23"/>
  <c r="K81" i="23"/>
  <c r="J81" i="23"/>
  <c r="I81" i="23"/>
  <c r="C81" i="23"/>
  <c r="M81" i="23"/>
  <c r="G81" i="23"/>
  <c r="F81" i="23"/>
  <c r="D81" i="23"/>
  <c r="N81" i="23"/>
  <c r="E81" i="23"/>
  <c r="B81" i="23"/>
  <c r="A81" i="23"/>
  <c r="H81" i="23"/>
  <c r="Y624" i="24"/>
  <c r="M51" i="18"/>
  <c r="Y632" i="24"/>
  <c r="M56" i="10"/>
  <c r="F109" i="23"/>
  <c r="G109" i="23"/>
  <c r="B109" i="23"/>
  <c r="J109" i="23"/>
  <c r="E109" i="23"/>
  <c r="D109" i="23"/>
  <c r="A109" i="23"/>
  <c r="M109" i="23"/>
  <c r="N109" i="23"/>
  <c r="L109" i="23"/>
  <c r="I109" i="23"/>
  <c r="C109" i="23"/>
  <c r="H109" i="23"/>
  <c r="K109" i="23"/>
  <c r="Y858" i="24"/>
  <c r="M81" i="13"/>
  <c r="Y1250" i="24"/>
  <c r="M103" i="12"/>
  <c r="H69" i="22"/>
  <c r="J69" i="22"/>
  <c r="N69" i="22"/>
  <c r="K69" i="22"/>
  <c r="I69" i="22"/>
  <c r="A69" i="22"/>
  <c r="G69" i="22"/>
  <c r="E69" i="22"/>
  <c r="B69" i="22"/>
  <c r="F69" i="22"/>
  <c r="C69" i="22"/>
  <c r="M69" i="22"/>
  <c r="L69" i="22"/>
  <c r="D69" i="22"/>
  <c r="K80" i="22"/>
  <c r="B80" i="22"/>
  <c r="M80" i="22"/>
  <c r="I80" i="22"/>
  <c r="H80" i="22"/>
  <c r="C80" i="22"/>
  <c r="N80" i="22"/>
  <c r="A80" i="22"/>
  <c r="L80" i="22"/>
  <c r="D80" i="22"/>
  <c r="J80" i="22"/>
  <c r="G80" i="22"/>
  <c r="F80" i="22"/>
  <c r="E80" i="22"/>
  <c r="F125" i="23"/>
  <c r="G125" i="23"/>
  <c r="E125" i="23"/>
  <c r="N125" i="23"/>
  <c r="M125" i="23"/>
  <c r="I125" i="23"/>
  <c r="K125" i="23"/>
  <c r="J125" i="23"/>
  <c r="D125" i="23"/>
  <c r="L125" i="23"/>
  <c r="C125" i="23"/>
  <c r="B125" i="23"/>
  <c r="A125" i="23"/>
  <c r="H125" i="23"/>
  <c r="Y355" i="24"/>
  <c r="M39" i="15"/>
  <c r="M24" i="22"/>
  <c r="N55" i="22"/>
  <c r="B55" i="22"/>
  <c r="J55" i="22"/>
  <c r="E55" i="22"/>
  <c r="A55" i="22"/>
  <c r="D55" i="22"/>
  <c r="H55" i="22"/>
  <c r="C55" i="22"/>
  <c r="M55" i="22"/>
  <c r="K55" i="22"/>
  <c r="F55" i="22"/>
  <c r="G55" i="22"/>
  <c r="L55" i="22"/>
  <c r="I55" i="22"/>
  <c r="L122" i="19"/>
  <c r="J122" i="19"/>
  <c r="G122" i="19"/>
  <c r="F122" i="19"/>
  <c r="B122" i="19"/>
  <c r="N122" i="19"/>
  <c r="M122" i="19"/>
  <c r="K122" i="19"/>
  <c r="D122" i="19"/>
  <c r="C122" i="19"/>
  <c r="I122" i="19"/>
  <c r="H122" i="19"/>
  <c r="E122" i="19"/>
  <c r="A122" i="19"/>
  <c r="M40" i="19"/>
  <c r="J40" i="19"/>
  <c r="H40" i="19"/>
  <c r="C40" i="19"/>
  <c r="N40" i="19"/>
  <c r="K40" i="19"/>
  <c r="I40" i="19"/>
  <c r="G40" i="19"/>
  <c r="F40" i="19"/>
  <c r="E40" i="19"/>
  <c r="D40" i="19"/>
  <c r="L40" i="19"/>
  <c r="B40" i="19"/>
  <c r="A40" i="19"/>
  <c r="N62" i="18"/>
  <c r="K62" i="18"/>
  <c r="H62" i="18"/>
  <c r="F62" i="18"/>
  <c r="E62" i="18"/>
  <c r="B62" i="18"/>
  <c r="A62" i="18"/>
  <c r="M62" i="18"/>
  <c r="L62" i="18"/>
  <c r="J62" i="18"/>
  <c r="G62" i="18"/>
  <c r="D62" i="18"/>
  <c r="I62" i="18"/>
  <c r="C62" i="18"/>
  <c r="A110" i="20"/>
  <c r="B110" i="20"/>
  <c r="M110" i="20"/>
  <c r="I110" i="20"/>
  <c r="G110" i="20"/>
  <c r="E110" i="20"/>
  <c r="D110" i="20"/>
  <c r="C110" i="20"/>
  <c r="L110" i="20"/>
  <c r="K110" i="20"/>
  <c r="N110" i="20"/>
  <c r="J110" i="20"/>
  <c r="H110" i="20"/>
  <c r="F110" i="20"/>
  <c r="I68" i="20"/>
  <c r="E68" i="20"/>
  <c r="C68" i="20"/>
  <c r="A68" i="20"/>
  <c r="N68" i="20"/>
  <c r="M68" i="20"/>
  <c r="L68" i="20"/>
  <c r="K68" i="20"/>
  <c r="G68" i="20"/>
  <c r="H68" i="20"/>
  <c r="F68" i="20"/>
  <c r="D68" i="20"/>
  <c r="B68" i="20"/>
  <c r="J68" i="20"/>
  <c r="J54" i="19"/>
  <c r="H54" i="19"/>
  <c r="G54" i="19"/>
  <c r="C54" i="19"/>
  <c r="B54" i="19"/>
  <c r="A54" i="19"/>
  <c r="L54" i="19"/>
  <c r="K54" i="19"/>
  <c r="I54" i="19"/>
  <c r="E54" i="19"/>
  <c r="D54" i="19"/>
  <c r="M54" i="19"/>
  <c r="F54" i="19"/>
  <c r="N54" i="19"/>
  <c r="A62" i="20"/>
  <c r="N62" i="20"/>
  <c r="M62" i="20"/>
  <c r="D62" i="20"/>
  <c r="C62" i="20"/>
  <c r="L62" i="20"/>
  <c r="K62" i="20"/>
  <c r="J62" i="20"/>
  <c r="I62" i="20"/>
  <c r="E62" i="20"/>
  <c r="B62" i="20"/>
  <c r="H62" i="20"/>
  <c r="G62" i="20"/>
  <c r="F62" i="20"/>
  <c r="M56" i="20"/>
  <c r="K56" i="20"/>
  <c r="J56" i="20"/>
  <c r="I56" i="20"/>
  <c r="H56" i="20"/>
  <c r="G56" i="20"/>
  <c r="N56" i="20"/>
  <c r="L56" i="20"/>
  <c r="F56" i="20"/>
  <c r="E56" i="20"/>
  <c r="B56" i="20"/>
  <c r="D56" i="20"/>
  <c r="C56" i="20"/>
  <c r="A56" i="20"/>
  <c r="K60" i="22"/>
  <c r="N60" i="22"/>
  <c r="L60" i="22"/>
  <c r="H60" i="22"/>
  <c r="G60" i="22"/>
  <c r="M60" i="22"/>
  <c r="D60" i="22"/>
  <c r="A60" i="22"/>
  <c r="C60" i="22"/>
  <c r="B60" i="22"/>
  <c r="E60" i="22"/>
  <c r="J60" i="22"/>
  <c r="I60" i="22"/>
  <c r="F60" i="22"/>
  <c r="E94" i="21"/>
  <c r="J94" i="21"/>
  <c r="A94" i="21"/>
  <c r="C94" i="21"/>
  <c r="L94" i="21"/>
  <c r="H94" i="21"/>
  <c r="G94" i="21"/>
  <c r="D94" i="21"/>
  <c r="I94" i="21"/>
  <c r="F94" i="21"/>
  <c r="B94" i="21"/>
  <c r="N94" i="21"/>
  <c r="M94" i="21"/>
  <c r="K94" i="21"/>
  <c r="I111" i="20"/>
  <c r="K111" i="20"/>
  <c r="C111" i="20"/>
  <c r="N111" i="20"/>
  <c r="D111" i="20"/>
  <c r="M111" i="20"/>
  <c r="L111" i="20"/>
  <c r="H111" i="20"/>
  <c r="G111" i="20"/>
  <c r="F111" i="20"/>
  <c r="E111" i="20"/>
  <c r="B111" i="20"/>
  <c r="A111" i="20"/>
  <c r="J111" i="20"/>
  <c r="E126" i="21"/>
  <c r="B126" i="21"/>
  <c r="J126" i="21"/>
  <c r="G126" i="21"/>
  <c r="A126" i="21"/>
  <c r="I126" i="21"/>
  <c r="N126" i="21"/>
  <c r="M126" i="21"/>
  <c r="L126" i="21"/>
  <c r="K126" i="21"/>
  <c r="H126" i="21"/>
  <c r="F126" i="21"/>
  <c r="D126" i="21"/>
  <c r="C126" i="21"/>
  <c r="F117" i="23"/>
  <c r="A117" i="23"/>
  <c r="C117" i="23"/>
  <c r="N117" i="23"/>
  <c r="H117" i="23"/>
  <c r="B117" i="23"/>
  <c r="M117" i="23"/>
  <c r="J117" i="23"/>
  <c r="L117" i="23"/>
  <c r="K117" i="23"/>
  <c r="I117" i="23"/>
  <c r="E117" i="23"/>
  <c r="D117" i="23"/>
  <c r="G117" i="23"/>
  <c r="M59" i="15"/>
  <c r="M85" i="16"/>
  <c r="M75" i="16"/>
  <c r="M75" i="13"/>
  <c r="M48" i="15"/>
  <c r="M95" i="11"/>
  <c r="M105" i="15"/>
  <c r="M73" i="12"/>
  <c r="M79" i="11"/>
  <c r="M10" i="11"/>
  <c r="M49" i="10"/>
  <c r="M38" i="10"/>
  <c r="Y288" i="24"/>
  <c r="M22" i="14"/>
  <c r="Y937" i="24"/>
  <c r="M66" i="14"/>
  <c r="Y1183" i="24"/>
  <c r="M88" i="14"/>
  <c r="Y1109" i="24"/>
  <c r="M92" i="13"/>
  <c r="Y1135" i="24"/>
  <c r="M96" i="13"/>
  <c r="Y973" i="24"/>
  <c r="M86" i="11"/>
  <c r="Y1064" i="24"/>
  <c r="M79" i="17"/>
  <c r="Y612" i="24"/>
  <c r="M46" i="14"/>
  <c r="Y672" i="24"/>
  <c r="Y405" i="24"/>
  <c r="M34" i="10"/>
  <c r="Y174" i="24"/>
  <c r="M20" i="20"/>
  <c r="Y583" i="24"/>
  <c r="M51" i="16"/>
  <c r="Y1033" i="24"/>
  <c r="M76" i="17"/>
  <c r="Y54" i="24"/>
  <c r="M13" i="13"/>
  <c r="F14" i="23"/>
  <c r="B14" i="23"/>
  <c r="N14" i="23"/>
  <c r="E14" i="23"/>
  <c r="G14" i="23"/>
  <c r="C14" i="23"/>
  <c r="K14" i="23"/>
  <c r="I14" i="23"/>
  <c r="A14" i="23"/>
  <c r="J14" i="23"/>
  <c r="H14" i="23"/>
  <c r="D14" i="23"/>
  <c r="M14" i="23"/>
  <c r="L14" i="23"/>
  <c r="C124" i="23"/>
  <c r="G124" i="23"/>
  <c r="B124" i="23"/>
  <c r="E124" i="23"/>
  <c r="H124" i="23"/>
  <c r="A124" i="23"/>
  <c r="N124" i="23"/>
  <c r="F124" i="23"/>
  <c r="J124" i="23"/>
  <c r="I124" i="23"/>
  <c r="M124" i="23"/>
  <c r="K124" i="23"/>
  <c r="D124" i="23"/>
  <c r="L124" i="23"/>
  <c r="Y251" i="24"/>
  <c r="M34" i="13"/>
  <c r="K108" i="23"/>
  <c r="G108" i="23"/>
  <c r="J108" i="23"/>
  <c r="C108" i="23"/>
  <c r="N108" i="23"/>
  <c r="H108" i="23"/>
  <c r="L108" i="23"/>
  <c r="F108" i="23"/>
  <c r="B108" i="23"/>
  <c r="A108" i="23"/>
  <c r="M108" i="23"/>
  <c r="I108" i="23"/>
  <c r="E108" i="23"/>
  <c r="D108" i="23"/>
  <c r="Y1211" i="24"/>
  <c r="M99" i="12"/>
  <c r="C42" i="23"/>
  <c r="E42" i="23"/>
  <c r="I42" i="23"/>
  <c r="F42" i="23"/>
  <c r="D42" i="23"/>
  <c r="K42" i="23"/>
  <c r="M42" i="23"/>
  <c r="A42" i="23"/>
  <c r="N42" i="23"/>
  <c r="L42" i="23"/>
  <c r="H42" i="23"/>
  <c r="G42" i="23"/>
  <c r="B42" i="23"/>
  <c r="J42" i="23"/>
  <c r="K64" i="22"/>
  <c r="F64" i="22"/>
  <c r="G64" i="22"/>
  <c r="C64" i="22"/>
  <c r="B64" i="22"/>
  <c r="L64" i="22"/>
  <c r="I64" i="22"/>
  <c r="D64" i="22"/>
  <c r="N64" i="22"/>
  <c r="H64" i="22"/>
  <c r="J64" i="22"/>
  <c r="A64" i="22"/>
  <c r="M64" i="22"/>
  <c r="E64" i="22"/>
  <c r="Y83" i="24"/>
  <c r="M17" i="15"/>
  <c r="L130" i="19"/>
  <c r="J130" i="19"/>
  <c r="G130" i="19"/>
  <c r="F130" i="19"/>
  <c r="C130" i="19"/>
  <c r="A130" i="19"/>
  <c r="N130" i="19"/>
  <c r="M130" i="19"/>
  <c r="K130" i="19"/>
  <c r="I130" i="19"/>
  <c r="B130" i="19"/>
  <c r="H130" i="19"/>
  <c r="E130" i="19"/>
  <c r="D130" i="19"/>
  <c r="N79" i="21"/>
  <c r="I79" i="21"/>
  <c r="A79" i="21"/>
  <c r="G79" i="21"/>
  <c r="F79" i="21"/>
  <c r="E79" i="21"/>
  <c r="D79" i="21"/>
  <c r="M79" i="21"/>
  <c r="K79" i="21"/>
  <c r="L79" i="21"/>
  <c r="J79" i="21"/>
  <c r="H79" i="21"/>
  <c r="C79" i="21"/>
  <c r="B79" i="21"/>
  <c r="F124" i="20"/>
  <c r="I124" i="20"/>
  <c r="J124" i="20"/>
  <c r="N124" i="20"/>
  <c r="L124" i="20"/>
  <c r="K124" i="20"/>
  <c r="H124" i="20"/>
  <c r="G124" i="20"/>
  <c r="E124" i="20"/>
  <c r="D124" i="20"/>
  <c r="C124" i="20"/>
  <c r="A124" i="20"/>
  <c r="M124" i="20"/>
  <c r="B124" i="20"/>
  <c r="J55" i="20"/>
  <c r="F55" i="20"/>
  <c r="D55" i="20"/>
  <c r="B55" i="20"/>
  <c r="A55" i="20"/>
  <c r="N55" i="20"/>
  <c r="M55" i="20"/>
  <c r="L55" i="20"/>
  <c r="K55" i="20"/>
  <c r="I55" i="20"/>
  <c r="H55" i="20"/>
  <c r="G55" i="20"/>
  <c r="E55" i="20"/>
  <c r="C55" i="20"/>
  <c r="N70" i="18"/>
  <c r="K70" i="18"/>
  <c r="H70" i="18"/>
  <c r="F70" i="18"/>
  <c r="E70" i="18"/>
  <c r="L70" i="18"/>
  <c r="J70" i="18"/>
  <c r="D70" i="18"/>
  <c r="C70" i="18"/>
  <c r="B70" i="18"/>
  <c r="A70" i="18"/>
  <c r="I70" i="18"/>
  <c r="G70" i="18"/>
  <c r="M70" i="18"/>
  <c r="J50" i="19"/>
  <c r="G50" i="19"/>
  <c r="K50" i="19"/>
  <c r="N50" i="19"/>
  <c r="M50" i="19"/>
  <c r="L50" i="19"/>
  <c r="B50" i="19"/>
  <c r="A50" i="19"/>
  <c r="I50" i="19"/>
  <c r="H50" i="19"/>
  <c r="F50" i="19"/>
  <c r="E50" i="19"/>
  <c r="D50" i="19"/>
  <c r="C50" i="19"/>
  <c r="E120" i="20"/>
  <c r="A120" i="20"/>
  <c r="L120" i="20"/>
  <c r="N120" i="20"/>
  <c r="K120" i="20"/>
  <c r="I120" i="20"/>
  <c r="H120" i="20"/>
  <c r="G120" i="20"/>
  <c r="F120" i="20"/>
  <c r="D120" i="20"/>
  <c r="M120" i="20"/>
  <c r="J120" i="20"/>
  <c r="C120" i="20"/>
  <c r="B120" i="20"/>
  <c r="D68" i="19"/>
  <c r="A68" i="19"/>
  <c r="J68" i="19"/>
  <c r="H68" i="19"/>
  <c r="G68" i="19"/>
  <c r="B68" i="19"/>
  <c r="N68" i="19"/>
  <c r="M68" i="19"/>
  <c r="L68" i="19"/>
  <c r="K68" i="19"/>
  <c r="I68" i="19"/>
  <c r="F68" i="19"/>
  <c r="E68" i="19"/>
  <c r="C68" i="19"/>
  <c r="F96" i="20"/>
  <c r="A96" i="20"/>
  <c r="N96" i="20"/>
  <c r="M96" i="20"/>
  <c r="L96" i="20"/>
  <c r="K96" i="20"/>
  <c r="I96" i="20"/>
  <c r="H96" i="20"/>
  <c r="J96" i="20"/>
  <c r="G96" i="20"/>
  <c r="E96" i="20"/>
  <c r="D96" i="20"/>
  <c r="C96" i="20"/>
  <c r="B96" i="20"/>
  <c r="M64" i="20"/>
  <c r="K64" i="20"/>
  <c r="J64" i="20"/>
  <c r="I64" i="20"/>
  <c r="H64" i="20"/>
  <c r="G64" i="20"/>
  <c r="F64" i="20"/>
  <c r="E64" i="20"/>
  <c r="C64" i="20"/>
  <c r="A64" i="20"/>
  <c r="N64" i="20"/>
  <c r="L64" i="20"/>
  <c r="D64" i="20"/>
  <c r="B64" i="20"/>
  <c r="E90" i="22"/>
  <c r="I90" i="22"/>
  <c r="D90" i="22"/>
  <c r="F90" i="22"/>
  <c r="A90" i="22"/>
  <c r="J90" i="22"/>
  <c r="C90" i="22"/>
  <c r="H90" i="22"/>
  <c r="G90" i="22"/>
  <c r="K90" i="22"/>
  <c r="N90" i="22"/>
  <c r="M90" i="22"/>
  <c r="L90" i="22"/>
  <c r="B90" i="22"/>
  <c r="K100" i="22"/>
  <c r="N100" i="22"/>
  <c r="M100" i="22"/>
  <c r="I100" i="22"/>
  <c r="H100" i="22"/>
  <c r="L100" i="22"/>
  <c r="F100" i="22"/>
  <c r="C100" i="22"/>
  <c r="A100" i="22"/>
  <c r="J100" i="22"/>
  <c r="G100" i="22"/>
  <c r="B100" i="22"/>
  <c r="D100" i="22"/>
  <c r="E100" i="22"/>
  <c r="F116" i="20"/>
  <c r="K116" i="20"/>
  <c r="C116" i="20"/>
  <c r="L116" i="20"/>
  <c r="I116" i="20"/>
  <c r="G116" i="20"/>
  <c r="E116" i="20"/>
  <c r="D116" i="20"/>
  <c r="B116" i="20"/>
  <c r="A116" i="20"/>
  <c r="N116" i="20"/>
  <c r="M116" i="20"/>
  <c r="J116" i="20"/>
  <c r="H116" i="20"/>
  <c r="K16" i="22"/>
  <c r="M16" i="22"/>
  <c r="L16" i="22"/>
  <c r="J16" i="22"/>
  <c r="D16" i="22"/>
  <c r="C16" i="22"/>
  <c r="B16" i="22"/>
  <c r="N16" i="22"/>
  <c r="I16" i="22"/>
  <c r="H16" i="22"/>
  <c r="G16" i="22"/>
  <c r="F16" i="22"/>
  <c r="E16" i="22"/>
  <c r="A16" i="22"/>
  <c r="E106" i="22"/>
  <c r="D106" i="22"/>
  <c r="G106" i="22"/>
  <c r="F106" i="22"/>
  <c r="A106" i="22"/>
  <c r="C106" i="22"/>
  <c r="B106" i="22"/>
  <c r="N106" i="22"/>
  <c r="K106" i="22"/>
  <c r="J106" i="22"/>
  <c r="I106" i="22"/>
  <c r="L106" i="22"/>
  <c r="H106" i="22"/>
  <c r="M106" i="22"/>
  <c r="M67" i="19"/>
  <c r="M61" i="18"/>
  <c r="M41" i="18"/>
  <c r="M23" i="18"/>
  <c r="M50" i="17"/>
  <c r="M92" i="16"/>
  <c r="M85" i="15"/>
  <c r="M100" i="15"/>
  <c r="M19" i="16"/>
  <c r="M70" i="16"/>
  <c r="M77" i="13"/>
  <c r="M59" i="13"/>
  <c r="M26" i="15"/>
  <c r="M65" i="13"/>
  <c r="M53" i="16"/>
  <c r="M69" i="10"/>
  <c r="M87" i="10"/>
  <c r="M94" i="13"/>
  <c r="M67" i="13"/>
  <c r="M47" i="12"/>
  <c r="M62" i="12"/>
  <c r="Y438" i="24"/>
  <c r="M36" i="14"/>
  <c r="M77" i="12"/>
  <c r="Y1248" i="24"/>
  <c r="M102" i="12"/>
  <c r="Y694" i="24"/>
  <c r="M71" i="11"/>
  <c r="Y503" i="24"/>
  <c r="M37" i="14"/>
  <c r="Y136" i="24"/>
  <c r="M21" i="11"/>
  <c r="Y940" i="24"/>
  <c r="M83" i="11"/>
  <c r="Y631" i="24"/>
  <c r="M56" i="16"/>
  <c r="Y1344" i="24"/>
  <c r="M72" i="16"/>
  <c r="K22" i="23"/>
  <c r="G22" i="23"/>
  <c r="A22" i="23"/>
  <c r="C22" i="23"/>
  <c r="J22" i="23"/>
  <c r="N22" i="23"/>
  <c r="I22" i="23"/>
  <c r="H22" i="23"/>
  <c r="D22" i="23"/>
  <c r="M22" i="23"/>
  <c r="L22" i="23"/>
  <c r="F22" i="23"/>
  <c r="E22" i="23"/>
  <c r="B22" i="23"/>
  <c r="Y661" i="24"/>
  <c r="M56" i="18"/>
  <c r="Y424" i="24"/>
  <c r="M36" i="10"/>
  <c r="B84" i="23"/>
  <c r="I84" i="23"/>
  <c r="J84" i="23"/>
  <c r="F84" i="23"/>
  <c r="E84" i="23"/>
  <c r="A84" i="23"/>
  <c r="D84" i="23"/>
  <c r="N84" i="23"/>
  <c r="K84" i="23"/>
  <c r="L84" i="23"/>
  <c r="M84" i="23"/>
  <c r="H84" i="23"/>
  <c r="G84" i="23"/>
  <c r="C84" i="23"/>
  <c r="Y1317" i="24"/>
  <c r="M104" i="13"/>
  <c r="M41" i="23"/>
  <c r="J41" i="23"/>
  <c r="F41" i="23"/>
  <c r="I41" i="23"/>
  <c r="N41" i="23"/>
  <c r="C41" i="23"/>
  <c r="B41" i="23"/>
  <c r="K41" i="23"/>
  <c r="H41" i="23"/>
  <c r="G41" i="23"/>
  <c r="A41" i="23"/>
  <c r="D41" i="23"/>
  <c r="L41" i="23"/>
  <c r="E41" i="23"/>
  <c r="Y241" i="24"/>
  <c r="M31" i="12"/>
  <c r="M104" i="12"/>
  <c r="I128" i="23"/>
  <c r="L128" i="23"/>
  <c r="N128" i="23"/>
  <c r="C128" i="23"/>
  <c r="M128" i="23"/>
  <c r="K128" i="23"/>
  <c r="J128" i="23"/>
  <c r="H128" i="23"/>
  <c r="D128" i="23"/>
  <c r="G128" i="23"/>
  <c r="E128" i="23"/>
  <c r="A128" i="23"/>
  <c r="F128" i="23"/>
  <c r="B128" i="23"/>
  <c r="Q33" i="4"/>
  <c r="T28" i="4"/>
  <c r="Q25" i="4"/>
  <c r="T20" i="4"/>
  <c r="Q17" i="4"/>
  <c r="T12" i="4"/>
  <c r="Q9" i="4"/>
  <c r="P33" i="4"/>
  <c r="S28" i="4"/>
  <c r="P25" i="4"/>
  <c r="S20" i="4"/>
  <c r="P17" i="4"/>
  <c r="S12" i="4"/>
  <c r="P9" i="4"/>
  <c r="R28" i="4"/>
  <c r="T31" i="4"/>
  <c r="Q28" i="4"/>
  <c r="T23" i="4"/>
  <c r="Q20" i="4"/>
  <c r="T15" i="4"/>
  <c r="Q12" i="4"/>
  <c r="T7" i="4"/>
  <c r="S31" i="4"/>
  <c r="P28" i="4"/>
  <c r="S23" i="4"/>
  <c r="P20" i="4"/>
  <c r="S15" i="4"/>
  <c r="P12" i="4"/>
  <c r="S7" i="4"/>
  <c r="R31" i="4"/>
  <c r="R23" i="4"/>
  <c r="T34" i="4"/>
  <c r="Q31" i="4"/>
  <c r="T26" i="4"/>
  <c r="Q23" i="4"/>
  <c r="T18" i="4"/>
  <c r="Q15" i="4"/>
  <c r="T10" i="4"/>
  <c r="Q7" i="4"/>
  <c r="S34" i="4"/>
  <c r="P31" i="4"/>
  <c r="S26" i="4"/>
  <c r="P23" i="4"/>
  <c r="S18" i="4"/>
  <c r="P15" i="4"/>
  <c r="S10" i="4"/>
  <c r="P7" i="4"/>
  <c r="R34" i="4"/>
  <c r="R26" i="4"/>
  <c r="R18" i="4"/>
  <c r="Q34" i="4"/>
  <c r="T29" i="4"/>
  <c r="Q26" i="4"/>
  <c r="T21" i="4"/>
  <c r="Q18" i="4"/>
  <c r="T13" i="4"/>
  <c r="Q10" i="4"/>
  <c r="P34" i="4"/>
  <c r="S29" i="4"/>
  <c r="P26" i="4"/>
  <c r="S21" i="4"/>
  <c r="P18" i="4"/>
  <c r="S13" i="4"/>
  <c r="P10" i="4"/>
  <c r="R29" i="4"/>
  <c r="R21" i="4"/>
  <c r="T32" i="4"/>
  <c r="Q29" i="4"/>
  <c r="T24" i="4"/>
  <c r="Q21" i="4"/>
  <c r="T16" i="4"/>
  <c r="Q13" i="4"/>
  <c r="T8" i="4"/>
  <c r="S32" i="4"/>
  <c r="P29" i="4"/>
  <c r="S24" i="4"/>
  <c r="P21" i="4"/>
  <c r="S16" i="4"/>
  <c r="P13" i="4"/>
  <c r="S8" i="4"/>
  <c r="R35" i="4"/>
  <c r="R27" i="4"/>
  <c r="R19" i="4"/>
  <c r="R11" i="4"/>
  <c r="T30" i="4"/>
  <c r="R24" i="4"/>
  <c r="S22" i="4"/>
  <c r="R20" i="4"/>
  <c r="R16" i="4"/>
  <c r="T14" i="4"/>
  <c r="R32" i="4"/>
  <c r="S30" i="4"/>
  <c r="Q24" i="4"/>
  <c r="R22" i="4"/>
  <c r="Q16" i="4"/>
  <c r="S14" i="4"/>
  <c r="Q32" i="4"/>
  <c r="R30" i="4"/>
  <c r="P24" i="4"/>
  <c r="Q22" i="4"/>
  <c r="P16" i="4"/>
  <c r="R14" i="4"/>
  <c r="R12" i="4"/>
  <c r="P32" i="4"/>
  <c r="Q30" i="4"/>
  <c r="P22" i="4"/>
  <c r="Q14" i="4"/>
  <c r="R10" i="4"/>
  <c r="R8" i="4"/>
  <c r="T6" i="4"/>
  <c r="Q6" i="4"/>
  <c r="P6" i="4"/>
  <c r="T35" i="4"/>
  <c r="T33" i="4"/>
  <c r="S35" i="4"/>
  <c r="S33" i="4"/>
  <c r="T22" i="4"/>
  <c r="Q35" i="4"/>
  <c r="R33" i="4"/>
  <c r="T11" i="4"/>
  <c r="T9" i="4"/>
  <c r="P35" i="4"/>
  <c r="S11" i="4"/>
  <c r="S9" i="4"/>
  <c r="R7" i="4"/>
  <c r="Q11" i="4"/>
  <c r="R9" i="4"/>
  <c r="R13" i="4"/>
  <c r="P11" i="4"/>
  <c r="R15" i="4"/>
  <c r="T19" i="4"/>
  <c r="T17" i="4"/>
  <c r="P30" i="4"/>
  <c r="S19" i="4"/>
  <c r="S17" i="4"/>
  <c r="Q19" i="4"/>
  <c r="R17" i="4"/>
  <c r="P19" i="4"/>
  <c r="Q8" i="4"/>
  <c r="R6" i="4"/>
  <c r="T27" i="4"/>
  <c r="T25" i="4"/>
  <c r="P8" i="4"/>
  <c r="S27" i="4"/>
  <c r="S25" i="4"/>
  <c r="Q27" i="4"/>
  <c r="R25" i="4"/>
  <c r="P14" i="4"/>
  <c r="P27" i="4"/>
  <c r="S6" i="4"/>
  <c r="F53" i="23"/>
  <c r="I53" i="23"/>
  <c r="N53" i="23"/>
  <c r="J53" i="23"/>
  <c r="H53" i="23"/>
  <c r="B53" i="23"/>
  <c r="L53" i="23"/>
  <c r="E53" i="23"/>
  <c r="C53" i="23"/>
  <c r="M53" i="23"/>
  <c r="K53" i="23"/>
  <c r="G53" i="23"/>
  <c r="D53" i="23"/>
  <c r="A53" i="23"/>
  <c r="E66" i="22"/>
  <c r="B66" i="22"/>
  <c r="D66" i="22"/>
  <c r="A66" i="22"/>
  <c r="N66" i="22"/>
  <c r="K66" i="22"/>
  <c r="C66" i="22"/>
  <c r="L66" i="22"/>
  <c r="J66" i="22"/>
  <c r="G66" i="22"/>
  <c r="I66" i="22"/>
  <c r="H66" i="22"/>
  <c r="F66" i="22"/>
  <c r="M66" i="22"/>
  <c r="M28" i="23"/>
  <c r="Y273" i="24"/>
  <c r="M35" i="15"/>
  <c r="Y854" i="24"/>
  <c r="M74" i="15"/>
  <c r="M44" i="19"/>
  <c r="M80" i="18"/>
  <c r="E118" i="21"/>
  <c r="L118" i="21"/>
  <c r="K118" i="21"/>
  <c r="N118" i="21"/>
  <c r="C118" i="21"/>
  <c r="I118" i="21"/>
  <c r="J118" i="21"/>
  <c r="B118" i="21"/>
  <c r="H118" i="21"/>
  <c r="D118" i="21"/>
  <c r="A118" i="21"/>
  <c r="M118" i="21"/>
  <c r="G118" i="21"/>
  <c r="F118" i="21"/>
  <c r="D66" i="21"/>
  <c r="L66" i="21"/>
  <c r="K66" i="21"/>
  <c r="J66" i="21"/>
  <c r="E66" i="21"/>
  <c r="B66" i="21"/>
  <c r="H66" i="21"/>
  <c r="C66" i="21"/>
  <c r="A66" i="21"/>
  <c r="N66" i="21"/>
  <c r="M66" i="21"/>
  <c r="I66" i="21"/>
  <c r="G66" i="21"/>
  <c r="F66" i="21"/>
  <c r="N103" i="21"/>
  <c r="M103" i="21"/>
  <c r="G103" i="21"/>
  <c r="K103" i="21"/>
  <c r="L103" i="21"/>
  <c r="E103" i="21"/>
  <c r="B103" i="21"/>
  <c r="J103" i="21"/>
  <c r="F103" i="21"/>
  <c r="D103" i="21"/>
  <c r="A103" i="21"/>
  <c r="I103" i="21"/>
  <c r="H103" i="21"/>
  <c r="C103" i="21"/>
  <c r="L114" i="18"/>
  <c r="M114" i="18"/>
  <c r="E114" i="18"/>
  <c r="N114" i="18"/>
  <c r="J114" i="18"/>
  <c r="I114" i="18"/>
  <c r="F114" i="18"/>
  <c r="D114" i="18"/>
  <c r="C114" i="18"/>
  <c r="B114" i="18"/>
  <c r="K114" i="18"/>
  <c r="H114" i="18"/>
  <c r="A114" i="18"/>
  <c r="G114" i="18"/>
  <c r="K78" i="19"/>
  <c r="L78" i="19"/>
  <c r="J78" i="19"/>
  <c r="I78" i="19"/>
  <c r="H78" i="19"/>
  <c r="G78" i="19"/>
  <c r="F78" i="19"/>
  <c r="E78" i="19"/>
  <c r="D78" i="19"/>
  <c r="C78" i="19"/>
  <c r="B78" i="19"/>
  <c r="A78" i="19"/>
  <c r="N78" i="19"/>
  <c r="M78" i="19"/>
  <c r="I56" i="21"/>
  <c r="A56" i="21"/>
  <c r="F56" i="21"/>
  <c r="K56" i="21"/>
  <c r="N56" i="21"/>
  <c r="L56" i="21"/>
  <c r="M56" i="21"/>
  <c r="J56" i="21"/>
  <c r="H56" i="21"/>
  <c r="G56" i="21"/>
  <c r="E56" i="21"/>
  <c r="D56" i="21"/>
  <c r="C56" i="21"/>
  <c r="B56" i="21"/>
  <c r="F94" i="19"/>
  <c r="L94" i="19"/>
  <c r="J94" i="19"/>
  <c r="H94" i="19"/>
  <c r="G94" i="19"/>
  <c r="B94" i="19"/>
  <c r="C94" i="19"/>
  <c r="A94" i="19"/>
  <c r="K94" i="19"/>
  <c r="I94" i="19"/>
  <c r="E94" i="19"/>
  <c r="D94" i="19"/>
  <c r="N94" i="19"/>
  <c r="M94" i="19"/>
  <c r="J57" i="21"/>
  <c r="G57" i="21"/>
  <c r="K57" i="21"/>
  <c r="I57" i="21"/>
  <c r="H57" i="21"/>
  <c r="C57" i="21"/>
  <c r="B57" i="21"/>
  <c r="A57" i="21"/>
  <c r="M57" i="21"/>
  <c r="F57" i="21"/>
  <c r="E57" i="21"/>
  <c r="N57" i="21"/>
  <c r="L57" i="21"/>
  <c r="D57" i="21"/>
  <c r="C69" i="20"/>
  <c r="M69" i="20"/>
  <c r="K69" i="20"/>
  <c r="J69" i="20"/>
  <c r="I69" i="20"/>
  <c r="H69" i="20"/>
  <c r="G69" i="20"/>
  <c r="F69" i="20"/>
  <c r="E69" i="20"/>
  <c r="B69" i="20"/>
  <c r="N69" i="20"/>
  <c r="L69" i="20"/>
  <c r="D69" i="20"/>
  <c r="A69" i="20"/>
  <c r="L43" i="21"/>
  <c r="D43" i="21"/>
  <c r="A43" i="21"/>
  <c r="I43" i="21"/>
  <c r="N43" i="21"/>
  <c r="M43" i="21"/>
  <c r="K43" i="21"/>
  <c r="E43" i="21"/>
  <c r="H43" i="21"/>
  <c r="J43" i="21"/>
  <c r="G43" i="21"/>
  <c r="F43" i="21"/>
  <c r="C43" i="21"/>
  <c r="B43" i="21"/>
  <c r="N82" i="21"/>
  <c r="F82" i="21"/>
  <c r="C82" i="21"/>
  <c r="K82" i="21"/>
  <c r="G82" i="21"/>
  <c r="H82" i="21"/>
  <c r="L82" i="21"/>
  <c r="I82" i="21"/>
  <c r="B82" i="21"/>
  <c r="M82" i="21"/>
  <c r="J82" i="21"/>
  <c r="E82" i="21"/>
  <c r="D82" i="21"/>
  <c r="A82" i="21"/>
  <c r="C121" i="20"/>
  <c r="K121" i="20"/>
  <c r="D121" i="20"/>
  <c r="G121" i="20"/>
  <c r="E121" i="20"/>
  <c r="I121" i="20"/>
  <c r="H121" i="20"/>
  <c r="B121" i="20"/>
  <c r="A121" i="20"/>
  <c r="F121" i="20"/>
  <c r="N121" i="20"/>
  <c r="M121" i="20"/>
  <c r="L121" i="20"/>
  <c r="J121" i="20"/>
  <c r="H57" i="22"/>
  <c r="F57" i="22"/>
  <c r="B57" i="22"/>
  <c r="G57" i="22"/>
  <c r="C57" i="22"/>
  <c r="A57" i="22"/>
  <c r="N57" i="22"/>
  <c r="K57" i="22"/>
  <c r="E57" i="22"/>
  <c r="M57" i="22"/>
  <c r="L57" i="22"/>
  <c r="J57" i="22"/>
  <c r="I57" i="22"/>
  <c r="D57" i="22"/>
  <c r="B112" i="21"/>
  <c r="A112" i="21"/>
  <c r="L112" i="21"/>
  <c r="I112" i="21"/>
  <c r="C112" i="21"/>
  <c r="G112" i="21"/>
  <c r="E112" i="21"/>
  <c r="D112" i="21"/>
  <c r="M112" i="21"/>
  <c r="J112" i="21"/>
  <c r="K112" i="21"/>
  <c r="H112" i="21"/>
  <c r="N112" i="21"/>
  <c r="F112" i="21"/>
  <c r="M85" i="17"/>
  <c r="M60" i="16"/>
  <c r="M80" i="17"/>
  <c r="M34" i="17"/>
  <c r="M64" i="13"/>
  <c r="M107" i="11"/>
  <c r="M58" i="13"/>
  <c r="M70" i="11"/>
  <c r="M32" i="10"/>
  <c r="M100" i="10"/>
  <c r="Y408" i="24"/>
  <c r="M33" i="14"/>
  <c r="Y1027" i="24"/>
  <c r="M80" i="14"/>
  <c r="Y1215" i="24"/>
  <c r="M101" i="12"/>
  <c r="Y965" i="24"/>
  <c r="M82" i="16"/>
  <c r="Y572" i="24"/>
  <c r="M43" i="18"/>
  <c r="Y587" i="24"/>
  <c r="M64" i="11"/>
  <c r="Y726" i="24"/>
  <c r="M71" i="13"/>
  <c r="Y353" i="24"/>
  <c r="M27" i="14"/>
  <c r="Y1330" i="24"/>
  <c r="M108" i="11"/>
  <c r="C30" i="23"/>
  <c r="N30" i="23"/>
  <c r="A30" i="23"/>
  <c r="B30" i="23"/>
  <c r="D30" i="23"/>
  <c r="L30" i="23"/>
  <c r="I30" i="23"/>
  <c r="G30" i="23"/>
  <c r="K30" i="23"/>
  <c r="J30" i="23"/>
  <c r="H30" i="23"/>
  <c r="F30" i="23"/>
  <c r="E30" i="23"/>
  <c r="M30" i="23"/>
  <c r="Y163" i="24"/>
  <c r="M20" i="18"/>
  <c r="Y767" i="24"/>
  <c r="M66" i="18"/>
  <c r="M121" i="23"/>
  <c r="J121" i="23"/>
  <c r="D121" i="23"/>
  <c r="K121" i="23"/>
  <c r="L121" i="23"/>
  <c r="G121" i="23"/>
  <c r="F121" i="23"/>
  <c r="C121" i="23"/>
  <c r="B121" i="23"/>
  <c r="A121" i="23"/>
  <c r="I121" i="23"/>
  <c r="H121" i="23"/>
  <c r="E121" i="23"/>
  <c r="N121" i="23"/>
  <c r="Y728" i="24"/>
  <c r="M72" i="13"/>
  <c r="K96" i="22"/>
  <c r="N96" i="22"/>
  <c r="J96" i="22"/>
  <c r="L96" i="22"/>
  <c r="I96" i="22"/>
  <c r="E96" i="22"/>
  <c r="G96" i="22"/>
  <c r="B96" i="22"/>
  <c r="M96" i="22"/>
  <c r="H96" i="22"/>
  <c r="F96" i="22"/>
  <c r="C96" i="22"/>
  <c r="A96" i="22"/>
  <c r="D96" i="22"/>
  <c r="Y283" i="24"/>
  <c r="M35" i="12"/>
  <c r="Y1314" i="24"/>
  <c r="M106" i="12"/>
  <c r="H113" i="22"/>
  <c r="D113" i="22"/>
  <c r="K113" i="22"/>
  <c r="J113" i="22"/>
  <c r="F113" i="22"/>
  <c r="E113" i="22"/>
  <c r="L113" i="22"/>
  <c r="C113" i="22"/>
  <c r="A113" i="22"/>
  <c r="I113" i="22"/>
  <c r="G113" i="22"/>
  <c r="B113" i="22"/>
  <c r="N113" i="22"/>
  <c r="M113" i="22"/>
  <c r="I64" i="23"/>
  <c r="E64" i="23"/>
  <c r="A64" i="23"/>
  <c r="N64" i="23"/>
  <c r="L64" i="23"/>
  <c r="K64" i="23"/>
  <c r="G64" i="23"/>
  <c r="B64" i="23"/>
  <c r="M64" i="23"/>
  <c r="J64" i="23"/>
  <c r="H64" i="23"/>
  <c r="D64" i="23"/>
  <c r="C64" i="23"/>
  <c r="F64" i="23"/>
  <c r="N39" i="23"/>
  <c r="J39" i="23"/>
  <c r="I39" i="23"/>
  <c r="M39" i="23"/>
  <c r="L39" i="23"/>
  <c r="K39" i="23"/>
  <c r="F39" i="23"/>
  <c r="H39" i="23"/>
  <c r="B39" i="23"/>
  <c r="A39" i="23"/>
  <c r="C39" i="23"/>
  <c r="E39" i="23"/>
  <c r="D39" i="23"/>
  <c r="G39" i="23"/>
  <c r="Y876" i="24"/>
  <c r="M76" i="15"/>
  <c r="M16" i="23"/>
  <c r="M34" i="23"/>
  <c r="M18" i="20"/>
  <c r="M48" i="18"/>
  <c r="Y234" i="24"/>
  <c r="M24" i="21"/>
  <c r="H126" i="18"/>
  <c r="F126" i="18"/>
  <c r="A126" i="18"/>
  <c r="N126" i="18"/>
  <c r="M126" i="18"/>
  <c r="K126" i="18"/>
  <c r="J126" i="18"/>
  <c r="I126" i="18"/>
  <c r="G126" i="18"/>
  <c r="E126" i="18"/>
  <c r="D126" i="18"/>
  <c r="C126" i="18"/>
  <c r="B126" i="18"/>
  <c r="L126" i="18"/>
  <c r="K91" i="18"/>
  <c r="N91" i="18"/>
  <c r="M91" i="18"/>
  <c r="L91" i="18"/>
  <c r="J91" i="18"/>
  <c r="I91" i="18"/>
  <c r="E91" i="18"/>
  <c r="D91" i="18"/>
  <c r="A91" i="18"/>
  <c r="H91" i="18"/>
  <c r="G91" i="18"/>
  <c r="F91" i="18"/>
  <c r="C91" i="18"/>
  <c r="B91" i="18"/>
  <c r="B98" i="18"/>
  <c r="N98" i="18"/>
  <c r="K98" i="18"/>
  <c r="J98" i="18"/>
  <c r="I98" i="18"/>
  <c r="H98" i="18"/>
  <c r="M98" i="18"/>
  <c r="E98" i="18"/>
  <c r="D98" i="18"/>
  <c r="L98" i="18"/>
  <c r="G98" i="18"/>
  <c r="F98" i="18"/>
  <c r="C98" i="18"/>
  <c r="A98" i="18"/>
  <c r="M101" i="19"/>
  <c r="J101" i="19"/>
  <c r="I101" i="19"/>
  <c r="L101" i="19"/>
  <c r="N101" i="19"/>
  <c r="K101" i="19"/>
  <c r="H101" i="19"/>
  <c r="G101" i="19"/>
  <c r="F101" i="19"/>
  <c r="E101" i="19"/>
  <c r="D101" i="19"/>
  <c r="C101" i="19"/>
  <c r="B101" i="19"/>
  <c r="A101" i="19"/>
  <c r="M80" i="19"/>
  <c r="L80" i="19"/>
  <c r="I80" i="19"/>
  <c r="N80" i="19"/>
  <c r="K80" i="19"/>
  <c r="J80" i="19"/>
  <c r="H80" i="19"/>
  <c r="G80" i="19"/>
  <c r="F80" i="19"/>
  <c r="E80" i="19"/>
  <c r="D80" i="19"/>
  <c r="C80" i="19"/>
  <c r="B80" i="19"/>
  <c r="A80" i="19"/>
  <c r="B83" i="21"/>
  <c r="M83" i="21"/>
  <c r="I83" i="21"/>
  <c r="H83" i="21"/>
  <c r="G83" i="21"/>
  <c r="F83" i="21"/>
  <c r="C83" i="21"/>
  <c r="A83" i="21"/>
  <c r="L83" i="21"/>
  <c r="J83" i="21"/>
  <c r="E83" i="21"/>
  <c r="N83" i="21"/>
  <c r="K83" i="21"/>
  <c r="D83" i="21"/>
  <c r="M96" i="19"/>
  <c r="L96" i="19"/>
  <c r="J96" i="19"/>
  <c r="H96" i="19"/>
  <c r="F96" i="19"/>
  <c r="E96" i="19"/>
  <c r="A96" i="19"/>
  <c r="N96" i="19"/>
  <c r="K96" i="19"/>
  <c r="I96" i="19"/>
  <c r="G96" i="19"/>
  <c r="D96" i="19"/>
  <c r="C96" i="19"/>
  <c r="B96" i="19"/>
  <c r="B115" i="21"/>
  <c r="G115" i="21"/>
  <c r="F115" i="21"/>
  <c r="C115" i="21"/>
  <c r="L115" i="21"/>
  <c r="I115" i="21"/>
  <c r="A115" i="21"/>
  <c r="N115" i="21"/>
  <c r="M115" i="21"/>
  <c r="K115" i="21"/>
  <c r="J115" i="21"/>
  <c r="H115" i="21"/>
  <c r="E115" i="21"/>
  <c r="D115" i="21"/>
  <c r="M74" i="20"/>
  <c r="K74" i="20"/>
  <c r="J74" i="20"/>
  <c r="I74" i="20"/>
  <c r="H74" i="20"/>
  <c r="G74" i="20"/>
  <c r="F74" i="20"/>
  <c r="E74" i="20"/>
  <c r="C74" i="20"/>
  <c r="A74" i="20"/>
  <c r="N74" i="20"/>
  <c r="D74" i="20"/>
  <c r="B74" i="20"/>
  <c r="L74" i="20"/>
  <c r="B67" i="21"/>
  <c r="N67" i="21"/>
  <c r="F67" i="21"/>
  <c r="C67" i="21"/>
  <c r="H67" i="21"/>
  <c r="E67" i="21"/>
  <c r="D67" i="21"/>
  <c r="A67" i="21"/>
  <c r="L67" i="21"/>
  <c r="M67" i="21"/>
  <c r="K67" i="21"/>
  <c r="J67" i="21"/>
  <c r="I67" i="21"/>
  <c r="G67" i="21"/>
  <c r="E101" i="21"/>
  <c r="L101" i="21"/>
  <c r="K101" i="21"/>
  <c r="H101" i="21"/>
  <c r="M101" i="21"/>
  <c r="I101" i="21"/>
  <c r="N101" i="21"/>
  <c r="J101" i="21"/>
  <c r="G101" i="21"/>
  <c r="F101" i="21"/>
  <c r="D101" i="21"/>
  <c r="C101" i="21"/>
  <c r="B101" i="21"/>
  <c r="A101" i="21"/>
  <c r="K126" i="20"/>
  <c r="D126" i="20"/>
  <c r="N126" i="20"/>
  <c r="H126" i="20"/>
  <c r="M126" i="20"/>
  <c r="L126" i="20"/>
  <c r="J126" i="20"/>
  <c r="I126" i="20"/>
  <c r="G126" i="20"/>
  <c r="F126" i="20"/>
  <c r="E126" i="20"/>
  <c r="C126" i="20"/>
  <c r="B126" i="20"/>
  <c r="A126" i="20"/>
  <c r="E70" i="22"/>
  <c r="G70" i="22"/>
  <c r="C70" i="22"/>
  <c r="B70" i="22"/>
  <c r="F70" i="22"/>
  <c r="N70" i="22"/>
  <c r="D70" i="22"/>
  <c r="A70" i="22"/>
  <c r="M70" i="22"/>
  <c r="H70" i="22"/>
  <c r="L70" i="22"/>
  <c r="K70" i="22"/>
  <c r="J70" i="22"/>
  <c r="I70" i="22"/>
  <c r="B123" i="21"/>
  <c r="L123" i="21"/>
  <c r="K123" i="21"/>
  <c r="J123" i="21"/>
  <c r="G123" i="21"/>
  <c r="E123" i="21"/>
  <c r="I123" i="21"/>
  <c r="D123" i="21"/>
  <c r="C123" i="21"/>
  <c r="N123" i="21"/>
  <c r="M123" i="21"/>
  <c r="H123" i="21"/>
  <c r="F123" i="21"/>
  <c r="A123" i="21"/>
  <c r="M60" i="20"/>
  <c r="M65" i="17"/>
  <c r="M57" i="18"/>
  <c r="M86" i="16"/>
  <c r="M80" i="15"/>
  <c r="M55" i="15"/>
  <c r="M74" i="11"/>
  <c r="M101" i="13"/>
  <c r="M60" i="13"/>
  <c r="M77" i="15"/>
  <c r="M55" i="12"/>
  <c r="M68" i="12"/>
  <c r="M24" i="10"/>
  <c r="M84" i="11"/>
  <c r="M11" i="11"/>
  <c r="M68" i="10"/>
  <c r="Y430" i="24"/>
  <c r="M35" i="14"/>
  <c r="Y993" i="24"/>
  <c r="M72" i="14"/>
  <c r="M59" i="10"/>
  <c r="Y1200" i="24"/>
  <c r="M92" i="14"/>
  <c r="Y1113" i="24"/>
  <c r="M91" i="12"/>
  <c r="Y981" i="24"/>
  <c r="M72" i="17"/>
  <c r="Y927" i="24"/>
  <c r="M78" i="16"/>
  <c r="Y731" i="24"/>
  <c r="M63" i="15"/>
  <c r="Y862" i="24"/>
  <c r="M73" i="18"/>
  <c r="Y518" i="24"/>
  <c r="M59" i="11"/>
  <c r="Y212" i="24"/>
  <c r="M31" i="15"/>
  <c r="Y224" i="24"/>
  <c r="M33" i="11"/>
  <c r="Y1353" i="24"/>
  <c r="M103" i="17"/>
  <c r="Y39" i="24"/>
  <c r="M13" i="21"/>
  <c r="H38" i="23"/>
  <c r="C38" i="23"/>
  <c r="L38" i="23"/>
  <c r="F38" i="23"/>
  <c r="B38" i="23"/>
  <c r="A38" i="23"/>
  <c r="E38" i="23"/>
  <c r="N38" i="23"/>
  <c r="M38" i="23"/>
  <c r="K38" i="23"/>
  <c r="J38" i="23"/>
  <c r="G38" i="23"/>
  <c r="D38" i="23"/>
  <c r="I38" i="23"/>
  <c r="Y107" i="24"/>
  <c r="M17" i="18"/>
  <c r="Y692" i="24"/>
  <c r="M58" i="18"/>
  <c r="L123" i="23"/>
  <c r="K123" i="23"/>
  <c r="I123" i="23"/>
  <c r="H123" i="23"/>
  <c r="B123" i="23"/>
  <c r="N123" i="23"/>
  <c r="J123" i="23"/>
  <c r="G123" i="23"/>
  <c r="F123" i="23"/>
  <c r="M123" i="23"/>
  <c r="D123" i="23"/>
  <c r="C123" i="23"/>
  <c r="E123" i="23"/>
  <c r="A123" i="23"/>
  <c r="Y861" i="24"/>
  <c r="M82" i="13"/>
  <c r="K76" i="22"/>
  <c r="I76" i="22"/>
  <c r="N76" i="22"/>
  <c r="M76" i="22"/>
  <c r="H76" i="22"/>
  <c r="G76" i="22"/>
  <c r="F76" i="22"/>
  <c r="J76" i="22"/>
  <c r="E76" i="22"/>
  <c r="B76" i="22"/>
  <c r="D76" i="22"/>
  <c r="C76" i="22"/>
  <c r="A76" i="22"/>
  <c r="L76" i="22"/>
  <c r="Y474" i="24"/>
  <c r="M50" i="12"/>
  <c r="N127" i="21"/>
  <c r="B127" i="21"/>
  <c r="A127" i="21"/>
  <c r="F127" i="21"/>
  <c r="C127" i="21"/>
  <c r="K127" i="21"/>
  <c r="G127" i="21"/>
  <c r="M127" i="21"/>
  <c r="L127" i="21"/>
  <c r="H127" i="21"/>
  <c r="E127" i="21"/>
  <c r="D127" i="21"/>
  <c r="J127" i="21"/>
  <c r="I127" i="21"/>
  <c r="L67" i="23"/>
  <c r="M67" i="23"/>
  <c r="H67" i="23"/>
  <c r="G67" i="23"/>
  <c r="F67" i="23"/>
  <c r="C67" i="23"/>
  <c r="B67" i="23"/>
  <c r="D67" i="23"/>
  <c r="J67" i="23"/>
  <c r="I67" i="23"/>
  <c r="A67" i="23"/>
  <c r="K67" i="23"/>
  <c r="E67" i="23"/>
  <c r="N67" i="23"/>
  <c r="Y390" i="24"/>
  <c r="M45" i="15"/>
  <c r="Y1041" i="24"/>
  <c r="M88" i="15"/>
  <c r="M28" i="21"/>
  <c r="M32" i="19"/>
  <c r="L92" i="19"/>
  <c r="D92" i="19"/>
  <c r="A92" i="19"/>
  <c r="N92" i="19"/>
  <c r="K92" i="19"/>
  <c r="I92" i="19"/>
  <c r="H92" i="19"/>
  <c r="C92" i="19"/>
  <c r="M92" i="19"/>
  <c r="J92" i="19"/>
  <c r="G92" i="19"/>
  <c r="F92" i="19"/>
  <c r="E92" i="19"/>
  <c r="B92" i="19"/>
  <c r="H96" i="18"/>
  <c r="N96" i="18"/>
  <c r="M96" i="18"/>
  <c r="L96" i="18"/>
  <c r="K96" i="18"/>
  <c r="J96" i="18"/>
  <c r="I96" i="18"/>
  <c r="G96" i="18"/>
  <c r="F96" i="18"/>
  <c r="B96" i="18"/>
  <c r="A96" i="18"/>
  <c r="D96" i="18"/>
  <c r="E96" i="18"/>
  <c r="C96" i="18"/>
  <c r="N103" i="18"/>
  <c r="K103" i="18"/>
  <c r="J103" i="18"/>
  <c r="I103" i="18"/>
  <c r="H103" i="18"/>
  <c r="M103" i="18"/>
  <c r="E103" i="18"/>
  <c r="D103" i="18"/>
  <c r="L103" i="18"/>
  <c r="G103" i="18"/>
  <c r="F103" i="18"/>
  <c r="C103" i="18"/>
  <c r="B103" i="18"/>
  <c r="A103" i="18"/>
  <c r="D41" i="20"/>
  <c r="G41" i="20"/>
  <c r="F41" i="20"/>
  <c r="C41" i="20"/>
  <c r="A41" i="20"/>
  <c r="N41" i="20"/>
  <c r="M41" i="20"/>
  <c r="L41" i="20"/>
  <c r="K41" i="20"/>
  <c r="J41" i="20"/>
  <c r="I41" i="20"/>
  <c r="H41" i="20"/>
  <c r="E41" i="20"/>
  <c r="B41" i="20"/>
  <c r="M42" i="20"/>
  <c r="I42" i="20"/>
  <c r="G42" i="20"/>
  <c r="E42" i="20"/>
  <c r="D42" i="20"/>
  <c r="B42" i="20"/>
  <c r="A42" i="20"/>
  <c r="N42" i="20"/>
  <c r="J42" i="20"/>
  <c r="C42" i="20"/>
  <c r="L42" i="20"/>
  <c r="K42" i="20"/>
  <c r="H42" i="20"/>
  <c r="F42" i="20"/>
  <c r="I114" i="21"/>
  <c r="F114" i="21"/>
  <c r="J114" i="21"/>
  <c r="D114" i="21"/>
  <c r="M114" i="21"/>
  <c r="L114" i="21"/>
  <c r="K114" i="21"/>
  <c r="H114" i="21"/>
  <c r="C114" i="21"/>
  <c r="B114" i="21"/>
  <c r="A114" i="21"/>
  <c r="N114" i="21"/>
  <c r="G114" i="21"/>
  <c r="E114" i="21"/>
  <c r="L45" i="20"/>
  <c r="J45" i="20"/>
  <c r="H45" i="20"/>
  <c r="G45" i="20"/>
  <c r="E45" i="20"/>
  <c r="D45" i="20"/>
  <c r="N45" i="20"/>
  <c r="K45" i="20"/>
  <c r="F45" i="20"/>
  <c r="C45" i="20"/>
  <c r="B45" i="20"/>
  <c r="A45" i="20"/>
  <c r="M45" i="20"/>
  <c r="I45" i="20"/>
  <c r="I67" i="20"/>
  <c r="N67" i="20"/>
  <c r="M67" i="20"/>
  <c r="L67" i="20"/>
  <c r="B67" i="20"/>
  <c r="A67" i="20"/>
  <c r="K67" i="20"/>
  <c r="J67" i="20"/>
  <c r="H67" i="20"/>
  <c r="G67" i="20"/>
  <c r="F67" i="20"/>
  <c r="E67" i="20"/>
  <c r="D67" i="20"/>
  <c r="C67" i="20"/>
  <c r="M79" i="20"/>
  <c r="K79" i="20"/>
  <c r="J79" i="20"/>
  <c r="I79" i="20"/>
  <c r="H79" i="20"/>
  <c r="G79" i="20"/>
  <c r="F79" i="20"/>
  <c r="E79" i="20"/>
  <c r="C79" i="20"/>
  <c r="A79" i="20"/>
  <c r="N79" i="20"/>
  <c r="L79" i="20"/>
  <c r="D79" i="20"/>
  <c r="B79" i="20"/>
  <c r="M88" i="21"/>
  <c r="G88" i="21"/>
  <c r="C88" i="21"/>
  <c r="K88" i="21"/>
  <c r="L88" i="21"/>
  <c r="N88" i="21"/>
  <c r="J88" i="21"/>
  <c r="I88" i="21"/>
  <c r="H88" i="21"/>
  <c r="F88" i="21"/>
  <c r="E88" i="21"/>
  <c r="D88" i="21"/>
  <c r="B88" i="21"/>
  <c r="A88" i="21"/>
  <c r="K108" i="21"/>
  <c r="L108" i="21"/>
  <c r="A108" i="21"/>
  <c r="H108" i="21"/>
  <c r="C108" i="21"/>
  <c r="G108" i="21"/>
  <c r="M108" i="21"/>
  <c r="I108" i="21"/>
  <c r="D108" i="21"/>
  <c r="F108" i="21"/>
  <c r="E108" i="21"/>
  <c r="B108" i="21"/>
  <c r="N108" i="21"/>
  <c r="J108" i="21"/>
  <c r="M47" i="21"/>
  <c r="D47" i="21"/>
  <c r="J47" i="21"/>
  <c r="I47" i="21"/>
  <c r="H47" i="21"/>
  <c r="B47" i="21"/>
  <c r="E47" i="21"/>
  <c r="L47" i="21"/>
  <c r="G47" i="21"/>
  <c r="F47" i="21"/>
  <c r="C47" i="21"/>
  <c r="A47" i="21"/>
  <c r="N47" i="21"/>
  <c r="K47" i="21"/>
  <c r="C90" i="23"/>
  <c r="F90" i="23"/>
  <c r="N90" i="23"/>
  <c r="H90" i="23"/>
  <c r="G90" i="23"/>
  <c r="L90" i="23"/>
  <c r="K90" i="23"/>
  <c r="M90" i="23"/>
  <c r="D90" i="23"/>
  <c r="B90" i="23"/>
  <c r="A90" i="23"/>
  <c r="J90" i="23"/>
  <c r="I90" i="23"/>
  <c r="E90" i="23"/>
  <c r="L51" i="23"/>
  <c r="N51" i="23"/>
  <c r="M51" i="23"/>
  <c r="H51" i="23"/>
  <c r="K51" i="23"/>
  <c r="I51" i="23"/>
  <c r="E51" i="23"/>
  <c r="D51" i="23"/>
  <c r="A51" i="23"/>
  <c r="J51" i="23"/>
  <c r="C51" i="23"/>
  <c r="B51" i="23"/>
  <c r="G51" i="23"/>
  <c r="F51" i="23"/>
  <c r="M92" i="17"/>
  <c r="M97" i="18"/>
  <c r="M49" i="17"/>
  <c r="M77" i="16"/>
  <c r="M60" i="14"/>
  <c r="M58" i="15"/>
  <c r="M87" i="13"/>
  <c r="M15" i="16"/>
  <c r="M35" i="13"/>
  <c r="M18" i="12"/>
  <c r="M57" i="16"/>
  <c r="M26" i="12"/>
  <c r="M65" i="10"/>
  <c r="M91" i="15"/>
  <c r="M16" i="10"/>
  <c r="M19" i="10"/>
  <c r="Y509" i="24"/>
  <c r="M38" i="14"/>
  <c r="Y1012" i="24"/>
  <c r="M76" i="14"/>
  <c r="F32" i="2"/>
  <c r="C32" i="2"/>
  <c r="M33" i="10"/>
  <c r="M47" i="11"/>
  <c r="Y1237" i="24"/>
  <c r="M103" i="15"/>
  <c r="Y1312" i="24"/>
  <c r="M104" i="14"/>
  <c r="Y1308" i="24"/>
  <c r="M108" i="15"/>
  <c r="Y1070" i="24"/>
  <c r="M91" i="11"/>
  <c r="Y917" i="24"/>
  <c r="M79" i="12"/>
  <c r="Y699" i="24"/>
  <c r="M53" i="17"/>
  <c r="Y1030" i="24"/>
  <c r="M81" i="14"/>
  <c r="Y737" i="24"/>
  <c r="M74" i="13"/>
  <c r="Y839" i="24"/>
  <c r="M76" i="11"/>
  <c r="Y552" i="24"/>
  <c r="M57" i="12"/>
  <c r="Y396" i="24"/>
  <c r="M31" i="14"/>
  <c r="Y383" i="24"/>
  <c r="M44" i="15"/>
  <c r="Y306" i="24"/>
  <c r="M26" i="17"/>
  <c r="Y446" i="24"/>
  <c r="M51" i="11"/>
  <c r="Y94" i="24"/>
  <c r="M16" i="16"/>
  <c r="Y376" i="24"/>
  <c r="M32" i="20"/>
  <c r="M46" i="23"/>
  <c r="N46" i="23"/>
  <c r="I46" i="23"/>
  <c r="J46" i="23"/>
  <c r="F46" i="23"/>
  <c r="E46" i="23"/>
  <c r="B46" i="23"/>
  <c r="A46" i="23"/>
  <c r="G46" i="23"/>
  <c r="C46" i="23"/>
  <c r="L46" i="23"/>
  <c r="D46" i="23"/>
  <c r="H46" i="23"/>
  <c r="K46" i="23"/>
  <c r="Y899" i="24"/>
  <c r="M77" i="10"/>
  <c r="C79" i="23"/>
  <c r="K79" i="23"/>
  <c r="N79" i="23"/>
  <c r="M79" i="23"/>
  <c r="I79" i="23"/>
  <c r="H79" i="23"/>
  <c r="G79" i="23"/>
  <c r="J79" i="23"/>
  <c r="F79" i="23"/>
  <c r="L79" i="23"/>
  <c r="B79" i="23"/>
  <c r="E79" i="23"/>
  <c r="D79" i="23"/>
  <c r="A79" i="23"/>
  <c r="Y1149" i="24"/>
  <c r="M98" i="13"/>
  <c r="H65" i="22"/>
  <c r="N65" i="22"/>
  <c r="K65" i="22"/>
  <c r="J65" i="22"/>
  <c r="D65" i="22"/>
  <c r="A65" i="22"/>
  <c r="I65" i="22"/>
  <c r="F65" i="22"/>
  <c r="B65" i="22"/>
  <c r="C65" i="22"/>
  <c r="G65" i="22"/>
  <c r="E65" i="22"/>
  <c r="M65" i="22"/>
  <c r="L65" i="22"/>
  <c r="Y487" i="24"/>
  <c r="M52" i="12"/>
  <c r="L115" i="23"/>
  <c r="F115" i="23"/>
  <c r="G115" i="23"/>
  <c r="I115" i="23"/>
  <c r="A115" i="23"/>
  <c r="N115" i="23"/>
  <c r="J115" i="23"/>
  <c r="E115" i="23"/>
  <c r="B115" i="23"/>
  <c r="C115" i="23"/>
  <c r="M115" i="23"/>
  <c r="K115" i="23"/>
  <c r="H115" i="23"/>
  <c r="D115" i="23"/>
  <c r="K116" i="21"/>
  <c r="F116" i="21"/>
  <c r="C116" i="21"/>
  <c r="L116" i="21"/>
  <c r="G116" i="21"/>
  <c r="M116" i="21"/>
  <c r="J116" i="21"/>
  <c r="I116" i="21"/>
  <c r="A116" i="21"/>
  <c r="E116" i="21"/>
  <c r="B116" i="21"/>
  <c r="H116" i="21"/>
  <c r="D116" i="21"/>
  <c r="N116" i="21"/>
  <c r="F100" i="23"/>
  <c r="E100" i="23"/>
  <c r="A100" i="23"/>
  <c r="N100" i="23"/>
  <c r="I100" i="23"/>
  <c r="D100" i="23"/>
  <c r="C100" i="23"/>
  <c r="L100" i="23"/>
  <c r="J100" i="23"/>
  <c r="M100" i="23"/>
  <c r="K100" i="23"/>
  <c r="H100" i="23"/>
  <c r="G100" i="23"/>
  <c r="B100" i="23"/>
  <c r="C114" i="23"/>
  <c r="N114" i="23"/>
  <c r="M114" i="23"/>
  <c r="I114" i="23"/>
  <c r="G114" i="23"/>
  <c r="B114" i="23"/>
  <c r="J114" i="23"/>
  <c r="E114" i="23"/>
  <c r="L114" i="23"/>
  <c r="H114" i="23"/>
  <c r="D114" i="23"/>
  <c r="A114" i="23"/>
  <c r="K114" i="23"/>
  <c r="F114" i="23"/>
  <c r="M10" i="23"/>
  <c r="Y382" i="24"/>
  <c r="M43" i="15"/>
  <c r="M10" i="21"/>
  <c r="M42" i="19"/>
  <c r="G36" i="20"/>
  <c r="C36" i="20"/>
  <c r="A36" i="20"/>
  <c r="M36" i="20"/>
  <c r="L36" i="20"/>
  <c r="J36" i="20"/>
  <c r="H36" i="20"/>
  <c r="F36" i="20"/>
  <c r="E36" i="20"/>
  <c r="D36" i="20"/>
  <c r="B36" i="20"/>
  <c r="N36" i="20"/>
  <c r="K36" i="20"/>
  <c r="I36" i="20"/>
  <c r="E101" i="18"/>
  <c r="N101" i="18"/>
  <c r="M101" i="18"/>
  <c r="L101" i="18"/>
  <c r="K101" i="18"/>
  <c r="J101" i="18"/>
  <c r="I101" i="18"/>
  <c r="H101" i="18"/>
  <c r="G101" i="18"/>
  <c r="F101" i="18"/>
  <c r="A101" i="18"/>
  <c r="B101" i="18"/>
  <c r="D101" i="18"/>
  <c r="C101" i="18"/>
  <c r="C121" i="18"/>
  <c r="H121" i="18"/>
  <c r="N121" i="18"/>
  <c r="K121" i="18"/>
  <c r="J121" i="18"/>
  <c r="I121" i="18"/>
  <c r="G121" i="18"/>
  <c r="E121" i="18"/>
  <c r="D121" i="18"/>
  <c r="B121" i="18"/>
  <c r="M121" i="18"/>
  <c r="L121" i="18"/>
  <c r="A121" i="18"/>
  <c r="F121" i="18"/>
  <c r="M104" i="19"/>
  <c r="L104" i="19"/>
  <c r="I104" i="19"/>
  <c r="F104" i="19"/>
  <c r="D104" i="19"/>
  <c r="C104" i="19"/>
  <c r="B104" i="19"/>
  <c r="A104" i="19"/>
  <c r="N104" i="19"/>
  <c r="K104" i="19"/>
  <c r="J104" i="19"/>
  <c r="H104" i="19"/>
  <c r="G104" i="19"/>
  <c r="E104" i="19"/>
  <c r="N51" i="20"/>
  <c r="M51" i="20"/>
  <c r="K51" i="20"/>
  <c r="J51" i="20"/>
  <c r="L51" i="20"/>
  <c r="G51" i="20"/>
  <c r="I51" i="20"/>
  <c r="H51" i="20"/>
  <c r="F51" i="20"/>
  <c r="E51" i="20"/>
  <c r="D51" i="20"/>
  <c r="C51" i="20"/>
  <c r="A51" i="20"/>
  <c r="B51" i="20"/>
  <c r="I99" i="20"/>
  <c r="F99" i="20"/>
  <c r="G99" i="20"/>
  <c r="B99" i="20"/>
  <c r="N99" i="20"/>
  <c r="M99" i="20"/>
  <c r="L99" i="20"/>
  <c r="K99" i="20"/>
  <c r="J99" i="20"/>
  <c r="E99" i="20"/>
  <c r="D99" i="20"/>
  <c r="H99" i="20"/>
  <c r="C99" i="20"/>
  <c r="A99" i="20"/>
  <c r="M52" i="21"/>
  <c r="J52" i="21"/>
  <c r="K52" i="21"/>
  <c r="N52" i="21"/>
  <c r="H52" i="21"/>
  <c r="E52" i="21"/>
  <c r="C52" i="21"/>
  <c r="B52" i="21"/>
  <c r="D52" i="21"/>
  <c r="L52" i="21"/>
  <c r="I52" i="21"/>
  <c r="G52" i="21"/>
  <c r="F52" i="21"/>
  <c r="A52" i="21"/>
  <c r="F72" i="20"/>
  <c r="N72" i="20"/>
  <c r="M72" i="20"/>
  <c r="L72" i="20"/>
  <c r="B72" i="20"/>
  <c r="A72" i="20"/>
  <c r="I72" i="20"/>
  <c r="H72" i="20"/>
  <c r="G72" i="20"/>
  <c r="E72" i="20"/>
  <c r="D72" i="20"/>
  <c r="C72" i="20"/>
  <c r="J72" i="20"/>
  <c r="K72" i="20"/>
  <c r="L86" i="20"/>
  <c r="A86" i="20"/>
  <c r="M86" i="20"/>
  <c r="J86" i="20"/>
  <c r="I86" i="20"/>
  <c r="H86" i="20"/>
  <c r="G86" i="20"/>
  <c r="F86" i="20"/>
  <c r="N86" i="20"/>
  <c r="K86" i="20"/>
  <c r="E86" i="20"/>
  <c r="D86" i="20"/>
  <c r="B86" i="20"/>
  <c r="C86" i="20"/>
  <c r="H73" i="21"/>
  <c r="M73" i="21"/>
  <c r="C73" i="21"/>
  <c r="E73" i="21"/>
  <c r="D73" i="21"/>
  <c r="B73" i="21"/>
  <c r="A73" i="21"/>
  <c r="K73" i="21"/>
  <c r="I73" i="21"/>
  <c r="J73" i="21"/>
  <c r="G73" i="21"/>
  <c r="N73" i="21"/>
  <c r="L73" i="21"/>
  <c r="F73" i="21"/>
  <c r="H129" i="21"/>
  <c r="L129" i="21"/>
  <c r="C129" i="21"/>
  <c r="N129" i="21"/>
  <c r="I129" i="21"/>
  <c r="E129" i="21"/>
  <c r="F129" i="21"/>
  <c r="M129" i="21"/>
  <c r="G129" i="21"/>
  <c r="B129" i="21"/>
  <c r="A129" i="21"/>
  <c r="D129" i="21"/>
  <c r="K129" i="21"/>
  <c r="J129" i="21"/>
  <c r="N95" i="21"/>
  <c r="K95" i="21"/>
  <c r="H95" i="21"/>
  <c r="L95" i="21"/>
  <c r="M95" i="21"/>
  <c r="G95" i="21"/>
  <c r="F95" i="21"/>
  <c r="E95" i="21"/>
  <c r="J95" i="21"/>
  <c r="C95" i="21"/>
  <c r="A95" i="21"/>
  <c r="I95" i="21"/>
  <c r="B95" i="21"/>
  <c r="D95" i="21"/>
  <c r="N111" i="21"/>
  <c r="H111" i="21"/>
  <c r="C111" i="21"/>
  <c r="M111" i="21"/>
  <c r="L111" i="21"/>
  <c r="I111" i="21"/>
  <c r="G111" i="21"/>
  <c r="F111" i="21"/>
  <c r="K111" i="21"/>
  <c r="E111" i="21"/>
  <c r="D111" i="21"/>
  <c r="B111" i="21"/>
  <c r="A111" i="21"/>
  <c r="J111" i="21"/>
  <c r="L119" i="23"/>
  <c r="F119" i="23"/>
  <c r="G119" i="23"/>
  <c r="E119" i="23"/>
  <c r="B119" i="23"/>
  <c r="A119" i="23"/>
  <c r="J119" i="23"/>
  <c r="I119" i="23"/>
  <c r="D119" i="23"/>
  <c r="N119" i="23"/>
  <c r="M119" i="23"/>
  <c r="H119" i="23"/>
  <c r="K119" i="23"/>
  <c r="C119" i="23"/>
  <c r="M66" i="17"/>
  <c r="M76" i="19"/>
  <c r="M37" i="16"/>
  <c r="M21" i="14"/>
  <c r="M59" i="17"/>
  <c r="M29" i="17"/>
  <c r="M89" i="16"/>
  <c r="M22" i="17"/>
  <c r="M55" i="13"/>
  <c r="M109" i="15"/>
  <c r="M25" i="16"/>
  <c r="M71" i="14"/>
  <c r="M47" i="13"/>
  <c r="M43" i="14"/>
  <c r="M30" i="17"/>
  <c r="M24" i="12"/>
  <c r="M35" i="11"/>
  <c r="M90" i="11"/>
  <c r="M17" i="11"/>
  <c r="Y287" i="24"/>
  <c r="M30" i="19"/>
  <c r="Y635" i="24"/>
  <c r="M47" i="14"/>
  <c r="C38" i="6"/>
  <c r="H38" i="6" s="1"/>
  <c r="M27" i="10"/>
  <c r="M45" i="10"/>
  <c r="M62" i="10"/>
  <c r="Y1123" i="24"/>
  <c r="M88" i="16"/>
  <c r="Y1350" i="24"/>
  <c r="M92" i="10"/>
  <c r="Y1166" i="24"/>
  <c r="M100" i="11"/>
  <c r="Y1182" i="24"/>
  <c r="M88" i="17"/>
  <c r="Y1086" i="24"/>
  <c r="M85" i="14"/>
  <c r="Y1144" i="24"/>
  <c r="M86" i="17"/>
  <c r="Y906" i="24"/>
  <c r="M77" i="18"/>
  <c r="Y901" i="24"/>
  <c r="M86" i="13"/>
  <c r="Y1019" i="24"/>
  <c r="M82" i="18"/>
  <c r="Y930" i="24"/>
  <c r="M82" i="15"/>
  <c r="Y662" i="24"/>
  <c r="M67" i="11"/>
  <c r="Y364" i="24"/>
  <c r="M34" i="16"/>
  <c r="Y197" i="24"/>
  <c r="M29" i="11"/>
  <c r="Y261" i="24"/>
  <c r="M24" i="18"/>
  <c r="Y331" i="24"/>
  <c r="M29" i="18"/>
  <c r="Y267" i="24"/>
  <c r="M25" i="18"/>
  <c r="Y151" i="24"/>
  <c r="M23" i="13"/>
  <c r="Y246" i="24"/>
  <c r="M27" i="11"/>
  <c r="Y362" i="24"/>
  <c r="M33" i="16"/>
  <c r="G54" i="23"/>
  <c r="N54" i="23"/>
  <c r="K54" i="23"/>
  <c r="J54" i="23"/>
  <c r="F54" i="23"/>
  <c r="E54" i="23"/>
  <c r="I54" i="23"/>
  <c r="D54" i="23"/>
  <c r="A54" i="23"/>
  <c r="C54" i="23"/>
  <c r="B54" i="23"/>
  <c r="M54" i="23"/>
  <c r="L54" i="23"/>
  <c r="H54" i="23"/>
  <c r="Y75" i="24"/>
  <c r="M11" i="10"/>
  <c r="K124" i="22"/>
  <c r="J124" i="22"/>
  <c r="I124" i="22"/>
  <c r="F124" i="22"/>
  <c r="E124" i="22"/>
  <c r="H124" i="22"/>
  <c r="C124" i="22"/>
  <c r="B124" i="22"/>
  <c r="G124" i="22"/>
  <c r="M124" i="22"/>
  <c r="L124" i="22"/>
  <c r="A124" i="22"/>
  <c r="N124" i="22"/>
  <c r="D124" i="22"/>
  <c r="K113" i="23"/>
  <c r="J113" i="23"/>
  <c r="A113" i="23"/>
  <c r="I113" i="23"/>
  <c r="N113" i="23"/>
  <c r="L113" i="23"/>
  <c r="H113" i="23"/>
  <c r="G113" i="23"/>
  <c r="C113" i="23"/>
  <c r="F113" i="23"/>
  <c r="B113" i="23"/>
  <c r="E113" i="23"/>
  <c r="D113" i="23"/>
  <c r="M113" i="23"/>
  <c r="H45" i="22"/>
  <c r="C45" i="22"/>
  <c r="N45" i="22"/>
  <c r="J45" i="22"/>
  <c r="F45" i="22"/>
  <c r="B45" i="22"/>
  <c r="L45" i="22"/>
  <c r="G45" i="22"/>
  <c r="E45" i="22"/>
  <c r="I45" i="22"/>
  <c r="D45" i="22"/>
  <c r="M45" i="22"/>
  <c r="K45" i="22"/>
  <c r="A45" i="22"/>
  <c r="Y511" i="24"/>
  <c r="M54" i="12"/>
  <c r="A92" i="23"/>
  <c r="L92" i="23"/>
  <c r="K92" i="23"/>
  <c r="E92" i="23"/>
  <c r="I92" i="23"/>
  <c r="H92" i="23"/>
  <c r="F92" i="23"/>
  <c r="B92" i="23"/>
  <c r="N92" i="23"/>
  <c r="G92" i="23"/>
  <c r="M92" i="23"/>
  <c r="J92" i="23"/>
  <c r="D92" i="23"/>
  <c r="C92" i="23"/>
  <c r="E102" i="21"/>
  <c r="G102" i="21"/>
  <c r="C102" i="21"/>
  <c r="N102" i="21"/>
  <c r="A102" i="21"/>
  <c r="L102" i="21"/>
  <c r="K102" i="21"/>
  <c r="J102" i="21"/>
  <c r="I102" i="21"/>
  <c r="D102" i="21"/>
  <c r="B102" i="21"/>
  <c r="M102" i="21"/>
  <c r="H102" i="21"/>
  <c r="F102" i="21"/>
  <c r="N71" i="22"/>
  <c r="B71" i="22"/>
  <c r="F71" i="22"/>
  <c r="K71" i="22"/>
  <c r="H71" i="22"/>
  <c r="G71" i="22"/>
  <c r="A71" i="22"/>
  <c r="J71" i="22"/>
  <c r="I71" i="22"/>
  <c r="E71" i="22"/>
  <c r="M71" i="22"/>
  <c r="D71" i="22"/>
  <c r="C71" i="22"/>
  <c r="L71" i="22"/>
  <c r="E10" i="22"/>
  <c r="D10" i="22"/>
  <c r="N10" i="22"/>
  <c r="K10" i="22"/>
  <c r="H10" i="22"/>
  <c r="F10" i="22"/>
  <c r="A10" i="22"/>
  <c r="B10" i="22"/>
  <c r="J10" i="22"/>
  <c r="I10" i="22"/>
  <c r="G10" i="22"/>
  <c r="C10" i="22"/>
  <c r="M10" i="22"/>
  <c r="L10" i="22"/>
  <c r="F95" i="23"/>
  <c r="N95" i="23"/>
  <c r="H95" i="23"/>
  <c r="K95" i="23"/>
  <c r="J95" i="23"/>
  <c r="E95" i="23"/>
  <c r="D95" i="23"/>
  <c r="M95" i="23"/>
  <c r="I95" i="23"/>
  <c r="B95" i="23"/>
  <c r="A95" i="23"/>
  <c r="G95" i="23"/>
  <c r="L95" i="23"/>
  <c r="C95" i="23"/>
  <c r="Y766" i="24"/>
  <c r="M67" i="15"/>
  <c r="M34" i="21"/>
  <c r="M61" i="19"/>
  <c r="J61" i="19"/>
  <c r="I61" i="19"/>
  <c r="G61" i="19"/>
  <c r="F61" i="19"/>
  <c r="B61" i="19"/>
  <c r="N61" i="19"/>
  <c r="E61" i="19"/>
  <c r="D61" i="19"/>
  <c r="L61" i="19"/>
  <c r="K61" i="19"/>
  <c r="H61" i="19"/>
  <c r="C61" i="19"/>
  <c r="A61" i="19"/>
  <c r="F132" i="18"/>
  <c r="K132" i="18"/>
  <c r="N132" i="18"/>
  <c r="M132" i="18"/>
  <c r="J132" i="18"/>
  <c r="I132" i="18"/>
  <c r="H132" i="18"/>
  <c r="G132" i="18"/>
  <c r="E132" i="18"/>
  <c r="D132" i="18"/>
  <c r="C132" i="18"/>
  <c r="B132" i="18"/>
  <c r="A132" i="18"/>
  <c r="L132" i="18"/>
  <c r="N38" i="19"/>
  <c r="L38" i="19"/>
  <c r="G38" i="19"/>
  <c r="M38" i="19"/>
  <c r="K38" i="19"/>
  <c r="I38" i="19"/>
  <c r="H38" i="19"/>
  <c r="F38" i="19"/>
  <c r="E38" i="19"/>
  <c r="D38" i="19"/>
  <c r="C38" i="19"/>
  <c r="J38" i="19"/>
  <c r="B38" i="19"/>
  <c r="A38" i="19"/>
  <c r="M112" i="19"/>
  <c r="L112" i="19"/>
  <c r="E112" i="19"/>
  <c r="B112" i="19"/>
  <c r="N112" i="19"/>
  <c r="K112" i="19"/>
  <c r="J112" i="19"/>
  <c r="I112" i="19"/>
  <c r="H112" i="19"/>
  <c r="G112" i="19"/>
  <c r="F112" i="19"/>
  <c r="D112" i="19"/>
  <c r="C112" i="19"/>
  <c r="A112" i="19"/>
  <c r="I83" i="20"/>
  <c r="L83" i="20"/>
  <c r="G83" i="20"/>
  <c r="E83" i="20"/>
  <c r="C83" i="20"/>
  <c r="B83" i="20"/>
  <c r="A83" i="20"/>
  <c r="N83" i="20"/>
  <c r="K83" i="20"/>
  <c r="J83" i="20"/>
  <c r="M83" i="20"/>
  <c r="H83" i="20"/>
  <c r="F83" i="20"/>
  <c r="D83" i="20"/>
  <c r="J123" i="20"/>
  <c r="F123" i="20"/>
  <c r="E123" i="20"/>
  <c r="G123" i="20"/>
  <c r="A123" i="20"/>
  <c r="N123" i="20"/>
  <c r="M123" i="20"/>
  <c r="L123" i="20"/>
  <c r="K123" i="20"/>
  <c r="I123" i="20"/>
  <c r="H123" i="20"/>
  <c r="D123" i="20"/>
  <c r="C123" i="20"/>
  <c r="B123" i="20"/>
  <c r="L35" i="21"/>
  <c r="D35" i="21"/>
  <c r="A35" i="21"/>
  <c r="J35" i="21"/>
  <c r="N35" i="21"/>
  <c r="H35" i="21"/>
  <c r="E35" i="21"/>
  <c r="C35" i="21"/>
  <c r="M35" i="21"/>
  <c r="K35" i="21"/>
  <c r="G35" i="21"/>
  <c r="F35" i="21"/>
  <c r="B35" i="21"/>
  <c r="I35" i="21"/>
  <c r="C77" i="20"/>
  <c r="N77" i="20"/>
  <c r="M77" i="20"/>
  <c r="L77" i="20"/>
  <c r="B77" i="20"/>
  <c r="A77" i="20"/>
  <c r="K77" i="20"/>
  <c r="J77" i="20"/>
  <c r="I77" i="20"/>
  <c r="H77" i="20"/>
  <c r="G77" i="20"/>
  <c r="F77" i="20"/>
  <c r="E77" i="20"/>
  <c r="D77" i="20"/>
  <c r="N77" i="21"/>
  <c r="F77" i="21"/>
  <c r="C77" i="21"/>
  <c r="G77" i="21"/>
  <c r="E77" i="21"/>
  <c r="D77" i="21"/>
  <c r="B77" i="21"/>
  <c r="M77" i="21"/>
  <c r="J77" i="21"/>
  <c r="H77" i="21"/>
  <c r="A77" i="21"/>
  <c r="L77" i="21"/>
  <c r="I77" i="21"/>
  <c r="K77" i="21"/>
  <c r="M98" i="21"/>
  <c r="G98" i="21"/>
  <c r="B98" i="21"/>
  <c r="E98" i="21"/>
  <c r="D98" i="21"/>
  <c r="C98" i="21"/>
  <c r="A98" i="21"/>
  <c r="K98" i="21"/>
  <c r="I98" i="21"/>
  <c r="J98" i="21"/>
  <c r="H98" i="21"/>
  <c r="N98" i="21"/>
  <c r="L98" i="21"/>
  <c r="F98" i="21"/>
  <c r="F37" i="21"/>
  <c r="N37" i="21"/>
  <c r="I37" i="21"/>
  <c r="C37" i="21"/>
  <c r="L37" i="21"/>
  <c r="J37" i="21"/>
  <c r="H37" i="21"/>
  <c r="G37" i="21"/>
  <c r="E37" i="21"/>
  <c r="D37" i="21"/>
  <c r="B37" i="21"/>
  <c r="M37" i="21"/>
  <c r="K37" i="21"/>
  <c r="A37" i="21"/>
  <c r="N119" i="21"/>
  <c r="L119" i="21"/>
  <c r="F119" i="21"/>
  <c r="M119" i="21"/>
  <c r="H119" i="21"/>
  <c r="A119" i="21"/>
  <c r="K119" i="21"/>
  <c r="G119" i="21"/>
  <c r="E119" i="21"/>
  <c r="D119" i="21"/>
  <c r="J119" i="21"/>
  <c r="I119" i="21"/>
  <c r="C119" i="21"/>
  <c r="B119" i="21"/>
  <c r="E122" i="22"/>
  <c r="L122" i="22"/>
  <c r="K122" i="22"/>
  <c r="H122" i="22"/>
  <c r="G122" i="22"/>
  <c r="B122" i="22"/>
  <c r="I122" i="22"/>
  <c r="J122" i="22"/>
  <c r="N122" i="22"/>
  <c r="M122" i="22"/>
  <c r="F122" i="22"/>
  <c r="D122" i="22"/>
  <c r="C122" i="22"/>
  <c r="A122" i="22"/>
  <c r="A87" i="23"/>
  <c r="I87" i="23"/>
  <c r="J87" i="23"/>
  <c r="E87" i="23"/>
  <c r="N87" i="23"/>
  <c r="F87" i="23"/>
  <c r="H87" i="23"/>
  <c r="M87" i="23"/>
  <c r="L87" i="23"/>
  <c r="G87" i="23"/>
  <c r="D87" i="23"/>
  <c r="C87" i="23"/>
  <c r="B87" i="23"/>
  <c r="K87" i="23"/>
  <c r="M73" i="17"/>
  <c r="M14" i="18"/>
  <c r="M27" i="20"/>
  <c r="M93" i="17"/>
  <c r="M41" i="17"/>
  <c r="M100" i="17"/>
  <c r="M38" i="17"/>
  <c r="M42" i="17"/>
  <c r="M21" i="16"/>
  <c r="M28" i="15"/>
  <c r="M36" i="16"/>
  <c r="M53" i="15"/>
  <c r="M19" i="20"/>
  <c r="M98" i="17"/>
  <c r="M93" i="18"/>
  <c r="M68" i="17"/>
  <c r="M12" i="16"/>
  <c r="M44" i="13"/>
  <c r="M51" i="12"/>
  <c r="M55" i="10"/>
  <c r="M39" i="10"/>
  <c r="M34" i="11"/>
  <c r="J12" i="8"/>
  <c r="H36" i="8" s="1"/>
  <c r="M37" i="12"/>
  <c r="Y42" i="24"/>
  <c r="M11" i="19"/>
  <c r="Y1246" i="24"/>
  <c r="M98" i="14"/>
  <c r="M10" i="14"/>
  <c r="M91" i="14"/>
  <c r="C29" i="2"/>
  <c r="M14" i="10"/>
  <c r="Y1130" i="24"/>
  <c r="M87" i="14"/>
  <c r="Y1349" i="24"/>
  <c r="M91" i="10"/>
  <c r="Y764" i="24"/>
  <c r="M69" i="12"/>
  <c r="Y792" i="24"/>
  <c r="M69" i="18"/>
  <c r="Y416" i="24"/>
  <c r="M44" i="12"/>
  <c r="Y161" i="24"/>
  <c r="M14" i="14"/>
  <c r="Y215" i="24"/>
  <c r="M20" i="10"/>
  <c r="Y97" i="24"/>
  <c r="M13" i="10"/>
  <c r="Y265" i="24"/>
  <c r="M36" i="11"/>
  <c r="Y1216" i="24"/>
  <c r="M101" i="11"/>
  <c r="Y338" i="24"/>
  <c r="M24" i="16"/>
  <c r="Y304" i="24"/>
  <c r="M39" i="11"/>
  <c r="Y176" i="24"/>
  <c r="M24" i="11"/>
  <c r="I62" i="23"/>
  <c r="E62" i="23"/>
  <c r="N62" i="23"/>
  <c r="K62" i="23"/>
  <c r="J62" i="23"/>
  <c r="L62" i="23"/>
  <c r="G62" i="23"/>
  <c r="C62" i="23"/>
  <c r="B62" i="23"/>
  <c r="H62" i="23"/>
  <c r="M62" i="23"/>
  <c r="F62" i="23"/>
  <c r="D62" i="23"/>
  <c r="A62" i="23"/>
  <c r="Y421" i="24"/>
  <c r="M31" i="18"/>
  <c r="Y1087" i="24"/>
  <c r="M87" i="18"/>
  <c r="I32" i="23"/>
  <c r="K32" i="23"/>
  <c r="C32" i="23"/>
  <c r="D32" i="23"/>
  <c r="L32" i="23"/>
  <c r="H32" i="23"/>
  <c r="E32" i="23"/>
  <c r="B32" i="23"/>
  <c r="F32" i="23"/>
  <c r="J32" i="23"/>
  <c r="G32" i="23"/>
  <c r="A32" i="23"/>
  <c r="M32" i="23"/>
  <c r="N32" i="23"/>
  <c r="D60" i="23"/>
  <c r="M60" i="23"/>
  <c r="I60" i="23"/>
  <c r="N60" i="23"/>
  <c r="J60" i="23"/>
  <c r="H60" i="23"/>
  <c r="A60" i="23"/>
  <c r="L60" i="23"/>
  <c r="K60" i="23"/>
  <c r="F60" i="23"/>
  <c r="B60" i="23"/>
  <c r="E60" i="23"/>
  <c r="C60" i="23"/>
  <c r="G60" i="23"/>
  <c r="E14" i="22"/>
  <c r="N14" i="22"/>
  <c r="M14" i="22"/>
  <c r="K14" i="22"/>
  <c r="H14" i="22"/>
  <c r="A14" i="22"/>
  <c r="L14" i="22"/>
  <c r="F14" i="22"/>
  <c r="B14" i="22"/>
  <c r="G14" i="22"/>
  <c r="I14" i="22"/>
  <c r="C14" i="22"/>
  <c r="D14" i="22"/>
  <c r="J14" i="22"/>
  <c r="I72" i="23"/>
  <c r="L72" i="23"/>
  <c r="F72" i="23"/>
  <c r="D72" i="23"/>
  <c r="N72" i="23"/>
  <c r="E72" i="23"/>
  <c r="B72" i="23"/>
  <c r="A72" i="23"/>
  <c r="M72" i="23"/>
  <c r="K72" i="23"/>
  <c r="J72" i="23"/>
  <c r="H72" i="23"/>
  <c r="G72" i="23"/>
  <c r="C72" i="23"/>
  <c r="H97" i="21"/>
  <c r="F97" i="21"/>
  <c r="C97" i="21"/>
  <c r="L97" i="21"/>
  <c r="K97" i="21"/>
  <c r="J97" i="21"/>
  <c r="I97" i="21"/>
  <c r="A97" i="21"/>
  <c r="N97" i="21"/>
  <c r="G97" i="21"/>
  <c r="E97" i="21"/>
  <c r="D97" i="21"/>
  <c r="B97" i="21"/>
  <c r="M97" i="21"/>
  <c r="H61" i="22"/>
  <c r="K61" i="22"/>
  <c r="G61" i="22"/>
  <c r="F61" i="22"/>
  <c r="L61" i="22"/>
  <c r="B61" i="22"/>
  <c r="J61" i="22"/>
  <c r="I61" i="22"/>
  <c r="C61" i="22"/>
  <c r="N61" i="22"/>
  <c r="E61" i="22"/>
  <c r="D61" i="22"/>
  <c r="A61" i="22"/>
  <c r="M61" i="22"/>
  <c r="N31" i="22"/>
  <c r="B31" i="22"/>
  <c r="D31" i="22"/>
  <c r="J31" i="22"/>
  <c r="G31" i="22"/>
  <c r="F31" i="22"/>
  <c r="H31" i="22"/>
  <c r="A31" i="22"/>
  <c r="E31" i="22"/>
  <c r="C31" i="22"/>
  <c r="M31" i="22"/>
  <c r="K31" i="22"/>
  <c r="L31" i="22"/>
  <c r="I31" i="22"/>
  <c r="H127" i="22"/>
  <c r="C127" i="22"/>
  <c r="I127" i="22"/>
  <c r="K127" i="22"/>
  <c r="A127" i="22"/>
  <c r="E127" i="22"/>
  <c r="L127" i="22"/>
  <c r="J127" i="22"/>
  <c r="G127" i="22"/>
  <c r="B127" i="22"/>
  <c r="N127" i="22"/>
  <c r="M127" i="22"/>
  <c r="F127" i="22"/>
  <c r="D127" i="22"/>
  <c r="Y1060" i="24"/>
  <c r="M90" i="15"/>
  <c r="M12" i="23"/>
  <c r="M43" i="20"/>
  <c r="I97" i="19"/>
  <c r="A97" i="19"/>
  <c r="N97" i="19"/>
  <c r="M97" i="19"/>
  <c r="L97" i="19"/>
  <c r="K97" i="19"/>
  <c r="J97" i="19"/>
  <c r="H97" i="19"/>
  <c r="G97" i="19"/>
  <c r="F97" i="19"/>
  <c r="B97" i="19"/>
  <c r="E97" i="19"/>
  <c r="D97" i="19"/>
  <c r="C97" i="19"/>
  <c r="M48" i="19"/>
  <c r="A48" i="19"/>
  <c r="N48" i="19"/>
  <c r="L48" i="19"/>
  <c r="K48" i="19"/>
  <c r="J48" i="19"/>
  <c r="I48" i="19"/>
  <c r="H48" i="19"/>
  <c r="G48" i="19"/>
  <c r="F48" i="19"/>
  <c r="E48" i="19"/>
  <c r="D48" i="19"/>
  <c r="C48" i="19"/>
  <c r="B48" i="19"/>
  <c r="G55" i="19"/>
  <c r="D55" i="19"/>
  <c r="N55" i="19"/>
  <c r="M55" i="19"/>
  <c r="L55" i="19"/>
  <c r="K55" i="19"/>
  <c r="J55" i="19"/>
  <c r="I55" i="19"/>
  <c r="H55" i="19"/>
  <c r="F55" i="19"/>
  <c r="E55" i="19"/>
  <c r="C55" i="19"/>
  <c r="B55" i="19"/>
  <c r="A55" i="19"/>
  <c r="N76" i="20"/>
  <c r="J76" i="20"/>
  <c r="H76" i="20"/>
  <c r="F76" i="20"/>
  <c r="E76" i="20"/>
  <c r="D76" i="20"/>
  <c r="C76" i="20"/>
  <c r="B76" i="20"/>
  <c r="M76" i="20"/>
  <c r="K76" i="20"/>
  <c r="I76" i="20"/>
  <c r="G76" i="20"/>
  <c r="A76" i="20"/>
  <c r="L76" i="20"/>
  <c r="C113" i="20"/>
  <c r="J113" i="20"/>
  <c r="F113" i="20"/>
  <c r="M113" i="20"/>
  <c r="B113" i="20"/>
  <c r="N113" i="20"/>
  <c r="K113" i="20"/>
  <c r="I113" i="20"/>
  <c r="L113" i="20"/>
  <c r="H113" i="20"/>
  <c r="G113" i="20"/>
  <c r="E113" i="20"/>
  <c r="D113" i="20"/>
  <c r="A113" i="20"/>
  <c r="M63" i="21"/>
  <c r="J63" i="21"/>
  <c r="F63" i="21"/>
  <c r="E63" i="21"/>
  <c r="D63" i="21"/>
  <c r="H63" i="21"/>
  <c r="B63" i="21"/>
  <c r="A63" i="21"/>
  <c r="N63" i="21"/>
  <c r="L63" i="21"/>
  <c r="K63" i="21"/>
  <c r="I63" i="21"/>
  <c r="G63" i="21"/>
  <c r="C63" i="21"/>
  <c r="H65" i="21"/>
  <c r="K65" i="21"/>
  <c r="G65" i="21"/>
  <c r="I65" i="21"/>
  <c r="D65" i="21"/>
  <c r="C65" i="21"/>
  <c r="B65" i="21"/>
  <c r="N65" i="21"/>
  <c r="L65" i="21"/>
  <c r="J65" i="21"/>
  <c r="A65" i="21"/>
  <c r="M65" i="21"/>
  <c r="E65" i="21"/>
  <c r="F65" i="21"/>
  <c r="I64" i="21"/>
  <c r="A64" i="21"/>
  <c r="M64" i="21"/>
  <c r="L64" i="21"/>
  <c r="K64" i="21"/>
  <c r="E64" i="21"/>
  <c r="N64" i="21"/>
  <c r="J64" i="21"/>
  <c r="H64" i="21"/>
  <c r="G64" i="21"/>
  <c r="F64" i="21"/>
  <c r="D64" i="21"/>
  <c r="C64" i="21"/>
  <c r="B64" i="21"/>
  <c r="K85" i="21"/>
  <c r="H85" i="21"/>
  <c r="J85" i="21"/>
  <c r="I85" i="21"/>
  <c r="G85" i="21"/>
  <c r="F85" i="21"/>
  <c r="C85" i="21"/>
  <c r="B85" i="21"/>
  <c r="A85" i="21"/>
  <c r="N85" i="21"/>
  <c r="M85" i="21"/>
  <c r="E85" i="21"/>
  <c r="L85" i="21"/>
  <c r="D85" i="21"/>
  <c r="G120" i="21"/>
  <c r="F120" i="21"/>
  <c r="K120" i="21"/>
  <c r="A120" i="21"/>
  <c r="M120" i="21"/>
  <c r="C120" i="21"/>
  <c r="B120" i="21"/>
  <c r="J120" i="21"/>
  <c r="H120" i="21"/>
  <c r="N120" i="21"/>
  <c r="L120" i="21"/>
  <c r="I120" i="21"/>
  <c r="E120" i="21"/>
  <c r="D120" i="21"/>
  <c r="M39" i="21"/>
  <c r="N39" i="21"/>
  <c r="L39" i="21"/>
  <c r="G39" i="21"/>
  <c r="I39" i="21"/>
  <c r="E39" i="21"/>
  <c r="B39" i="21"/>
  <c r="K39" i="21"/>
  <c r="J39" i="21"/>
  <c r="H39" i="21"/>
  <c r="F39" i="21"/>
  <c r="D39" i="21"/>
  <c r="C39" i="21"/>
  <c r="A39" i="21"/>
  <c r="J73" i="23"/>
  <c r="I73" i="23"/>
  <c r="A73" i="23"/>
  <c r="K73" i="23"/>
  <c r="G73" i="23"/>
  <c r="M73" i="23"/>
  <c r="F73" i="23"/>
  <c r="E73" i="23"/>
  <c r="B73" i="23"/>
  <c r="N73" i="23"/>
  <c r="L73" i="23"/>
  <c r="H73" i="23"/>
  <c r="C73" i="23"/>
  <c r="D73" i="23"/>
  <c r="H41" i="22"/>
  <c r="K41" i="22"/>
  <c r="A41" i="22"/>
  <c r="I41" i="22"/>
  <c r="N41" i="22"/>
  <c r="J41" i="22"/>
  <c r="M41" i="22"/>
  <c r="L41" i="22"/>
  <c r="G41" i="22"/>
  <c r="B41" i="22"/>
  <c r="F41" i="22"/>
  <c r="E41" i="22"/>
  <c r="D41" i="22"/>
  <c r="C41" i="22"/>
  <c r="N103" i="22"/>
  <c r="B103" i="22"/>
  <c r="F103" i="22"/>
  <c r="M103" i="22"/>
  <c r="J103" i="22"/>
  <c r="I103" i="22"/>
  <c r="G103" i="22"/>
  <c r="C103" i="22"/>
  <c r="K103" i="22"/>
  <c r="A103" i="22"/>
  <c r="L103" i="22"/>
  <c r="H103" i="22"/>
  <c r="E103" i="22"/>
  <c r="D103" i="22"/>
  <c r="M88" i="18"/>
  <c r="M75" i="18"/>
  <c r="M28" i="17"/>
  <c r="M60" i="18"/>
  <c r="M65" i="15"/>
  <c r="M56" i="17"/>
  <c r="M72" i="15"/>
  <c r="M50" i="14"/>
  <c r="M52" i="14"/>
  <c r="M86" i="15"/>
  <c r="M39" i="13"/>
  <c r="M78" i="13"/>
  <c r="M27" i="13"/>
  <c r="M46" i="11"/>
  <c r="M63" i="16"/>
  <c r="M42" i="13"/>
  <c r="M103" i="10"/>
  <c r="M77" i="14"/>
  <c r="M69" i="11"/>
  <c r="Y655" i="24"/>
  <c r="M48" i="14"/>
  <c r="Y1085" i="24"/>
  <c r="M84" i="14"/>
  <c r="Y1140" i="24"/>
  <c r="M97" i="13"/>
  <c r="Y1262" i="24"/>
  <c r="M103" i="13"/>
  <c r="Y1119" i="24"/>
  <c r="M84" i="17"/>
  <c r="Y1169" i="24"/>
  <c r="M95" i="12"/>
  <c r="Y903" i="24"/>
  <c r="M81" i="11"/>
  <c r="Y506" i="24"/>
  <c r="M43" i="16"/>
  <c r="Y195" i="24"/>
  <c r="M28" i="11"/>
  <c r="Y533" i="24"/>
  <c r="M45" i="16"/>
  <c r="D70" i="23"/>
  <c r="B70" i="23"/>
  <c r="N70" i="23"/>
  <c r="M70" i="23"/>
  <c r="J70" i="23"/>
  <c r="I70" i="23"/>
  <c r="L70" i="23"/>
  <c r="H70" i="23"/>
  <c r="F70" i="23"/>
  <c r="E70" i="23"/>
  <c r="A70" i="23"/>
  <c r="K70" i="23"/>
  <c r="C70" i="23"/>
  <c r="G70" i="23"/>
  <c r="Y870" i="24"/>
  <c r="M75" i="10"/>
  <c r="L83" i="23"/>
  <c r="J83" i="23"/>
  <c r="I83" i="23"/>
  <c r="N83" i="23"/>
  <c r="M83" i="23"/>
  <c r="D83" i="23"/>
  <c r="C83" i="23"/>
  <c r="A83" i="23"/>
  <c r="G83" i="23"/>
  <c r="E83" i="23"/>
  <c r="B83" i="23"/>
  <c r="H83" i="23"/>
  <c r="K83" i="23"/>
  <c r="F83" i="23"/>
  <c r="H33" i="23"/>
  <c r="I33" i="23"/>
  <c r="K33" i="23"/>
  <c r="N33" i="23"/>
  <c r="J33" i="23"/>
  <c r="G33" i="23"/>
  <c r="L33" i="23"/>
  <c r="E33" i="23"/>
  <c r="B33" i="23"/>
  <c r="M33" i="23"/>
  <c r="F33" i="23"/>
  <c r="C33" i="23"/>
  <c r="A33" i="23"/>
  <c r="D33" i="23"/>
  <c r="L43" i="23"/>
  <c r="H43" i="23"/>
  <c r="F43" i="23"/>
  <c r="B43" i="23"/>
  <c r="J43" i="23"/>
  <c r="I43" i="23"/>
  <c r="E43" i="23"/>
  <c r="A43" i="23"/>
  <c r="K43" i="23"/>
  <c r="D43" i="23"/>
  <c r="C43" i="23"/>
  <c r="N43" i="23"/>
  <c r="M43" i="23"/>
  <c r="G43" i="23"/>
  <c r="K92" i="21"/>
  <c r="F92" i="21"/>
  <c r="C92" i="21"/>
  <c r="D92" i="21"/>
  <c r="N92" i="21"/>
  <c r="L92" i="21"/>
  <c r="J92" i="21"/>
  <c r="G92" i="21"/>
  <c r="B92" i="21"/>
  <c r="M92" i="21"/>
  <c r="I92" i="21"/>
  <c r="H92" i="21"/>
  <c r="E92" i="21"/>
  <c r="A92" i="21"/>
  <c r="K56" i="22"/>
  <c r="N56" i="22"/>
  <c r="M56" i="22"/>
  <c r="H56" i="22"/>
  <c r="I56" i="22"/>
  <c r="B56" i="22"/>
  <c r="J56" i="22"/>
  <c r="G56" i="22"/>
  <c r="D56" i="22"/>
  <c r="F56" i="22"/>
  <c r="E56" i="22"/>
  <c r="C56" i="22"/>
  <c r="L56" i="22"/>
  <c r="A56" i="22"/>
  <c r="H33" i="22"/>
  <c r="G33" i="22"/>
  <c r="D33" i="22"/>
  <c r="C33" i="22"/>
  <c r="N33" i="22"/>
  <c r="L33" i="22"/>
  <c r="I33" i="22"/>
  <c r="B33" i="22"/>
  <c r="A33" i="22"/>
  <c r="M33" i="22"/>
  <c r="K33" i="22"/>
  <c r="E33" i="22"/>
  <c r="J33" i="22"/>
  <c r="F33" i="22"/>
  <c r="N119" i="22"/>
  <c r="B119" i="22"/>
  <c r="C119" i="22"/>
  <c r="A119" i="22"/>
  <c r="M119" i="22"/>
  <c r="J119" i="22"/>
  <c r="I119" i="22"/>
  <c r="D119" i="22"/>
  <c r="K119" i="22"/>
  <c r="H119" i="22"/>
  <c r="E119" i="22"/>
  <c r="F119" i="22"/>
  <c r="L119" i="22"/>
  <c r="G119" i="22"/>
  <c r="Y460" i="24"/>
  <c r="M51" i="15"/>
  <c r="M33" i="21"/>
  <c r="M38" i="22"/>
  <c r="M107" i="18"/>
  <c r="G47" i="19"/>
  <c r="D47" i="19"/>
  <c r="K47" i="19"/>
  <c r="I47" i="19"/>
  <c r="B47" i="19"/>
  <c r="L47" i="19"/>
  <c r="J47" i="19"/>
  <c r="H47" i="19"/>
  <c r="F47" i="19"/>
  <c r="E47" i="19"/>
  <c r="C47" i="19"/>
  <c r="A47" i="19"/>
  <c r="N47" i="19"/>
  <c r="M47" i="19"/>
  <c r="L100" i="19"/>
  <c r="D100" i="19"/>
  <c r="A100" i="19"/>
  <c r="M100" i="19"/>
  <c r="I100" i="19"/>
  <c r="G100" i="19"/>
  <c r="F100" i="19"/>
  <c r="E100" i="19"/>
  <c r="C100" i="19"/>
  <c r="N100" i="19"/>
  <c r="H100" i="19"/>
  <c r="B100" i="19"/>
  <c r="K100" i="19"/>
  <c r="J100" i="19"/>
  <c r="M59" i="19"/>
  <c r="K59" i="19"/>
  <c r="J59" i="19"/>
  <c r="F59" i="19"/>
  <c r="N59" i="19"/>
  <c r="L59" i="19"/>
  <c r="I59" i="19"/>
  <c r="H59" i="19"/>
  <c r="G59" i="19"/>
  <c r="E59" i="19"/>
  <c r="D59" i="19"/>
  <c r="B59" i="19"/>
  <c r="A59" i="19"/>
  <c r="C59" i="19"/>
  <c r="L37" i="20"/>
  <c r="J37" i="20"/>
  <c r="H37" i="20"/>
  <c r="G37" i="20"/>
  <c r="E37" i="20"/>
  <c r="D37" i="20"/>
  <c r="N37" i="20"/>
  <c r="M37" i="20"/>
  <c r="K37" i="20"/>
  <c r="I37" i="20"/>
  <c r="F37" i="20"/>
  <c r="C37" i="20"/>
  <c r="B37" i="20"/>
  <c r="A37" i="20"/>
  <c r="C93" i="20"/>
  <c r="N93" i="20"/>
  <c r="L93" i="20"/>
  <c r="J93" i="20"/>
  <c r="I93" i="20"/>
  <c r="H93" i="20"/>
  <c r="G93" i="20"/>
  <c r="F93" i="20"/>
  <c r="M93" i="20"/>
  <c r="K93" i="20"/>
  <c r="E93" i="20"/>
  <c r="D93" i="20"/>
  <c r="B93" i="20"/>
  <c r="A93" i="20"/>
  <c r="J43" i="19"/>
  <c r="G43" i="19"/>
  <c r="F43" i="19"/>
  <c r="E43" i="19"/>
  <c r="D43" i="19"/>
  <c r="C43" i="19"/>
  <c r="B43" i="19"/>
  <c r="A43" i="19"/>
  <c r="N43" i="19"/>
  <c r="M43" i="19"/>
  <c r="L43" i="19"/>
  <c r="K43" i="19"/>
  <c r="I43" i="19"/>
  <c r="H43" i="19"/>
  <c r="A73" i="19"/>
  <c r="M73" i="19"/>
  <c r="K73" i="19"/>
  <c r="J73" i="19"/>
  <c r="F73" i="19"/>
  <c r="N73" i="19"/>
  <c r="L73" i="19"/>
  <c r="I73" i="19"/>
  <c r="H73" i="19"/>
  <c r="G73" i="19"/>
  <c r="E73" i="19"/>
  <c r="D73" i="19"/>
  <c r="C73" i="19"/>
  <c r="B73" i="19"/>
  <c r="C58" i="23"/>
  <c r="I58" i="23"/>
  <c r="M58" i="23"/>
  <c r="N58" i="23"/>
  <c r="L58" i="23"/>
  <c r="H58" i="23"/>
  <c r="G58" i="23"/>
  <c r="D58" i="23"/>
  <c r="F58" i="23"/>
  <c r="J58" i="23"/>
  <c r="K58" i="23"/>
  <c r="B58" i="23"/>
  <c r="E58" i="23"/>
  <c r="A58" i="23"/>
  <c r="B59" i="22"/>
  <c r="N59" i="22"/>
  <c r="C59" i="22"/>
  <c r="I59" i="22"/>
  <c r="F59" i="22"/>
  <c r="E59" i="22"/>
  <c r="L59" i="22"/>
  <c r="J59" i="22"/>
  <c r="D59" i="22"/>
  <c r="K59" i="22"/>
  <c r="G59" i="22"/>
  <c r="M59" i="22"/>
  <c r="H59" i="22"/>
  <c r="A59" i="22"/>
  <c r="E118" i="22"/>
  <c r="H118" i="22"/>
  <c r="M118" i="22"/>
  <c r="L118" i="22"/>
  <c r="I118" i="22"/>
  <c r="K118" i="22"/>
  <c r="F118" i="22"/>
  <c r="C118" i="22"/>
  <c r="A118" i="22"/>
  <c r="J118" i="22"/>
  <c r="G118" i="22"/>
  <c r="D118" i="22"/>
  <c r="B118" i="22"/>
  <c r="N118" i="22"/>
  <c r="N63" i="22"/>
  <c r="B63" i="22"/>
  <c r="L63" i="22"/>
  <c r="I63" i="22"/>
  <c r="H63" i="22"/>
  <c r="G63" i="22"/>
  <c r="F63" i="22"/>
  <c r="E63" i="22"/>
  <c r="A63" i="22"/>
  <c r="K63" i="22"/>
  <c r="J63" i="22"/>
  <c r="C63" i="22"/>
  <c r="M63" i="22"/>
  <c r="D63" i="22"/>
  <c r="C58" i="21"/>
  <c r="D58" i="21"/>
  <c r="N58" i="21"/>
  <c r="I58" i="21"/>
  <c r="A58" i="21"/>
  <c r="K58" i="21"/>
  <c r="J58" i="21"/>
  <c r="G58" i="21"/>
  <c r="E58" i="21"/>
  <c r="B58" i="21"/>
  <c r="M58" i="21"/>
  <c r="L58" i="21"/>
  <c r="H58" i="21"/>
  <c r="F58" i="21"/>
  <c r="J49" i="21"/>
  <c r="G49" i="21"/>
  <c r="A49" i="21"/>
  <c r="N49" i="21"/>
  <c r="I49" i="21"/>
  <c r="H49" i="21"/>
  <c r="F49" i="21"/>
  <c r="K49" i="21"/>
  <c r="D49" i="21"/>
  <c r="C49" i="21"/>
  <c r="M49" i="21"/>
  <c r="L49" i="21"/>
  <c r="E49" i="21"/>
  <c r="B49" i="21"/>
  <c r="E74" i="22"/>
  <c r="M74" i="22"/>
  <c r="J74" i="22"/>
  <c r="G74" i="22"/>
  <c r="F74" i="22"/>
  <c r="N74" i="22"/>
  <c r="I74" i="22"/>
  <c r="D74" i="22"/>
  <c r="A74" i="22"/>
  <c r="L74" i="22"/>
  <c r="C74" i="22"/>
  <c r="H74" i="22"/>
  <c r="K74" i="22"/>
  <c r="B74" i="22"/>
  <c r="I56" i="23"/>
  <c r="N56" i="23"/>
  <c r="C56" i="23"/>
  <c r="L56" i="23"/>
  <c r="K56" i="23"/>
  <c r="G56" i="23"/>
  <c r="F56" i="23"/>
  <c r="M56" i="23"/>
  <c r="J56" i="23"/>
  <c r="H56" i="23"/>
  <c r="D56" i="23"/>
  <c r="B56" i="23"/>
  <c r="A56" i="23"/>
  <c r="E56" i="23"/>
  <c r="M39" i="19"/>
  <c r="M54" i="15"/>
  <c r="M10" i="15"/>
  <c r="M30" i="15"/>
  <c r="M49" i="18"/>
  <c r="M27" i="17"/>
  <c r="M86" i="18"/>
  <c r="M12" i="13"/>
  <c r="M15" i="15"/>
  <c r="M67" i="12"/>
  <c r="M61" i="11"/>
  <c r="M66" i="11"/>
  <c r="M37" i="11"/>
  <c r="M14" i="16"/>
  <c r="Y302" i="24"/>
  <c r="M31" i="19"/>
  <c r="C39" i="6"/>
  <c r="H39" i="6" s="1"/>
  <c r="G38" i="6"/>
  <c r="F38" i="6"/>
  <c r="E38" i="6"/>
  <c r="D38" i="6"/>
  <c r="G37" i="6"/>
  <c r="D37" i="6"/>
  <c r="F40" i="6"/>
  <c r="F36" i="6"/>
  <c r="D40" i="6"/>
  <c r="D36" i="6"/>
  <c r="G39" i="6"/>
  <c r="F39" i="6"/>
  <c r="E39" i="6"/>
  <c r="D39" i="6"/>
  <c r="G36" i="6"/>
  <c r="C36" i="6"/>
  <c r="H36" i="6" s="1"/>
  <c r="G40" i="6"/>
  <c r="C40" i="6"/>
  <c r="H40" i="6" s="1"/>
  <c r="E36" i="6"/>
  <c r="E40" i="6"/>
  <c r="Y1021" i="24"/>
  <c r="M78" i="14"/>
  <c r="M94" i="12"/>
  <c r="Y1347" i="24"/>
  <c r="M37" i="10"/>
  <c r="Y1096" i="24"/>
  <c r="M90" i="12"/>
  <c r="Y1025" i="24"/>
  <c r="M89" i="11"/>
  <c r="Y596" i="24"/>
  <c r="M54" i="10"/>
  <c r="Y649" i="24"/>
  <c r="M59" i="16"/>
  <c r="Y689" i="24"/>
  <c r="M61" i="10"/>
  <c r="Y366" i="24"/>
  <c r="M41" i="15"/>
  <c r="Y188" i="24"/>
  <c r="M21" i="20"/>
  <c r="Y228" i="24"/>
  <c r="M30" i="12"/>
  <c r="Y312" i="24"/>
  <c r="M41" i="11"/>
  <c r="Y1305" i="24"/>
  <c r="M101" i="16"/>
  <c r="Y65" i="24"/>
  <c r="M13" i="11"/>
  <c r="J78" i="23"/>
  <c r="M78" i="23"/>
  <c r="G78" i="23"/>
  <c r="C78" i="23"/>
  <c r="A78" i="23"/>
  <c r="E78" i="23"/>
  <c r="K78" i="23"/>
  <c r="I78" i="23"/>
  <c r="F78" i="23"/>
  <c r="B78" i="23"/>
  <c r="H78" i="23"/>
  <c r="D78" i="23"/>
  <c r="N78" i="23"/>
  <c r="L78" i="23"/>
  <c r="Y507" i="24"/>
  <c r="M40" i="18"/>
  <c r="Y763" i="24"/>
  <c r="M64" i="18"/>
  <c r="Y25" i="24"/>
  <c r="M12" i="22"/>
  <c r="K103" i="23"/>
  <c r="D103" i="23"/>
  <c r="J103" i="23"/>
  <c r="C103" i="23"/>
  <c r="H103" i="23"/>
  <c r="L103" i="23"/>
  <c r="E103" i="23"/>
  <c r="I103" i="23"/>
  <c r="N103" i="23"/>
  <c r="M103" i="23"/>
  <c r="B103" i="23"/>
  <c r="G103" i="23"/>
  <c r="F103" i="23"/>
  <c r="A103" i="23"/>
  <c r="M31" i="23"/>
  <c r="D31" i="23"/>
  <c r="L31" i="23"/>
  <c r="J31" i="23"/>
  <c r="N31" i="23"/>
  <c r="H31" i="23"/>
  <c r="G31" i="23"/>
  <c r="B31" i="23"/>
  <c r="A31" i="23"/>
  <c r="F31" i="23"/>
  <c r="E31" i="23"/>
  <c r="K31" i="23"/>
  <c r="I31" i="23"/>
  <c r="C31" i="23"/>
  <c r="K116" i="22"/>
  <c r="L116" i="22"/>
  <c r="F116" i="22"/>
  <c r="G116" i="22"/>
  <c r="C116" i="22"/>
  <c r="M116" i="22"/>
  <c r="J116" i="22"/>
  <c r="I116" i="22"/>
  <c r="D116" i="22"/>
  <c r="B116" i="22"/>
  <c r="H116" i="22"/>
  <c r="E116" i="22"/>
  <c r="A116" i="22"/>
  <c r="N116" i="22"/>
  <c r="N87" i="21"/>
  <c r="F87" i="21"/>
  <c r="C87" i="21"/>
  <c r="K87" i="21"/>
  <c r="J87" i="21"/>
  <c r="I87" i="21"/>
  <c r="H87" i="21"/>
  <c r="D87" i="21"/>
  <c r="B87" i="21"/>
  <c r="A87" i="21"/>
  <c r="M87" i="21"/>
  <c r="L87" i="21"/>
  <c r="G87" i="21"/>
  <c r="E87" i="21"/>
  <c r="K44" i="22"/>
  <c r="F44" i="22"/>
  <c r="C44" i="22"/>
  <c r="B44" i="22"/>
  <c r="J44" i="22"/>
  <c r="G44" i="22"/>
  <c r="E44" i="22"/>
  <c r="L44" i="22"/>
  <c r="N44" i="22"/>
  <c r="M44" i="22"/>
  <c r="I44" i="22"/>
  <c r="A44" i="22"/>
  <c r="H44" i="22"/>
  <c r="D44" i="22"/>
  <c r="I88" i="23"/>
  <c r="K88" i="23"/>
  <c r="J88" i="23"/>
  <c r="C88" i="23"/>
  <c r="D88" i="23"/>
  <c r="N88" i="23"/>
  <c r="M88" i="23"/>
  <c r="G88" i="23"/>
  <c r="F88" i="23"/>
  <c r="L88" i="23"/>
  <c r="B88" i="23"/>
  <c r="H88" i="23"/>
  <c r="E88" i="23"/>
  <c r="A88" i="23"/>
  <c r="B75" i="22"/>
  <c r="N75" i="22"/>
  <c r="F75" i="22"/>
  <c r="C75" i="22"/>
  <c r="A75" i="22"/>
  <c r="G75" i="22"/>
  <c r="E75" i="22"/>
  <c r="K75" i="22"/>
  <c r="I75" i="22"/>
  <c r="D75" i="22"/>
  <c r="J75" i="22"/>
  <c r="M75" i="22"/>
  <c r="L75" i="22"/>
  <c r="H75" i="22"/>
  <c r="Y80" i="24"/>
  <c r="M16" i="15"/>
  <c r="M15" i="21"/>
  <c r="M69" i="19"/>
  <c r="M78" i="18"/>
  <c r="M35" i="19"/>
  <c r="F78" i="4"/>
  <c r="E78" i="4"/>
  <c r="D78" i="4"/>
  <c r="Y266" i="24"/>
  <c r="M27" i="21"/>
  <c r="M100" i="18"/>
  <c r="L108" i="19"/>
  <c r="D108" i="19"/>
  <c r="A108" i="19"/>
  <c r="H108" i="19"/>
  <c r="E108" i="19"/>
  <c r="B108" i="19"/>
  <c r="N108" i="19"/>
  <c r="K108" i="19"/>
  <c r="J108" i="19"/>
  <c r="M108" i="19"/>
  <c r="I108" i="19"/>
  <c r="G108" i="19"/>
  <c r="F108" i="19"/>
  <c r="C108" i="19"/>
  <c r="K70" i="19"/>
  <c r="F70" i="19"/>
  <c r="D70" i="19"/>
  <c r="C70" i="19"/>
  <c r="N70" i="19"/>
  <c r="M70" i="19"/>
  <c r="L70" i="19"/>
  <c r="J70" i="19"/>
  <c r="G70" i="19"/>
  <c r="E70" i="19"/>
  <c r="B70" i="19"/>
  <c r="A70" i="19"/>
  <c r="I70" i="19"/>
  <c r="H70" i="19"/>
  <c r="F84" i="20"/>
  <c r="N84" i="20"/>
  <c r="M84" i="20"/>
  <c r="L84" i="20"/>
  <c r="K84" i="20"/>
  <c r="J84" i="20"/>
  <c r="I84" i="20"/>
  <c r="H84" i="20"/>
  <c r="E84" i="20"/>
  <c r="C84" i="20"/>
  <c r="B84" i="20"/>
  <c r="A84" i="20"/>
  <c r="G84" i="20"/>
  <c r="D84" i="20"/>
  <c r="L109" i="21"/>
  <c r="D109" i="21"/>
  <c r="A109" i="21"/>
  <c r="B109" i="21"/>
  <c r="N109" i="21"/>
  <c r="K109" i="21"/>
  <c r="J109" i="21"/>
  <c r="I109" i="21"/>
  <c r="H109" i="21"/>
  <c r="E109" i="21"/>
  <c r="C109" i="21"/>
  <c r="M109" i="21"/>
  <c r="G109" i="21"/>
  <c r="F109" i="21"/>
  <c r="A57" i="19"/>
  <c r="N57" i="19"/>
  <c r="J57" i="19"/>
  <c r="M57" i="19"/>
  <c r="L57" i="19"/>
  <c r="K57" i="19"/>
  <c r="I57" i="19"/>
  <c r="H57" i="19"/>
  <c r="G57" i="19"/>
  <c r="F57" i="19"/>
  <c r="E57" i="19"/>
  <c r="D57" i="19"/>
  <c r="C57" i="19"/>
  <c r="B57" i="19"/>
  <c r="J90" i="19"/>
  <c r="G90" i="19"/>
  <c r="F90" i="19"/>
  <c r="M90" i="19"/>
  <c r="K90" i="19"/>
  <c r="I90" i="19"/>
  <c r="C90" i="19"/>
  <c r="N90" i="19"/>
  <c r="L90" i="19"/>
  <c r="H90" i="19"/>
  <c r="E90" i="19"/>
  <c r="D90" i="19"/>
  <c r="B90" i="19"/>
  <c r="A90" i="19"/>
  <c r="N75" i="19"/>
  <c r="K75" i="19"/>
  <c r="I75" i="19"/>
  <c r="G75" i="19"/>
  <c r="F75" i="19"/>
  <c r="B75" i="19"/>
  <c r="M75" i="19"/>
  <c r="L75" i="19"/>
  <c r="J75" i="19"/>
  <c r="H75" i="19"/>
  <c r="E75" i="19"/>
  <c r="D75" i="19"/>
  <c r="C75" i="19"/>
  <c r="A75" i="19"/>
  <c r="L109" i="18"/>
  <c r="E109" i="18"/>
  <c r="G109" i="18"/>
  <c r="F109" i="18"/>
  <c r="C109" i="18"/>
  <c r="B109" i="18"/>
  <c r="N109" i="18"/>
  <c r="M109" i="18"/>
  <c r="K109" i="18"/>
  <c r="J109" i="18"/>
  <c r="I109" i="18"/>
  <c r="H109" i="18"/>
  <c r="D109" i="18"/>
  <c r="A109" i="18"/>
  <c r="H47" i="23"/>
  <c r="J47" i="23"/>
  <c r="L47" i="23"/>
  <c r="I47" i="23"/>
  <c r="G47" i="23"/>
  <c r="E47" i="23"/>
  <c r="B47" i="23"/>
  <c r="N47" i="23"/>
  <c r="M47" i="23"/>
  <c r="K47" i="23"/>
  <c r="D47" i="23"/>
  <c r="C47" i="23"/>
  <c r="F47" i="23"/>
  <c r="A47" i="23"/>
  <c r="H105" i="21"/>
  <c r="L105" i="21"/>
  <c r="I105" i="21"/>
  <c r="B105" i="21"/>
  <c r="M105" i="21"/>
  <c r="A105" i="21"/>
  <c r="N105" i="21"/>
  <c r="G105" i="21"/>
  <c r="E105" i="21"/>
  <c r="K105" i="21"/>
  <c r="J105" i="21"/>
  <c r="F105" i="21"/>
  <c r="D105" i="21"/>
  <c r="C105" i="21"/>
  <c r="M60" i="21"/>
  <c r="J60" i="21"/>
  <c r="A60" i="21"/>
  <c r="N60" i="21"/>
  <c r="G60" i="21"/>
  <c r="I60" i="21"/>
  <c r="E60" i="21"/>
  <c r="C60" i="21"/>
  <c r="B60" i="21"/>
  <c r="L60" i="21"/>
  <c r="K60" i="21"/>
  <c r="H60" i="21"/>
  <c r="F60" i="21"/>
  <c r="D60" i="21"/>
  <c r="J104" i="21"/>
  <c r="B104" i="21"/>
  <c r="N104" i="21"/>
  <c r="C104" i="21"/>
  <c r="M104" i="21"/>
  <c r="L104" i="21"/>
  <c r="H104" i="21"/>
  <c r="G104" i="21"/>
  <c r="F104" i="21"/>
  <c r="K104" i="21"/>
  <c r="I104" i="21"/>
  <c r="E104" i="21"/>
  <c r="D104" i="21"/>
  <c r="A104" i="21"/>
  <c r="K84" i="22"/>
  <c r="H84" i="22"/>
  <c r="G84" i="22"/>
  <c r="D84" i="22"/>
  <c r="C84" i="22"/>
  <c r="N84" i="22"/>
  <c r="J84" i="22"/>
  <c r="F84" i="22"/>
  <c r="A84" i="22"/>
  <c r="M84" i="22"/>
  <c r="E84" i="22"/>
  <c r="I84" i="22"/>
  <c r="L84" i="22"/>
  <c r="B84" i="22"/>
  <c r="N71" i="23"/>
  <c r="E71" i="23"/>
  <c r="A71" i="23"/>
  <c r="M71" i="23"/>
  <c r="H71" i="23"/>
  <c r="J71" i="23"/>
  <c r="F71" i="23"/>
  <c r="D71" i="23"/>
  <c r="I71" i="23"/>
  <c r="G71" i="23"/>
  <c r="B71" i="23"/>
  <c r="C71" i="23"/>
  <c r="K71" i="23"/>
  <c r="L71" i="23"/>
  <c r="M59" i="18"/>
  <c r="M14" i="15"/>
  <c r="M33" i="15"/>
  <c r="M90" i="17"/>
  <c r="M69" i="15"/>
  <c r="M94" i="18"/>
  <c r="M47" i="17"/>
  <c r="M102" i="13"/>
  <c r="M32" i="13"/>
  <c r="M75" i="14"/>
  <c r="M48" i="13"/>
  <c r="M45" i="13"/>
  <c r="M17" i="12"/>
  <c r="M40" i="12"/>
  <c r="M25" i="12"/>
  <c r="M58" i="10"/>
  <c r="M101" i="10"/>
  <c r="M23" i="14"/>
  <c r="M21" i="12"/>
  <c r="M93" i="10"/>
  <c r="M19" i="11"/>
  <c r="M52" i="11"/>
  <c r="P26" i="5"/>
  <c r="M12" i="11"/>
  <c r="Y571" i="24"/>
  <c r="M42" i="14"/>
  <c r="Y1071" i="24"/>
  <c r="M83" i="14"/>
  <c r="A22" i="2"/>
  <c r="A21" i="2"/>
  <c r="A24" i="2"/>
  <c r="A19" i="2"/>
  <c r="A15" i="2"/>
  <c r="A13" i="2"/>
  <c r="A20" i="2"/>
  <c r="A16" i="2"/>
  <c r="C7" i="2"/>
  <c r="A18" i="2"/>
  <c r="A14" i="2"/>
  <c r="A23" i="2"/>
  <c r="A12" i="2"/>
  <c r="A17" i="2"/>
  <c r="Y716" i="24"/>
  <c r="M58" i="19"/>
  <c r="Y790" i="24"/>
  <c r="M57" i="14"/>
  <c r="Y317" i="24"/>
  <c r="M24" i="14"/>
  <c r="Y536" i="24"/>
  <c r="M56" i="12"/>
  <c r="Y401" i="24"/>
  <c r="M43" i="12"/>
  <c r="Y121" i="24"/>
  <c r="M19" i="12"/>
  <c r="Y153" i="24"/>
  <c r="M18" i="18"/>
  <c r="Y720" i="24"/>
  <c r="M55" i="17"/>
  <c r="Y1361" i="24"/>
  <c r="M104" i="17"/>
  <c r="Y48" i="24"/>
  <c r="M11" i="17"/>
  <c r="L86" i="23"/>
  <c r="F86" i="23"/>
  <c r="B86" i="23"/>
  <c r="M86" i="23"/>
  <c r="I86" i="23"/>
  <c r="H86" i="23"/>
  <c r="D86" i="23"/>
  <c r="C86" i="23"/>
  <c r="A86" i="23"/>
  <c r="G86" i="23"/>
  <c r="J86" i="23"/>
  <c r="E86" i="23"/>
  <c r="K86" i="23"/>
  <c r="N86" i="23"/>
  <c r="Y461" i="24"/>
  <c r="M35" i="18"/>
  <c r="E18" i="22"/>
  <c r="M18" i="22"/>
  <c r="J18" i="22"/>
  <c r="I18" i="22"/>
  <c r="G18" i="22"/>
  <c r="K18" i="22"/>
  <c r="A18" i="22"/>
  <c r="F18" i="22"/>
  <c r="B18" i="22"/>
  <c r="L18" i="22"/>
  <c r="H18" i="22"/>
  <c r="D18" i="22"/>
  <c r="C18" i="22"/>
  <c r="N18" i="22"/>
  <c r="L131" i="23"/>
  <c r="B131" i="23"/>
  <c r="J131" i="23"/>
  <c r="H131" i="23"/>
  <c r="D131" i="23"/>
  <c r="F131" i="23"/>
  <c r="M131" i="23"/>
  <c r="K131" i="23"/>
  <c r="G131" i="23"/>
  <c r="E131" i="23"/>
  <c r="C131" i="23"/>
  <c r="I131" i="23"/>
  <c r="N131" i="23"/>
  <c r="A131" i="23"/>
  <c r="K120" i="22"/>
  <c r="D120" i="22"/>
  <c r="N120" i="22"/>
  <c r="J120" i="22"/>
  <c r="I120" i="22"/>
  <c r="M120" i="22"/>
  <c r="G120" i="22"/>
  <c r="L120" i="22"/>
  <c r="E120" i="22"/>
  <c r="C120" i="22"/>
  <c r="B120" i="22"/>
  <c r="H120" i="22"/>
  <c r="F120" i="22"/>
  <c r="A120" i="22"/>
  <c r="C106" i="23"/>
  <c r="K106" i="23"/>
  <c r="M106" i="23"/>
  <c r="F106" i="23"/>
  <c r="L106" i="23"/>
  <c r="J106" i="23"/>
  <c r="I106" i="23"/>
  <c r="H106" i="23"/>
  <c r="E106" i="23"/>
  <c r="G106" i="23"/>
  <c r="D106" i="23"/>
  <c r="A106" i="23"/>
  <c r="N106" i="23"/>
  <c r="B106" i="23"/>
  <c r="Y704" i="24"/>
  <c r="M64" i="12"/>
  <c r="H105" i="22"/>
  <c r="G105" i="22"/>
  <c r="M105" i="22"/>
  <c r="L105" i="22"/>
  <c r="J105" i="22"/>
  <c r="E105" i="22"/>
  <c r="C105" i="22"/>
  <c r="K105" i="22"/>
  <c r="I105" i="22"/>
  <c r="B105" i="22"/>
  <c r="N105" i="22"/>
  <c r="A105" i="22"/>
  <c r="F105" i="22"/>
  <c r="D105" i="22"/>
  <c r="G62" i="21"/>
  <c r="D62" i="21"/>
  <c r="N62" i="21"/>
  <c r="M62" i="21"/>
  <c r="L62" i="21"/>
  <c r="F62" i="21"/>
  <c r="K62" i="21"/>
  <c r="J62" i="21"/>
  <c r="E62" i="21"/>
  <c r="B62" i="21"/>
  <c r="C62" i="21"/>
  <c r="A62" i="21"/>
  <c r="I62" i="21"/>
  <c r="H62" i="21"/>
  <c r="E110" i="21"/>
  <c r="G110" i="21"/>
  <c r="L110" i="21"/>
  <c r="D110" i="21"/>
  <c r="C110" i="21"/>
  <c r="N110" i="21"/>
  <c r="H110" i="21"/>
  <c r="A110" i="21"/>
  <c r="M110" i="21"/>
  <c r="K110" i="21"/>
  <c r="J110" i="21"/>
  <c r="F110" i="21"/>
  <c r="B110" i="21"/>
  <c r="I110" i="21"/>
  <c r="F129" i="23"/>
  <c r="L129" i="23"/>
  <c r="J129" i="23"/>
  <c r="E129" i="23"/>
  <c r="M129" i="23"/>
  <c r="A129" i="23"/>
  <c r="H129" i="23"/>
  <c r="C129" i="23"/>
  <c r="B129" i="23"/>
  <c r="N129" i="23"/>
  <c r="K129" i="23"/>
  <c r="I129" i="23"/>
  <c r="G129" i="23"/>
  <c r="D129" i="23"/>
  <c r="K36" i="22"/>
  <c r="G36" i="22"/>
  <c r="N36" i="22"/>
  <c r="M36" i="22"/>
  <c r="D36" i="22"/>
  <c r="A36" i="22"/>
  <c r="C36" i="22"/>
  <c r="F36" i="22"/>
  <c r="H36" i="22"/>
  <c r="L36" i="22"/>
  <c r="J36" i="22"/>
  <c r="B36" i="22"/>
  <c r="I36" i="22"/>
  <c r="E36" i="22"/>
  <c r="M36" i="23"/>
  <c r="Y115" i="24"/>
  <c r="M19" i="15"/>
  <c r="Y449" i="24"/>
  <c r="M49" i="15"/>
  <c r="M21" i="22"/>
  <c r="M28" i="19"/>
  <c r="Y15" i="24"/>
  <c r="M11" i="21"/>
  <c r="L116" i="19"/>
  <c r="D116" i="19"/>
  <c r="A116" i="19"/>
  <c r="C116" i="19"/>
  <c r="N116" i="19"/>
  <c r="M116" i="19"/>
  <c r="K116" i="19"/>
  <c r="J116" i="19"/>
  <c r="I116" i="19"/>
  <c r="E116" i="19"/>
  <c r="B116" i="19"/>
  <c r="G116" i="19"/>
  <c r="H116" i="19"/>
  <c r="F116" i="19"/>
  <c r="J118" i="20"/>
  <c r="F118" i="20"/>
  <c r="N118" i="20"/>
  <c r="M118" i="20"/>
  <c r="K118" i="20"/>
  <c r="H118" i="20"/>
  <c r="G118" i="20"/>
  <c r="E118" i="20"/>
  <c r="D118" i="20"/>
  <c r="C118" i="20"/>
  <c r="B118" i="20"/>
  <c r="A118" i="20"/>
  <c r="L118" i="20"/>
  <c r="I118" i="20"/>
  <c r="N71" i="21"/>
  <c r="D71" i="21"/>
  <c r="E71" i="21"/>
  <c r="F71" i="21"/>
  <c r="C71" i="21"/>
  <c r="B71" i="21"/>
  <c r="L71" i="21"/>
  <c r="I71" i="21"/>
  <c r="G71" i="21"/>
  <c r="A71" i="21"/>
  <c r="K71" i="21"/>
  <c r="J71" i="21"/>
  <c r="H71" i="21"/>
  <c r="M71" i="21"/>
  <c r="H49" i="22"/>
  <c r="M49" i="22"/>
  <c r="J49" i="22"/>
  <c r="I49" i="22"/>
  <c r="N49" i="22"/>
  <c r="K49" i="22"/>
  <c r="E49" i="22"/>
  <c r="L49" i="22"/>
  <c r="C49" i="22"/>
  <c r="A49" i="22"/>
  <c r="F49" i="22"/>
  <c r="D49" i="22"/>
  <c r="B49" i="22"/>
  <c r="G49" i="22"/>
  <c r="M64" i="19"/>
  <c r="N64" i="19"/>
  <c r="I64" i="19"/>
  <c r="L64" i="19"/>
  <c r="K64" i="19"/>
  <c r="J64" i="19"/>
  <c r="H64" i="19"/>
  <c r="G64" i="19"/>
  <c r="F64" i="19"/>
  <c r="E64" i="19"/>
  <c r="D64" i="19"/>
  <c r="C64" i="19"/>
  <c r="B64" i="19"/>
  <c r="A64" i="19"/>
  <c r="I113" i="19"/>
  <c r="A113" i="19"/>
  <c r="M113" i="19"/>
  <c r="L113" i="19"/>
  <c r="K113" i="19"/>
  <c r="J113" i="19"/>
  <c r="E113" i="19"/>
  <c r="H113" i="19"/>
  <c r="G113" i="19"/>
  <c r="F113" i="19"/>
  <c r="C113" i="19"/>
  <c r="B113" i="19"/>
  <c r="N113" i="19"/>
  <c r="D113" i="19"/>
  <c r="C83" i="19"/>
  <c r="H83" i="19"/>
  <c r="E83" i="19"/>
  <c r="B83" i="19"/>
  <c r="N83" i="19"/>
  <c r="M83" i="19"/>
  <c r="L83" i="19"/>
  <c r="K83" i="19"/>
  <c r="J83" i="19"/>
  <c r="I83" i="19"/>
  <c r="G83" i="19"/>
  <c r="F83" i="19"/>
  <c r="D83" i="19"/>
  <c r="A83" i="19"/>
  <c r="J117" i="18"/>
  <c r="N117" i="18"/>
  <c r="M117" i="18"/>
  <c r="L117" i="18"/>
  <c r="K117" i="18"/>
  <c r="I117" i="18"/>
  <c r="H117" i="18"/>
  <c r="G117" i="18"/>
  <c r="F117" i="18"/>
  <c r="E117" i="18"/>
  <c r="D117" i="18"/>
  <c r="C117" i="18"/>
  <c r="A117" i="18"/>
  <c r="B117" i="18"/>
  <c r="G79" i="19"/>
  <c r="D79" i="19"/>
  <c r="C79" i="19"/>
  <c r="K79" i="19"/>
  <c r="H79" i="19"/>
  <c r="E79" i="19"/>
  <c r="A79" i="19"/>
  <c r="N79" i="19"/>
  <c r="M79" i="19"/>
  <c r="L79" i="19"/>
  <c r="J79" i="19"/>
  <c r="I79" i="19"/>
  <c r="F79" i="19"/>
  <c r="B79" i="19"/>
  <c r="H73" i="22"/>
  <c r="B73" i="22"/>
  <c r="I73" i="22"/>
  <c r="E73" i="22"/>
  <c r="D73" i="22"/>
  <c r="C73" i="22"/>
  <c r="J73" i="22"/>
  <c r="G73" i="22"/>
  <c r="F73" i="22"/>
  <c r="L73" i="22"/>
  <c r="K73" i="22"/>
  <c r="N73" i="22"/>
  <c r="M73" i="22"/>
  <c r="A73" i="22"/>
  <c r="K80" i="21"/>
  <c r="H80" i="21"/>
  <c r="M80" i="21"/>
  <c r="G80" i="21"/>
  <c r="N80" i="21"/>
  <c r="E80" i="21"/>
  <c r="L80" i="21"/>
  <c r="F80" i="21"/>
  <c r="C80" i="21"/>
  <c r="B80" i="21"/>
  <c r="J80" i="21"/>
  <c r="I80" i="21"/>
  <c r="D80" i="21"/>
  <c r="A80" i="21"/>
  <c r="K92" i="22"/>
  <c r="E92" i="22"/>
  <c r="G92" i="22"/>
  <c r="I92" i="22"/>
  <c r="D92" i="22"/>
  <c r="C92" i="22"/>
  <c r="M92" i="22"/>
  <c r="H92" i="22"/>
  <c r="B92" i="22"/>
  <c r="L92" i="22"/>
  <c r="F92" i="22"/>
  <c r="N92" i="22"/>
  <c r="J92" i="22"/>
  <c r="A92" i="22"/>
  <c r="I68" i="23"/>
  <c r="F68" i="23"/>
  <c r="N68" i="23"/>
  <c r="M68" i="23"/>
  <c r="K68" i="23"/>
  <c r="G68" i="23"/>
  <c r="D68" i="23"/>
  <c r="A68" i="23"/>
  <c r="J68" i="23"/>
  <c r="L68" i="23"/>
  <c r="C68" i="23"/>
  <c r="H68" i="23"/>
  <c r="E68" i="23"/>
  <c r="B68" i="23"/>
  <c r="C82" i="23"/>
  <c r="F82" i="23"/>
  <c r="B82" i="23"/>
  <c r="L82" i="23"/>
  <c r="H82" i="23"/>
  <c r="D82" i="23"/>
  <c r="A82" i="23"/>
  <c r="I82" i="23"/>
  <c r="M82" i="23"/>
  <c r="K82" i="23"/>
  <c r="G82" i="23"/>
  <c r="E82" i="23"/>
  <c r="J82" i="23"/>
  <c r="N82" i="23"/>
  <c r="M50" i="18"/>
  <c r="M110" i="15"/>
  <c r="M99" i="17"/>
  <c r="M36" i="15"/>
  <c r="M16" i="17"/>
  <c r="M38" i="16"/>
  <c r="M15" i="12"/>
  <c r="M83" i="13"/>
  <c r="M104" i="10"/>
  <c r="M41" i="10"/>
  <c r="M25" i="13"/>
  <c r="M92" i="11"/>
  <c r="P48" i="5"/>
  <c r="M96" i="12"/>
  <c r="M94" i="10"/>
  <c r="Y217" i="24"/>
  <c r="M25" i="19"/>
  <c r="Y610" i="24"/>
  <c r="M45" i="14"/>
  <c r="D88" i="3" l="1"/>
  <c r="E98" i="3"/>
  <c r="N58" i="3"/>
  <c r="B78" i="4"/>
  <c r="J75" i="3"/>
  <c r="Q64" i="3"/>
  <c r="P63" i="5"/>
  <c r="N66" i="3"/>
  <c r="O152" i="3"/>
  <c r="N138" i="3"/>
  <c r="L60" i="3"/>
  <c r="C92" i="3"/>
  <c r="D136" i="3"/>
  <c r="C57" i="3"/>
  <c r="K63" i="3"/>
  <c r="M89" i="3"/>
  <c r="H146" i="3"/>
  <c r="I68" i="3"/>
  <c r="H114" i="3"/>
  <c r="M63" i="3"/>
  <c r="B152" i="3"/>
  <c r="H152" i="3"/>
  <c r="M135" i="3"/>
  <c r="J103" i="3"/>
  <c r="P90" i="3"/>
  <c r="M96" i="3"/>
  <c r="I98" i="3"/>
  <c r="P70" i="3"/>
  <c r="C73" i="3"/>
  <c r="G140" i="3"/>
  <c r="E62" i="3"/>
  <c r="J124" i="3"/>
  <c r="N88" i="3"/>
  <c r="B58" i="3"/>
  <c r="G118" i="3"/>
  <c r="P88" i="3"/>
  <c r="I60" i="3"/>
  <c r="J121" i="3"/>
  <c r="K86" i="3"/>
  <c r="E56" i="3"/>
  <c r="C116" i="3"/>
  <c r="M81" i="3"/>
  <c r="G42" i="3"/>
  <c r="O112" i="3"/>
  <c r="O81" i="3"/>
  <c r="C43" i="3"/>
  <c r="F110" i="3"/>
  <c r="F77" i="3"/>
  <c r="K149" i="3"/>
  <c r="N104" i="3"/>
  <c r="F70" i="3"/>
  <c r="I137" i="3"/>
  <c r="M97" i="3"/>
  <c r="N65" i="3"/>
  <c r="D130" i="3"/>
  <c r="N92" i="3"/>
  <c r="G59" i="3"/>
  <c r="M123" i="3"/>
  <c r="N87" i="3"/>
  <c r="I57" i="3"/>
  <c r="N120" i="3"/>
  <c r="B84" i="3"/>
  <c r="C134" i="3"/>
  <c r="J76" i="3"/>
  <c r="D124" i="3"/>
  <c r="F71" i="3"/>
  <c r="K117" i="3"/>
  <c r="N64" i="3"/>
  <c r="C109" i="3"/>
  <c r="M115" i="3"/>
  <c r="F63" i="3"/>
  <c r="G107" i="3"/>
  <c r="C60" i="3"/>
  <c r="M103" i="3"/>
  <c r="B135" i="3"/>
  <c r="M56" i="3"/>
  <c r="M92" i="3"/>
  <c r="M128" i="3"/>
  <c r="F124" i="3"/>
  <c r="E46" i="3"/>
  <c r="P89" i="3"/>
  <c r="P125" i="3"/>
  <c r="I112" i="3"/>
  <c r="I148" i="3"/>
  <c r="C102" i="3"/>
  <c r="C138" i="3"/>
  <c r="L85" i="3"/>
  <c r="L121" i="3"/>
  <c r="F123" i="3"/>
  <c r="O136" i="3"/>
  <c r="I126" i="3"/>
  <c r="J81" i="3"/>
  <c r="J117" i="3"/>
  <c r="J153" i="3"/>
  <c r="D40" i="3"/>
  <c r="P111" i="3"/>
  <c r="K114" i="3"/>
  <c r="M85" i="3"/>
  <c r="C88" i="3"/>
  <c r="B144" i="3"/>
  <c r="F64" i="3"/>
  <c r="D128" i="3"/>
  <c r="B91" i="3"/>
  <c r="G60" i="3"/>
  <c r="D121" i="3"/>
  <c r="D91" i="3"/>
  <c r="I62" i="3"/>
  <c r="G125" i="3"/>
  <c r="C89" i="3"/>
  <c r="L58" i="3"/>
  <c r="P118" i="3"/>
  <c r="G84" i="3"/>
  <c r="I56" i="3"/>
  <c r="E116" i="3"/>
  <c r="K84" i="3"/>
  <c r="D48" i="3"/>
  <c r="F113" i="3"/>
  <c r="M79" i="3"/>
  <c r="C154" i="3"/>
  <c r="L107" i="3"/>
  <c r="I72" i="3"/>
  <c r="H141" i="3"/>
  <c r="D100" i="3"/>
  <c r="D68" i="3"/>
  <c r="J133" i="3"/>
  <c r="E95" i="3"/>
  <c r="O61" i="3"/>
  <c r="Q126" i="3"/>
  <c r="L90" i="3"/>
  <c r="L59" i="3"/>
  <c r="O123" i="3"/>
  <c r="Q85" i="3"/>
  <c r="G136" i="3"/>
  <c r="I78" i="3"/>
  <c r="N126" i="3"/>
  <c r="Q72" i="3"/>
  <c r="K119" i="3"/>
  <c r="H66" i="3"/>
  <c r="G111" i="3"/>
  <c r="O117" i="3"/>
  <c r="P64" i="3"/>
  <c r="F109" i="3"/>
  <c r="M61" i="3"/>
  <c r="K105" i="3"/>
  <c r="J137" i="3"/>
  <c r="E58" i="3"/>
  <c r="E94" i="3"/>
  <c r="E130" i="3"/>
  <c r="N125" i="3"/>
  <c r="E50" i="3"/>
  <c r="H91" i="3"/>
  <c r="H127" i="3"/>
  <c r="Q113" i="3"/>
  <c r="Q149" i="3"/>
  <c r="K103" i="3"/>
  <c r="K139" i="3"/>
  <c r="D87" i="3"/>
  <c r="D123" i="3"/>
  <c r="N124" i="3"/>
  <c r="G138" i="3"/>
  <c r="Q127" i="3"/>
  <c r="B83" i="3"/>
  <c r="B119" i="3"/>
  <c r="B155" i="3"/>
  <c r="C64" i="3"/>
  <c r="P130" i="3"/>
  <c r="K132" i="3"/>
  <c r="O100" i="3"/>
  <c r="F103" i="3"/>
  <c r="P123" i="3"/>
  <c r="M66" i="3"/>
  <c r="E131" i="3"/>
  <c r="I93" i="3"/>
  <c r="G62" i="3"/>
  <c r="E125" i="3"/>
  <c r="O93" i="3"/>
  <c r="H128" i="3"/>
  <c r="G91" i="3"/>
  <c r="E122" i="3"/>
  <c r="O86" i="3"/>
  <c r="D119" i="3"/>
  <c r="B87" i="3"/>
  <c r="O56" i="3"/>
  <c r="G116" i="3"/>
  <c r="Q81" i="3"/>
  <c r="C38" i="3"/>
  <c r="H110" i="3"/>
  <c r="N74" i="3"/>
  <c r="D146" i="3"/>
  <c r="L102" i="3"/>
  <c r="I70" i="3"/>
  <c r="O137" i="3"/>
  <c r="O63" i="3"/>
  <c r="J130" i="3"/>
  <c r="Q92" i="3"/>
  <c r="Q61" i="3"/>
  <c r="M127" i="3"/>
  <c r="O87" i="3"/>
  <c r="Q138" i="3"/>
  <c r="G80" i="3"/>
  <c r="E129" i="3"/>
  <c r="L74" i="3"/>
  <c r="D122" i="3"/>
  <c r="C68" i="3"/>
  <c r="H113" i="3"/>
  <c r="E120" i="3"/>
  <c r="J66" i="3"/>
  <c r="K111" i="3"/>
  <c r="G63" i="3"/>
  <c r="H107" i="3"/>
  <c r="F140" i="3"/>
  <c r="M59" i="3"/>
  <c r="M95" i="3"/>
  <c r="M131" i="3"/>
  <c r="F127" i="3"/>
  <c r="P56" i="3"/>
  <c r="P92" i="3"/>
  <c r="P128" i="3"/>
  <c r="I115" i="3"/>
  <c r="I151" i="3"/>
  <c r="C105" i="3"/>
  <c r="C141" i="3"/>
  <c r="L88" i="3"/>
  <c r="L124" i="3"/>
  <c r="F126" i="3"/>
  <c r="O139" i="3"/>
  <c r="I129" i="3"/>
  <c r="J84" i="3"/>
  <c r="J120" i="3"/>
  <c r="B78" i="3"/>
  <c r="P105" i="3"/>
  <c r="D62" i="3"/>
  <c r="E135" i="3"/>
  <c r="M117" i="3"/>
  <c r="L95" i="3"/>
  <c r="O68" i="3"/>
  <c r="H135" i="3"/>
  <c r="G96" i="3"/>
  <c r="L64" i="3"/>
  <c r="F128" i="3"/>
  <c r="I96" i="3"/>
  <c r="Q66" i="3"/>
  <c r="L131" i="3"/>
  <c r="D94" i="3"/>
  <c r="L62" i="3"/>
  <c r="J125" i="3"/>
  <c r="F89" i="3"/>
  <c r="N60" i="3"/>
  <c r="K122" i="3"/>
  <c r="H89" i="3"/>
  <c r="P58" i="3"/>
  <c r="F119" i="3"/>
  <c r="O84" i="3"/>
  <c r="E43" i="3"/>
  <c r="L113" i="3"/>
  <c r="H77" i="3"/>
  <c r="K150" i="3"/>
  <c r="F105" i="3"/>
  <c r="K72" i="3"/>
  <c r="L141" i="3"/>
  <c r="G100" i="3"/>
  <c r="Q65" i="3"/>
  <c r="P133" i="3"/>
  <c r="G95" i="3"/>
  <c r="Q63" i="3"/>
  <c r="O130" i="3"/>
  <c r="L89" i="3"/>
  <c r="M141" i="3"/>
  <c r="D82" i="3"/>
  <c r="I131" i="3"/>
  <c r="M76" i="3"/>
  <c r="G124" i="3"/>
  <c r="N69" i="3"/>
  <c r="J115" i="3"/>
  <c r="H122" i="3"/>
  <c r="E68" i="3"/>
  <c r="J113" i="3"/>
  <c r="G109" i="3"/>
  <c r="P142" i="3"/>
  <c r="E61" i="3"/>
  <c r="E97" i="3"/>
  <c r="E133" i="3"/>
  <c r="N128" i="3"/>
  <c r="H58" i="3"/>
  <c r="H94" i="3"/>
  <c r="H130" i="3"/>
  <c r="Q116" i="3"/>
  <c r="Q152" i="3"/>
  <c r="K106" i="3"/>
  <c r="K142" i="3"/>
  <c r="D90" i="3"/>
  <c r="D126" i="3"/>
  <c r="N127" i="3"/>
  <c r="G141" i="3"/>
  <c r="Q130" i="3"/>
  <c r="B86" i="3"/>
  <c r="B122" i="3"/>
  <c r="F93" i="3"/>
  <c r="O111" i="3"/>
  <c r="L66" i="3"/>
  <c r="J80" i="3"/>
  <c r="M138" i="3"/>
  <c r="K60" i="3"/>
  <c r="B71" i="3"/>
  <c r="O138" i="3"/>
  <c r="K98" i="3"/>
  <c r="O66" i="3"/>
  <c r="G131" i="3"/>
  <c r="N98" i="3"/>
  <c r="E69" i="3"/>
  <c r="N135" i="3"/>
  <c r="L96" i="3"/>
  <c r="D65" i="3"/>
  <c r="K128" i="3"/>
  <c r="P91" i="3"/>
  <c r="C63" i="3"/>
  <c r="L125" i="3"/>
  <c r="D92" i="3"/>
  <c r="P60" i="3"/>
  <c r="O122" i="3"/>
  <c r="F87" i="3"/>
  <c r="B57" i="3"/>
  <c r="I116" i="3"/>
  <c r="O79" i="3"/>
  <c r="P154" i="3"/>
  <c r="O107" i="3"/>
  <c r="B75" i="3"/>
  <c r="F146" i="3"/>
  <c r="N102" i="3"/>
  <c r="H68" i="3"/>
  <c r="E138" i="3"/>
  <c r="F66" i="3"/>
  <c r="G134" i="3"/>
  <c r="M91" i="3"/>
  <c r="E144" i="3"/>
  <c r="E84" i="3"/>
  <c r="D134" i="3"/>
  <c r="K78" i="3"/>
  <c r="O126" i="3"/>
  <c r="I71" i="3"/>
  <c r="N117" i="3"/>
  <c r="P124" i="3"/>
  <c r="P69" i="3"/>
  <c r="N115" i="3"/>
  <c r="K66" i="3"/>
  <c r="L111" i="3"/>
  <c r="D145" i="3"/>
  <c r="M62" i="3"/>
  <c r="M98" i="3"/>
  <c r="M134" i="3"/>
  <c r="F130" i="3"/>
  <c r="P59" i="3"/>
  <c r="P95" i="3"/>
  <c r="P131" i="3"/>
  <c r="I118" i="3"/>
  <c r="I154" i="3"/>
  <c r="C108" i="3"/>
  <c r="C144" i="3"/>
  <c r="L91" i="3"/>
  <c r="L127" i="3"/>
  <c r="F129" i="3"/>
  <c r="O142" i="3"/>
  <c r="I132" i="3"/>
  <c r="J87" i="3"/>
  <c r="J123" i="3"/>
  <c r="I108" i="3"/>
  <c r="J128" i="3"/>
  <c r="D56" i="3"/>
  <c r="L57" i="3"/>
  <c r="Q120" i="3"/>
  <c r="B74" i="3"/>
  <c r="K73" i="3"/>
  <c r="H143" i="3"/>
  <c r="C101" i="3"/>
  <c r="B69" i="3"/>
  <c r="L135" i="3"/>
  <c r="H101" i="3"/>
  <c r="J71" i="3"/>
  <c r="D140" i="3"/>
  <c r="Q98" i="3"/>
  <c r="D67" i="3"/>
  <c r="M132" i="3"/>
  <c r="I94" i="3"/>
  <c r="F65" i="3"/>
  <c r="O128" i="3"/>
  <c r="M94" i="3"/>
  <c r="H63" i="3"/>
  <c r="B126" i="3"/>
  <c r="J89" i="3"/>
  <c r="B59" i="3"/>
  <c r="H119" i="3"/>
  <c r="G82" i="3"/>
  <c r="F38" i="3"/>
  <c r="J110" i="3"/>
  <c r="J77" i="3"/>
  <c r="O150" i="3"/>
  <c r="L105" i="3"/>
  <c r="K70" i="3"/>
  <c r="Q141" i="3"/>
  <c r="J100" i="3"/>
  <c r="J68" i="3"/>
  <c r="K138" i="3"/>
  <c r="K93" i="3"/>
  <c r="K146" i="3"/>
  <c r="C86" i="3"/>
  <c r="J136" i="3"/>
  <c r="H80" i="3"/>
  <c r="G129" i="3"/>
  <c r="D73" i="3"/>
  <c r="B120" i="3"/>
  <c r="C127" i="3"/>
  <c r="K71" i="3"/>
  <c r="P117" i="3"/>
  <c r="F68" i="3"/>
  <c r="K113" i="3"/>
  <c r="P147" i="3"/>
  <c r="E64" i="3"/>
  <c r="E100" i="3"/>
  <c r="E136" i="3"/>
  <c r="N131" i="3"/>
  <c r="H61" i="3"/>
  <c r="H97" i="3"/>
  <c r="H133" i="3"/>
  <c r="Q119" i="3"/>
  <c r="Q155" i="3"/>
  <c r="K109" i="3"/>
  <c r="K145" i="3"/>
  <c r="D93" i="3"/>
  <c r="D129" i="3"/>
  <c r="N130" i="3"/>
  <c r="G144" i="3"/>
  <c r="Q133" i="3"/>
  <c r="B89" i="3"/>
  <c r="B125" i="3"/>
  <c r="B124" i="3"/>
  <c r="K68" i="3"/>
  <c r="G69" i="3"/>
  <c r="Q70" i="3"/>
  <c r="K62" i="3"/>
  <c r="D89" i="3"/>
  <c r="O75" i="3"/>
  <c r="O147" i="3"/>
  <c r="P103" i="3"/>
  <c r="G71" i="3"/>
  <c r="D139" i="3"/>
  <c r="C104" i="3"/>
  <c r="P73" i="3"/>
  <c r="L143" i="3"/>
  <c r="N101" i="3"/>
  <c r="H69" i="3"/>
  <c r="Q135" i="3"/>
  <c r="O96" i="3"/>
  <c r="G67" i="3"/>
  <c r="O132" i="3"/>
  <c r="Q96" i="3"/>
  <c r="H65" i="3"/>
  <c r="K129" i="3"/>
  <c r="H92" i="3"/>
  <c r="B61" i="3"/>
  <c r="E123" i="3"/>
  <c r="Q84" i="3"/>
  <c r="G43" i="3"/>
  <c r="O113" i="3"/>
  <c r="Q79" i="3"/>
  <c r="H155" i="3"/>
  <c r="E108" i="3"/>
  <c r="M72" i="3"/>
  <c r="P102" i="3"/>
  <c r="N70" i="3"/>
  <c r="M142" i="3"/>
  <c r="H95" i="3"/>
  <c r="G149" i="3"/>
  <c r="P87" i="3"/>
  <c r="B139" i="3"/>
  <c r="F82" i="3"/>
  <c r="J131" i="3"/>
  <c r="Q74" i="3"/>
  <c r="G122" i="3"/>
  <c r="M129" i="3"/>
  <c r="G73" i="3"/>
  <c r="Q69" i="3"/>
  <c r="O115" i="3"/>
  <c r="L150" i="3"/>
  <c r="M101" i="3"/>
  <c r="M137" i="3"/>
  <c r="F133" i="3"/>
  <c r="P62" i="3"/>
  <c r="P98" i="3"/>
  <c r="P134" i="3"/>
  <c r="I121" i="3"/>
  <c r="C75" i="3"/>
  <c r="C111" i="3"/>
  <c r="C147" i="3"/>
  <c r="L94" i="3"/>
  <c r="L130" i="3"/>
  <c r="F132" i="3"/>
  <c r="O145" i="3"/>
  <c r="I135" i="3"/>
  <c r="J90" i="3"/>
  <c r="J126" i="3"/>
  <c r="N147" i="3"/>
  <c r="E83" i="3"/>
  <c r="O83" i="3"/>
  <c r="N85" i="3"/>
  <c r="Q77" i="3"/>
  <c r="F104" i="3"/>
  <c r="F78" i="3"/>
  <c r="P151" i="3"/>
  <c r="D106" i="3"/>
  <c r="N73" i="3"/>
  <c r="J143" i="3"/>
  <c r="G106" i="3"/>
  <c r="C76" i="3"/>
  <c r="J148" i="3"/>
  <c r="E104" i="3"/>
  <c r="Q71" i="3"/>
  <c r="I140" i="3"/>
  <c r="I99" i="3"/>
  <c r="M69" i="3"/>
  <c r="C136" i="3"/>
  <c r="M99" i="3"/>
  <c r="J67" i="3"/>
  <c r="Q132" i="3"/>
  <c r="O94" i="3"/>
  <c r="J63" i="3"/>
  <c r="G126" i="3"/>
  <c r="H87" i="3"/>
  <c r="D57" i="3"/>
  <c r="K116" i="3"/>
  <c r="M82" i="3"/>
  <c r="E44" i="3"/>
  <c r="L110" i="3"/>
  <c r="H75" i="3"/>
  <c r="B151" i="3"/>
  <c r="N105" i="3"/>
  <c r="B73" i="3"/>
  <c r="J146" i="3"/>
  <c r="F97" i="3"/>
  <c r="C152" i="3"/>
  <c r="N89" i="3"/>
  <c r="N141" i="3"/>
  <c r="F84" i="3"/>
  <c r="E134" i="3"/>
  <c r="P76" i="3"/>
  <c r="O124" i="3"/>
  <c r="B132" i="3"/>
  <c r="E75" i="3"/>
  <c r="I122" i="3"/>
  <c r="L71" i="3"/>
  <c r="Q117" i="3"/>
  <c r="B153" i="3"/>
  <c r="E67" i="3"/>
  <c r="E103" i="3"/>
  <c r="E139" i="3"/>
  <c r="N134" i="3"/>
  <c r="H64" i="3"/>
  <c r="H100" i="3"/>
  <c r="H136" i="3"/>
  <c r="Q122" i="3"/>
  <c r="K76" i="3"/>
  <c r="K112" i="3"/>
  <c r="K148" i="3"/>
  <c r="D96" i="3"/>
  <c r="D132" i="3"/>
  <c r="N133" i="3"/>
  <c r="G147" i="3"/>
  <c r="Q136" i="3"/>
  <c r="B92" i="3"/>
  <c r="B128" i="3"/>
  <c r="F45" i="3"/>
  <c r="G98" i="3"/>
  <c r="B99" i="3"/>
  <c r="P100" i="3"/>
  <c r="G45" i="3"/>
  <c r="O120" i="3"/>
  <c r="B81" i="3"/>
  <c r="C41" i="3"/>
  <c r="Q108" i="3"/>
  <c r="Q75" i="3"/>
  <c r="C148" i="3"/>
  <c r="J109" i="3"/>
  <c r="O78" i="3"/>
  <c r="J106" i="3"/>
  <c r="C74" i="3"/>
  <c r="L144" i="3"/>
  <c r="B102" i="3"/>
  <c r="C72" i="3"/>
  <c r="K140" i="3"/>
  <c r="F102" i="3"/>
  <c r="B70" i="3"/>
  <c r="P136" i="3"/>
  <c r="C97" i="3"/>
  <c r="J65" i="3"/>
  <c r="Q129" i="3"/>
  <c r="Q89" i="3"/>
  <c r="D59" i="3"/>
  <c r="O119" i="3"/>
  <c r="C85" i="3"/>
  <c r="C50" i="3"/>
  <c r="E114" i="3"/>
  <c r="L77" i="3"/>
  <c r="O155" i="3"/>
  <c r="G108" i="3"/>
  <c r="K75" i="3"/>
  <c r="D151" i="3"/>
  <c r="F99" i="3"/>
  <c r="G154" i="3"/>
  <c r="N91" i="3"/>
  <c r="H144" i="3"/>
  <c r="D86" i="3"/>
  <c r="M136" i="3"/>
  <c r="N78" i="3"/>
  <c r="B127" i="3"/>
  <c r="I134" i="3"/>
  <c r="C77" i="3"/>
  <c r="C125" i="3"/>
  <c r="I73" i="3"/>
  <c r="G120" i="3"/>
  <c r="J155" i="3"/>
  <c r="M68" i="3"/>
  <c r="M104" i="3"/>
  <c r="M140" i="3"/>
  <c r="F136" i="3"/>
  <c r="P65" i="3"/>
  <c r="P101" i="3"/>
  <c r="P137" i="3"/>
  <c r="I124" i="3"/>
  <c r="C78" i="3"/>
  <c r="C114" i="3"/>
  <c r="C150" i="3"/>
  <c r="L97" i="3"/>
  <c r="L133" i="3"/>
  <c r="F135" i="3"/>
  <c r="O148" i="3"/>
  <c r="I138" i="3"/>
  <c r="J93" i="3"/>
  <c r="J129" i="3"/>
  <c r="C65" i="3"/>
  <c r="J112" i="3"/>
  <c r="L114" i="3"/>
  <c r="P115" i="3"/>
  <c r="C46" i="3"/>
  <c r="C143" i="3"/>
  <c r="H83" i="3"/>
  <c r="F46" i="3"/>
  <c r="B112" i="3"/>
  <c r="L78" i="3"/>
  <c r="G152" i="3"/>
  <c r="D112" i="3"/>
  <c r="H81" i="3"/>
  <c r="G41" i="3"/>
  <c r="N109" i="3"/>
  <c r="G76" i="3"/>
  <c r="C149" i="3"/>
  <c r="H104" i="3"/>
  <c r="E74" i="3"/>
  <c r="B145" i="3"/>
  <c r="J104" i="3"/>
  <c r="F72" i="3"/>
  <c r="O140" i="3"/>
  <c r="Q99" i="3"/>
  <c r="M67" i="3"/>
  <c r="C133" i="3"/>
  <c r="J92" i="3"/>
  <c r="I61" i="3"/>
  <c r="H123" i="3"/>
  <c r="K87" i="3"/>
  <c r="F57" i="3"/>
  <c r="O116" i="3"/>
  <c r="D80" i="3"/>
  <c r="D39" i="3"/>
  <c r="F111" i="3"/>
  <c r="O77" i="3"/>
  <c r="O57" i="3"/>
  <c r="D101" i="3"/>
  <c r="G39" i="3"/>
  <c r="L93" i="3"/>
  <c r="L146" i="3"/>
  <c r="Q87" i="3"/>
  <c r="C139" i="3"/>
  <c r="K80" i="3"/>
  <c r="L129" i="3"/>
  <c r="E137" i="3"/>
  <c r="P78" i="3"/>
  <c r="D127" i="3"/>
  <c r="F75" i="3"/>
  <c r="J122" i="3"/>
  <c r="E153" i="3"/>
  <c r="E70" i="3"/>
  <c r="E106" i="3"/>
  <c r="E142" i="3"/>
  <c r="N137" i="3"/>
  <c r="H67" i="3"/>
  <c r="H103" i="3"/>
  <c r="H139" i="3"/>
  <c r="Q125" i="3"/>
  <c r="K79" i="3"/>
  <c r="K115" i="3"/>
  <c r="K151" i="3"/>
  <c r="D99" i="3"/>
  <c r="D135" i="3"/>
  <c r="N136" i="3"/>
  <c r="G150" i="3"/>
  <c r="Q139" i="3"/>
  <c r="B95" i="3"/>
  <c r="B131" i="3"/>
  <c r="C79" i="3"/>
  <c r="C131" i="3"/>
  <c r="L134" i="3"/>
  <c r="P135" i="3"/>
  <c r="Q59" i="3"/>
  <c r="G143" i="3"/>
  <c r="O85" i="3"/>
  <c r="F51" i="3"/>
  <c r="O114" i="3"/>
  <c r="F81" i="3"/>
  <c r="E41" i="3"/>
  <c r="J118" i="3"/>
  <c r="L83" i="3"/>
  <c r="D47" i="3"/>
  <c r="G112" i="3"/>
  <c r="D79" i="3"/>
  <c r="N153" i="3"/>
  <c r="C107" i="3"/>
  <c r="O76" i="3"/>
  <c r="E149" i="3"/>
  <c r="I107" i="3"/>
  <c r="G74" i="3"/>
  <c r="G145" i="3"/>
  <c r="H102" i="3"/>
  <c r="D70" i="3"/>
  <c r="H137" i="3"/>
  <c r="Q94" i="3"/>
  <c r="L63" i="3"/>
  <c r="K126" i="3"/>
  <c r="F90" i="3"/>
  <c r="F59" i="3"/>
  <c r="K120" i="3"/>
  <c r="Q82" i="3"/>
  <c r="F50" i="3"/>
  <c r="G114" i="3"/>
  <c r="I80" i="3"/>
  <c r="I59" i="3"/>
  <c r="Q102" i="3"/>
  <c r="C44" i="3"/>
  <c r="I95" i="3"/>
  <c r="H149" i="3"/>
  <c r="O89" i="3"/>
  <c r="O141" i="3"/>
  <c r="J82" i="3"/>
  <c r="O131" i="3"/>
  <c r="M139" i="3"/>
  <c r="N80" i="3"/>
  <c r="N129" i="3"/>
  <c r="D77" i="3"/>
  <c r="D125" i="3"/>
  <c r="K155" i="3"/>
  <c r="M71" i="3"/>
  <c r="M107" i="3"/>
  <c r="M143" i="3"/>
  <c r="F139" i="3"/>
  <c r="P68" i="3"/>
  <c r="P104" i="3"/>
  <c r="P140" i="3"/>
  <c r="I127" i="3"/>
  <c r="C81" i="3"/>
  <c r="C117" i="3"/>
  <c r="C153" i="3"/>
  <c r="L100" i="3"/>
  <c r="L136" i="3"/>
  <c r="F138" i="3"/>
  <c r="O151" i="3"/>
  <c r="I141" i="3"/>
  <c r="J96" i="3"/>
  <c r="J132" i="3"/>
  <c r="Q114" i="3"/>
  <c r="F94" i="3"/>
  <c r="P127" i="3"/>
  <c r="Q105" i="3"/>
  <c r="M75" i="3"/>
  <c r="F73" i="3"/>
  <c r="F76" i="3"/>
  <c r="M88" i="3"/>
  <c r="N57" i="3"/>
  <c r="D118" i="3"/>
  <c r="J83" i="3"/>
  <c r="C58" i="3"/>
  <c r="G121" i="3"/>
  <c r="H86" i="3"/>
  <c r="C56" i="3"/>
  <c r="G115" i="3"/>
  <c r="L81" i="3"/>
  <c r="F42" i="3"/>
  <c r="C110" i="3"/>
  <c r="G79" i="3"/>
  <c r="P153" i="3"/>
  <c r="E110" i="3"/>
  <c r="E77" i="3"/>
  <c r="J149" i="3"/>
  <c r="L104" i="3"/>
  <c r="H72" i="3"/>
  <c r="E141" i="3"/>
  <c r="J97" i="3"/>
  <c r="L65" i="3"/>
  <c r="C130" i="3"/>
  <c r="L92" i="3"/>
  <c r="N61" i="3"/>
  <c r="L123" i="3"/>
  <c r="F85" i="3"/>
  <c r="H57" i="3"/>
  <c r="E117" i="3"/>
  <c r="D83" i="3"/>
  <c r="C61" i="3"/>
  <c r="O104" i="3"/>
  <c r="E48" i="3"/>
  <c r="G97" i="3"/>
  <c r="D152" i="3"/>
  <c r="O91" i="3"/>
  <c r="K144" i="3"/>
  <c r="I84" i="3"/>
  <c r="H134" i="3"/>
  <c r="C142" i="3"/>
  <c r="N82" i="3"/>
  <c r="E132" i="3"/>
  <c r="Q78" i="3"/>
  <c r="G127" i="3"/>
  <c r="L137" i="3"/>
  <c r="E73" i="3"/>
  <c r="E109" i="3"/>
  <c r="E145" i="3"/>
  <c r="N140" i="3"/>
  <c r="H70" i="3"/>
  <c r="H106" i="3"/>
  <c r="H142" i="3"/>
  <c r="Q128" i="3"/>
  <c r="K82" i="3"/>
  <c r="K118" i="3"/>
  <c r="K154" i="3"/>
  <c r="D102" i="3"/>
  <c r="D138" i="3"/>
  <c r="N139" i="3"/>
  <c r="G153" i="3"/>
  <c r="Q142" i="3"/>
  <c r="B98" i="3"/>
  <c r="B134" i="3"/>
  <c r="F49" i="3"/>
  <c r="L108" i="3"/>
  <c r="N111" i="3"/>
  <c r="I91" i="3"/>
  <c r="O121" i="3"/>
  <c r="F88" i="3"/>
  <c r="C40" i="3"/>
  <c r="Q90" i="3"/>
  <c r="F60" i="3"/>
  <c r="C121" i="3"/>
  <c r="E86" i="3"/>
  <c r="H60" i="3"/>
  <c r="F125" i="3"/>
  <c r="Q88" i="3"/>
  <c r="J58" i="3"/>
  <c r="N118" i="3"/>
  <c r="Q83" i="3"/>
  <c r="G47" i="3"/>
  <c r="N112" i="3"/>
  <c r="N81" i="3"/>
  <c r="C48" i="3"/>
  <c r="P112" i="3"/>
  <c r="J79" i="3"/>
  <c r="B154" i="3"/>
  <c r="K107" i="3"/>
  <c r="I74" i="3"/>
  <c r="C146" i="3"/>
  <c r="C100" i="3"/>
  <c r="B68" i="3"/>
  <c r="G133" i="3"/>
  <c r="D95" i="3"/>
  <c r="N63" i="3"/>
  <c r="P126" i="3"/>
  <c r="M87" i="3"/>
  <c r="H59" i="3"/>
  <c r="M120" i="3"/>
  <c r="I85" i="3"/>
  <c r="N62" i="3"/>
  <c r="O106" i="3"/>
  <c r="F56" i="3"/>
  <c r="G99" i="3"/>
  <c r="J154" i="3"/>
  <c r="M93" i="3"/>
  <c r="O146" i="3"/>
  <c r="G86" i="3"/>
  <c r="D137" i="3"/>
  <c r="O144" i="3"/>
  <c r="L84" i="3"/>
  <c r="J134" i="3"/>
  <c r="O80" i="3"/>
  <c r="O129" i="3"/>
  <c r="H140" i="3"/>
  <c r="M74" i="3"/>
  <c r="M110" i="3"/>
  <c r="M146" i="3"/>
  <c r="F142" i="3"/>
  <c r="P71" i="3"/>
  <c r="P107" i="3"/>
  <c r="P143" i="3"/>
  <c r="I130" i="3"/>
  <c r="C84" i="3"/>
  <c r="C120" i="3"/>
  <c r="L67" i="3"/>
  <c r="L103" i="3"/>
  <c r="L139" i="3"/>
  <c r="F141" i="3"/>
  <c r="O154" i="3"/>
  <c r="I144" i="3"/>
  <c r="J99" i="3"/>
  <c r="J135" i="3"/>
  <c r="O127" i="3"/>
  <c r="Q80" i="3"/>
  <c r="E93" i="3"/>
  <c r="F39" i="3"/>
  <c r="I103" i="3"/>
  <c r="E147" i="3"/>
  <c r="H93" i="3"/>
  <c r="F62" i="3"/>
  <c r="M124" i="3"/>
  <c r="O88" i="3"/>
  <c r="H62" i="3"/>
  <c r="G128" i="3"/>
  <c r="F91" i="3"/>
  <c r="J60" i="3"/>
  <c r="M121" i="3"/>
  <c r="N86" i="3"/>
  <c r="H56" i="3"/>
  <c r="D116" i="3"/>
  <c r="H84" i="3"/>
  <c r="K56" i="3"/>
  <c r="F116" i="3"/>
  <c r="P81" i="3"/>
  <c r="D43" i="3"/>
  <c r="G110" i="3"/>
  <c r="G77" i="3"/>
  <c r="H150" i="3"/>
  <c r="K102" i="3"/>
  <c r="G70" i="3"/>
  <c r="K137" i="3"/>
  <c r="O97" i="3"/>
  <c r="O65" i="3"/>
  <c r="G130" i="3"/>
  <c r="K90" i="3"/>
  <c r="P61" i="3"/>
  <c r="N123" i="3"/>
  <c r="B88" i="3"/>
  <c r="I64" i="3"/>
  <c r="N108" i="3"/>
  <c r="P57" i="3"/>
  <c r="E101" i="3"/>
  <c r="D44" i="3"/>
  <c r="J95" i="3"/>
  <c r="I149" i="3"/>
  <c r="J139" i="3"/>
  <c r="K147" i="3"/>
  <c r="I86" i="3"/>
  <c r="F137" i="3"/>
  <c r="O82" i="3"/>
  <c r="G132" i="3"/>
  <c r="D143" i="3"/>
  <c r="E76" i="3"/>
  <c r="E112" i="3"/>
  <c r="E148" i="3"/>
  <c r="N143" i="3"/>
  <c r="H73" i="3"/>
  <c r="H109" i="3"/>
  <c r="H145" i="3"/>
  <c r="Q131" i="3"/>
  <c r="K85" i="3"/>
  <c r="K121" i="3"/>
  <c r="D69" i="3"/>
  <c r="D105" i="3"/>
  <c r="D141" i="3"/>
  <c r="N142" i="3"/>
  <c r="Q109" i="3"/>
  <c r="Q145" i="3"/>
  <c r="B101" i="3"/>
  <c r="B137" i="3"/>
  <c r="G151" i="3"/>
  <c r="C51" i="3"/>
  <c r="Q123" i="3"/>
  <c r="J151" i="3"/>
  <c r="B118" i="3"/>
  <c r="B62" i="3"/>
  <c r="F96" i="3"/>
  <c r="G64" i="3"/>
  <c r="E128" i="3"/>
  <c r="C91" i="3"/>
  <c r="M64" i="3"/>
  <c r="K131" i="3"/>
  <c r="Q93" i="3"/>
  <c r="J62" i="3"/>
  <c r="E89" i="3"/>
  <c r="M58" i="3"/>
  <c r="C119" i="3"/>
  <c r="Q86" i="3"/>
  <c r="O58" i="3"/>
  <c r="E119" i="3"/>
  <c r="N84" i="3"/>
  <c r="G48" i="3"/>
  <c r="G113" i="3"/>
  <c r="N79" i="3"/>
  <c r="D154" i="3"/>
  <c r="E105" i="3"/>
  <c r="J72" i="3"/>
  <c r="K141" i="3"/>
  <c r="F100" i="3"/>
  <c r="G68" i="3"/>
  <c r="M133" i="3"/>
  <c r="O92" i="3"/>
  <c r="P63" i="3"/>
  <c r="J127" i="3"/>
  <c r="M90" i="3"/>
  <c r="C66" i="3"/>
  <c r="N110" i="3"/>
  <c r="J59" i="3"/>
  <c r="B103" i="3"/>
  <c r="F48" i="3"/>
  <c r="I97" i="3"/>
  <c r="E152" i="3"/>
  <c r="E90" i="3"/>
  <c r="B142" i="3"/>
  <c r="O149" i="3"/>
  <c r="G88" i="3"/>
  <c r="P139" i="3"/>
  <c r="M84" i="3"/>
  <c r="K134" i="3"/>
  <c r="J145" i="3"/>
  <c r="M77" i="3"/>
  <c r="M113" i="3"/>
  <c r="M149" i="3"/>
  <c r="F145" i="3"/>
  <c r="P74" i="3"/>
  <c r="P110" i="3"/>
  <c r="P146" i="3"/>
  <c r="I133" i="3"/>
  <c r="C87" i="3"/>
  <c r="C123" i="3"/>
  <c r="L70" i="3"/>
  <c r="L106" i="3"/>
  <c r="L142" i="3"/>
  <c r="F144" i="3"/>
  <c r="I111" i="3"/>
  <c r="I147" i="3"/>
  <c r="J102" i="3"/>
  <c r="J138" i="3"/>
  <c r="O90" i="3"/>
  <c r="L68" i="3"/>
  <c r="O95" i="3"/>
  <c r="K58" i="3"/>
  <c r="L75" i="3"/>
  <c r="J98" i="3"/>
  <c r="F131" i="3"/>
  <c r="N93" i="3"/>
  <c r="P66" i="3"/>
  <c r="K96" i="3"/>
  <c r="B65" i="3"/>
  <c r="I128" i="3"/>
  <c r="J91" i="3"/>
  <c r="M60" i="3"/>
  <c r="F122" i="3"/>
  <c r="G89" i="3"/>
  <c r="O60" i="3"/>
  <c r="L122" i="3"/>
  <c r="E87" i="3"/>
  <c r="Q56" i="3"/>
  <c r="H116" i="3"/>
  <c r="B82" i="3"/>
  <c r="D38" i="3"/>
  <c r="N107" i="3"/>
  <c r="O74" i="3"/>
  <c r="E146" i="3"/>
  <c r="M102" i="3"/>
  <c r="J70" i="3"/>
  <c r="B138" i="3"/>
  <c r="F95" i="3"/>
  <c r="B66" i="3"/>
  <c r="M130" i="3"/>
  <c r="B93" i="3"/>
  <c r="N67" i="3"/>
  <c r="C113" i="3"/>
  <c r="D61" i="3"/>
  <c r="Q104" i="3"/>
  <c r="G56" i="3"/>
  <c r="H99" i="3"/>
  <c r="M154" i="3"/>
  <c r="N144" i="3"/>
  <c r="I152" i="3"/>
  <c r="G90" i="3"/>
  <c r="D142" i="3"/>
  <c r="J86" i="3"/>
  <c r="G137" i="3"/>
  <c r="B148" i="3"/>
  <c r="E79" i="3"/>
  <c r="E115" i="3"/>
  <c r="E151" i="3"/>
  <c r="N146" i="3"/>
  <c r="H76" i="3"/>
  <c r="H112" i="3"/>
  <c r="H148" i="3"/>
  <c r="Q134" i="3"/>
  <c r="K88" i="3"/>
  <c r="K124" i="3"/>
  <c r="D72" i="3"/>
  <c r="D108" i="3"/>
  <c r="D144" i="3"/>
  <c r="N145" i="3"/>
  <c r="Q112" i="3"/>
  <c r="Q148" i="3"/>
  <c r="B104" i="3"/>
  <c r="B140" i="3"/>
  <c r="N75" i="3"/>
  <c r="B106" i="3"/>
  <c r="F83" i="3"/>
  <c r="J57" i="3"/>
  <c r="O71" i="3"/>
  <c r="C62" i="3"/>
  <c r="N90" i="3"/>
  <c r="Q100" i="3"/>
  <c r="Q68" i="3"/>
  <c r="K135" i="3"/>
  <c r="H96" i="3"/>
  <c r="C69" i="3"/>
  <c r="G139" i="3"/>
  <c r="O98" i="3"/>
  <c r="B67" i="3"/>
  <c r="H132" i="3"/>
  <c r="G94" i="3"/>
  <c r="B63" i="3"/>
  <c r="K125" i="3"/>
  <c r="Q91" i="3"/>
  <c r="E63" i="3"/>
  <c r="O125" i="3"/>
  <c r="I89" i="3"/>
  <c r="Q58" i="3"/>
  <c r="G119" i="3"/>
  <c r="P84" i="3"/>
  <c r="F43" i="3"/>
  <c r="I110" i="3"/>
  <c r="I77" i="3"/>
  <c r="M150" i="3"/>
  <c r="H105" i="3"/>
  <c r="L72" i="3"/>
  <c r="P141" i="3"/>
  <c r="D98" i="3"/>
  <c r="F134" i="3"/>
  <c r="K95" i="3"/>
  <c r="I69" i="3"/>
  <c r="B115" i="3"/>
  <c r="O62" i="3"/>
  <c r="P106" i="3"/>
  <c r="Q57" i="3"/>
  <c r="F101" i="3"/>
  <c r="E40" i="3"/>
  <c r="P93" i="3"/>
  <c r="H147" i="3"/>
  <c r="E155" i="3"/>
  <c r="E92" i="3"/>
  <c r="P144" i="3"/>
  <c r="I88" i="3"/>
  <c r="C140" i="3"/>
  <c r="N150" i="3"/>
  <c r="M80" i="3"/>
  <c r="M116" i="3"/>
  <c r="M152" i="3"/>
  <c r="F148" i="3"/>
  <c r="P77" i="3"/>
  <c r="P113" i="3"/>
  <c r="P149" i="3"/>
  <c r="I136" i="3"/>
  <c r="C90" i="3"/>
  <c r="C126" i="3"/>
  <c r="L73" i="3"/>
  <c r="L109" i="3"/>
  <c r="L145" i="3"/>
  <c r="F147" i="3"/>
  <c r="I114" i="3"/>
  <c r="I150" i="3"/>
  <c r="J105" i="3"/>
  <c r="J141" i="3"/>
  <c r="C42" i="3"/>
  <c r="B64" i="3"/>
  <c r="H98" i="3"/>
  <c r="O70" i="3"/>
  <c r="L86" i="3"/>
  <c r="B147" i="3"/>
  <c r="P120" i="3"/>
  <c r="O103" i="3"/>
  <c r="C71" i="3"/>
  <c r="P138" i="3"/>
  <c r="L98" i="3"/>
  <c r="H71" i="3"/>
  <c r="K143" i="3"/>
  <c r="J101" i="3"/>
  <c r="F69" i="3"/>
  <c r="O135" i="3"/>
  <c r="N96" i="3"/>
  <c r="E65" i="3"/>
  <c r="L128" i="3"/>
  <c r="J94" i="3"/>
  <c r="G65" i="3"/>
  <c r="H129" i="3"/>
  <c r="G92" i="3"/>
  <c r="Q60" i="3"/>
  <c r="B123" i="3"/>
  <c r="G87" i="3"/>
  <c r="N113" i="3"/>
  <c r="P79" i="3"/>
  <c r="C155" i="3"/>
  <c r="B108" i="3"/>
  <c r="G75" i="3"/>
  <c r="G146" i="3"/>
  <c r="I100" i="3"/>
  <c r="M70" i="3"/>
  <c r="H138" i="3"/>
  <c r="F98" i="3"/>
  <c r="D71" i="3"/>
  <c r="G117" i="3"/>
  <c r="J64" i="3"/>
  <c r="O108" i="3"/>
  <c r="K59" i="3"/>
  <c r="C103" i="3"/>
  <c r="G44" i="3"/>
  <c r="N95" i="3"/>
  <c r="L149" i="3"/>
  <c r="G40" i="3"/>
  <c r="B94" i="3"/>
  <c r="L147" i="3"/>
  <c r="H90" i="3"/>
  <c r="G142" i="3"/>
  <c r="H153" i="3"/>
  <c r="E82" i="3"/>
  <c r="E118" i="3"/>
  <c r="E154" i="3"/>
  <c r="N149" i="3"/>
  <c r="H79" i="3"/>
  <c r="H115" i="3"/>
  <c r="H151" i="3"/>
  <c r="Q137" i="3"/>
  <c r="K91" i="3"/>
  <c r="K127" i="3"/>
  <c r="D75" i="3"/>
  <c r="D111" i="3"/>
  <c r="D147" i="3"/>
  <c r="N148" i="3"/>
  <c r="Q115" i="3"/>
  <c r="Q151" i="3"/>
  <c r="B107" i="3"/>
  <c r="B143" i="3"/>
  <c r="D64" i="3"/>
  <c r="G66" i="3"/>
  <c r="D131" i="3"/>
  <c r="J85" i="3"/>
  <c r="O101" i="3"/>
  <c r="L80" i="3"/>
  <c r="E143" i="3"/>
  <c r="C106" i="3"/>
  <c r="M73" i="3"/>
  <c r="I143" i="3"/>
  <c r="G101" i="3"/>
  <c r="O73" i="3"/>
  <c r="G148" i="3"/>
  <c r="D104" i="3"/>
  <c r="N71" i="3"/>
  <c r="E140" i="3"/>
  <c r="E99" i="3"/>
  <c r="F67" i="3"/>
  <c r="N132" i="3"/>
  <c r="P96" i="3"/>
  <c r="I67" i="3"/>
  <c r="P132" i="3"/>
  <c r="N94" i="3"/>
  <c r="I63" i="3"/>
  <c r="E126" i="3"/>
  <c r="K89" i="3"/>
  <c r="J116" i="3"/>
  <c r="I82" i="3"/>
  <c r="G38" i="3"/>
  <c r="K110" i="3"/>
  <c r="K77" i="3"/>
  <c r="Q150" i="3"/>
  <c r="O102" i="3"/>
  <c r="N72" i="3"/>
  <c r="J142" i="3"/>
  <c r="M100" i="3"/>
  <c r="O72" i="3"/>
  <c r="I119" i="3"/>
  <c r="D66" i="3"/>
  <c r="O110" i="3"/>
  <c r="F61" i="3"/>
  <c r="B105" i="3"/>
  <c r="C49" i="3"/>
  <c r="N97" i="3"/>
  <c r="C45" i="3"/>
  <c r="Q95" i="3"/>
  <c r="B150" i="3"/>
  <c r="F92" i="3"/>
  <c r="Q144" i="3"/>
  <c r="L155" i="3"/>
  <c r="M83" i="3"/>
  <c r="M119" i="3"/>
  <c r="M155" i="3"/>
  <c r="F151" i="3"/>
  <c r="P80" i="3"/>
  <c r="P116" i="3"/>
  <c r="P152" i="3"/>
  <c r="I139" i="3"/>
  <c r="C93" i="3"/>
  <c r="C129" i="3"/>
  <c r="L76" i="3"/>
  <c r="L112" i="3"/>
  <c r="L148" i="3"/>
  <c r="F150" i="3"/>
  <c r="I117" i="3"/>
  <c r="I153" i="3"/>
  <c r="J108" i="3"/>
  <c r="J144" i="3"/>
  <c r="E78" i="3"/>
  <c r="I66" i="3"/>
  <c r="O109" i="3"/>
  <c r="N100" i="3"/>
  <c r="L117" i="3"/>
  <c r="D60" i="3"/>
  <c r="F40" i="3"/>
  <c r="H40" i="3" s="1"/>
  <c r="M108" i="3"/>
  <c r="P75" i="3"/>
  <c r="Q147" i="3"/>
  <c r="Q103" i="3"/>
  <c r="B76" i="3"/>
  <c r="L152" i="3"/>
  <c r="I106" i="3"/>
  <c r="Q73" i="3"/>
  <c r="O143" i="3"/>
  <c r="Q101" i="3"/>
  <c r="L69" i="3"/>
  <c r="B136" i="3"/>
  <c r="K99" i="3"/>
  <c r="O69" i="3"/>
  <c r="B97" i="3"/>
  <c r="I65" i="3"/>
  <c r="P129" i="3"/>
  <c r="I92" i="3"/>
  <c r="C59" i="3"/>
  <c r="L119" i="3"/>
  <c r="B85" i="3"/>
  <c r="G49" i="3"/>
  <c r="B114" i="3"/>
  <c r="C80" i="3"/>
  <c r="I155" i="3"/>
  <c r="F108" i="3"/>
  <c r="I75" i="3"/>
  <c r="I146" i="3"/>
  <c r="D103" i="3"/>
  <c r="J74" i="3"/>
  <c r="P121" i="3"/>
  <c r="O67" i="3"/>
  <c r="D113" i="3"/>
  <c r="Q62" i="3"/>
  <c r="Q106" i="3"/>
  <c r="J56" i="3"/>
  <c r="L99" i="3"/>
  <c r="D155" i="3"/>
  <c r="E49" i="3"/>
  <c r="P97" i="3"/>
  <c r="J152" i="3"/>
  <c r="C94" i="3"/>
  <c r="M147" i="3"/>
  <c r="F143" i="3"/>
  <c r="E85" i="3"/>
  <c r="E121" i="3"/>
  <c r="N116" i="3"/>
  <c r="N152" i="3"/>
  <c r="H82" i="3"/>
  <c r="H118" i="3"/>
  <c r="H154" i="3"/>
  <c r="Q140" i="3"/>
  <c r="K94" i="3"/>
  <c r="K130" i="3"/>
  <c r="D78" i="3"/>
  <c r="D114" i="3"/>
  <c r="D150" i="3"/>
  <c r="N151" i="3"/>
  <c r="Q118" i="3"/>
  <c r="Q154" i="3"/>
  <c r="B110" i="3"/>
  <c r="B146" i="3"/>
  <c r="G93" i="3"/>
  <c r="E96" i="3"/>
  <c r="E47" i="3"/>
  <c r="M114" i="3"/>
  <c r="L138" i="3"/>
  <c r="J73" i="3"/>
  <c r="D46" i="3"/>
  <c r="Q111" i="3"/>
  <c r="G78" i="3"/>
  <c r="F152" i="3"/>
  <c r="F106" i="3"/>
  <c r="M78" i="3"/>
  <c r="F41" i="3"/>
  <c r="M109" i="3"/>
  <c r="D76" i="3"/>
  <c r="M148" i="3"/>
  <c r="G104" i="3"/>
  <c r="B72" i="3"/>
  <c r="J140" i="3"/>
  <c r="E102" i="3"/>
  <c r="E72" i="3"/>
  <c r="L140" i="3"/>
  <c r="P99" i="3"/>
  <c r="K67" i="3"/>
  <c r="B133" i="3"/>
  <c r="P94" i="3"/>
  <c r="G61" i="3"/>
  <c r="G123" i="3"/>
  <c r="I87" i="3"/>
  <c r="E57" i="3"/>
  <c r="L116" i="3"/>
  <c r="P82" i="3"/>
  <c r="C39" i="3"/>
  <c r="E111" i="3"/>
  <c r="N77" i="3"/>
  <c r="C151" i="3"/>
  <c r="O105" i="3"/>
  <c r="I76" i="3"/>
  <c r="C124" i="3"/>
  <c r="J69" i="3"/>
  <c r="C115" i="3"/>
  <c r="K64" i="3"/>
  <c r="P108" i="3"/>
  <c r="D58" i="3"/>
  <c r="I101" i="3"/>
  <c r="F107" i="3"/>
  <c r="L56" i="3"/>
  <c r="N99" i="3"/>
  <c r="F155" i="3"/>
  <c r="B96" i="3"/>
  <c r="E150" i="3"/>
  <c r="P145" i="3"/>
  <c r="M86" i="3"/>
  <c r="M122" i="3"/>
  <c r="F118" i="3"/>
  <c r="F154" i="3"/>
  <c r="P83" i="3"/>
  <c r="P119" i="3"/>
  <c r="P155" i="3"/>
  <c r="I142" i="3"/>
  <c r="C96" i="3"/>
  <c r="C132" i="3"/>
  <c r="L79" i="3"/>
  <c r="L115" i="3"/>
  <c r="L151" i="3"/>
  <c r="F153" i="3"/>
  <c r="I120" i="3"/>
  <c r="J111" i="3"/>
  <c r="J147" i="3"/>
  <c r="K108" i="3"/>
  <c r="M153" i="3"/>
  <c r="D51" i="3"/>
  <c r="O134" i="3"/>
  <c r="M106" i="3"/>
  <c r="J88" i="3"/>
  <c r="E51" i="3"/>
  <c r="N114" i="3"/>
  <c r="E81" i="3"/>
  <c r="D41" i="3"/>
  <c r="B109" i="3"/>
  <c r="G81" i="3"/>
  <c r="C47" i="3"/>
  <c r="F112" i="3"/>
  <c r="B79" i="3"/>
  <c r="K153" i="3"/>
  <c r="N106" i="3"/>
  <c r="D74" i="3"/>
  <c r="M144" i="3"/>
  <c r="I104" i="3"/>
  <c r="F74" i="3"/>
  <c r="C145" i="3"/>
  <c r="G102" i="3"/>
  <c r="C70" i="3"/>
  <c r="C137" i="3"/>
  <c r="D97" i="3"/>
  <c r="H126" i="3"/>
  <c r="B90" i="3"/>
  <c r="E59" i="3"/>
  <c r="H120" i="3"/>
  <c r="D85" i="3"/>
  <c r="F44" i="3"/>
  <c r="F114" i="3"/>
  <c r="E80" i="3"/>
  <c r="E39" i="3"/>
  <c r="H108" i="3"/>
  <c r="H78" i="3"/>
  <c r="M126" i="3"/>
  <c r="E71" i="3"/>
  <c r="H117" i="3"/>
  <c r="E66" i="3"/>
  <c r="B111" i="3"/>
  <c r="O59" i="3"/>
  <c r="G103" i="3"/>
  <c r="D109" i="3"/>
  <c r="G58" i="3"/>
  <c r="K101" i="3"/>
  <c r="D45" i="3"/>
  <c r="Q97" i="3"/>
  <c r="K152" i="3"/>
  <c r="D148" i="3"/>
  <c r="E88" i="3"/>
  <c r="E124" i="3"/>
  <c r="N119" i="3"/>
  <c r="N155" i="3"/>
  <c r="H85" i="3"/>
  <c r="H121" i="3"/>
  <c r="Q107" i="3"/>
  <c r="Q143" i="3"/>
  <c r="K97" i="3"/>
  <c r="K133" i="3"/>
  <c r="D81" i="3"/>
  <c r="D117" i="3"/>
  <c r="D153" i="3"/>
  <c r="N154" i="3"/>
  <c r="Q121" i="3"/>
  <c r="B77" i="3"/>
  <c r="B113" i="3"/>
  <c r="B149" i="3"/>
  <c r="I125" i="3"/>
  <c r="C67" i="3"/>
  <c r="N68" i="3"/>
  <c r="C128" i="3"/>
  <c r="M151" i="3"/>
  <c r="N103" i="3"/>
  <c r="M57" i="3"/>
  <c r="C118" i="3"/>
  <c r="I83" i="3"/>
  <c r="G46" i="3"/>
  <c r="C112" i="3"/>
  <c r="K83" i="3"/>
  <c r="B56" i="3"/>
  <c r="F115" i="3"/>
  <c r="I81" i="3"/>
  <c r="D42" i="3"/>
  <c r="P109" i="3"/>
  <c r="N76" i="3"/>
  <c r="D149" i="3"/>
  <c r="D107" i="3"/>
  <c r="Q76" i="3"/>
  <c r="F149" i="3"/>
  <c r="K104" i="3"/>
  <c r="G72" i="3"/>
  <c r="B141" i="3"/>
  <c r="B100" i="3"/>
  <c r="K65" i="3"/>
  <c r="B130" i="3"/>
  <c r="K92" i="3"/>
  <c r="K61" i="3"/>
  <c r="K123" i="3"/>
  <c r="L87" i="3"/>
  <c r="D50" i="3"/>
  <c r="B117" i="3"/>
  <c r="C83" i="3"/>
  <c r="E45" i="3"/>
  <c r="M111" i="3"/>
  <c r="F80" i="3"/>
  <c r="B129" i="3"/>
  <c r="P72" i="3"/>
  <c r="J119" i="3"/>
  <c r="P67" i="3"/>
  <c r="E113" i="3"/>
  <c r="J61" i="3"/>
  <c r="G105" i="3"/>
  <c r="H111" i="3"/>
  <c r="B60" i="3"/>
  <c r="N56" i="3"/>
  <c r="O99" i="3"/>
  <c r="G155" i="3"/>
  <c r="P150" i="3"/>
  <c r="F121" i="3"/>
  <c r="E38" i="3"/>
  <c r="P86" i="3"/>
  <c r="P122" i="3"/>
  <c r="I109" i="3"/>
  <c r="I145" i="3"/>
  <c r="C99" i="3"/>
  <c r="C135" i="3"/>
  <c r="L82" i="3"/>
  <c r="L118" i="3"/>
  <c r="L154" i="3"/>
  <c r="O133" i="3"/>
  <c r="I123" i="3"/>
  <c r="J78" i="3"/>
  <c r="J114" i="3"/>
  <c r="J150" i="3"/>
  <c r="P148" i="3"/>
  <c r="K81" i="3"/>
  <c r="G83" i="3"/>
  <c r="K57" i="3"/>
  <c r="N59" i="3"/>
  <c r="O118" i="3"/>
  <c r="E60" i="3"/>
  <c r="B121" i="3"/>
  <c r="P85" i="3"/>
  <c r="G51" i="3"/>
  <c r="P114" i="3"/>
  <c r="F86" i="3"/>
  <c r="F58" i="3"/>
  <c r="M118" i="3"/>
  <c r="N83" i="3"/>
  <c r="F47" i="3"/>
  <c r="M112" i="3"/>
  <c r="F79" i="3"/>
  <c r="O153" i="3"/>
  <c r="D110" i="3"/>
  <c r="I79" i="3"/>
  <c r="Q153" i="3"/>
  <c r="J107" i="3"/>
  <c r="H74" i="3"/>
  <c r="M145" i="3"/>
  <c r="I102" i="3"/>
  <c r="Q67" i="3"/>
  <c r="D133" i="3"/>
  <c r="C95" i="3"/>
  <c r="L126" i="3"/>
  <c r="I90" i="3"/>
  <c r="G57" i="3"/>
  <c r="L120" i="3"/>
  <c r="G85" i="3"/>
  <c r="G50" i="3"/>
  <c r="F117" i="3"/>
  <c r="C82" i="3"/>
  <c r="H131" i="3"/>
  <c r="K74" i="3"/>
  <c r="C122" i="3"/>
  <c r="K69" i="3"/>
  <c r="D115" i="3"/>
  <c r="D63" i="3"/>
  <c r="E107" i="3"/>
  <c r="I113" i="3"/>
  <c r="L61" i="3"/>
  <c r="I105" i="3"/>
  <c r="I58" i="3"/>
  <c r="L101" i="3"/>
  <c r="L132" i="3"/>
  <c r="L153" i="3"/>
  <c r="E91" i="3"/>
  <c r="E127" i="3"/>
  <c r="N122" i="3"/>
  <c r="E42" i="3"/>
  <c r="H88" i="3"/>
  <c r="H124" i="3"/>
  <c r="Q110" i="3"/>
  <c r="Q146" i="3"/>
  <c r="K100" i="3"/>
  <c r="K136" i="3"/>
  <c r="D84" i="3"/>
  <c r="D120" i="3"/>
  <c r="N121" i="3"/>
  <c r="G135" i="3"/>
  <c r="Q124" i="3"/>
  <c r="B80" i="3"/>
  <c r="B116" i="3"/>
  <c r="M105" i="3"/>
  <c r="F55" i="4"/>
  <c r="E44" i="4"/>
  <c r="E72" i="4"/>
  <c r="B51" i="4"/>
  <c r="E74" i="4"/>
  <c r="E45" i="4"/>
  <c r="B55" i="4"/>
  <c r="B48" i="4"/>
  <c r="B45" i="4"/>
  <c r="E56" i="4"/>
  <c r="F45" i="4"/>
  <c r="C32" i="1"/>
  <c r="E58" i="4"/>
  <c r="E59" i="4"/>
  <c r="Q11" i="2"/>
  <c r="F75" i="4"/>
  <c r="C25" i="1"/>
  <c r="E42" i="4"/>
  <c r="F57" i="4"/>
  <c r="F76" i="4"/>
  <c r="E40" i="4"/>
  <c r="B72" i="4"/>
  <c r="D72" i="4"/>
  <c r="F63" i="4"/>
  <c r="D81" i="4"/>
  <c r="F43" i="4"/>
  <c r="D40" i="4"/>
  <c r="F47" i="4"/>
  <c r="F44" i="4"/>
  <c r="F41" i="4"/>
  <c r="D52" i="4"/>
  <c r="B50" i="4"/>
  <c r="D64" i="4"/>
  <c r="E49" i="4"/>
  <c r="B47" i="4"/>
  <c r="E54" i="4"/>
  <c r="E51" i="4"/>
  <c r="E48" i="4"/>
  <c r="F56" i="4"/>
  <c r="Q17" i="2"/>
  <c r="P17" i="2"/>
  <c r="L17" i="2"/>
  <c r="H17" i="2"/>
  <c r="M17" i="2"/>
  <c r="G17" i="2"/>
  <c r="N17" i="2" s="1"/>
  <c r="F17" i="2"/>
  <c r="E17" i="2"/>
  <c r="D17" i="2"/>
  <c r="C17" i="2"/>
  <c r="I17" i="2" s="1"/>
  <c r="B17" i="2"/>
  <c r="K17" i="2"/>
  <c r="J17" i="2"/>
  <c r="B70" i="4"/>
  <c r="E81" i="4"/>
  <c r="D57" i="4"/>
  <c r="F50" i="4"/>
  <c r="E60" i="4"/>
  <c r="D55" i="4"/>
  <c r="B56" i="4"/>
  <c r="F62" i="4"/>
  <c r="F12" i="2"/>
  <c r="C12" i="2"/>
  <c r="I12" i="2" s="1"/>
  <c r="P12" i="2"/>
  <c r="Q12" i="2"/>
  <c r="M12" i="2"/>
  <c r="L12" i="2"/>
  <c r="K12" i="2"/>
  <c r="J12" i="2"/>
  <c r="H12" i="2"/>
  <c r="G12" i="2"/>
  <c r="N12" i="2" s="1"/>
  <c r="E12" i="2"/>
  <c r="D12" i="2"/>
  <c r="B12" i="2"/>
  <c r="C33" i="1"/>
  <c r="F52" i="4"/>
  <c r="B71" i="4"/>
  <c r="F59" i="4"/>
  <c r="E66" i="4"/>
  <c r="D61" i="4"/>
  <c r="B62" i="4"/>
  <c r="F68" i="4"/>
  <c r="K23" i="2"/>
  <c r="H23" i="2"/>
  <c r="P23" i="2"/>
  <c r="M23" i="2"/>
  <c r="L23" i="2"/>
  <c r="Q23" i="2"/>
  <c r="J23" i="2"/>
  <c r="E23" i="2"/>
  <c r="D23" i="2"/>
  <c r="C23" i="2"/>
  <c r="I23" i="2" s="1"/>
  <c r="B23" i="2"/>
  <c r="F23" i="2"/>
  <c r="G23" i="2"/>
  <c r="N23" i="2" s="1"/>
  <c r="D50" i="4"/>
  <c r="E64" i="4"/>
  <c r="F49" i="4"/>
  <c r="F65" i="4"/>
  <c r="D67" i="4"/>
  <c r="B68" i="4"/>
  <c r="F74" i="4"/>
  <c r="Q14" i="2"/>
  <c r="M14" i="2"/>
  <c r="K14" i="2"/>
  <c r="H14" i="2"/>
  <c r="P14" i="2"/>
  <c r="L14" i="2"/>
  <c r="J14" i="2"/>
  <c r="G14" i="2"/>
  <c r="N14" i="2" s="1"/>
  <c r="F14" i="2"/>
  <c r="E14" i="2"/>
  <c r="D14" i="2"/>
  <c r="C14" i="2"/>
  <c r="I14" i="2" s="1"/>
  <c r="B14" i="2"/>
  <c r="E75" i="4"/>
  <c r="F81" i="4"/>
  <c r="E57" i="4"/>
  <c r="F71" i="4"/>
  <c r="D73" i="4"/>
  <c r="B74" i="4"/>
  <c r="F80" i="4"/>
  <c r="Q18" i="2"/>
  <c r="L18" i="2"/>
  <c r="K18" i="2"/>
  <c r="J18" i="2"/>
  <c r="H18" i="2"/>
  <c r="G18" i="2"/>
  <c r="N18" i="2" s="1"/>
  <c r="F18" i="2"/>
  <c r="E18" i="2"/>
  <c r="D18" i="2"/>
  <c r="C18" i="2"/>
  <c r="I18" i="2" s="1"/>
  <c r="B18" i="2"/>
  <c r="P18" i="2"/>
  <c r="M18" i="2"/>
  <c r="C27" i="1"/>
  <c r="C20" i="1"/>
  <c r="B65" i="4"/>
  <c r="D71" i="4"/>
  <c r="F77" i="4"/>
  <c r="D28" i="7"/>
  <c r="D79" i="4"/>
  <c r="B80" i="4"/>
  <c r="C30" i="7"/>
  <c r="D58" i="4"/>
  <c r="E50" i="4"/>
  <c r="C30" i="1"/>
  <c r="C27" i="7"/>
  <c r="F27" i="7"/>
  <c r="D44" i="4"/>
  <c r="D41" i="4"/>
  <c r="E29" i="7"/>
  <c r="B42" i="4"/>
  <c r="K20" i="2"/>
  <c r="Q20" i="2"/>
  <c r="J20" i="2"/>
  <c r="L20" i="2"/>
  <c r="H20" i="2"/>
  <c r="G20" i="2"/>
  <c r="N20" i="2" s="1"/>
  <c r="F20" i="2"/>
  <c r="E20" i="2"/>
  <c r="D20" i="2"/>
  <c r="C20" i="2"/>
  <c r="I20" i="2" s="1"/>
  <c r="B20" i="2"/>
  <c r="P20" i="2"/>
  <c r="M20" i="2"/>
  <c r="D65" i="4"/>
  <c r="B76" i="4"/>
  <c r="E65" i="4"/>
  <c r="E71" i="4"/>
  <c r="D47" i="4"/>
  <c r="F54" i="4"/>
  <c r="F51" i="4"/>
  <c r="F48" i="4"/>
  <c r="E52" i="4"/>
  <c r="M13" i="2"/>
  <c r="J13" i="2"/>
  <c r="E13" i="2"/>
  <c r="D13" i="2"/>
  <c r="B13" i="2"/>
  <c r="L13" i="2"/>
  <c r="K13" i="2"/>
  <c r="H13" i="2"/>
  <c r="G13" i="2"/>
  <c r="N13" i="2" s="1"/>
  <c r="P13" i="2"/>
  <c r="Q13" i="2"/>
  <c r="F13" i="2"/>
  <c r="C13" i="2"/>
  <c r="I13" i="2" s="1"/>
  <c r="B40" i="4"/>
  <c r="C21" i="1"/>
  <c r="F42" i="4"/>
  <c r="E27" i="7"/>
  <c r="B54" i="4"/>
  <c r="F60" i="4"/>
  <c r="E55" i="4"/>
  <c r="D56" i="4"/>
  <c r="B57" i="4"/>
  <c r="C15" i="2"/>
  <c r="I15" i="2" s="1"/>
  <c r="Q15" i="2"/>
  <c r="P15" i="2"/>
  <c r="K15" i="2"/>
  <c r="J15" i="2"/>
  <c r="H15" i="2"/>
  <c r="G15" i="2"/>
  <c r="N15" i="2" s="1"/>
  <c r="F15" i="2"/>
  <c r="M15" i="2"/>
  <c r="L15" i="2"/>
  <c r="E15" i="2"/>
  <c r="D15" i="2"/>
  <c r="B15" i="2"/>
  <c r="C28" i="1"/>
  <c r="D76" i="4"/>
  <c r="B53" i="4"/>
  <c r="B58" i="4"/>
  <c r="B60" i="4"/>
  <c r="F66" i="4"/>
  <c r="E61" i="4"/>
  <c r="D62" i="4"/>
  <c r="B63" i="4"/>
  <c r="G19" i="2"/>
  <c r="N19" i="2" s="1"/>
  <c r="D19" i="2"/>
  <c r="H19" i="2"/>
  <c r="E19" i="2"/>
  <c r="Q19" i="2"/>
  <c r="P19" i="2"/>
  <c r="K19" i="2"/>
  <c r="J19" i="2"/>
  <c r="F19" i="2"/>
  <c r="C19" i="2"/>
  <c r="I19" i="2" s="1"/>
  <c r="B19" i="2"/>
  <c r="L19" i="2"/>
  <c r="M19" i="2"/>
  <c r="B59" i="4"/>
  <c r="E76" i="4"/>
  <c r="D69" i="4"/>
  <c r="D75" i="4"/>
  <c r="B66" i="4"/>
  <c r="F72" i="4"/>
  <c r="E67" i="4"/>
  <c r="D68" i="4"/>
  <c r="B69" i="4"/>
  <c r="B24" i="2"/>
  <c r="J24" i="2"/>
  <c r="H24" i="2"/>
  <c r="G24" i="2"/>
  <c r="N24" i="2" s="1"/>
  <c r="F24" i="2"/>
  <c r="E24" i="2"/>
  <c r="D24" i="2"/>
  <c r="C24" i="2"/>
  <c r="I24" i="2" s="1"/>
  <c r="Q24" i="2"/>
  <c r="P24" i="2"/>
  <c r="M24" i="2"/>
  <c r="L24" i="2"/>
  <c r="K24" i="2"/>
  <c r="F30" i="7"/>
  <c r="C22" i="1"/>
  <c r="C31" i="1"/>
  <c r="E30" i="7"/>
  <c r="E73" i="4"/>
  <c r="D74" i="4"/>
  <c r="B75" i="4"/>
  <c r="J16" i="2"/>
  <c r="G16" i="2"/>
  <c r="N16" i="2" s="1"/>
  <c r="F16" i="2"/>
  <c r="E16" i="2"/>
  <c r="C16" i="2"/>
  <c r="I16" i="2" s="1"/>
  <c r="M16" i="2"/>
  <c r="L16" i="2"/>
  <c r="K16" i="2"/>
  <c r="H16" i="2"/>
  <c r="D16" i="2"/>
  <c r="B16" i="2"/>
  <c r="Q16" i="2"/>
  <c r="P16" i="2"/>
  <c r="Q21" i="2"/>
  <c r="P21" i="2"/>
  <c r="M21" i="2"/>
  <c r="L21" i="2"/>
  <c r="K21" i="2"/>
  <c r="H21" i="2"/>
  <c r="G21" i="2"/>
  <c r="N21" i="2" s="1"/>
  <c r="F21" i="2"/>
  <c r="E21" i="2"/>
  <c r="D21" i="2"/>
  <c r="C21" i="2"/>
  <c r="I21" i="2" s="1"/>
  <c r="B21" i="2"/>
  <c r="J21" i="2"/>
  <c r="D59" i="4"/>
  <c r="B77" i="4"/>
  <c r="D53" i="4"/>
  <c r="B43" i="4"/>
  <c r="E28" i="7"/>
  <c r="E79" i="4"/>
  <c r="D80" i="4"/>
  <c r="B81" i="4"/>
  <c r="D22" i="2"/>
  <c r="J22" i="2"/>
  <c r="G22" i="2"/>
  <c r="N22" i="2" s="1"/>
  <c r="C22" i="2"/>
  <c r="I22" i="2" s="1"/>
  <c r="B22" i="2"/>
  <c r="M22" i="2"/>
  <c r="L22" i="2"/>
  <c r="K22" i="2"/>
  <c r="H22" i="2"/>
  <c r="F22" i="2"/>
  <c r="E22" i="2"/>
  <c r="Q22" i="2"/>
  <c r="P22" i="2"/>
  <c r="C29" i="1"/>
  <c r="D77" i="4"/>
  <c r="E69" i="4"/>
  <c r="F46" i="4"/>
  <c r="F40" i="4"/>
  <c r="C29" i="7"/>
  <c r="F29" i="7"/>
  <c r="D30" i="7"/>
  <c r="E77" i="4"/>
  <c r="F53" i="4"/>
  <c r="E53" i="4"/>
  <c r="E47" i="4"/>
  <c r="D51" i="4"/>
  <c r="E41" i="4"/>
  <c r="D45" i="4"/>
  <c r="C31" i="7"/>
  <c r="C24" i="1"/>
  <c r="F69" i="4"/>
  <c r="F58" i="4"/>
  <c r="D54" i="4"/>
  <c r="D48" i="4"/>
  <c r="B52" i="4"/>
  <c r="D63" i="4"/>
  <c r="B46" i="4"/>
  <c r="D43" i="4"/>
  <c r="F64" i="4"/>
  <c r="D60" i="4"/>
  <c r="B61" i="4"/>
  <c r="D31" i="7"/>
  <c r="B49" i="4"/>
  <c r="F70" i="4"/>
  <c r="D66" i="4"/>
  <c r="B67" i="4"/>
  <c r="F61" i="4"/>
  <c r="E62" i="4"/>
  <c r="P11" i="2"/>
  <c r="D46" i="4"/>
  <c r="D70" i="4"/>
  <c r="B73" i="4"/>
  <c r="F67" i="4"/>
  <c r="E68" i="4"/>
  <c r="D42" i="4"/>
  <c r="C26" i="1"/>
  <c r="E43" i="4"/>
  <c r="F31" i="7"/>
  <c r="B79" i="4"/>
  <c r="F73" i="4"/>
  <c r="E63" i="4"/>
  <c r="E46" i="4"/>
  <c r="D49" i="4"/>
  <c r="D27" i="7"/>
  <c r="C28" i="7"/>
  <c r="F28" i="7"/>
  <c r="F79" i="4"/>
  <c r="E80" i="4"/>
  <c r="I11" i="2"/>
  <c r="E31" i="7"/>
  <c r="B64" i="4"/>
  <c r="E70" i="4"/>
  <c r="C23" i="1"/>
  <c r="B44" i="4"/>
  <c r="B41" i="4"/>
  <c r="D29" i="7"/>
  <c r="H41" i="3" l="1"/>
  <c r="H47" i="3"/>
  <c r="O22" i="2"/>
  <c r="O23" i="2"/>
  <c r="O24" i="2"/>
  <c r="H50" i="3"/>
  <c r="H43" i="3"/>
  <c r="H51" i="3"/>
  <c r="H46" i="3"/>
  <c r="H45" i="3"/>
  <c r="H39" i="3"/>
  <c r="H44" i="3"/>
  <c r="H48" i="3"/>
  <c r="H42" i="3"/>
  <c r="H49" i="3"/>
  <c r="G27" i="7"/>
  <c r="G30" i="7"/>
  <c r="O18" i="2"/>
  <c r="O12" i="2"/>
  <c r="O11" i="2"/>
  <c r="O16" i="2"/>
  <c r="O14" i="2"/>
  <c r="O20" i="2"/>
  <c r="O21" i="2"/>
  <c r="O13" i="2"/>
  <c r="G28" i="7"/>
  <c r="G29" i="7"/>
  <c r="O19" i="2"/>
  <c r="G31" i="7"/>
  <c r="I7" i="2"/>
  <c r="O7" i="2"/>
  <c r="O17" i="2"/>
  <c r="O15" i="2"/>
</calcChain>
</file>

<file path=xl/sharedStrings.xml><?xml version="1.0" encoding="utf-8"?>
<sst xmlns="http://schemas.openxmlformats.org/spreadsheetml/2006/main" count="9501" uniqueCount="2916">
  <si>
    <t>FAFO CLAN INTEL  ·  FUCT against the field</t>
  </si>
  <si>
    <t>One source of truth, ten ways to slice it. FUCT is the focal point throughout.</t>
  </si>
  <si>
    <t>WHERE TO GO</t>
  </si>
  <si>
    <t>All fourteen clans with a Shadow / Immortal switch. Scoreboard, tier and class spread, a vs-FUCT column and a chart.</t>
  </si>
  <si>
    <t>The line graph: every clan ranked 1st to 100th by Reso. Shows exactly which slice of a roster beats ours.</t>
  </si>
  <si>
    <t>Top 30 by Resonance, Combat Rating and Power Index, plus every clan podium. FUCT rows highlighted.</t>
  </si>
  <si>
    <t>Six cross-tab matrices — Reso tier, class, CR band, secondary tier, role and data status — against all fourteen clans.</t>
  </si>
  <si>
    <t>Pick any of the 1,361 names from an alphabetical dropdown. Full stat line, ranks, clan and field comparison, rivals, class ladder.</t>
  </si>
  <si>
    <t>FUCT against anyone, fifteen metrics head to head, with the stronger side marked.</t>
  </si>
  <si>
    <t>Warband summary plus a picker showing all twelve slots of whichever one you choose, open seats included.</t>
  </si>
  <si>
    <t>The rollout plan — who is approved, staying or requested, and where they are headed.</t>
  </si>
  <si>
    <t>Every player, every stat, filterable. The only tab you type into for roster data.</t>
  </si>
  <si>
    <t>Tier thresholds, Power Index weights, the class-to-role map and the faction map. Change a number, the book re-cuts.</t>
  </si>
  <si>
    <t>THE CLAN TABS  ·  gold is us (standalone), red is Immortal, purple is Shadow</t>
  </si>
  <si>
    <t>HOW IT WORKS</t>
  </si>
  <si>
    <t>One place to type</t>
  </si>
  <si>
    <t>MASTER is the source. Cream cells are yours. Every other cell in the workbook is a formula pointing back at it. Clan, faction and class are dropdowns so a typo cannot quietly drop someone out of the counts.</t>
  </si>
  <si>
    <t>Adding a player</t>
  </si>
  <si>
    <t>Type into the first empty row at the bottom of MASTER — the formulas are already built into the next 100 rows, so a new player flows through to their clan tab, the leaderboards, the matrices and the charts with no dragging.</t>
  </si>
  <si>
    <t>Rosters are alphabetical</t>
  </si>
  <si>
    <t>Every clan tab lists members A to Z, with their Reso rank alongside. Leaderboards stay ranked by value, since that is their whole point.</t>
  </si>
  <si>
    <t>The faction switch</t>
  </si>
  <si>
    <t>The dropdown at the top of DASHBOARD filters to Shadow, Immortal, Standalone or everything. FUCT stays pinned in view whichever you pick, because it is the thing everything else is measured against.</t>
  </si>
  <si>
    <t>Power Index</t>
  </si>
  <si>
    <t>A blended 0-100 score: 55% Reso, 25% Combat Rating, 20% secondary, each against a benchmark on SETUP. The weighting is a judgement call and is editable.</t>
  </si>
  <si>
    <t>Secondaries</t>
  </si>
  <si>
    <t>One combined average per player, covering whatever secondaries were recorded — usually two of the four. Original text is preserved in hidden column AF on MASTER.</t>
  </si>
  <si>
    <t>Nothing was deleted</t>
  </si>
  <si>
    <t>Every original value is here. Suspect entries are flagged in the Flags column on MASTER, never overwritten.</t>
  </si>
  <si>
    <t>Built from FAFO_12-08-2025 (3).xlsx · fishing, EAST COAST, HUNT FOR THREE, GEM LEVELS and the Resonance Source tabs were left alone.</t>
  </si>
  <si>
    <t>DASHBOARD  ·  fourteen clans</t>
  </si>
  <si>
    <t>FUCT is standalone — no faction. Flip the switch to look at Shadow, Immortal, or everything. FUCT stays visible throughout.</t>
  </si>
  <si>
    <t>SHOW  &gt;</t>
  </si>
  <si>
    <t>ALL</t>
  </si>
  <si>
    <t>&lt; faction switch. Everything below follows it — FUCT stays in view either way, since it is the comparison.</t>
  </si>
  <si>
    <t>PLAYERS IN VIEW</t>
  </si>
  <si>
    <t>CLANS IN VIEW</t>
  </si>
  <si>
    <t>AVG RESO</t>
  </si>
  <si>
    <t>FUCT AVG RESO</t>
  </si>
  <si>
    <t>FUCT RANK BY AVG RESO</t>
  </si>
  <si>
    <t>10K+ IN VIEW</t>
  </si>
  <si>
    <t>FUCT 10K+ CLUB</t>
  </si>
  <si>
    <t>TOP PLAYER IN VIEW</t>
  </si>
  <si>
    <t>CLAN SCOREBOARD  ·  sorted by the faction switch, FUCT highlighted</t>
  </si>
  <si>
    <t>Clan</t>
  </si>
  <si>
    <t>Faction</t>
  </si>
  <si>
    <t>Members</t>
  </si>
  <si>
    <t>Scouted</t>
  </si>
  <si>
    <t>Avg CR</t>
  </si>
  <si>
    <t>Best CR</t>
  </si>
  <si>
    <t>Avg Reso</t>
  </si>
  <si>
    <t>Best Reso</t>
  </si>
  <si>
    <t>Median
Reso</t>
  </si>
  <si>
    <t>10k+</t>
  </si>
  <si>
    <t>8k-10k</t>
  </si>
  <si>
    <t>Avg Sec
(k)</t>
  </si>
  <si>
    <t>Avg Power</t>
  </si>
  <si>
    <t>vs FUCT
avg reso</t>
  </si>
  <si>
    <t>Power
rank</t>
  </si>
  <si>
    <t>Top player</t>
  </si>
  <si>
    <t>Their reso</t>
  </si>
  <si>
    <t>ROSTER BY RESONANCE TIER  ·  in view</t>
  </si>
  <si>
    <t>ROSTER BY CLASS  ·  in view</t>
  </si>
  <si>
    <t>Tier</t>
  </si>
  <si>
    <t>Players</t>
  </si>
  <si>
    <t>Share</t>
  </si>
  <si>
    <t>FUCT</t>
  </si>
  <si>
    <t>Shape</t>
  </si>
  <si>
    <t>Class</t>
  </si>
  <si>
    <t>Role</t>
  </si>
  <si>
    <t>Avg reso</t>
  </si>
  <si>
    <t>BARBARIAN</t>
  </si>
  <si>
    <t>BLOOD KNIGHT</t>
  </si>
  <si>
    <t>CRUSADER</t>
  </si>
  <si>
    <t>DEMON HUNTER</t>
  </si>
  <si>
    <t>DRUID</t>
  </si>
  <si>
    <t>MONK</t>
  </si>
  <si>
    <t>NECROMANCER</t>
  </si>
  <si>
    <t>TEMPEST</t>
  </si>
  <si>
    <t>WARLOCK</t>
  </si>
  <si>
    <t>WIZARD</t>
  </si>
  <si>
    <t>DEPTH CURVES  ·  where FUCT is stronger and weaker than everyone else</t>
  </si>
  <si>
    <t>Pick a stat and a rival. Each line runs from a clan's strongest player to its weakest, so the same point on the axis is a like-for-like slot.</t>
  </si>
  <si>
    <t>STAT  &gt;</t>
  </si>
  <si>
    <t>RESONANCE</t>
  </si>
  <si>
    <t>RIVAL  &gt;</t>
  </si>
  <si>
    <t>VANGUARD</t>
  </si>
  <si>
    <t>THE PICTURE</t>
  </si>
  <si>
    <t>KEY</t>
  </si>
  <si>
    <t>FUCT — us</t>
  </si>
  <si>
    <t>every other clan</t>
  </si>
  <si>
    <t>Left edge = each clan's best player.</t>
  </si>
  <si>
    <t>Right edge = each clan's weakest.</t>
  </si>
  <si>
    <t>Halfway across = their median.</t>
  </si>
  <si>
    <t>Rosters differ in size, so the axis is</t>
  </si>
  <si>
    <t>share of roster, not headcount — that</t>
  </si>
  <si>
    <t>keeps a 93-man clan comparable to a 102.</t>
  </si>
  <si>
    <t>PERCENTILE TABLE  ·  the same story in numbers, for the stat selected above</t>
  </si>
  <si>
    <t>Top 5 avg</t>
  </si>
  <si>
    <t>10th</t>
  </si>
  <si>
    <t>25th</t>
  </si>
  <si>
    <t>Median</t>
  </si>
  <si>
    <t>75th</t>
  </si>
  <si>
    <t>vs FUCT median</t>
  </si>
  <si>
    <t>STANDALONE</t>
  </si>
  <si>
    <t>LEGENDS</t>
  </si>
  <si>
    <t>IMMORTAL</t>
  </si>
  <si>
    <t>UNDYING</t>
  </si>
  <si>
    <t>SBG</t>
  </si>
  <si>
    <t>SHADOW</t>
  </si>
  <si>
    <t>AZUKI</t>
  </si>
  <si>
    <t>RECKONING</t>
  </si>
  <si>
    <t>ACHERON</t>
  </si>
  <si>
    <t>INVICTUS</t>
  </si>
  <si>
    <t>EMERALD LEAF TRIBE</t>
  </si>
  <si>
    <t>SUB ROSA</t>
  </si>
  <si>
    <t>VENGEANCE</t>
  </si>
  <si>
    <t>VENDETTA</t>
  </si>
  <si>
    <t>ZOMBIES</t>
  </si>
  <si>
    <t>chart data (hidden helper)</t>
  </si>
  <si>
    <t>Roster %</t>
  </si>
  <si>
    <t>RIVAL</t>
  </si>
  <si>
    <t>LEADERBOARDS  ·  who is actually carrying, across both factions</t>
  </si>
  <si>
    <t>Top 30 in each stat. FUCT players are highlighted so you can see where we land.</t>
  </si>
  <si>
    <t>TOP 30  ·  RESONANCE</t>
  </si>
  <si>
    <t>TOP 30  ·  COMBAT RATING</t>
  </si>
  <si>
    <t>TOP 30  ·  POWER INDEX</t>
  </si>
  <si>
    <t>#</t>
  </si>
  <si>
    <t>Player</t>
  </si>
  <si>
    <t>Reso</t>
  </si>
  <si>
    <t>CR</t>
  </si>
  <si>
    <t>Band</t>
  </si>
  <si>
    <t>Index</t>
  </si>
  <si>
    <t>Grade</t>
  </si>
  <si>
    <t>PODIUM  ·  top three of every clan by Resonance</t>
  </si>
  <si>
    <t>CLAN SHAPE</t>
  </si>
  <si>
    <t>Best reso</t>
  </si>
  <si>
    <t>TIER BOARDS  ·  every sub-category against every clan</t>
  </si>
  <si>
    <t>Darker cell = more players. Immortal clans first, Shadow after. Change a threshold on SETUP and these re-cut.</t>
  </si>
  <si>
    <t>RESONANCE TIER  x  CLAN</t>
  </si>
  <si>
    <t>Sub-category</t>
  </si>
  <si>
    <t>TOTAL</t>
  </si>
  <si>
    <t>MYTHIC</t>
  </si>
  <si>
    <t>APEX</t>
  </si>
  <si>
    <t>ELITE</t>
  </si>
  <si>
    <t>VETERAN</t>
  </si>
  <si>
    <t>CORE</t>
  </si>
  <si>
    <t>DEVELOPING</t>
  </si>
  <si>
    <t>ROOKIE</t>
  </si>
  <si>
    <t>CLASS  x  CLAN</t>
  </si>
  <si>
    <t>COMBAT RATING BAND  x  CLAN</t>
  </si>
  <si>
    <t>64,000 +</t>
  </si>
  <si>
    <t>63,000 - 63,999</t>
  </si>
  <si>
    <t>62,000 - 62,999</t>
  </si>
  <si>
    <t>61,000 - 61,999</t>
  </si>
  <si>
    <t>60,000 - 60,999</t>
  </si>
  <si>
    <t>58,000 - 59,999</t>
  </si>
  <si>
    <t>Under 58,000</t>
  </si>
  <si>
    <t>SECONDARY TIER  x  CLAN</t>
  </si>
  <si>
    <t>10k +</t>
  </si>
  <si>
    <t>8k - 10k</t>
  </si>
  <si>
    <t>6k - 8k</t>
  </si>
  <si>
    <t>5k - 6k</t>
  </si>
  <si>
    <t>4k - 5k</t>
  </si>
  <si>
    <t>3k - 4k</t>
  </si>
  <si>
    <t>Under 3k</t>
  </si>
  <si>
    <t>ROLE  x  CLAN  ·  average Resonance, not a count</t>
  </si>
  <si>
    <t>Frontline</t>
  </si>
  <si>
    <t>Melee DPS</t>
  </si>
  <si>
    <t>Ranged DPS</t>
  </si>
  <si>
    <t>Control</t>
  </si>
  <si>
    <t>Support</t>
  </si>
  <si>
    <t>DATA STATUS  x  CLAN</t>
  </si>
  <si>
    <t>Complete</t>
  </si>
  <si>
    <t>Partial</t>
  </si>
  <si>
    <t>Name only</t>
  </si>
  <si>
    <t>PLAYER CARD  ·  pick any name, get the whole picture</t>
  </si>
  <si>
    <t>The dropdown is alphabetical across all 1,361 players in both factions. Everything below redraws instantly.</t>
  </si>
  <si>
    <t>PICK A PLAYER  &gt;</t>
  </si>
  <si>
    <t>Solorin</t>
  </si>
  <si>
    <t>&lt; alphabetical dropdown, or just type a name</t>
  </si>
  <si>
    <t>STAT LINE</t>
  </si>
  <si>
    <t>Stat</t>
  </si>
  <si>
    <t>Value</t>
  </si>
  <si>
    <t>Tier / band</t>
  </si>
  <si>
    <t>Rank (all clans)</t>
  </si>
  <si>
    <t>Percentile</t>
  </si>
  <si>
    <t>Where they sit</t>
  </si>
  <si>
    <t>Combat Rating</t>
  </si>
  <si>
    <t>-</t>
  </si>
  <si>
    <t>Resonance</t>
  </si>
  <si>
    <t>Secondary avg (k)</t>
  </si>
  <si>
    <t>Power Index (0-100)</t>
  </si>
  <si>
    <t>Data status</t>
  </si>
  <si>
    <t>Transfer plan</t>
  </si>
  <si>
    <t>HOW THEY STACK UP</t>
  </si>
  <si>
    <t>Metric</t>
  </si>
  <si>
    <t>Clan average</t>
  </si>
  <si>
    <t>vs clan</t>
  </si>
  <si>
    <t>All-clan average</t>
  </si>
  <si>
    <t>vs field</t>
  </si>
  <si>
    <t>Rank in clan</t>
  </si>
  <si>
    <t>NEAREST RIVALS  ·  the seven players either side of them on the all-clan Reso ladder</t>
  </si>
  <si>
    <t>Reso rank</t>
  </si>
  <si>
    <t>vs them</t>
  </si>
  <si>
    <t>CLASS LADDER  ·  best five in their class, all fourteen clans</t>
  </si>
  <si>
    <t>Same player?</t>
  </si>
  <si>
    <t>CLAN COMPARE  ·  head to head</t>
  </si>
  <si>
    <t>Defaults to FUCT against whoever you pick. Green marks the stronger side.</t>
  </si>
  <si>
    <t>CLAN A  &gt;</t>
  </si>
  <si>
    <t>&lt;  CLAN B</t>
  </si>
  <si>
    <t>HEAD TO HEAD</t>
  </si>
  <si>
    <t>Clan A</t>
  </si>
  <si>
    <t>Clan B</t>
  </si>
  <si>
    <t>Edge</t>
  </si>
  <si>
    <t>Reading</t>
  </si>
  <si>
    <t>Shadow or Immortal.</t>
  </si>
  <si>
    <t>Members on file</t>
  </si>
  <si>
    <t>Roster size, stats or not.</t>
  </si>
  <si>
    <t>Full stat lines</t>
  </si>
  <si>
    <t>How much of the roster is scouted.</t>
  </si>
  <si>
    <t>Average Resonance</t>
  </si>
  <si>
    <t>The best single measure of depth.</t>
  </si>
  <si>
    <t>Best Resonance</t>
  </si>
  <si>
    <t>Their heaviest hitter.</t>
  </si>
  <si>
    <t>Average Combat Rating</t>
  </si>
  <si>
    <t>Gear and paragon floor.</t>
  </si>
  <si>
    <t>Average secondary (k)</t>
  </si>
  <si>
    <t>Armor / pen / potency / resist.</t>
  </si>
  <si>
    <t>Average Power Index</t>
  </si>
  <si>
    <t>Blended score, weights on SETUP.</t>
  </si>
  <si>
    <t>Players 10,000+ Reso</t>
  </si>
  <si>
    <t>Raid-defining whales.</t>
  </si>
  <si>
    <t>Players 8,000-9,999</t>
  </si>
  <si>
    <t>The real war engine.</t>
  </si>
  <si>
    <t>Players under 3,000</t>
  </si>
  <si>
    <t>Dead weight in a shard fight.</t>
  </si>
  <si>
    <t>Frontline bodies</t>
  </si>
  <si>
    <t>Barb / Blood Knight / Crusader.</t>
  </si>
  <si>
    <t>Demon Hunter / Wizard.</t>
  </si>
  <si>
    <t>Warlock / Necromancer.</t>
  </si>
  <si>
    <t>Monk / Druid.</t>
  </si>
  <si>
    <t>THE PODIUMS</t>
  </si>
  <si>
    <t>Clan A player</t>
  </si>
  <si>
    <t>Clan B player</t>
  </si>
  <si>
    <t>Reso gap</t>
  </si>
  <si>
    <t>WARBANDS  ·  who is where, and who has seats free</t>
  </si>
  <si>
    <t>Pick a warband below to see its twelve slots. The table underneath stays live off WARBAND ROSTER.</t>
  </si>
  <si>
    <t>WARBANDS</t>
  </si>
  <si>
    <t>PLAYERS LISTED</t>
  </si>
  <si>
    <t>FREE AGENTS</t>
  </si>
  <si>
    <t>SEATS FREE</t>
  </si>
  <si>
    <t>Warband capacity</t>
  </si>
  <si>
    <t>&lt; editable — every seat count keys off this</t>
  </si>
  <si>
    <t>THE WARBANDS</t>
  </si>
  <si>
    <t>Warband</t>
  </si>
  <si>
    <t>Capacity</t>
  </si>
  <si>
    <t>Seats
free</t>
  </si>
  <si>
    <t>Spots open
(recorded)</t>
  </si>
  <si>
    <t>Cross-check</t>
  </si>
  <si>
    <t>Clan
WB?</t>
  </si>
  <si>
    <t>Raid time</t>
  </si>
  <si>
    <t>Status</t>
  </si>
  <si>
    <t>DECOYS HOT TUB</t>
  </si>
  <si>
    <t>FCK SIX</t>
  </si>
  <si>
    <t>Immodium AD</t>
  </si>
  <si>
    <t>Halls of Light</t>
  </si>
  <si>
    <t>SALTY TREATS</t>
  </si>
  <si>
    <t>Scarlet Poop Knife</t>
  </si>
  <si>
    <t>IllumiNaughty</t>
  </si>
  <si>
    <t>JINXZEESGARAGE</t>
  </si>
  <si>
    <t>MIDNIGHT VEIL</t>
  </si>
  <si>
    <t>transfer</t>
  </si>
  <si>
    <t>WulfPack</t>
  </si>
  <si>
    <t>ASSIN&amp;SASSIN</t>
  </si>
  <si>
    <t>WARBAND ROSTER  ·  pick one to see its twelve slots</t>
  </si>
  <si>
    <t>WARBAND  &gt;</t>
  </si>
  <si>
    <t>Slot</t>
  </si>
  <si>
    <t>Reso Tier</t>
  </si>
  <si>
    <t>Power</t>
  </si>
  <si>
    <t>FREE AGENTS  ·  listed with no warband</t>
  </si>
  <si>
    <t>On the clan roster?</t>
  </si>
  <si>
    <t>TRANSFERS  ·  the rollout plan, 169 rows</t>
  </si>
  <si>
    <t>Straight off the transfer list tab. Plan and status are dropdowns so the counts stay clean.</t>
  </si>
  <si>
    <t>ON THE LIST</t>
  </si>
  <si>
    <t>APPROVED</t>
  </si>
  <si>
    <t>STAYING</t>
  </si>
  <si>
    <t>REQUESTED</t>
  </si>
  <si>
    <t>HEADED TO FUCT</t>
  </si>
  <si>
    <t>THE LIST</t>
  </si>
  <si>
    <t>From clan</t>
  </si>
  <si>
    <t>Rollout plan</t>
  </si>
  <si>
    <t>On our roster?</t>
  </si>
  <si>
    <t>Secondary</t>
  </si>
  <si>
    <t>Reso tier</t>
  </si>
  <si>
    <t>Ace351c_0-</t>
  </si>
  <si>
    <t>FAFO</t>
  </si>
  <si>
    <t>AthenaSky</t>
  </si>
  <si>
    <t>Azrahell</t>
  </si>
  <si>
    <t>Scarlet Mayhem</t>
  </si>
  <si>
    <t>BaalBussyJuice</t>
  </si>
  <si>
    <t>BaddestDad-</t>
  </si>
  <si>
    <t>BareMinimum</t>
  </si>
  <si>
    <t>Breboop-</t>
  </si>
  <si>
    <t>Brutonous-</t>
  </si>
  <si>
    <t>Caldorin-</t>
  </si>
  <si>
    <t>Chrysalis3</t>
  </si>
  <si>
    <t>ContagiØus-</t>
  </si>
  <si>
    <t>CrimsonJeep-</t>
  </si>
  <si>
    <t>CustomerSupport</t>
  </si>
  <si>
    <t>Darkpeace</t>
  </si>
  <si>
    <t>Decoy18-</t>
  </si>
  <si>
    <t>Dharmaja</t>
  </si>
  <si>
    <t>SANGHA</t>
  </si>
  <si>
    <t>Diag-</t>
  </si>
  <si>
    <t>Dueprocess</t>
  </si>
  <si>
    <t>Edidwick</t>
  </si>
  <si>
    <t>Foreskin</t>
  </si>
  <si>
    <t>Fris</t>
  </si>
  <si>
    <t>FrostyAF</t>
  </si>
  <si>
    <t>GetrDun96-</t>
  </si>
  <si>
    <t>Greesh</t>
  </si>
  <si>
    <t>GreyWardenElisa-</t>
  </si>
  <si>
    <t>GrimDiesel</t>
  </si>
  <si>
    <t>HATESLOTH</t>
  </si>
  <si>
    <t>HEMITIME</t>
  </si>
  <si>
    <t>Hepzibah</t>
  </si>
  <si>
    <t>Hexenbane-</t>
  </si>
  <si>
    <t>HolyKoda-</t>
  </si>
  <si>
    <t>IAMSLAUGHTER</t>
  </si>
  <si>
    <t>ItsMurda</t>
  </si>
  <si>
    <t>JINXZEEE</t>
  </si>
  <si>
    <t>JJ405-(Kbowser)</t>
  </si>
  <si>
    <t>JoJoBluEyez</t>
  </si>
  <si>
    <t>JudgeMental</t>
  </si>
  <si>
    <t>Kaerytika</t>
  </si>
  <si>
    <t>Kaia01</t>
  </si>
  <si>
    <t>KingJonSnow</t>
  </si>
  <si>
    <t>Krjum-</t>
  </si>
  <si>
    <t>Lexxdysia</t>
  </si>
  <si>
    <t>LifeInATrap</t>
  </si>
  <si>
    <t>LilithRozé-</t>
  </si>
  <si>
    <t>Lithium</t>
  </si>
  <si>
    <t>MaddGod-</t>
  </si>
  <si>
    <t>MaknDav</t>
  </si>
  <si>
    <t>MarnieMayhem</t>
  </si>
  <si>
    <t>meeplet-</t>
  </si>
  <si>
    <t>methodwolf</t>
  </si>
  <si>
    <t>MidnightPheonix-</t>
  </si>
  <si>
    <t>MisSpeller</t>
  </si>
  <si>
    <t>Mohnkey</t>
  </si>
  <si>
    <t>NaricusTheReaver</t>
  </si>
  <si>
    <t>OGDOJA420-</t>
  </si>
  <si>
    <t>OneSleepyDonut</t>
  </si>
  <si>
    <t>Original Sin</t>
  </si>
  <si>
    <t>OttoFyre</t>
  </si>
  <si>
    <t>Oumua-</t>
  </si>
  <si>
    <t>Pneumothorax-</t>
  </si>
  <si>
    <t>Pânorâmix</t>
  </si>
  <si>
    <t>Rishaal/ICW</t>
  </si>
  <si>
    <t>Robusto-</t>
  </si>
  <si>
    <t>ROUNDHOUSE-</t>
  </si>
  <si>
    <t>Roxilicious</t>
  </si>
  <si>
    <t>siike-</t>
  </si>
  <si>
    <t>SirBoss-</t>
  </si>
  <si>
    <t>Six2Jet-</t>
  </si>
  <si>
    <t>Smackie</t>
  </si>
  <si>
    <t>SmokenTree</t>
  </si>
  <si>
    <t>SPANcakes</t>
  </si>
  <si>
    <t>SweeetT-</t>
  </si>
  <si>
    <t>Synister</t>
  </si>
  <si>
    <t>TerrorHavoc</t>
  </si>
  <si>
    <t>TGGHOST</t>
  </si>
  <si>
    <t>TheEvilLegumes</t>
  </si>
  <si>
    <t>TraUmatics-</t>
  </si>
  <si>
    <t>VHREAL</t>
  </si>
  <si>
    <t>VinegarTITs</t>
  </si>
  <si>
    <t>vul</t>
  </si>
  <si>
    <t>xNeva-</t>
  </si>
  <si>
    <t>Zolera</t>
  </si>
  <si>
    <t>Şteel-</t>
  </si>
  <si>
    <t>ŠPİŅ-</t>
  </si>
  <si>
    <t>Štephiroth-</t>
  </si>
  <si>
    <t>Korsair-</t>
  </si>
  <si>
    <t>LEFT CLAN</t>
  </si>
  <si>
    <t>Sempai-</t>
  </si>
  <si>
    <t>Ādiva-</t>
  </si>
  <si>
    <t>DenyCrane-</t>
  </si>
  <si>
    <t>OBLIVIAN</t>
  </si>
  <si>
    <t>Mntnmn-</t>
  </si>
  <si>
    <t>Raìdox-</t>
  </si>
  <si>
    <t>SonOfSoul</t>
  </si>
  <si>
    <t>WULFSBIETCH</t>
  </si>
  <si>
    <t>Nazgûl88</t>
  </si>
  <si>
    <t>PENDING TRANSFER</t>
  </si>
  <si>
    <t>Strikearc</t>
  </si>
  <si>
    <t>Dax</t>
  </si>
  <si>
    <t>Maelysa-</t>
  </si>
  <si>
    <t>SM</t>
  </si>
  <si>
    <t>BloodMoon-</t>
  </si>
  <si>
    <t>TRANSFERRED-NOT APPROVED</t>
  </si>
  <si>
    <t>Kace96-</t>
  </si>
  <si>
    <t>xXSoulSlayer1221Xx</t>
  </si>
  <si>
    <t>Wulf-</t>
  </si>
  <si>
    <t>1 KIBRETT</t>
  </si>
  <si>
    <t>AIRE X Musha</t>
  </si>
  <si>
    <t>Apollina</t>
  </si>
  <si>
    <t>Azmodaniel</t>
  </si>
  <si>
    <t>BarraqEl-</t>
  </si>
  <si>
    <t>BetterOffDead</t>
  </si>
  <si>
    <t>BiggyShield</t>
  </si>
  <si>
    <t>BillNobody</t>
  </si>
  <si>
    <t>BlessedBurthole</t>
  </si>
  <si>
    <t>Bralas</t>
  </si>
  <si>
    <t>Brashkarma</t>
  </si>
  <si>
    <t>Brasilpunk</t>
  </si>
  <si>
    <t>BrightQueen</t>
  </si>
  <si>
    <t>Charm-4</t>
  </si>
  <si>
    <t>CONSTIPATED*</t>
  </si>
  <si>
    <t>CPTChappy</t>
  </si>
  <si>
    <t>Damian Matrix</t>
  </si>
  <si>
    <t>Daniel79</t>
  </si>
  <si>
    <t>DariusDaGra</t>
  </si>
  <si>
    <t>CONFIRMED</t>
  </si>
  <si>
    <t>Delaclair</t>
  </si>
  <si>
    <t>DJMonk-</t>
  </si>
  <si>
    <t>Dreza</t>
  </si>
  <si>
    <t>Drizzt</t>
  </si>
  <si>
    <t>DumpsterBaby-1</t>
  </si>
  <si>
    <t>DéàdMànsShuffle</t>
  </si>
  <si>
    <t>EIFalcone</t>
  </si>
  <si>
    <t>Elenoch</t>
  </si>
  <si>
    <t>Elysçph</t>
  </si>
  <si>
    <t>Grantacus</t>
  </si>
  <si>
    <t>HairyArmPits-</t>
  </si>
  <si>
    <t>Hitton-</t>
  </si>
  <si>
    <t>Hurlyburlt1982</t>
  </si>
  <si>
    <t>Ivalas</t>
  </si>
  <si>
    <t>Jsheisty-</t>
  </si>
  <si>
    <t>Lag in</t>
  </si>
  <si>
    <t>LanaDePlank-</t>
  </si>
  <si>
    <t>Lava444-</t>
  </si>
  <si>
    <t>Lillady</t>
  </si>
  <si>
    <t>MAGAz</t>
  </si>
  <si>
    <t>Malakite</t>
  </si>
  <si>
    <t>Masterphil52_0</t>
  </si>
  <si>
    <t>Memnoch1</t>
  </si>
  <si>
    <t>Merlin172-</t>
  </si>
  <si>
    <t>Mitzunagi</t>
  </si>
  <si>
    <t>Mmmm5</t>
  </si>
  <si>
    <t>MosEisley</t>
  </si>
  <si>
    <t>NocturnalMagick-</t>
  </si>
  <si>
    <t>NoDanaOnlyZuul</t>
  </si>
  <si>
    <t>Ordan</t>
  </si>
  <si>
    <t>Penguin</t>
  </si>
  <si>
    <t>PocketKaiju</t>
  </si>
  <si>
    <t>Ricky457</t>
  </si>
  <si>
    <t>Rockzo</t>
  </si>
  <si>
    <t>Ryachew-</t>
  </si>
  <si>
    <t>ShadyBird</t>
  </si>
  <si>
    <t>Shawno</t>
  </si>
  <si>
    <t>Silentstorms</t>
  </si>
  <si>
    <t>SoulHunter</t>
  </si>
  <si>
    <t>Spiderwick</t>
  </si>
  <si>
    <t>StryderX</t>
  </si>
  <si>
    <t>TheMeek-</t>
  </si>
  <si>
    <t>LORDS</t>
  </si>
  <si>
    <t>Thundaar</t>
  </si>
  <si>
    <t>UsemDontCare</t>
  </si>
  <si>
    <t>WEASE</t>
  </si>
  <si>
    <t>WHiT</t>
  </si>
  <si>
    <t>Xareth</t>
  </si>
  <si>
    <t>Zak1ro</t>
  </si>
  <si>
    <t>FUCT  ·  OUR CLAN, standalone</t>
  </si>
  <si>
    <t>Members A to Z. Read-only view — edit on MASTER and this follows automatically.</t>
  </si>
  <si>
    <t>MEMBERS</t>
  </si>
  <si>
    <t>FULL STAT LINES</t>
  </si>
  <si>
    <t>BEST RESO</t>
  </si>
  <si>
    <t>10K+ CLUB</t>
  </si>
  <si>
    <t>AVG POWER INDEX</t>
  </si>
  <si>
    <t>VS FUCT AVG RESO</t>
  </si>
  <si>
    <t>ROSTER  ·  A to Z</t>
  </si>
  <si>
    <t>Sub</t>
  </si>
  <si>
    <t>Combat
Rating</t>
  </si>
  <si>
    <t>CR Band</t>
  </si>
  <si>
    <t>Secondary
(k)</t>
  </si>
  <si>
    <t>Power
Index</t>
  </si>
  <si>
    <t>Reso rank
in clan</t>
  </si>
  <si>
    <t>CLASS MIX</t>
  </si>
  <si>
    <t>LEGENDS  ·  immortal clan</t>
  </si>
  <si>
    <t>VANGUARD  ·  immortal clan</t>
  </si>
  <si>
    <t>UNDYING  ·  immortal clan</t>
  </si>
  <si>
    <t>SBG  ·  shadow clan</t>
  </si>
  <si>
    <t>AZUKI  ·  shadow clan</t>
  </si>
  <si>
    <t>RECKONING  ·  shadow clan</t>
  </si>
  <si>
    <t>ACHERON  ·  shadow clan</t>
  </si>
  <si>
    <t>INVICTUS  ·  shadow clan</t>
  </si>
  <si>
    <t>EMERALD LEAF TRIBE  ·  shadow clan</t>
  </si>
  <si>
    <t>SUB ROSA  ·  shadow clan</t>
  </si>
  <si>
    <t>VENGEANCE  ·  shadow clan</t>
  </si>
  <si>
    <t>VENDETTA  ·  shadow clan</t>
  </si>
  <si>
    <t>ZOMBIES  ·  shadow clan</t>
  </si>
  <si>
    <t>MASTER ROSTER  ·  1,361 players across 14 clans, both factions</t>
  </si>
  <si>
    <t>The only tab you type into. Cream cells are yours; every other cell and every other tab is a formula off this table.</t>
  </si>
  <si>
    <t>Sub-group</t>
  </si>
  <si>
    <t>Reso Band</t>
  </si>
  <si>
    <t>Secondary
avg (k)</t>
  </si>
  <si>
    <t>Secondary Tier</t>
  </si>
  <si>
    <t>Reso Rank
(all)</t>
  </si>
  <si>
    <t>Rank
in clan</t>
  </si>
  <si>
    <t>Reso
Pct</t>
  </si>
  <si>
    <t>Data Status</t>
  </si>
  <si>
    <t>Flags</t>
  </si>
  <si>
    <t>Transfer status</t>
  </si>
  <si>
    <t>sortkey</t>
  </si>
  <si>
    <t>key</t>
  </si>
  <si>
    <t>CR rank</t>
  </si>
  <si>
    <t>PI rank</t>
  </si>
  <si>
    <t>classkey</t>
  </si>
  <si>
    <t>alphakey</t>
  </si>
  <si>
    <t>rownum</t>
  </si>
  <si>
    <t>secraw</t>
  </si>
  <si>
    <t>crsort</t>
  </si>
  <si>
    <t>secsort</t>
  </si>
  <si>
    <t>crkey</t>
  </si>
  <si>
    <t>seckey</t>
  </si>
  <si>
    <t>+TØPŞHŁKAZ+</t>
  </si>
  <si>
    <t>RECK</t>
  </si>
  <si>
    <t xml:space="preserve">4.8 AP 4.2 ALL OTHERS </t>
  </si>
  <si>
    <t>2GuDii</t>
  </si>
  <si>
    <t>VENGENCE</t>
  </si>
  <si>
    <t>3800</t>
  </si>
  <si>
    <t>2HiGh4LiFe</t>
  </si>
  <si>
    <t>4767 / 5531 / 6105 / 4360</t>
  </si>
  <si>
    <t>2ndamendment</t>
  </si>
  <si>
    <t>4.5 AP / 4 ALL</t>
  </si>
  <si>
    <t>30MgOxycodone</t>
  </si>
  <si>
    <t>4908</t>
  </si>
  <si>
    <t>321banned123back</t>
  </si>
  <si>
    <t>4.2 ALL</t>
  </si>
  <si>
    <t>3eyedRaven</t>
  </si>
  <si>
    <t>5000</t>
  </si>
  <si>
    <t>56ke75</t>
  </si>
  <si>
    <t>5850</t>
  </si>
  <si>
    <t>7ron</t>
  </si>
  <si>
    <r>
      <rPr>
        <sz val="10"/>
        <color rgb="FF000000"/>
        <rFont val="Noto Sans CJK SC"/>
        <family val="2"/>
      </rPr>
      <t>ム</t>
    </r>
    <r>
      <rPr>
        <sz val="10"/>
        <color rgb="FF000000"/>
        <rFont val="Arial"/>
        <charset val="1"/>
      </rPr>
      <t>Ð</t>
    </r>
  </si>
  <si>
    <t>6.9 AP / 4.7 R</t>
  </si>
  <si>
    <t>Aailith</t>
  </si>
  <si>
    <t>Invictus</t>
  </si>
  <si>
    <t>5.2 AP 4.7 A</t>
  </si>
  <si>
    <t>aak69</t>
  </si>
  <si>
    <t>4.8 A/AP</t>
  </si>
  <si>
    <t>Aalynn</t>
  </si>
  <si>
    <t>4600</t>
  </si>
  <si>
    <t>Aanic</t>
  </si>
  <si>
    <t>2400</t>
  </si>
  <si>
    <t>AARRGG</t>
  </si>
  <si>
    <t>4.1 A/P 3.6 AP 3.4 R</t>
  </si>
  <si>
    <t>Abzhu</t>
  </si>
  <si>
    <t>5100</t>
  </si>
  <si>
    <t>Ace351c</t>
  </si>
  <si>
    <t>8920 / 4969 / 4141 / 6212</t>
  </si>
  <si>
    <t>AdamMEmnoN</t>
  </si>
  <si>
    <t>6414</t>
  </si>
  <si>
    <t>AdarMagnus</t>
  </si>
  <si>
    <t>4.7 AR / AP / 4 R / P</t>
  </si>
  <si>
    <t>AdiraRose</t>
  </si>
  <si>
    <t>Acheron</t>
  </si>
  <si>
    <t>3.5 ALL</t>
  </si>
  <si>
    <t>AdiSkyWraith</t>
  </si>
  <si>
    <t>2.7 ALL</t>
  </si>
  <si>
    <t>Adorx</t>
  </si>
  <si>
    <t>3 AP 2.8 All Others</t>
  </si>
  <si>
    <t>Adwan213</t>
  </si>
  <si>
    <t>5.6 AP / 4.7 ALL</t>
  </si>
  <si>
    <t>Ady007</t>
  </si>
  <si>
    <t>5478 / 6196 / 5241 / 4451</t>
  </si>
  <si>
    <t>Aetherna</t>
  </si>
  <si>
    <t>6.6 AP 4.8 A/P</t>
  </si>
  <si>
    <t>Aggememnon</t>
  </si>
  <si>
    <t>5300</t>
  </si>
  <si>
    <t>Aghogg</t>
  </si>
  <si>
    <t>10.1 AP 6 A</t>
  </si>
  <si>
    <t>AhhPuch</t>
  </si>
  <si>
    <t>6.9 AP 5.4 R</t>
  </si>
  <si>
    <t>Aileai</t>
  </si>
  <si>
    <t>7350</t>
  </si>
  <si>
    <t>AJsme</t>
  </si>
  <si>
    <t>10.5POT 8575AP</t>
  </si>
  <si>
    <t>Akadun</t>
  </si>
  <si>
    <t>7000</t>
  </si>
  <si>
    <t>Akena</t>
  </si>
  <si>
    <t>4400</t>
  </si>
  <si>
    <t>Alemanix</t>
  </si>
  <si>
    <t>MÍLF</t>
  </si>
  <si>
    <t>4180 / 5997 / 6562 / 3680</t>
  </si>
  <si>
    <t>AleXavier</t>
  </si>
  <si>
    <t>Ali</t>
  </si>
  <si>
    <t>7.5 A 7.6 R</t>
  </si>
  <si>
    <t>AlphaWolf565</t>
  </si>
  <si>
    <t>3.9 A 3.8 AP</t>
  </si>
  <si>
    <t>Aluxard</t>
  </si>
  <si>
    <t>5500</t>
  </si>
  <si>
    <t>AMBER</t>
  </si>
  <si>
    <t>TEMU</t>
  </si>
  <si>
    <t>10.1 AP 9 P</t>
  </si>
  <si>
    <t>AMBÉRTURD</t>
  </si>
  <si>
    <t>10 AP 9 P</t>
  </si>
  <si>
    <t>Amebix</t>
  </si>
  <si>
    <t>3.6 A 3.4 AP</t>
  </si>
  <si>
    <t>Analstuffer</t>
  </si>
  <si>
    <t>3 ALL</t>
  </si>
  <si>
    <t>anamal</t>
  </si>
  <si>
    <t>4.9 ALL</t>
  </si>
  <si>
    <t>AndrejaVaruun</t>
  </si>
  <si>
    <t>8AP</t>
  </si>
  <si>
    <t>Andrex</t>
  </si>
  <si>
    <t>4.3 ALL</t>
  </si>
  <si>
    <t>ANDROID18</t>
  </si>
  <si>
    <t>DBZ</t>
  </si>
  <si>
    <t>10040 / 4508 / 6858 / 8820</t>
  </si>
  <si>
    <t>Andør</t>
  </si>
  <si>
    <t>4.8 P 4.7 R</t>
  </si>
  <si>
    <t>Angrybear</t>
  </si>
  <si>
    <t>3.3 ALL</t>
  </si>
  <si>
    <t>AnitaPain67</t>
  </si>
  <si>
    <t>7.1 AP / 5.7 ALL</t>
  </si>
  <si>
    <t>AnneORexia187</t>
  </si>
  <si>
    <t>4.9 AP 4.6 A</t>
  </si>
  <si>
    <t>Anoosh</t>
  </si>
  <si>
    <t>4500</t>
  </si>
  <si>
    <t>AntonTheNoble</t>
  </si>
  <si>
    <t>3100</t>
  </si>
  <si>
    <t>AnîmeKing</t>
  </si>
  <si>
    <t>6500</t>
  </si>
  <si>
    <t>ApeironOurea</t>
  </si>
  <si>
    <t>1800</t>
  </si>
  <si>
    <t>Apshai</t>
  </si>
  <si>
    <t>8.8 AP 7.4 A</t>
  </si>
  <si>
    <t>Arbitrarian</t>
  </si>
  <si>
    <t>3.9 AP 3.6 A</t>
  </si>
  <si>
    <t>Arcmount</t>
  </si>
  <si>
    <t>3.4 ALL</t>
  </si>
  <si>
    <t>Ariakis</t>
  </si>
  <si>
    <t>6140</t>
  </si>
  <si>
    <t>Armedias</t>
  </si>
  <si>
    <t>4200</t>
  </si>
  <si>
    <t>Arrowchucker</t>
  </si>
  <si>
    <t>3.6 ALL</t>
  </si>
  <si>
    <t>Arson</t>
  </si>
  <si>
    <t xml:space="preserve">4 ALL </t>
  </si>
  <si>
    <t>ArsonRebel</t>
  </si>
  <si>
    <t>4.5 AP 4.4 ALL OTHERS</t>
  </si>
  <si>
    <t>ArtemisMoon</t>
  </si>
  <si>
    <t>4.7 AP 3.4 P</t>
  </si>
  <si>
    <t>Arwyn</t>
  </si>
  <si>
    <t>5703 / 5703 / 5033 / 5205</t>
  </si>
  <si>
    <t>Asbury702</t>
  </si>
  <si>
    <t>8ARM/7POT</t>
  </si>
  <si>
    <t>Ashakashi</t>
  </si>
  <si>
    <t>Ashelias</t>
  </si>
  <si>
    <t>ashlol</t>
  </si>
  <si>
    <t>6ARM 6P</t>
  </si>
  <si>
    <t>Asmodèus</t>
  </si>
  <si>
    <t>4611</t>
  </si>
  <si>
    <t>AssumemyGender</t>
  </si>
  <si>
    <t>Ataraxïa</t>
  </si>
  <si>
    <t>3.7 A 3.4 AP</t>
  </si>
  <si>
    <t>Athedal</t>
  </si>
  <si>
    <t>2.6 AR / AP</t>
  </si>
  <si>
    <t>Athena619</t>
  </si>
  <si>
    <t>4.6 ALL</t>
  </si>
  <si>
    <t>AthenaSkye</t>
  </si>
  <si>
    <t>4015 / 4296 / 4116 / 4817</t>
  </si>
  <si>
    <t>Athleticism</t>
  </si>
  <si>
    <t>4580</t>
  </si>
  <si>
    <t>AtlasUnburdened</t>
  </si>
  <si>
    <t>Attimo</t>
  </si>
  <si>
    <t>4295</t>
  </si>
  <si>
    <t>AtulaKB</t>
  </si>
  <si>
    <t>aura</t>
  </si>
  <si>
    <t>8 AP 7.8 R</t>
  </si>
  <si>
    <t>Auraliss</t>
  </si>
  <si>
    <t>5 AP / 4 ALL</t>
  </si>
  <si>
    <t>Avellyn</t>
  </si>
  <si>
    <t>3200</t>
  </si>
  <si>
    <t>Avenar</t>
  </si>
  <si>
    <t>4.4 AP 4.1 A</t>
  </si>
  <si>
    <t>awadqwbq11</t>
  </si>
  <si>
    <t>2900</t>
  </si>
  <si>
    <t>Axi0m</t>
  </si>
  <si>
    <t>TK0</t>
  </si>
  <si>
    <t>5471 / 8100 / 2933 / 7517</t>
  </si>
  <si>
    <t>Ayden</t>
  </si>
  <si>
    <t>5.7 AP 5.4 A/P</t>
  </si>
  <si>
    <t>Ayhris</t>
  </si>
  <si>
    <t>6.2 AP 4.8 P</t>
  </si>
  <si>
    <t>Ayrtney</t>
  </si>
  <si>
    <t>3.4 A/AP 3.1 P/R</t>
  </si>
  <si>
    <t>Azaghãl</t>
  </si>
  <si>
    <t>Azkikr</t>
  </si>
  <si>
    <t>6375</t>
  </si>
  <si>
    <t>Azraeus</t>
  </si>
  <si>
    <t>4.1 AP</t>
  </si>
  <si>
    <t>5037 / 5045 / 5166 / 5238</t>
  </si>
  <si>
    <t>azryel</t>
  </si>
  <si>
    <t>6322 / 6119 / 3928 / 5240</t>
  </si>
  <si>
    <t>Azuwere</t>
  </si>
  <si>
    <t>4.3 P 4.2 AP</t>
  </si>
  <si>
    <t>AÍKA</t>
  </si>
  <si>
    <t>5.8 AP 5.4 A</t>
  </si>
  <si>
    <t>B1U3LIGHTING</t>
  </si>
  <si>
    <t>3.5 P 3.1 AP</t>
  </si>
  <si>
    <t>6285</t>
  </si>
  <si>
    <t>BabyDave</t>
  </si>
  <si>
    <t>6AP 6P</t>
  </si>
  <si>
    <t>babyRandoM</t>
  </si>
  <si>
    <t>Babysquids</t>
  </si>
  <si>
    <t>10.9AR 8.5RES</t>
  </si>
  <si>
    <t>BadAssn</t>
  </si>
  <si>
    <t>4.6 A/AP</t>
  </si>
  <si>
    <t>Badazz1</t>
  </si>
  <si>
    <t>BaddestDad</t>
  </si>
  <si>
    <t>5168 / 5446 / 4953 / 4807</t>
  </si>
  <si>
    <t>BadDragon</t>
  </si>
  <si>
    <t>5.1 A 6 P</t>
  </si>
  <si>
    <t>Badgerland</t>
  </si>
  <si>
    <t>5.2 ALL</t>
  </si>
  <si>
    <t>Bailian</t>
  </si>
  <si>
    <t>6.5 ALL</t>
  </si>
  <si>
    <t>Barabasia</t>
  </si>
  <si>
    <t>4.4 A 3.7 AP</t>
  </si>
  <si>
    <t>Barbaroh</t>
  </si>
  <si>
    <t>4900</t>
  </si>
  <si>
    <t>Barbed</t>
  </si>
  <si>
    <t>3.7 P</t>
  </si>
  <si>
    <t>Bauchelain</t>
  </si>
  <si>
    <t>7.4 AP 8.0 P</t>
  </si>
  <si>
    <t>Bdub1234</t>
  </si>
  <si>
    <t xml:space="preserve">3.4 A 3.2 AP </t>
  </si>
  <si>
    <t>Beansbaxter</t>
  </si>
  <si>
    <t>6700</t>
  </si>
  <si>
    <t>Bearass</t>
  </si>
  <si>
    <t>5.1 ALL</t>
  </si>
  <si>
    <t>BearMinimum</t>
  </si>
  <si>
    <t>6316</t>
  </si>
  <si>
    <t>Beastkiller247</t>
  </si>
  <si>
    <t>5.7 AP 4.7 R</t>
  </si>
  <si>
    <t>beermanpig</t>
  </si>
  <si>
    <t>5.6 ALL</t>
  </si>
  <si>
    <t>Behrens</t>
  </si>
  <si>
    <t>2.3 P/R 1.9 A/AP</t>
  </si>
  <si>
    <t>Bekham</t>
  </si>
  <si>
    <t>4.3 AP / 3.5 ALL</t>
  </si>
  <si>
    <t>Belagio</t>
  </si>
  <si>
    <t>5700</t>
  </si>
  <si>
    <t>Belburn808</t>
  </si>
  <si>
    <t>5.2 AP</t>
  </si>
  <si>
    <t>BellaBlue</t>
  </si>
  <si>
    <t>5800</t>
  </si>
  <si>
    <t>BellamyEmbers</t>
  </si>
  <si>
    <t>3.1 P/R 2.6 A/AP</t>
  </si>
  <si>
    <t>Bellatrîx</t>
  </si>
  <si>
    <t>4.7 AP 4.3 A</t>
  </si>
  <si>
    <t>Bels</t>
  </si>
  <si>
    <t>6311 / 6823 / 5851 / 5339</t>
  </si>
  <si>
    <t>Belzedar</t>
  </si>
  <si>
    <t>6.6 A 7.6 R</t>
  </si>
  <si>
    <t>BendRlovR</t>
  </si>
  <si>
    <t>4.6 AP / 3.6 ALL</t>
  </si>
  <si>
    <t>Benmolning</t>
  </si>
  <si>
    <t>6360</t>
  </si>
  <si>
    <t>Ber3rk3R</t>
  </si>
  <si>
    <t>7.2 A 6.5 R</t>
  </si>
  <si>
    <t>Berserker</t>
  </si>
  <si>
    <t>4015 / 4423 / 3493 / 3357</t>
  </si>
  <si>
    <t>Besik</t>
  </si>
  <si>
    <t>4774 / 5906 / 4567 / 4885</t>
  </si>
  <si>
    <t>Bi9DaddyMark</t>
  </si>
  <si>
    <t>BigDaddyfail</t>
  </si>
  <si>
    <t>4429 / 5839 / 5017 / 7003</t>
  </si>
  <si>
    <t>BigDduNord</t>
  </si>
  <si>
    <t>3.7 R 3.6 P 3 A/AP</t>
  </si>
  <si>
    <t>BigDewy</t>
  </si>
  <si>
    <t>6 A 5.4 AP</t>
  </si>
  <si>
    <t>BigDkDaddy</t>
  </si>
  <si>
    <t>3796 / 3662 / 3659 / 3711</t>
  </si>
  <si>
    <t>Biglou6918</t>
  </si>
  <si>
    <t>6074 / 6290 / 4215 / 4281</t>
  </si>
  <si>
    <t>BigPrixxx</t>
  </si>
  <si>
    <t>5 ALL</t>
  </si>
  <si>
    <t>BilboStabbins</t>
  </si>
  <si>
    <t>10.1AP</t>
  </si>
  <si>
    <t>billd</t>
  </si>
  <si>
    <t>Bizatch</t>
  </si>
  <si>
    <t>3.6 A/AP 3.4 P/R</t>
  </si>
  <si>
    <t>Bjorn216BP</t>
  </si>
  <si>
    <t>5215 / 6314 / 4653 / 5021</t>
  </si>
  <si>
    <t>Blackdot</t>
  </si>
  <si>
    <t>5400</t>
  </si>
  <si>
    <t>BlackFoxII</t>
  </si>
  <si>
    <t>2600</t>
  </si>
  <si>
    <t>Blacksitefarms</t>
  </si>
  <si>
    <t>Blakfrost</t>
  </si>
  <si>
    <t>6590</t>
  </si>
  <si>
    <t>Bleimbach</t>
  </si>
  <si>
    <t>Blitzed</t>
  </si>
  <si>
    <t>4.4 A 3.1 R</t>
  </si>
  <si>
    <t>Blooddrayner</t>
  </si>
  <si>
    <t>4.1 A 3.9 AP</t>
  </si>
  <si>
    <t>BloodWaves</t>
  </si>
  <si>
    <t>3.8 AP</t>
  </si>
  <si>
    <t>BLOODY</t>
  </si>
  <si>
    <t>3874 / 8456 / 5413 / 5544</t>
  </si>
  <si>
    <t>Bloody Baron</t>
  </si>
  <si>
    <t>6300</t>
  </si>
  <si>
    <t>BloodyBuddy</t>
  </si>
  <si>
    <t>4.4 AP / 3.5 ALL</t>
  </si>
  <si>
    <t>BloodyDK</t>
  </si>
  <si>
    <t>6 AP 5.7 A</t>
  </si>
  <si>
    <t>BloodyYam</t>
  </si>
  <si>
    <t>5.7 AP 4.8 A</t>
  </si>
  <si>
    <t>BloodzAF</t>
  </si>
  <si>
    <t>4790</t>
  </si>
  <si>
    <t>BlueAlice</t>
  </si>
  <si>
    <t>3950</t>
  </si>
  <si>
    <t>BlueNovaJade</t>
  </si>
  <si>
    <t>Blǔd</t>
  </si>
  <si>
    <t>7.5 AP 7 P</t>
  </si>
  <si>
    <t>Bnsale</t>
  </si>
  <si>
    <t>2500</t>
  </si>
  <si>
    <t>Bo</t>
  </si>
  <si>
    <t>6066</t>
  </si>
  <si>
    <t>BoatsNHoax</t>
  </si>
  <si>
    <t>10.2 AP 5.3 R</t>
  </si>
  <si>
    <t>Bomber710</t>
  </si>
  <si>
    <t>5.2 R 5 AP</t>
  </si>
  <si>
    <t>Bonah</t>
  </si>
  <si>
    <t>6.8 A 6 AP</t>
  </si>
  <si>
    <t>BoneCrusher</t>
  </si>
  <si>
    <t>10.9 A 11.3 P</t>
  </si>
  <si>
    <t>Bonesnhoes</t>
  </si>
  <si>
    <t>2.5 ALL</t>
  </si>
  <si>
    <t>BongSreyJJ</t>
  </si>
  <si>
    <t>3.8 P</t>
  </si>
  <si>
    <t>Bonnieee</t>
  </si>
  <si>
    <t>Boomblaster</t>
  </si>
  <si>
    <t>2.4 ALL</t>
  </si>
  <si>
    <t>BOR- Zeroth</t>
  </si>
  <si>
    <t>9.4AP 8.9RES</t>
  </si>
  <si>
    <t>Bowncicans</t>
  </si>
  <si>
    <t>4 ALL</t>
  </si>
  <si>
    <t>Bracket</t>
  </si>
  <si>
    <t>3.8 AP 3.6 All Others</t>
  </si>
  <si>
    <t>Brandiline</t>
  </si>
  <si>
    <t>Breboop</t>
  </si>
  <si>
    <t>3393 / 3678 / 3509 / 3167</t>
  </si>
  <si>
    <t>Brendon</t>
  </si>
  <si>
    <t>3300</t>
  </si>
  <si>
    <t>BriarRabbit</t>
  </si>
  <si>
    <t>3.8 P 4 R</t>
  </si>
  <si>
    <t>Brundyn</t>
  </si>
  <si>
    <t>4528 / 4855 / 4184 / 4784</t>
  </si>
  <si>
    <t>Brutonous</t>
  </si>
  <si>
    <t>6410 / 6680 / 5968 / 6022</t>
  </si>
  <si>
    <t>Bumblebee</t>
  </si>
  <si>
    <t>9.3ARM 9.2RES</t>
  </si>
  <si>
    <t>BunjiKugashira</t>
  </si>
  <si>
    <t>3650</t>
  </si>
  <si>
    <t>Buttburps</t>
  </si>
  <si>
    <t>6603 / 7691 / 4416 / 7132</t>
  </si>
  <si>
    <t>Bygomery</t>
  </si>
  <si>
    <t>8.6 AP 10.4 P</t>
  </si>
  <si>
    <t>BîrthdayCake</t>
  </si>
  <si>
    <t>9.9AP</t>
  </si>
  <si>
    <t>BöötifulChäos</t>
  </si>
  <si>
    <t>7.8 AP 5.4 A/R</t>
  </si>
  <si>
    <t>Büns</t>
  </si>
  <si>
    <t>6 AP 5.7 P</t>
  </si>
  <si>
    <t>Bē</t>
  </si>
  <si>
    <t>4.4 AP 4.3 P</t>
  </si>
  <si>
    <r>
      <rPr>
        <b/>
        <sz val="10"/>
        <color rgb="FF000000"/>
        <rFont val="Arial"/>
        <charset val="1"/>
      </rPr>
      <t>B</t>
    </r>
    <r>
      <rPr>
        <b/>
        <sz val="10"/>
        <color rgb="FF000000"/>
        <rFont val="Noto Sans CJK SC"/>
        <family val="2"/>
      </rPr>
      <t>乇从</t>
    </r>
    <r>
      <rPr>
        <b/>
        <sz val="10"/>
        <color rgb="FF000000"/>
        <rFont val="Arial"/>
        <charset val="1"/>
      </rPr>
      <t>BΔNᴳ</t>
    </r>
    <r>
      <rPr>
        <b/>
        <sz val="10"/>
        <color rgb="FF000000"/>
        <rFont val="Noto Sans CJK SC"/>
        <family val="2"/>
      </rPr>
      <t>・・・</t>
    </r>
  </si>
  <si>
    <t>4.5 P / 3.7 ALL</t>
  </si>
  <si>
    <t>CabinSanchez</t>
  </si>
  <si>
    <t>Caeled</t>
  </si>
  <si>
    <t>3900</t>
  </si>
  <si>
    <t>Caesar</t>
  </si>
  <si>
    <t>4932 / 8752 / 7448 / 3998</t>
  </si>
  <si>
    <t>Cal66</t>
  </si>
  <si>
    <t>5.2 AP 4.6 P</t>
  </si>
  <si>
    <t>Calandra</t>
  </si>
  <si>
    <t>5900</t>
  </si>
  <si>
    <t>Caldorin</t>
  </si>
  <si>
    <t>4752 / 5748 / 5965 / 4641</t>
  </si>
  <si>
    <t>Caliswag23</t>
  </si>
  <si>
    <t>CallmeTort</t>
  </si>
  <si>
    <t>3234 / 3383 / 3515 / 3231</t>
  </si>
  <si>
    <t>Captain69berserk</t>
  </si>
  <si>
    <t>4307 / 4461 / 4129 / 4124</t>
  </si>
  <si>
    <t>CaptKiji</t>
  </si>
  <si>
    <t xml:space="preserve">4.7 A/AP </t>
  </si>
  <si>
    <t>Carbumazlx</t>
  </si>
  <si>
    <t>6128 / 7800 / 5838 / 6216</t>
  </si>
  <si>
    <t>Cardy</t>
  </si>
  <si>
    <t>7.1 AP 7.2 P</t>
  </si>
  <si>
    <t>CarinϕBrutal</t>
  </si>
  <si>
    <t>8.2AP</t>
  </si>
  <si>
    <t>Cataco</t>
  </si>
  <si>
    <t>5012</t>
  </si>
  <si>
    <t>Caxx</t>
  </si>
  <si>
    <t>CCAUSTICC</t>
  </si>
  <si>
    <t>4 AP 3.8 A</t>
  </si>
  <si>
    <t>CelestineKnights</t>
  </si>
  <si>
    <t>3.4 P/R 3.2 A/AP</t>
  </si>
  <si>
    <t>Ch33tos</t>
  </si>
  <si>
    <t>4 AP 3.5 A</t>
  </si>
  <si>
    <t>ChaiSun</t>
  </si>
  <si>
    <t>4972 / 6256 / 6015 / 5397</t>
  </si>
  <si>
    <t>CharlesCrow</t>
  </si>
  <si>
    <t xml:space="preserve">3.6 AP </t>
  </si>
  <si>
    <t>Charssi</t>
  </si>
  <si>
    <t>5.4 AP</t>
  </si>
  <si>
    <t>ChemaCun</t>
  </si>
  <si>
    <t>6460</t>
  </si>
  <si>
    <t>Chilonep</t>
  </si>
  <si>
    <t>3600</t>
  </si>
  <si>
    <t>Chiqueeta</t>
  </si>
  <si>
    <t>4.9 A 4.7 AP</t>
  </si>
  <si>
    <t>ChloeSativa</t>
  </si>
  <si>
    <t>Chongke</t>
  </si>
  <si>
    <t>7.5 AP 6.4 A</t>
  </si>
  <si>
    <t>Chrollo</t>
  </si>
  <si>
    <t>OP</t>
  </si>
  <si>
    <t>8.7AP 7.9RES</t>
  </si>
  <si>
    <t>Chrysalis</t>
  </si>
  <si>
    <t>6350</t>
  </si>
  <si>
    <t>5830 / 5462 / 4274 / 3693</t>
  </si>
  <si>
    <t>Chychota</t>
  </si>
  <si>
    <t>3.3 A 3.2 AP</t>
  </si>
  <si>
    <t>Circe</t>
  </si>
  <si>
    <t>5.7 AP 5 A</t>
  </si>
  <si>
    <t>Cirlia</t>
  </si>
  <si>
    <t>6550</t>
  </si>
  <si>
    <t>Cle0patra</t>
  </si>
  <si>
    <t>4065 / 4468 / 2799 / 3204</t>
  </si>
  <si>
    <t>Cleapatra23</t>
  </si>
  <si>
    <t>4850</t>
  </si>
  <si>
    <t>CleeToriss</t>
  </si>
  <si>
    <t>4.7 AP / 3.7 ALL</t>
  </si>
  <si>
    <t>Cleopatra31</t>
  </si>
  <si>
    <t>3850</t>
  </si>
  <si>
    <t>CLi_0</t>
  </si>
  <si>
    <t>4.5 AP 4 A</t>
  </si>
  <si>
    <t>Clubbit</t>
  </si>
  <si>
    <t>5870 / 6318 / 4761 / 5049</t>
  </si>
  <si>
    <t>Cochinada</t>
  </si>
  <si>
    <t>4300</t>
  </si>
  <si>
    <t>Cocushka</t>
  </si>
  <si>
    <t>5 P 4.7 R</t>
  </si>
  <si>
    <t>Computron</t>
  </si>
  <si>
    <t>4.9 AP 3.8 P</t>
  </si>
  <si>
    <t>ConQueefftädor</t>
  </si>
  <si>
    <t>5425</t>
  </si>
  <si>
    <t>ContagiØus</t>
  </si>
  <si>
    <t>4768 / 5594 / 4960 / 4607</t>
  </si>
  <si>
    <t>CoochieJ</t>
  </si>
  <si>
    <t>7.2 AP 6.6 R</t>
  </si>
  <si>
    <t>CookinBaconNekit</t>
  </si>
  <si>
    <t>6.3 AR / 5.6 AP / 6.4 P / 7 R</t>
  </si>
  <si>
    <t>Corporatocracy</t>
  </si>
  <si>
    <t>4 AP</t>
  </si>
  <si>
    <t>Cotillion</t>
  </si>
  <si>
    <t>Craemon</t>
  </si>
  <si>
    <t>CrazyLoonMemnon</t>
  </si>
  <si>
    <t>CrimsonJeep</t>
  </si>
  <si>
    <t>4800 / 5576 / 4172 / 3940</t>
  </si>
  <si>
    <t>Crit I CAE</t>
  </si>
  <si>
    <t>7.5 AP 7.2 R</t>
  </si>
  <si>
    <t>Cryosise1</t>
  </si>
  <si>
    <t>4482 / 4864 / 3783 / 4199</t>
  </si>
  <si>
    <t>CuppyCakes</t>
  </si>
  <si>
    <t>7 A 8 AP</t>
  </si>
  <si>
    <t>6118 / 5097 / 6054 / 6936</t>
  </si>
  <si>
    <t>Cyalix</t>
  </si>
  <si>
    <t>6750</t>
  </si>
  <si>
    <t>Cycomartygan</t>
  </si>
  <si>
    <t>4800</t>
  </si>
  <si>
    <t>Cycos</t>
  </si>
  <si>
    <t>4750</t>
  </si>
  <si>
    <t>Cylbert</t>
  </si>
  <si>
    <t>3.3 AP 3.1 A</t>
  </si>
  <si>
    <t>CzarinaSchwar</t>
  </si>
  <si>
    <t>5.2 A/AP 4.2 P/R</t>
  </si>
  <si>
    <t>Cæsar</t>
  </si>
  <si>
    <t>3715 / 6777 / 3257 / 5719</t>
  </si>
  <si>
    <t>D0ct0rjay</t>
  </si>
  <si>
    <t xml:space="preserve">4.3 AP 3.8 ALL OTHERS </t>
  </si>
  <si>
    <t>Dablow</t>
  </si>
  <si>
    <t>5600</t>
  </si>
  <si>
    <t>Daedryx</t>
  </si>
  <si>
    <t>7035</t>
  </si>
  <si>
    <t>Daisy</t>
  </si>
  <si>
    <t>8.4 A 7.7R</t>
  </si>
  <si>
    <t>Danath</t>
  </si>
  <si>
    <t>5865</t>
  </si>
  <si>
    <t>Dantupapi</t>
  </si>
  <si>
    <t>3.1 ALL</t>
  </si>
  <si>
    <t>Danáth</t>
  </si>
  <si>
    <t>DariaNöcturne</t>
  </si>
  <si>
    <t>6.3 AP 5.6 A</t>
  </si>
  <si>
    <t>Darkall</t>
  </si>
  <si>
    <t>DarkCallie</t>
  </si>
  <si>
    <t>DarkSummoner</t>
  </si>
  <si>
    <t>DarthAhsôka</t>
  </si>
  <si>
    <t>DarthDrachen</t>
  </si>
  <si>
    <t>DarthRevanll</t>
  </si>
  <si>
    <t>6AP 8.3P</t>
  </si>
  <si>
    <t>Darwindoc</t>
  </si>
  <si>
    <t>6.8 AP 5.1 P</t>
  </si>
  <si>
    <t>XX</t>
  </si>
  <si>
    <t>8570AP</t>
  </si>
  <si>
    <t>Dbeezzy</t>
  </si>
  <si>
    <t>DBZ MAJINBUU</t>
  </si>
  <si>
    <t>4951 / 9544 / 9731 / 4597</t>
  </si>
  <si>
    <t>DBZ WHIS</t>
  </si>
  <si>
    <t>3984 / 9227 / 7637 / 3706</t>
  </si>
  <si>
    <t>DeadlyKitten9</t>
  </si>
  <si>
    <t>6250</t>
  </si>
  <si>
    <t>Deadlysynz</t>
  </si>
  <si>
    <t>5 A 4.9 AP</t>
  </si>
  <si>
    <t>Dealbrakz</t>
  </si>
  <si>
    <t>4.1 AP 3.5 P</t>
  </si>
  <si>
    <t>Dealyle</t>
  </si>
  <si>
    <t>Deathmunky</t>
  </si>
  <si>
    <t>3.9 P 3.7 ALL OTHERS</t>
  </si>
  <si>
    <t>DeathShrieker</t>
  </si>
  <si>
    <t>5 A/AP 4.3 P/R</t>
  </si>
  <si>
    <t>DeathSpike</t>
  </si>
  <si>
    <t>4.6 AP</t>
  </si>
  <si>
    <t>DeathsRazor</t>
  </si>
  <si>
    <t>7.9 A 7.0 REST</t>
  </si>
  <si>
    <t>DeatNoTe</t>
  </si>
  <si>
    <t>Decoy18</t>
  </si>
  <si>
    <t>5722 / 5323 / 4884 / 5408</t>
  </si>
  <si>
    <t>DedmanWho</t>
  </si>
  <si>
    <t>Deeds</t>
  </si>
  <si>
    <t>4584 / 11552 / 10426 / 4045</t>
  </si>
  <si>
    <t>DEMON</t>
  </si>
  <si>
    <t>3700</t>
  </si>
  <si>
    <t>Demoness363</t>
  </si>
  <si>
    <t>2.3 P/R 2 A/AP</t>
  </si>
  <si>
    <t>Demonslayer530</t>
  </si>
  <si>
    <t>3.5 AP 3.4 A</t>
  </si>
  <si>
    <t>6400</t>
  </si>
  <si>
    <t>DermisFerric</t>
  </si>
  <si>
    <t>2579 / 3681 / 3931 / 4339</t>
  </si>
  <si>
    <t>Derradia</t>
  </si>
  <si>
    <t>3500</t>
  </si>
  <si>
    <t>Desy</t>
  </si>
  <si>
    <t>DevineAngel</t>
  </si>
  <si>
    <t>5200</t>
  </si>
  <si>
    <t>Dewacon</t>
  </si>
  <si>
    <t>4.4 A/AP 3.2 P/R</t>
  </si>
  <si>
    <t>Dewemil</t>
  </si>
  <si>
    <t>3.8 P 3.5 R</t>
  </si>
  <si>
    <t>DeÑíLe</t>
  </si>
  <si>
    <t>IGC</t>
  </si>
  <si>
    <t>5.5 A 5.3 R</t>
  </si>
  <si>
    <t>Dharmaraja</t>
  </si>
  <si>
    <t>4629 / 6173 / 3810 / 3756</t>
  </si>
  <si>
    <t>DiabloGPT</t>
  </si>
  <si>
    <t xml:space="preserve">6.2 AP 44 ALL OTHERS </t>
  </si>
  <si>
    <t>Diag</t>
  </si>
  <si>
    <t>4078 / 4344 / 3450 / 3745</t>
  </si>
  <si>
    <t>DIJAZZLE</t>
  </si>
  <si>
    <t>6200</t>
  </si>
  <si>
    <t>Dijazzle</t>
  </si>
  <si>
    <t>6.4 AP 6.2 P</t>
  </si>
  <si>
    <t>DIL- Azlar</t>
  </si>
  <si>
    <t>9.4AP 7POT</t>
  </si>
  <si>
    <t>DillyDilly42</t>
  </si>
  <si>
    <t>4000</t>
  </si>
  <si>
    <t>Dino</t>
  </si>
  <si>
    <t>12.8AP 11.7RES</t>
  </si>
  <si>
    <t>Dipp3r</t>
  </si>
  <si>
    <t>DirtyOldBroad</t>
  </si>
  <si>
    <t>Djangus</t>
  </si>
  <si>
    <t>5.7 A 4.3 AP</t>
  </si>
  <si>
    <t>DjHotdog</t>
  </si>
  <si>
    <t>DM26</t>
  </si>
  <si>
    <t>6 AP 4.6 A</t>
  </si>
  <si>
    <t>DocMortal</t>
  </si>
  <si>
    <t>4.6 AP 4 P</t>
  </si>
  <si>
    <t>Dokazil</t>
  </si>
  <si>
    <t>6.8 AP 6.2 P</t>
  </si>
  <si>
    <t>DominicDeValois</t>
  </si>
  <si>
    <t>6920 / 5994 / 4705 / 5739</t>
  </si>
  <si>
    <t>Dominick380</t>
  </si>
  <si>
    <t>6.4 AP 5.4 R</t>
  </si>
  <si>
    <t>Dominick381</t>
  </si>
  <si>
    <t>4.2 P 3.7 R</t>
  </si>
  <si>
    <t>DONCAN</t>
  </si>
  <si>
    <t>4359 / 5569 / 4534 / 3888</t>
  </si>
  <si>
    <t>DOORMAN1</t>
  </si>
  <si>
    <t>DoozyBubbles</t>
  </si>
  <si>
    <t>6.4 AP 4.2 A</t>
  </si>
  <si>
    <t>Dore</t>
  </si>
  <si>
    <t>4.3 AP / 3.7 ALL</t>
  </si>
  <si>
    <t>Douker</t>
  </si>
  <si>
    <t>Draegen</t>
  </si>
  <si>
    <t>4259 / 7621 / 5313 / 4321</t>
  </si>
  <si>
    <t>DRAHC</t>
  </si>
  <si>
    <t>4.7 AP 4.6 P</t>
  </si>
  <si>
    <t>Drakoniüs</t>
  </si>
  <si>
    <t>DrBigDik</t>
  </si>
  <si>
    <t>3 R 2.9 P</t>
  </si>
  <si>
    <t>DrDaggS</t>
  </si>
  <si>
    <t>6.8 AP 6 P</t>
  </si>
  <si>
    <t>DreadOlaf</t>
  </si>
  <si>
    <t>7AP 10P</t>
  </si>
  <si>
    <t>DreamSmasher</t>
  </si>
  <si>
    <t>DREEMON</t>
  </si>
  <si>
    <t>6.3 AP 4.7 A</t>
  </si>
  <si>
    <t>Drewin</t>
  </si>
  <si>
    <t>4320</t>
  </si>
  <si>
    <t>Drommas</t>
  </si>
  <si>
    <t>6.1 AP 4.9 R</t>
  </si>
  <si>
    <t>Dru</t>
  </si>
  <si>
    <t>6576 / 4700 / 4178 / 5583</t>
  </si>
  <si>
    <t>Drunklegacy</t>
  </si>
  <si>
    <t>Dshred</t>
  </si>
  <si>
    <t>5A 5.3 R</t>
  </si>
  <si>
    <t>dstfate</t>
  </si>
  <si>
    <t>10 AP/POT</t>
  </si>
  <si>
    <t>Dualblader</t>
  </si>
  <si>
    <t>5 A/AP</t>
  </si>
  <si>
    <t>DuchessSoul I CAE</t>
  </si>
  <si>
    <t>5.2 A 5.4 P</t>
  </si>
  <si>
    <t>DUCnZUK</t>
  </si>
  <si>
    <t>3 AR / AP</t>
  </si>
  <si>
    <t>DuDuBuBu</t>
  </si>
  <si>
    <t>6136</t>
  </si>
  <si>
    <t>5445 / 7077 / 5525 / 5530</t>
  </si>
  <si>
    <t>Duexes</t>
  </si>
  <si>
    <t>7.1 AP 5.2 A</t>
  </si>
  <si>
    <t>Duruko</t>
  </si>
  <si>
    <t>4018 / 7062 / 6636 / 4186</t>
  </si>
  <si>
    <t>Dustrayer</t>
  </si>
  <si>
    <t>Dusty33</t>
  </si>
  <si>
    <t>Dwai</t>
  </si>
  <si>
    <t>Dwizards</t>
  </si>
  <si>
    <t>4 AP 3.2 A2.7 P/R</t>
  </si>
  <si>
    <t>dylan03</t>
  </si>
  <si>
    <t>3.5 AP 3 All Others</t>
  </si>
  <si>
    <t>Dáx</t>
  </si>
  <si>
    <t>8.5 AP 6.1 P</t>
  </si>
  <si>
    <t>DøømBlade</t>
  </si>
  <si>
    <t xml:space="preserve">7.6 R 7.3 A/AP 5.2 P </t>
  </si>
  <si>
    <t>Eagleblack</t>
  </si>
  <si>
    <t>EbannerHolyfield</t>
  </si>
  <si>
    <t>3.2 ALL</t>
  </si>
  <si>
    <t>Edgewalkër</t>
  </si>
  <si>
    <t>6800</t>
  </si>
  <si>
    <t>4844 / 5292 / 4944 / 4640</t>
  </si>
  <si>
    <t>EdwinBlackbush</t>
  </si>
  <si>
    <t>2.5 P/R 2.2 A/AP</t>
  </si>
  <si>
    <t>Eggviper</t>
  </si>
  <si>
    <t>4980</t>
  </si>
  <si>
    <t>EighTxUp</t>
  </si>
  <si>
    <t>Eilserus</t>
  </si>
  <si>
    <t>Ekekeke</t>
  </si>
  <si>
    <t>4.2 AP 3.8 P</t>
  </si>
  <si>
    <t>EKkö</t>
  </si>
  <si>
    <t>6112 / 7856 / 8192 / 4248</t>
  </si>
  <si>
    <t>Elder69</t>
  </si>
  <si>
    <t>Elend</t>
  </si>
  <si>
    <t>ElessaGroveHeart</t>
  </si>
  <si>
    <t>3.1 A/AP 3 P/R</t>
  </si>
  <si>
    <t>Elilliana</t>
  </si>
  <si>
    <t>ELinsanetrain</t>
  </si>
  <si>
    <t>5130</t>
  </si>
  <si>
    <t>Ellody</t>
  </si>
  <si>
    <t>H20</t>
  </si>
  <si>
    <t>ElricTheGray</t>
  </si>
  <si>
    <t>5.8 AP 4.9 R</t>
  </si>
  <si>
    <t>Elsbethe</t>
  </si>
  <si>
    <t>Elshadal</t>
  </si>
  <si>
    <t>Emperis</t>
  </si>
  <si>
    <t>EmPeRoR777</t>
  </si>
  <si>
    <t>5.6 AP 4.9 A</t>
  </si>
  <si>
    <t>Endurance</t>
  </si>
  <si>
    <t>4P / 3.8 R</t>
  </si>
  <si>
    <t>EnticerII</t>
  </si>
  <si>
    <t>5.2 AP 4.5 A</t>
  </si>
  <si>
    <t>Eotec</t>
  </si>
  <si>
    <t>10.r AP 8.8 R</t>
  </si>
  <si>
    <t>10.4 AP 8.8 R</t>
  </si>
  <si>
    <t>Epepepe</t>
  </si>
  <si>
    <t>4 AP/P 3 A/R</t>
  </si>
  <si>
    <t>EQ</t>
  </si>
  <si>
    <t>SXY</t>
  </si>
  <si>
    <t>6 ALL</t>
  </si>
  <si>
    <t>Erestor</t>
  </si>
  <si>
    <t>EricTheUnready</t>
  </si>
  <si>
    <t>5131</t>
  </si>
  <si>
    <t>Ernie</t>
  </si>
  <si>
    <t>7 P 6.3 AP</t>
  </si>
  <si>
    <t>Erøs</t>
  </si>
  <si>
    <t>2950</t>
  </si>
  <si>
    <t>Esperatus</t>
  </si>
  <si>
    <t>5.8 AP 5.7 P/R</t>
  </si>
  <si>
    <t>Eternall</t>
  </si>
  <si>
    <t>Ethagust</t>
  </si>
  <si>
    <t xml:space="preserve">4.1 A/AP </t>
  </si>
  <si>
    <t>Eucaryptus</t>
  </si>
  <si>
    <t>Euslys</t>
  </si>
  <si>
    <t>Exidusozz</t>
  </si>
  <si>
    <t>Ezekria</t>
  </si>
  <si>
    <t>Ezekrielle</t>
  </si>
  <si>
    <t>3.6 AP / AR</t>
  </si>
  <si>
    <t>Ezraim</t>
  </si>
  <si>
    <t>5.5 A 5.4 P</t>
  </si>
  <si>
    <t>EŁ¥SIØN</t>
  </si>
  <si>
    <t>7.1 P 6.9 A</t>
  </si>
  <si>
    <t>F3nt4nyl</t>
  </si>
  <si>
    <t>Faolchumemn</t>
  </si>
  <si>
    <t>10.2 AP 10.2 R</t>
  </si>
  <si>
    <t>FastAFboy</t>
  </si>
  <si>
    <t>7 P 6.7 AP</t>
  </si>
  <si>
    <t>Fatgopher101</t>
  </si>
  <si>
    <t>2.6 ALL</t>
  </si>
  <si>
    <t>Fatslob187</t>
  </si>
  <si>
    <t>5.5 AP 5 A/R</t>
  </si>
  <si>
    <t>feank</t>
  </si>
  <si>
    <t>FeartheDew</t>
  </si>
  <si>
    <t>5827 / 5644 / 5106 / 5577</t>
  </si>
  <si>
    <t>Fenrir207</t>
  </si>
  <si>
    <t>4545 / 8209 / 4960 / 4728</t>
  </si>
  <si>
    <t>FERRET42</t>
  </si>
  <si>
    <t>FieryPixie</t>
  </si>
  <si>
    <t xml:space="preserve">5.8 A 5 ALL OTHER </t>
  </si>
  <si>
    <t>Finella</t>
  </si>
  <si>
    <t>4.2 AP / 3.1 ALL</t>
  </si>
  <si>
    <t>FinGerthyself</t>
  </si>
  <si>
    <t>5.6AP 7P</t>
  </si>
  <si>
    <t>Flair-0</t>
  </si>
  <si>
    <t>4.5 ALL</t>
  </si>
  <si>
    <t>Flavius</t>
  </si>
  <si>
    <t>6975 / 4786 / 6185 / 5457</t>
  </si>
  <si>
    <t>FLEE</t>
  </si>
  <si>
    <t>Flowstate</t>
  </si>
  <si>
    <t>5.9 AP 4.9 R</t>
  </si>
  <si>
    <t>flukey123</t>
  </si>
  <si>
    <t>Foozy</t>
  </si>
  <si>
    <t>For3skin</t>
  </si>
  <si>
    <t>3724 / 4281 / 3188 / 2888</t>
  </si>
  <si>
    <t>ForceTempRelease</t>
  </si>
  <si>
    <t>4875</t>
  </si>
  <si>
    <t>FoxHayabusa</t>
  </si>
  <si>
    <t>6870</t>
  </si>
  <si>
    <t>FRASS</t>
  </si>
  <si>
    <t>FROSTYAF</t>
  </si>
  <si>
    <t>5410 / 5423 / 3336 / 3447</t>
  </si>
  <si>
    <t>FrostyT</t>
  </si>
  <si>
    <t>Frıs</t>
  </si>
  <si>
    <t>3124 / 3717 / 4586 / 4818</t>
  </si>
  <si>
    <t>FuHao</t>
  </si>
  <si>
    <t>4152</t>
  </si>
  <si>
    <t>Furealz</t>
  </si>
  <si>
    <t>7366</t>
  </si>
  <si>
    <t>Furie</t>
  </si>
  <si>
    <t>5.8 AP 5 R</t>
  </si>
  <si>
    <t>FurkarinaOfTime</t>
  </si>
  <si>
    <t>Furkious</t>
  </si>
  <si>
    <t>Furkless</t>
  </si>
  <si>
    <t>Furky</t>
  </si>
  <si>
    <t>4.7 AR / AP / 4.2 P / R</t>
  </si>
  <si>
    <t>FuRRyKaTa</t>
  </si>
  <si>
    <t>FuzzyDog</t>
  </si>
  <si>
    <t>FÆR</t>
  </si>
  <si>
    <t>10.4 P 6.1 A</t>
  </si>
  <si>
    <t>Fühnky</t>
  </si>
  <si>
    <t>FŁAŴ</t>
  </si>
  <si>
    <t>10 AP 8.1 R</t>
  </si>
  <si>
    <t>GabbeGotSauce</t>
  </si>
  <si>
    <t>10A 11P</t>
  </si>
  <si>
    <t>Gareth79</t>
  </si>
  <si>
    <t>Gazzurple</t>
  </si>
  <si>
    <t>5820 / 5704 / 4868 / 4806</t>
  </si>
  <si>
    <t>gburn509</t>
  </si>
  <si>
    <t>3.7 AP 3.5 A</t>
  </si>
  <si>
    <t>GeorgeTimi</t>
  </si>
  <si>
    <t>Gerac0t</t>
  </si>
  <si>
    <t>GetrDun96</t>
  </si>
  <si>
    <t>3897 / 4196 / 2785 / 3961</t>
  </si>
  <si>
    <t>Ghk142000</t>
  </si>
  <si>
    <t>5.8 AP 5.3 P</t>
  </si>
  <si>
    <t>ghost479</t>
  </si>
  <si>
    <t>GhostDOOM</t>
  </si>
  <si>
    <t>3.5 P 3.4 R</t>
  </si>
  <si>
    <t>GhostF8ceKilla</t>
  </si>
  <si>
    <t>GhostFaceKillahh</t>
  </si>
  <si>
    <t>5675</t>
  </si>
  <si>
    <t>GhostyLoki</t>
  </si>
  <si>
    <t>7.2 AP 7.2 R</t>
  </si>
  <si>
    <t>Ghym</t>
  </si>
  <si>
    <t>4.1 AP 3.7 A</t>
  </si>
  <si>
    <t>GiantDwarf20</t>
  </si>
  <si>
    <t>GiggityGuru</t>
  </si>
  <si>
    <t>Gilligan</t>
  </si>
  <si>
    <t>4.3 AP 4.1 A</t>
  </si>
  <si>
    <t>GingerBreadMan74</t>
  </si>
  <si>
    <t>GiveMeNeck</t>
  </si>
  <si>
    <t>6.6 P 5.6 AP</t>
  </si>
  <si>
    <t>Glitter-1</t>
  </si>
  <si>
    <t>4050</t>
  </si>
  <si>
    <t>gloom</t>
  </si>
  <si>
    <t>6.4 AP 5.1 P/R</t>
  </si>
  <si>
    <t>GmanbcAlth</t>
  </si>
  <si>
    <t>12.2 AP 9.8 R</t>
  </si>
  <si>
    <t>GMP2K</t>
  </si>
  <si>
    <t>5.6 AP 5 R</t>
  </si>
  <si>
    <t>GodKingElrond</t>
  </si>
  <si>
    <t>3.5 AP</t>
  </si>
  <si>
    <t>GOGETA</t>
  </si>
  <si>
    <t>9.3 AP 6.9 P</t>
  </si>
  <si>
    <t>GoneForGood</t>
  </si>
  <si>
    <t>3400</t>
  </si>
  <si>
    <t>GoodNewsEveryone</t>
  </si>
  <si>
    <t>GOTENKS</t>
  </si>
  <si>
    <t>11496 / 3920 / 4145 / 11721</t>
  </si>
  <si>
    <t>GotMik</t>
  </si>
  <si>
    <t>5285 / 5961 / 5300 / 5902</t>
  </si>
  <si>
    <t>Gotop</t>
  </si>
  <si>
    <t>7650</t>
  </si>
  <si>
    <t>Goudil</t>
  </si>
  <si>
    <t>Gracebot</t>
  </si>
  <si>
    <t>4.4 AP 4.2 P</t>
  </si>
  <si>
    <t>Grammy</t>
  </si>
  <si>
    <t>5129 / 5391 / 526 / 5010</t>
  </si>
  <si>
    <t>GrandKyle29</t>
  </si>
  <si>
    <t>4650</t>
  </si>
  <si>
    <t>GrandMasterB810</t>
  </si>
  <si>
    <t>10AP 5k</t>
  </si>
  <si>
    <r>
      <rPr>
        <b/>
        <sz val="10"/>
        <color rgb="FF000000"/>
        <rFont val="Arial"/>
        <charset val="1"/>
      </rPr>
      <t>Granger</t>
    </r>
    <r>
      <rPr>
        <b/>
        <sz val="10"/>
        <color rgb="FF000000"/>
        <rFont val="Noto Sans CJK SC"/>
        <family val="2"/>
      </rPr>
      <t>ッ</t>
    </r>
  </si>
  <si>
    <t>7988 A 5140 R</t>
  </si>
  <si>
    <t>GratefulTread</t>
  </si>
  <si>
    <t>4.6 AP 4 A</t>
  </si>
  <si>
    <t>Gray</t>
  </si>
  <si>
    <t>9.4 AP 6.8 P</t>
  </si>
  <si>
    <t>Grazito</t>
  </si>
  <si>
    <t>4096 / 4232 / 4579 / 4325</t>
  </si>
  <si>
    <t>4722 / 5440 / 5203 / 5208</t>
  </si>
  <si>
    <t>GreyWardenElisa</t>
  </si>
  <si>
    <t>5365 / 5298 / 4585 / 4953</t>
  </si>
  <si>
    <t>8 AP</t>
  </si>
  <si>
    <t>Grimluck</t>
  </si>
  <si>
    <t>7.4 AP 6.2 R</t>
  </si>
  <si>
    <t>Grimsha</t>
  </si>
  <si>
    <t>3.5 A/AP 2.8 P/R</t>
  </si>
  <si>
    <t>Griswold-1</t>
  </si>
  <si>
    <t>4100</t>
  </si>
  <si>
    <t>Grizzle87</t>
  </si>
  <si>
    <t>3.4 AP 3.3 A</t>
  </si>
  <si>
    <t>4116 / 7096 / 5309 / 5183</t>
  </si>
  <si>
    <t>GulDana</t>
  </si>
  <si>
    <t>2 ALL</t>
  </si>
  <si>
    <t>Guldán</t>
  </si>
  <si>
    <t>Gumayusi</t>
  </si>
  <si>
    <t>GushMintz</t>
  </si>
  <si>
    <t>4346 / 6806 / 6778 / 6760</t>
  </si>
  <si>
    <t>Hafiar</t>
  </si>
  <si>
    <t>3.7 A/AP 3.6 P/R</t>
  </si>
  <si>
    <t>Hagrïd</t>
  </si>
  <si>
    <t>Hailey</t>
  </si>
  <si>
    <t xml:space="preserve">5.3 AP 3.9 all others </t>
  </si>
  <si>
    <t>Haixiah</t>
  </si>
  <si>
    <t>2.9 AP/P 2.5 A/R</t>
  </si>
  <si>
    <t>HAPPY</t>
  </si>
  <si>
    <t>4925 / 6199 / 4815 / 5263</t>
  </si>
  <si>
    <t>Hardkiss</t>
  </si>
  <si>
    <t>Harii052</t>
  </si>
  <si>
    <t>Harley</t>
  </si>
  <si>
    <t>4899 / 5653 / 4930 / 5378</t>
  </si>
  <si>
    <t>Harmed</t>
  </si>
  <si>
    <t>HavaDude</t>
  </si>
  <si>
    <t>HavaSader</t>
  </si>
  <si>
    <t>3.9 AP 3.9 R</t>
  </si>
  <si>
    <t>Haven81</t>
  </si>
  <si>
    <t>6.3 AP 4.7 P</t>
  </si>
  <si>
    <t>HawkȚuăh</t>
  </si>
  <si>
    <t>4.1 ALL</t>
  </si>
  <si>
    <t>HazWiz</t>
  </si>
  <si>
    <t>Heath3rs</t>
  </si>
  <si>
    <t>6900</t>
  </si>
  <si>
    <t>Heathcliff-1</t>
  </si>
  <si>
    <t>Hegath</t>
  </si>
  <si>
    <t>3.7 R 3.6 AP</t>
  </si>
  <si>
    <t>Hekaceta</t>
  </si>
  <si>
    <t>3.8 ALL</t>
  </si>
  <si>
    <t>Helexa</t>
  </si>
  <si>
    <t>4787</t>
  </si>
  <si>
    <t>HellaIQ</t>
  </si>
  <si>
    <t>3.8 AP 3.6 A</t>
  </si>
  <si>
    <t>HellBovine</t>
  </si>
  <si>
    <t>4.9 AP 4.5 A</t>
  </si>
  <si>
    <t>Hellman</t>
  </si>
  <si>
    <t>Hellsblood</t>
  </si>
  <si>
    <t>HellsMells</t>
  </si>
  <si>
    <t>Hellzbilly</t>
  </si>
  <si>
    <t>5 AP/P 4.7 A</t>
  </si>
  <si>
    <t>Helman</t>
  </si>
  <si>
    <t>5.2 P 5 AP</t>
  </si>
  <si>
    <t>HelmetnMittens</t>
  </si>
  <si>
    <t>HeMan777</t>
  </si>
  <si>
    <t>5745</t>
  </si>
  <si>
    <t>Hensen</t>
  </si>
  <si>
    <t>5286 / 6070 / 4544 / 5658</t>
  </si>
  <si>
    <t>Herbivore</t>
  </si>
  <si>
    <t>HERCULE</t>
  </si>
  <si>
    <t>8362 / 5558 / 3260 / 7718</t>
  </si>
  <si>
    <t>Hermaphroditey</t>
  </si>
  <si>
    <t>5.1 AP 4.2 R</t>
  </si>
  <si>
    <t>HesNotHuman</t>
  </si>
  <si>
    <t>6.4 AP 5.4 P</t>
  </si>
  <si>
    <t>HexenbaneHexy</t>
  </si>
  <si>
    <t>3989 / 4316 / 4036 / 4184</t>
  </si>
  <si>
    <t>HexOffender</t>
  </si>
  <si>
    <t>9.4 AP 6.3 R</t>
  </si>
  <si>
    <t>Hexvita</t>
  </si>
  <si>
    <t>8.1 AP 7.4 P</t>
  </si>
  <si>
    <t>Hobbës</t>
  </si>
  <si>
    <t>6.1 AP 5.1 A</t>
  </si>
  <si>
    <t>Hohohoh</t>
  </si>
  <si>
    <t>7.1 P 6.4 A 6 AP 5.7 R</t>
  </si>
  <si>
    <t>HolyGhostin</t>
  </si>
  <si>
    <t>6 AP 5 P</t>
  </si>
  <si>
    <t>HolyKoda</t>
  </si>
  <si>
    <t>3654 / 3886 / 3661 / 3525</t>
  </si>
  <si>
    <t>HolyÕne</t>
  </si>
  <si>
    <t>Homiegdawg</t>
  </si>
  <si>
    <t>3.7 P 3.4 R</t>
  </si>
  <si>
    <t>Honeylicious</t>
  </si>
  <si>
    <t>6.5 AP 5.4 A</t>
  </si>
  <si>
    <t>Hook</t>
  </si>
  <si>
    <t>7.6 AP 6.4 R</t>
  </si>
  <si>
    <t>Houstyn</t>
  </si>
  <si>
    <t>5.2 AP 4.3 A</t>
  </si>
  <si>
    <t>HubNubbin</t>
  </si>
  <si>
    <t>5.1 AP 4.3 P</t>
  </si>
  <si>
    <t>HughHeefner</t>
  </si>
  <si>
    <t>4486 / 5068 / 4208 / 4018</t>
  </si>
  <si>
    <t>Huginn81</t>
  </si>
  <si>
    <t>5684 / 6178 / 4941 / 6428</t>
  </si>
  <si>
    <t>Humter</t>
  </si>
  <si>
    <t>HunterGrey</t>
  </si>
  <si>
    <t>2.4 AP 2.3 A 1.7 P/R</t>
  </si>
  <si>
    <t>HunterWolf</t>
  </si>
  <si>
    <t>2.8 ALL</t>
  </si>
  <si>
    <t>HuntingWabbits</t>
  </si>
  <si>
    <t>HustleTrees</t>
  </si>
  <si>
    <t>Hyperion</t>
  </si>
  <si>
    <t>8POT</t>
  </si>
  <si>
    <t>4827 / 5208 / 5036 / 5041</t>
  </si>
  <si>
    <t>i34131</t>
  </si>
  <si>
    <t>5308</t>
  </si>
  <si>
    <t>IcebergLettuce</t>
  </si>
  <si>
    <t>Ictalurus</t>
  </si>
  <si>
    <t>ifHell</t>
  </si>
  <si>
    <t>IGC X R0BZ</t>
  </si>
  <si>
    <t>8ARM/7.5RES</t>
  </si>
  <si>
    <t>IIYRio</t>
  </si>
  <si>
    <t>6582 / 3664 / 6579 / 3553</t>
  </si>
  <si>
    <t>IKORA</t>
  </si>
  <si>
    <t>Illidont</t>
  </si>
  <si>
    <t>3.9 ALL</t>
  </si>
  <si>
    <t>Immuarka</t>
  </si>
  <si>
    <t>6000</t>
  </si>
  <si>
    <t>Incognito</t>
  </si>
  <si>
    <t>6625</t>
  </si>
  <si>
    <t>IND X D E S I</t>
  </si>
  <si>
    <t>4480 / 5555 / 5225 / 4568</t>
  </si>
  <si>
    <t>Intrepid</t>
  </si>
  <si>
    <t>Iruu</t>
  </si>
  <si>
    <t>6.4 AP 6 P</t>
  </si>
  <si>
    <t>Irís</t>
  </si>
  <si>
    <t>4 P 3.9 R</t>
  </si>
  <si>
    <t>IsungwooUtank</t>
  </si>
  <si>
    <t>2.9 P/R 2.7 A/AP</t>
  </si>
  <si>
    <t>ItsGOATMI</t>
  </si>
  <si>
    <t>7.2 AP 6.2 R</t>
  </si>
  <si>
    <t>Itsmurdaa</t>
  </si>
  <si>
    <t>3540 / 4144 / 3216 / 3732</t>
  </si>
  <si>
    <t>Itzi</t>
  </si>
  <si>
    <t>6100</t>
  </si>
  <si>
    <t>IvartehBoneless</t>
  </si>
  <si>
    <t>7.8 AP / 6 AR/ 6.7 R</t>
  </si>
  <si>
    <t>IzzyGirl</t>
  </si>
  <si>
    <t>IḲOŘA</t>
  </si>
  <si>
    <t>J1B</t>
  </si>
  <si>
    <t>JadesRage</t>
  </si>
  <si>
    <t>2850</t>
  </si>
  <si>
    <t>Jairo502Quino</t>
  </si>
  <si>
    <t>3.8 P 3.5 A 3.4 AP/R</t>
  </si>
  <si>
    <t>Jalaredous</t>
  </si>
  <si>
    <t>8.5AP</t>
  </si>
  <si>
    <t>Jarrid</t>
  </si>
  <si>
    <t>5250</t>
  </si>
  <si>
    <t>Javieron</t>
  </si>
  <si>
    <t>JayBreezy</t>
  </si>
  <si>
    <t>5.7 A 4 R</t>
  </si>
  <si>
    <t>JayBreezy | CAE</t>
  </si>
  <si>
    <t>Jazzonurface</t>
  </si>
  <si>
    <t>Jdog74</t>
  </si>
  <si>
    <t>4.3 AP 4 R 3.8 A/P</t>
  </si>
  <si>
    <t>Jdpower</t>
  </si>
  <si>
    <t>JeanGrey</t>
  </si>
  <si>
    <t>4.9 P 4.3 R</t>
  </si>
  <si>
    <t>Jefflegend</t>
  </si>
  <si>
    <t>4 AP 3.6 A</t>
  </si>
  <si>
    <t>Jellies</t>
  </si>
  <si>
    <t>Jessamy</t>
  </si>
  <si>
    <t>JesterHskr</t>
  </si>
  <si>
    <t>Jezalee</t>
  </si>
  <si>
    <t>4.6 AP 3.8 P</t>
  </si>
  <si>
    <t>Jin</t>
  </si>
  <si>
    <t xml:space="preserve">6.8 AP 6 ALL OTHERS </t>
  </si>
  <si>
    <t>Jinx</t>
  </si>
  <si>
    <t>9 A 9 R</t>
  </si>
  <si>
    <t>Jinxzee</t>
  </si>
  <si>
    <t>4291 / 5145 / 5748 / 4644</t>
  </si>
  <si>
    <t>Jixer</t>
  </si>
  <si>
    <t>5650</t>
  </si>
  <si>
    <t>JK DarthMaul</t>
  </si>
  <si>
    <t>5099 / 8086 / 7471 / 5055</t>
  </si>
  <si>
    <t>jkw487</t>
  </si>
  <si>
    <t>8.4 AP 4.9 A</t>
  </si>
  <si>
    <t>jOdy</t>
  </si>
  <si>
    <t>Joesoss</t>
  </si>
  <si>
    <t>6.2 AP/P 5.1 A/R</t>
  </si>
  <si>
    <t>Joeyju</t>
  </si>
  <si>
    <t>4 A/AP 3.6 P/R</t>
  </si>
  <si>
    <t>3586 / 3260 / 4645 / 4477</t>
  </si>
  <si>
    <t>Joker6599</t>
  </si>
  <si>
    <t>Jozel</t>
  </si>
  <si>
    <t>5.7 AP 5.5 A 5.3R</t>
  </si>
  <si>
    <t>Jt0</t>
  </si>
  <si>
    <t>5357 / 5823 / 4298 / 4926</t>
  </si>
  <si>
    <t>JudgeD00die</t>
  </si>
  <si>
    <t>JudgeMentaI</t>
  </si>
  <si>
    <t>9.1 A</t>
  </si>
  <si>
    <t>Jäger109</t>
  </si>
  <si>
    <t>5990</t>
  </si>
  <si>
    <t>JæKing</t>
  </si>
  <si>
    <t>Pogi</t>
  </si>
  <si>
    <t>Jęn</t>
  </si>
  <si>
    <t>K00T</t>
  </si>
  <si>
    <t>7.9 AP 6.6 A</t>
  </si>
  <si>
    <t>4031 / 4048 / 4027 / 3637</t>
  </si>
  <si>
    <t>4554 / 5506 / 5126 / 4668</t>
  </si>
  <si>
    <t>KakiKram</t>
  </si>
  <si>
    <t>Kalena</t>
  </si>
  <si>
    <t>4288 / 5088 / 4220 / 4459</t>
  </si>
  <si>
    <t>KALON2</t>
  </si>
  <si>
    <t>Kalyzya</t>
  </si>
  <si>
    <t>5.2 AP 4.4 A</t>
  </si>
  <si>
    <t>KAMURi</t>
  </si>
  <si>
    <t>4.5 AP 4.4 A 4.3 P/R</t>
  </si>
  <si>
    <t>Kanii</t>
  </si>
  <si>
    <t>KAPTBARBEL</t>
  </si>
  <si>
    <t>5116 / 4352 / 3140 / 4726</t>
  </si>
  <si>
    <t>KarmaElektra</t>
  </si>
  <si>
    <t>6 AP 4.8 P</t>
  </si>
  <si>
    <t>Kaulana</t>
  </si>
  <si>
    <t>4 A/AP 3.2 P/R</t>
  </si>
  <si>
    <t>Kazeroth</t>
  </si>
  <si>
    <t>6.1 AP 5.6 P</t>
  </si>
  <si>
    <t>KBowser</t>
  </si>
  <si>
    <t>4621 / 5040 / 5024 / 4656</t>
  </si>
  <si>
    <t>KCchieefer</t>
  </si>
  <si>
    <t>3.8 P 3.7 R</t>
  </si>
  <si>
    <t>kedi</t>
  </si>
  <si>
    <t>5.1 AP</t>
  </si>
  <si>
    <t>Keirison</t>
  </si>
  <si>
    <t>3.1 A/AP</t>
  </si>
  <si>
    <t>Kele§_0</t>
  </si>
  <si>
    <t>Kellan</t>
  </si>
  <si>
    <t>6.2 P 5.7 AP</t>
  </si>
  <si>
    <t>KellanK</t>
  </si>
  <si>
    <t>5.4 P 5 AP</t>
  </si>
  <si>
    <t>Ketchupe</t>
  </si>
  <si>
    <t>KeynnyC</t>
  </si>
  <si>
    <t>KhaLLDrago</t>
  </si>
  <si>
    <t>Khano</t>
  </si>
  <si>
    <t xml:space="preserve">4.4 A/AP </t>
  </si>
  <si>
    <t>KillahEmily</t>
  </si>
  <si>
    <t>Killer1A</t>
  </si>
  <si>
    <t>KillForFun</t>
  </si>
  <si>
    <t>killjoy</t>
  </si>
  <si>
    <t>7A 9.7P</t>
  </si>
  <si>
    <t>KillJoyIII</t>
  </si>
  <si>
    <t>3.3 A/AP 2.9 P/R</t>
  </si>
  <si>
    <t>Killshotte</t>
  </si>
  <si>
    <t>5.9 AP 4.7 R</t>
  </si>
  <si>
    <t>Kilâra</t>
  </si>
  <si>
    <t>3.8 A 4.1 P</t>
  </si>
  <si>
    <t>KingAzyx</t>
  </si>
  <si>
    <t>4173</t>
  </si>
  <si>
    <t>4604 / 4038 / 5184 / 3656</t>
  </si>
  <si>
    <t>KingKobra</t>
  </si>
  <si>
    <t>4.1 P 4 AP</t>
  </si>
  <si>
    <t>Kingotch</t>
  </si>
  <si>
    <t>Kittywuv</t>
  </si>
  <si>
    <t>3.9 P/R</t>
  </si>
  <si>
    <t>KnightPain</t>
  </si>
  <si>
    <t>Knightyhood</t>
  </si>
  <si>
    <t>KnownYapper</t>
  </si>
  <si>
    <t>7.5 AP 4.8 R 4 A/P</t>
  </si>
  <si>
    <t>kolz</t>
  </si>
  <si>
    <t>5.4 AP 5.3 A</t>
  </si>
  <si>
    <t>Konedaffi</t>
  </si>
  <si>
    <t>5.8 AP / AR</t>
  </si>
  <si>
    <t>konedaffi_0</t>
  </si>
  <si>
    <t>4.9 AP 4.7 R</t>
  </si>
  <si>
    <t>Koot</t>
  </si>
  <si>
    <t>6.2 AP 5.7 P</t>
  </si>
  <si>
    <t>Korvathx</t>
  </si>
  <si>
    <t>Koyaanisqatsi</t>
  </si>
  <si>
    <t>Kozluca</t>
  </si>
  <si>
    <t>KRA5H</t>
  </si>
  <si>
    <t xml:space="preserve">4.4 P 4.3 AP </t>
  </si>
  <si>
    <t>Kraykendric</t>
  </si>
  <si>
    <t xml:space="preserve">4.2 AP </t>
  </si>
  <si>
    <t>KREEM</t>
  </si>
  <si>
    <t>5.8 AP 4.8 A</t>
  </si>
  <si>
    <t>Krjum</t>
  </si>
  <si>
    <t>3750 / 6079 / 5056 / 5218</t>
  </si>
  <si>
    <t>Kromsul</t>
  </si>
  <si>
    <t>Kronnik</t>
  </si>
  <si>
    <t>KrustySocks</t>
  </si>
  <si>
    <t>6.4AP 4.4P</t>
  </si>
  <si>
    <t>Krystania</t>
  </si>
  <si>
    <t>3.3 AP 3.2 P</t>
  </si>
  <si>
    <t>Kuka_0</t>
  </si>
  <si>
    <t>4.2 P 3.8 A</t>
  </si>
  <si>
    <t>KupaBèárLV</t>
  </si>
  <si>
    <t>3880 / 5189 / 4399 / 2559</t>
  </si>
  <si>
    <t>kupalGAMING</t>
  </si>
  <si>
    <t>KyleSnow</t>
  </si>
  <si>
    <t>Kylora</t>
  </si>
  <si>
    <t>Kyria-2</t>
  </si>
  <si>
    <t>4.2 AR / AP</t>
  </si>
  <si>
    <t>KèèKota</t>
  </si>
  <si>
    <t>4.7 AP / 4.4 AR</t>
  </si>
  <si>
    <t>KöHö</t>
  </si>
  <si>
    <t>4.3 AP 4.1 R</t>
  </si>
  <si>
    <t>Labuboo</t>
  </si>
  <si>
    <t>5.2 AP 4.8 R</t>
  </si>
  <si>
    <t>Lachnadan</t>
  </si>
  <si>
    <t>LadyDemitri</t>
  </si>
  <si>
    <t>LadyHel</t>
  </si>
  <si>
    <t>LadyPoundcake</t>
  </si>
  <si>
    <t>7 AP 5.7 A</t>
  </si>
  <si>
    <t>LadySiff</t>
  </si>
  <si>
    <t>3.4 A/AP/R 3 P</t>
  </si>
  <si>
    <t>Lava444</t>
  </si>
  <si>
    <t>3157 / 3334 / 3462 / 3516</t>
  </si>
  <si>
    <t>Lawndaddy</t>
  </si>
  <si>
    <t>Layeh</t>
  </si>
  <si>
    <t>4.1 AP 3.9 A</t>
  </si>
  <si>
    <t>Lazattack</t>
  </si>
  <si>
    <t>4.7 AP 4.3 P/R 4 A</t>
  </si>
  <si>
    <t>Le FLOY</t>
  </si>
  <si>
    <t>10.4 AP 7.2 R</t>
  </si>
  <si>
    <t>LE1</t>
  </si>
  <si>
    <t>LE2</t>
  </si>
  <si>
    <t>Legel</t>
  </si>
  <si>
    <t>LegionOfFury</t>
  </si>
  <si>
    <t>5.3 AP 4.9 A</t>
  </si>
  <si>
    <t>Legolax</t>
  </si>
  <si>
    <t>lemnhead</t>
  </si>
  <si>
    <t>Leonides</t>
  </si>
  <si>
    <t>5298 / 4608 / 5655 / 4044</t>
  </si>
  <si>
    <t>LethalStrike</t>
  </si>
  <si>
    <t>5.3 P 4.7 AP 3.9 A/R</t>
  </si>
  <si>
    <t>LevChaDash</t>
  </si>
  <si>
    <t>3.8 P/R 3.5 A/AP</t>
  </si>
  <si>
    <t>Leximus</t>
  </si>
  <si>
    <t>LEXologic</t>
  </si>
  <si>
    <t>4167 / 5425 / 3781 / 3237</t>
  </si>
  <si>
    <t>4804 / 6078 / 4595 / 4170</t>
  </si>
  <si>
    <t>Ligaya</t>
  </si>
  <si>
    <t>4.3 A/AP 4.2 P/R</t>
  </si>
  <si>
    <t>lights</t>
  </si>
  <si>
    <t xml:space="preserve">7.2 AP 4 ALL OTHERS </t>
  </si>
  <si>
    <t>Lilee1</t>
  </si>
  <si>
    <t>5780 / 6935 / 5692 / 6060</t>
  </si>
  <si>
    <t>LilithRoze</t>
  </si>
  <si>
    <t>4250</t>
  </si>
  <si>
    <t>LilPoundcake</t>
  </si>
  <si>
    <t>6.5 AP 5.3 A 5.2 P</t>
  </si>
  <si>
    <t>LilWilder</t>
  </si>
  <si>
    <t>liRrilzZ</t>
  </si>
  <si>
    <t>LittleNicky</t>
  </si>
  <si>
    <t xml:space="preserve">4.5 AP 4.3 A </t>
  </si>
  <si>
    <t>lluvcookiez</t>
  </si>
  <si>
    <t>6AP 5.6P</t>
  </si>
  <si>
    <t>Loganabhi</t>
  </si>
  <si>
    <t>3633 / 3631 / 3564 / 3598</t>
  </si>
  <si>
    <t>Loksieuphung</t>
  </si>
  <si>
    <t>LonexxWolf</t>
  </si>
  <si>
    <t>Longbottoms</t>
  </si>
  <si>
    <t>Longhornboot</t>
  </si>
  <si>
    <t>4350</t>
  </si>
  <si>
    <t>LORDLEONI</t>
  </si>
  <si>
    <t>6.1 AP 4.8 P</t>
  </si>
  <si>
    <t>LordMist</t>
  </si>
  <si>
    <t>LordPoundcake</t>
  </si>
  <si>
    <t>Lordsbundy</t>
  </si>
  <si>
    <t>LordZolt</t>
  </si>
  <si>
    <t>Losermachine</t>
  </si>
  <si>
    <t>4.4 ALL</t>
  </si>
  <si>
    <t>Loss Prevention(kace)</t>
  </si>
  <si>
    <t>6522</t>
  </si>
  <si>
    <t>LostDog</t>
  </si>
  <si>
    <t>4.3 A 4 AP</t>
  </si>
  <si>
    <t>LotLezard</t>
  </si>
  <si>
    <t>5656 / 6176 / 4733 / 4949</t>
  </si>
  <si>
    <t>LouisCyphier</t>
  </si>
  <si>
    <t>5.2 AP 4.2 A</t>
  </si>
  <si>
    <t>Luciferhea</t>
  </si>
  <si>
    <t>5.1 AP 4 P</t>
  </si>
  <si>
    <t>Lucky</t>
  </si>
  <si>
    <t>6064 / 7479 / 6620 / 5439</t>
  </si>
  <si>
    <t>Lukusho</t>
  </si>
  <si>
    <t>LunaAzul</t>
  </si>
  <si>
    <t>7.9 AP 7.7 R</t>
  </si>
  <si>
    <t>LunaBlade</t>
  </si>
  <si>
    <t>Lunâris</t>
  </si>
  <si>
    <t>5.9 R 5.7 A</t>
  </si>
  <si>
    <t>Lupynesht</t>
  </si>
  <si>
    <t>4.7 P 4.5 R</t>
  </si>
  <si>
    <t>Lusterea</t>
  </si>
  <si>
    <t>Luvjazzonme</t>
  </si>
  <si>
    <t>4.1 AP 3.6 A</t>
  </si>
  <si>
    <t>Luxifer</t>
  </si>
  <si>
    <t>LuxVenator</t>
  </si>
  <si>
    <t>Lycheal</t>
  </si>
  <si>
    <t>Lymryn</t>
  </si>
  <si>
    <t>LZyBear</t>
  </si>
  <si>
    <t>6 AP 5.2 A</t>
  </si>
  <si>
    <t>Läkshmi</t>
  </si>
  <si>
    <t>5685</t>
  </si>
  <si>
    <t>Lücid</t>
  </si>
  <si>
    <t>LĘGIØN</t>
  </si>
  <si>
    <t xml:space="preserve">5.7 AP 4.9 ALL OTHERS </t>
  </si>
  <si>
    <t>5063 / 6450 / 3682 / 4436</t>
  </si>
  <si>
    <t>M29P89</t>
  </si>
  <si>
    <t>M4JEST1</t>
  </si>
  <si>
    <t>5450</t>
  </si>
  <si>
    <t>Mabuhay</t>
  </si>
  <si>
    <t>9.4AP</t>
  </si>
  <si>
    <t>Macmudd</t>
  </si>
  <si>
    <t>3.2 AR / 3 AP / 2.5 ALL</t>
  </si>
  <si>
    <t>Macoo</t>
  </si>
  <si>
    <t>5.5 AP 4.8 P</t>
  </si>
  <si>
    <t>MADC</t>
  </si>
  <si>
    <t>5.2 AP 4.5 A 4.1 P/R</t>
  </si>
  <si>
    <t>MaddGod</t>
  </si>
  <si>
    <t>4670 / 4529 / 3444 / 3627</t>
  </si>
  <si>
    <t>MadManTLee2</t>
  </si>
  <si>
    <t>4.5 A 4.4 AP 3.8 P/R</t>
  </si>
  <si>
    <t>MadMardegen</t>
  </si>
  <si>
    <t xml:space="preserve">3.2 AP/P </t>
  </si>
  <si>
    <t>Maevys</t>
  </si>
  <si>
    <t>4.2 P 3.9 AP</t>
  </si>
  <si>
    <t>Magiaceleste</t>
  </si>
  <si>
    <t xml:space="preserve">2.4 A/AP </t>
  </si>
  <si>
    <t>Maguz</t>
  </si>
  <si>
    <t>3.3 AP 3 A</t>
  </si>
  <si>
    <t>Mahpiya</t>
  </si>
  <si>
    <t>3.7 ALL</t>
  </si>
  <si>
    <t>Make43</t>
  </si>
  <si>
    <t>2800</t>
  </si>
  <si>
    <t>3722 / 5970 / 4335 / 3541</t>
  </si>
  <si>
    <t>Maldus</t>
  </si>
  <si>
    <t>Malexis</t>
  </si>
  <si>
    <t>4.4 A 4 AP</t>
  </si>
  <si>
    <t>Maligalig</t>
  </si>
  <si>
    <t>4950</t>
  </si>
  <si>
    <t>MamaFae</t>
  </si>
  <si>
    <t>Man86</t>
  </si>
  <si>
    <t>4 P/R 3.8 A/AP</t>
  </si>
  <si>
    <t>Mandirin Char #1</t>
  </si>
  <si>
    <t>12 AP 10.2 R</t>
  </si>
  <si>
    <t>Mandirin Char #2</t>
  </si>
  <si>
    <t>5.9 AP 4.5 R</t>
  </si>
  <si>
    <t>Mandrin Charactures x 2</t>
  </si>
  <si>
    <t>4187 / 5484 / 5562 / 4067</t>
  </si>
  <si>
    <t>Manuu \ 2k</t>
  </si>
  <si>
    <t>Maowi</t>
  </si>
  <si>
    <t>4557 / 4567 / 3841 / 3675</t>
  </si>
  <si>
    <t>MASSACRE</t>
  </si>
  <si>
    <t>5690</t>
  </si>
  <si>
    <t>MasterCreeper</t>
  </si>
  <si>
    <t>5.7 AP 4.9 A</t>
  </si>
  <si>
    <t>MaVimusPrime</t>
  </si>
  <si>
    <t>5950</t>
  </si>
  <si>
    <t>Maximus1</t>
  </si>
  <si>
    <t>4.7 R 4.6 P</t>
  </si>
  <si>
    <t>MaxIripatitoff</t>
  </si>
  <si>
    <t>MaxRockatansky</t>
  </si>
  <si>
    <t>Mazzi</t>
  </si>
  <si>
    <t>6.4 AP / 5.7 ALL</t>
  </si>
  <si>
    <t>McCracken</t>
  </si>
  <si>
    <t xml:space="preserve">4.7 P/R </t>
  </si>
  <si>
    <t>MCHamburger</t>
  </si>
  <si>
    <t>MeatButt</t>
  </si>
  <si>
    <t>5.3 AR / 7.5 AP / 5.3 P / 6.4 R</t>
  </si>
  <si>
    <t>Meatdish</t>
  </si>
  <si>
    <t>4341 / 4765 / 3840 / 3902</t>
  </si>
  <si>
    <t>Meatstickler</t>
  </si>
  <si>
    <t>meeplet</t>
  </si>
  <si>
    <t>4528 / 4015 / 4224 / 3366</t>
  </si>
  <si>
    <t>MegaForce</t>
  </si>
  <si>
    <t>3.8 AP / 3.4 RES / 3 ALL</t>
  </si>
  <si>
    <t>MegaRomik</t>
  </si>
  <si>
    <t>4.8 AP 4.6 A 4.5 P</t>
  </si>
  <si>
    <t>Megpie</t>
  </si>
  <si>
    <t>4.2 AP / 3.6 ALL</t>
  </si>
  <si>
    <t>Meliodas</t>
  </si>
  <si>
    <t>4270</t>
  </si>
  <si>
    <t>MelissaW</t>
  </si>
  <si>
    <t>MELKQR</t>
  </si>
  <si>
    <t>Memile</t>
  </si>
  <si>
    <t>MEMNON</t>
  </si>
  <si>
    <t>8 AR / 8.3 P / 7.4 R</t>
  </si>
  <si>
    <t>8.3 P 8 A 7.4 R</t>
  </si>
  <si>
    <t>MenaceFDAU</t>
  </si>
  <si>
    <t>MercenaryMx</t>
  </si>
  <si>
    <t>4415 / 5637 / 4251 / 3689</t>
  </si>
  <si>
    <t>MichealThESaint</t>
  </si>
  <si>
    <t>MidnightRider</t>
  </si>
  <si>
    <t>4.2 A/AP 3.9 P/R</t>
  </si>
  <si>
    <t>MidnightRose420</t>
  </si>
  <si>
    <t>Migge</t>
  </si>
  <si>
    <t>Miika</t>
  </si>
  <si>
    <t>4.5 AP 3.9 P</t>
  </si>
  <si>
    <t>Millim</t>
  </si>
  <si>
    <t>6.4 AP 6 A</t>
  </si>
  <si>
    <t>Miltiades</t>
  </si>
  <si>
    <t>4.7 AP / 3.4 ALL</t>
  </si>
  <si>
    <t>Mineet</t>
  </si>
  <si>
    <t>5.6 AP 5.4 A</t>
  </si>
  <si>
    <t>minispoOner</t>
  </si>
  <si>
    <t>6.5 AP 5.4 P/R</t>
  </si>
  <si>
    <t>miniVi0lettt</t>
  </si>
  <si>
    <t>6433</t>
  </si>
  <si>
    <t>mintybear</t>
  </si>
  <si>
    <t>7.1 AP 4.6 R</t>
  </si>
  <si>
    <t>Mish</t>
  </si>
  <si>
    <t>MissNikø</t>
  </si>
  <si>
    <t>8 P 6.1 AP</t>
  </si>
  <si>
    <t>MissSpieler</t>
  </si>
  <si>
    <t>5560</t>
  </si>
  <si>
    <t>MistressMercy</t>
  </si>
  <si>
    <t>3.5 R 3.2 A</t>
  </si>
  <si>
    <t>MistressMisery</t>
  </si>
  <si>
    <t>Mitor420</t>
  </si>
  <si>
    <t>4.1 AP 3.5 A</t>
  </si>
  <si>
    <t>mochı</t>
  </si>
  <si>
    <t>Moe</t>
  </si>
  <si>
    <t>5.8 AP 5.1 A</t>
  </si>
  <si>
    <t>MoErnest</t>
  </si>
  <si>
    <t>3.1 A/AP 2.8 P/R</t>
  </si>
  <si>
    <t>Mohnnkey</t>
  </si>
  <si>
    <t>6510 / 5854 / 4552 / 6221</t>
  </si>
  <si>
    <t>MonkeyPickle</t>
  </si>
  <si>
    <t>7.2 AP 5 R</t>
  </si>
  <si>
    <t>MooMommy</t>
  </si>
  <si>
    <t>3.2 A/AP 2.5 P/R</t>
  </si>
  <si>
    <t>Moonlessnight</t>
  </si>
  <si>
    <t>Mordici</t>
  </si>
  <si>
    <t>6 A 5.2 P</t>
  </si>
  <si>
    <t>Mordimì</t>
  </si>
  <si>
    <t>6.1 AP 5.8 P</t>
  </si>
  <si>
    <t>Mordì</t>
  </si>
  <si>
    <t>MorganLeFe</t>
  </si>
  <si>
    <t>7.7A 7.9R</t>
  </si>
  <si>
    <t>Morgrette</t>
  </si>
  <si>
    <t>4150</t>
  </si>
  <si>
    <t>Morgul12</t>
  </si>
  <si>
    <t>3.6 AP 3.3 A</t>
  </si>
  <si>
    <t>Morir</t>
  </si>
  <si>
    <t>4.2 AP / 4.1 POT / 3.7 AR+RES</t>
  </si>
  <si>
    <t>MorticiaN-1</t>
  </si>
  <si>
    <t>4.3 AP 4 All Otehrs</t>
  </si>
  <si>
    <t>Mortsubite</t>
  </si>
  <si>
    <t>Moöseknückle</t>
  </si>
  <si>
    <t>3000</t>
  </si>
  <si>
    <t>MrBerserko</t>
  </si>
  <si>
    <t>4.9 AP 4.7 A</t>
  </si>
  <si>
    <t>MrCleaver</t>
  </si>
  <si>
    <t>4.5 R 4.2 AP</t>
  </si>
  <si>
    <t>MuchachaSucia</t>
  </si>
  <si>
    <t>Muffl3r</t>
  </si>
  <si>
    <t xml:space="preserve">3.1 A 3 AP </t>
  </si>
  <si>
    <t>Munchit</t>
  </si>
  <si>
    <t>3.4 A 3.3 AP</t>
  </si>
  <si>
    <t>MyAurelia</t>
  </si>
  <si>
    <t>MyGirlBee</t>
  </si>
  <si>
    <t>6.9 AP / 5.4 AR</t>
  </si>
  <si>
    <t>MyK</t>
  </si>
  <si>
    <t>MyWäe</t>
  </si>
  <si>
    <t>5.1 AP 4.6 A</t>
  </si>
  <si>
    <t>MÁNIMÁL</t>
  </si>
  <si>
    <t>8.9 AP 6.3 R</t>
  </si>
  <si>
    <t>3948 / 4044 / 3548 / 3542</t>
  </si>
  <si>
    <t>NapBonarmorparte</t>
  </si>
  <si>
    <t>3.2 AP / 2.7 ALL</t>
  </si>
  <si>
    <t>3688 / 4196 / 3546 / 3024</t>
  </si>
  <si>
    <t>NastyLilPewF</t>
  </si>
  <si>
    <t>4.7 AP 3.7 P/R</t>
  </si>
  <si>
    <t>Nataku</t>
  </si>
  <si>
    <t>Nazwreck</t>
  </si>
  <si>
    <t>NecroChicken</t>
  </si>
  <si>
    <t>5179 / 6672 / 7752 / 4814</t>
  </si>
  <si>
    <t>Neeraa</t>
  </si>
  <si>
    <t>Negritass</t>
  </si>
  <si>
    <t>Nelmswinch</t>
  </si>
  <si>
    <t>Netzky</t>
  </si>
  <si>
    <t>Nevarith</t>
  </si>
  <si>
    <t>11.9AP 9.2RES</t>
  </si>
  <si>
    <t>newts</t>
  </si>
  <si>
    <t>NewYaYa</t>
  </si>
  <si>
    <t>Nexxt</t>
  </si>
  <si>
    <t>3.5 AR+AP / 2.7 ALL</t>
  </si>
  <si>
    <t>Nightwingz</t>
  </si>
  <si>
    <t>6.3 AP 4.6 A</t>
  </si>
  <si>
    <t>Nikoran</t>
  </si>
  <si>
    <t>3.3 POT+RES / 3 AR / 2.5 AP</t>
  </si>
  <si>
    <t>Ninx</t>
  </si>
  <si>
    <t>NoBodyNoName</t>
  </si>
  <si>
    <t>NoEssenceFredd</t>
  </si>
  <si>
    <t>4.6 AP 4.1 A</t>
  </si>
  <si>
    <t>NoMercy420</t>
  </si>
  <si>
    <t xml:space="preserve">3.3 A/AP </t>
  </si>
  <si>
    <t>NoNameNoBody</t>
  </si>
  <si>
    <t>Normes</t>
  </si>
  <si>
    <t>2.8 AP 2.6 ALL OTHERS</t>
  </si>
  <si>
    <t>Novellus</t>
  </si>
  <si>
    <t>5.1 AP 4.7 P</t>
  </si>
  <si>
    <t>Novia</t>
  </si>
  <si>
    <t>nubleet</t>
  </si>
  <si>
    <t>5.9 AP / 5.5 P</t>
  </si>
  <si>
    <t>Nuggette</t>
  </si>
  <si>
    <t>7 AP / 6.4 POT / 5.6 RES / 5.2 AR</t>
  </si>
  <si>
    <t>Nuggles</t>
  </si>
  <si>
    <t>4700</t>
  </si>
  <si>
    <t>Nuggonomanon</t>
  </si>
  <si>
    <t>Nuggosaurus</t>
  </si>
  <si>
    <t>6.2 AP 6.1 P</t>
  </si>
  <si>
    <t>Nymphite</t>
  </si>
  <si>
    <t>WET</t>
  </si>
  <si>
    <t>4.8 AR / 5.2 P</t>
  </si>
  <si>
    <t>Nárley</t>
  </si>
  <si>
    <t>6.3 P 5.8 A 5.5 AP/R</t>
  </si>
  <si>
    <t>NòváK</t>
  </si>
  <si>
    <t>4026 / 4066 / 3893 / 3762</t>
  </si>
  <si>
    <t>NôŠfÊrÂtÛ</t>
  </si>
  <si>
    <t>Obscurà</t>
  </si>
  <si>
    <t>5 AP 4.7 ALL OTHERS</t>
  </si>
  <si>
    <t>Odin</t>
  </si>
  <si>
    <t>5595</t>
  </si>
  <si>
    <t>OfJawasAndBacon</t>
  </si>
  <si>
    <t>5.3 ALL</t>
  </si>
  <si>
    <t>OGdarkwingduc</t>
  </si>
  <si>
    <t>7200</t>
  </si>
  <si>
    <t>OGDOJA420</t>
  </si>
  <si>
    <t>Ogmama</t>
  </si>
  <si>
    <t>6 AP 5.7 R</t>
  </si>
  <si>
    <t>Ohanah</t>
  </si>
  <si>
    <t>OhhhBarbara</t>
  </si>
  <si>
    <t>OldJānx</t>
  </si>
  <si>
    <t>5.2 AP / 4.2 ALL</t>
  </si>
  <si>
    <t>Olee</t>
  </si>
  <si>
    <t>Oliver</t>
  </si>
  <si>
    <t>Olmsteadm3</t>
  </si>
  <si>
    <t>3.7 AP / 3.5 AR / 3 ALL</t>
  </si>
  <si>
    <t>Olric</t>
  </si>
  <si>
    <t>3.5 AL</t>
  </si>
  <si>
    <t>oltar</t>
  </si>
  <si>
    <t>Omathera</t>
  </si>
  <si>
    <t>8.2 AP 7.7 R</t>
  </si>
  <si>
    <t>Omnichan</t>
  </si>
  <si>
    <t>4.5 P 4.4 R</t>
  </si>
  <si>
    <t>OnlyBananas</t>
  </si>
  <si>
    <t>4 R 3.9 A 3.7 AP/P</t>
  </si>
  <si>
    <t>oOJFeddOo</t>
  </si>
  <si>
    <t>Oooh</t>
  </si>
  <si>
    <t>5503 / 6509 / 4296 / 5032</t>
  </si>
  <si>
    <t>oooS4V4G3ooo</t>
  </si>
  <si>
    <t>7/1 AP 6.4 P</t>
  </si>
  <si>
    <t>Oops2</t>
  </si>
  <si>
    <t>OopsyDoozyMyBad</t>
  </si>
  <si>
    <t>4.9 AP 4.3 A</t>
  </si>
  <si>
    <t>Opentriad</t>
  </si>
  <si>
    <t>OreoTheCoon</t>
  </si>
  <si>
    <t>4.2 AP / 3.8 AR / 3.2 ALL</t>
  </si>
  <si>
    <t>OriginalSin</t>
  </si>
  <si>
    <t>4405 / 5931 / 5281 / 5497</t>
  </si>
  <si>
    <t>Orionpax</t>
  </si>
  <si>
    <t>6715</t>
  </si>
  <si>
    <t>Oruu</t>
  </si>
  <si>
    <t>6.7 AP 5.6 P</t>
  </si>
  <si>
    <t>oscar02</t>
  </si>
  <si>
    <t>4.5 AR / 4.4 AP</t>
  </si>
  <si>
    <t>4843 / 8141 / 3794 / 6140</t>
  </si>
  <si>
    <t>Oumua</t>
  </si>
  <si>
    <t>604177 / 5379 / 5077 / 4799</t>
  </si>
  <si>
    <t>outofmind666</t>
  </si>
  <si>
    <t>Oñyxxx</t>
  </si>
  <si>
    <t>P0e</t>
  </si>
  <si>
    <t>4.6 AP 4.3 A</t>
  </si>
  <si>
    <t>PaleWingEDF</t>
  </si>
  <si>
    <t>5.1 AP 5 R</t>
  </si>
  <si>
    <t>Palmer123</t>
  </si>
  <si>
    <t>8.3 AP 5 R</t>
  </si>
  <si>
    <t>PAmalMonk</t>
  </si>
  <si>
    <t>6.2 AP 5.2 R</t>
  </si>
  <si>
    <t>Pandamonium</t>
  </si>
  <si>
    <t>6.8 P 6.2 AP</t>
  </si>
  <si>
    <t>PandaNarc</t>
  </si>
  <si>
    <t>4795 / 5508 / 5392 / 4988</t>
  </si>
  <si>
    <t>Pandii</t>
  </si>
  <si>
    <t>7.2 P 5.4 A</t>
  </si>
  <si>
    <t>PaperorPlastic</t>
  </si>
  <si>
    <t>PapiChaewon</t>
  </si>
  <si>
    <t>POO</t>
  </si>
  <si>
    <t>PapiZ</t>
  </si>
  <si>
    <t>4953 / 5257 / 4437 / 3897</t>
  </si>
  <si>
    <t>PAPPS</t>
  </si>
  <si>
    <t>5150</t>
  </si>
  <si>
    <t>Pasijirf</t>
  </si>
  <si>
    <t>Patchezz</t>
  </si>
  <si>
    <t>6.3 A 6.2 P</t>
  </si>
  <si>
    <t>Paxxon</t>
  </si>
  <si>
    <t xml:space="preserve">6.2 AP </t>
  </si>
  <si>
    <t>PepeTortilla</t>
  </si>
  <si>
    <t>5.4 ALL</t>
  </si>
  <si>
    <t>Perkz</t>
  </si>
  <si>
    <t>PeterKing</t>
  </si>
  <si>
    <t>PeteSmeggeth</t>
  </si>
  <si>
    <t>Phileep</t>
  </si>
  <si>
    <t>Philos</t>
  </si>
  <si>
    <t xml:space="preserve">5 AP 4.2 ALL OTHERS </t>
  </si>
  <si>
    <t>PieMay</t>
  </si>
  <si>
    <t>PIIVIP</t>
  </si>
  <si>
    <t>3.6 A 3.4 P 3.2 AP/R</t>
  </si>
  <si>
    <t>PINCHIvato</t>
  </si>
  <si>
    <t>5.6 AP 5.4 P</t>
  </si>
  <si>
    <t>planck</t>
  </si>
  <si>
    <t>4.7 AP 4.4 P</t>
  </si>
  <si>
    <t>Platfarm</t>
  </si>
  <si>
    <t>PMithCrusader</t>
  </si>
  <si>
    <t>Pneumothorax</t>
  </si>
  <si>
    <t>4218 / 4508 / 4467 / 4485</t>
  </si>
  <si>
    <t>PNW5O3</t>
  </si>
  <si>
    <t>4753 / 5161 / 4654 / 4200</t>
  </si>
  <si>
    <t>Pokee</t>
  </si>
  <si>
    <t>PookiePoo</t>
  </si>
  <si>
    <t>3.4 AR+AP / 3 ALL</t>
  </si>
  <si>
    <t>pookyCP</t>
  </si>
  <si>
    <t>4800 / 4488 / 5075 / 5031</t>
  </si>
  <si>
    <t>PootPootz</t>
  </si>
  <si>
    <t>6172 / 7484 / 7212 / 3276</t>
  </si>
  <si>
    <t>Popoki</t>
  </si>
  <si>
    <t>Pregus</t>
  </si>
  <si>
    <t>7.1 AP 6.4 A 5.3 P/R</t>
  </si>
  <si>
    <t>PrincessBoba</t>
  </si>
  <si>
    <t>5368</t>
  </si>
  <si>
    <t>Prophètéss</t>
  </si>
  <si>
    <t>7.8AP 5.5P</t>
  </si>
  <si>
    <t>Prospero1</t>
  </si>
  <si>
    <t>3.7 AP 3.6 A 2.3 P/R</t>
  </si>
  <si>
    <t>Pufftough</t>
  </si>
  <si>
    <t>5.1 AP 4.4 R</t>
  </si>
  <si>
    <t>Punch88</t>
  </si>
  <si>
    <t>Punya</t>
  </si>
  <si>
    <t>3.7 A/AP 4.0 P/R</t>
  </si>
  <si>
    <t>PurpleWolf</t>
  </si>
  <si>
    <t>6.5 AP 5.2 A</t>
  </si>
  <si>
    <t>5790 / 5852 / 5461 / 5523</t>
  </si>
  <si>
    <t>QB13</t>
  </si>
  <si>
    <t>4869</t>
  </si>
  <si>
    <t>QERQ</t>
  </si>
  <si>
    <t>4.5 A/AP</t>
  </si>
  <si>
    <t>Quail</t>
  </si>
  <si>
    <t>4952</t>
  </si>
  <si>
    <t>Quintos</t>
  </si>
  <si>
    <t>5.2 AP 4.9 A 4.7 P/R</t>
  </si>
  <si>
    <t>QuïetStorm</t>
  </si>
  <si>
    <t>5.9 ALL</t>
  </si>
  <si>
    <t>R0Nik</t>
  </si>
  <si>
    <t>4.9 AP 4.2 R</t>
  </si>
  <si>
    <t>R3DBU11</t>
  </si>
  <si>
    <t xml:space="preserve">7.3 AP 5 ALL OTHERS </t>
  </si>
  <si>
    <t>Raefly68</t>
  </si>
  <si>
    <t>2.6 AR+AP / 2.3 ALL</t>
  </si>
  <si>
    <t>RageKnight</t>
  </si>
  <si>
    <t>RAGING PANDA</t>
  </si>
  <si>
    <t>8.7AP</t>
  </si>
  <si>
    <t>Raif</t>
  </si>
  <si>
    <t>5.1 AP 4.1 P</t>
  </si>
  <si>
    <t>Raimi666</t>
  </si>
  <si>
    <t>3.6 AR + AP / 2.6 POT+RES</t>
  </si>
  <si>
    <t>Rakeem</t>
  </si>
  <si>
    <t>4.5 A 4.3 AP</t>
  </si>
  <si>
    <t>RAKEHELL</t>
  </si>
  <si>
    <t>Randomy</t>
  </si>
  <si>
    <t>4835</t>
  </si>
  <si>
    <t>Rashomon</t>
  </si>
  <si>
    <t>9.2 AP / 10.4 P</t>
  </si>
  <si>
    <t>RasMike3</t>
  </si>
  <si>
    <t>Ratbu</t>
  </si>
  <si>
    <t>4.9 AP 4.3 A/R</t>
  </si>
  <si>
    <t>RavencrestUp4</t>
  </si>
  <si>
    <t>6.1 AR / 8.4 AP / 8 P</t>
  </si>
  <si>
    <t>RavenRage</t>
  </si>
  <si>
    <t>9AP 6.5P</t>
  </si>
  <si>
    <t>RavenRane</t>
  </si>
  <si>
    <t>7.3 AP 6.3 P</t>
  </si>
  <si>
    <t>Ray168</t>
  </si>
  <si>
    <t>7.5 A/AP 5.2 P/R</t>
  </si>
  <si>
    <t>Raynes</t>
  </si>
  <si>
    <t>5538</t>
  </si>
  <si>
    <t>ReAnime</t>
  </si>
  <si>
    <t>ReaperO1</t>
  </si>
  <si>
    <t>4223 / 4419 / 3994 / 3522</t>
  </si>
  <si>
    <t>Rebsos</t>
  </si>
  <si>
    <t>3.1 P/R 2.7 A/AP</t>
  </si>
  <si>
    <t>Red</t>
  </si>
  <si>
    <t>redDEATHrum444</t>
  </si>
  <si>
    <t>3.2 AR / AP</t>
  </si>
  <si>
    <t>Redvixxen</t>
  </si>
  <si>
    <t>4.4 AP 4.1 P</t>
  </si>
  <si>
    <t>ReignTheRadiant</t>
  </si>
  <si>
    <t>4.8 ALL</t>
  </si>
  <si>
    <t>Remington700</t>
  </si>
  <si>
    <t>8100</t>
  </si>
  <si>
    <t>Remorah</t>
  </si>
  <si>
    <t>4.2 AP 3.6 P</t>
  </si>
  <si>
    <t>Renfri</t>
  </si>
  <si>
    <t>6 AP / 5.4 P</t>
  </si>
  <si>
    <t>Renowned</t>
  </si>
  <si>
    <t>Rentonn</t>
  </si>
  <si>
    <t>4.1 AR / 3.4 AP</t>
  </si>
  <si>
    <t>Reston</t>
  </si>
  <si>
    <t>RetroMortis</t>
  </si>
  <si>
    <t>9.1 AP / 5.8 AR / 6.3 P / 6.6 R</t>
  </si>
  <si>
    <t>ReVolution83</t>
  </si>
  <si>
    <t>6.5 A 5.7 AP 4.4 P/R</t>
  </si>
  <si>
    <t>RictusTheVa</t>
  </si>
  <si>
    <t>6 A 5.3 R</t>
  </si>
  <si>
    <t>Ridethelightning</t>
  </si>
  <si>
    <t>3.8 AP 3.2 A</t>
  </si>
  <si>
    <t>Rishaal</t>
  </si>
  <si>
    <t>5953 / 6707 / 6431 / 6737</t>
  </si>
  <si>
    <t>RisingSugata</t>
  </si>
  <si>
    <t>Rizzy</t>
  </si>
  <si>
    <t>10.9 AP 7.8 P</t>
  </si>
  <si>
    <t>Robo123</t>
  </si>
  <si>
    <t>5.6 P 5.3 A/R 4.9 AP</t>
  </si>
  <si>
    <t>Robusto</t>
  </si>
  <si>
    <t>3883 / 4477 / 4570 / 4266</t>
  </si>
  <si>
    <t>Rodamatic</t>
  </si>
  <si>
    <t>300 ALL</t>
  </si>
  <si>
    <t>ROids</t>
  </si>
  <si>
    <t>5235</t>
  </si>
  <si>
    <t>RoldanMoon</t>
  </si>
  <si>
    <t>Rolip</t>
  </si>
  <si>
    <t>Ron</t>
  </si>
  <si>
    <t>8.7 A 7.4 R</t>
  </si>
  <si>
    <t>ROSHI</t>
  </si>
  <si>
    <t>4130 / 10956 / 10703 / 4079</t>
  </si>
  <si>
    <t>Rosilin</t>
  </si>
  <si>
    <t>3 A 2.7 All Others</t>
  </si>
  <si>
    <t>Rowengirl</t>
  </si>
  <si>
    <t>Rowenlass</t>
  </si>
  <si>
    <t>4462 / 5410 / 3224 / 3484</t>
  </si>
  <si>
    <t>Rozelynn</t>
  </si>
  <si>
    <t>RR (chin Symbol)</t>
  </si>
  <si>
    <t>Rudenko</t>
  </si>
  <si>
    <t>4187 / 4305 / 4396 / 4425</t>
  </si>
  <si>
    <t>Rukhma</t>
  </si>
  <si>
    <t>2000</t>
  </si>
  <si>
    <t>Rumbloki</t>
  </si>
  <si>
    <t>5.3 AP / 4.6 AR / 3.7 RES+POT</t>
  </si>
  <si>
    <t>Run</t>
  </si>
  <si>
    <t>RunThatHole</t>
  </si>
  <si>
    <t>Rurilo</t>
  </si>
  <si>
    <t>Ruthlëss</t>
  </si>
  <si>
    <t>4.9 AP 4.4 P</t>
  </si>
  <si>
    <t>Rydog</t>
  </si>
  <si>
    <t>8.4 A 8.1 AP 7.9 R</t>
  </si>
  <si>
    <t>RyuzoSan</t>
  </si>
  <si>
    <t xml:space="preserve">6.4 AP 5.5 ALL OTHERS </t>
  </si>
  <si>
    <t>RçsurrectPlayei</t>
  </si>
  <si>
    <t>6.9 A 5.8 R</t>
  </si>
  <si>
    <r>
      <rPr>
        <b/>
        <sz val="10"/>
        <color rgb="FF000000"/>
        <rFont val="Arial"/>
        <charset val="1"/>
      </rPr>
      <t xml:space="preserve">S </t>
    </r>
    <r>
      <rPr>
        <b/>
        <sz val="10"/>
        <color rgb="FF000000"/>
        <rFont val="Noto Sans CJK SC"/>
        <family val="2"/>
      </rPr>
      <t xml:space="preserve">工爪亡丹 </t>
    </r>
    <r>
      <rPr>
        <b/>
        <sz val="10"/>
        <color rgb="FF000000"/>
        <rFont val="Arial"/>
        <charset val="1"/>
      </rPr>
      <t xml:space="preserve">S </t>
    </r>
    <r>
      <rPr>
        <b/>
        <sz val="10"/>
        <color rgb="FF000000"/>
        <rFont val="Noto Sans CJK SC"/>
        <family val="2"/>
      </rPr>
      <t>工口</t>
    </r>
  </si>
  <si>
    <t>6.3 AP 5A</t>
  </si>
  <si>
    <t>S0ulcraft3r</t>
  </si>
  <si>
    <t>S3RIOUSLY</t>
  </si>
  <si>
    <t>9.9AP 7.8 RES</t>
  </si>
  <si>
    <t>SadrAide</t>
  </si>
  <si>
    <t>Sammaelbeee</t>
  </si>
  <si>
    <t>Sand</t>
  </si>
  <si>
    <t>SandonM</t>
  </si>
  <si>
    <t>5155</t>
  </si>
  <si>
    <t>Sarangel</t>
  </si>
  <si>
    <t>6.3 AP 4 P/R</t>
  </si>
  <si>
    <t>Schuess007</t>
  </si>
  <si>
    <t>4.9 R 4.8 P 4.5 A/AP</t>
  </si>
  <si>
    <t>Scrotonicus</t>
  </si>
  <si>
    <t>Sebsit</t>
  </si>
  <si>
    <t>6.2 A/AP 4.4 P/R</t>
  </si>
  <si>
    <t>Seke</t>
  </si>
  <si>
    <t>SelenaGolemez</t>
  </si>
  <si>
    <t>SellinRE I C</t>
  </si>
  <si>
    <t>7.8 AP 4.5 R</t>
  </si>
  <si>
    <t>SENOB</t>
  </si>
  <si>
    <t>8.5 P 7.2 AP</t>
  </si>
  <si>
    <t>SENTINALL</t>
  </si>
  <si>
    <t>Seric</t>
  </si>
  <si>
    <t>7.9 R 7.3 AP</t>
  </si>
  <si>
    <t>SerShagswell</t>
  </si>
  <si>
    <t>5 AP 3.5 A 3.1 P/R</t>
  </si>
  <si>
    <t>Shabutie</t>
  </si>
  <si>
    <t>Shadoebane</t>
  </si>
  <si>
    <t>9.1 A 7.6 (AP &amp; R)</t>
  </si>
  <si>
    <t>ShadowIPA</t>
  </si>
  <si>
    <t>5.4 AP 4.9 P</t>
  </si>
  <si>
    <t>ShadowKiller</t>
  </si>
  <si>
    <t>4.3 A/AP 3.6 P/R</t>
  </si>
  <si>
    <t>ShadowTemplar</t>
  </si>
  <si>
    <t>ShadowThief</t>
  </si>
  <si>
    <t xml:space="preserve">6.9 AP 5 ALL OTHERS </t>
  </si>
  <si>
    <t>Shanabels</t>
  </si>
  <si>
    <t>Sharinath</t>
  </si>
  <si>
    <t>ShaRooz</t>
  </si>
  <si>
    <t>3882 / 5282 / 4591 / 4241</t>
  </si>
  <si>
    <t>SheFooBarrNon</t>
  </si>
  <si>
    <t>Shelleck</t>
  </si>
  <si>
    <t>6.3 AP / 5.5 ALL</t>
  </si>
  <si>
    <t>SHERIFFSFC</t>
  </si>
  <si>
    <t>4.7 AP 4.8 R</t>
  </si>
  <si>
    <t>Shesty_0</t>
  </si>
  <si>
    <t>ShineStone</t>
  </si>
  <si>
    <t>7.1 A 7.7 R</t>
  </si>
  <si>
    <t>SHOVELFACE</t>
  </si>
  <si>
    <t>Shredapart</t>
  </si>
  <si>
    <t>Shōgun</t>
  </si>
  <si>
    <t>Sicc</t>
  </si>
  <si>
    <t>SIFFREDI</t>
  </si>
  <si>
    <t>3.8 AP 3.6 A/P</t>
  </si>
  <si>
    <t>siike</t>
  </si>
  <si>
    <t>3977 / 4713 / 3697 / 3856</t>
  </si>
  <si>
    <t>SilentKill</t>
  </si>
  <si>
    <t>4.7 AP 4.2 AR</t>
  </si>
  <si>
    <t>SilentlySweeetT</t>
  </si>
  <si>
    <t>3681 / 3930 / 4049 / 3813</t>
  </si>
  <si>
    <t>SilentTrees</t>
  </si>
  <si>
    <t>7.5 AP / 7.4 P</t>
  </si>
  <si>
    <t>SilentWolf</t>
  </si>
  <si>
    <t>4837 / 5784 / 3870 / 3839</t>
  </si>
  <si>
    <t>Silhey</t>
  </si>
  <si>
    <t>5530 / 7192 / 5567 / 4831</t>
  </si>
  <si>
    <t>SillyMrJ</t>
  </si>
  <si>
    <t>5.6 AP 4.8 ALL</t>
  </si>
  <si>
    <t>SinCh3steR</t>
  </si>
  <si>
    <t>5.5 A/AP 5.8P</t>
  </si>
  <si>
    <t>SinjunSmite</t>
  </si>
  <si>
    <t>6.9 AP 6.4 P</t>
  </si>
  <si>
    <t>Sirboss_0</t>
  </si>
  <si>
    <t>3581 / 4571 / 3939 / 3865</t>
  </si>
  <si>
    <t>SirLoin</t>
  </si>
  <si>
    <t>7.6AP 7.5P</t>
  </si>
  <si>
    <t>SirPug</t>
  </si>
  <si>
    <t>5.3 AP 4.7 All Others</t>
  </si>
  <si>
    <t>SisterCrow</t>
  </si>
  <si>
    <t>6.6 AP 4.1 P</t>
  </si>
  <si>
    <t>Sitina420</t>
  </si>
  <si>
    <t>4.7 AP 3.7 A 3.5 P/R</t>
  </si>
  <si>
    <t>Six2Jet</t>
  </si>
  <si>
    <t>4329 / 6151 / 4865 / 4457</t>
  </si>
  <si>
    <t>SkelenaGomez</t>
  </si>
  <si>
    <t>SkunkUnk</t>
  </si>
  <si>
    <t>skydefect</t>
  </si>
  <si>
    <t>SKYFURRY</t>
  </si>
  <si>
    <t>7041 / 5551 / 5242 / 5152</t>
  </si>
  <si>
    <t>Skyya</t>
  </si>
  <si>
    <t>4.6 A 4.1 AP 3.9 P/R</t>
  </si>
  <si>
    <t>Slayer1129</t>
  </si>
  <si>
    <t>5.8 AR / 5 AP / 4.7 POT/RES</t>
  </si>
  <si>
    <t>Slingsandarrc</t>
  </si>
  <si>
    <t>SlithyTove</t>
  </si>
  <si>
    <t>4.3 R 4.2 P</t>
  </si>
  <si>
    <t>Sloaxaloax</t>
  </si>
  <si>
    <t>3.8 AP / 3 ALL</t>
  </si>
  <si>
    <t>Sloaxon</t>
  </si>
  <si>
    <t>Slow320</t>
  </si>
  <si>
    <t xml:space="preserve">7.9 AP </t>
  </si>
  <si>
    <t>Smallpotato</t>
  </si>
  <si>
    <t>6.7 AP / 6.6 P</t>
  </si>
  <si>
    <t>Sman</t>
  </si>
  <si>
    <t>5.7 ALL</t>
  </si>
  <si>
    <t>Smokentree</t>
  </si>
  <si>
    <t>3696 / 3673 / 3335 / 3388</t>
  </si>
  <si>
    <t>Smoky</t>
  </si>
  <si>
    <t>5.8 AP 5.7 P</t>
  </si>
  <si>
    <t>smugg1er</t>
  </si>
  <si>
    <t>snacksalot</t>
  </si>
  <si>
    <t>SnarkyBits</t>
  </si>
  <si>
    <t>SnowmanQT</t>
  </si>
  <si>
    <t>5.7 A 5.5 AP</t>
  </si>
  <si>
    <t>Soggypretzels</t>
  </si>
  <si>
    <t>3.2 A/AP</t>
  </si>
  <si>
    <t>11.2 AR 11.8 P</t>
  </si>
  <si>
    <t>SomSerious</t>
  </si>
  <si>
    <t>5328</t>
  </si>
  <si>
    <t>Soterios_0</t>
  </si>
  <si>
    <t>Souless_0</t>
  </si>
  <si>
    <t>4.6 P / 3.8 AR</t>
  </si>
  <si>
    <t>SoulzReaver</t>
  </si>
  <si>
    <t>Soupremacy</t>
  </si>
  <si>
    <t>SoUtHbOrDeR12</t>
  </si>
  <si>
    <t>5770</t>
  </si>
  <si>
    <t>Soybeans</t>
  </si>
  <si>
    <t>4.8 AP 4.6 A</t>
  </si>
  <si>
    <t>SPANđëx</t>
  </si>
  <si>
    <t>Sparky-2</t>
  </si>
  <si>
    <t>Spewky</t>
  </si>
  <si>
    <t>SpinDieseI</t>
  </si>
  <si>
    <t>10.5AP</t>
  </si>
  <si>
    <t>Spoofnug</t>
  </si>
  <si>
    <t>SQUID</t>
  </si>
  <si>
    <t>3612 / 5164 / 3960 / 3144</t>
  </si>
  <si>
    <t>Squishy85</t>
  </si>
  <si>
    <t>5.4 AP 4.6 A</t>
  </si>
  <si>
    <t>Sroumiz</t>
  </si>
  <si>
    <t>Sruu</t>
  </si>
  <si>
    <t>SsjGaara</t>
  </si>
  <si>
    <t>SsTiNgEr77</t>
  </si>
  <si>
    <t>9.5 AP 6.7 P</t>
  </si>
  <si>
    <t>Stark</t>
  </si>
  <si>
    <t>Starling-1</t>
  </si>
  <si>
    <t>5.2 AP / 4.5 ALL</t>
  </si>
  <si>
    <t>StepBr0</t>
  </si>
  <si>
    <t>5014 / 6982 / 5037 / 4625</t>
  </si>
  <si>
    <t>Sterva</t>
  </si>
  <si>
    <t>Stevebowie</t>
  </si>
  <si>
    <t>5 AP</t>
  </si>
  <si>
    <t>Stevo77</t>
  </si>
  <si>
    <t>6388</t>
  </si>
  <si>
    <t>STeWie</t>
  </si>
  <si>
    <t>5.4 P 4.6 AP</t>
  </si>
  <si>
    <t>StickyRiceLover</t>
  </si>
  <si>
    <t>6779 / 6201 / 5046 / 4920</t>
  </si>
  <si>
    <t>Stilizy</t>
  </si>
  <si>
    <t>5156 / 5328 / 4983 / 5297</t>
  </si>
  <si>
    <t>Sting</t>
  </si>
  <si>
    <t>StolenName</t>
  </si>
  <si>
    <t>6.5 AP 5.9 ALL</t>
  </si>
  <si>
    <t>Stormfly</t>
  </si>
  <si>
    <t>2.7 A/AP/P</t>
  </si>
  <si>
    <t>Styxborn</t>
  </si>
  <si>
    <t>6.5 AP 3.8 A</t>
  </si>
  <si>
    <t>Stínkfinger</t>
  </si>
  <si>
    <t>SudafedPM</t>
  </si>
  <si>
    <t>3.8 A 3.3 ALL Others</t>
  </si>
  <si>
    <t>Suhnder</t>
  </si>
  <si>
    <t>7.2 AP 7.1 P</t>
  </si>
  <si>
    <t>SukiSumYu</t>
  </si>
  <si>
    <t>SulaGangstei</t>
  </si>
  <si>
    <t>6.8 AP 5.8 AR / R</t>
  </si>
  <si>
    <t>Sumimasen</t>
  </si>
  <si>
    <t>Summoned</t>
  </si>
  <si>
    <t>Sunfire</t>
  </si>
  <si>
    <t>Sunkiss</t>
  </si>
  <si>
    <t>3.7 P 3.6 AP</t>
  </si>
  <si>
    <t>SuperflyNecro</t>
  </si>
  <si>
    <t>Suriël</t>
  </si>
  <si>
    <t>Suue</t>
  </si>
  <si>
    <t>3.3 P/R 2.9 A/AP</t>
  </si>
  <si>
    <t>Swai</t>
  </si>
  <si>
    <t>8.2 AP 8.8 P</t>
  </si>
  <si>
    <t>Swango</t>
  </si>
  <si>
    <t>SwiftEagle</t>
  </si>
  <si>
    <t>6.3 R 4.8 A</t>
  </si>
  <si>
    <t>SwollBOIMatt</t>
  </si>
  <si>
    <t>5048 / 4652 / 5553 / 4691</t>
  </si>
  <si>
    <t>Sybell</t>
  </si>
  <si>
    <t>4.1 P / 3.2 ALL</t>
  </si>
  <si>
    <t>Synanju</t>
  </si>
  <si>
    <t>5.2 AP 4.8 A</t>
  </si>
  <si>
    <t>SynfulKellan</t>
  </si>
  <si>
    <t>Synister_0</t>
  </si>
  <si>
    <t>5506 / 6242 / 3889 / 3899</t>
  </si>
  <si>
    <t>Sèraya</t>
  </si>
  <si>
    <t>7ARM 6.6RES</t>
  </si>
  <si>
    <t>Sölus</t>
  </si>
  <si>
    <t>11.1 AP 7.7 P</t>
  </si>
  <si>
    <t>SölusJr</t>
  </si>
  <si>
    <t>5.1 P 4 A/AP</t>
  </si>
  <si>
    <t>T Xuki XT</t>
  </si>
  <si>
    <t>5.9 AP 5.3P</t>
  </si>
  <si>
    <t>T Y</t>
  </si>
  <si>
    <t>6850</t>
  </si>
  <si>
    <t>T3SSA</t>
  </si>
  <si>
    <t xml:space="preserve">4.3 P/R </t>
  </si>
  <si>
    <t>TacoCrusader</t>
  </si>
  <si>
    <t>TalicbooOCSURX3</t>
  </si>
  <si>
    <t>5.4 AP + AR / 4.4 POT</t>
  </si>
  <si>
    <t>Taliesan</t>
  </si>
  <si>
    <t>3.1 A 2.9 AP</t>
  </si>
  <si>
    <t>Tallinis</t>
  </si>
  <si>
    <t>8200AP</t>
  </si>
  <si>
    <t>Tamzen</t>
  </si>
  <si>
    <t>5 AP 4.7 A 4.3 P/R</t>
  </si>
  <si>
    <t>Tanya2</t>
  </si>
  <si>
    <t>TanyaRenee</t>
  </si>
  <si>
    <t>5.2 AP / 4.8 AR + POT</t>
  </si>
  <si>
    <t>Tapaking</t>
  </si>
  <si>
    <t>9.7AP 8.2RES</t>
  </si>
  <si>
    <t>Tarrick</t>
  </si>
  <si>
    <t>5.3 P 5 AP</t>
  </si>
  <si>
    <t>Tartan</t>
  </si>
  <si>
    <t>Tatpac</t>
  </si>
  <si>
    <t>3.1 R 2.9 P</t>
  </si>
  <si>
    <t>Tayla123</t>
  </si>
  <si>
    <t xml:space="preserve">3.4 P/R </t>
  </si>
  <si>
    <t>TayTrefenwyd</t>
  </si>
  <si>
    <t>5.7 AP 5 A 4.7 P/R</t>
  </si>
  <si>
    <t>TazMdevil</t>
  </si>
  <si>
    <t>7.8AP / 7RES</t>
  </si>
  <si>
    <t>Tazty</t>
  </si>
  <si>
    <t>4199 / 5810 / 6978 / 5586</t>
  </si>
  <si>
    <t>TellnSecretx</t>
  </si>
  <si>
    <t>8.1 AP 9.1 P</t>
  </si>
  <si>
    <t>TEMU KAMI</t>
  </si>
  <si>
    <t>TerrisBlack</t>
  </si>
  <si>
    <t>5.6 AP 5.0 A</t>
  </si>
  <si>
    <t>Terrorhavoc</t>
  </si>
  <si>
    <t>4030 / 7362 / 5028 / 4355</t>
  </si>
  <si>
    <t>Tessieee</t>
  </si>
  <si>
    <t>TEXAS</t>
  </si>
  <si>
    <t>8.9AP 9.5POT</t>
  </si>
  <si>
    <t>TGHOST</t>
  </si>
  <si>
    <t>6767 / 7027 / 6299 / 5275</t>
  </si>
  <si>
    <t>TheCuddles</t>
  </si>
  <si>
    <t>5.7 AP 4.2 A</t>
  </si>
  <si>
    <t>7658 / 6637 / 4834 / 5202</t>
  </si>
  <si>
    <t>TheFin</t>
  </si>
  <si>
    <t>4827 / 5821 / 3749 / 3687</t>
  </si>
  <si>
    <t>TheHero1</t>
  </si>
  <si>
    <t>Themunchable</t>
  </si>
  <si>
    <t>Theodgar</t>
  </si>
  <si>
    <t>TheOtherPlayer</t>
  </si>
  <si>
    <t>4.6 AR / 4.5 AP</t>
  </si>
  <si>
    <t>TheRevan</t>
  </si>
  <si>
    <t>5.3 AP 4.9 P</t>
  </si>
  <si>
    <t>THERIDDIC</t>
  </si>
  <si>
    <t>6.5 AR / 6K ALL</t>
  </si>
  <si>
    <r>
      <rPr>
        <b/>
        <sz val="10"/>
        <color rgb="FF000000"/>
        <rFont val="Arial"/>
        <charset val="1"/>
      </rPr>
      <t>Theseus</t>
    </r>
    <r>
      <rPr>
        <b/>
        <sz val="10"/>
        <color rgb="FF000000"/>
        <rFont val="Noto Sans CJK SC"/>
        <family val="2"/>
      </rPr>
      <t>擒住绿竹</t>
    </r>
  </si>
  <si>
    <t>5.1 AP 4.8 A</t>
  </si>
  <si>
    <t>TheShrike</t>
  </si>
  <si>
    <t xml:space="preserve">5.3 P 4.6 ALL OTHERS </t>
  </si>
  <si>
    <t>TheTrevorBelmont</t>
  </si>
  <si>
    <t>TheVandalist</t>
  </si>
  <si>
    <t>TheWēakest</t>
  </si>
  <si>
    <t>Thoron</t>
  </si>
  <si>
    <t>7.3 AR / 8.1 P / 7.1R</t>
  </si>
  <si>
    <t>ThreePercent</t>
  </si>
  <si>
    <t>6239 / 5498 / 3908 / 6280</t>
  </si>
  <si>
    <t>Thydêl</t>
  </si>
  <si>
    <t>4.1 P/R 3.5 A/AP</t>
  </si>
  <si>
    <t>TigerOn2Wheels</t>
  </si>
  <si>
    <t>9AP/7.7 RES</t>
  </si>
  <si>
    <t>TigerSlim</t>
  </si>
  <si>
    <t>6333</t>
  </si>
  <si>
    <t>Tiltohwait</t>
  </si>
  <si>
    <t>TimeWarpDrive</t>
  </si>
  <si>
    <t>2.9 AP 2.8 A</t>
  </si>
  <si>
    <t>Tipstaz</t>
  </si>
  <si>
    <t>Titaniium</t>
  </si>
  <si>
    <t>TITANSHADOW</t>
  </si>
  <si>
    <t>7962 AP</t>
  </si>
  <si>
    <t>TK0  BLiN</t>
  </si>
  <si>
    <t>4984 / 6371 / 6581 / 4919</t>
  </si>
  <si>
    <t>Toanpro</t>
  </si>
  <si>
    <t>Toast760</t>
  </si>
  <si>
    <t>8.2 AP 7.7 P</t>
  </si>
  <si>
    <t>TOASTICLES</t>
  </si>
  <si>
    <t>ToffeBerry</t>
  </si>
  <si>
    <t>3.8 AR / AP</t>
  </si>
  <si>
    <t>TooDogsFkng</t>
  </si>
  <si>
    <t>4914 / 5398 / 5128 / 5612</t>
  </si>
  <si>
    <t>TormundGB</t>
  </si>
  <si>
    <t>3 P 2.5 AP/R</t>
  </si>
  <si>
    <t>ToToR0</t>
  </si>
  <si>
    <t>2.8 A/AP 2.4 P/R</t>
  </si>
  <si>
    <t>Toxotai</t>
  </si>
  <si>
    <t>trailertrasher</t>
  </si>
  <si>
    <t>3350</t>
  </si>
  <si>
    <t>TraUmatics</t>
  </si>
  <si>
    <t>4409 / 4431 / 3205 / 3629</t>
  </si>
  <si>
    <t>Trazellia</t>
  </si>
  <si>
    <t>TrethiaSuneras</t>
  </si>
  <si>
    <t>3.8 A 3.7 AP</t>
  </si>
  <si>
    <t>TreTrunk</t>
  </si>
  <si>
    <t>3.9 AP 3.7 A</t>
  </si>
  <si>
    <t>Triv</t>
  </si>
  <si>
    <t>10.2 P 6.7 AP</t>
  </si>
  <si>
    <t>Trixsee</t>
  </si>
  <si>
    <t>Troxidean</t>
  </si>
  <si>
    <t>Trykkonn</t>
  </si>
  <si>
    <t>Trynth</t>
  </si>
  <si>
    <t>5550</t>
  </si>
  <si>
    <t>Tubby</t>
  </si>
  <si>
    <t>6.7 AP / 5.3 P</t>
  </si>
  <si>
    <t>Tuvey</t>
  </si>
  <si>
    <t>3.5 P/R 3.2 A/AP</t>
  </si>
  <si>
    <t>TW2022</t>
  </si>
  <si>
    <t>6.1 AP 5.5 A/P</t>
  </si>
  <si>
    <t>Tweeti I CI</t>
  </si>
  <si>
    <t>4.8 A/AP 4.6 P/R</t>
  </si>
  <si>
    <t>TwerkItBaby</t>
  </si>
  <si>
    <t>5.8 AP 5.1 A 3.9 P/R</t>
  </si>
  <si>
    <t>TwistedThor</t>
  </si>
  <si>
    <t>6.2 AP 5.1 P</t>
  </si>
  <si>
    <t>Twizter</t>
  </si>
  <si>
    <t>Täng</t>
  </si>
  <si>
    <t>6.1 AR / 5.8 AP / 8.1 P</t>
  </si>
  <si>
    <t>Töastt</t>
  </si>
  <si>
    <t>8.5 P 6.3 A/AP</t>
  </si>
  <si>
    <t>TØXŽIḲ</t>
  </si>
  <si>
    <t>Tĭnkerbëll</t>
  </si>
  <si>
    <t>Ulfsaar</t>
  </si>
  <si>
    <t xml:space="preserve">4.4 AP 4 ALL OTHERS </t>
  </si>
  <si>
    <t>UnbiasedFoxNews</t>
  </si>
  <si>
    <t>UncleBenjen</t>
  </si>
  <si>
    <t>3.5 AP 3.1 A</t>
  </si>
  <si>
    <t>UncleBingo</t>
  </si>
  <si>
    <t>4 AP 3.8 ALL</t>
  </si>
  <si>
    <t>UnpaidActor</t>
  </si>
  <si>
    <t>5.7 AR 4.9 AP</t>
  </si>
  <si>
    <t>Untitl3d</t>
  </si>
  <si>
    <t>6 AP 4.1 P</t>
  </si>
  <si>
    <t>Untitled</t>
  </si>
  <si>
    <t>10.7 AP / 10.7 P</t>
  </si>
  <si>
    <t>Upgrayjd</t>
  </si>
  <si>
    <t>4.1 A 4 R</t>
  </si>
  <si>
    <t>Upriser</t>
  </si>
  <si>
    <t>A AP</t>
  </si>
  <si>
    <t>Uruu</t>
  </si>
  <si>
    <t>6.6 AP 5.5ALL</t>
  </si>
  <si>
    <t>UsuallydrunK</t>
  </si>
  <si>
    <t>9.7 AP 7.7 P</t>
  </si>
  <si>
    <t>Utara</t>
  </si>
  <si>
    <t>4 P 3.8 R</t>
  </si>
  <si>
    <t>uURAEUSs</t>
  </si>
  <si>
    <t>V3R5A</t>
  </si>
  <si>
    <t>Vaelethni</t>
  </si>
  <si>
    <t>3.4 A/AP 2.8 P/R</t>
  </si>
  <si>
    <t>Vajazzle</t>
  </si>
  <si>
    <t>9.6 P 7.2 AP</t>
  </si>
  <si>
    <t>Valenai</t>
  </si>
  <si>
    <t>Valkyrie142</t>
  </si>
  <si>
    <t>5609</t>
  </si>
  <si>
    <t>Valta7</t>
  </si>
  <si>
    <t>Vanhandían</t>
  </si>
  <si>
    <t>7.2 AP 8.9P</t>
  </si>
  <si>
    <t>VanHELSING</t>
  </si>
  <si>
    <t>5030</t>
  </si>
  <si>
    <t>Vanillacupcake</t>
  </si>
  <si>
    <t>varrus</t>
  </si>
  <si>
    <t>5 AP 4.3 A</t>
  </si>
  <si>
    <t>varsha</t>
  </si>
  <si>
    <t>9.2POT</t>
  </si>
  <si>
    <t>Ved</t>
  </si>
  <si>
    <t>6860</t>
  </si>
  <si>
    <t>VEGETA</t>
  </si>
  <si>
    <t>3605 / 11803 / 7500 / 5992</t>
  </si>
  <si>
    <t>Veggie-1</t>
  </si>
  <si>
    <t>Vemavick</t>
  </si>
  <si>
    <t>3.2 A 3.1 AP</t>
  </si>
  <si>
    <t>Vestige</t>
  </si>
  <si>
    <t>8.2 P 7.4 AP</t>
  </si>
  <si>
    <t>Vexin</t>
  </si>
  <si>
    <t>vFOXv</t>
  </si>
  <si>
    <t>4 P 3.8 AP/R</t>
  </si>
  <si>
    <t>Vianna</t>
  </si>
  <si>
    <t>4481 / 5168 / 6184 / 4846</t>
  </si>
  <si>
    <t>Vicalla</t>
  </si>
  <si>
    <t>6.2 AP 6.3 P</t>
  </si>
  <si>
    <t>Viki9069</t>
  </si>
  <si>
    <t>VinegarT1Ts</t>
  </si>
  <si>
    <t>3937 / 3655 / 3411 / 3647</t>
  </si>
  <si>
    <t>Virilia</t>
  </si>
  <si>
    <t>ViscusTheCrimson</t>
  </si>
  <si>
    <t>5 AR+AP / 3.3 ALL</t>
  </si>
  <si>
    <t>Visible</t>
  </si>
  <si>
    <t>9.1 AP / 9.9 P</t>
  </si>
  <si>
    <t>VladdDracul</t>
  </si>
  <si>
    <t>6.3 AP 6 A</t>
  </si>
  <si>
    <t>Vlademir</t>
  </si>
  <si>
    <t>6.4 AP 4.3 ALL</t>
  </si>
  <si>
    <t>Volcavos</t>
  </si>
  <si>
    <t>Volvox</t>
  </si>
  <si>
    <t>3.6 A 3.3 ALL OTHERS</t>
  </si>
  <si>
    <t>VonBluebaugh</t>
  </si>
  <si>
    <t>6.2 AP 4.2P R</t>
  </si>
  <si>
    <t>VonBluebell</t>
  </si>
  <si>
    <t>4.3 A/AP 2.9 P/R</t>
  </si>
  <si>
    <t>VvitchyTea</t>
  </si>
  <si>
    <t>6.2 AP 5.6 ALL</t>
  </si>
  <si>
    <t>Vülcan</t>
  </si>
  <si>
    <t>A 9.6 / AP 6 / P 7.3/ R 6</t>
  </si>
  <si>
    <t>W33DChickel</t>
  </si>
  <si>
    <t>ÏCU</t>
  </si>
  <si>
    <t>8.6 AP 8 P</t>
  </si>
  <si>
    <t>Waarrf</t>
  </si>
  <si>
    <t>3.2 P/R 3 A/AP</t>
  </si>
  <si>
    <t>Waclair</t>
  </si>
  <si>
    <t xml:space="preserve">3.1 AP 3 A </t>
  </si>
  <si>
    <t>WAGaming</t>
  </si>
  <si>
    <t>Wakota</t>
  </si>
  <si>
    <t>5.6 AP 4.4 A</t>
  </si>
  <si>
    <t>Waldak</t>
  </si>
  <si>
    <t>WarlockFromMars</t>
  </si>
  <si>
    <t>2.8 All</t>
  </si>
  <si>
    <t>WarmFuzzy</t>
  </si>
  <si>
    <t>3.8 A/AP 3.2 P/R</t>
  </si>
  <si>
    <t>WarMonger7</t>
  </si>
  <si>
    <t>6.1 AP 4.7 ALL</t>
  </si>
  <si>
    <t>WarPig</t>
  </si>
  <si>
    <t>7.1 AP 5 P R</t>
  </si>
  <si>
    <t>WastedAK</t>
  </si>
  <si>
    <t>WetDreams</t>
  </si>
  <si>
    <t>6150</t>
  </si>
  <si>
    <t>WhiPiT</t>
  </si>
  <si>
    <t>4 AP 3.4 All OTHERS</t>
  </si>
  <si>
    <t>Wicka</t>
  </si>
  <si>
    <t>WICKED146</t>
  </si>
  <si>
    <t>WifeSaidNo</t>
  </si>
  <si>
    <t>5240 / 7056 / 4823 / 6135</t>
  </si>
  <si>
    <t>Wikibeez</t>
  </si>
  <si>
    <t>3978 / 5002 / 4836 / 4818</t>
  </si>
  <si>
    <t>Wildrose78</t>
  </si>
  <si>
    <t xml:space="preserve">2.2 A/AP </t>
  </si>
  <si>
    <t>Will</t>
  </si>
  <si>
    <t>7236 / 6994 / 8322 / 6053</t>
  </si>
  <si>
    <t>WillGibson</t>
  </si>
  <si>
    <t>WillowBlaise</t>
  </si>
  <si>
    <t>Willowswitch</t>
  </si>
  <si>
    <t>4.8 AP 3.8 A/P</t>
  </si>
  <si>
    <t>Windslayer</t>
  </si>
  <si>
    <t>8.5AP 7.2 AR / R</t>
  </si>
  <si>
    <t>Wiseoracle</t>
  </si>
  <si>
    <t>Wisner</t>
  </si>
  <si>
    <t>witch</t>
  </si>
  <si>
    <t>Witcher</t>
  </si>
  <si>
    <t>5.7 AP 4.4 A</t>
  </si>
  <si>
    <t>Wiz02</t>
  </si>
  <si>
    <t>Wiznar</t>
  </si>
  <si>
    <t>8.3 AP 6P</t>
  </si>
  <si>
    <t>Wizstryker</t>
  </si>
  <si>
    <t>Wolffie</t>
  </si>
  <si>
    <t>3.9 A 3.6 AP/P</t>
  </si>
  <si>
    <t>WraithDareDevil</t>
  </si>
  <si>
    <t>3.5 AP 3.4 P</t>
  </si>
  <si>
    <t>Wrap</t>
  </si>
  <si>
    <t>7.4 AP 6 P</t>
  </si>
  <si>
    <t>WreckItRalph</t>
  </si>
  <si>
    <t>Wulf</t>
  </si>
  <si>
    <t>7470</t>
  </si>
  <si>
    <t>9POT 7AP</t>
  </si>
  <si>
    <t>Wvagnard</t>
  </si>
  <si>
    <t>4.9 P 4.5 AP/R 4.3 A</t>
  </si>
  <si>
    <t>Wynterkiss</t>
  </si>
  <si>
    <t>9.9 P 8.9 AP</t>
  </si>
  <si>
    <t>Wäe</t>
  </si>
  <si>
    <t>Xalsalt2</t>
  </si>
  <si>
    <t>Xangelx</t>
  </si>
  <si>
    <t>Xarcia</t>
  </si>
  <si>
    <t>3.5 P 3.4 All Others</t>
  </si>
  <si>
    <t>xDARKxX</t>
  </si>
  <si>
    <t>Xelor</t>
  </si>
  <si>
    <t>4450</t>
  </si>
  <si>
    <t>Xethea</t>
  </si>
  <si>
    <t>4.6 AP / 3.9 ALL</t>
  </si>
  <si>
    <t>xHxHx</t>
  </si>
  <si>
    <t>11.3AP 7.4POT</t>
  </si>
  <si>
    <t>Xiamara</t>
  </si>
  <si>
    <t>XiamaraJade</t>
  </si>
  <si>
    <t>H2O</t>
  </si>
  <si>
    <t>Xiamarasbank</t>
  </si>
  <si>
    <t>Xithea</t>
  </si>
  <si>
    <t xml:space="preserve">4.8 AP/P </t>
  </si>
  <si>
    <t>xJJx</t>
  </si>
  <si>
    <t>XKhalX</t>
  </si>
  <si>
    <t xml:space="preserve">5 AP 3.4 P </t>
  </si>
  <si>
    <t>xNeva</t>
  </si>
  <si>
    <t>4152 / 5173 / 3376 / 3336</t>
  </si>
  <si>
    <t>Xstarfall666</t>
  </si>
  <si>
    <t>4.5 AP 5 P</t>
  </si>
  <si>
    <t>xThugLifex</t>
  </si>
  <si>
    <t>5.1 AP 5.2 P</t>
  </si>
  <si>
    <t>XxBISHOPxX</t>
  </si>
  <si>
    <t>4866 / 6050 / 4448 / 4582</t>
  </si>
  <si>
    <t>XxColetteBijouxX</t>
  </si>
  <si>
    <t>3.7 A 3.6 AP 3 P/R</t>
  </si>
  <si>
    <t>xXSindorXx</t>
  </si>
  <si>
    <t>6722</t>
  </si>
  <si>
    <t>Xymmon</t>
  </si>
  <si>
    <t>Xælsalt3</t>
  </si>
  <si>
    <t>5 AP / 4.6 AR / 3.2 ALL</t>
  </si>
  <si>
    <t>Y o o o H o o o</t>
  </si>
  <si>
    <t>5.9 AP 4.8 R</t>
  </si>
  <si>
    <t>Yaeda</t>
  </si>
  <si>
    <t>4.3 AP 4.2 R 4 P</t>
  </si>
  <si>
    <t>Yakumaru</t>
  </si>
  <si>
    <t>10.5AP/8.6 RES</t>
  </si>
  <si>
    <t>Yaway</t>
  </si>
  <si>
    <t>5.3 AP 4.4 A</t>
  </si>
  <si>
    <t>Yaêda</t>
  </si>
  <si>
    <t>YEEEEEET</t>
  </si>
  <si>
    <t>8.5 AP 4.6 P</t>
  </si>
  <si>
    <t>YerAdrian</t>
  </si>
  <si>
    <t>5.2 AP 4.7 ALL</t>
  </si>
  <si>
    <t>YiYii</t>
  </si>
  <si>
    <t>YourLord63</t>
  </si>
  <si>
    <t>4.9 R 4.8 AP</t>
  </si>
  <si>
    <t>Yruu</t>
  </si>
  <si>
    <t>6.6 AP 5.2 P 5.1 A</t>
  </si>
  <si>
    <t>Yuh</t>
  </si>
  <si>
    <t>7.1 AP 6.5 P</t>
  </si>
  <si>
    <t>Yun</t>
  </si>
  <si>
    <t>3902 / 3625 / 2739 / 3027</t>
  </si>
  <si>
    <t>YøurMøm</t>
  </si>
  <si>
    <t>6.8 AP 4.3 P</t>
  </si>
  <si>
    <t>Z0ltar</t>
  </si>
  <si>
    <t>8.6 AP 7.1 R</t>
  </si>
  <si>
    <t>Z3nfu I CAE</t>
  </si>
  <si>
    <t>7.9 AP 6.4 P</t>
  </si>
  <si>
    <t>Zabzy</t>
  </si>
  <si>
    <t xml:space="preserve">5.7 AP + AR / 5.2 RES </t>
  </si>
  <si>
    <t>Zafeera</t>
  </si>
  <si>
    <t>Zaffle</t>
  </si>
  <si>
    <t>4.3 AP 4.1 P 3.8 A/R</t>
  </si>
  <si>
    <t>ZeddZDeaD</t>
  </si>
  <si>
    <t>4 AP / 3.4 ALL</t>
  </si>
  <si>
    <t>Zedrick</t>
  </si>
  <si>
    <t>Zein13</t>
  </si>
  <si>
    <t>Zel</t>
  </si>
  <si>
    <t>6.4 AP 5 P</t>
  </si>
  <si>
    <t>zEMiLLiAz</t>
  </si>
  <si>
    <t>Zenpath</t>
  </si>
  <si>
    <t>Zesto</t>
  </si>
  <si>
    <t>10 P 8.1 AP</t>
  </si>
  <si>
    <t>Zhadow</t>
  </si>
  <si>
    <t>7.3 AP 5.4 P</t>
  </si>
  <si>
    <t>Zhaki</t>
  </si>
  <si>
    <t>5.7 AP 4.5 A</t>
  </si>
  <si>
    <t>Zhakrin</t>
  </si>
  <si>
    <t>6.3 A 6 AP/P 5 R</t>
  </si>
  <si>
    <t>Zlatna</t>
  </si>
  <si>
    <t>5.3AP 4.8 ALL</t>
  </si>
  <si>
    <t>4101 / 3905 / 4945 / 3906</t>
  </si>
  <si>
    <t>Zoomyx</t>
  </si>
  <si>
    <t>4.9 A/AP 4.1 P/R</t>
  </si>
  <si>
    <t>Zujani</t>
  </si>
  <si>
    <t>ZyeTha</t>
  </si>
  <si>
    <t>4849 / 5683 / 6038 / 5029</t>
  </si>
  <si>
    <t>Zöe</t>
  </si>
  <si>
    <t>5.3 AP</t>
  </si>
  <si>
    <t>Àdãpt</t>
  </si>
  <si>
    <t>Àmâk</t>
  </si>
  <si>
    <t>ÂrchÀngel</t>
  </si>
  <si>
    <t>3.8 AP 3.5 A</t>
  </si>
  <si>
    <t>ÃnnatarLG</t>
  </si>
  <si>
    <t>ÅngelOfDeath</t>
  </si>
  <si>
    <t>6.2 AP 4.6 P</t>
  </si>
  <si>
    <t>Åpex</t>
  </si>
  <si>
    <t>ÆPƐX</t>
  </si>
  <si>
    <t>ÇhuckBef</t>
  </si>
  <si>
    <t>4192 / 7712 / 6333 / 3855</t>
  </si>
  <si>
    <t>ÇielClaire</t>
  </si>
  <si>
    <t>6AP 4R</t>
  </si>
  <si>
    <t>ÇynnabunX</t>
  </si>
  <si>
    <t>5.6 A/AP 4.5 P/R</t>
  </si>
  <si>
    <t>4460 / 4612 / 2848 / 2848</t>
  </si>
  <si>
    <t>4084 / 5998 / 2909 / 3291</t>
  </si>
  <si>
    <t>Øsírís</t>
  </si>
  <si>
    <t xml:space="preserve">5.5 AP 4.5 ALL OTHERS </t>
  </si>
  <si>
    <t>6098</t>
  </si>
  <si>
    <t>Ğhǒůlybąbyy</t>
  </si>
  <si>
    <t>5950 / 6251 / 4670 / 5285</t>
  </si>
  <si>
    <t>ģąđģęţ</t>
  </si>
  <si>
    <t>4.5AP</t>
  </si>
  <si>
    <t>5590 / 5608 / 4913 / 4913</t>
  </si>
  <si>
    <t>4077 / 4367 / 4119 / 3655</t>
  </si>
  <si>
    <t>Ťriv</t>
  </si>
  <si>
    <t>10.2 P 9.3 A</t>
  </si>
  <si>
    <r>
      <rPr>
        <b/>
        <sz val="10"/>
        <color rgb="FF000000"/>
        <rFont val="Arial"/>
        <charset val="1"/>
      </rPr>
      <t xml:space="preserve">Żämäzentä </t>
    </r>
    <r>
      <rPr>
        <b/>
        <sz val="10"/>
        <color rgb="FF000000"/>
        <rFont val="Noto Sans CJK SC"/>
        <family val="2"/>
      </rPr>
      <t xml:space="preserve">丶 </t>
    </r>
    <r>
      <rPr>
        <b/>
        <sz val="10"/>
        <color rgb="FF000000"/>
        <rFont val="Arial"/>
        <charset val="1"/>
      </rPr>
      <t>Terps</t>
    </r>
  </si>
  <si>
    <t>4.5 AP 3.8 All Others</t>
  </si>
  <si>
    <t>Айова</t>
  </si>
  <si>
    <t>4.6 A/AP 3.1 P/R</t>
  </si>
  <si>
    <t>5349 / 6000 / 3163 / 4753</t>
  </si>
  <si>
    <t>ѴĦŘÆĻ</t>
  </si>
  <si>
    <t>3979 / 4110 / 4536 / 4282</t>
  </si>
  <si>
    <t>⋚dгыітёя⋚</t>
  </si>
  <si>
    <t>カオス</t>
  </si>
  <si>
    <t>3.5 A 3.4 AP 2.9 P/R</t>
  </si>
  <si>
    <t>ラレン</t>
  </si>
  <si>
    <t>4.9 AP 4 A</t>
  </si>
  <si>
    <t>ラレンケせモ尺</t>
  </si>
  <si>
    <t>4.4 AP / 4K ALL</t>
  </si>
  <si>
    <t>乃の尺几</t>
  </si>
  <si>
    <r>
      <rPr>
        <b/>
        <sz val="10"/>
        <color rgb="FF000000"/>
        <rFont val="Noto Sans CJK SC"/>
        <family val="2"/>
      </rPr>
      <t>从</t>
    </r>
    <r>
      <rPr>
        <b/>
        <sz val="10"/>
        <color rgb="FF000000"/>
        <rFont val="Arial"/>
        <charset val="1"/>
      </rPr>
      <t>âcks</t>
    </r>
  </si>
  <si>
    <t xml:space="preserve">8 AP 6.2 P </t>
  </si>
  <si>
    <r>
      <rPr>
        <b/>
        <sz val="10"/>
        <color rgb="FF000000"/>
        <rFont val="Noto Sans CJK SC"/>
        <family val="2"/>
      </rPr>
      <t>尺乇</t>
    </r>
    <r>
      <rPr>
        <b/>
        <sz val="10"/>
        <color rgb="FF000000"/>
        <rFont val="Arial"/>
        <charset val="1"/>
      </rPr>
      <t>D</t>
    </r>
    <r>
      <rPr>
        <b/>
        <sz val="10"/>
        <color rgb="FF000000"/>
        <rFont val="Noto Sans CJK SC"/>
        <family val="2"/>
      </rPr>
      <t>乇</t>
    </r>
    <r>
      <rPr>
        <b/>
        <sz val="10"/>
        <color rgb="FF000000"/>
        <rFont val="Arial"/>
        <charset val="1"/>
      </rPr>
      <t>Y</t>
    </r>
    <r>
      <rPr>
        <b/>
        <sz val="10"/>
        <color rgb="FF000000"/>
        <rFont val="Noto Sans CJK SC"/>
        <family val="2"/>
      </rPr>
      <t>乇</t>
    </r>
    <r>
      <rPr>
        <b/>
        <sz val="10"/>
        <color rgb="FF000000"/>
        <rFont val="Arial"/>
        <charset val="1"/>
      </rPr>
      <t>Z</t>
    </r>
  </si>
  <si>
    <t>5.2 A 4.8 AP</t>
  </si>
  <si>
    <r>
      <rPr>
        <b/>
        <sz val="10"/>
        <color rgb="FF000000"/>
        <rFont val="Noto Sans CJK SC"/>
        <family val="2"/>
      </rPr>
      <t>愛</t>
    </r>
    <r>
      <rPr>
        <b/>
        <sz val="10"/>
        <color rgb="FF000000"/>
        <rFont val="Arial"/>
        <charset val="1"/>
      </rPr>
      <t>WangLin</t>
    </r>
    <r>
      <rPr>
        <b/>
        <sz val="10"/>
        <color rgb="FF000000"/>
        <rFont val="Noto Sans CJK SC"/>
        <family val="2"/>
      </rPr>
      <t>来</t>
    </r>
  </si>
  <si>
    <t>6.3 AP 4.2 A</t>
  </si>
  <si>
    <t>WARBAND ROSTER  ·  92 names off the WARBANDS tab</t>
  </si>
  <si>
    <t>Cream cells are yours. The warband column is a dropdown so the names always match.</t>
  </si>
  <si>
    <t>Spots
open</t>
  </si>
  <si>
    <t>Loose note</t>
  </si>
  <si>
    <t>Note val</t>
  </si>
  <si>
    <t>Warband
size</t>
  </si>
  <si>
    <t>k1</t>
  </si>
  <si>
    <t>k2</t>
  </si>
  <si>
    <t>k3</t>
  </si>
  <si>
    <t>k4</t>
  </si>
  <si>
    <t>YES</t>
  </si>
  <si>
    <t>Mon/Thurs 5:30pm</t>
  </si>
  <si>
    <t>Kbowser (JJ405)</t>
  </si>
  <si>
    <t>SilentlySweeetT-</t>
  </si>
  <si>
    <t>M &amp; TH 6:00</t>
  </si>
  <si>
    <t>Mon/Thurs 8:00pm</t>
  </si>
  <si>
    <t>Tues/Fri 8pm</t>
  </si>
  <si>
    <t>Mon 6:30 / Thurs 7pm</t>
  </si>
  <si>
    <t>Lava-</t>
  </si>
  <si>
    <t>Mon/Fri 6:30pm</t>
  </si>
  <si>
    <t>?</t>
  </si>
  <si>
    <t>Mon/Sat 10:30PM</t>
  </si>
  <si>
    <t>NO</t>
  </si>
  <si>
    <t>M &amp; TH 6:30</t>
  </si>
  <si>
    <t>SETUP  ·  tiers, weights, factions and lookup tables</t>
  </si>
  <si>
    <t>Cream cells are editable. Change a threshold here and the whole workbook re-cuts.</t>
  </si>
  <si>
    <t>POWER INDEX  ·  weights and benchmarks</t>
  </si>
  <si>
    <t>Resonance weight</t>
  </si>
  <si>
    <t>Share of the Power Index driven by Reso.</t>
  </si>
  <si>
    <t>Combat Rating weight</t>
  </si>
  <si>
    <t>Share driven by CR.</t>
  </si>
  <si>
    <t>Secondary weight</t>
  </si>
  <si>
    <t>Share driven by the combined secondary average.</t>
  </si>
  <si>
    <t>Weights total</t>
  </si>
  <si>
    <t>Must equal 1.00.</t>
  </si>
  <si>
    <t>Reso benchmark = 100%</t>
  </si>
  <si>
    <t>Just above the highest observed Reso.</t>
  </si>
  <si>
    <t>CR floor = 0%</t>
  </si>
  <si>
    <t>CR below this scores 0 on the CR component.</t>
  </si>
  <si>
    <t>CR ceiling = 100%</t>
  </si>
  <si>
    <t>Just above the highest observed CR.</t>
  </si>
  <si>
    <t>Secondary benchmark = 100%</t>
  </si>
  <si>
    <t>In thousands.</t>
  </si>
  <si>
    <t>RESONANCE TIERS  ·  minimum Reso for the tier</t>
  </si>
  <si>
    <t>Reso from</t>
  </si>
  <si>
    <t>COMBAT RATING BANDS</t>
  </si>
  <si>
    <t>CR from</t>
  </si>
  <si>
    <t>SECONDARY TIERS  ·  combined average, in thousands</t>
  </si>
  <si>
    <t>Avg from</t>
  </si>
  <si>
    <t>POWER INDEX GRADES</t>
  </si>
  <si>
    <t>Index from</t>
  </si>
  <si>
    <t>D</t>
  </si>
  <si>
    <t>C</t>
  </si>
  <si>
    <t>B</t>
  </si>
  <si>
    <t>A</t>
  </si>
  <si>
    <t>S</t>
  </si>
  <si>
    <t>S+</t>
  </si>
  <si>
    <t>CLASS  -&gt;  ROLE</t>
  </si>
  <si>
    <t>CLANS  ·  the faction map that drives the switch. FUCT is standalone — unaffiliated.</t>
  </si>
  <si>
    <t>In view?</t>
  </si>
  <si>
    <t>View #</t>
  </si>
  <si>
    <t>HOW THE SOURCE DATA WAS TREATED</t>
  </si>
  <si>
    <t>Source: FAFO_12-08-2025 (3).xlsx — ten purple Shadow tabs plus LEGENDS, VANGUARD, UNDYING and FUCT 08-27.</t>
  </si>
  <si>
    <t>SBG tab rows 99-196 were a leftover AZUKI paste with no stats, dropped as duplicates of the AZUKI tab.</t>
  </si>
  <si>
    <t>SECONDARY AVG was a mix of free text ("10.2 AP 5.3 R"), raw numbers and =AVERAGE() formulas. All reduced to one</t>
  </si>
  <si>
    <t xml:space="preserve">   combined average of whatever secondaries were recorded — usually two of the four. Original kept in hidden column AF.</t>
  </si>
  <si>
    <t>Class NECRO renamed NECROMANCER. Trailing OCR status words trimmed. Warband tags before a \ or | split into their own column.</t>
  </si>
  <si>
    <t>Warband and transfer data name-matched to the FUCT roster: 58 of 92 warband rows and 63 of 169 transfer rows matched.</t>
  </si>
  <si>
    <t>No stat values were invented, corrected or deleted. Suspect entries are flagged in the Flags column, never overwritten.</t>
  </si>
  <si>
    <t>Adiva</t>
  </si>
  <si>
    <t>DarkPeace</t>
  </si>
  <si>
    <t>Giggles420</t>
  </si>
  <si>
    <t>GrandeBell</t>
  </si>
  <si>
    <t>HateSloth</t>
  </si>
  <si>
    <t>MidnightPheonix</t>
  </si>
  <si>
    <t>Mntnmn</t>
  </si>
  <si>
    <t>Panoramix</t>
  </si>
  <si>
    <t>Steel</t>
  </si>
  <si>
    <t>Stepheroth</t>
  </si>
  <si>
    <t>DenyCrane</t>
  </si>
  <si>
    <t>Vul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</si>
</sst>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
  </numFmts>
  <fonts count="33">
    <font>
      <sz val="11"/>
      <color theme="1"/>
      <name val="Calibri"/>
      <family val="2"/>
      <charset val="1"/>
    </font>
    <font>
      <b/>
      <sz val="16"/>
      <color rgb="FFFFFFFF"/>
      <name val="Arial"/>
      <charset val="1"/>
    </font>
    <font>
      <i/>
      <sz val="9"/>
      <color rgb="FFFFFFFF"/>
      <name val="Arial"/>
      <charset val="1"/>
    </font>
    <font>
      <b/>
      <sz val="12"/>
      <color rgb="FF3B1E54"/>
      <name val="Arial"/>
      <charset val="1"/>
    </font>
    <font>
      <b/>
      <sz val="11"/>
      <color rgb="FF3B1E54"/>
      <name val="Arial"/>
      <charset val="1"/>
    </font>
    <font>
      <b/>
      <u/>
      <sz val="11"/>
      <color rgb="FF0563C1"/>
      <name val="Arial"/>
      <charset val="1"/>
    </font>
    <font>
      <sz val="9"/>
      <color rgb="FF595959"/>
      <name val="Arial"/>
      <charset val="1"/>
    </font>
    <font>
      <b/>
      <u/>
      <sz val="10"/>
      <color rgb="FFBF8F00"/>
      <name val="Arial"/>
      <charset val="1"/>
    </font>
    <font>
      <b/>
      <u/>
      <sz val="10"/>
      <color rgb="FFC00000"/>
      <name val="Arial"/>
      <charset val="1"/>
    </font>
    <font>
      <b/>
      <u/>
      <sz val="10"/>
      <color rgb="FF7030A0"/>
      <name val="Arial"/>
      <charset val="1"/>
    </font>
    <font>
      <b/>
      <sz val="10"/>
      <color rgb="FF3B1E54"/>
      <name val="Arial"/>
      <charset val="1"/>
    </font>
    <font>
      <i/>
      <sz val="9"/>
      <color rgb="FF595959"/>
      <name val="Arial"/>
      <charset val="1"/>
    </font>
    <font>
      <b/>
      <sz val="13"/>
      <color rgb="FF7030A0"/>
      <name val="Arial"/>
      <charset val="1"/>
    </font>
    <font>
      <b/>
      <sz val="8"/>
      <color rgb="FFFFFFFF"/>
      <name val="Arial"/>
      <charset val="1"/>
    </font>
    <font>
      <b/>
      <sz val="15"/>
      <color rgb="FF3B1E54"/>
      <name val="Arial"/>
      <charset val="1"/>
    </font>
    <font>
      <b/>
      <sz val="9"/>
      <color rgb="FFFFFFFF"/>
      <name val="Arial"/>
      <charset val="1"/>
    </font>
    <font>
      <b/>
      <sz val="10"/>
      <color rgb="FF000000"/>
      <name val="Arial"/>
      <charset val="1"/>
    </font>
    <font>
      <sz val="10"/>
      <color rgb="FF000000"/>
      <name val="Arial"/>
      <charset val="1"/>
    </font>
    <font>
      <b/>
      <sz val="9"/>
      <color rgb="FF7030A0"/>
      <name val="Arial"/>
      <charset val="1"/>
    </font>
    <font>
      <b/>
      <sz val="12"/>
      <color rgb="FF7030A0"/>
      <name val="Arial"/>
      <charset val="1"/>
    </font>
    <font>
      <b/>
      <sz val="12"/>
      <color rgb="FFC00000"/>
      <name val="Arial"/>
      <charset val="1"/>
    </font>
    <font>
      <b/>
      <sz val="10"/>
      <color rgb="FF7030A0"/>
      <name val="Arial"/>
      <charset val="1"/>
    </font>
    <font>
      <b/>
      <sz val="10"/>
      <color rgb="FFC00000"/>
      <name val="Arial"/>
      <charset val="1"/>
    </font>
    <font>
      <b/>
      <sz val="10"/>
      <color rgb="FFBFBFBF"/>
      <name val="Arial"/>
      <charset val="1"/>
    </font>
    <font>
      <sz val="9"/>
      <color rgb="FF000000"/>
      <name val="Arial"/>
      <charset val="1"/>
    </font>
    <font>
      <b/>
      <sz val="10"/>
      <color rgb="FFFFFFFF"/>
      <name val="Arial"/>
      <charset val="1"/>
    </font>
    <font>
      <b/>
      <sz val="14"/>
      <color rgb="FFFFFFFF"/>
      <name val="Arial"/>
      <charset val="1"/>
    </font>
    <font>
      <b/>
      <sz val="10"/>
      <color rgb="FF2E7D32"/>
      <name val="Arial"/>
      <charset val="1"/>
    </font>
    <font>
      <b/>
      <sz val="11"/>
      <color rgb="FF7030A0"/>
      <name val="Arial"/>
      <charset val="1"/>
    </font>
    <font>
      <sz val="10"/>
      <color rgb="FF000000"/>
      <name val="Noto Sans CJK SC"/>
      <family val="2"/>
    </font>
    <font>
      <b/>
      <sz val="10"/>
      <color rgb="FF000000"/>
      <name val="Noto Sans CJK SC"/>
      <family val="2"/>
    </font>
    <font>
      <sz val="10"/>
      <color rgb="FF595959"/>
      <name val="Arial"/>
      <charset val="1"/>
    </font>
    <font>
      <b/>
      <sz val="12"/>
      <color rgb="FF7030A0"/>
      <name val="Arial"/>
      <family val="2"/>
    </font>
  </fonts>
  <fills count="9">
    <fill>
      <patternFill patternType="none"/>
    </fill>
    <fill>
      <patternFill patternType="gray125"/>
    </fill>
    <fill>
      <patternFill patternType="solid">
        <fgColor rgb="FF3B1E54"/>
        <bgColor rgb="FF333399"/>
      </patternFill>
    </fill>
    <fill>
      <patternFill patternType="solid">
        <fgColor rgb="FF7030A0"/>
        <bgColor rgb="FF993366"/>
      </patternFill>
    </fill>
    <fill>
      <patternFill patternType="solid">
        <fgColor rgb="FFE9E1F2"/>
        <bgColor rgb="FFFCE4E4"/>
      </patternFill>
    </fill>
    <fill>
      <patternFill patternType="solid">
        <fgColor rgb="FFFFF2CC"/>
        <bgColor rgb="FFFFF7E6"/>
      </patternFill>
    </fill>
    <fill>
      <patternFill patternType="solid">
        <fgColor rgb="FFF6F3FA"/>
        <bgColor rgb="FFF2F2F2"/>
      </patternFill>
    </fill>
    <fill>
      <patternFill patternType="solid">
        <fgColor rgb="FFFFF7E6"/>
        <bgColor rgb="FFF6F3FA"/>
      </patternFill>
    </fill>
    <fill>
      <patternFill patternType="solid">
        <fgColor rgb="FFFFFFFF"/>
        <bgColor rgb="FFFFF7E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3B1E54"/>
      </left>
      <right style="medium">
        <color rgb="FF3B1E54"/>
      </right>
      <top style="medium">
        <color rgb="FF3B1E54"/>
      </top>
      <bottom style="medium">
        <color rgb="FF3B1E54"/>
      </bottom>
      <diagonal/>
    </border>
  </borders>
  <cellStyleXfs count="1">
    <xf numFmtId="0" fontId="0" fillId="0" borderId="0"/>
  </cellStyleXfs>
  <cellXfs count="110">
    <xf numFmtId="0" fontId="0" fillId="0" borderId="0" xfId="0"/>
    <xf numFmtId="0" fontId="17" fillId="0" borderId="1" xfId="0" applyFont="1" applyBorder="1"/>
    <xf numFmtId="0" fontId="19" fillId="7" borderId="2" xfId="0" applyFont="1" applyFill="1" applyBorder="1" applyAlignment="1">
      <alignment horizontal="center" vertical="center"/>
    </xf>
    <xf numFmtId="0" fontId="5" fillId="4" borderId="1" xfId="0" applyFont="1" applyFill="1" applyBorder="1" applyAlignment="1">
      <alignment horizontal="left" vertical="center" indent="1"/>
    </xf>
    <xf numFmtId="0" fontId="6" fillId="0" borderId="1" xfId="0" applyFont="1" applyBorder="1" applyAlignment="1">
      <alignment horizontal="left" vertical="center" wrapText="1"/>
    </xf>
    <xf numFmtId="0" fontId="7" fillId="5" borderId="1" xfId="0" applyFont="1" applyFill="1" applyBorder="1" applyAlignment="1">
      <alignment horizontal="left" vertical="center" indent="1"/>
    </xf>
    <xf numFmtId="0" fontId="6" fillId="0" borderId="1" xfId="0" applyFont="1" applyBorder="1" applyAlignment="1">
      <alignment horizontal="left" vertical="center"/>
    </xf>
    <xf numFmtId="0" fontId="8" fillId="6" borderId="1" xfId="0" applyFont="1" applyFill="1" applyBorder="1" applyAlignment="1">
      <alignment horizontal="left" vertical="center" indent="1"/>
    </xf>
    <xf numFmtId="0" fontId="9" fillId="6" borderId="1" xfId="0" applyFont="1" applyFill="1" applyBorder="1" applyAlignment="1">
      <alignment horizontal="left" vertical="center" indent="1"/>
    </xf>
    <xf numFmtId="0" fontId="10" fillId="0" borderId="1" xfId="0" applyFont="1" applyBorder="1" applyAlignment="1">
      <alignment horizontal="left" vertical="top"/>
    </xf>
    <xf numFmtId="0" fontId="6" fillId="0" borderId="1" xfId="0" applyFont="1" applyBorder="1" applyAlignment="1">
      <alignment horizontal="left" vertical="top" wrapText="1"/>
    </xf>
    <xf numFmtId="0" fontId="11" fillId="0" borderId="0" xfId="0" applyFont="1"/>
    <xf numFmtId="0" fontId="3" fillId="0" borderId="0" xfId="0" applyFont="1" applyAlignment="1">
      <alignment horizontal="right" vertical="center"/>
    </xf>
    <xf numFmtId="0" fontId="15" fillId="3" borderId="1" xfId="0" applyFont="1" applyFill="1" applyBorder="1" applyAlignment="1">
      <alignment horizontal="center" vertical="center" wrapText="1"/>
    </xf>
    <xf numFmtId="0" fontId="16" fillId="6" borderId="1" xfId="0" applyFont="1" applyFill="1" applyBorder="1"/>
    <xf numFmtId="0" fontId="17" fillId="6" borderId="1" xfId="0" applyFont="1" applyFill="1" applyBorder="1" applyAlignment="1">
      <alignment horizontal="center" vertical="center"/>
    </xf>
    <xf numFmtId="3" fontId="17" fillId="6" borderId="1" xfId="0" applyNumberFormat="1" applyFont="1" applyFill="1" applyBorder="1" applyAlignment="1">
      <alignment horizontal="center" vertical="center"/>
    </xf>
    <xf numFmtId="164" fontId="17" fillId="6" borderId="1" xfId="0" applyNumberFormat="1" applyFont="1" applyFill="1" applyBorder="1" applyAlignment="1">
      <alignment horizontal="center" vertical="center"/>
    </xf>
    <xf numFmtId="0" fontId="16" fillId="0" borderId="1" xfId="0" applyFont="1" applyBorder="1"/>
    <xf numFmtId="0" fontId="17" fillId="0" borderId="1" xfId="0" applyFont="1" applyBorder="1" applyAlignment="1">
      <alignment horizontal="center" vertical="center"/>
    </xf>
    <xf numFmtId="3" fontId="17" fillId="0" borderId="1" xfId="0" applyNumberFormat="1" applyFont="1" applyBorder="1" applyAlignment="1">
      <alignment horizontal="center" vertical="center"/>
    </xf>
    <xf numFmtId="164" fontId="17" fillId="0" borderId="1" xfId="0" applyNumberFormat="1" applyFont="1" applyBorder="1" applyAlignment="1">
      <alignment horizontal="center" vertical="center"/>
    </xf>
    <xf numFmtId="165" fontId="17"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xf numFmtId="0" fontId="4" fillId="0" borderId="0" xfId="0" applyFont="1" applyAlignment="1">
      <alignment horizontal="right" vertical="center"/>
    </xf>
    <xf numFmtId="0" fontId="15" fillId="3" borderId="0" xfId="0" applyFont="1" applyFill="1" applyAlignment="1">
      <alignment horizontal="center" vertical="center"/>
    </xf>
    <xf numFmtId="0" fontId="21" fillId="0" borderId="1" xfId="0" applyFont="1" applyBorder="1" applyAlignment="1">
      <alignment horizontal="left" vertical="center" indent="1"/>
    </xf>
    <xf numFmtId="0" fontId="22" fillId="0" borderId="1" xfId="0" applyFont="1" applyBorder="1" applyAlignment="1">
      <alignment horizontal="left" vertical="center" indent="1"/>
    </xf>
    <xf numFmtId="0" fontId="23" fillId="0" borderId="1" xfId="0" applyFont="1" applyBorder="1" applyAlignment="1">
      <alignment horizontal="left" vertical="center" indent="1"/>
    </xf>
    <xf numFmtId="0" fontId="16" fillId="5" borderId="1" xfId="0" applyFont="1" applyFill="1" applyBorder="1"/>
    <xf numFmtId="0" fontId="17" fillId="5" borderId="1" xfId="0" applyFont="1" applyFill="1" applyBorder="1" applyAlignment="1">
      <alignment horizontal="center" vertical="center"/>
    </xf>
    <xf numFmtId="166" fontId="17" fillId="5" borderId="1" xfId="0" applyNumberFormat="1" applyFont="1" applyFill="1" applyBorder="1" applyAlignment="1">
      <alignment horizontal="center" vertical="center"/>
    </xf>
    <xf numFmtId="166" fontId="17" fillId="6" borderId="1" xfId="0" applyNumberFormat="1" applyFont="1" applyFill="1" applyBorder="1" applyAlignment="1">
      <alignment horizontal="center" vertical="center"/>
    </xf>
    <xf numFmtId="166" fontId="17" fillId="0" borderId="1" xfId="0" applyNumberFormat="1" applyFont="1" applyBorder="1" applyAlignment="1">
      <alignment horizontal="center" vertical="center"/>
    </xf>
    <xf numFmtId="0" fontId="15" fillId="3" borderId="0" xfId="0" applyFont="1" applyFill="1"/>
    <xf numFmtId="9" fontId="24" fillId="0" borderId="0" xfId="0" applyNumberFormat="1" applyFont="1"/>
    <xf numFmtId="167" fontId="0" fillId="0" borderId="0" xfId="0" applyNumberFormat="1"/>
    <xf numFmtId="0" fontId="16" fillId="5" borderId="1" xfId="0" applyFont="1" applyFill="1" applyBorder="1" applyAlignment="1">
      <alignment horizontal="left" vertical="center" indent="1"/>
    </xf>
    <xf numFmtId="3" fontId="17" fillId="5" borderId="1" xfId="0" applyNumberFormat="1" applyFont="1" applyFill="1" applyBorder="1" applyAlignment="1">
      <alignment horizontal="center" vertical="center"/>
    </xf>
    <xf numFmtId="0" fontId="17" fillId="5" borderId="1" xfId="0" applyFont="1" applyFill="1" applyBorder="1"/>
    <xf numFmtId="0" fontId="17" fillId="6" borderId="1" xfId="0" applyFont="1" applyFill="1" applyBorder="1"/>
    <xf numFmtId="0" fontId="16" fillId="6" borderId="1" xfId="0" applyFont="1" applyFill="1" applyBorder="1" applyAlignment="1">
      <alignment horizontal="left" vertical="center" indent="1"/>
    </xf>
    <xf numFmtId="0" fontId="16" fillId="0" borderId="1" xfId="0" applyFont="1" applyBorder="1" applyAlignment="1">
      <alignment horizontal="left" vertical="center" indent="1"/>
    </xf>
    <xf numFmtId="0" fontId="16" fillId="4" borderId="1" xfId="0" applyFont="1" applyFill="1" applyBorder="1"/>
    <xf numFmtId="3" fontId="16" fillId="4" borderId="1" xfId="0" applyNumberFormat="1" applyFont="1" applyFill="1" applyBorder="1" applyAlignment="1">
      <alignment horizontal="center" vertical="center"/>
    </xf>
    <xf numFmtId="0" fontId="25" fillId="2" borderId="1" xfId="0" applyFont="1" applyFill="1" applyBorder="1"/>
    <xf numFmtId="3" fontId="25" fillId="2" borderId="1" xfId="0" applyNumberFormat="1" applyFont="1" applyFill="1" applyBorder="1" applyAlignment="1">
      <alignment horizontal="center" vertical="center"/>
    </xf>
    <xf numFmtId="0" fontId="4" fillId="0" borderId="0" xfId="0" applyFont="1"/>
    <xf numFmtId="3" fontId="16" fillId="6" borderId="1" xfId="0" applyNumberFormat="1" applyFont="1" applyFill="1" applyBorder="1" applyAlignment="1">
      <alignment horizontal="center" vertical="center"/>
    </xf>
    <xf numFmtId="165" fontId="17" fillId="6" borderId="1" xfId="0" applyNumberFormat="1" applyFont="1" applyFill="1" applyBorder="1" applyAlignment="1">
      <alignment horizontal="center" vertical="center"/>
    </xf>
    <xf numFmtId="0" fontId="18" fillId="6" borderId="1" xfId="0" applyFont="1" applyFill="1" applyBorder="1"/>
    <xf numFmtId="3" fontId="16" fillId="0" borderId="1" xfId="0" applyNumberFormat="1" applyFont="1" applyBorder="1" applyAlignment="1">
      <alignment horizontal="center" vertical="center"/>
    </xf>
    <xf numFmtId="164" fontId="16" fillId="6" borderId="1" xfId="0" applyNumberFormat="1" applyFont="1" applyFill="1" applyBorder="1" applyAlignment="1">
      <alignment horizontal="center" vertical="center"/>
    </xf>
    <xf numFmtId="164" fontId="16" fillId="0" borderId="1" xfId="0" applyNumberFormat="1" applyFont="1" applyBorder="1" applyAlignment="1">
      <alignment horizontal="center" vertical="center"/>
    </xf>
    <xf numFmtId="0" fontId="16"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27" fillId="6" borderId="1" xfId="0" applyFont="1" applyFill="1" applyBorder="1" applyAlignment="1">
      <alignment horizontal="center" vertical="center"/>
    </xf>
    <xf numFmtId="0" fontId="11" fillId="6" borderId="1" xfId="0" applyFont="1" applyFill="1" applyBorder="1"/>
    <xf numFmtId="0" fontId="27" fillId="0" borderId="1" xfId="0" applyFont="1" applyBorder="1" applyAlignment="1">
      <alignment horizontal="center" vertical="center"/>
    </xf>
    <xf numFmtId="0" fontId="11" fillId="0" borderId="1" xfId="0" applyFont="1" applyBorder="1"/>
    <xf numFmtId="0" fontId="16" fillId="0" borderId="0" xfId="0" applyFont="1"/>
    <xf numFmtId="0" fontId="28" fillId="7" borderId="1" xfId="0" applyFont="1" applyFill="1" applyBorder="1" applyAlignment="1">
      <alignment horizontal="center" vertical="center"/>
    </xf>
    <xf numFmtId="0" fontId="16" fillId="7" borderId="1" xfId="0" applyFont="1" applyFill="1" applyBorder="1"/>
    <xf numFmtId="0" fontId="11" fillId="6" borderId="1" xfId="0" applyFont="1" applyFill="1" applyBorder="1" applyAlignment="1">
      <alignment horizontal="center" vertical="center"/>
    </xf>
    <xf numFmtId="0" fontId="11" fillId="0" borderId="1" xfId="0" applyFont="1" applyBorder="1" applyAlignment="1">
      <alignment horizontal="center" vertical="center"/>
    </xf>
    <xf numFmtId="0" fontId="10" fillId="0" borderId="0" xfId="0" applyFont="1"/>
    <xf numFmtId="0" fontId="27" fillId="0" borderId="0" xfId="0" applyFont="1"/>
    <xf numFmtId="0" fontId="17" fillId="7" borderId="1" xfId="0" applyFont="1" applyFill="1" applyBorder="1"/>
    <xf numFmtId="0" fontId="17" fillId="7" borderId="1" xfId="0" applyFont="1" applyFill="1" applyBorder="1" applyAlignment="1">
      <alignment horizontal="center" vertical="center"/>
    </xf>
    <xf numFmtId="3" fontId="17" fillId="7" borderId="1" xfId="0" applyNumberFormat="1" applyFont="1" applyFill="1" applyBorder="1" applyAlignment="1">
      <alignment horizontal="right" vertical="center"/>
    </xf>
    <xf numFmtId="164" fontId="17" fillId="7" borderId="1" xfId="0" applyNumberFormat="1" applyFont="1" applyFill="1" applyBorder="1" applyAlignment="1">
      <alignment horizontal="right" vertical="center"/>
    </xf>
    <xf numFmtId="9" fontId="17" fillId="6" borderId="1" xfId="0" applyNumberFormat="1" applyFont="1" applyFill="1" applyBorder="1" applyAlignment="1">
      <alignment horizontal="center" vertical="center"/>
    </xf>
    <xf numFmtId="3" fontId="17" fillId="6" borderId="1" xfId="0" applyNumberFormat="1" applyFont="1" applyFill="1" applyBorder="1"/>
    <xf numFmtId="164" fontId="17" fillId="6" borderId="1" xfId="0" applyNumberFormat="1" applyFont="1" applyFill="1" applyBorder="1"/>
    <xf numFmtId="9" fontId="17" fillId="0" borderId="1" xfId="0" applyNumberFormat="1" applyFont="1" applyBorder="1" applyAlignment="1">
      <alignment horizontal="center" vertical="center"/>
    </xf>
    <xf numFmtId="3" fontId="17" fillId="0" borderId="1" xfId="0" applyNumberFormat="1" applyFont="1" applyBorder="1"/>
    <xf numFmtId="164" fontId="17" fillId="0" borderId="1" xfId="0" applyNumberFormat="1" applyFont="1" applyBorder="1"/>
    <xf numFmtId="0" fontId="29" fillId="7" borderId="1" xfId="0" applyFont="1" applyFill="1" applyBorder="1" applyAlignment="1">
      <alignment horizontal="center" vertical="center"/>
    </xf>
    <xf numFmtId="0" fontId="30" fillId="7" borderId="1" xfId="0" applyFont="1" applyFill="1" applyBorder="1"/>
    <xf numFmtId="0" fontId="17" fillId="7" borderId="1" xfId="0" applyFont="1" applyFill="1" applyBorder="1" applyAlignment="1">
      <alignment horizontal="left" vertical="center" indent="1"/>
    </xf>
    <xf numFmtId="2" fontId="17" fillId="7" borderId="1" xfId="0" applyNumberFormat="1" applyFont="1" applyFill="1" applyBorder="1"/>
    <xf numFmtId="2" fontId="17" fillId="8" borderId="1" xfId="0" applyNumberFormat="1" applyFont="1" applyFill="1" applyBorder="1"/>
    <xf numFmtId="3" fontId="17" fillId="7" borderId="1" xfId="0" applyNumberFormat="1" applyFont="1" applyFill="1" applyBorder="1"/>
    <xf numFmtId="3" fontId="17" fillId="7" borderId="1" xfId="0" applyNumberFormat="1" applyFont="1" applyFill="1" applyBorder="1" applyAlignment="1">
      <alignment horizontal="center"/>
    </xf>
    <xf numFmtId="164" fontId="17" fillId="7" borderId="1" xfId="0" applyNumberFormat="1" applyFont="1" applyFill="1" applyBorder="1" applyAlignment="1">
      <alignment horizontal="center"/>
    </xf>
    <xf numFmtId="1" fontId="17" fillId="7" borderId="1" xfId="0" applyNumberFormat="1" applyFont="1" applyFill="1" applyBorder="1" applyAlignment="1">
      <alignment horizontal="center"/>
    </xf>
    <xf numFmtId="0" fontId="17" fillId="7" borderId="1" xfId="0" applyFont="1" applyFill="1" applyBorder="1" applyAlignment="1">
      <alignment horizontal="center"/>
    </xf>
    <xf numFmtId="0" fontId="21" fillId="5" borderId="1" xfId="0" applyFont="1" applyFill="1" applyBorder="1"/>
    <xf numFmtId="0" fontId="17" fillId="0" borderId="1" xfId="0" applyFont="1" applyBorder="1" applyAlignment="1">
      <alignment horizontal="center"/>
    </xf>
    <xf numFmtId="0" fontId="31" fillId="0" borderId="1" xfId="0" applyFont="1" applyBorder="1" applyAlignment="1">
      <alignment horizontal="center"/>
    </xf>
    <xf numFmtId="0" fontId="4" fillId="4" borderId="1" xfId="0" applyFont="1" applyFill="1" applyBorder="1" applyAlignment="1">
      <alignment horizontal="left" vertical="center" indent="1"/>
    </xf>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applyAlignment="1">
      <alignment horizontal="center" vertical="center"/>
    </xf>
    <xf numFmtId="3" fontId="1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12" fillId="7" borderId="2" xfId="0" applyFont="1" applyFill="1" applyBorder="1" applyAlignment="1">
      <alignment horizontal="center" vertical="center"/>
    </xf>
    <xf numFmtId="0" fontId="13" fillId="3" borderId="1" xfId="0" applyFont="1" applyFill="1" applyBorder="1" applyAlignment="1">
      <alignment horizontal="center" vertical="center"/>
    </xf>
    <xf numFmtId="0" fontId="0" fillId="0" borderId="0" xfId="0"/>
    <xf numFmtId="0" fontId="19" fillId="7" borderId="2" xfId="0" applyFont="1" applyFill="1" applyBorder="1" applyAlignment="1">
      <alignment horizontal="center" vertical="center"/>
    </xf>
    <xf numFmtId="0" fontId="20" fillId="7" borderId="2" xfId="0" applyFont="1" applyFill="1" applyBorder="1" applyAlignment="1">
      <alignment horizontal="center" vertical="center"/>
    </xf>
    <xf numFmtId="0" fontId="17" fillId="0" borderId="1" xfId="0" applyFont="1" applyBorder="1"/>
    <xf numFmtId="0" fontId="32" fillId="7" borderId="2" xfId="0" applyFont="1" applyFill="1" applyBorder="1" applyAlignment="1">
      <alignment horizontal="center" vertical="center"/>
    </xf>
    <xf numFmtId="0" fontId="26" fillId="3" borderId="0" xfId="0" applyFont="1" applyFill="1" applyAlignment="1">
      <alignment horizontal="left" vertical="center" indent="1"/>
    </xf>
    <xf numFmtId="0" fontId="16" fillId="0" borderId="1" xfId="0" applyFont="1" applyBorder="1" applyAlignment="1">
      <alignment horizontal="left" vertical="center" indent="1"/>
    </xf>
    <xf numFmtId="0" fontId="16" fillId="6" borderId="1" xfId="0" applyFont="1" applyFill="1" applyBorder="1" applyAlignment="1">
      <alignment horizontal="left" vertical="center" indent="1"/>
    </xf>
    <xf numFmtId="164" fontId="14" fillId="4" borderId="1" xfId="0" applyNumberFormat="1" applyFont="1" applyFill="1" applyBorder="1" applyAlignment="1">
      <alignment horizontal="center" vertical="center"/>
    </xf>
    <xf numFmtId="0" fontId="15" fillId="3" borderId="1" xfId="0" applyFont="1" applyFill="1" applyBorder="1" applyAlignment="1">
      <alignment horizontal="center" vertical="center" wrapText="1"/>
    </xf>
    <xf numFmtId="0" fontId="6" fillId="0" borderId="0" xfId="0" applyFont="1"/>
  </cellXfs>
  <cellStyles count="1">
    <cellStyle name="Normal" xfId="0" builtinId="0"/>
  </cellStyles>
  <dxfs count="30">
    <dxf>
      <font>
        <strike val="0"/>
        <outline val="0"/>
        <shadow val="0"/>
        <sz val="10"/>
        <color rgb="FF9C0006"/>
        <name val="Arial"/>
        <charset val="1"/>
      </font>
      <fill>
        <patternFill>
          <bgColor rgb="FFFCE4E4"/>
        </patternFill>
      </fill>
    </dxf>
    <dxf>
      <font>
        <b/>
        <strike val="0"/>
        <outline val="0"/>
        <shadow val="0"/>
        <sz val="10"/>
        <color rgb="FFBF8F00"/>
        <name val="Arial"/>
        <charset val="1"/>
      </font>
      <fill>
        <patternFill>
          <bgColor rgb="FFFFF2CC"/>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strike val="0"/>
        <outline val="0"/>
        <shadow val="0"/>
        <sz val="10"/>
        <color rgb="FF9C0006"/>
        <name val="Arial"/>
        <charset val="1"/>
      </font>
      <fill>
        <patternFill>
          <bgColor rgb="FFFCE4E4"/>
        </patternFill>
      </fill>
    </dxf>
    <dxf>
      <font>
        <b/>
        <strike val="0"/>
        <outline val="0"/>
        <shadow val="0"/>
        <sz val="10"/>
        <color rgb="FF9C0006"/>
        <name val="Arial"/>
        <charset val="1"/>
      </font>
      <fill>
        <patternFill>
          <bgColor rgb="FFFCE4E4"/>
        </patternFill>
      </fill>
    </dxf>
    <dxf>
      <font>
        <b/>
        <strike val="0"/>
        <outline val="0"/>
        <shadow val="0"/>
        <sz val="10"/>
        <color rgb="FF595959"/>
        <name val="Arial"/>
        <charset val="1"/>
      </font>
      <fill>
        <patternFill>
          <bgColor rgb="FFF2F2F2"/>
        </patternFill>
      </fill>
    </dxf>
    <dxf>
      <font>
        <b/>
        <strike val="0"/>
        <outline val="0"/>
        <shadow val="0"/>
        <sz val="10"/>
        <color rgb="FF2E7D32"/>
        <name val="Arial"/>
        <charset val="1"/>
      </font>
    </dxf>
    <dxf>
      <font>
        <b/>
        <strike val="0"/>
        <outline val="0"/>
        <shadow val="0"/>
        <sz val="10"/>
        <color rgb="FFC00000"/>
        <name val="Arial"/>
        <charset val="1"/>
      </font>
    </dxf>
    <dxf>
      <font>
        <b/>
        <strike val="0"/>
        <outline val="0"/>
        <shadow val="0"/>
        <sz val="10"/>
        <color rgb="FF2E7D32"/>
        <name val="Arial"/>
        <charset val="1"/>
      </font>
    </dxf>
    <dxf>
      <font>
        <b/>
        <strike val="0"/>
        <outline val="0"/>
        <shadow val="0"/>
        <sz val="10"/>
        <color rgb="FFC00000"/>
        <name val="Arial"/>
        <charset val="1"/>
      </font>
    </dxf>
    <dxf>
      <font>
        <b/>
        <strike val="0"/>
        <outline val="0"/>
        <shadow val="0"/>
        <sz val="10"/>
        <color rgb="FF000000"/>
        <name val="Arial"/>
        <charset val="1"/>
      </font>
      <fill>
        <patternFill>
          <bgColor rgb="FFFFF2CC"/>
        </patternFill>
      </fill>
    </dxf>
    <dxf>
      <font>
        <b/>
        <strike val="0"/>
        <outline val="0"/>
        <shadow val="0"/>
        <sz val="10"/>
        <color rgb="FF000000"/>
        <name val="Arial"/>
        <charset val="1"/>
      </font>
      <fill>
        <patternFill>
          <bgColor rgb="FFFFF2CC"/>
        </patternFill>
      </fill>
    </dxf>
    <dxf>
      <font>
        <b/>
        <strike val="0"/>
        <outline val="0"/>
        <shadow val="0"/>
        <sz val="10"/>
        <color rgb="FF000000"/>
        <name val="Arial"/>
        <charset val="1"/>
      </font>
      <fill>
        <patternFill>
          <bgColor rgb="FFFFF2CC"/>
        </patternFill>
      </fill>
    </dxf>
    <dxf>
      <font>
        <b/>
        <strike val="0"/>
        <outline val="0"/>
        <shadow val="0"/>
        <sz val="10"/>
        <color rgb="FF2E7D32"/>
        <name val="Arial"/>
        <charset val="1"/>
      </font>
    </dxf>
    <dxf>
      <font>
        <b/>
        <strike val="0"/>
        <outline val="0"/>
        <shadow val="0"/>
        <sz val="10"/>
        <color rgb="FFC00000"/>
        <name val="Arial"/>
        <charset val="1"/>
      </font>
    </dxf>
    <dxf>
      <font>
        <b/>
        <strike val="0"/>
        <outline val="0"/>
        <shadow val="0"/>
        <sz val="10"/>
        <color rgb="FF2E7D32"/>
        <name val="Arial"/>
        <charset val="1"/>
      </font>
    </dxf>
    <dxf>
      <font>
        <b/>
        <strike val="0"/>
        <outline val="0"/>
        <shadow val="0"/>
        <sz val="10"/>
        <color rgb="FFC00000"/>
        <name val="Arial"/>
        <charset val="1"/>
      </font>
    </dxf>
    <dxf>
      <fill>
        <patternFill>
          <bgColor rgb="FFFFF2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78787"/>
      <rgbColor rgb="FF9999FF"/>
      <rgbColor rgb="FF7030A0"/>
      <rgbColor rgb="FFFFF2CC"/>
      <rgbColor rgb="FFF2F2F2"/>
      <rgbColor rgb="FF660066"/>
      <rgbColor rgb="FFFF8080"/>
      <rgbColor rgb="FF0563C1"/>
      <rgbColor rgb="FFC9C3D2"/>
      <rgbColor rgb="FF000080"/>
      <rgbColor rgb="FFFF00FF"/>
      <rgbColor rgb="FFFFFF00"/>
      <rgbColor rgb="FF00FFFF"/>
      <rgbColor rgb="FF800080"/>
      <rgbColor rgb="FF800000"/>
      <rgbColor rgb="FF008080"/>
      <rgbColor rgb="FF0000FF"/>
      <rgbColor rgb="FF00CCFF"/>
      <rgbColor rgb="FFF6F3FA"/>
      <rgbColor rgb="FFD9D9D9"/>
      <rgbColor rgb="FFFFF7E6"/>
      <rgbColor rgb="FFE9E1F2"/>
      <rgbColor rgb="FFFF99CC"/>
      <rgbColor rgb="FFCC99FF"/>
      <rgbColor rgb="FFFCE4E4"/>
      <rgbColor rgb="FF4F81BD"/>
      <rgbColor rgb="FF33CCCC"/>
      <rgbColor rgb="FF99CC00"/>
      <rgbColor rgb="FFFFC000"/>
      <rgbColor rgb="FFBF8F00"/>
      <rgbColor rgb="FFFF6600"/>
      <rgbColor rgb="FF595959"/>
      <rgbColor rgb="FF969696"/>
      <rgbColor rgb="FF003366"/>
      <rgbColor rgb="FF2E7D32"/>
      <rgbColor rgb="FF003300"/>
      <rgbColor rgb="FF333300"/>
      <rgbColor rgb="FF993300"/>
      <rgbColor rgb="FF993366"/>
      <rgbColor rgb="FF333399"/>
      <rgbColor rgb="FF3B1E5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Average Resonance by clan</a:t>
            </a:r>
          </a:p>
        </c:rich>
      </c:tx>
      <c:overlay val="0"/>
      <c:spPr>
        <a:noFill/>
        <a:ln w="0">
          <a:noFill/>
        </a:ln>
      </c:spPr>
    </c:title>
    <c:autoTitleDeleted val="0"/>
    <c:plotArea>
      <c:layout/>
      <c:barChart>
        <c:barDir val="col"/>
        <c:grouping val="clustered"/>
        <c:varyColors val="0"/>
        <c:ser>
          <c:idx val="0"/>
          <c:order val="0"/>
          <c:tx>
            <c:strRef>
              <c:f>DASHBOARD!$G$10</c:f>
              <c:strCache>
                <c:ptCount val="1"/>
                <c:pt idx="0">
                  <c:v>Avg Reso</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DASHBOARD!$A$11:$A$24</c:f>
              <c:strCache>
                <c:ptCount val="14"/>
                <c:pt idx="0">
                  <c:v>FUCT</c:v>
                </c:pt>
                <c:pt idx="1">
                  <c:v>LEGENDS</c:v>
                </c:pt>
                <c:pt idx="2">
                  <c:v>VANGUARD</c:v>
                </c:pt>
                <c:pt idx="3">
                  <c:v>UNDYING</c:v>
                </c:pt>
                <c:pt idx="4">
                  <c:v>SBG</c:v>
                </c:pt>
                <c:pt idx="5">
                  <c:v>AZUKI</c:v>
                </c:pt>
                <c:pt idx="6">
                  <c:v>RECKONING</c:v>
                </c:pt>
                <c:pt idx="7">
                  <c:v>ACHERON</c:v>
                </c:pt>
                <c:pt idx="8">
                  <c:v>INVICTUS</c:v>
                </c:pt>
                <c:pt idx="9">
                  <c:v>EMERALD LEAF TRIBE</c:v>
                </c:pt>
                <c:pt idx="10">
                  <c:v>SUB ROSA</c:v>
                </c:pt>
                <c:pt idx="11">
                  <c:v>VENGEANCE</c:v>
                </c:pt>
                <c:pt idx="12">
                  <c:v>VENDETTA</c:v>
                </c:pt>
                <c:pt idx="13">
                  <c:v>ZOMBIES</c:v>
                </c:pt>
              </c:strCache>
            </c:strRef>
          </c:cat>
          <c:val>
            <c:numRef>
              <c:f>DASHBOARD!$G$11:$G$24</c:f>
              <c:numCache>
                <c:formatCode>#,##0</c:formatCode>
                <c:ptCount val="14"/>
                <c:pt idx="0">
                  <c:v>5214</c:v>
                </c:pt>
                <c:pt idx="1">
                  <c:v>5539</c:v>
                </c:pt>
                <c:pt idx="2">
                  <c:v>6666</c:v>
                </c:pt>
                <c:pt idx="3">
                  <c:v>4582</c:v>
                </c:pt>
                <c:pt idx="4">
                  <c:v>6056</c:v>
                </c:pt>
                <c:pt idx="5">
                  <c:v>5754</c:v>
                </c:pt>
                <c:pt idx="6">
                  <c:v>5541</c:v>
                </c:pt>
                <c:pt idx="7">
                  <c:v>4133</c:v>
                </c:pt>
                <c:pt idx="8">
                  <c:v>3415</c:v>
                </c:pt>
                <c:pt idx="9">
                  <c:v>2318</c:v>
                </c:pt>
                <c:pt idx="10">
                  <c:v>3056</c:v>
                </c:pt>
                <c:pt idx="11">
                  <c:v>3603</c:v>
                </c:pt>
                <c:pt idx="12">
                  <c:v>2098</c:v>
                </c:pt>
                <c:pt idx="13">
                  <c:v>2100</c:v>
                </c:pt>
              </c:numCache>
            </c:numRef>
          </c:val>
          <c:extLst>
            <c:ext xmlns:c16="http://schemas.microsoft.com/office/drawing/2014/chart" uri="{C3380CC4-5D6E-409C-BE32-E72D297353CC}">
              <c16:uniqueId val="{00000000-7C1D-44A6-B67C-250A008D9B67}"/>
            </c:ext>
          </c:extLst>
        </c:ser>
        <c:dLbls>
          <c:showLegendKey val="0"/>
          <c:showVal val="0"/>
          <c:showCatName val="0"/>
          <c:showSerName val="0"/>
          <c:showPercent val="0"/>
          <c:showBubbleSize val="0"/>
        </c:dLbls>
        <c:gapWidth val="150"/>
        <c:axId val="11017686"/>
        <c:axId val="75068700"/>
      </c:barChart>
      <c:catAx>
        <c:axId val="110176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068700"/>
        <c:crosses val="autoZero"/>
        <c:auto val="1"/>
        <c:lblAlgn val="ctr"/>
        <c:lblOffset val="100"/>
        <c:noMultiLvlLbl val="0"/>
      </c:catAx>
      <c:valAx>
        <c:axId val="7506870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Reso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017686"/>
        <c:crosses val="autoZero"/>
        <c:crossBetween val="between"/>
      </c:valAx>
      <c:spPr>
        <a:noFill/>
        <a:ln w="0">
          <a:noFill/>
        </a:ln>
      </c:spPr>
    </c:plotArea>
    <c:plotVisOnly val="0"/>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'DEPTH CURVES'!$B$55</c:f>
              <c:strCache>
                <c:ptCount val="1"/>
                <c:pt idx="0">
                  <c:v>FUCT</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CURVES'!$B$56:$B$155</c:f>
              <c:numCache>
                <c:formatCode>#,##0.0</c:formatCode>
                <c:ptCount val="100"/>
                <c:pt idx="0">
                  <c:v>11602</c:v>
                </c:pt>
                <c:pt idx="1">
                  <c:v>10376</c:v>
                </c:pt>
                <c:pt idx="2">
                  <c:v>10332</c:v>
                </c:pt>
                <c:pt idx="3">
                  <c:v>10077</c:v>
                </c:pt>
                <c:pt idx="4">
                  <c:v>10023</c:v>
                </c:pt>
                <c:pt idx="5">
                  <c:v>9868</c:v>
                </c:pt>
                <c:pt idx="6">
                  <c:v>9600</c:v>
                </c:pt>
                <c:pt idx="7">
                  <c:v>9278</c:v>
                </c:pt>
                <c:pt idx="8">
                  <c:v>8770</c:v>
                </c:pt>
                <c:pt idx="9">
                  <c:v>8529</c:v>
                </c:pt>
                <c:pt idx="10">
                  <c:v>8503</c:v>
                </c:pt>
                <c:pt idx="11">
                  <c:v>8394</c:v>
                </c:pt>
                <c:pt idx="12">
                  <c:v>8277</c:v>
                </c:pt>
                <c:pt idx="13">
                  <c:v>8011</c:v>
                </c:pt>
                <c:pt idx="14">
                  <c:v>7946</c:v>
                </c:pt>
                <c:pt idx="15">
                  <c:v>7793</c:v>
                </c:pt>
                <c:pt idx="16">
                  <c:v>7500</c:v>
                </c:pt>
                <c:pt idx="17">
                  <c:v>7436</c:v>
                </c:pt>
                <c:pt idx="18">
                  <c:v>7419</c:v>
                </c:pt>
                <c:pt idx="19">
                  <c:v>7364</c:v>
                </c:pt>
                <c:pt idx="20">
                  <c:v>7355</c:v>
                </c:pt>
                <c:pt idx="21">
                  <c:v>7300</c:v>
                </c:pt>
                <c:pt idx="22">
                  <c:v>7134</c:v>
                </c:pt>
                <c:pt idx="23">
                  <c:v>6734</c:v>
                </c:pt>
                <c:pt idx="24">
                  <c:v>6573</c:v>
                </c:pt>
                <c:pt idx="25">
                  <c:v>6522</c:v>
                </c:pt>
                <c:pt idx="26">
                  <c:v>6200</c:v>
                </c:pt>
                <c:pt idx="27">
                  <c:v>6126</c:v>
                </c:pt>
                <c:pt idx="28">
                  <c:v>5971</c:v>
                </c:pt>
                <c:pt idx="29">
                  <c:v>5912</c:v>
                </c:pt>
                <c:pt idx="30">
                  <c:v>5749</c:v>
                </c:pt>
                <c:pt idx="31">
                  <c:v>5680</c:v>
                </c:pt>
                <c:pt idx="32">
                  <c:v>5557</c:v>
                </c:pt>
                <c:pt idx="33">
                  <c:v>5524</c:v>
                </c:pt>
                <c:pt idx="34">
                  <c:v>5492</c:v>
                </c:pt>
                <c:pt idx="35">
                  <c:v>5337</c:v>
                </c:pt>
                <c:pt idx="36">
                  <c:v>5240</c:v>
                </c:pt>
                <c:pt idx="37">
                  <c:v>5147</c:v>
                </c:pt>
                <c:pt idx="38">
                  <c:v>5144</c:v>
                </c:pt>
                <c:pt idx="39">
                  <c:v>5104</c:v>
                </c:pt>
                <c:pt idx="40">
                  <c:v>5092</c:v>
                </c:pt>
                <c:pt idx="41">
                  <c:v>4987</c:v>
                </c:pt>
                <c:pt idx="42">
                  <c:v>4973</c:v>
                </c:pt>
                <c:pt idx="43">
                  <c:v>4820</c:v>
                </c:pt>
                <c:pt idx="44">
                  <c:v>4733</c:v>
                </c:pt>
                <c:pt idx="45">
                  <c:v>4627</c:v>
                </c:pt>
                <c:pt idx="46">
                  <c:v>4609</c:v>
                </c:pt>
                <c:pt idx="47">
                  <c:v>4560</c:v>
                </c:pt>
                <c:pt idx="48">
                  <c:v>4488</c:v>
                </c:pt>
                <c:pt idx="49">
                  <c:v>4435</c:v>
                </c:pt>
                <c:pt idx="50">
                  <c:v>4435</c:v>
                </c:pt>
                <c:pt idx="51">
                  <c:v>4430</c:v>
                </c:pt>
                <c:pt idx="52">
                  <c:v>4324</c:v>
                </c:pt>
                <c:pt idx="53">
                  <c:v>4306</c:v>
                </c:pt>
                <c:pt idx="54">
                  <c:v>4185</c:v>
                </c:pt>
                <c:pt idx="55">
                  <c:v>4164</c:v>
                </c:pt>
                <c:pt idx="56">
                  <c:v>4147</c:v>
                </c:pt>
                <c:pt idx="57">
                  <c:v>4098</c:v>
                </c:pt>
                <c:pt idx="58">
                  <c:v>4065</c:v>
                </c:pt>
                <c:pt idx="59">
                  <c:v>4055</c:v>
                </c:pt>
                <c:pt idx="60">
                  <c:v>4042</c:v>
                </c:pt>
                <c:pt idx="61">
                  <c:v>4027</c:v>
                </c:pt>
                <c:pt idx="62">
                  <c:v>3958</c:v>
                </c:pt>
                <c:pt idx="63">
                  <c:v>3948</c:v>
                </c:pt>
                <c:pt idx="64">
                  <c:v>3867</c:v>
                </c:pt>
                <c:pt idx="65">
                  <c:v>3832</c:v>
                </c:pt>
                <c:pt idx="66">
                  <c:v>3823</c:v>
                </c:pt>
                <c:pt idx="67">
                  <c:v>3776</c:v>
                </c:pt>
                <c:pt idx="68">
                  <c:v>3726</c:v>
                </c:pt>
                <c:pt idx="69">
                  <c:v>3720</c:v>
                </c:pt>
                <c:pt idx="70">
                  <c:v>3676</c:v>
                </c:pt>
                <c:pt idx="71">
                  <c:v>3669</c:v>
                </c:pt>
                <c:pt idx="72">
                  <c:v>3665</c:v>
                </c:pt>
                <c:pt idx="73">
                  <c:v>3615</c:v>
                </c:pt>
                <c:pt idx="74">
                  <c:v>3498</c:v>
                </c:pt>
                <c:pt idx="75">
                  <c:v>3498</c:v>
                </c:pt>
                <c:pt idx="76">
                  <c:v>3384</c:v>
                </c:pt>
                <c:pt idx="77">
                  <c:v>3338</c:v>
                </c:pt>
                <c:pt idx="78">
                  <c:v>3326</c:v>
                </c:pt>
                <c:pt idx="79">
                  <c:v>3311</c:v>
                </c:pt>
                <c:pt idx="80">
                  <c:v>3268</c:v>
                </c:pt>
                <c:pt idx="81">
                  <c:v>3244</c:v>
                </c:pt>
                <c:pt idx="82">
                  <c:v>3235</c:v>
                </c:pt>
                <c:pt idx="83">
                  <c:v>3227</c:v>
                </c:pt>
                <c:pt idx="84">
                  <c:v>3215</c:v>
                </c:pt>
                <c:pt idx="85">
                  <c:v>3206</c:v>
                </c:pt>
                <c:pt idx="86">
                  <c:v>3202</c:v>
                </c:pt>
                <c:pt idx="87">
                  <c:v>3182</c:v>
                </c:pt>
                <c:pt idx="88">
                  <c:v>3165</c:v>
                </c:pt>
                <c:pt idx="89">
                  <c:v>3156</c:v>
                </c:pt>
                <c:pt idx="90">
                  <c:v>3074</c:v>
                </c:pt>
                <c:pt idx="91">
                  <c:v>3055</c:v>
                </c:pt>
                <c:pt idx="92">
                  <c:v>3028</c:v>
                </c:pt>
                <c:pt idx="93">
                  <c:v>3001</c:v>
                </c:pt>
                <c:pt idx="94">
                  <c:v>2922</c:v>
                </c:pt>
                <c:pt idx="95">
                  <c:v>2830</c:v>
                </c:pt>
                <c:pt idx="96">
                  <c:v>2768</c:v>
                </c:pt>
                <c:pt idx="97">
                  <c:v>2649</c:v>
                </c:pt>
                <c:pt idx="98">
                  <c:v>2552</c:v>
                </c:pt>
                <c:pt idx="99">
                  <c:v>2462</c:v>
                </c:pt>
              </c:numCache>
            </c:numRef>
          </c:val>
          <c:smooth val="0"/>
          <c:extLst>
            <c:ext xmlns:c16="http://schemas.microsoft.com/office/drawing/2014/chart" uri="{C3380CC4-5D6E-409C-BE32-E72D297353CC}">
              <c16:uniqueId val="{00000000-E4B8-4832-A9A2-C4AD03EDA2AE}"/>
            </c:ext>
          </c:extLst>
        </c:ser>
        <c:ser>
          <c:idx val="1"/>
          <c:order val="1"/>
          <c:tx>
            <c:strRef>
              <c:f>'DEPTH CURVES'!$C$55</c:f>
              <c:strCache>
                <c:ptCount val="1"/>
                <c:pt idx="0">
                  <c:v>LEGENDS</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CURVES'!$C$56:$C$155</c:f>
              <c:numCache>
                <c:formatCode>#,##0.0</c:formatCode>
                <c:ptCount val="100"/>
                <c:pt idx="0">
                  <c:v>11601</c:v>
                </c:pt>
                <c:pt idx="1">
                  <c:v>11001</c:v>
                </c:pt>
                <c:pt idx="2">
                  <c:v>10652</c:v>
                </c:pt>
                <c:pt idx="3">
                  <c:v>10350</c:v>
                </c:pt>
                <c:pt idx="4">
                  <c:v>10246</c:v>
                </c:pt>
                <c:pt idx="5">
                  <c:v>10175</c:v>
                </c:pt>
                <c:pt idx="6">
                  <c:v>9011</c:v>
                </c:pt>
                <c:pt idx="7">
                  <c:v>8979</c:v>
                </c:pt>
                <c:pt idx="8">
                  <c:v>8755</c:v>
                </c:pt>
                <c:pt idx="9">
                  <c:v>8491</c:v>
                </c:pt>
                <c:pt idx="10">
                  <c:v>8191</c:v>
                </c:pt>
                <c:pt idx="11">
                  <c:v>8102</c:v>
                </c:pt>
                <c:pt idx="12">
                  <c:v>7917</c:v>
                </c:pt>
                <c:pt idx="13">
                  <c:v>7812</c:v>
                </c:pt>
                <c:pt idx="14">
                  <c:v>7701</c:v>
                </c:pt>
                <c:pt idx="15">
                  <c:v>7629</c:v>
                </c:pt>
                <c:pt idx="16">
                  <c:v>7629</c:v>
                </c:pt>
                <c:pt idx="17">
                  <c:v>7447</c:v>
                </c:pt>
                <c:pt idx="18">
                  <c:v>7433</c:v>
                </c:pt>
                <c:pt idx="19">
                  <c:v>7372</c:v>
                </c:pt>
                <c:pt idx="20">
                  <c:v>7112</c:v>
                </c:pt>
                <c:pt idx="21">
                  <c:v>7080</c:v>
                </c:pt>
                <c:pt idx="22">
                  <c:v>6920</c:v>
                </c:pt>
                <c:pt idx="23">
                  <c:v>6777</c:v>
                </c:pt>
                <c:pt idx="24">
                  <c:v>6768</c:v>
                </c:pt>
                <c:pt idx="25">
                  <c:v>6730</c:v>
                </c:pt>
                <c:pt idx="26">
                  <c:v>6614</c:v>
                </c:pt>
                <c:pt idx="27">
                  <c:v>6336</c:v>
                </c:pt>
                <c:pt idx="28">
                  <c:v>6218</c:v>
                </c:pt>
                <c:pt idx="29">
                  <c:v>6058</c:v>
                </c:pt>
                <c:pt idx="30">
                  <c:v>6026</c:v>
                </c:pt>
                <c:pt idx="31">
                  <c:v>5933</c:v>
                </c:pt>
                <c:pt idx="32">
                  <c:v>5904</c:v>
                </c:pt>
                <c:pt idx="33">
                  <c:v>5871</c:v>
                </c:pt>
                <c:pt idx="34">
                  <c:v>5730</c:v>
                </c:pt>
                <c:pt idx="35">
                  <c:v>5701</c:v>
                </c:pt>
                <c:pt idx="36">
                  <c:v>5671</c:v>
                </c:pt>
                <c:pt idx="37">
                  <c:v>5622</c:v>
                </c:pt>
                <c:pt idx="38">
                  <c:v>5594</c:v>
                </c:pt>
                <c:pt idx="39">
                  <c:v>5457</c:v>
                </c:pt>
                <c:pt idx="40">
                  <c:v>5436</c:v>
                </c:pt>
                <c:pt idx="41">
                  <c:v>5353</c:v>
                </c:pt>
                <c:pt idx="42">
                  <c:v>5340</c:v>
                </c:pt>
                <c:pt idx="43">
                  <c:v>5340</c:v>
                </c:pt>
                <c:pt idx="44">
                  <c:v>5314</c:v>
                </c:pt>
                <c:pt idx="45">
                  <c:v>5304</c:v>
                </c:pt>
                <c:pt idx="46">
                  <c:v>5222</c:v>
                </c:pt>
                <c:pt idx="47">
                  <c:v>5148</c:v>
                </c:pt>
                <c:pt idx="48">
                  <c:v>5123</c:v>
                </c:pt>
                <c:pt idx="49">
                  <c:v>5099</c:v>
                </c:pt>
                <c:pt idx="50">
                  <c:v>5099</c:v>
                </c:pt>
                <c:pt idx="51">
                  <c:v>5093</c:v>
                </c:pt>
                <c:pt idx="52">
                  <c:v>5057</c:v>
                </c:pt>
                <c:pt idx="53">
                  <c:v>5001</c:v>
                </c:pt>
                <c:pt idx="54">
                  <c:v>4962</c:v>
                </c:pt>
                <c:pt idx="55">
                  <c:v>4843</c:v>
                </c:pt>
                <c:pt idx="56">
                  <c:v>4825</c:v>
                </c:pt>
                <c:pt idx="57">
                  <c:v>4770</c:v>
                </c:pt>
                <c:pt idx="58">
                  <c:v>4769</c:v>
                </c:pt>
                <c:pt idx="59">
                  <c:v>4630</c:v>
                </c:pt>
                <c:pt idx="60">
                  <c:v>4607</c:v>
                </c:pt>
                <c:pt idx="61">
                  <c:v>4594</c:v>
                </c:pt>
                <c:pt idx="62">
                  <c:v>4557</c:v>
                </c:pt>
                <c:pt idx="63">
                  <c:v>4549</c:v>
                </c:pt>
                <c:pt idx="64">
                  <c:v>4518</c:v>
                </c:pt>
                <c:pt idx="65">
                  <c:v>4518</c:v>
                </c:pt>
                <c:pt idx="66">
                  <c:v>4469</c:v>
                </c:pt>
                <c:pt idx="67">
                  <c:v>4408</c:v>
                </c:pt>
                <c:pt idx="68">
                  <c:v>4326</c:v>
                </c:pt>
                <c:pt idx="69">
                  <c:v>4306</c:v>
                </c:pt>
                <c:pt idx="70">
                  <c:v>4251</c:v>
                </c:pt>
                <c:pt idx="71">
                  <c:v>4237</c:v>
                </c:pt>
                <c:pt idx="72">
                  <c:v>4222</c:v>
                </c:pt>
                <c:pt idx="73">
                  <c:v>4185</c:v>
                </c:pt>
                <c:pt idx="74">
                  <c:v>4156</c:v>
                </c:pt>
                <c:pt idx="75">
                  <c:v>3950</c:v>
                </c:pt>
                <c:pt idx="76">
                  <c:v>3870</c:v>
                </c:pt>
                <c:pt idx="77">
                  <c:v>3820</c:v>
                </c:pt>
                <c:pt idx="78">
                  <c:v>3803</c:v>
                </c:pt>
                <c:pt idx="79">
                  <c:v>3751</c:v>
                </c:pt>
                <c:pt idx="80">
                  <c:v>3751</c:v>
                </c:pt>
                <c:pt idx="81">
                  <c:v>3750</c:v>
                </c:pt>
                <c:pt idx="82">
                  <c:v>3646</c:v>
                </c:pt>
                <c:pt idx="83">
                  <c:v>3646</c:v>
                </c:pt>
                <c:pt idx="84">
                  <c:v>3630</c:v>
                </c:pt>
                <c:pt idx="85">
                  <c:v>3568</c:v>
                </c:pt>
                <c:pt idx="86">
                  <c:v>3536</c:v>
                </c:pt>
                <c:pt idx="87">
                  <c:v>3462</c:v>
                </c:pt>
                <c:pt idx="88">
                  <c:v>3436</c:v>
                </c:pt>
                <c:pt idx="89">
                  <c:v>3306</c:v>
                </c:pt>
                <c:pt idx="90">
                  <c:v>3250</c:v>
                </c:pt>
                <c:pt idx="91">
                  <c:v>3246</c:v>
                </c:pt>
                <c:pt idx="92">
                  <c:v>3238</c:v>
                </c:pt>
                <c:pt idx="93">
                  <c:v>3220</c:v>
                </c:pt>
                <c:pt idx="94">
                  <c:v>3150</c:v>
                </c:pt>
                <c:pt idx="95">
                  <c:v>3028</c:v>
                </c:pt>
                <c:pt idx="96">
                  <c:v>3012</c:v>
                </c:pt>
                <c:pt idx="97">
                  <c:v>2940</c:v>
                </c:pt>
                <c:pt idx="98">
                  <c:v>2865</c:v>
                </c:pt>
                <c:pt idx="99">
                  <c:v>2526</c:v>
                </c:pt>
              </c:numCache>
            </c:numRef>
          </c:val>
          <c:smooth val="0"/>
          <c:extLst>
            <c:ext xmlns:c16="http://schemas.microsoft.com/office/drawing/2014/chart" uri="{C3380CC4-5D6E-409C-BE32-E72D297353CC}">
              <c16:uniqueId val="{00000001-E4B8-4832-A9A2-C4AD03EDA2AE}"/>
            </c:ext>
          </c:extLst>
        </c:ser>
        <c:ser>
          <c:idx val="2"/>
          <c:order val="2"/>
          <c:tx>
            <c:strRef>
              <c:f>'DEPTH CURVES'!$D$55</c:f>
              <c:strCache>
                <c:ptCount val="1"/>
                <c:pt idx="0">
                  <c:v>VANGUARD</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CURVES'!$D$56:$D$155</c:f>
              <c:numCache>
                <c:formatCode>#,##0.0</c:formatCode>
                <c:ptCount val="100"/>
                <c:pt idx="0">
                  <c:v>10905</c:v>
                </c:pt>
                <c:pt idx="1">
                  <c:v>10352</c:v>
                </c:pt>
                <c:pt idx="2">
                  <c:v>10306</c:v>
                </c:pt>
                <c:pt idx="3">
                  <c:v>10216</c:v>
                </c:pt>
                <c:pt idx="4">
                  <c:v>10188</c:v>
                </c:pt>
                <c:pt idx="5">
                  <c:v>10170</c:v>
                </c:pt>
                <c:pt idx="6">
                  <c:v>10132</c:v>
                </c:pt>
                <c:pt idx="7">
                  <c:v>10123</c:v>
                </c:pt>
                <c:pt idx="8">
                  <c:v>10084</c:v>
                </c:pt>
                <c:pt idx="9">
                  <c:v>10023</c:v>
                </c:pt>
                <c:pt idx="10">
                  <c:v>10023</c:v>
                </c:pt>
                <c:pt idx="11">
                  <c:v>9953</c:v>
                </c:pt>
                <c:pt idx="12">
                  <c:v>9889</c:v>
                </c:pt>
                <c:pt idx="13">
                  <c:v>9870</c:v>
                </c:pt>
                <c:pt idx="14">
                  <c:v>9724</c:v>
                </c:pt>
                <c:pt idx="15">
                  <c:v>9535</c:v>
                </c:pt>
                <c:pt idx="16">
                  <c:v>9441</c:v>
                </c:pt>
                <c:pt idx="17">
                  <c:v>9437</c:v>
                </c:pt>
                <c:pt idx="18">
                  <c:v>9403</c:v>
                </c:pt>
                <c:pt idx="19">
                  <c:v>9269</c:v>
                </c:pt>
                <c:pt idx="20">
                  <c:v>9120</c:v>
                </c:pt>
                <c:pt idx="21">
                  <c:v>9097</c:v>
                </c:pt>
                <c:pt idx="22">
                  <c:v>9093</c:v>
                </c:pt>
                <c:pt idx="23">
                  <c:v>9037</c:v>
                </c:pt>
                <c:pt idx="24">
                  <c:v>8923</c:v>
                </c:pt>
                <c:pt idx="25">
                  <c:v>8916</c:v>
                </c:pt>
                <c:pt idx="26">
                  <c:v>8622</c:v>
                </c:pt>
                <c:pt idx="27">
                  <c:v>8390</c:v>
                </c:pt>
                <c:pt idx="28">
                  <c:v>8377</c:v>
                </c:pt>
                <c:pt idx="29">
                  <c:v>8365</c:v>
                </c:pt>
                <c:pt idx="30">
                  <c:v>8365</c:v>
                </c:pt>
                <c:pt idx="31">
                  <c:v>8353</c:v>
                </c:pt>
                <c:pt idx="32">
                  <c:v>8227</c:v>
                </c:pt>
                <c:pt idx="33">
                  <c:v>8068</c:v>
                </c:pt>
                <c:pt idx="34">
                  <c:v>8028</c:v>
                </c:pt>
                <c:pt idx="35">
                  <c:v>7932</c:v>
                </c:pt>
                <c:pt idx="36">
                  <c:v>7894</c:v>
                </c:pt>
                <c:pt idx="37">
                  <c:v>7828</c:v>
                </c:pt>
                <c:pt idx="38">
                  <c:v>7533</c:v>
                </c:pt>
                <c:pt idx="39">
                  <c:v>7528</c:v>
                </c:pt>
                <c:pt idx="40">
                  <c:v>7454</c:v>
                </c:pt>
                <c:pt idx="41">
                  <c:v>7373</c:v>
                </c:pt>
                <c:pt idx="42">
                  <c:v>7346</c:v>
                </c:pt>
                <c:pt idx="43">
                  <c:v>7281</c:v>
                </c:pt>
                <c:pt idx="44">
                  <c:v>7229</c:v>
                </c:pt>
                <c:pt idx="45">
                  <c:v>7184</c:v>
                </c:pt>
                <c:pt idx="46">
                  <c:v>7130</c:v>
                </c:pt>
                <c:pt idx="47">
                  <c:v>7105</c:v>
                </c:pt>
                <c:pt idx="48">
                  <c:v>6849</c:v>
                </c:pt>
                <c:pt idx="49">
                  <c:v>6829</c:v>
                </c:pt>
                <c:pt idx="50">
                  <c:v>6829</c:v>
                </c:pt>
                <c:pt idx="51">
                  <c:v>6494</c:v>
                </c:pt>
                <c:pt idx="52">
                  <c:v>6392</c:v>
                </c:pt>
                <c:pt idx="53">
                  <c:v>6343</c:v>
                </c:pt>
                <c:pt idx="54">
                  <c:v>6299</c:v>
                </c:pt>
                <c:pt idx="55">
                  <c:v>6269</c:v>
                </c:pt>
                <c:pt idx="56">
                  <c:v>6220</c:v>
                </c:pt>
                <c:pt idx="57">
                  <c:v>6192</c:v>
                </c:pt>
                <c:pt idx="58">
                  <c:v>6148</c:v>
                </c:pt>
                <c:pt idx="59">
                  <c:v>6045</c:v>
                </c:pt>
                <c:pt idx="60">
                  <c:v>6009</c:v>
                </c:pt>
                <c:pt idx="61">
                  <c:v>5701</c:v>
                </c:pt>
                <c:pt idx="62">
                  <c:v>5585</c:v>
                </c:pt>
                <c:pt idx="63">
                  <c:v>5544</c:v>
                </c:pt>
                <c:pt idx="64">
                  <c:v>5371</c:v>
                </c:pt>
                <c:pt idx="65">
                  <c:v>5270</c:v>
                </c:pt>
                <c:pt idx="66">
                  <c:v>5179</c:v>
                </c:pt>
                <c:pt idx="67">
                  <c:v>5147</c:v>
                </c:pt>
                <c:pt idx="68">
                  <c:v>5111</c:v>
                </c:pt>
                <c:pt idx="69">
                  <c:v>5091</c:v>
                </c:pt>
                <c:pt idx="70">
                  <c:v>5091</c:v>
                </c:pt>
                <c:pt idx="71">
                  <c:v>4755</c:v>
                </c:pt>
                <c:pt idx="72">
                  <c:v>4703</c:v>
                </c:pt>
                <c:pt idx="73">
                  <c:v>4602</c:v>
                </c:pt>
                <c:pt idx="74">
                  <c:v>4581</c:v>
                </c:pt>
                <c:pt idx="75">
                  <c:v>4522</c:v>
                </c:pt>
                <c:pt idx="76">
                  <c:v>4508</c:v>
                </c:pt>
                <c:pt idx="77">
                  <c:v>4507</c:v>
                </c:pt>
                <c:pt idx="78">
                  <c:v>4440</c:v>
                </c:pt>
                <c:pt idx="79">
                  <c:v>4420</c:v>
                </c:pt>
                <c:pt idx="80">
                  <c:v>4265</c:v>
                </c:pt>
                <c:pt idx="81">
                  <c:v>4075</c:v>
                </c:pt>
                <c:pt idx="82">
                  <c:v>4048</c:v>
                </c:pt>
                <c:pt idx="83">
                  <c:v>3902</c:v>
                </c:pt>
                <c:pt idx="84">
                  <c:v>3803</c:v>
                </c:pt>
                <c:pt idx="85">
                  <c:v>3801</c:v>
                </c:pt>
                <c:pt idx="86">
                  <c:v>3768</c:v>
                </c:pt>
                <c:pt idx="87">
                  <c:v>3643</c:v>
                </c:pt>
                <c:pt idx="88">
                  <c:v>3532</c:v>
                </c:pt>
                <c:pt idx="89">
                  <c:v>3410</c:v>
                </c:pt>
                <c:pt idx="90">
                  <c:v>3410</c:v>
                </c:pt>
                <c:pt idx="91">
                  <c:v>3328</c:v>
                </c:pt>
                <c:pt idx="92">
                  <c:v>3026</c:v>
                </c:pt>
                <c:pt idx="93">
                  <c:v>3019</c:v>
                </c:pt>
                <c:pt idx="94">
                  <c:v>3012</c:v>
                </c:pt>
                <c:pt idx="95">
                  <c:v>2770</c:v>
                </c:pt>
                <c:pt idx="96">
                  <c:v>2206</c:v>
                </c:pt>
                <c:pt idx="97">
                  <c:v>2200</c:v>
                </c:pt>
                <c:pt idx="98">
                  <c:v>2148</c:v>
                </c:pt>
                <c:pt idx="99">
                  <c:v>1780</c:v>
                </c:pt>
              </c:numCache>
            </c:numRef>
          </c:val>
          <c:smooth val="0"/>
          <c:extLst>
            <c:ext xmlns:c16="http://schemas.microsoft.com/office/drawing/2014/chart" uri="{C3380CC4-5D6E-409C-BE32-E72D297353CC}">
              <c16:uniqueId val="{00000002-E4B8-4832-A9A2-C4AD03EDA2AE}"/>
            </c:ext>
          </c:extLst>
        </c:ser>
        <c:ser>
          <c:idx val="3"/>
          <c:order val="3"/>
          <c:tx>
            <c:strRef>
              <c:f>'DEPTH CURVES'!$E$55</c:f>
              <c:strCache>
                <c:ptCount val="1"/>
                <c:pt idx="0">
                  <c:v>UNDYING</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CURVES'!$E$56:$E$155</c:f>
              <c:numCache>
                <c:formatCode>#,##0.0</c:formatCode>
                <c:ptCount val="100"/>
                <c:pt idx="0">
                  <c:v>10023</c:v>
                </c:pt>
                <c:pt idx="1">
                  <c:v>9637</c:v>
                </c:pt>
                <c:pt idx="2">
                  <c:v>8843</c:v>
                </c:pt>
                <c:pt idx="3">
                  <c:v>8610</c:v>
                </c:pt>
                <c:pt idx="4">
                  <c:v>8316</c:v>
                </c:pt>
                <c:pt idx="5">
                  <c:v>8315</c:v>
                </c:pt>
                <c:pt idx="6">
                  <c:v>8226</c:v>
                </c:pt>
                <c:pt idx="7">
                  <c:v>8045</c:v>
                </c:pt>
                <c:pt idx="8">
                  <c:v>7430</c:v>
                </c:pt>
                <c:pt idx="9">
                  <c:v>7317</c:v>
                </c:pt>
                <c:pt idx="10">
                  <c:v>7258</c:v>
                </c:pt>
                <c:pt idx="11">
                  <c:v>7230</c:v>
                </c:pt>
                <c:pt idx="12">
                  <c:v>7230</c:v>
                </c:pt>
                <c:pt idx="13">
                  <c:v>7171</c:v>
                </c:pt>
                <c:pt idx="14">
                  <c:v>7122</c:v>
                </c:pt>
                <c:pt idx="15">
                  <c:v>7102</c:v>
                </c:pt>
                <c:pt idx="16">
                  <c:v>6930</c:v>
                </c:pt>
                <c:pt idx="17">
                  <c:v>6226</c:v>
                </c:pt>
                <c:pt idx="18">
                  <c:v>6226</c:v>
                </c:pt>
                <c:pt idx="19">
                  <c:v>6165</c:v>
                </c:pt>
                <c:pt idx="20">
                  <c:v>6048</c:v>
                </c:pt>
                <c:pt idx="21">
                  <c:v>5831</c:v>
                </c:pt>
                <c:pt idx="22">
                  <c:v>5620</c:v>
                </c:pt>
                <c:pt idx="23">
                  <c:v>5519</c:v>
                </c:pt>
                <c:pt idx="24">
                  <c:v>5400</c:v>
                </c:pt>
                <c:pt idx="25">
                  <c:v>5393</c:v>
                </c:pt>
                <c:pt idx="26">
                  <c:v>5223</c:v>
                </c:pt>
                <c:pt idx="27">
                  <c:v>5154</c:v>
                </c:pt>
                <c:pt idx="28">
                  <c:v>5030</c:v>
                </c:pt>
                <c:pt idx="29">
                  <c:v>4950</c:v>
                </c:pt>
                <c:pt idx="30">
                  <c:v>4763</c:v>
                </c:pt>
                <c:pt idx="31">
                  <c:v>4680</c:v>
                </c:pt>
                <c:pt idx="32">
                  <c:v>4639</c:v>
                </c:pt>
                <c:pt idx="33">
                  <c:v>4635</c:v>
                </c:pt>
                <c:pt idx="34">
                  <c:v>4549</c:v>
                </c:pt>
                <c:pt idx="35">
                  <c:v>4531</c:v>
                </c:pt>
                <c:pt idx="36">
                  <c:v>4494</c:v>
                </c:pt>
                <c:pt idx="37">
                  <c:v>4494</c:v>
                </c:pt>
                <c:pt idx="38">
                  <c:v>4462</c:v>
                </c:pt>
                <c:pt idx="39">
                  <c:v>4448</c:v>
                </c:pt>
                <c:pt idx="40">
                  <c:v>4389</c:v>
                </c:pt>
                <c:pt idx="41">
                  <c:v>4358</c:v>
                </c:pt>
                <c:pt idx="42">
                  <c:v>4324</c:v>
                </c:pt>
                <c:pt idx="43">
                  <c:v>4319</c:v>
                </c:pt>
                <c:pt idx="44">
                  <c:v>4297</c:v>
                </c:pt>
                <c:pt idx="45">
                  <c:v>4285</c:v>
                </c:pt>
                <c:pt idx="46">
                  <c:v>4259</c:v>
                </c:pt>
                <c:pt idx="47">
                  <c:v>4238</c:v>
                </c:pt>
                <c:pt idx="48">
                  <c:v>4230</c:v>
                </c:pt>
                <c:pt idx="49">
                  <c:v>4203</c:v>
                </c:pt>
                <c:pt idx="50">
                  <c:v>4202</c:v>
                </c:pt>
                <c:pt idx="51">
                  <c:v>4086</c:v>
                </c:pt>
                <c:pt idx="52">
                  <c:v>4037</c:v>
                </c:pt>
                <c:pt idx="53">
                  <c:v>4009</c:v>
                </c:pt>
                <c:pt idx="54">
                  <c:v>3990</c:v>
                </c:pt>
                <c:pt idx="55">
                  <c:v>3905</c:v>
                </c:pt>
                <c:pt idx="56">
                  <c:v>3847</c:v>
                </c:pt>
                <c:pt idx="57">
                  <c:v>3794</c:v>
                </c:pt>
                <c:pt idx="58">
                  <c:v>3767</c:v>
                </c:pt>
                <c:pt idx="59">
                  <c:v>3747</c:v>
                </c:pt>
                <c:pt idx="60">
                  <c:v>3723</c:v>
                </c:pt>
                <c:pt idx="61">
                  <c:v>3678</c:v>
                </c:pt>
                <c:pt idx="62">
                  <c:v>3678</c:v>
                </c:pt>
                <c:pt idx="63">
                  <c:v>3670</c:v>
                </c:pt>
                <c:pt idx="64">
                  <c:v>3649</c:v>
                </c:pt>
                <c:pt idx="65">
                  <c:v>3632</c:v>
                </c:pt>
                <c:pt idx="66">
                  <c:v>3611</c:v>
                </c:pt>
                <c:pt idx="67">
                  <c:v>3574</c:v>
                </c:pt>
                <c:pt idx="68">
                  <c:v>3563</c:v>
                </c:pt>
                <c:pt idx="69">
                  <c:v>3547</c:v>
                </c:pt>
                <c:pt idx="70">
                  <c:v>3528</c:v>
                </c:pt>
                <c:pt idx="71">
                  <c:v>3528</c:v>
                </c:pt>
                <c:pt idx="72">
                  <c:v>3514</c:v>
                </c:pt>
                <c:pt idx="73">
                  <c:v>3430</c:v>
                </c:pt>
                <c:pt idx="74">
                  <c:v>3401</c:v>
                </c:pt>
                <c:pt idx="75">
                  <c:v>3342</c:v>
                </c:pt>
                <c:pt idx="76">
                  <c:v>3314</c:v>
                </c:pt>
                <c:pt idx="77">
                  <c:v>3309</c:v>
                </c:pt>
                <c:pt idx="78">
                  <c:v>3298</c:v>
                </c:pt>
                <c:pt idx="79">
                  <c:v>3147</c:v>
                </c:pt>
                <c:pt idx="80">
                  <c:v>3140</c:v>
                </c:pt>
                <c:pt idx="81">
                  <c:v>3136</c:v>
                </c:pt>
                <c:pt idx="82">
                  <c:v>3012</c:v>
                </c:pt>
                <c:pt idx="83">
                  <c:v>3002</c:v>
                </c:pt>
                <c:pt idx="84">
                  <c:v>2950</c:v>
                </c:pt>
                <c:pt idx="85">
                  <c:v>2928</c:v>
                </c:pt>
                <c:pt idx="86">
                  <c:v>2885</c:v>
                </c:pt>
                <c:pt idx="87">
                  <c:v>2885</c:v>
                </c:pt>
                <c:pt idx="88">
                  <c:v>2840</c:v>
                </c:pt>
                <c:pt idx="89">
                  <c:v>2794</c:v>
                </c:pt>
                <c:pt idx="90">
                  <c:v>2727</c:v>
                </c:pt>
                <c:pt idx="91">
                  <c:v>2670</c:v>
                </c:pt>
                <c:pt idx="92">
                  <c:v>2626</c:v>
                </c:pt>
                <c:pt idx="93">
                  <c:v>2506</c:v>
                </c:pt>
                <c:pt idx="94">
                  <c:v>2314</c:v>
                </c:pt>
                <c:pt idx="95">
                  <c:v>2280</c:v>
                </c:pt>
                <c:pt idx="96">
                  <c:v>2230</c:v>
                </c:pt>
                <c:pt idx="97">
                  <c:v>2134</c:v>
                </c:pt>
                <c:pt idx="98">
                  <c:v>2133</c:v>
                </c:pt>
                <c:pt idx="99">
                  <c:v>1260</c:v>
                </c:pt>
              </c:numCache>
            </c:numRef>
          </c:val>
          <c:smooth val="0"/>
          <c:extLst>
            <c:ext xmlns:c16="http://schemas.microsoft.com/office/drawing/2014/chart" uri="{C3380CC4-5D6E-409C-BE32-E72D297353CC}">
              <c16:uniqueId val="{00000003-E4B8-4832-A9A2-C4AD03EDA2AE}"/>
            </c:ext>
          </c:extLst>
        </c:ser>
        <c:ser>
          <c:idx val="4"/>
          <c:order val="4"/>
          <c:tx>
            <c:strRef>
              <c:f>'DEPTH CURVES'!$F$55</c:f>
              <c:strCache>
                <c:ptCount val="1"/>
                <c:pt idx="0">
                  <c:v>SBG</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CURVES'!$F$56:$F$155</c:f>
              <c:numCache>
                <c:formatCode>#,##0.0</c:formatCode>
                <c:ptCount val="100"/>
                <c:pt idx="0">
                  <c:v>12383</c:v>
                </c:pt>
                <c:pt idx="1">
                  <c:v>11448</c:v>
                </c:pt>
                <c:pt idx="2">
                  <c:v>11256</c:v>
                </c:pt>
                <c:pt idx="3">
                  <c:v>11185</c:v>
                </c:pt>
                <c:pt idx="4">
                  <c:v>11000</c:v>
                </c:pt>
                <c:pt idx="5">
                  <c:v>10345</c:v>
                </c:pt>
                <c:pt idx="6">
                  <c:v>10277</c:v>
                </c:pt>
                <c:pt idx="7">
                  <c:v>10170</c:v>
                </c:pt>
                <c:pt idx="8">
                  <c:v>10047</c:v>
                </c:pt>
                <c:pt idx="9">
                  <c:v>9770</c:v>
                </c:pt>
                <c:pt idx="10">
                  <c:v>9255</c:v>
                </c:pt>
                <c:pt idx="11">
                  <c:v>9008</c:v>
                </c:pt>
                <c:pt idx="12">
                  <c:v>9003</c:v>
                </c:pt>
                <c:pt idx="13">
                  <c:v>8727</c:v>
                </c:pt>
                <c:pt idx="14">
                  <c:v>8721</c:v>
                </c:pt>
                <c:pt idx="15">
                  <c:v>8709</c:v>
                </c:pt>
                <c:pt idx="16">
                  <c:v>8709</c:v>
                </c:pt>
                <c:pt idx="17">
                  <c:v>8652</c:v>
                </c:pt>
                <c:pt idx="18">
                  <c:v>8618</c:v>
                </c:pt>
                <c:pt idx="19">
                  <c:v>8496</c:v>
                </c:pt>
                <c:pt idx="20">
                  <c:v>8417</c:v>
                </c:pt>
                <c:pt idx="21">
                  <c:v>8329</c:v>
                </c:pt>
                <c:pt idx="22">
                  <c:v>8144</c:v>
                </c:pt>
                <c:pt idx="23">
                  <c:v>8070</c:v>
                </c:pt>
                <c:pt idx="24">
                  <c:v>8023</c:v>
                </c:pt>
                <c:pt idx="25">
                  <c:v>7663</c:v>
                </c:pt>
                <c:pt idx="26">
                  <c:v>7428</c:v>
                </c:pt>
                <c:pt idx="27">
                  <c:v>7373</c:v>
                </c:pt>
                <c:pt idx="28">
                  <c:v>7289</c:v>
                </c:pt>
                <c:pt idx="29">
                  <c:v>7263</c:v>
                </c:pt>
                <c:pt idx="30">
                  <c:v>7177</c:v>
                </c:pt>
                <c:pt idx="31">
                  <c:v>7175</c:v>
                </c:pt>
                <c:pt idx="32">
                  <c:v>7130</c:v>
                </c:pt>
                <c:pt idx="33">
                  <c:v>7128</c:v>
                </c:pt>
                <c:pt idx="34">
                  <c:v>7051</c:v>
                </c:pt>
                <c:pt idx="35">
                  <c:v>7034</c:v>
                </c:pt>
                <c:pt idx="36">
                  <c:v>7013</c:v>
                </c:pt>
                <c:pt idx="37">
                  <c:v>6953</c:v>
                </c:pt>
                <c:pt idx="38">
                  <c:v>6875</c:v>
                </c:pt>
                <c:pt idx="39">
                  <c:v>6783</c:v>
                </c:pt>
                <c:pt idx="40">
                  <c:v>6423</c:v>
                </c:pt>
                <c:pt idx="41">
                  <c:v>6402</c:v>
                </c:pt>
                <c:pt idx="42">
                  <c:v>6146</c:v>
                </c:pt>
                <c:pt idx="43">
                  <c:v>6144</c:v>
                </c:pt>
                <c:pt idx="44">
                  <c:v>6114</c:v>
                </c:pt>
                <c:pt idx="45">
                  <c:v>6105</c:v>
                </c:pt>
                <c:pt idx="46">
                  <c:v>5977</c:v>
                </c:pt>
                <c:pt idx="47">
                  <c:v>5902</c:v>
                </c:pt>
                <c:pt idx="48">
                  <c:v>5788</c:v>
                </c:pt>
                <c:pt idx="49">
                  <c:v>5671</c:v>
                </c:pt>
                <c:pt idx="50">
                  <c:v>5671</c:v>
                </c:pt>
                <c:pt idx="51">
                  <c:v>5613</c:v>
                </c:pt>
                <c:pt idx="52">
                  <c:v>5386</c:v>
                </c:pt>
                <c:pt idx="53">
                  <c:v>5357</c:v>
                </c:pt>
                <c:pt idx="54">
                  <c:v>5303</c:v>
                </c:pt>
                <c:pt idx="55">
                  <c:v>5290</c:v>
                </c:pt>
                <c:pt idx="56">
                  <c:v>5226</c:v>
                </c:pt>
                <c:pt idx="57">
                  <c:v>5064</c:v>
                </c:pt>
                <c:pt idx="58">
                  <c:v>5031</c:v>
                </c:pt>
                <c:pt idx="59">
                  <c:v>5030</c:v>
                </c:pt>
                <c:pt idx="60">
                  <c:v>4931</c:v>
                </c:pt>
                <c:pt idx="61">
                  <c:v>4751</c:v>
                </c:pt>
                <c:pt idx="62">
                  <c:v>4748</c:v>
                </c:pt>
                <c:pt idx="63">
                  <c:v>4549</c:v>
                </c:pt>
                <c:pt idx="64">
                  <c:v>4411</c:v>
                </c:pt>
                <c:pt idx="65">
                  <c:v>4408</c:v>
                </c:pt>
                <c:pt idx="66">
                  <c:v>4317</c:v>
                </c:pt>
                <c:pt idx="67">
                  <c:v>4266</c:v>
                </c:pt>
                <c:pt idx="68">
                  <c:v>4151</c:v>
                </c:pt>
                <c:pt idx="69">
                  <c:v>4134</c:v>
                </c:pt>
                <c:pt idx="70">
                  <c:v>4117</c:v>
                </c:pt>
                <c:pt idx="71">
                  <c:v>4075</c:v>
                </c:pt>
                <c:pt idx="72">
                  <c:v>4043</c:v>
                </c:pt>
                <c:pt idx="73">
                  <c:v>4024</c:v>
                </c:pt>
                <c:pt idx="74">
                  <c:v>3956</c:v>
                </c:pt>
                <c:pt idx="75">
                  <c:v>3936</c:v>
                </c:pt>
                <c:pt idx="76">
                  <c:v>3927</c:v>
                </c:pt>
                <c:pt idx="77">
                  <c:v>3901</c:v>
                </c:pt>
                <c:pt idx="78">
                  <c:v>3852</c:v>
                </c:pt>
                <c:pt idx="79">
                  <c:v>3824</c:v>
                </c:pt>
                <c:pt idx="80">
                  <c:v>3784</c:v>
                </c:pt>
                <c:pt idx="81">
                  <c:v>3761</c:v>
                </c:pt>
                <c:pt idx="82">
                  <c:v>3761</c:v>
                </c:pt>
                <c:pt idx="83">
                  <c:v>3761</c:v>
                </c:pt>
                <c:pt idx="84">
                  <c:v>3555</c:v>
                </c:pt>
                <c:pt idx="85">
                  <c:v>3475</c:v>
                </c:pt>
                <c:pt idx="86">
                  <c:v>3452</c:v>
                </c:pt>
                <c:pt idx="87">
                  <c:v>3400</c:v>
                </c:pt>
                <c:pt idx="88">
                  <c:v>3372</c:v>
                </c:pt>
                <c:pt idx="89">
                  <c:v>3281</c:v>
                </c:pt>
                <c:pt idx="90">
                  <c:v>3224</c:v>
                </c:pt>
                <c:pt idx="91">
                  <c:v>3163</c:v>
                </c:pt>
                <c:pt idx="92">
                  <c:v>3038</c:v>
                </c:pt>
                <c:pt idx="93">
                  <c:v>3002</c:v>
                </c:pt>
                <c:pt idx="94">
                  <c:v>2964</c:v>
                </c:pt>
                <c:pt idx="95">
                  <c:v>2880</c:v>
                </c:pt>
                <c:pt idx="96">
                  <c:v>2831</c:v>
                </c:pt>
                <c:pt idx="97">
                  <c:v>2483</c:v>
                </c:pt>
                <c:pt idx="98">
                  <c:v>2304</c:v>
                </c:pt>
                <c:pt idx="99">
                  <c:v>2062</c:v>
                </c:pt>
              </c:numCache>
            </c:numRef>
          </c:val>
          <c:smooth val="0"/>
          <c:extLst>
            <c:ext xmlns:c16="http://schemas.microsoft.com/office/drawing/2014/chart" uri="{C3380CC4-5D6E-409C-BE32-E72D297353CC}">
              <c16:uniqueId val="{00000004-E4B8-4832-A9A2-C4AD03EDA2AE}"/>
            </c:ext>
          </c:extLst>
        </c:ser>
        <c:ser>
          <c:idx val="5"/>
          <c:order val="5"/>
          <c:tx>
            <c:strRef>
              <c:f>'DEPTH CURVES'!$G$55</c:f>
              <c:strCache>
                <c:ptCount val="1"/>
                <c:pt idx="0">
                  <c:v>AZUKI</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CURVES'!$G$56:$G$155</c:f>
              <c:numCache>
                <c:formatCode>#,##0.0</c:formatCode>
                <c:ptCount val="100"/>
                <c:pt idx="0">
                  <c:v>12511</c:v>
                </c:pt>
                <c:pt idx="1">
                  <c:v>12511</c:v>
                </c:pt>
                <c:pt idx="2">
                  <c:v>11863</c:v>
                </c:pt>
                <c:pt idx="3">
                  <c:v>11506</c:v>
                </c:pt>
                <c:pt idx="4">
                  <c:v>11394</c:v>
                </c:pt>
                <c:pt idx="5">
                  <c:v>11213</c:v>
                </c:pt>
                <c:pt idx="6">
                  <c:v>10553</c:v>
                </c:pt>
                <c:pt idx="7">
                  <c:v>10522</c:v>
                </c:pt>
                <c:pt idx="8">
                  <c:v>10490</c:v>
                </c:pt>
                <c:pt idx="9">
                  <c:v>10272</c:v>
                </c:pt>
                <c:pt idx="10">
                  <c:v>10045</c:v>
                </c:pt>
                <c:pt idx="11">
                  <c:v>10007</c:v>
                </c:pt>
                <c:pt idx="12">
                  <c:v>9912</c:v>
                </c:pt>
                <c:pt idx="13">
                  <c:v>9796</c:v>
                </c:pt>
                <c:pt idx="14">
                  <c:v>9701</c:v>
                </c:pt>
                <c:pt idx="15">
                  <c:v>9434</c:v>
                </c:pt>
                <c:pt idx="16">
                  <c:v>9398</c:v>
                </c:pt>
                <c:pt idx="17">
                  <c:v>9381</c:v>
                </c:pt>
                <c:pt idx="18">
                  <c:v>9302</c:v>
                </c:pt>
                <c:pt idx="19">
                  <c:v>9175</c:v>
                </c:pt>
                <c:pt idx="20">
                  <c:v>8685</c:v>
                </c:pt>
                <c:pt idx="21">
                  <c:v>8169</c:v>
                </c:pt>
                <c:pt idx="22">
                  <c:v>8160</c:v>
                </c:pt>
                <c:pt idx="23">
                  <c:v>7914</c:v>
                </c:pt>
                <c:pt idx="24">
                  <c:v>7741</c:v>
                </c:pt>
                <c:pt idx="25">
                  <c:v>7523</c:v>
                </c:pt>
                <c:pt idx="26">
                  <c:v>7477</c:v>
                </c:pt>
                <c:pt idx="27">
                  <c:v>7392</c:v>
                </c:pt>
                <c:pt idx="28">
                  <c:v>6888</c:v>
                </c:pt>
                <c:pt idx="29">
                  <c:v>6887</c:v>
                </c:pt>
                <c:pt idx="30">
                  <c:v>6820</c:v>
                </c:pt>
                <c:pt idx="31">
                  <c:v>6778</c:v>
                </c:pt>
                <c:pt idx="32">
                  <c:v>6637</c:v>
                </c:pt>
                <c:pt idx="33">
                  <c:v>6132</c:v>
                </c:pt>
                <c:pt idx="34">
                  <c:v>6063</c:v>
                </c:pt>
                <c:pt idx="35">
                  <c:v>6057</c:v>
                </c:pt>
                <c:pt idx="36">
                  <c:v>5920</c:v>
                </c:pt>
                <c:pt idx="37">
                  <c:v>5910</c:v>
                </c:pt>
                <c:pt idx="38">
                  <c:v>5759</c:v>
                </c:pt>
                <c:pt idx="39">
                  <c:v>5632</c:v>
                </c:pt>
                <c:pt idx="40">
                  <c:v>5563</c:v>
                </c:pt>
                <c:pt idx="41">
                  <c:v>5563</c:v>
                </c:pt>
                <c:pt idx="42">
                  <c:v>5348</c:v>
                </c:pt>
                <c:pt idx="43">
                  <c:v>5258</c:v>
                </c:pt>
                <c:pt idx="44">
                  <c:v>5230</c:v>
                </c:pt>
                <c:pt idx="45">
                  <c:v>5195</c:v>
                </c:pt>
                <c:pt idx="46">
                  <c:v>5068</c:v>
                </c:pt>
                <c:pt idx="47">
                  <c:v>5052</c:v>
                </c:pt>
                <c:pt idx="48">
                  <c:v>5000</c:v>
                </c:pt>
                <c:pt idx="49">
                  <c:v>4939</c:v>
                </c:pt>
                <c:pt idx="50">
                  <c:v>4939</c:v>
                </c:pt>
                <c:pt idx="51">
                  <c:v>4881</c:v>
                </c:pt>
                <c:pt idx="52">
                  <c:v>4872</c:v>
                </c:pt>
                <c:pt idx="53">
                  <c:v>4580</c:v>
                </c:pt>
                <c:pt idx="54">
                  <c:v>4577</c:v>
                </c:pt>
                <c:pt idx="55">
                  <c:v>4309</c:v>
                </c:pt>
                <c:pt idx="56">
                  <c:v>4200</c:v>
                </c:pt>
                <c:pt idx="57">
                  <c:v>4177</c:v>
                </c:pt>
                <c:pt idx="58">
                  <c:v>4163</c:v>
                </c:pt>
                <c:pt idx="59">
                  <c:v>4155</c:v>
                </c:pt>
                <c:pt idx="60">
                  <c:v>4150</c:v>
                </c:pt>
                <c:pt idx="61">
                  <c:v>4034</c:v>
                </c:pt>
                <c:pt idx="62">
                  <c:v>4002</c:v>
                </c:pt>
                <c:pt idx="63">
                  <c:v>3860</c:v>
                </c:pt>
                <c:pt idx="64">
                  <c:v>3846</c:v>
                </c:pt>
                <c:pt idx="65">
                  <c:v>3758</c:v>
                </c:pt>
                <c:pt idx="66">
                  <c:v>3716</c:v>
                </c:pt>
                <c:pt idx="67">
                  <c:v>3655</c:v>
                </c:pt>
                <c:pt idx="68">
                  <c:v>3609</c:v>
                </c:pt>
                <c:pt idx="69">
                  <c:v>3605</c:v>
                </c:pt>
                <c:pt idx="70">
                  <c:v>3600</c:v>
                </c:pt>
                <c:pt idx="71">
                  <c:v>3520</c:v>
                </c:pt>
                <c:pt idx="72">
                  <c:v>3510</c:v>
                </c:pt>
                <c:pt idx="73">
                  <c:v>3500</c:v>
                </c:pt>
                <c:pt idx="74">
                  <c:v>3478</c:v>
                </c:pt>
                <c:pt idx="75">
                  <c:v>3410</c:v>
                </c:pt>
                <c:pt idx="76">
                  <c:v>3400</c:v>
                </c:pt>
                <c:pt idx="77">
                  <c:v>3370</c:v>
                </c:pt>
                <c:pt idx="78">
                  <c:v>3360</c:v>
                </c:pt>
                <c:pt idx="79">
                  <c:v>3353</c:v>
                </c:pt>
                <c:pt idx="80">
                  <c:v>3321</c:v>
                </c:pt>
                <c:pt idx="81">
                  <c:v>3299</c:v>
                </c:pt>
                <c:pt idx="82">
                  <c:v>3292</c:v>
                </c:pt>
                <c:pt idx="83">
                  <c:v>3205</c:v>
                </c:pt>
                <c:pt idx="84">
                  <c:v>3106</c:v>
                </c:pt>
                <c:pt idx="85">
                  <c:v>3076</c:v>
                </c:pt>
                <c:pt idx="86">
                  <c:v>3055</c:v>
                </c:pt>
                <c:pt idx="87">
                  <c:v>3046</c:v>
                </c:pt>
                <c:pt idx="88">
                  <c:v>3042</c:v>
                </c:pt>
                <c:pt idx="89">
                  <c:v>3027</c:v>
                </c:pt>
                <c:pt idx="90">
                  <c:v>3008</c:v>
                </c:pt>
                <c:pt idx="91">
                  <c:v>2997</c:v>
                </c:pt>
                <c:pt idx="92">
                  <c:v>2988</c:v>
                </c:pt>
                <c:pt idx="93">
                  <c:v>2969</c:v>
                </c:pt>
                <c:pt idx="94">
                  <c:v>2951</c:v>
                </c:pt>
                <c:pt idx="95">
                  <c:v>2908</c:v>
                </c:pt>
                <c:pt idx="96">
                  <c:v>2714</c:v>
                </c:pt>
                <c:pt idx="97">
                  <c:v>2580</c:v>
                </c:pt>
                <c:pt idx="98">
                  <c:v>2130</c:v>
                </c:pt>
                <c:pt idx="99">
                  <c:v>2107</c:v>
                </c:pt>
              </c:numCache>
            </c:numRef>
          </c:val>
          <c:smooth val="0"/>
          <c:extLst>
            <c:ext xmlns:c16="http://schemas.microsoft.com/office/drawing/2014/chart" uri="{C3380CC4-5D6E-409C-BE32-E72D297353CC}">
              <c16:uniqueId val="{00000005-E4B8-4832-A9A2-C4AD03EDA2AE}"/>
            </c:ext>
          </c:extLst>
        </c:ser>
        <c:ser>
          <c:idx val="6"/>
          <c:order val="6"/>
          <c:tx>
            <c:strRef>
              <c:f>'DEPTH CURVES'!$H$55</c:f>
              <c:strCache>
                <c:ptCount val="1"/>
                <c:pt idx="0">
                  <c:v>RECKONING</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CURVES'!$H$56:$H$155</c:f>
              <c:numCache>
                <c:formatCode>#,##0.0</c:formatCode>
                <c:ptCount val="100"/>
                <c:pt idx="0">
                  <c:v>11024</c:v>
                </c:pt>
                <c:pt idx="1">
                  <c:v>11000</c:v>
                </c:pt>
                <c:pt idx="2">
                  <c:v>10435</c:v>
                </c:pt>
                <c:pt idx="3">
                  <c:v>10392</c:v>
                </c:pt>
                <c:pt idx="4">
                  <c:v>10388</c:v>
                </c:pt>
                <c:pt idx="5">
                  <c:v>10376</c:v>
                </c:pt>
                <c:pt idx="6">
                  <c:v>10339</c:v>
                </c:pt>
                <c:pt idx="7">
                  <c:v>10252</c:v>
                </c:pt>
                <c:pt idx="8">
                  <c:v>10069</c:v>
                </c:pt>
                <c:pt idx="9">
                  <c:v>9867</c:v>
                </c:pt>
                <c:pt idx="10">
                  <c:v>9414</c:v>
                </c:pt>
                <c:pt idx="11">
                  <c:v>9398</c:v>
                </c:pt>
                <c:pt idx="12">
                  <c:v>9229</c:v>
                </c:pt>
                <c:pt idx="13">
                  <c:v>9033</c:v>
                </c:pt>
                <c:pt idx="14">
                  <c:v>8970</c:v>
                </c:pt>
                <c:pt idx="15">
                  <c:v>8751</c:v>
                </c:pt>
                <c:pt idx="16">
                  <c:v>8751</c:v>
                </c:pt>
                <c:pt idx="17">
                  <c:v>8685</c:v>
                </c:pt>
                <c:pt idx="18">
                  <c:v>8627</c:v>
                </c:pt>
                <c:pt idx="19">
                  <c:v>8529</c:v>
                </c:pt>
                <c:pt idx="20">
                  <c:v>8316</c:v>
                </c:pt>
                <c:pt idx="21">
                  <c:v>8218</c:v>
                </c:pt>
                <c:pt idx="22">
                  <c:v>7475</c:v>
                </c:pt>
                <c:pt idx="23">
                  <c:v>7367</c:v>
                </c:pt>
                <c:pt idx="24">
                  <c:v>7352</c:v>
                </c:pt>
                <c:pt idx="25">
                  <c:v>7165</c:v>
                </c:pt>
                <c:pt idx="26">
                  <c:v>7032</c:v>
                </c:pt>
                <c:pt idx="27">
                  <c:v>6809</c:v>
                </c:pt>
                <c:pt idx="28">
                  <c:v>6704</c:v>
                </c:pt>
                <c:pt idx="29">
                  <c:v>6504</c:v>
                </c:pt>
                <c:pt idx="30">
                  <c:v>6200</c:v>
                </c:pt>
                <c:pt idx="31">
                  <c:v>6173</c:v>
                </c:pt>
                <c:pt idx="32">
                  <c:v>6000</c:v>
                </c:pt>
                <c:pt idx="33">
                  <c:v>5933</c:v>
                </c:pt>
                <c:pt idx="34">
                  <c:v>5897</c:v>
                </c:pt>
                <c:pt idx="35">
                  <c:v>5788</c:v>
                </c:pt>
                <c:pt idx="36">
                  <c:v>5574</c:v>
                </c:pt>
                <c:pt idx="37">
                  <c:v>5524</c:v>
                </c:pt>
                <c:pt idx="38">
                  <c:v>5482</c:v>
                </c:pt>
                <c:pt idx="39">
                  <c:v>5429</c:v>
                </c:pt>
                <c:pt idx="40">
                  <c:v>5364</c:v>
                </c:pt>
                <c:pt idx="41">
                  <c:v>5362</c:v>
                </c:pt>
                <c:pt idx="42">
                  <c:v>5284</c:v>
                </c:pt>
                <c:pt idx="43">
                  <c:v>5260</c:v>
                </c:pt>
                <c:pt idx="44">
                  <c:v>5244</c:v>
                </c:pt>
                <c:pt idx="45">
                  <c:v>5198</c:v>
                </c:pt>
                <c:pt idx="46">
                  <c:v>5067</c:v>
                </c:pt>
                <c:pt idx="47">
                  <c:v>5045</c:v>
                </c:pt>
                <c:pt idx="48">
                  <c:v>4872</c:v>
                </c:pt>
                <c:pt idx="49">
                  <c:v>4850</c:v>
                </c:pt>
                <c:pt idx="50">
                  <c:v>4850</c:v>
                </c:pt>
                <c:pt idx="51">
                  <c:v>4786</c:v>
                </c:pt>
                <c:pt idx="52">
                  <c:v>4771</c:v>
                </c:pt>
                <c:pt idx="53">
                  <c:v>4680</c:v>
                </c:pt>
                <c:pt idx="54">
                  <c:v>4520</c:v>
                </c:pt>
                <c:pt idx="55">
                  <c:v>4454</c:v>
                </c:pt>
                <c:pt idx="56">
                  <c:v>4305</c:v>
                </c:pt>
                <c:pt idx="57">
                  <c:v>4278</c:v>
                </c:pt>
                <c:pt idx="58">
                  <c:v>4278</c:v>
                </c:pt>
                <c:pt idx="59">
                  <c:v>4276</c:v>
                </c:pt>
                <c:pt idx="60">
                  <c:v>4209</c:v>
                </c:pt>
                <c:pt idx="61">
                  <c:v>4144</c:v>
                </c:pt>
                <c:pt idx="62">
                  <c:v>4075</c:v>
                </c:pt>
                <c:pt idx="63">
                  <c:v>4031</c:v>
                </c:pt>
                <c:pt idx="64">
                  <c:v>4000</c:v>
                </c:pt>
                <c:pt idx="65">
                  <c:v>3948</c:v>
                </c:pt>
                <c:pt idx="66">
                  <c:v>3918</c:v>
                </c:pt>
                <c:pt idx="67">
                  <c:v>3910</c:v>
                </c:pt>
                <c:pt idx="68">
                  <c:v>3878</c:v>
                </c:pt>
                <c:pt idx="69">
                  <c:v>3877</c:v>
                </c:pt>
                <c:pt idx="70">
                  <c:v>3877</c:v>
                </c:pt>
                <c:pt idx="71">
                  <c:v>3796</c:v>
                </c:pt>
                <c:pt idx="72">
                  <c:v>3782</c:v>
                </c:pt>
                <c:pt idx="73">
                  <c:v>3763</c:v>
                </c:pt>
                <c:pt idx="74">
                  <c:v>3762</c:v>
                </c:pt>
                <c:pt idx="75">
                  <c:v>3759</c:v>
                </c:pt>
                <c:pt idx="76">
                  <c:v>3738</c:v>
                </c:pt>
                <c:pt idx="77">
                  <c:v>3674</c:v>
                </c:pt>
                <c:pt idx="78">
                  <c:v>3644</c:v>
                </c:pt>
                <c:pt idx="79">
                  <c:v>3591</c:v>
                </c:pt>
                <c:pt idx="80">
                  <c:v>3590</c:v>
                </c:pt>
                <c:pt idx="81">
                  <c:v>3558</c:v>
                </c:pt>
                <c:pt idx="82">
                  <c:v>3408</c:v>
                </c:pt>
                <c:pt idx="83">
                  <c:v>3408</c:v>
                </c:pt>
                <c:pt idx="84">
                  <c:v>3308</c:v>
                </c:pt>
                <c:pt idx="85">
                  <c:v>3285</c:v>
                </c:pt>
                <c:pt idx="86">
                  <c:v>3182</c:v>
                </c:pt>
                <c:pt idx="87">
                  <c:v>3175</c:v>
                </c:pt>
                <c:pt idx="88">
                  <c:v>3101</c:v>
                </c:pt>
                <c:pt idx="89">
                  <c:v>3094</c:v>
                </c:pt>
                <c:pt idx="90">
                  <c:v>3014</c:v>
                </c:pt>
                <c:pt idx="91">
                  <c:v>2730</c:v>
                </c:pt>
                <c:pt idx="92">
                  <c:v>2674</c:v>
                </c:pt>
                <c:pt idx="93">
                  <c:v>2560</c:v>
                </c:pt>
                <c:pt idx="94">
                  <c:v>2480</c:v>
                </c:pt>
                <c:pt idx="95">
                  <c:v>2414</c:v>
                </c:pt>
                <c:pt idx="96">
                  <c:v>2273</c:v>
                </c:pt>
                <c:pt idx="97">
                  <c:v>2015</c:v>
                </c:pt>
                <c:pt idx="98">
                  <c:v>1350</c:v>
                </c:pt>
                <c:pt idx="99">
                  <c:v>1310</c:v>
                </c:pt>
              </c:numCache>
            </c:numRef>
          </c:val>
          <c:smooth val="0"/>
          <c:extLst>
            <c:ext xmlns:c16="http://schemas.microsoft.com/office/drawing/2014/chart" uri="{C3380CC4-5D6E-409C-BE32-E72D297353CC}">
              <c16:uniqueId val="{00000006-E4B8-4832-A9A2-C4AD03EDA2AE}"/>
            </c:ext>
          </c:extLst>
        </c:ser>
        <c:ser>
          <c:idx val="7"/>
          <c:order val="7"/>
          <c:tx>
            <c:strRef>
              <c:f>'DEPTH CURVES'!$I$55</c:f>
              <c:strCache>
                <c:ptCount val="1"/>
                <c:pt idx="0">
                  <c:v>ACHERON</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CURVES'!$I$56:$I$155</c:f>
              <c:numCache>
                <c:formatCode>#,##0.0</c:formatCode>
                <c:ptCount val="100"/>
                <c:pt idx="0">
                  <c:v>10705</c:v>
                </c:pt>
                <c:pt idx="1">
                  <c:v>9608</c:v>
                </c:pt>
                <c:pt idx="2">
                  <c:v>9142</c:v>
                </c:pt>
                <c:pt idx="3">
                  <c:v>8735</c:v>
                </c:pt>
                <c:pt idx="4">
                  <c:v>8372</c:v>
                </c:pt>
                <c:pt idx="5">
                  <c:v>8042</c:v>
                </c:pt>
                <c:pt idx="6">
                  <c:v>7497</c:v>
                </c:pt>
                <c:pt idx="7">
                  <c:v>7224</c:v>
                </c:pt>
                <c:pt idx="8">
                  <c:v>7224</c:v>
                </c:pt>
                <c:pt idx="9">
                  <c:v>7221</c:v>
                </c:pt>
                <c:pt idx="10">
                  <c:v>7214</c:v>
                </c:pt>
                <c:pt idx="11">
                  <c:v>6428</c:v>
                </c:pt>
                <c:pt idx="12">
                  <c:v>6285</c:v>
                </c:pt>
                <c:pt idx="13">
                  <c:v>6089</c:v>
                </c:pt>
                <c:pt idx="14">
                  <c:v>5988</c:v>
                </c:pt>
                <c:pt idx="15">
                  <c:v>5821</c:v>
                </c:pt>
                <c:pt idx="16">
                  <c:v>5699</c:v>
                </c:pt>
                <c:pt idx="17">
                  <c:v>5631</c:v>
                </c:pt>
                <c:pt idx="18">
                  <c:v>5504</c:v>
                </c:pt>
                <c:pt idx="19">
                  <c:v>5483</c:v>
                </c:pt>
                <c:pt idx="20">
                  <c:v>5432</c:v>
                </c:pt>
                <c:pt idx="21">
                  <c:v>5345</c:v>
                </c:pt>
                <c:pt idx="22">
                  <c:v>5283</c:v>
                </c:pt>
                <c:pt idx="23">
                  <c:v>5232</c:v>
                </c:pt>
                <c:pt idx="24">
                  <c:v>5096</c:v>
                </c:pt>
                <c:pt idx="25">
                  <c:v>5096</c:v>
                </c:pt>
                <c:pt idx="26">
                  <c:v>5080</c:v>
                </c:pt>
                <c:pt idx="27">
                  <c:v>4968</c:v>
                </c:pt>
                <c:pt idx="28">
                  <c:v>4956</c:v>
                </c:pt>
                <c:pt idx="29">
                  <c:v>4897</c:v>
                </c:pt>
                <c:pt idx="30">
                  <c:v>4883</c:v>
                </c:pt>
                <c:pt idx="31">
                  <c:v>4692</c:v>
                </c:pt>
                <c:pt idx="32">
                  <c:v>4613</c:v>
                </c:pt>
                <c:pt idx="33">
                  <c:v>4611</c:v>
                </c:pt>
                <c:pt idx="34">
                  <c:v>4610</c:v>
                </c:pt>
                <c:pt idx="35">
                  <c:v>4559</c:v>
                </c:pt>
                <c:pt idx="36">
                  <c:v>4533</c:v>
                </c:pt>
                <c:pt idx="37">
                  <c:v>4481</c:v>
                </c:pt>
                <c:pt idx="38">
                  <c:v>4455</c:v>
                </c:pt>
                <c:pt idx="39">
                  <c:v>4375</c:v>
                </c:pt>
                <c:pt idx="40">
                  <c:v>4361</c:v>
                </c:pt>
                <c:pt idx="41">
                  <c:v>4361</c:v>
                </c:pt>
                <c:pt idx="42">
                  <c:v>4259</c:v>
                </c:pt>
                <c:pt idx="43">
                  <c:v>4217</c:v>
                </c:pt>
                <c:pt idx="44">
                  <c:v>4044</c:v>
                </c:pt>
                <c:pt idx="45">
                  <c:v>4023</c:v>
                </c:pt>
                <c:pt idx="46">
                  <c:v>4019</c:v>
                </c:pt>
                <c:pt idx="47">
                  <c:v>4001</c:v>
                </c:pt>
                <c:pt idx="48">
                  <c:v>3933</c:v>
                </c:pt>
                <c:pt idx="49">
                  <c:v>3926</c:v>
                </c:pt>
                <c:pt idx="50">
                  <c:v>3863</c:v>
                </c:pt>
                <c:pt idx="51">
                  <c:v>3813</c:v>
                </c:pt>
                <c:pt idx="52">
                  <c:v>3702</c:v>
                </c:pt>
                <c:pt idx="53">
                  <c:v>3544</c:v>
                </c:pt>
                <c:pt idx="54">
                  <c:v>3470</c:v>
                </c:pt>
                <c:pt idx="55">
                  <c:v>3454</c:v>
                </c:pt>
                <c:pt idx="56">
                  <c:v>3435</c:v>
                </c:pt>
                <c:pt idx="57">
                  <c:v>3423</c:v>
                </c:pt>
                <c:pt idx="58">
                  <c:v>3423</c:v>
                </c:pt>
                <c:pt idx="59">
                  <c:v>3368</c:v>
                </c:pt>
                <c:pt idx="60">
                  <c:v>3347</c:v>
                </c:pt>
                <c:pt idx="61">
                  <c:v>3343</c:v>
                </c:pt>
                <c:pt idx="62">
                  <c:v>3333</c:v>
                </c:pt>
                <c:pt idx="63">
                  <c:v>3221</c:v>
                </c:pt>
                <c:pt idx="64">
                  <c:v>3214</c:v>
                </c:pt>
                <c:pt idx="65">
                  <c:v>3172</c:v>
                </c:pt>
                <c:pt idx="66">
                  <c:v>3166</c:v>
                </c:pt>
                <c:pt idx="67">
                  <c:v>3150</c:v>
                </c:pt>
                <c:pt idx="68">
                  <c:v>3144</c:v>
                </c:pt>
                <c:pt idx="69">
                  <c:v>3032</c:v>
                </c:pt>
                <c:pt idx="70">
                  <c:v>3023</c:v>
                </c:pt>
                <c:pt idx="71">
                  <c:v>2932</c:v>
                </c:pt>
                <c:pt idx="72">
                  <c:v>2881</c:v>
                </c:pt>
                <c:pt idx="73">
                  <c:v>2880</c:v>
                </c:pt>
                <c:pt idx="74">
                  <c:v>2877</c:v>
                </c:pt>
                <c:pt idx="75">
                  <c:v>2877</c:v>
                </c:pt>
                <c:pt idx="76">
                  <c:v>2828</c:v>
                </c:pt>
                <c:pt idx="77">
                  <c:v>2696</c:v>
                </c:pt>
                <c:pt idx="78">
                  <c:v>2661</c:v>
                </c:pt>
                <c:pt idx="79">
                  <c:v>2646</c:v>
                </c:pt>
                <c:pt idx="80">
                  <c:v>2582</c:v>
                </c:pt>
                <c:pt idx="81">
                  <c:v>2544</c:v>
                </c:pt>
                <c:pt idx="82">
                  <c:v>2536</c:v>
                </c:pt>
                <c:pt idx="83">
                  <c:v>2426</c:v>
                </c:pt>
                <c:pt idx="84">
                  <c:v>2410</c:v>
                </c:pt>
                <c:pt idx="85">
                  <c:v>2276</c:v>
                </c:pt>
                <c:pt idx="86">
                  <c:v>2246</c:v>
                </c:pt>
                <c:pt idx="87">
                  <c:v>2108</c:v>
                </c:pt>
                <c:pt idx="88">
                  <c:v>2056</c:v>
                </c:pt>
                <c:pt idx="89">
                  <c:v>2030</c:v>
                </c:pt>
                <c:pt idx="90">
                  <c:v>2019</c:v>
                </c:pt>
                <c:pt idx="91">
                  <c:v>2019</c:v>
                </c:pt>
                <c:pt idx="92">
                  <c:v>1440</c:v>
                </c:pt>
                <c:pt idx="93">
                  <c:v>1271</c:v>
                </c:pt>
                <c:pt idx="94">
                  <c:v>1195</c:v>
                </c:pt>
                <c:pt idx="95">
                  <c:v>1127</c:v>
                </c:pt>
                <c:pt idx="96">
                  <c:v>1095</c:v>
                </c:pt>
                <c:pt idx="97">
                  <c:v>915</c:v>
                </c:pt>
                <c:pt idx="98">
                  <c:v>782</c:v>
                </c:pt>
                <c:pt idx="99">
                  <c:v>285</c:v>
                </c:pt>
              </c:numCache>
            </c:numRef>
          </c:val>
          <c:smooth val="0"/>
          <c:extLst>
            <c:ext xmlns:c16="http://schemas.microsoft.com/office/drawing/2014/chart" uri="{C3380CC4-5D6E-409C-BE32-E72D297353CC}">
              <c16:uniqueId val="{00000007-E4B8-4832-A9A2-C4AD03EDA2AE}"/>
            </c:ext>
          </c:extLst>
        </c:ser>
        <c:ser>
          <c:idx val="8"/>
          <c:order val="8"/>
          <c:tx>
            <c:strRef>
              <c:f>'DEPTH CURVES'!$J$55</c:f>
              <c:strCache>
                <c:ptCount val="1"/>
                <c:pt idx="0">
                  <c:v>INVICTUS</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CURVES'!$J$56:$J$155</c:f>
              <c:numCache>
                <c:formatCode>#,##0.0</c:formatCode>
                <c:ptCount val="100"/>
                <c:pt idx="0">
                  <c:v>9752</c:v>
                </c:pt>
                <c:pt idx="1">
                  <c:v>9175</c:v>
                </c:pt>
                <c:pt idx="2">
                  <c:v>9005</c:v>
                </c:pt>
                <c:pt idx="3">
                  <c:v>7342</c:v>
                </c:pt>
                <c:pt idx="4">
                  <c:v>7327</c:v>
                </c:pt>
                <c:pt idx="5">
                  <c:v>7152</c:v>
                </c:pt>
                <c:pt idx="6">
                  <c:v>6215</c:v>
                </c:pt>
                <c:pt idx="7">
                  <c:v>6182</c:v>
                </c:pt>
                <c:pt idx="8">
                  <c:v>5866</c:v>
                </c:pt>
                <c:pt idx="9">
                  <c:v>5758</c:v>
                </c:pt>
                <c:pt idx="10">
                  <c:v>5528</c:v>
                </c:pt>
                <c:pt idx="11">
                  <c:v>5468</c:v>
                </c:pt>
                <c:pt idx="12">
                  <c:v>5467</c:v>
                </c:pt>
                <c:pt idx="13">
                  <c:v>5274</c:v>
                </c:pt>
                <c:pt idx="14">
                  <c:v>5062</c:v>
                </c:pt>
                <c:pt idx="15">
                  <c:v>4978</c:v>
                </c:pt>
                <c:pt idx="16">
                  <c:v>4970</c:v>
                </c:pt>
                <c:pt idx="17">
                  <c:v>4950</c:v>
                </c:pt>
                <c:pt idx="18">
                  <c:v>4802</c:v>
                </c:pt>
                <c:pt idx="19">
                  <c:v>4714</c:v>
                </c:pt>
                <c:pt idx="20">
                  <c:v>4607</c:v>
                </c:pt>
                <c:pt idx="21">
                  <c:v>4398</c:v>
                </c:pt>
                <c:pt idx="22">
                  <c:v>4315</c:v>
                </c:pt>
                <c:pt idx="23">
                  <c:v>4290</c:v>
                </c:pt>
                <c:pt idx="24">
                  <c:v>4113</c:v>
                </c:pt>
                <c:pt idx="25">
                  <c:v>4052</c:v>
                </c:pt>
                <c:pt idx="26">
                  <c:v>4029</c:v>
                </c:pt>
                <c:pt idx="27">
                  <c:v>3960</c:v>
                </c:pt>
                <c:pt idx="28">
                  <c:v>3804</c:v>
                </c:pt>
                <c:pt idx="29">
                  <c:v>3745</c:v>
                </c:pt>
                <c:pt idx="30">
                  <c:v>3704</c:v>
                </c:pt>
                <c:pt idx="31">
                  <c:v>3699</c:v>
                </c:pt>
                <c:pt idx="32">
                  <c:v>3586</c:v>
                </c:pt>
                <c:pt idx="33">
                  <c:v>3500</c:v>
                </c:pt>
                <c:pt idx="34">
                  <c:v>3495</c:v>
                </c:pt>
                <c:pt idx="35">
                  <c:v>3492</c:v>
                </c:pt>
                <c:pt idx="36">
                  <c:v>3451</c:v>
                </c:pt>
                <c:pt idx="37">
                  <c:v>3374</c:v>
                </c:pt>
                <c:pt idx="38">
                  <c:v>3332</c:v>
                </c:pt>
                <c:pt idx="39">
                  <c:v>3325</c:v>
                </c:pt>
                <c:pt idx="40">
                  <c:v>3304</c:v>
                </c:pt>
                <c:pt idx="41">
                  <c:v>3296</c:v>
                </c:pt>
                <c:pt idx="42">
                  <c:v>3291</c:v>
                </c:pt>
                <c:pt idx="43">
                  <c:v>3288</c:v>
                </c:pt>
                <c:pt idx="44">
                  <c:v>3270</c:v>
                </c:pt>
                <c:pt idx="45">
                  <c:v>3176</c:v>
                </c:pt>
                <c:pt idx="46">
                  <c:v>3154</c:v>
                </c:pt>
                <c:pt idx="47">
                  <c:v>3146</c:v>
                </c:pt>
                <c:pt idx="48">
                  <c:v>3050</c:v>
                </c:pt>
                <c:pt idx="49">
                  <c:v>3040</c:v>
                </c:pt>
                <c:pt idx="50">
                  <c:v>3040</c:v>
                </c:pt>
                <c:pt idx="51">
                  <c:v>3032</c:v>
                </c:pt>
                <c:pt idx="52">
                  <c:v>3014</c:v>
                </c:pt>
                <c:pt idx="53">
                  <c:v>2959</c:v>
                </c:pt>
                <c:pt idx="54">
                  <c:v>2906</c:v>
                </c:pt>
                <c:pt idx="55">
                  <c:v>2900</c:v>
                </c:pt>
                <c:pt idx="56">
                  <c:v>2882</c:v>
                </c:pt>
                <c:pt idx="57">
                  <c:v>2874</c:v>
                </c:pt>
                <c:pt idx="58">
                  <c:v>2830</c:v>
                </c:pt>
                <c:pt idx="59">
                  <c:v>2782</c:v>
                </c:pt>
                <c:pt idx="60">
                  <c:v>2770</c:v>
                </c:pt>
                <c:pt idx="61">
                  <c:v>2750</c:v>
                </c:pt>
                <c:pt idx="62">
                  <c:v>2742</c:v>
                </c:pt>
                <c:pt idx="63">
                  <c:v>2688</c:v>
                </c:pt>
                <c:pt idx="64">
                  <c:v>2684</c:v>
                </c:pt>
                <c:pt idx="65">
                  <c:v>2634</c:v>
                </c:pt>
                <c:pt idx="66">
                  <c:v>2592</c:v>
                </c:pt>
                <c:pt idx="67">
                  <c:v>2568</c:v>
                </c:pt>
                <c:pt idx="68">
                  <c:v>2541</c:v>
                </c:pt>
                <c:pt idx="69">
                  <c:v>2514</c:v>
                </c:pt>
                <c:pt idx="70">
                  <c:v>2422</c:v>
                </c:pt>
                <c:pt idx="71">
                  <c:v>2409</c:v>
                </c:pt>
                <c:pt idx="72">
                  <c:v>2314</c:v>
                </c:pt>
                <c:pt idx="73">
                  <c:v>2284</c:v>
                </c:pt>
                <c:pt idx="74">
                  <c:v>2234</c:v>
                </c:pt>
                <c:pt idx="75">
                  <c:v>2202</c:v>
                </c:pt>
                <c:pt idx="76">
                  <c:v>2132</c:v>
                </c:pt>
                <c:pt idx="77">
                  <c:v>2116</c:v>
                </c:pt>
                <c:pt idx="78">
                  <c:v>2073</c:v>
                </c:pt>
                <c:pt idx="79">
                  <c:v>2070</c:v>
                </c:pt>
                <c:pt idx="80">
                  <c:v>2037</c:v>
                </c:pt>
                <c:pt idx="81">
                  <c:v>2023</c:v>
                </c:pt>
                <c:pt idx="82">
                  <c:v>2017</c:v>
                </c:pt>
                <c:pt idx="83">
                  <c:v>2000</c:v>
                </c:pt>
                <c:pt idx="84">
                  <c:v>1982</c:v>
                </c:pt>
                <c:pt idx="85">
                  <c:v>1966</c:v>
                </c:pt>
                <c:pt idx="86">
                  <c:v>1780</c:v>
                </c:pt>
                <c:pt idx="87">
                  <c:v>1673</c:v>
                </c:pt>
                <c:pt idx="88">
                  <c:v>1638</c:v>
                </c:pt>
                <c:pt idx="89">
                  <c:v>1520</c:v>
                </c:pt>
                <c:pt idx="90">
                  <c:v>1500</c:v>
                </c:pt>
                <c:pt idx="91">
                  <c:v>1470</c:v>
                </c:pt>
                <c:pt idx="92">
                  <c:v>1470</c:v>
                </c:pt>
                <c:pt idx="93">
                  <c:v>1248</c:v>
                </c:pt>
                <c:pt idx="94">
                  <c:v>1217</c:v>
                </c:pt>
                <c:pt idx="95">
                  <c:v>1075</c:v>
                </c:pt>
                <c:pt idx="96">
                  <c:v>1000</c:v>
                </c:pt>
                <c:pt idx="97">
                  <c:v>869</c:v>
                </c:pt>
                <c:pt idx="98">
                  <c:v>860</c:v>
                </c:pt>
                <c:pt idx="99">
                  <c:v>510</c:v>
                </c:pt>
              </c:numCache>
            </c:numRef>
          </c:val>
          <c:smooth val="0"/>
          <c:extLst>
            <c:ext xmlns:c16="http://schemas.microsoft.com/office/drawing/2014/chart" uri="{C3380CC4-5D6E-409C-BE32-E72D297353CC}">
              <c16:uniqueId val="{00000008-E4B8-4832-A9A2-C4AD03EDA2AE}"/>
            </c:ext>
          </c:extLst>
        </c:ser>
        <c:ser>
          <c:idx val="9"/>
          <c:order val="9"/>
          <c:tx>
            <c:strRef>
              <c:f>'DEPTH CURVES'!$K$55</c:f>
              <c:strCache>
                <c:ptCount val="1"/>
                <c:pt idx="0">
                  <c:v>EMERALD LEAF TRIBE</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CURVES'!$K$56:$K$155</c:f>
              <c:numCache>
                <c:formatCode>#,##0.0</c:formatCode>
                <c:ptCount val="100"/>
                <c:pt idx="0">
                  <c:v>5260</c:v>
                </c:pt>
                <c:pt idx="1">
                  <c:v>5118</c:v>
                </c:pt>
                <c:pt idx="2">
                  <c:v>5102</c:v>
                </c:pt>
                <c:pt idx="3">
                  <c:v>4683</c:v>
                </c:pt>
                <c:pt idx="4">
                  <c:v>4649</c:v>
                </c:pt>
                <c:pt idx="5">
                  <c:v>4493</c:v>
                </c:pt>
                <c:pt idx="6">
                  <c:v>4389</c:v>
                </c:pt>
                <c:pt idx="7">
                  <c:v>4387</c:v>
                </c:pt>
                <c:pt idx="8">
                  <c:v>4250</c:v>
                </c:pt>
                <c:pt idx="9">
                  <c:v>4233</c:v>
                </c:pt>
                <c:pt idx="10">
                  <c:v>4229</c:v>
                </c:pt>
                <c:pt idx="11">
                  <c:v>4165</c:v>
                </c:pt>
                <c:pt idx="12">
                  <c:v>3849</c:v>
                </c:pt>
                <c:pt idx="13">
                  <c:v>3795</c:v>
                </c:pt>
                <c:pt idx="14">
                  <c:v>3733</c:v>
                </c:pt>
                <c:pt idx="15">
                  <c:v>3604</c:v>
                </c:pt>
                <c:pt idx="16">
                  <c:v>3604</c:v>
                </c:pt>
                <c:pt idx="17">
                  <c:v>3559</c:v>
                </c:pt>
                <c:pt idx="18">
                  <c:v>3380</c:v>
                </c:pt>
                <c:pt idx="19">
                  <c:v>3352</c:v>
                </c:pt>
                <c:pt idx="20">
                  <c:v>3310</c:v>
                </c:pt>
                <c:pt idx="21">
                  <c:v>3302</c:v>
                </c:pt>
                <c:pt idx="22">
                  <c:v>3295</c:v>
                </c:pt>
                <c:pt idx="23">
                  <c:v>3112</c:v>
                </c:pt>
                <c:pt idx="24">
                  <c:v>3019</c:v>
                </c:pt>
                <c:pt idx="25">
                  <c:v>2961</c:v>
                </c:pt>
                <c:pt idx="26">
                  <c:v>2903</c:v>
                </c:pt>
                <c:pt idx="27">
                  <c:v>2820</c:v>
                </c:pt>
                <c:pt idx="28">
                  <c:v>2818</c:v>
                </c:pt>
                <c:pt idx="29">
                  <c:v>2798</c:v>
                </c:pt>
                <c:pt idx="30">
                  <c:v>2766</c:v>
                </c:pt>
                <c:pt idx="31">
                  <c:v>2636</c:v>
                </c:pt>
                <c:pt idx="32">
                  <c:v>2624</c:v>
                </c:pt>
                <c:pt idx="33">
                  <c:v>2622</c:v>
                </c:pt>
                <c:pt idx="34">
                  <c:v>2597</c:v>
                </c:pt>
                <c:pt idx="35">
                  <c:v>2580</c:v>
                </c:pt>
                <c:pt idx="36">
                  <c:v>2572</c:v>
                </c:pt>
                <c:pt idx="37">
                  <c:v>2564</c:v>
                </c:pt>
                <c:pt idx="38">
                  <c:v>2564</c:v>
                </c:pt>
                <c:pt idx="39">
                  <c:v>2560</c:v>
                </c:pt>
                <c:pt idx="40">
                  <c:v>2552</c:v>
                </c:pt>
                <c:pt idx="41">
                  <c:v>2510</c:v>
                </c:pt>
                <c:pt idx="42">
                  <c:v>2480</c:v>
                </c:pt>
                <c:pt idx="43">
                  <c:v>2478</c:v>
                </c:pt>
                <c:pt idx="44">
                  <c:v>2393</c:v>
                </c:pt>
                <c:pt idx="45">
                  <c:v>2380</c:v>
                </c:pt>
                <c:pt idx="46">
                  <c:v>2358</c:v>
                </c:pt>
                <c:pt idx="47">
                  <c:v>2292</c:v>
                </c:pt>
                <c:pt idx="48">
                  <c:v>2190</c:v>
                </c:pt>
                <c:pt idx="49">
                  <c:v>2180</c:v>
                </c:pt>
                <c:pt idx="50">
                  <c:v>2180</c:v>
                </c:pt>
                <c:pt idx="51">
                  <c:v>2172</c:v>
                </c:pt>
                <c:pt idx="52">
                  <c:v>2142</c:v>
                </c:pt>
                <c:pt idx="53">
                  <c:v>2110</c:v>
                </c:pt>
                <c:pt idx="54">
                  <c:v>2030</c:v>
                </c:pt>
                <c:pt idx="55">
                  <c:v>2015</c:v>
                </c:pt>
                <c:pt idx="56">
                  <c:v>1999</c:v>
                </c:pt>
                <c:pt idx="57">
                  <c:v>1969</c:v>
                </c:pt>
                <c:pt idx="58">
                  <c:v>1960</c:v>
                </c:pt>
                <c:pt idx="59">
                  <c:v>1890</c:v>
                </c:pt>
                <c:pt idx="60">
                  <c:v>1859</c:v>
                </c:pt>
                <c:pt idx="61">
                  <c:v>1766</c:v>
                </c:pt>
                <c:pt idx="62">
                  <c:v>1740</c:v>
                </c:pt>
                <c:pt idx="63">
                  <c:v>1683</c:v>
                </c:pt>
                <c:pt idx="64">
                  <c:v>1676</c:v>
                </c:pt>
                <c:pt idx="65">
                  <c:v>1662</c:v>
                </c:pt>
                <c:pt idx="66">
                  <c:v>1645</c:v>
                </c:pt>
                <c:pt idx="67">
                  <c:v>1639</c:v>
                </c:pt>
                <c:pt idx="68">
                  <c:v>1591</c:v>
                </c:pt>
                <c:pt idx="69">
                  <c:v>1543</c:v>
                </c:pt>
                <c:pt idx="70">
                  <c:v>1525</c:v>
                </c:pt>
                <c:pt idx="71">
                  <c:v>1500</c:v>
                </c:pt>
                <c:pt idx="72">
                  <c:v>1492</c:v>
                </c:pt>
                <c:pt idx="73">
                  <c:v>1470</c:v>
                </c:pt>
                <c:pt idx="74">
                  <c:v>1430</c:v>
                </c:pt>
                <c:pt idx="75">
                  <c:v>1400</c:v>
                </c:pt>
                <c:pt idx="76">
                  <c:v>1396</c:v>
                </c:pt>
                <c:pt idx="77">
                  <c:v>1370</c:v>
                </c:pt>
                <c:pt idx="78">
                  <c:v>1251</c:v>
                </c:pt>
                <c:pt idx="79">
                  <c:v>1230</c:v>
                </c:pt>
                <c:pt idx="80">
                  <c:v>1155</c:v>
                </c:pt>
                <c:pt idx="81">
                  <c:v>1152</c:v>
                </c:pt>
                <c:pt idx="82">
                  <c:v>1050</c:v>
                </c:pt>
                <c:pt idx="83">
                  <c:v>1050</c:v>
                </c:pt>
                <c:pt idx="84">
                  <c:v>1049</c:v>
                </c:pt>
                <c:pt idx="85">
                  <c:v>1020</c:v>
                </c:pt>
                <c:pt idx="86">
                  <c:v>988</c:v>
                </c:pt>
                <c:pt idx="87">
                  <c:v>985</c:v>
                </c:pt>
                <c:pt idx="88">
                  <c:v>920</c:v>
                </c:pt>
                <c:pt idx="89">
                  <c:v>918</c:v>
                </c:pt>
                <c:pt idx="90">
                  <c:v>840</c:v>
                </c:pt>
                <c:pt idx="91">
                  <c:v>759</c:v>
                </c:pt>
                <c:pt idx="92">
                  <c:v>740</c:v>
                </c:pt>
                <c:pt idx="93">
                  <c:v>710</c:v>
                </c:pt>
                <c:pt idx="94">
                  <c:v>685</c:v>
                </c:pt>
                <c:pt idx="95">
                  <c:v>622</c:v>
                </c:pt>
                <c:pt idx="96">
                  <c:v>562</c:v>
                </c:pt>
                <c:pt idx="97">
                  <c:v>544</c:v>
                </c:pt>
                <c:pt idx="98">
                  <c:v>540</c:v>
                </c:pt>
                <c:pt idx="99">
                  <c:v>30</c:v>
                </c:pt>
              </c:numCache>
            </c:numRef>
          </c:val>
          <c:smooth val="0"/>
          <c:extLst>
            <c:ext xmlns:c16="http://schemas.microsoft.com/office/drawing/2014/chart" uri="{C3380CC4-5D6E-409C-BE32-E72D297353CC}">
              <c16:uniqueId val="{00000009-E4B8-4832-A9A2-C4AD03EDA2AE}"/>
            </c:ext>
          </c:extLst>
        </c:ser>
        <c:ser>
          <c:idx val="10"/>
          <c:order val="10"/>
          <c:tx>
            <c:strRef>
              <c:f>'DEPTH CURVES'!$L$55</c:f>
              <c:strCache>
                <c:ptCount val="1"/>
                <c:pt idx="0">
                  <c:v>SUB ROSA</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CURVES'!$L$56:$L$155</c:f>
              <c:numCache>
                <c:formatCode>#,##0.0</c:formatCode>
                <c:ptCount val="100"/>
                <c:pt idx="0">
                  <c:v>11094</c:v>
                </c:pt>
                <c:pt idx="1">
                  <c:v>11094</c:v>
                </c:pt>
                <c:pt idx="2">
                  <c:v>10121</c:v>
                </c:pt>
                <c:pt idx="3">
                  <c:v>9887</c:v>
                </c:pt>
                <c:pt idx="4">
                  <c:v>9887</c:v>
                </c:pt>
                <c:pt idx="5">
                  <c:v>7463</c:v>
                </c:pt>
                <c:pt idx="6">
                  <c:v>7163</c:v>
                </c:pt>
                <c:pt idx="7">
                  <c:v>7163</c:v>
                </c:pt>
                <c:pt idx="8">
                  <c:v>6342</c:v>
                </c:pt>
                <c:pt idx="9">
                  <c:v>6165</c:v>
                </c:pt>
                <c:pt idx="10">
                  <c:v>6165</c:v>
                </c:pt>
                <c:pt idx="11">
                  <c:v>6013</c:v>
                </c:pt>
                <c:pt idx="12">
                  <c:v>5117</c:v>
                </c:pt>
                <c:pt idx="13">
                  <c:v>4711</c:v>
                </c:pt>
                <c:pt idx="14">
                  <c:v>4711</c:v>
                </c:pt>
                <c:pt idx="15">
                  <c:v>4690</c:v>
                </c:pt>
                <c:pt idx="16">
                  <c:v>4581</c:v>
                </c:pt>
                <c:pt idx="17">
                  <c:v>4581</c:v>
                </c:pt>
                <c:pt idx="18">
                  <c:v>4476</c:v>
                </c:pt>
                <c:pt idx="19">
                  <c:v>4404</c:v>
                </c:pt>
                <c:pt idx="20">
                  <c:v>4404</c:v>
                </c:pt>
                <c:pt idx="21">
                  <c:v>4110</c:v>
                </c:pt>
                <c:pt idx="22">
                  <c:v>3932</c:v>
                </c:pt>
                <c:pt idx="23">
                  <c:v>3932</c:v>
                </c:pt>
                <c:pt idx="24">
                  <c:v>3924</c:v>
                </c:pt>
                <c:pt idx="25">
                  <c:v>3648</c:v>
                </c:pt>
                <c:pt idx="26">
                  <c:v>3648</c:v>
                </c:pt>
                <c:pt idx="27">
                  <c:v>3548</c:v>
                </c:pt>
                <c:pt idx="28">
                  <c:v>3464</c:v>
                </c:pt>
                <c:pt idx="29">
                  <c:v>3464</c:v>
                </c:pt>
                <c:pt idx="30">
                  <c:v>3397</c:v>
                </c:pt>
                <c:pt idx="31">
                  <c:v>3149</c:v>
                </c:pt>
                <c:pt idx="32">
                  <c:v>3149</c:v>
                </c:pt>
                <c:pt idx="33">
                  <c:v>3140</c:v>
                </c:pt>
                <c:pt idx="34">
                  <c:v>3103</c:v>
                </c:pt>
                <c:pt idx="35">
                  <c:v>3103</c:v>
                </c:pt>
                <c:pt idx="36">
                  <c:v>3050</c:v>
                </c:pt>
                <c:pt idx="37">
                  <c:v>2876</c:v>
                </c:pt>
                <c:pt idx="38">
                  <c:v>2857</c:v>
                </c:pt>
                <c:pt idx="39">
                  <c:v>2857</c:v>
                </c:pt>
                <c:pt idx="40">
                  <c:v>2848</c:v>
                </c:pt>
                <c:pt idx="41">
                  <c:v>2722</c:v>
                </c:pt>
                <c:pt idx="42">
                  <c:v>2722</c:v>
                </c:pt>
                <c:pt idx="43">
                  <c:v>2710</c:v>
                </c:pt>
                <c:pt idx="44">
                  <c:v>2650</c:v>
                </c:pt>
                <c:pt idx="45">
                  <c:v>2650</c:v>
                </c:pt>
                <c:pt idx="46">
                  <c:v>2630</c:v>
                </c:pt>
                <c:pt idx="47">
                  <c:v>2614</c:v>
                </c:pt>
                <c:pt idx="48">
                  <c:v>2614</c:v>
                </c:pt>
                <c:pt idx="49">
                  <c:v>2554</c:v>
                </c:pt>
                <c:pt idx="50">
                  <c:v>2404</c:v>
                </c:pt>
                <c:pt idx="51">
                  <c:v>2404</c:v>
                </c:pt>
                <c:pt idx="52">
                  <c:v>2308</c:v>
                </c:pt>
                <c:pt idx="53">
                  <c:v>2308</c:v>
                </c:pt>
                <c:pt idx="54">
                  <c:v>2308</c:v>
                </c:pt>
                <c:pt idx="55">
                  <c:v>2296</c:v>
                </c:pt>
                <c:pt idx="56">
                  <c:v>2260</c:v>
                </c:pt>
                <c:pt idx="57">
                  <c:v>2260</c:v>
                </c:pt>
                <c:pt idx="58">
                  <c:v>2192</c:v>
                </c:pt>
                <c:pt idx="59">
                  <c:v>2139</c:v>
                </c:pt>
                <c:pt idx="60">
                  <c:v>2139</c:v>
                </c:pt>
                <c:pt idx="61">
                  <c:v>2100</c:v>
                </c:pt>
                <c:pt idx="62">
                  <c:v>2100</c:v>
                </c:pt>
                <c:pt idx="63">
                  <c:v>2057</c:v>
                </c:pt>
                <c:pt idx="64">
                  <c:v>2057</c:v>
                </c:pt>
                <c:pt idx="65">
                  <c:v>1969</c:v>
                </c:pt>
                <c:pt idx="66">
                  <c:v>1920</c:v>
                </c:pt>
                <c:pt idx="67">
                  <c:v>1920</c:v>
                </c:pt>
                <c:pt idx="68">
                  <c:v>1912</c:v>
                </c:pt>
                <c:pt idx="69">
                  <c:v>1910</c:v>
                </c:pt>
                <c:pt idx="70">
                  <c:v>1910</c:v>
                </c:pt>
                <c:pt idx="71">
                  <c:v>1842</c:v>
                </c:pt>
                <c:pt idx="72">
                  <c:v>1786</c:v>
                </c:pt>
                <c:pt idx="73">
                  <c:v>1786</c:v>
                </c:pt>
                <c:pt idx="74">
                  <c:v>1533</c:v>
                </c:pt>
                <c:pt idx="75">
                  <c:v>1490</c:v>
                </c:pt>
                <c:pt idx="76">
                  <c:v>1490</c:v>
                </c:pt>
                <c:pt idx="77">
                  <c:v>1480</c:v>
                </c:pt>
                <c:pt idx="78">
                  <c:v>1390</c:v>
                </c:pt>
                <c:pt idx="79">
                  <c:v>1390</c:v>
                </c:pt>
                <c:pt idx="80">
                  <c:v>1327</c:v>
                </c:pt>
                <c:pt idx="81">
                  <c:v>1240</c:v>
                </c:pt>
                <c:pt idx="82">
                  <c:v>1240</c:v>
                </c:pt>
                <c:pt idx="83">
                  <c:v>1214</c:v>
                </c:pt>
                <c:pt idx="84">
                  <c:v>1126</c:v>
                </c:pt>
                <c:pt idx="85">
                  <c:v>1126</c:v>
                </c:pt>
                <c:pt idx="86">
                  <c:v>1100</c:v>
                </c:pt>
                <c:pt idx="87">
                  <c:v>1060</c:v>
                </c:pt>
                <c:pt idx="88">
                  <c:v>1030</c:v>
                </c:pt>
                <c:pt idx="89">
                  <c:v>1030</c:v>
                </c:pt>
                <c:pt idx="90">
                  <c:v>1010</c:v>
                </c:pt>
                <c:pt idx="91">
                  <c:v>963</c:v>
                </c:pt>
                <c:pt idx="92">
                  <c:v>963</c:v>
                </c:pt>
                <c:pt idx="93">
                  <c:v>849</c:v>
                </c:pt>
                <c:pt idx="94">
                  <c:v>791</c:v>
                </c:pt>
                <c:pt idx="95">
                  <c:v>791</c:v>
                </c:pt>
                <c:pt idx="96">
                  <c:v>620</c:v>
                </c:pt>
                <c:pt idx="97">
                  <c:v>465</c:v>
                </c:pt>
                <c:pt idx="98">
                  <c:v>465</c:v>
                </c:pt>
                <c:pt idx="99">
                  <c:v>460</c:v>
                </c:pt>
              </c:numCache>
            </c:numRef>
          </c:val>
          <c:smooth val="0"/>
          <c:extLst>
            <c:ext xmlns:c16="http://schemas.microsoft.com/office/drawing/2014/chart" uri="{C3380CC4-5D6E-409C-BE32-E72D297353CC}">
              <c16:uniqueId val="{0000000A-E4B8-4832-A9A2-C4AD03EDA2AE}"/>
            </c:ext>
          </c:extLst>
        </c:ser>
        <c:ser>
          <c:idx val="11"/>
          <c:order val="11"/>
          <c:tx>
            <c:strRef>
              <c:f>'DEPTH CURVES'!$M$55</c:f>
              <c:strCache>
                <c:ptCount val="1"/>
                <c:pt idx="0">
                  <c:v>VENGEANCE</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CURVES'!$M$56:$M$155</c:f>
              <c:numCache>
                <c:formatCode>#,##0.0</c:formatCode>
                <c:ptCount val="100"/>
                <c:pt idx="0">
                  <c:v>7759</c:v>
                </c:pt>
                <c:pt idx="1">
                  <c:v>7574</c:v>
                </c:pt>
                <c:pt idx="2">
                  <c:v>7544</c:v>
                </c:pt>
                <c:pt idx="3">
                  <c:v>7513</c:v>
                </c:pt>
                <c:pt idx="4">
                  <c:v>6757</c:v>
                </c:pt>
                <c:pt idx="5">
                  <c:v>6380</c:v>
                </c:pt>
                <c:pt idx="6">
                  <c:v>5909</c:v>
                </c:pt>
                <c:pt idx="7">
                  <c:v>5695</c:v>
                </c:pt>
                <c:pt idx="8">
                  <c:v>5695</c:v>
                </c:pt>
                <c:pt idx="9">
                  <c:v>5646</c:v>
                </c:pt>
                <c:pt idx="10">
                  <c:v>5626</c:v>
                </c:pt>
                <c:pt idx="11">
                  <c:v>5330</c:v>
                </c:pt>
                <c:pt idx="12">
                  <c:v>5268</c:v>
                </c:pt>
                <c:pt idx="13">
                  <c:v>5185</c:v>
                </c:pt>
                <c:pt idx="14">
                  <c:v>5177</c:v>
                </c:pt>
                <c:pt idx="15">
                  <c:v>5114</c:v>
                </c:pt>
                <c:pt idx="16">
                  <c:v>4911</c:v>
                </c:pt>
                <c:pt idx="17">
                  <c:v>4900</c:v>
                </c:pt>
                <c:pt idx="18">
                  <c:v>4884</c:v>
                </c:pt>
                <c:pt idx="19">
                  <c:v>4744</c:v>
                </c:pt>
                <c:pt idx="20">
                  <c:v>4695</c:v>
                </c:pt>
                <c:pt idx="21">
                  <c:v>4661</c:v>
                </c:pt>
                <c:pt idx="22">
                  <c:v>4629</c:v>
                </c:pt>
                <c:pt idx="23">
                  <c:v>4517</c:v>
                </c:pt>
                <c:pt idx="24">
                  <c:v>4410</c:v>
                </c:pt>
                <c:pt idx="25">
                  <c:v>4410</c:v>
                </c:pt>
                <c:pt idx="26">
                  <c:v>4332</c:v>
                </c:pt>
                <c:pt idx="27">
                  <c:v>4332</c:v>
                </c:pt>
                <c:pt idx="28">
                  <c:v>4291</c:v>
                </c:pt>
                <c:pt idx="29">
                  <c:v>4213</c:v>
                </c:pt>
                <c:pt idx="30">
                  <c:v>4164</c:v>
                </c:pt>
                <c:pt idx="31">
                  <c:v>4081</c:v>
                </c:pt>
                <c:pt idx="32">
                  <c:v>4069</c:v>
                </c:pt>
                <c:pt idx="33">
                  <c:v>4030</c:v>
                </c:pt>
                <c:pt idx="34">
                  <c:v>4022</c:v>
                </c:pt>
                <c:pt idx="35">
                  <c:v>4020</c:v>
                </c:pt>
                <c:pt idx="36">
                  <c:v>3918</c:v>
                </c:pt>
                <c:pt idx="37">
                  <c:v>3860</c:v>
                </c:pt>
                <c:pt idx="38">
                  <c:v>3844</c:v>
                </c:pt>
                <c:pt idx="39">
                  <c:v>3762</c:v>
                </c:pt>
                <c:pt idx="40">
                  <c:v>3708</c:v>
                </c:pt>
                <c:pt idx="41">
                  <c:v>3708</c:v>
                </c:pt>
                <c:pt idx="42">
                  <c:v>3566</c:v>
                </c:pt>
                <c:pt idx="43">
                  <c:v>3542</c:v>
                </c:pt>
                <c:pt idx="44">
                  <c:v>3529</c:v>
                </c:pt>
                <c:pt idx="45">
                  <c:v>3524</c:v>
                </c:pt>
                <c:pt idx="46">
                  <c:v>3520</c:v>
                </c:pt>
                <c:pt idx="47">
                  <c:v>3490</c:v>
                </c:pt>
                <c:pt idx="48">
                  <c:v>3422</c:v>
                </c:pt>
                <c:pt idx="49">
                  <c:v>3418</c:v>
                </c:pt>
                <c:pt idx="50">
                  <c:v>3408</c:v>
                </c:pt>
                <c:pt idx="51">
                  <c:v>3399</c:v>
                </c:pt>
                <c:pt idx="52">
                  <c:v>3302</c:v>
                </c:pt>
                <c:pt idx="53">
                  <c:v>3299</c:v>
                </c:pt>
                <c:pt idx="54">
                  <c:v>3250</c:v>
                </c:pt>
                <c:pt idx="55">
                  <c:v>3239</c:v>
                </c:pt>
                <c:pt idx="56">
                  <c:v>3198</c:v>
                </c:pt>
                <c:pt idx="57">
                  <c:v>3172</c:v>
                </c:pt>
                <c:pt idx="58">
                  <c:v>3172</c:v>
                </c:pt>
                <c:pt idx="59">
                  <c:v>3104</c:v>
                </c:pt>
                <c:pt idx="60">
                  <c:v>3002</c:v>
                </c:pt>
                <c:pt idx="61">
                  <c:v>2981</c:v>
                </c:pt>
                <c:pt idx="62">
                  <c:v>2977</c:v>
                </c:pt>
                <c:pt idx="63">
                  <c:v>2895</c:v>
                </c:pt>
                <c:pt idx="64">
                  <c:v>2806</c:v>
                </c:pt>
                <c:pt idx="65">
                  <c:v>2803</c:v>
                </c:pt>
                <c:pt idx="66">
                  <c:v>2707</c:v>
                </c:pt>
                <c:pt idx="67">
                  <c:v>2688</c:v>
                </c:pt>
                <c:pt idx="68">
                  <c:v>2681</c:v>
                </c:pt>
                <c:pt idx="69">
                  <c:v>2678</c:v>
                </c:pt>
                <c:pt idx="70">
                  <c:v>2619</c:v>
                </c:pt>
                <c:pt idx="71">
                  <c:v>2609</c:v>
                </c:pt>
                <c:pt idx="72">
                  <c:v>2580</c:v>
                </c:pt>
                <c:pt idx="73">
                  <c:v>2536</c:v>
                </c:pt>
                <c:pt idx="74">
                  <c:v>2536</c:v>
                </c:pt>
                <c:pt idx="75">
                  <c:v>2536</c:v>
                </c:pt>
                <c:pt idx="76">
                  <c:v>2526</c:v>
                </c:pt>
                <c:pt idx="77">
                  <c:v>2472</c:v>
                </c:pt>
                <c:pt idx="78">
                  <c:v>2450</c:v>
                </c:pt>
                <c:pt idx="79">
                  <c:v>2308</c:v>
                </c:pt>
                <c:pt idx="80">
                  <c:v>2281</c:v>
                </c:pt>
                <c:pt idx="81">
                  <c:v>2270</c:v>
                </c:pt>
                <c:pt idx="82">
                  <c:v>2219</c:v>
                </c:pt>
                <c:pt idx="83">
                  <c:v>2202</c:v>
                </c:pt>
                <c:pt idx="84">
                  <c:v>2184</c:v>
                </c:pt>
                <c:pt idx="85">
                  <c:v>2098</c:v>
                </c:pt>
                <c:pt idx="86">
                  <c:v>2080</c:v>
                </c:pt>
                <c:pt idx="87">
                  <c:v>2044</c:v>
                </c:pt>
                <c:pt idx="88">
                  <c:v>2039</c:v>
                </c:pt>
                <c:pt idx="89">
                  <c:v>1869</c:v>
                </c:pt>
                <c:pt idx="90">
                  <c:v>1855</c:v>
                </c:pt>
                <c:pt idx="91">
                  <c:v>1855</c:v>
                </c:pt>
                <c:pt idx="92">
                  <c:v>1780</c:v>
                </c:pt>
                <c:pt idx="93">
                  <c:v>1717</c:v>
                </c:pt>
                <c:pt idx="94">
                  <c:v>1686</c:v>
                </c:pt>
                <c:pt idx="95">
                  <c:v>1680</c:v>
                </c:pt>
                <c:pt idx="96">
                  <c:v>1680</c:v>
                </c:pt>
                <c:pt idx="97">
                  <c:v>1588</c:v>
                </c:pt>
                <c:pt idx="98">
                  <c:v>1304</c:v>
                </c:pt>
                <c:pt idx="99">
                  <c:v>440</c:v>
                </c:pt>
              </c:numCache>
            </c:numRef>
          </c:val>
          <c:smooth val="0"/>
          <c:extLst>
            <c:ext xmlns:c16="http://schemas.microsoft.com/office/drawing/2014/chart" uri="{C3380CC4-5D6E-409C-BE32-E72D297353CC}">
              <c16:uniqueId val="{0000000B-E4B8-4832-A9A2-C4AD03EDA2AE}"/>
            </c:ext>
          </c:extLst>
        </c:ser>
        <c:ser>
          <c:idx val="12"/>
          <c:order val="12"/>
          <c:tx>
            <c:strRef>
              <c:f>'DEPTH CURVES'!$N$55</c:f>
              <c:strCache>
                <c:ptCount val="1"/>
                <c:pt idx="0">
                  <c:v>VENDETTA</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CURVES'!$N$56:$N$155</c:f>
              <c:numCache>
                <c:formatCode>#,##0.0</c:formatCode>
                <c:ptCount val="100"/>
                <c:pt idx="0">
                  <c:v>4790</c:v>
                </c:pt>
                <c:pt idx="1">
                  <c:v>3894</c:v>
                </c:pt>
                <c:pt idx="2">
                  <c:v>3833</c:v>
                </c:pt>
                <c:pt idx="3">
                  <c:v>3685</c:v>
                </c:pt>
                <c:pt idx="4">
                  <c:v>3592</c:v>
                </c:pt>
                <c:pt idx="5">
                  <c:v>3586</c:v>
                </c:pt>
                <c:pt idx="6">
                  <c:v>3513</c:v>
                </c:pt>
                <c:pt idx="7">
                  <c:v>3513</c:v>
                </c:pt>
                <c:pt idx="8">
                  <c:v>3473</c:v>
                </c:pt>
                <c:pt idx="9">
                  <c:v>3282</c:v>
                </c:pt>
                <c:pt idx="10">
                  <c:v>3238</c:v>
                </c:pt>
                <c:pt idx="11">
                  <c:v>3219</c:v>
                </c:pt>
                <c:pt idx="12">
                  <c:v>3130</c:v>
                </c:pt>
                <c:pt idx="13">
                  <c:v>3109</c:v>
                </c:pt>
                <c:pt idx="14">
                  <c:v>3024</c:v>
                </c:pt>
                <c:pt idx="15">
                  <c:v>2998</c:v>
                </c:pt>
                <c:pt idx="16">
                  <c:v>2980</c:v>
                </c:pt>
                <c:pt idx="17">
                  <c:v>2932</c:v>
                </c:pt>
                <c:pt idx="18">
                  <c:v>2920</c:v>
                </c:pt>
                <c:pt idx="19">
                  <c:v>2897</c:v>
                </c:pt>
                <c:pt idx="20">
                  <c:v>2872</c:v>
                </c:pt>
                <c:pt idx="21">
                  <c:v>2872</c:v>
                </c:pt>
                <c:pt idx="22">
                  <c:v>2847</c:v>
                </c:pt>
                <c:pt idx="23">
                  <c:v>2833</c:v>
                </c:pt>
                <c:pt idx="24">
                  <c:v>2734</c:v>
                </c:pt>
                <c:pt idx="25">
                  <c:v>2728</c:v>
                </c:pt>
                <c:pt idx="26">
                  <c:v>2718</c:v>
                </c:pt>
                <c:pt idx="27">
                  <c:v>2671</c:v>
                </c:pt>
                <c:pt idx="28">
                  <c:v>2635</c:v>
                </c:pt>
                <c:pt idx="29">
                  <c:v>2634</c:v>
                </c:pt>
                <c:pt idx="30">
                  <c:v>2618</c:v>
                </c:pt>
                <c:pt idx="31">
                  <c:v>2528</c:v>
                </c:pt>
                <c:pt idx="32">
                  <c:v>2515</c:v>
                </c:pt>
                <c:pt idx="33">
                  <c:v>2454</c:v>
                </c:pt>
                <c:pt idx="34">
                  <c:v>2415</c:v>
                </c:pt>
                <c:pt idx="35">
                  <c:v>2415</c:v>
                </c:pt>
                <c:pt idx="36">
                  <c:v>2397</c:v>
                </c:pt>
                <c:pt idx="37">
                  <c:v>2360</c:v>
                </c:pt>
                <c:pt idx="38">
                  <c:v>2328</c:v>
                </c:pt>
                <c:pt idx="39">
                  <c:v>2286</c:v>
                </c:pt>
                <c:pt idx="40">
                  <c:v>2257</c:v>
                </c:pt>
                <c:pt idx="41">
                  <c:v>2220</c:v>
                </c:pt>
                <c:pt idx="42">
                  <c:v>2157</c:v>
                </c:pt>
                <c:pt idx="43">
                  <c:v>2122</c:v>
                </c:pt>
                <c:pt idx="44">
                  <c:v>2099</c:v>
                </c:pt>
                <c:pt idx="45">
                  <c:v>2088</c:v>
                </c:pt>
                <c:pt idx="46">
                  <c:v>2085</c:v>
                </c:pt>
                <c:pt idx="47">
                  <c:v>2040</c:v>
                </c:pt>
                <c:pt idx="48">
                  <c:v>2036</c:v>
                </c:pt>
                <c:pt idx="49">
                  <c:v>2030</c:v>
                </c:pt>
                <c:pt idx="50">
                  <c:v>2030</c:v>
                </c:pt>
                <c:pt idx="51">
                  <c:v>1990</c:v>
                </c:pt>
                <c:pt idx="52">
                  <c:v>1983</c:v>
                </c:pt>
                <c:pt idx="53">
                  <c:v>1960</c:v>
                </c:pt>
                <c:pt idx="54">
                  <c:v>1947</c:v>
                </c:pt>
                <c:pt idx="55">
                  <c:v>1910</c:v>
                </c:pt>
                <c:pt idx="56">
                  <c:v>1854</c:v>
                </c:pt>
                <c:pt idx="57">
                  <c:v>1836</c:v>
                </c:pt>
                <c:pt idx="58">
                  <c:v>1827</c:v>
                </c:pt>
                <c:pt idx="59">
                  <c:v>1755</c:v>
                </c:pt>
                <c:pt idx="60">
                  <c:v>1749</c:v>
                </c:pt>
                <c:pt idx="61">
                  <c:v>1744</c:v>
                </c:pt>
                <c:pt idx="62">
                  <c:v>1680</c:v>
                </c:pt>
                <c:pt idx="63">
                  <c:v>1610</c:v>
                </c:pt>
                <c:pt idx="64">
                  <c:v>1610</c:v>
                </c:pt>
                <c:pt idx="65">
                  <c:v>1570</c:v>
                </c:pt>
                <c:pt idx="66">
                  <c:v>1550</c:v>
                </c:pt>
                <c:pt idx="67">
                  <c:v>1526</c:v>
                </c:pt>
                <c:pt idx="68">
                  <c:v>1521</c:v>
                </c:pt>
                <c:pt idx="69">
                  <c:v>1500</c:v>
                </c:pt>
                <c:pt idx="70">
                  <c:v>1500</c:v>
                </c:pt>
                <c:pt idx="71">
                  <c:v>1470</c:v>
                </c:pt>
                <c:pt idx="72">
                  <c:v>1435</c:v>
                </c:pt>
                <c:pt idx="73">
                  <c:v>1426</c:v>
                </c:pt>
                <c:pt idx="74">
                  <c:v>1422</c:v>
                </c:pt>
                <c:pt idx="75">
                  <c:v>1411</c:v>
                </c:pt>
                <c:pt idx="76">
                  <c:v>1401</c:v>
                </c:pt>
                <c:pt idx="77">
                  <c:v>1395</c:v>
                </c:pt>
                <c:pt idx="78">
                  <c:v>1395</c:v>
                </c:pt>
                <c:pt idx="79">
                  <c:v>1390</c:v>
                </c:pt>
                <c:pt idx="80">
                  <c:v>1388</c:v>
                </c:pt>
                <c:pt idx="81">
                  <c:v>1322</c:v>
                </c:pt>
                <c:pt idx="82">
                  <c:v>1310</c:v>
                </c:pt>
                <c:pt idx="83">
                  <c:v>1274</c:v>
                </c:pt>
                <c:pt idx="84">
                  <c:v>1256</c:v>
                </c:pt>
                <c:pt idx="85">
                  <c:v>1233</c:v>
                </c:pt>
                <c:pt idx="86">
                  <c:v>1134</c:v>
                </c:pt>
                <c:pt idx="87">
                  <c:v>1095</c:v>
                </c:pt>
                <c:pt idx="88">
                  <c:v>995</c:v>
                </c:pt>
                <c:pt idx="89">
                  <c:v>986</c:v>
                </c:pt>
                <c:pt idx="90">
                  <c:v>980</c:v>
                </c:pt>
                <c:pt idx="91">
                  <c:v>972</c:v>
                </c:pt>
                <c:pt idx="92">
                  <c:v>972</c:v>
                </c:pt>
                <c:pt idx="93">
                  <c:v>945</c:v>
                </c:pt>
                <c:pt idx="94">
                  <c:v>860</c:v>
                </c:pt>
                <c:pt idx="95">
                  <c:v>825</c:v>
                </c:pt>
                <c:pt idx="96">
                  <c:v>740</c:v>
                </c:pt>
                <c:pt idx="97">
                  <c:v>710</c:v>
                </c:pt>
                <c:pt idx="98">
                  <c:v>685</c:v>
                </c:pt>
                <c:pt idx="99">
                  <c:v>225</c:v>
                </c:pt>
              </c:numCache>
            </c:numRef>
          </c:val>
          <c:smooth val="0"/>
          <c:extLst>
            <c:ext xmlns:c16="http://schemas.microsoft.com/office/drawing/2014/chart" uri="{C3380CC4-5D6E-409C-BE32-E72D297353CC}">
              <c16:uniqueId val="{0000000C-E4B8-4832-A9A2-C4AD03EDA2AE}"/>
            </c:ext>
          </c:extLst>
        </c:ser>
        <c:ser>
          <c:idx val="13"/>
          <c:order val="13"/>
          <c:tx>
            <c:strRef>
              <c:f>'DEPTH CURVES'!$O$55</c:f>
              <c:strCache>
                <c:ptCount val="1"/>
                <c:pt idx="0">
                  <c:v>ZOMBIES</c:v>
                </c:pt>
              </c:strCache>
            </c:strRef>
          </c:tx>
          <c:spPr>
            <a:ln w="12600">
              <a:solidFill>
                <a:srgbClr val="C9C3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CURVES'!$O$56:$O$155</c:f>
              <c:numCache>
                <c:formatCode>#,##0.0</c:formatCode>
                <c:ptCount val="100"/>
                <c:pt idx="0">
                  <c:v>8652</c:v>
                </c:pt>
                <c:pt idx="1">
                  <c:v>8150</c:v>
                </c:pt>
                <c:pt idx="2">
                  <c:v>7277</c:v>
                </c:pt>
                <c:pt idx="3">
                  <c:v>6533</c:v>
                </c:pt>
                <c:pt idx="4">
                  <c:v>4749</c:v>
                </c:pt>
                <c:pt idx="5">
                  <c:v>4593</c:v>
                </c:pt>
                <c:pt idx="6">
                  <c:v>4179</c:v>
                </c:pt>
                <c:pt idx="7">
                  <c:v>3762</c:v>
                </c:pt>
                <c:pt idx="8">
                  <c:v>3654</c:v>
                </c:pt>
                <c:pt idx="9">
                  <c:v>3473</c:v>
                </c:pt>
                <c:pt idx="10">
                  <c:v>3455</c:v>
                </c:pt>
                <c:pt idx="11">
                  <c:v>3353</c:v>
                </c:pt>
                <c:pt idx="12">
                  <c:v>3338</c:v>
                </c:pt>
                <c:pt idx="13">
                  <c:v>3200</c:v>
                </c:pt>
                <c:pt idx="14">
                  <c:v>3172</c:v>
                </c:pt>
                <c:pt idx="15">
                  <c:v>3147</c:v>
                </c:pt>
                <c:pt idx="16">
                  <c:v>3128</c:v>
                </c:pt>
                <c:pt idx="17">
                  <c:v>2830</c:v>
                </c:pt>
                <c:pt idx="18">
                  <c:v>2804</c:v>
                </c:pt>
                <c:pt idx="19">
                  <c:v>2687</c:v>
                </c:pt>
                <c:pt idx="20">
                  <c:v>2630</c:v>
                </c:pt>
                <c:pt idx="21">
                  <c:v>2580</c:v>
                </c:pt>
                <c:pt idx="22">
                  <c:v>2529</c:v>
                </c:pt>
                <c:pt idx="23">
                  <c:v>2500</c:v>
                </c:pt>
                <c:pt idx="24">
                  <c:v>2496</c:v>
                </c:pt>
                <c:pt idx="25">
                  <c:v>2496</c:v>
                </c:pt>
                <c:pt idx="26">
                  <c:v>2466</c:v>
                </c:pt>
                <c:pt idx="27">
                  <c:v>2454</c:v>
                </c:pt>
                <c:pt idx="28">
                  <c:v>2426</c:v>
                </c:pt>
                <c:pt idx="29">
                  <c:v>2404</c:v>
                </c:pt>
                <c:pt idx="30">
                  <c:v>2384</c:v>
                </c:pt>
                <c:pt idx="31">
                  <c:v>2332</c:v>
                </c:pt>
                <c:pt idx="32">
                  <c:v>2308</c:v>
                </c:pt>
                <c:pt idx="33">
                  <c:v>2290</c:v>
                </c:pt>
                <c:pt idx="34">
                  <c:v>2221</c:v>
                </c:pt>
                <c:pt idx="35">
                  <c:v>2203</c:v>
                </c:pt>
                <c:pt idx="36">
                  <c:v>2153</c:v>
                </c:pt>
                <c:pt idx="37">
                  <c:v>2106</c:v>
                </c:pt>
                <c:pt idx="38">
                  <c:v>2046</c:v>
                </c:pt>
                <c:pt idx="39">
                  <c:v>2040</c:v>
                </c:pt>
                <c:pt idx="40">
                  <c:v>2030</c:v>
                </c:pt>
                <c:pt idx="41">
                  <c:v>2002</c:v>
                </c:pt>
                <c:pt idx="42">
                  <c:v>1914</c:v>
                </c:pt>
                <c:pt idx="43">
                  <c:v>1908</c:v>
                </c:pt>
                <c:pt idx="44">
                  <c:v>1874</c:v>
                </c:pt>
                <c:pt idx="45">
                  <c:v>1840</c:v>
                </c:pt>
                <c:pt idx="46">
                  <c:v>1826</c:v>
                </c:pt>
                <c:pt idx="47">
                  <c:v>1820</c:v>
                </c:pt>
                <c:pt idx="48">
                  <c:v>1780</c:v>
                </c:pt>
                <c:pt idx="49">
                  <c:v>1740</c:v>
                </c:pt>
                <c:pt idx="50">
                  <c:v>1739</c:v>
                </c:pt>
                <c:pt idx="51">
                  <c:v>1686</c:v>
                </c:pt>
                <c:pt idx="52">
                  <c:v>1639</c:v>
                </c:pt>
                <c:pt idx="53">
                  <c:v>1630</c:v>
                </c:pt>
                <c:pt idx="54">
                  <c:v>1630</c:v>
                </c:pt>
                <c:pt idx="55">
                  <c:v>1619</c:v>
                </c:pt>
                <c:pt idx="56">
                  <c:v>1560</c:v>
                </c:pt>
                <c:pt idx="57">
                  <c:v>1528</c:v>
                </c:pt>
                <c:pt idx="58">
                  <c:v>1484</c:v>
                </c:pt>
                <c:pt idx="59">
                  <c:v>1481</c:v>
                </c:pt>
                <c:pt idx="60">
                  <c:v>1468</c:v>
                </c:pt>
                <c:pt idx="61">
                  <c:v>1422</c:v>
                </c:pt>
                <c:pt idx="62">
                  <c:v>1420</c:v>
                </c:pt>
                <c:pt idx="63">
                  <c:v>1416</c:v>
                </c:pt>
                <c:pt idx="64">
                  <c:v>1405</c:v>
                </c:pt>
                <c:pt idx="65">
                  <c:v>1404</c:v>
                </c:pt>
                <c:pt idx="66">
                  <c:v>1382</c:v>
                </c:pt>
                <c:pt idx="67">
                  <c:v>1340</c:v>
                </c:pt>
                <c:pt idx="68">
                  <c:v>1310</c:v>
                </c:pt>
                <c:pt idx="69">
                  <c:v>1253</c:v>
                </c:pt>
                <c:pt idx="70">
                  <c:v>1230</c:v>
                </c:pt>
                <c:pt idx="71">
                  <c:v>1211</c:v>
                </c:pt>
                <c:pt idx="72">
                  <c:v>1200</c:v>
                </c:pt>
                <c:pt idx="73">
                  <c:v>1170</c:v>
                </c:pt>
                <c:pt idx="74">
                  <c:v>1150</c:v>
                </c:pt>
                <c:pt idx="75">
                  <c:v>1150</c:v>
                </c:pt>
                <c:pt idx="76">
                  <c:v>1120</c:v>
                </c:pt>
                <c:pt idx="77">
                  <c:v>1103</c:v>
                </c:pt>
                <c:pt idx="78">
                  <c:v>1085</c:v>
                </c:pt>
                <c:pt idx="79">
                  <c:v>1069</c:v>
                </c:pt>
                <c:pt idx="80">
                  <c:v>1066</c:v>
                </c:pt>
                <c:pt idx="81">
                  <c:v>1064</c:v>
                </c:pt>
                <c:pt idx="82">
                  <c:v>1060</c:v>
                </c:pt>
                <c:pt idx="83">
                  <c:v>1035</c:v>
                </c:pt>
                <c:pt idx="84">
                  <c:v>1031</c:v>
                </c:pt>
                <c:pt idx="85">
                  <c:v>1028</c:v>
                </c:pt>
                <c:pt idx="86">
                  <c:v>990</c:v>
                </c:pt>
                <c:pt idx="87">
                  <c:v>885</c:v>
                </c:pt>
                <c:pt idx="88">
                  <c:v>841</c:v>
                </c:pt>
                <c:pt idx="89">
                  <c:v>833</c:v>
                </c:pt>
                <c:pt idx="90">
                  <c:v>785</c:v>
                </c:pt>
                <c:pt idx="91">
                  <c:v>760</c:v>
                </c:pt>
                <c:pt idx="92">
                  <c:v>752</c:v>
                </c:pt>
                <c:pt idx="93">
                  <c:v>730</c:v>
                </c:pt>
                <c:pt idx="94">
                  <c:v>700</c:v>
                </c:pt>
                <c:pt idx="95">
                  <c:v>600</c:v>
                </c:pt>
                <c:pt idx="96">
                  <c:v>560</c:v>
                </c:pt>
                <c:pt idx="97">
                  <c:v>540</c:v>
                </c:pt>
                <c:pt idx="98">
                  <c:v>531</c:v>
                </c:pt>
                <c:pt idx="99">
                  <c:v>380</c:v>
                </c:pt>
              </c:numCache>
            </c:numRef>
          </c:val>
          <c:smooth val="0"/>
          <c:extLst>
            <c:ext xmlns:c16="http://schemas.microsoft.com/office/drawing/2014/chart" uri="{C3380CC4-5D6E-409C-BE32-E72D297353CC}">
              <c16:uniqueId val="{0000000D-E4B8-4832-A9A2-C4AD03EDA2AE}"/>
            </c:ext>
          </c:extLst>
        </c:ser>
        <c:ser>
          <c:idx val="14"/>
          <c:order val="14"/>
          <c:tx>
            <c:strRef>
              <c:f>'DEPTH CURVES'!$P$55</c:f>
              <c:strCache>
                <c:ptCount val="1"/>
                <c:pt idx="0">
                  <c:v>FUCT</c:v>
                </c:pt>
              </c:strCache>
            </c:strRef>
          </c:tx>
          <c:spPr>
            <a:ln w="43200">
              <a:solidFill>
                <a:srgbClr val="7030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CURVES'!$P$56:$P$155</c:f>
              <c:numCache>
                <c:formatCode>#,##0.0</c:formatCode>
                <c:ptCount val="100"/>
                <c:pt idx="0">
                  <c:v>11602</c:v>
                </c:pt>
                <c:pt idx="1">
                  <c:v>10376</c:v>
                </c:pt>
                <c:pt idx="2">
                  <c:v>10332</c:v>
                </c:pt>
                <c:pt idx="3">
                  <c:v>10077</c:v>
                </c:pt>
                <c:pt idx="4">
                  <c:v>10023</c:v>
                </c:pt>
                <c:pt idx="5">
                  <c:v>9868</c:v>
                </c:pt>
                <c:pt idx="6">
                  <c:v>9600</c:v>
                </c:pt>
                <c:pt idx="7">
                  <c:v>9278</c:v>
                </c:pt>
                <c:pt idx="8">
                  <c:v>8770</c:v>
                </c:pt>
                <c:pt idx="9">
                  <c:v>8529</c:v>
                </c:pt>
                <c:pt idx="10">
                  <c:v>8503</c:v>
                </c:pt>
                <c:pt idx="11">
                  <c:v>8394</c:v>
                </c:pt>
                <c:pt idx="12">
                  <c:v>8277</c:v>
                </c:pt>
                <c:pt idx="13">
                  <c:v>8011</c:v>
                </c:pt>
                <c:pt idx="14">
                  <c:v>7946</c:v>
                </c:pt>
                <c:pt idx="15">
                  <c:v>7793</c:v>
                </c:pt>
                <c:pt idx="16">
                  <c:v>7500</c:v>
                </c:pt>
                <c:pt idx="17">
                  <c:v>7436</c:v>
                </c:pt>
                <c:pt idx="18">
                  <c:v>7419</c:v>
                </c:pt>
                <c:pt idx="19">
                  <c:v>7364</c:v>
                </c:pt>
                <c:pt idx="20">
                  <c:v>7355</c:v>
                </c:pt>
                <c:pt idx="21">
                  <c:v>7300</c:v>
                </c:pt>
                <c:pt idx="22">
                  <c:v>7134</c:v>
                </c:pt>
                <c:pt idx="23">
                  <c:v>6734</c:v>
                </c:pt>
                <c:pt idx="24">
                  <c:v>6573</c:v>
                </c:pt>
                <c:pt idx="25">
                  <c:v>6522</c:v>
                </c:pt>
                <c:pt idx="26">
                  <c:v>6200</c:v>
                </c:pt>
                <c:pt idx="27">
                  <c:v>6126</c:v>
                </c:pt>
                <c:pt idx="28">
                  <c:v>5971</c:v>
                </c:pt>
                <c:pt idx="29">
                  <c:v>5912</c:v>
                </c:pt>
                <c:pt idx="30">
                  <c:v>5749</c:v>
                </c:pt>
                <c:pt idx="31">
                  <c:v>5680</c:v>
                </c:pt>
                <c:pt idx="32">
                  <c:v>5557</c:v>
                </c:pt>
                <c:pt idx="33">
                  <c:v>5524</c:v>
                </c:pt>
                <c:pt idx="34">
                  <c:v>5492</c:v>
                </c:pt>
                <c:pt idx="35">
                  <c:v>5337</c:v>
                </c:pt>
                <c:pt idx="36">
                  <c:v>5240</c:v>
                </c:pt>
                <c:pt idx="37">
                  <c:v>5147</c:v>
                </c:pt>
                <c:pt idx="38">
                  <c:v>5144</c:v>
                </c:pt>
                <c:pt idx="39">
                  <c:v>5104</c:v>
                </c:pt>
                <c:pt idx="40">
                  <c:v>5092</c:v>
                </c:pt>
                <c:pt idx="41">
                  <c:v>4987</c:v>
                </c:pt>
                <c:pt idx="42">
                  <c:v>4973</c:v>
                </c:pt>
                <c:pt idx="43">
                  <c:v>4820</c:v>
                </c:pt>
                <c:pt idx="44">
                  <c:v>4733</c:v>
                </c:pt>
                <c:pt idx="45">
                  <c:v>4627</c:v>
                </c:pt>
                <c:pt idx="46">
                  <c:v>4609</c:v>
                </c:pt>
                <c:pt idx="47">
                  <c:v>4560</c:v>
                </c:pt>
                <c:pt idx="48">
                  <c:v>4488</c:v>
                </c:pt>
                <c:pt idx="49">
                  <c:v>4435</c:v>
                </c:pt>
                <c:pt idx="50">
                  <c:v>4435</c:v>
                </c:pt>
                <c:pt idx="51">
                  <c:v>4430</c:v>
                </c:pt>
                <c:pt idx="52">
                  <c:v>4324</c:v>
                </c:pt>
                <c:pt idx="53">
                  <c:v>4306</c:v>
                </c:pt>
                <c:pt idx="54">
                  <c:v>4185</c:v>
                </c:pt>
                <c:pt idx="55">
                  <c:v>4164</c:v>
                </c:pt>
                <c:pt idx="56">
                  <c:v>4147</c:v>
                </c:pt>
                <c:pt idx="57">
                  <c:v>4098</c:v>
                </c:pt>
                <c:pt idx="58">
                  <c:v>4065</c:v>
                </c:pt>
                <c:pt idx="59">
                  <c:v>4055</c:v>
                </c:pt>
                <c:pt idx="60">
                  <c:v>4042</c:v>
                </c:pt>
                <c:pt idx="61">
                  <c:v>4027</c:v>
                </c:pt>
                <c:pt idx="62">
                  <c:v>3958</c:v>
                </c:pt>
                <c:pt idx="63">
                  <c:v>3948</c:v>
                </c:pt>
                <c:pt idx="64">
                  <c:v>3867</c:v>
                </c:pt>
                <c:pt idx="65">
                  <c:v>3832</c:v>
                </c:pt>
                <c:pt idx="66">
                  <c:v>3823</c:v>
                </c:pt>
                <c:pt idx="67">
                  <c:v>3776</c:v>
                </c:pt>
                <c:pt idx="68">
                  <c:v>3726</c:v>
                </c:pt>
                <c:pt idx="69">
                  <c:v>3720</c:v>
                </c:pt>
                <c:pt idx="70">
                  <c:v>3676</c:v>
                </c:pt>
                <c:pt idx="71">
                  <c:v>3669</c:v>
                </c:pt>
                <c:pt idx="72">
                  <c:v>3665</c:v>
                </c:pt>
                <c:pt idx="73">
                  <c:v>3615</c:v>
                </c:pt>
                <c:pt idx="74">
                  <c:v>3498</c:v>
                </c:pt>
                <c:pt idx="75">
                  <c:v>3498</c:v>
                </c:pt>
                <c:pt idx="76">
                  <c:v>3384</c:v>
                </c:pt>
                <c:pt idx="77">
                  <c:v>3338</c:v>
                </c:pt>
                <c:pt idx="78">
                  <c:v>3326</c:v>
                </c:pt>
                <c:pt idx="79">
                  <c:v>3311</c:v>
                </c:pt>
                <c:pt idx="80">
                  <c:v>3268</c:v>
                </c:pt>
                <c:pt idx="81">
                  <c:v>3244</c:v>
                </c:pt>
                <c:pt idx="82">
                  <c:v>3235</c:v>
                </c:pt>
                <c:pt idx="83">
                  <c:v>3227</c:v>
                </c:pt>
                <c:pt idx="84">
                  <c:v>3215</c:v>
                </c:pt>
                <c:pt idx="85">
                  <c:v>3206</c:v>
                </c:pt>
                <c:pt idx="86">
                  <c:v>3202</c:v>
                </c:pt>
                <c:pt idx="87">
                  <c:v>3182</c:v>
                </c:pt>
                <c:pt idx="88">
                  <c:v>3165</c:v>
                </c:pt>
                <c:pt idx="89">
                  <c:v>3156</c:v>
                </c:pt>
                <c:pt idx="90">
                  <c:v>3074</c:v>
                </c:pt>
                <c:pt idx="91">
                  <c:v>3055</c:v>
                </c:pt>
                <c:pt idx="92">
                  <c:v>3028</c:v>
                </c:pt>
                <c:pt idx="93">
                  <c:v>3001</c:v>
                </c:pt>
                <c:pt idx="94">
                  <c:v>2922</c:v>
                </c:pt>
                <c:pt idx="95">
                  <c:v>2830</c:v>
                </c:pt>
                <c:pt idx="96">
                  <c:v>2768</c:v>
                </c:pt>
                <c:pt idx="97">
                  <c:v>2649</c:v>
                </c:pt>
                <c:pt idx="98">
                  <c:v>2552</c:v>
                </c:pt>
                <c:pt idx="99">
                  <c:v>2462</c:v>
                </c:pt>
              </c:numCache>
            </c:numRef>
          </c:val>
          <c:smooth val="0"/>
          <c:extLst>
            <c:ext xmlns:c16="http://schemas.microsoft.com/office/drawing/2014/chart" uri="{C3380CC4-5D6E-409C-BE32-E72D297353CC}">
              <c16:uniqueId val="{0000000E-E4B8-4832-A9A2-C4AD03EDA2AE}"/>
            </c:ext>
          </c:extLst>
        </c:ser>
        <c:ser>
          <c:idx val="15"/>
          <c:order val="15"/>
          <c:tx>
            <c:strRef>
              <c:f>'DEPTH CURVES'!$Q$55</c:f>
              <c:strCache>
                <c:ptCount val="1"/>
                <c:pt idx="0">
                  <c:v>RIVAL</c:v>
                </c:pt>
              </c:strCache>
            </c:strRef>
          </c:tx>
          <c:spPr>
            <a:ln w="3816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'DEPTH CURVES'!$A$56:$A$155</c:f>
              <c:numCache>
                <c:formatCode>0%</c:formatCode>
                <c:ptCount val="10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0.92</c:v>
                </c:pt>
                <c:pt idx="92">
                  <c:v>0.93</c:v>
                </c:pt>
                <c:pt idx="93">
                  <c:v>0.94</c:v>
                </c:pt>
                <c:pt idx="94">
                  <c:v>0.95</c:v>
                </c:pt>
                <c:pt idx="95">
                  <c:v>0.96</c:v>
                </c:pt>
                <c:pt idx="96">
                  <c:v>0.97</c:v>
                </c:pt>
                <c:pt idx="97">
                  <c:v>0.98</c:v>
                </c:pt>
                <c:pt idx="98">
                  <c:v>0.99</c:v>
                </c:pt>
                <c:pt idx="99">
                  <c:v>1</c:v>
                </c:pt>
              </c:numCache>
            </c:numRef>
          </c:cat>
          <c:val>
            <c:numRef>
              <c:f>'DEPTH CURVES'!$Q$56:$Q$155</c:f>
              <c:numCache>
                <c:formatCode>#,##0.0</c:formatCode>
                <c:ptCount val="100"/>
                <c:pt idx="0">
                  <c:v>10023</c:v>
                </c:pt>
                <c:pt idx="1">
                  <c:v>9637</c:v>
                </c:pt>
                <c:pt idx="2">
                  <c:v>8843</c:v>
                </c:pt>
                <c:pt idx="3">
                  <c:v>8610</c:v>
                </c:pt>
                <c:pt idx="4">
                  <c:v>8316</c:v>
                </c:pt>
                <c:pt idx="5">
                  <c:v>8315</c:v>
                </c:pt>
                <c:pt idx="6">
                  <c:v>8226</c:v>
                </c:pt>
                <c:pt idx="7">
                  <c:v>8045</c:v>
                </c:pt>
                <c:pt idx="8">
                  <c:v>7430</c:v>
                </c:pt>
                <c:pt idx="9">
                  <c:v>7317</c:v>
                </c:pt>
                <c:pt idx="10">
                  <c:v>7258</c:v>
                </c:pt>
                <c:pt idx="11">
                  <c:v>7230</c:v>
                </c:pt>
                <c:pt idx="12">
                  <c:v>7230</c:v>
                </c:pt>
                <c:pt idx="13">
                  <c:v>7171</c:v>
                </c:pt>
                <c:pt idx="14">
                  <c:v>7122</c:v>
                </c:pt>
                <c:pt idx="15">
                  <c:v>7102</c:v>
                </c:pt>
                <c:pt idx="16">
                  <c:v>6930</c:v>
                </c:pt>
                <c:pt idx="17">
                  <c:v>6226</c:v>
                </c:pt>
                <c:pt idx="18">
                  <c:v>6226</c:v>
                </c:pt>
                <c:pt idx="19">
                  <c:v>6165</c:v>
                </c:pt>
                <c:pt idx="20">
                  <c:v>6048</c:v>
                </c:pt>
                <c:pt idx="21">
                  <c:v>5831</c:v>
                </c:pt>
                <c:pt idx="22">
                  <c:v>5620</c:v>
                </c:pt>
                <c:pt idx="23">
                  <c:v>5519</c:v>
                </c:pt>
                <c:pt idx="24">
                  <c:v>5400</c:v>
                </c:pt>
                <c:pt idx="25">
                  <c:v>5393</c:v>
                </c:pt>
                <c:pt idx="26">
                  <c:v>5223</c:v>
                </c:pt>
                <c:pt idx="27">
                  <c:v>5154</c:v>
                </c:pt>
                <c:pt idx="28">
                  <c:v>5030</c:v>
                </c:pt>
                <c:pt idx="29">
                  <c:v>4950</c:v>
                </c:pt>
                <c:pt idx="30">
                  <c:v>4763</c:v>
                </c:pt>
                <c:pt idx="31">
                  <c:v>4680</c:v>
                </c:pt>
                <c:pt idx="32">
                  <c:v>4639</c:v>
                </c:pt>
                <c:pt idx="33">
                  <c:v>4635</c:v>
                </c:pt>
                <c:pt idx="34">
                  <c:v>4549</c:v>
                </c:pt>
                <c:pt idx="35">
                  <c:v>4531</c:v>
                </c:pt>
                <c:pt idx="36">
                  <c:v>4494</c:v>
                </c:pt>
                <c:pt idx="37">
                  <c:v>4494</c:v>
                </c:pt>
                <c:pt idx="38">
                  <c:v>4462</c:v>
                </c:pt>
                <c:pt idx="39">
                  <c:v>4448</c:v>
                </c:pt>
                <c:pt idx="40">
                  <c:v>4389</c:v>
                </c:pt>
                <c:pt idx="41">
                  <c:v>4358</c:v>
                </c:pt>
                <c:pt idx="42">
                  <c:v>4324</c:v>
                </c:pt>
                <c:pt idx="43">
                  <c:v>4319</c:v>
                </c:pt>
                <c:pt idx="44">
                  <c:v>4297</c:v>
                </c:pt>
                <c:pt idx="45">
                  <c:v>4285</c:v>
                </c:pt>
                <c:pt idx="46">
                  <c:v>4259</c:v>
                </c:pt>
                <c:pt idx="47">
                  <c:v>4238</c:v>
                </c:pt>
                <c:pt idx="48">
                  <c:v>4230</c:v>
                </c:pt>
                <c:pt idx="49">
                  <c:v>4203</c:v>
                </c:pt>
                <c:pt idx="50">
                  <c:v>4202</c:v>
                </c:pt>
                <c:pt idx="51">
                  <c:v>4086</c:v>
                </c:pt>
                <c:pt idx="52">
                  <c:v>4037</c:v>
                </c:pt>
                <c:pt idx="53">
                  <c:v>4009</c:v>
                </c:pt>
                <c:pt idx="54">
                  <c:v>3990</c:v>
                </c:pt>
                <c:pt idx="55">
                  <c:v>3905</c:v>
                </c:pt>
                <c:pt idx="56">
                  <c:v>3847</c:v>
                </c:pt>
                <c:pt idx="57">
                  <c:v>3794</c:v>
                </c:pt>
                <c:pt idx="58">
                  <c:v>3767</c:v>
                </c:pt>
                <c:pt idx="59">
                  <c:v>3747</c:v>
                </c:pt>
                <c:pt idx="60">
                  <c:v>3723</c:v>
                </c:pt>
                <c:pt idx="61">
                  <c:v>3678</c:v>
                </c:pt>
                <c:pt idx="62">
                  <c:v>3678</c:v>
                </c:pt>
                <c:pt idx="63">
                  <c:v>3670</c:v>
                </c:pt>
                <c:pt idx="64">
                  <c:v>3649</c:v>
                </c:pt>
                <c:pt idx="65">
                  <c:v>3632</c:v>
                </c:pt>
                <c:pt idx="66">
                  <c:v>3611</c:v>
                </c:pt>
                <c:pt idx="67">
                  <c:v>3574</c:v>
                </c:pt>
                <c:pt idx="68">
                  <c:v>3563</c:v>
                </c:pt>
                <c:pt idx="69">
                  <c:v>3547</c:v>
                </c:pt>
                <c:pt idx="70">
                  <c:v>3528</c:v>
                </c:pt>
                <c:pt idx="71">
                  <c:v>3528</c:v>
                </c:pt>
                <c:pt idx="72">
                  <c:v>3514</c:v>
                </c:pt>
                <c:pt idx="73">
                  <c:v>3430</c:v>
                </c:pt>
                <c:pt idx="74">
                  <c:v>3401</c:v>
                </c:pt>
                <c:pt idx="75">
                  <c:v>3342</c:v>
                </c:pt>
                <c:pt idx="76">
                  <c:v>3314</c:v>
                </c:pt>
                <c:pt idx="77">
                  <c:v>3309</c:v>
                </c:pt>
                <c:pt idx="78">
                  <c:v>3298</c:v>
                </c:pt>
                <c:pt idx="79">
                  <c:v>3147</c:v>
                </c:pt>
                <c:pt idx="80">
                  <c:v>3140</c:v>
                </c:pt>
                <c:pt idx="81">
                  <c:v>3136</c:v>
                </c:pt>
                <c:pt idx="82">
                  <c:v>3012</c:v>
                </c:pt>
                <c:pt idx="83">
                  <c:v>3002</c:v>
                </c:pt>
                <c:pt idx="84">
                  <c:v>2950</c:v>
                </c:pt>
                <c:pt idx="85">
                  <c:v>2928</c:v>
                </c:pt>
                <c:pt idx="86">
                  <c:v>2885</c:v>
                </c:pt>
                <c:pt idx="87">
                  <c:v>2885</c:v>
                </c:pt>
                <c:pt idx="88">
                  <c:v>2840</c:v>
                </c:pt>
                <c:pt idx="89">
                  <c:v>2794</c:v>
                </c:pt>
                <c:pt idx="90">
                  <c:v>2727</c:v>
                </c:pt>
                <c:pt idx="91">
                  <c:v>2670</c:v>
                </c:pt>
                <c:pt idx="92">
                  <c:v>2626</c:v>
                </c:pt>
                <c:pt idx="93">
                  <c:v>2506</c:v>
                </c:pt>
                <c:pt idx="94">
                  <c:v>2314</c:v>
                </c:pt>
                <c:pt idx="95">
                  <c:v>2280</c:v>
                </c:pt>
                <c:pt idx="96">
                  <c:v>2230</c:v>
                </c:pt>
                <c:pt idx="97">
                  <c:v>2134</c:v>
                </c:pt>
                <c:pt idx="98">
                  <c:v>2133</c:v>
                </c:pt>
                <c:pt idx="99">
                  <c:v>1260</c:v>
                </c:pt>
              </c:numCache>
            </c:numRef>
          </c:val>
          <c:smooth val="0"/>
          <c:extLst>
            <c:ext xmlns:c16="http://schemas.microsoft.com/office/drawing/2014/chart" uri="{C3380CC4-5D6E-409C-BE32-E72D297353CC}">
              <c16:uniqueId val="{0000000F-E4B8-4832-A9A2-C4AD03EDA2AE}"/>
            </c:ext>
          </c:extLst>
        </c:ser>
        <c:dLbls>
          <c:showLegendKey val="0"/>
          <c:showVal val="0"/>
          <c:showCatName val="0"/>
          <c:showSerName val="0"/>
          <c:showPercent val="0"/>
          <c:showBubbleSize val="0"/>
        </c:dLbls>
        <c:hiLowLines>
          <c:spPr>
            <a:ln w="0">
              <a:noFill/>
            </a:ln>
          </c:spPr>
        </c:hiLowLines>
        <c:smooth val="0"/>
        <c:axId val="26440019"/>
        <c:axId val="55604647"/>
      </c:lineChart>
      <c:catAx>
        <c:axId val="2644001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Position in that clan's roster  —  0% = their strongest player, 100% = their weakest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604647"/>
        <c:crosses val="autoZero"/>
        <c:auto val="1"/>
        <c:lblAlgn val="ctr"/>
        <c:lblOffset val="100"/>
        <c:noMultiLvlLbl val="0"/>
      </c:catAx>
      <c:valAx>
        <c:axId val="5560464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value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440019"/>
        <c:crosses val="autoZero"/>
        <c:crossBetween val="between"/>
      </c:valAx>
      <c:spPr>
        <a:noFill/>
        <a:ln w="0">
          <a:noFill/>
        </a:ln>
      </c:spPr>
    </c:plotArea>
    <c:plotVisOnly val="0"/>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xdr:row>
      <xdr:rowOff>0</xdr:rowOff>
    </xdr:from>
    <xdr:to>
      <xdr:col>7</xdr:col>
      <xdr:colOff>1067400</xdr:colOff>
      <xdr:row>52</xdr:row>
      <xdr:rowOff>11880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10</xdr:col>
      <xdr:colOff>1025805</xdr:colOff>
      <xdr:row>32</xdr:row>
      <xdr:rowOff>168285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pageSetUpPr fitToPage="1"/>
  </sheetPr>
  <dimension ref="A1:D44"/>
  <sheetViews>
    <sheetView showGridLines="0" topLeftCell="A21" zoomScaleNormal="100" workbookViewId="0">
      <selection activeCell="B21" sqref="B21"/>
    </sheetView>
  </sheetViews>
  <sheetFormatPr defaultColWidth="8.7109375" defaultRowHeight="15"/>
  <cols>
    <col min="1" max="1" width="2" customWidth="1"/>
    <col min="2" max="2" width="28" customWidth="1"/>
    <col min="3" max="3" width="88" customWidth="1"/>
    <col min="4" max="4" width="3" customWidth="1"/>
  </cols>
  <sheetData>
    <row r="1" spans="1:4" ht="30" customHeight="1">
      <c r="A1" s="92" t="s">
        <v>0</v>
      </c>
      <c r="B1" s="92"/>
      <c r="C1" s="92"/>
      <c r="D1" s="92"/>
    </row>
    <row r="2" spans="1:4" ht="15.75" customHeight="1">
      <c r="A2" s="93" t="s">
        <v>1</v>
      </c>
      <c r="B2" s="93"/>
      <c r="C2" s="93"/>
      <c r="D2" s="93"/>
    </row>
    <row r="4" spans="1:4" ht="19.5" customHeight="1">
      <c r="B4" s="94" t="str">
        <f>COUNTA(MASTER!$C$4:$C$1463)&amp;" players   ·   14 clans   ·   "&amp;COUNTIF(MASTER!$S:$S,"Complete")&amp;" fully scouted   ·   "&amp;COUNTIF(MASTER!$I:$I,"&gt;=10000")&amp;" in the 10k+ club"</f>
        <v>1360 players   ·   14 clans   ·   1324 fully scouted   ·   55 in the 10k+ club</v>
      </c>
      <c r="C4" s="94"/>
    </row>
    <row r="5" spans="1:4" ht="19.5" customHeight="1">
      <c r="B5" s="94"/>
      <c r="C5" s="94"/>
    </row>
    <row r="7" spans="1:4" ht="19.5" customHeight="1">
      <c r="B7" s="91" t="s">
        <v>2</v>
      </c>
      <c r="C7" s="91"/>
    </row>
    <row r="8" spans="1:4" ht="25.5" customHeight="1">
      <c r="B8" s="3" t="str">
        <f>HYPERLINK("#'DASHBOARD'!A1","▶  DASHBOARD")</f>
        <v>▶  DASHBOARD</v>
      </c>
      <c r="C8" s="4" t="s">
        <v>3</v>
      </c>
    </row>
    <row r="9" spans="1:4" ht="25.5" customHeight="1">
      <c r="B9" s="3" t="str">
        <f>HYPERLINK("#'DEPTH CURVES'!A1","▶  DEPTH CURVES")</f>
        <v>▶  DEPTH CURVES</v>
      </c>
      <c r="C9" s="4" t="s">
        <v>4</v>
      </c>
    </row>
    <row r="10" spans="1:4" ht="25.5" customHeight="1">
      <c r="B10" s="3" t="str">
        <f>HYPERLINK("#'LEADERBOARDS'!A1","▶  LEADERBOARDS")</f>
        <v>▶  LEADERBOARDS</v>
      </c>
      <c r="C10" s="4" t="s">
        <v>5</v>
      </c>
    </row>
    <row r="11" spans="1:4" ht="25.5" customHeight="1">
      <c r="B11" s="3" t="str">
        <f>HYPERLINK("#'TIER BOARDS'!A1","▶  TIER BOARDS")</f>
        <v>▶  TIER BOARDS</v>
      </c>
      <c r="C11" s="4" t="s">
        <v>6</v>
      </c>
    </row>
    <row r="12" spans="1:4" ht="25.5" customHeight="1">
      <c r="B12" s="3" t="str">
        <f>HYPERLINK("#'PLAYER CARD'!A1","▶  PLAYER CARD")</f>
        <v>▶  PLAYER CARD</v>
      </c>
      <c r="C12" s="4" t="s">
        <v>7</v>
      </c>
    </row>
    <row r="13" spans="1:4" ht="25.5" customHeight="1">
      <c r="B13" s="3" t="str">
        <f>HYPERLINK("#'CLAN COMPARE'!A1","▶  CLAN COMPARE")</f>
        <v>▶  CLAN COMPARE</v>
      </c>
      <c r="C13" s="4" t="s">
        <v>8</v>
      </c>
    </row>
    <row r="14" spans="1:4" ht="25.5" customHeight="1">
      <c r="B14" s="3" t="str">
        <f>HYPERLINK("#'WARBANDS'!A1","▶  WARBANDS")</f>
        <v>▶  WARBANDS</v>
      </c>
      <c r="C14" s="4" t="s">
        <v>9</v>
      </c>
    </row>
    <row r="15" spans="1:4" ht="25.5" customHeight="1">
      <c r="B15" s="3" t="str">
        <f>HYPERLINK("#'TRANSFERS'!A1","▶  TRANSFERS")</f>
        <v>▶  TRANSFERS</v>
      </c>
      <c r="C15" s="4" t="s">
        <v>10</v>
      </c>
    </row>
    <row r="16" spans="1:4" ht="25.5" customHeight="1">
      <c r="B16" s="3" t="str">
        <f>HYPERLINK("#'MASTER'!A1","▶  MASTER")</f>
        <v>▶  MASTER</v>
      </c>
      <c r="C16" s="4" t="s">
        <v>11</v>
      </c>
    </row>
    <row r="17" spans="2:3" ht="25.5" customHeight="1">
      <c r="B17" s="3" t="str">
        <f>HYPERLINK("#'SETUP'!A1","▶  SETUP")</f>
        <v>▶  SETUP</v>
      </c>
      <c r="C17" s="4" t="s">
        <v>12</v>
      </c>
    </row>
    <row r="19" spans="2:3" ht="19.5" customHeight="1">
      <c r="B19" s="91" t="s">
        <v>13</v>
      </c>
      <c r="C19" s="91"/>
    </row>
    <row r="20" spans="2:3">
      <c r="B20" s="5" t="str">
        <f>HYPERLINK("#'FUCT'!A1","▶  FUCT")</f>
        <v>▶  FUCT</v>
      </c>
      <c r="C20" s="6" t="str">
        <f>"standalone  ·  "&amp;COUNTIF(MASTER!$B:$B,"FUCT")&amp;" members  ·  "&amp;COUNTIFS(MASTER!$B:$B,"FUCT",MASTER!$S:$S,"Complete")&amp;" scouted  ·  "&amp;IF(COUNTIFS(MASTER!$B:$B,"FUCT",MASTER!$S:$S,"Complete")=0,"no stats yet","avg Reso "&amp;TEXT(IFERROR(AVERAGEIFS(MASTER!$I:$I,MASTER!$B:$B,"FUCT"),0),"#,##0"))&amp;"  ·  top: "&amp;IFERROR(INDEX(MASTER!$C:$C,MATCH("FUCT"&amp;"|1",MASTER!$Y:$Y,0)),"-")</f>
        <v>standalone  ·  99 members  ·  99 scouted  ·  avg Reso 5,214  ·  top: Wulf</v>
      </c>
    </row>
    <row r="21" spans="2:3">
      <c r="B21" s="7" t="str">
        <f>HYPERLINK("#'LEGENDS'!A1","▶  LEGENDS")</f>
        <v>▶  LEGENDS</v>
      </c>
      <c r="C21" s="6" t="str">
        <f>"immortal  ·  "&amp;COUNTIF(MASTER!$B:$B,"LEGENDS")&amp;" members  ·  "&amp;COUNTIFS(MASTER!$B:$B,"LEGENDS",MASTER!$S:$S,"Complete")&amp;" scouted  ·  "&amp;IF(COUNTIFS(MASTER!$B:$B,"LEGENDS",MASTER!$S:$S,"Complete")=0,"no stats yet","avg Reso "&amp;TEXT(IFERROR(AVERAGEIFS(MASTER!$I:$I,MASTER!$B:$B,"LEGENDS"),0),"#,##0"))&amp;"  ·  top: "&amp;IFERROR(INDEX(MASTER!$C:$C,MATCH("LEGENDS"&amp;"|1",MASTER!$Y:$Y,0)),"-")</f>
        <v>immortal  ·  100 members  ·  97 scouted  ·  avg Reso 5,539  ·  top: Deeds</v>
      </c>
    </row>
    <row r="22" spans="2:3">
      <c r="B22" s="7" t="str">
        <f>HYPERLINK("#'VANGUARD'!A1","▶  VANGUARD")</f>
        <v>▶  VANGUARD</v>
      </c>
      <c r="C22" s="6" t="str">
        <f>"immortal  ·  "&amp;COUNTIF(MASTER!$B:$B,"VANGUARD")&amp;" members  ·  "&amp;COUNTIFS(MASTER!$B:$B,"VANGUARD",MASTER!$S:$S,"Complete")&amp;" scouted  ·  "&amp;IF(COUNTIFS(MASTER!$B:$B,"VANGUARD",MASTER!$S:$S,"Complete")=0,"no stats yet","avg Reso "&amp;TEXT(IFERROR(AVERAGEIFS(MASTER!$I:$I,MASTER!$B:$B,"VANGUARD"),0),"#,##0"))&amp;"  ·  top: "&amp;IFERROR(INDEX(MASTER!$C:$C,MATCH("VANGUARD"&amp;"|1",MASTER!$Y:$Y,0)),"-")</f>
        <v>immortal  ·  95 members  ·  95 scouted  ·  avg Reso 6,666  ·  top: Orionpax</v>
      </c>
    </row>
    <row r="23" spans="2:3">
      <c r="B23" s="7" t="str">
        <f>HYPERLINK("#'UNDYING'!A1","▶  UNDYING")</f>
        <v>▶  UNDYING</v>
      </c>
      <c r="C23" s="6" t="str">
        <f>"immortal  ·  "&amp;COUNTIF(MASTER!$B:$B,"UNDYING")&amp;" members  ·  "&amp;COUNTIFS(MASTER!$B:$B,"UNDYING",MASTER!$S:$S,"Complete")&amp;" scouted  ·  "&amp;IF(COUNTIFS(MASTER!$B:$B,"UNDYING",MASTER!$S:$S,"Complete")=0,"no stats yet","avg Reso "&amp;TEXT(IFERROR(AVERAGEIFS(MASTER!$I:$I,MASTER!$B:$B,"UNDYING"),0),"#,##0"))&amp;"  ·  top: "&amp;IFERROR(INDEX(MASTER!$C:$C,MATCH("UNDYING"&amp;"|1",MASTER!$Y:$Y,0)),"-")</f>
        <v>immortal  ·  96 members  ·  96 scouted  ·  avg Reso 4,582  ·  top: BOR- Zeroth</v>
      </c>
    </row>
    <row r="24" spans="2:3">
      <c r="B24" s="8" t="str">
        <f>HYPERLINK("#'SBG'!A1","▶  SBG")</f>
        <v>▶  SBG</v>
      </c>
      <c r="C24" s="6" t="str">
        <f>"shadow  ·  "&amp;COUNTIF(MASTER!$B:$B,"SBG")&amp;" members  ·  "&amp;COUNTIFS(MASTER!$B:$B,"SBG",MASTER!$S:$S,"Complete")&amp;" scouted  ·  "&amp;IF(COUNTIFS(MASTER!$B:$B,"SBG",MASTER!$S:$S,"Complete")=0,"no stats yet","avg Reso "&amp;TEXT(IFERROR(AVERAGEIFS(MASTER!$I:$I,MASTER!$B:$B,"SBG"),0),"#,##0"))&amp;"  ·  top: "&amp;IFERROR(INDEX(MASTER!$C:$C,MATCH("SBG"&amp;"|1",MASTER!$Y:$Y,0)),"-")</f>
        <v>shadow  ·  97 members  ·  97 scouted  ·  avg Reso 6,056  ·  top: Solorin</v>
      </c>
    </row>
    <row r="25" spans="2:3">
      <c r="B25" s="8" t="str">
        <f>HYPERLINK("#'AZUKI'!A1","▶  AZUKI")</f>
        <v>▶  AZUKI</v>
      </c>
      <c r="C25" s="6" t="str">
        <f>"shadow  ·  "&amp;COUNTIF(MASTER!$B:$B,"AZUKI")&amp;" members  ·  "&amp;COUNTIFS(MASTER!$B:$B,"AZUKI",MASTER!$S:$S,"Complete")&amp;" scouted  ·  "&amp;IF(COUNTIFS(MASTER!$B:$B,"AZUKI",MASTER!$S:$S,"Complete")=0,"no stats yet","avg Reso "&amp;TEXT(IFERROR(AVERAGEIFS(MASTER!$I:$I,MASTER!$B:$B,"AZUKI"),0),"#,##0"))&amp;"  ·  top: "&amp;IFERROR(INDEX(MASTER!$C:$C,MATCH("AZUKI"&amp;"|1",MASTER!$Y:$Y,0)),"-")</f>
        <v>shadow  ·  102 members  ·  101 scouted  ·  avg Reso 5,754  ·  top: AMBER</v>
      </c>
    </row>
    <row r="26" spans="2:3">
      <c r="B26" s="8" t="str">
        <f>HYPERLINK("#'RECKONING'!A1","▶  RECKONING")</f>
        <v>▶  RECKONING</v>
      </c>
      <c r="C26" s="6" t="str">
        <f>"shadow  ·  "&amp;COUNTIF(MASTER!$B:$B,"RECKONING")&amp;" members  ·  "&amp;COUNTIFS(MASTER!$B:$B,"RECKONING",MASTER!$S:$S,"Complete")&amp;" scouted  ·  "&amp;IF(COUNTIFS(MASTER!$B:$B,"RECKONING",MASTER!$S:$S,"Complete")=0,"no stats yet","avg Reso "&amp;TEXT(IFERROR(AVERAGEIFS(MASTER!$I:$I,MASTER!$B:$B,"RECKONING"),0),"#,##0"))&amp;"  ·  top: "&amp;IFERROR(INDEX(MASTER!$C:$C,MATCH("RECKONING"&amp;"|1",MASTER!$Y:$Y,0)),"-")</f>
        <v>shadow  ·  97 members  ·  97 scouted  ·  avg Reso 5,541  ·  top: Rydog</v>
      </c>
    </row>
    <row r="27" spans="2:3">
      <c r="B27" s="8" t="str">
        <f>HYPERLINK("#'ACHERON'!A1","▶  ACHERON")</f>
        <v>▶  ACHERON</v>
      </c>
      <c r="C27" s="6" t="str">
        <f>"shadow  ·  "&amp;COUNTIF(MASTER!$B:$B,"ACHERON")&amp;" members  ·  "&amp;COUNTIFS(MASTER!$B:$B,"ACHERON",MASTER!$S:$S,"Complete")&amp;" scouted  ·  "&amp;IF(COUNTIFS(MASTER!$B:$B,"ACHERON",MASTER!$S:$S,"Complete")=0,"no stats yet","avg Reso "&amp;TEXT(IFERROR(AVERAGEIFS(MASTER!$I:$I,MASTER!$B:$B,"ACHERON"),0),"#,##0"))&amp;"  ·  top: "&amp;IFERROR(INDEX(MASTER!$C:$C,MATCH("ACHERON"&amp;"|1",MASTER!$Y:$Y,0)),"-")</f>
        <v>shadow  ·  96 members  ·  94 scouted  ·  avg Reso 4,133  ·  top: Sölus</v>
      </c>
    </row>
    <row r="28" spans="2:3">
      <c r="B28" s="8" t="str">
        <f>HYPERLINK("#'INVICTUS'!A1","▶  INVICTUS")</f>
        <v>▶  INVICTUS</v>
      </c>
      <c r="C28" s="6" t="str">
        <f>"shadow  ·  "&amp;COUNTIF(MASTER!$B:$B,"INVICTUS")&amp;" members  ·  "&amp;COUNTIFS(MASTER!$B:$B,"INVICTUS",MASTER!$S:$S,"Complete")&amp;" scouted  ·  "&amp;IF(COUNTIFS(MASTER!$B:$B,"INVICTUS",MASTER!$S:$S,"Complete")=0,"no stats yet","avg Reso "&amp;TEXT(IFERROR(AVERAGEIFS(MASTER!$I:$I,MASTER!$B:$B,"INVICTUS"),0),"#,##0"))&amp;"  ·  top: "&amp;IFERROR(INDEX(MASTER!$C:$C,MATCH("INVICTUS"&amp;"|1",MASTER!$Y:$Y,0)),"-")</f>
        <v>shadow  ·  100 members  ·  99 scouted  ·  avg Reso 3,415  ·  top: Seric</v>
      </c>
    </row>
    <row r="29" spans="2:3">
      <c r="B29" s="8" t="str">
        <f>HYPERLINK("#'EMERALD LEAF'!A1","▶  EMERALD LEAF TRIBE")</f>
        <v>▶  EMERALD LEAF TRIBE</v>
      </c>
      <c r="C29" s="6" t="str">
        <f>"shadow  ·  "&amp;COUNTIF(MASTER!$B:$B,"EMERALD LEAF TRIBE")&amp;" members  ·  "&amp;COUNTIFS(MASTER!$B:$B,"EMERALD LEAF TRIBE",MASTER!$S:$S,"Complete")&amp;" scouted  ·  "&amp;IF(COUNTIFS(MASTER!$B:$B,"EMERALD LEAF TRIBE",MASTER!$S:$S,"Complete")=0,"no stats yet","avg Reso "&amp;TEXT(IFERROR(AVERAGEIFS(MASTER!$I:$I,MASTER!$B:$B,"EMERALD LEAF TRIBE"),0),"#,##0"))&amp;"  ·  top: "&amp;IFERROR(INDEX(MASTER!$C:$C,MATCH("EMERALD LEAF TRIBE"&amp;"|1",MASTER!$Y:$Y,0)),"-")</f>
        <v>shadow  ·  97 members  ·  97 scouted  ·  avg Reso 2,318  ·  top: Cal66</v>
      </c>
    </row>
    <row r="30" spans="2:3">
      <c r="B30" s="8" t="str">
        <f>HYPERLINK("#'SUB ROSA'!A1","▶  SUB ROSA")</f>
        <v>▶  SUB ROSA</v>
      </c>
      <c r="C30" s="6" t="str">
        <f>"shadow  ·  "&amp;COUNTIF(MASTER!$B:$B,"SUB ROSA")&amp;" members  ·  "&amp;COUNTIFS(MASTER!$B:$B,"SUB ROSA",MASTER!$S:$S,"Complete")&amp;" scouted  ·  "&amp;IF(COUNTIFS(MASTER!$B:$B,"SUB ROSA",MASTER!$S:$S,"Complete")=0,"no stats yet","avg Reso "&amp;TEXT(IFERROR(AVERAGEIFS(MASTER!$I:$I,MASTER!$B:$B,"SUB ROSA"),0),"#,##0"))&amp;"  ·  top: "&amp;IFERROR(INDEX(MASTER!$C:$C,MATCH("SUB ROSA"&amp;"|1",MASTER!$Y:$Y,0)),"-")</f>
        <v>shadow  ·  93 members  ·  68 scouted  ·  avg Reso 3,056  ·  top: Dwai</v>
      </c>
    </row>
    <row r="31" spans="2:3">
      <c r="B31" s="8" t="str">
        <f>HYPERLINK("#'VENGEANCE'!A1","▶  VENGEANCE")</f>
        <v>▶  VENGEANCE</v>
      </c>
      <c r="C31" s="6" t="str">
        <f>"shadow  ·  "&amp;COUNTIF(MASTER!$B:$B,"VENGEANCE")&amp;" members  ·  "&amp;COUNTIFS(MASTER!$B:$B,"VENGEANCE",MASTER!$S:$S,"Complete")&amp;" scouted  ·  "&amp;IF(COUNTIFS(MASTER!$B:$B,"VENGEANCE",MASTER!$S:$S,"Complete")=0,"no stats yet","avg Reso "&amp;TEXT(IFERROR(AVERAGEIFS(MASTER!$I:$I,MASTER!$B:$B,"VENGEANCE"),0),"#,##0"))&amp;"  ·  top: "&amp;IFERROR(INDEX(MASTER!$C:$C,MATCH("VENGEANCE"&amp;"|1",MASTER!$Y:$Y,0)),"-")</f>
        <v>shadow  ·  96 members  ·  94 scouted  ·  avg Reso 3,603  ·  top: Stevo77</v>
      </c>
    </row>
    <row r="32" spans="2:3">
      <c r="B32" s="8" t="str">
        <f>HYPERLINK("#'VENDETTA'!A1","▶  VENDETTA")</f>
        <v>▶  VENDETTA</v>
      </c>
      <c r="C32" s="6" t="str">
        <f>"shadow  ·  "&amp;COUNTIF(MASTER!$B:$B,"VENDETTA")&amp;" members  ·  "&amp;COUNTIFS(MASTER!$B:$B,"VENDETTA",MASTER!$S:$S,"Complete")&amp;" scouted  ·  "&amp;IF(COUNTIFS(MASTER!$B:$B,"VENDETTA",MASTER!$S:$S,"Complete")=0,"no stats yet","avg Reso "&amp;TEXT(IFERROR(AVERAGEIFS(MASTER!$I:$I,MASTER!$B:$B,"VENDETTA"),0),"#,##0"))&amp;"  ·  top: "&amp;IFERROR(INDEX(MASTER!$C:$C,MATCH("VENDETTA"&amp;"|1",MASTER!$Y:$Y,0)),"-")</f>
        <v>shadow  ·  94 members  ·  93 scouted  ·  avg Reso 2,098  ·  top: anamal</v>
      </c>
    </row>
    <row r="33" spans="2:3">
      <c r="B33" s="8" t="str">
        <f>HYPERLINK("#'ZOMBIES'!A1","▶  ZOMBIES")</f>
        <v>▶  ZOMBIES</v>
      </c>
      <c r="C33" s="6" t="str">
        <f>"shadow  ·  "&amp;COUNTIF(MASTER!$B:$B,"ZOMBIES")&amp;" members  ·  "&amp;COUNTIFS(MASTER!$B:$B,"ZOMBIES",MASTER!$S:$S,"Complete")&amp;" scouted  ·  "&amp;IF(COUNTIFS(MASTER!$B:$B,"ZOMBIES",MASTER!$S:$S,"Complete")=0,"no stats yet","avg Reso "&amp;TEXT(IFERROR(AVERAGEIFS(MASTER!$I:$I,MASTER!$B:$B,"ZOMBIES"),0),"#,##0"))&amp;"  ·  top: "&amp;IFERROR(INDEX(MASTER!$C:$C,MATCH("ZOMBIES"&amp;"|1",MASTER!$Y:$Y,0)),"-")</f>
        <v>shadow  ·  98 members  ·  97 scouted  ·  avg Reso 2,100  ·  top: THERIDDIC</v>
      </c>
    </row>
    <row r="35" spans="2:3" ht="19.5" customHeight="1">
      <c r="B35" s="91" t="s">
        <v>14</v>
      </c>
      <c r="C35" s="91"/>
    </row>
    <row r="36" spans="2:3" ht="33.75" customHeight="1">
      <c r="B36" s="9" t="s">
        <v>15</v>
      </c>
      <c r="C36" s="10" t="s">
        <v>16</v>
      </c>
    </row>
    <row r="37" spans="2:3" ht="33.75" customHeight="1">
      <c r="B37" s="9" t="s">
        <v>17</v>
      </c>
      <c r="C37" s="10" t="s">
        <v>18</v>
      </c>
    </row>
    <row r="38" spans="2:3" ht="33.75" customHeight="1">
      <c r="B38" s="9" t="s">
        <v>19</v>
      </c>
      <c r="C38" s="10" t="s">
        <v>20</v>
      </c>
    </row>
    <row r="39" spans="2:3" ht="33.75" customHeight="1">
      <c r="B39" s="9" t="s">
        <v>21</v>
      </c>
      <c r="C39" s="10" t="s">
        <v>22</v>
      </c>
    </row>
    <row r="40" spans="2:3" ht="33.75" customHeight="1">
      <c r="B40" s="9" t="s">
        <v>23</v>
      </c>
      <c r="C40" s="10" t="s">
        <v>24</v>
      </c>
    </row>
    <row r="41" spans="2:3" ht="33.75" customHeight="1">
      <c r="B41" s="9" t="s">
        <v>25</v>
      </c>
      <c r="C41" s="10" t="s">
        <v>26</v>
      </c>
    </row>
    <row r="42" spans="2:3" ht="33.75" customHeight="1">
      <c r="B42" s="9" t="s">
        <v>27</v>
      </c>
      <c r="C42" s="10" t="s">
        <v>28</v>
      </c>
    </row>
    <row r="44" spans="2:3">
      <c r="B44" s="11" t="s">
        <v>29</v>
      </c>
    </row>
  </sheetData>
  <mergeCells count="6">
    <mergeCell ref="B35:C35"/>
    <mergeCell ref="A1:D1"/>
    <mergeCell ref="A2:D2"/>
    <mergeCell ref="B4:C5"/>
    <mergeCell ref="B7:C7"/>
    <mergeCell ref="B19:C19"/>
  </mergeCells>
  <printOptions horizontalCentered="1"/>
  <pageMargins left="0.75" right="0.75" top="1" bottom="1" header="0.511811023622047" footer="0.511811023622047"/>
  <pageSetup fitToHeight="0" orientation="landscape" horizontalDpi="300" verticalDpi="300"/>
  <ignoredErrors>
    <ignoredError sqref="A1:D44"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1E54"/>
    <pageSetUpPr fitToPage="1"/>
  </sheetPr>
  <dimension ref="A1:Q37"/>
  <sheetViews>
    <sheetView showGridLines="0" zoomScaleNormal="100" workbookViewId="0">
      <pane ySplit="10" topLeftCell="A11" activePane="bottomLeft" state="frozen"/>
      <selection pane="bottomLeft" activeCell="C3" sqref="C3:D3"/>
    </sheetView>
  </sheetViews>
  <sheetFormatPr defaultColWidth="8.7109375" defaultRowHeight="15"/>
  <cols>
    <col min="1" max="1" width="22" customWidth="1"/>
    <col min="2" max="2" width="11" customWidth="1"/>
    <col min="3" max="3" width="12" customWidth="1"/>
    <col min="4" max="5" width="10" customWidth="1"/>
    <col min="6" max="7" width="11" customWidth="1"/>
    <col min="8" max="8" width="15.42578125" customWidth="1"/>
    <col min="9" max="9" width="11" customWidth="1"/>
    <col min="10" max="10" width="8" customWidth="1"/>
    <col min="11" max="13" width="10" customWidth="1"/>
    <col min="14" max="14" width="11" customWidth="1"/>
    <col min="15" max="15" width="9" customWidth="1"/>
    <col min="16" max="16" width="24" customWidth="1"/>
    <col min="17" max="17" width="11" customWidth="1"/>
  </cols>
  <sheetData>
    <row r="1" spans="1:17" ht="30" customHeight="1">
      <c r="A1" s="92" t="s">
        <v>30</v>
      </c>
      <c r="B1" s="92"/>
      <c r="C1" s="92"/>
      <c r="D1" s="92"/>
      <c r="E1" s="92"/>
      <c r="F1" s="92"/>
      <c r="G1" s="92"/>
      <c r="H1" s="92"/>
      <c r="I1" s="92"/>
      <c r="J1" s="92"/>
      <c r="K1" s="92"/>
      <c r="L1" s="92"/>
      <c r="M1" s="92"/>
      <c r="N1" s="92"/>
      <c r="O1" s="92"/>
      <c r="P1" s="92"/>
      <c r="Q1" s="92"/>
    </row>
    <row r="2" spans="1:17" ht="15.75" customHeight="1">
      <c r="A2" s="93" t="s">
        <v>31</v>
      </c>
      <c r="B2" s="93"/>
      <c r="C2" s="93"/>
      <c r="D2" s="93"/>
      <c r="E2" s="93"/>
      <c r="F2" s="93"/>
      <c r="G2" s="93"/>
      <c r="H2" s="93"/>
      <c r="I2" s="93"/>
      <c r="J2" s="93"/>
      <c r="K2" s="93"/>
      <c r="L2" s="93"/>
      <c r="M2" s="93"/>
      <c r="N2" s="93"/>
      <c r="O2" s="93"/>
      <c r="P2" s="93"/>
      <c r="Q2" s="93"/>
    </row>
    <row r="3" spans="1:17" ht="24" customHeight="1">
      <c r="A3" s="12" t="s">
        <v>32</v>
      </c>
      <c r="C3" s="97" t="s">
        <v>33</v>
      </c>
      <c r="D3" s="97"/>
      <c r="E3" s="11" t="s">
        <v>34</v>
      </c>
    </row>
    <row r="6" spans="1:17">
      <c r="A6" s="98" t="s">
        <v>35</v>
      </c>
      <c r="B6" s="98"/>
      <c r="C6" s="98" t="s">
        <v>36</v>
      </c>
      <c r="D6" s="98"/>
      <c r="E6" s="98" t="s">
        <v>37</v>
      </c>
      <c r="F6" s="98"/>
      <c r="G6" s="98" t="s">
        <v>38</v>
      </c>
      <c r="H6" s="98"/>
      <c r="I6" s="98" t="s">
        <v>39</v>
      </c>
      <c r="J6" s="98"/>
      <c r="K6" s="98" t="s">
        <v>40</v>
      </c>
      <c r="L6" s="98"/>
      <c r="M6" s="98" t="s">
        <v>41</v>
      </c>
      <c r="N6" s="98"/>
      <c r="O6" s="98" t="s">
        <v>42</v>
      </c>
      <c r="P6" s="98"/>
    </row>
    <row r="7" spans="1:17" ht="24" customHeight="1">
      <c r="A7" s="95">
        <f>SUMPRODUCT((MASTER!$C$4:$C$1463&lt;&gt;"")*(IF($C$3="ALL",1,MASTER!$A$4:$A$1463=$C$3)))</f>
        <v>1360</v>
      </c>
      <c r="B7" s="95"/>
      <c r="C7" s="95">
        <f>COUNT(SETUP!$E$68:$E$81)</f>
        <v>14</v>
      </c>
      <c r="D7" s="95"/>
      <c r="E7" s="95">
        <f>IFERROR(ROUND(IF($C$3="ALL",AVERAGE(MASTER!$I$4:$I$1463),AVERAGEIF(MASTER!$A$4:$A$1463,$C$3,MASTER!$I$4:$I$1463)),0),"-")</f>
        <v>4326</v>
      </c>
      <c r="F7" s="95"/>
      <c r="G7" s="95">
        <f>IFERROR(ROUND(AVERAGEIF(MASTER!$B:$B,"FUCT",MASTER!$I:$I),0),"-")</f>
        <v>5214</v>
      </c>
      <c r="H7" s="95"/>
      <c r="I7" s="94" t="str">
        <f>IFERROR(RANK(INDEX($G$11:$G$24,MATCH("FUCT",$A$11:$A$24,0)),$G$11:$G$24)&amp;" of "&amp;COUNT($G$11:$G$24),"-")</f>
        <v>6 of 14</v>
      </c>
      <c r="J7" s="94"/>
      <c r="K7" s="95">
        <f>SUMPRODUCT((MASTER!$I$4:$I$1463&gt;=10000)*(IF($C$3="ALL",1,MASTER!$A$4:$A$1463=$C$3)))</f>
        <v>55</v>
      </c>
      <c r="L7" s="95"/>
      <c r="M7" s="95">
        <f>COUNTIFS(MASTER!$B:$B,"FUCT",MASTER!$I:$I,"&gt;=10000")</f>
        <v>5</v>
      </c>
      <c r="N7" s="95"/>
      <c r="O7" s="96" t="str">
        <f>IFERROR(INDEX($P$11:$P$24,MATCH(MAX($H$11:$H$24),$H$11:$H$24,0)),"-")</f>
        <v>AMBER</v>
      </c>
      <c r="P7" s="96"/>
    </row>
    <row r="9" spans="1:17" ht="19.5" customHeight="1">
      <c r="A9" s="91" t="s">
        <v>43</v>
      </c>
      <c r="B9" s="91"/>
      <c r="C9" s="91"/>
      <c r="D9" s="91"/>
      <c r="E9" s="91"/>
      <c r="F9" s="91"/>
      <c r="G9" s="91"/>
      <c r="H9" s="91"/>
      <c r="I9" s="91"/>
      <c r="J9" s="91"/>
      <c r="K9" s="91"/>
      <c r="L9" s="91"/>
      <c r="M9" s="91"/>
      <c r="N9" s="91"/>
      <c r="O9" s="91"/>
      <c r="P9" s="91"/>
      <c r="Q9" s="91"/>
    </row>
    <row r="10" spans="1:17" ht="27.75" customHeight="1">
      <c r="A10" s="13" t="s">
        <v>44</v>
      </c>
      <c r="B10" s="13" t="s">
        <v>45</v>
      </c>
      <c r="C10" s="13" t="s">
        <v>46</v>
      </c>
      <c r="D10" s="13" t="s">
        <v>47</v>
      </c>
      <c r="E10" s="13" t="s">
        <v>48</v>
      </c>
      <c r="F10" s="13" t="s">
        <v>49</v>
      </c>
      <c r="G10" s="13" t="s">
        <v>50</v>
      </c>
      <c r="H10" s="13" t="s">
        <v>51</v>
      </c>
      <c r="I10" s="13" t="s">
        <v>52</v>
      </c>
      <c r="J10" s="13" t="s">
        <v>53</v>
      </c>
      <c r="K10" s="13" t="s">
        <v>54</v>
      </c>
      <c r="L10" s="13" t="s">
        <v>55</v>
      </c>
      <c r="M10" s="13" t="s">
        <v>56</v>
      </c>
      <c r="N10" s="13" t="s">
        <v>57</v>
      </c>
      <c r="O10" s="13" t="s">
        <v>58</v>
      </c>
      <c r="P10" s="13" t="s">
        <v>59</v>
      </c>
      <c r="Q10" s="13" t="s">
        <v>60</v>
      </c>
    </row>
    <row r="11" spans="1:17">
      <c r="A11" s="14" t="str">
        <f>IFERROR(INDEX(SETUP!$A$68:$A$81,MATCH(1,SETUP!$E$68:$E$81,0)),"")</f>
        <v>FUCT</v>
      </c>
      <c r="B11" s="15" t="str">
        <f>IF($A11="","",IFERROR(INDEX(SETUP!$B$68:$B$81,MATCH($A11,SETUP!$A$68:$A$81,0)),"-"))</f>
        <v>STANDALONE</v>
      </c>
      <c r="C11" s="16">
        <f>IF($A11="","",COUNTIF(MASTER!$B:$B,$A11))</f>
        <v>99</v>
      </c>
      <c r="D11" s="16">
        <f>IF($A11="","",COUNTIFS(MASTER!$B:$B,$A11,MASTER!$S:$S,"Complete"))</f>
        <v>99</v>
      </c>
      <c r="E11" s="16">
        <f>IF($A11="","",IFERROR(ROUND(AVERAGEIFS(MASTER!$G:$G,MASTER!$B:$B,$A11),0),"-"))</f>
        <v>62784</v>
      </c>
      <c r="F11" s="16">
        <f>IF($A11="","",IFERROR(_xlfn.MAXIFS(MASTER!$G:$G,MASTER!$B:$B,$A11),"-"))</f>
        <v>64415</v>
      </c>
      <c r="G11" s="16">
        <f>IF($A11="","",IFERROR(ROUND(AVERAGEIFS(MASTER!$I:$I,MASTER!$B:$B,$A11),0),"-"))</f>
        <v>5214</v>
      </c>
      <c r="H11" s="16">
        <f>IF($A11="","",IFERROR(_xlfn.MAXIFS(MASTER!$I:$I,MASTER!$B:$B,$A11),"-"))</f>
        <v>11602</v>
      </c>
      <c r="I11" s="16">
        <f>IF($A11="","",IFERROR(IF(INDEX(MASTER!$I$4:$I$1463,MATCH($A11&amp;"|"&amp;ROUND($C11/2,0),MASTER!$Y$4:$Y$1463,0))="","-",INDEX(MASTER!$I$4:$I$1463,MATCH($A11&amp;"|"&amp;ROUND($C11/2,0),MASTER!$Y$4:$Y$1463,0))),"-"))</f>
        <v>4435</v>
      </c>
      <c r="J11" s="16">
        <f>IF($A11="","",COUNTIFS(MASTER!$B:$B,$A11,MASTER!$I:$I,"&gt;=10000"))</f>
        <v>5</v>
      </c>
      <c r="K11" s="16">
        <f>IF($A11="","",COUNTIFS(MASTER!$B:$B,$A11,MASTER!$I:$I,"&gt;=8000",MASTER!$I:$I,"&lt;10000"))</f>
        <v>9</v>
      </c>
      <c r="L11" s="17">
        <f>IF($A11="","",IFERROR(ROUND(AVERAGEIFS(MASTER!$L:$L,MASTER!$B:$B,$A11),1),"-"))</f>
        <v>5.0999999999999996</v>
      </c>
      <c r="M11" s="17">
        <f>IF($A11="","",IFERROR(ROUND(AVERAGEIFS(MASTER!$N:$N,MASTER!$B:$B,$A11),1),"-"))</f>
        <v>51.7</v>
      </c>
      <c r="N11" s="16" t="str">
        <f>IF($A11="","",IFERROR(IF($A11="FUCT","- ours -",$G11-ROUND(AVERAGEIF(MASTER!$B:$B,"FUCT",MASTER!$I:$I),0)),"-"))</f>
        <v>- ours -</v>
      </c>
      <c r="O11" s="15">
        <f t="shared" ref="O11:O24" si="0">IF(ISNUMBER($M11),RANK($M11,$M$11:$M$24),"-")</f>
        <v>6</v>
      </c>
      <c r="P11" s="14" t="str">
        <f>IF($A11="","",IFERROR(IF(INDEX(MASTER!$C$4:$C$1463,MATCH($A11&amp;"|1",MASTER!$Y$4:$Y$1463,0))="","-",INDEX(MASTER!$C$4:$C$1463,MATCH($A11&amp;"|1",MASTER!$Y$4:$Y$1463,0))),"-"))</f>
        <v>Wulf</v>
      </c>
      <c r="Q11" s="16">
        <f>IF($A11="","",IFERROR(IF(INDEX(MASTER!$I$4:$I$1463,MATCH($A11&amp;"|1",MASTER!$Y$4:$Y$1463,0))="","-",INDEX(MASTER!$I$4:$I$1463,MATCH($A11&amp;"|1",MASTER!$Y$4:$Y$1463,0))),"-"))</f>
        <v>11602</v>
      </c>
    </row>
    <row r="12" spans="1:17">
      <c r="A12" s="18" t="str">
        <f>IFERROR(INDEX(SETUP!$A$68:$A$81,MATCH(2,SETUP!$E$68:$E$81,0)),"")</f>
        <v>LEGENDS</v>
      </c>
      <c r="B12" s="19" t="str">
        <f>IF($A12="","",IFERROR(INDEX(SETUP!$B$68:$B$81,MATCH($A12,SETUP!$A$68:$A$81,0)),"-"))</f>
        <v>IMMORTAL</v>
      </c>
      <c r="C12" s="20">
        <f>IF($A12="","",COUNTIF(MASTER!$B:$B,$A12))</f>
        <v>100</v>
      </c>
      <c r="D12" s="20">
        <f>IF($A12="","",COUNTIFS(MASTER!$B:$B,$A12,MASTER!$S:$S,"Complete"))</f>
        <v>97</v>
      </c>
      <c r="E12" s="20">
        <f>IF($A12="","",IFERROR(ROUND(AVERAGEIFS(MASTER!$G:$G,MASTER!$B:$B,$A12),0),"-"))</f>
        <v>62868</v>
      </c>
      <c r="F12" s="20">
        <f>IF($A12="","",IFERROR(_xlfn.MAXIFS(MASTER!$G:$G,MASTER!$B:$B,$A12),"-"))</f>
        <v>64418</v>
      </c>
      <c r="G12" s="20">
        <f>IF($A12="","",IFERROR(ROUND(AVERAGEIFS(MASTER!$I:$I,MASTER!$B:$B,$A12),0),"-"))</f>
        <v>5539</v>
      </c>
      <c r="H12" s="20">
        <f>IF($A12="","",IFERROR(_xlfn.MAXIFS(MASTER!$I:$I,MASTER!$B:$B,$A12),"-"))</f>
        <v>11601</v>
      </c>
      <c r="I12" s="20">
        <f>IF($A12="","",IFERROR(IF(INDEX(MASTER!$I$4:$I$1463,MATCH($A12&amp;"|"&amp;ROUND($C12/2,0),MASTER!$Y$4:$Y$1463,0))="","-",INDEX(MASTER!$I$4:$I$1463,MATCH($A12&amp;"|"&amp;ROUND($C12/2,0),MASTER!$Y$4:$Y$1463,0))),"-"))</f>
        <v>5093</v>
      </c>
      <c r="J12" s="20">
        <f>IF($A12="","",COUNTIFS(MASTER!$B:$B,$A12,MASTER!$I:$I,"&gt;=10000"))</f>
        <v>6</v>
      </c>
      <c r="K12" s="20">
        <f>IF($A12="","",COUNTIFS(MASTER!$B:$B,$A12,MASTER!$I:$I,"&gt;=8000",MASTER!$I:$I,"&lt;10000"))</f>
        <v>6</v>
      </c>
      <c r="L12" s="21">
        <f>IF($A12="","",IFERROR(ROUND(AVERAGEIFS(MASTER!$L:$L,MASTER!$B:$B,$A12),1),"-"))</f>
        <v>5.3</v>
      </c>
      <c r="M12" s="21">
        <f>IF($A12="","",IFERROR(ROUND(AVERAGEIFS(MASTER!$N:$N,MASTER!$B:$B,$A12),1),"-"))</f>
        <v>53.7</v>
      </c>
      <c r="N12" s="20">
        <f>IF($A12="","",IFERROR(IF($A12="FUCT","- ours -",$G12-ROUND(AVERAGEIF(MASTER!$B:$B,"FUCT",MASTER!$I:$I),0)),"-"))</f>
        <v>325</v>
      </c>
      <c r="O12" s="19">
        <f t="shared" si="0"/>
        <v>5</v>
      </c>
      <c r="P12" s="18" t="str">
        <f>IF($A12="","",IFERROR(IF(INDEX(MASTER!$C$4:$C$1463,MATCH($A12&amp;"|1",MASTER!$Y$4:$Y$1463,0))="","-",INDEX(MASTER!$C$4:$C$1463,MATCH($A12&amp;"|1",MASTER!$Y$4:$Y$1463,0))),"-"))</f>
        <v>Deeds</v>
      </c>
      <c r="Q12" s="20">
        <f>IF($A12="","",IFERROR(IF(INDEX(MASTER!$I$4:$I$1463,MATCH($A12&amp;"|1",MASTER!$Y$4:$Y$1463,0))="","-",INDEX(MASTER!$I$4:$I$1463,MATCH($A12&amp;"|1",MASTER!$Y$4:$Y$1463,0))),"-"))</f>
        <v>11601</v>
      </c>
    </row>
    <row r="13" spans="1:17">
      <c r="A13" s="14" t="str">
        <f>IFERROR(INDEX(SETUP!$A$68:$A$81,MATCH(3,SETUP!$E$68:$E$81,0)),"")</f>
        <v>VANGUARD</v>
      </c>
      <c r="B13" s="15" t="str">
        <f>IF($A13="","",IFERROR(INDEX(SETUP!$B$68:$B$81,MATCH($A13,SETUP!$A$68:$A$81,0)),"-"))</f>
        <v>IMMORTAL</v>
      </c>
      <c r="C13" s="16">
        <f>IF($A13="","",COUNTIF(MASTER!$B:$B,$A13))</f>
        <v>95</v>
      </c>
      <c r="D13" s="16">
        <f>IF($A13="","",COUNTIFS(MASTER!$B:$B,$A13,MASTER!$S:$S,"Complete"))</f>
        <v>95</v>
      </c>
      <c r="E13" s="16">
        <f>IF($A13="","",IFERROR(ROUND(AVERAGEIFS(MASTER!$G:$G,MASTER!$B:$B,$A13),0),"-"))</f>
        <v>63206</v>
      </c>
      <c r="F13" s="16">
        <f>IF($A13="","",IFERROR(_xlfn.MAXIFS(MASTER!$G:$G,MASTER!$B:$B,$A13),"-"))</f>
        <v>64366</v>
      </c>
      <c r="G13" s="16">
        <f>IF($A13="","",IFERROR(ROUND(AVERAGEIFS(MASTER!$I:$I,MASTER!$B:$B,$A13),0),"-"))</f>
        <v>6666</v>
      </c>
      <c r="H13" s="16">
        <f>IF($A13="","",IFERROR(_xlfn.MAXIFS(MASTER!$I:$I,MASTER!$B:$B,$A13),"-"))</f>
        <v>10905</v>
      </c>
      <c r="I13" s="16">
        <f>IF($A13="","",IFERROR(IF(INDEX(MASTER!$I$4:$I$1463,MATCH($A13&amp;"|"&amp;ROUND($C13/2,0),MASTER!$Y$4:$Y$1463,0))="","-",INDEX(MASTER!$I$4:$I$1463,MATCH($A13&amp;"|"&amp;ROUND($C13/2,0),MASTER!$Y$4:$Y$1463,0))),"-"))</f>
        <v>6829</v>
      </c>
      <c r="J13" s="16">
        <f>IF($A13="","",COUNTIFS(MASTER!$B:$B,$A13,MASTER!$I:$I,"&gt;=10000"))</f>
        <v>10</v>
      </c>
      <c r="K13" s="16">
        <f>IF($A13="","",COUNTIFS(MASTER!$B:$B,$A13,MASTER!$I:$I,"&gt;=8000",MASTER!$I:$I,"&lt;10000"))</f>
        <v>23</v>
      </c>
      <c r="L13" s="17">
        <f>IF($A13="","",IFERROR(ROUND(AVERAGEIFS(MASTER!$L:$L,MASTER!$B:$B,$A13),1),"-"))</f>
        <v>6.1</v>
      </c>
      <c r="M13" s="17">
        <f>IF($A13="","",IFERROR(ROUND(AVERAGEIFS(MASTER!$N:$N,MASTER!$B:$B,$A13),1),"-"))</f>
        <v>60.8</v>
      </c>
      <c r="N13" s="16">
        <f>IF($A13="","",IFERROR(IF($A13="FUCT","- ours -",$G13-ROUND(AVERAGEIF(MASTER!$B:$B,"FUCT",MASTER!$I:$I),0)),"-"))</f>
        <v>1452</v>
      </c>
      <c r="O13" s="15">
        <f t="shared" si="0"/>
        <v>1</v>
      </c>
      <c r="P13" s="14" t="str">
        <f>IF($A13="","",IFERROR(IF(INDEX(MASTER!$C$4:$C$1463,MATCH($A13&amp;"|1",MASTER!$Y$4:$Y$1463,0))="","-",INDEX(MASTER!$C$4:$C$1463,MATCH($A13&amp;"|1",MASTER!$Y$4:$Y$1463,0))),"-"))</f>
        <v>Orionpax</v>
      </c>
      <c r="Q13" s="16">
        <f>IF($A13="","",IFERROR(IF(INDEX(MASTER!$I$4:$I$1463,MATCH($A13&amp;"|1",MASTER!$Y$4:$Y$1463,0))="","-",INDEX(MASTER!$I$4:$I$1463,MATCH($A13&amp;"|1",MASTER!$Y$4:$Y$1463,0))),"-"))</f>
        <v>10905</v>
      </c>
    </row>
    <row r="14" spans="1:17">
      <c r="A14" s="18" t="str">
        <f>IFERROR(INDEX(SETUP!$A$68:$A$81,MATCH(4,SETUP!$E$68:$E$81,0)),"")</f>
        <v>UNDYING</v>
      </c>
      <c r="B14" s="19" t="str">
        <f>IF($A14="","",IFERROR(INDEX(SETUP!$B$68:$B$81,MATCH($A14,SETUP!$A$68:$A$81,0)),"-"))</f>
        <v>IMMORTAL</v>
      </c>
      <c r="C14" s="20">
        <f>IF($A14="","",COUNTIF(MASTER!$B:$B,$A14))</f>
        <v>96</v>
      </c>
      <c r="D14" s="20">
        <f>IF($A14="","",COUNTIFS(MASTER!$B:$B,$A14,MASTER!$S:$S,"Complete"))</f>
        <v>96</v>
      </c>
      <c r="E14" s="20">
        <f>IF($A14="","",IFERROR(ROUND(AVERAGEIFS(MASTER!$G:$G,MASTER!$B:$B,$A14),0),"-"))</f>
        <v>62722</v>
      </c>
      <c r="F14" s="20">
        <f>IF($A14="","",IFERROR(_xlfn.MAXIFS(MASTER!$G:$G,MASTER!$B:$B,$A14),"-"))</f>
        <v>64189</v>
      </c>
      <c r="G14" s="20">
        <f>IF($A14="","",IFERROR(ROUND(AVERAGEIFS(MASTER!$I:$I,MASTER!$B:$B,$A14),0),"-"))</f>
        <v>4582</v>
      </c>
      <c r="H14" s="20">
        <f>IF($A14="","",IFERROR(_xlfn.MAXIFS(MASTER!$I:$I,MASTER!$B:$B,$A14),"-"))</f>
        <v>10023</v>
      </c>
      <c r="I14" s="20">
        <f>IF($A14="","",IFERROR(IF(INDEX(MASTER!$I$4:$I$1463,MATCH($A14&amp;"|"&amp;ROUND($C14/2,0),MASTER!$Y$4:$Y$1463,0))="","-",INDEX(MASTER!$I$4:$I$1463,MATCH($A14&amp;"|"&amp;ROUND($C14/2,0),MASTER!$Y$4:$Y$1463,0))),"-"))</f>
        <v>4203</v>
      </c>
      <c r="J14" s="20">
        <f>IF($A14="","",COUNTIFS(MASTER!$B:$B,$A14,MASTER!$I:$I,"&gt;=10000"))</f>
        <v>1</v>
      </c>
      <c r="K14" s="20">
        <f>IF($A14="","",COUNTIFS(MASTER!$B:$B,$A14,MASTER!$I:$I,"&gt;=8000",MASTER!$I:$I,"&lt;10000"))</f>
        <v>7</v>
      </c>
      <c r="L14" s="21">
        <f>IF($A14="","",IFERROR(ROUND(AVERAGEIFS(MASTER!$L:$L,MASTER!$B:$B,$A14),1),"-"))</f>
        <v>5.3</v>
      </c>
      <c r="M14" s="21">
        <f>IF($A14="","",IFERROR(ROUND(AVERAGEIFS(MASTER!$N:$N,MASTER!$B:$B,$A14),1),"-"))</f>
        <v>49.1</v>
      </c>
      <c r="N14" s="20">
        <f>IF($A14="","",IFERROR(IF($A14="FUCT","- ours -",$G14-ROUND(AVERAGEIF(MASTER!$B:$B,"FUCT",MASTER!$I:$I),0)),"-"))</f>
        <v>-632</v>
      </c>
      <c r="O14" s="19">
        <f t="shared" si="0"/>
        <v>7</v>
      </c>
      <c r="P14" s="18" t="str">
        <f>IF($A14="","",IFERROR(IF(INDEX(MASTER!$C$4:$C$1463,MATCH($A14&amp;"|1",MASTER!$Y$4:$Y$1463,0))="","-",INDEX(MASTER!$C$4:$C$1463,MATCH($A14&amp;"|1",MASTER!$Y$4:$Y$1463,0))),"-"))</f>
        <v>BOR- Zeroth</v>
      </c>
      <c r="Q14" s="20">
        <f>IF($A14="","",IFERROR(IF(INDEX(MASTER!$I$4:$I$1463,MATCH($A14&amp;"|1",MASTER!$Y$4:$Y$1463,0))="","-",INDEX(MASTER!$I$4:$I$1463,MATCH($A14&amp;"|1",MASTER!$Y$4:$Y$1463,0))),"-"))</f>
        <v>10023</v>
      </c>
    </row>
    <row r="15" spans="1:17">
      <c r="A15" s="14" t="str">
        <f>IFERROR(INDEX(SETUP!$A$68:$A$81,MATCH(5,SETUP!$E$68:$E$81,0)),"")</f>
        <v>SBG</v>
      </c>
      <c r="B15" s="15" t="str">
        <f>IF($A15="","",IFERROR(INDEX(SETUP!$B$68:$B$81,MATCH($A15,SETUP!$A$68:$A$81,0)),"-"))</f>
        <v>SHADOW</v>
      </c>
      <c r="C15" s="16">
        <f>IF($A15="","",COUNTIF(MASTER!$B:$B,$A15))</f>
        <v>97</v>
      </c>
      <c r="D15" s="16">
        <f>IF($A15="","",COUNTIFS(MASTER!$B:$B,$A15,MASTER!$S:$S,"Complete"))</f>
        <v>97</v>
      </c>
      <c r="E15" s="16">
        <f>IF($A15="","",IFERROR(ROUND(AVERAGEIFS(MASTER!$G:$G,MASTER!$B:$B,$A15),0),"-"))</f>
        <v>62662</v>
      </c>
      <c r="F15" s="16">
        <f>IF($A15="","",IFERROR(_xlfn.MAXIFS(MASTER!$G:$G,MASTER!$B:$B,$A15),"-"))</f>
        <v>64351</v>
      </c>
      <c r="G15" s="16">
        <f>IF($A15="","",IFERROR(ROUND(AVERAGEIFS(MASTER!$I:$I,MASTER!$B:$B,$A15),0),"-"))</f>
        <v>6056</v>
      </c>
      <c r="H15" s="16">
        <f>IF($A15="","",IFERROR(_xlfn.MAXIFS(MASTER!$I:$I,MASTER!$B:$B,$A15),"-"))</f>
        <v>12383</v>
      </c>
      <c r="I15" s="16">
        <f>IF($A15="","",IFERROR(IF(INDEX(MASTER!$I$4:$I$1463,MATCH($A15&amp;"|"&amp;ROUND($C15/2,0),MASTER!$Y$4:$Y$1463,0))="","-",INDEX(MASTER!$I$4:$I$1463,MATCH($A15&amp;"|"&amp;ROUND($C15/2,0),MASTER!$Y$4:$Y$1463,0))),"-"))</f>
        <v>5671</v>
      </c>
      <c r="J15" s="16">
        <f>IF($A15="","",COUNTIFS(MASTER!$B:$B,$A15,MASTER!$I:$I,"&gt;=10000"))</f>
        <v>9</v>
      </c>
      <c r="K15" s="16">
        <f>IF($A15="","",COUNTIFS(MASTER!$B:$B,$A15,MASTER!$I:$I,"&gt;=8000",MASTER!$I:$I,"&lt;10000"))</f>
        <v>15</v>
      </c>
      <c r="L15" s="17">
        <f>IF($A15="","",IFERROR(ROUND(AVERAGEIFS(MASTER!$L:$L,MASTER!$B:$B,$A15),1),"-"))</f>
        <v>6.1</v>
      </c>
      <c r="M15" s="17">
        <f>IF($A15="","",IFERROR(ROUND(AVERAGEIFS(MASTER!$N:$N,MASTER!$B:$B,$A15),1),"-"))</f>
        <v>56.7</v>
      </c>
      <c r="N15" s="16">
        <f>IF($A15="","",IFERROR(IF($A15="FUCT","- ours -",$G15-ROUND(AVERAGEIF(MASTER!$B:$B,"FUCT",MASTER!$I:$I),0)),"-"))</f>
        <v>842</v>
      </c>
      <c r="O15" s="15">
        <f t="shared" si="0"/>
        <v>2</v>
      </c>
      <c r="P15" s="14" t="str">
        <f>IF($A15="","",IFERROR(IF(INDEX(MASTER!$C$4:$C$1463,MATCH($A15&amp;"|1",MASTER!$Y$4:$Y$1463,0))="","-",INDEX(MASTER!$C$4:$C$1463,MATCH($A15&amp;"|1",MASTER!$Y$4:$Y$1463,0))),"-"))</f>
        <v>Solorin</v>
      </c>
      <c r="Q15" s="16">
        <f>IF($A15="","",IFERROR(IF(INDEX(MASTER!$I$4:$I$1463,MATCH($A15&amp;"|1",MASTER!$Y$4:$Y$1463,0))="","-",INDEX(MASTER!$I$4:$I$1463,MATCH($A15&amp;"|1",MASTER!$Y$4:$Y$1463,0))),"-"))</f>
        <v>12383</v>
      </c>
    </row>
    <row r="16" spans="1:17">
      <c r="A16" s="18" t="str">
        <f>IFERROR(INDEX(SETUP!$A$68:$A$81,MATCH(6,SETUP!$E$68:$E$81,0)),"")</f>
        <v>AZUKI</v>
      </c>
      <c r="B16" s="19" t="str">
        <f>IF($A16="","",IFERROR(INDEX(SETUP!$B$68:$B$81,MATCH($A16,SETUP!$A$68:$A$81,0)),"-"))</f>
        <v>SHADOW</v>
      </c>
      <c r="C16" s="20">
        <f>IF($A16="","",COUNTIF(MASTER!$B:$B,$A16))</f>
        <v>102</v>
      </c>
      <c r="D16" s="20">
        <f>IF($A16="","",COUNTIFS(MASTER!$B:$B,$A16,MASTER!$S:$S,"Complete"))</f>
        <v>101</v>
      </c>
      <c r="E16" s="20">
        <f>IF($A16="","",IFERROR(ROUND(AVERAGEIFS(MASTER!$G:$G,MASTER!$B:$B,$A16),0),"-"))</f>
        <v>62696</v>
      </c>
      <c r="F16" s="20">
        <f>IF($A16="","",IFERROR(_xlfn.MAXIFS(MASTER!$G:$G,MASTER!$B:$B,$A16),"-"))</f>
        <v>64467</v>
      </c>
      <c r="G16" s="20">
        <f>IF($A16="","",IFERROR(ROUND(AVERAGEIFS(MASTER!$I:$I,MASTER!$B:$B,$A16),0),"-"))</f>
        <v>5754</v>
      </c>
      <c r="H16" s="20">
        <f>IF($A16="","",IFERROR(_xlfn.MAXIFS(MASTER!$I:$I,MASTER!$B:$B,$A16),"-"))</f>
        <v>12511</v>
      </c>
      <c r="I16" s="20">
        <f>IF($A16="","",IFERROR(IF(INDEX(MASTER!$I$4:$I$1463,MATCH($A16&amp;"|"&amp;ROUND($C16/2,0),MASTER!$Y$4:$Y$1463,0))="","-",INDEX(MASTER!$I$4:$I$1463,MATCH($A16&amp;"|"&amp;ROUND($C16/2,0),MASTER!$Y$4:$Y$1463,0))),"-"))</f>
        <v>4939</v>
      </c>
      <c r="J16" s="20">
        <f>IF($A16="","",COUNTIFS(MASTER!$B:$B,$A16,MASTER!$I:$I,"&gt;=10000"))</f>
        <v>12</v>
      </c>
      <c r="K16" s="20">
        <f>IF($A16="","",COUNTIFS(MASTER!$B:$B,$A16,MASTER!$I:$I,"&gt;=8000",MASTER!$I:$I,"&lt;10000"))</f>
        <v>11</v>
      </c>
      <c r="L16" s="21">
        <f>IF($A16="","",IFERROR(ROUND(AVERAGEIFS(MASTER!$L:$L,MASTER!$B:$B,$A16),1),"-"))</f>
        <v>6.1</v>
      </c>
      <c r="M16" s="21">
        <f>IF($A16="","",IFERROR(ROUND(AVERAGEIFS(MASTER!$N:$N,MASTER!$B:$B,$A16),1),"-"))</f>
        <v>55.6</v>
      </c>
      <c r="N16" s="20">
        <f>IF($A16="","",IFERROR(IF($A16="FUCT","- ours -",$G16-ROUND(AVERAGEIF(MASTER!$B:$B,"FUCT",MASTER!$I:$I),0)),"-"))</f>
        <v>540</v>
      </c>
      <c r="O16" s="19">
        <f t="shared" si="0"/>
        <v>3</v>
      </c>
      <c r="P16" s="18" t="str">
        <f>IF($A16="","",IFERROR(IF(INDEX(MASTER!$C$4:$C$1463,MATCH($A16&amp;"|1",MASTER!$Y$4:$Y$1463,0))="","-",INDEX(MASTER!$C$4:$C$1463,MATCH($A16&amp;"|1",MASTER!$Y$4:$Y$1463,0))),"-"))</f>
        <v>AMBER</v>
      </c>
      <c r="Q16" s="20">
        <f>IF($A16="","",IFERROR(IF(INDEX(MASTER!$I$4:$I$1463,MATCH($A16&amp;"|1",MASTER!$Y$4:$Y$1463,0))="","-",INDEX(MASTER!$I$4:$I$1463,MATCH($A16&amp;"|1",MASTER!$Y$4:$Y$1463,0))),"-"))</f>
        <v>12511</v>
      </c>
    </row>
    <row r="17" spans="1:17">
      <c r="A17" s="14" t="str">
        <f>IFERROR(INDEX(SETUP!$A$68:$A$81,MATCH(7,SETUP!$E$68:$E$81,0)),"")</f>
        <v>RECKONING</v>
      </c>
      <c r="B17" s="15" t="str">
        <f>IF($A17="","",IFERROR(INDEX(SETUP!$B$68:$B$81,MATCH($A17,SETUP!$A$68:$A$81,0)),"-"))</f>
        <v>SHADOW</v>
      </c>
      <c r="C17" s="16">
        <f>IF($A17="","",COUNTIF(MASTER!$B:$B,$A17))</f>
        <v>97</v>
      </c>
      <c r="D17" s="16">
        <f>IF($A17="","",COUNTIFS(MASTER!$B:$B,$A17,MASTER!$S:$S,"Complete"))</f>
        <v>97</v>
      </c>
      <c r="E17" s="16">
        <f>IF($A17="","",IFERROR(ROUND(AVERAGEIFS(MASTER!$G:$G,MASTER!$B:$B,$A17),0),"-"))</f>
        <v>62666</v>
      </c>
      <c r="F17" s="16">
        <f>IF($A17="","",IFERROR(_xlfn.MAXIFS(MASTER!$G:$G,MASTER!$B:$B,$A17),"-"))</f>
        <v>64464</v>
      </c>
      <c r="G17" s="16">
        <f>IF($A17="","",IFERROR(ROUND(AVERAGEIFS(MASTER!$I:$I,MASTER!$B:$B,$A17),0),"-"))</f>
        <v>5541</v>
      </c>
      <c r="H17" s="16">
        <f>IF($A17="","",IFERROR(_xlfn.MAXIFS(MASTER!$I:$I,MASTER!$B:$B,$A17),"-"))</f>
        <v>11024</v>
      </c>
      <c r="I17" s="16">
        <f>IF($A17="","",IFERROR(IF(INDEX(MASTER!$I$4:$I$1463,MATCH($A17&amp;"|"&amp;ROUND($C17/2,0),MASTER!$Y$4:$Y$1463,0))="","-",INDEX(MASTER!$I$4:$I$1463,MATCH($A17&amp;"|"&amp;ROUND($C17/2,0),MASTER!$Y$4:$Y$1463,0))),"-"))</f>
        <v>4850</v>
      </c>
      <c r="J17" s="16">
        <f>IF($A17="","",COUNTIFS(MASTER!$B:$B,$A17,MASTER!$I:$I,"&gt;=10000"))</f>
        <v>9</v>
      </c>
      <c r="K17" s="16">
        <f>IF($A17="","",COUNTIFS(MASTER!$B:$B,$A17,MASTER!$I:$I,"&gt;=8000",MASTER!$I:$I,"&lt;10000"))</f>
        <v>12</v>
      </c>
      <c r="L17" s="17">
        <f>IF($A17="","",IFERROR(ROUND(AVERAGEIFS(MASTER!$L:$L,MASTER!$B:$B,$A17),1),"-"))</f>
        <v>5.9</v>
      </c>
      <c r="M17" s="17">
        <f>IF($A17="","",IFERROR(ROUND(AVERAGEIFS(MASTER!$N:$N,MASTER!$B:$B,$A17),1),"-"))</f>
        <v>54.2</v>
      </c>
      <c r="N17" s="16">
        <f>IF($A17="","",IFERROR(IF($A17="FUCT","- ours -",$G17-ROUND(AVERAGEIF(MASTER!$B:$B,"FUCT",MASTER!$I:$I),0)),"-"))</f>
        <v>327</v>
      </c>
      <c r="O17" s="15">
        <f t="shared" si="0"/>
        <v>4</v>
      </c>
      <c r="P17" s="14" t="str">
        <f>IF($A17="","",IFERROR(IF(INDEX(MASTER!$C$4:$C$1463,MATCH($A17&amp;"|1",MASTER!$Y$4:$Y$1463,0))="","-",INDEX(MASTER!$C$4:$C$1463,MATCH($A17&amp;"|1",MASTER!$Y$4:$Y$1463,0))),"-"))</f>
        <v>Rydog</v>
      </c>
      <c r="Q17" s="16">
        <f>IF($A17="","",IFERROR(IF(INDEX(MASTER!$I$4:$I$1463,MATCH($A17&amp;"|1",MASTER!$Y$4:$Y$1463,0))="","-",INDEX(MASTER!$I$4:$I$1463,MATCH($A17&amp;"|1",MASTER!$Y$4:$Y$1463,0))),"-"))</f>
        <v>11024</v>
      </c>
    </row>
    <row r="18" spans="1:17">
      <c r="A18" s="18" t="str">
        <f>IFERROR(INDEX(SETUP!$A$68:$A$81,MATCH(8,SETUP!$E$68:$E$81,0)),"")</f>
        <v>ACHERON</v>
      </c>
      <c r="B18" s="19" t="str">
        <f>IF($A18="","",IFERROR(INDEX(SETUP!$B$68:$B$81,MATCH($A18,SETUP!$A$68:$A$81,0)),"-"))</f>
        <v>SHADOW</v>
      </c>
      <c r="C18" s="20">
        <f>IF($A18="","",COUNTIF(MASTER!$B:$B,$A18))</f>
        <v>96</v>
      </c>
      <c r="D18" s="20">
        <f>IF($A18="","",COUNTIFS(MASTER!$B:$B,$A18,MASTER!$S:$S,"Complete"))</f>
        <v>94</v>
      </c>
      <c r="E18" s="20">
        <f>IF($A18="","",IFERROR(ROUND(AVERAGEIFS(MASTER!$G:$G,MASTER!$B:$B,$A18),0),"-"))</f>
        <v>62377</v>
      </c>
      <c r="F18" s="20">
        <f>IF($A18="","",IFERROR(_xlfn.MAXIFS(MASTER!$G:$G,MASTER!$B:$B,$A18),"-"))</f>
        <v>64228</v>
      </c>
      <c r="G18" s="20">
        <f>IF($A18="","",IFERROR(ROUND(AVERAGEIFS(MASTER!$I:$I,MASTER!$B:$B,$A18),0),"-"))</f>
        <v>4133</v>
      </c>
      <c r="H18" s="20">
        <f>IF($A18="","",IFERROR(_xlfn.MAXIFS(MASTER!$I:$I,MASTER!$B:$B,$A18),"-"))</f>
        <v>10705</v>
      </c>
      <c r="I18" s="20">
        <f>IF($A18="","",IFERROR(IF(INDEX(MASTER!$I$4:$I$1463,MATCH($A18&amp;"|"&amp;ROUND($C18/2,0),MASTER!$Y$4:$Y$1463,0))="","-",INDEX(MASTER!$I$4:$I$1463,MATCH($A18&amp;"|"&amp;ROUND($C18/2,0),MASTER!$Y$4:$Y$1463,0))),"-"))</f>
        <v>3863</v>
      </c>
      <c r="J18" s="20">
        <f>IF($A18="","",COUNTIFS(MASTER!$B:$B,$A18,MASTER!$I:$I,"&gt;=10000"))</f>
        <v>1</v>
      </c>
      <c r="K18" s="20">
        <f>IF($A18="","",COUNTIFS(MASTER!$B:$B,$A18,MASTER!$I:$I,"&gt;=8000",MASTER!$I:$I,"&lt;10000"))</f>
        <v>5</v>
      </c>
      <c r="L18" s="21">
        <f>IF($A18="","",IFERROR(ROUND(AVERAGEIFS(MASTER!$L:$L,MASTER!$B:$B,$A18),1),"-"))</f>
        <v>5.3</v>
      </c>
      <c r="M18" s="21">
        <f>IF($A18="","",IFERROR(ROUND(AVERAGEIFS(MASTER!$N:$N,MASTER!$B:$B,$A18),1),"-"))</f>
        <v>46</v>
      </c>
      <c r="N18" s="20">
        <f>IF($A18="","",IFERROR(IF($A18="FUCT","- ours -",$G18-ROUND(AVERAGEIF(MASTER!$B:$B,"FUCT",MASTER!$I:$I),0)),"-"))</f>
        <v>-1081</v>
      </c>
      <c r="O18" s="19">
        <f t="shared" si="0"/>
        <v>8</v>
      </c>
      <c r="P18" s="18" t="str">
        <f>IF($A18="","",IFERROR(IF(INDEX(MASTER!$C$4:$C$1463,MATCH($A18&amp;"|1",MASTER!$Y$4:$Y$1463,0))="","-",INDEX(MASTER!$C$4:$C$1463,MATCH($A18&amp;"|1",MASTER!$Y$4:$Y$1463,0))),"-"))</f>
        <v>Sölus</v>
      </c>
      <c r="Q18" s="20">
        <f>IF($A18="","",IFERROR(IF(INDEX(MASTER!$I$4:$I$1463,MATCH($A18&amp;"|1",MASTER!$Y$4:$Y$1463,0))="","-",INDEX(MASTER!$I$4:$I$1463,MATCH($A18&amp;"|1",MASTER!$Y$4:$Y$1463,0))),"-"))</f>
        <v>10705</v>
      </c>
    </row>
    <row r="19" spans="1:17">
      <c r="A19" s="14" t="str">
        <f>IFERROR(INDEX(SETUP!$A$68:$A$81,MATCH(9,SETUP!$E$68:$E$81,0)),"")</f>
        <v>INVICTUS</v>
      </c>
      <c r="B19" s="15" t="str">
        <f>IF($A19="","",IFERROR(INDEX(SETUP!$B$68:$B$81,MATCH($A19,SETUP!$A$68:$A$81,0)),"-"))</f>
        <v>SHADOW</v>
      </c>
      <c r="C19" s="16">
        <f>IF($A19="","",COUNTIF(MASTER!$B:$B,$A19))</f>
        <v>100</v>
      </c>
      <c r="D19" s="16">
        <f>IF($A19="","",COUNTIFS(MASTER!$B:$B,$A19,MASTER!$S:$S,"Complete"))</f>
        <v>99</v>
      </c>
      <c r="E19" s="16">
        <f>IF($A19="","",IFERROR(ROUND(AVERAGEIFS(MASTER!$G:$G,MASTER!$B:$B,$A19),0),"-"))</f>
        <v>61903</v>
      </c>
      <c r="F19" s="16">
        <f>IF($A19="","",IFERROR(_xlfn.MAXIFS(MASTER!$G:$G,MASTER!$B:$B,$A19),"-"))</f>
        <v>64172</v>
      </c>
      <c r="G19" s="16">
        <f>IF($A19="","",IFERROR(ROUND(AVERAGEIFS(MASTER!$I:$I,MASTER!$B:$B,$A19),0),"-"))</f>
        <v>3415</v>
      </c>
      <c r="H19" s="16">
        <f>IF($A19="","",IFERROR(_xlfn.MAXIFS(MASTER!$I:$I,MASTER!$B:$B,$A19),"-"))</f>
        <v>9752</v>
      </c>
      <c r="I19" s="16">
        <f>IF($A19="","",IFERROR(IF(INDEX(MASTER!$I$4:$I$1463,MATCH($A19&amp;"|"&amp;ROUND($C19/2,0),MASTER!$Y$4:$Y$1463,0))="","-",INDEX(MASTER!$I$4:$I$1463,MATCH($A19&amp;"|"&amp;ROUND($C19/2,0),MASTER!$Y$4:$Y$1463,0))),"-"))</f>
        <v>3040</v>
      </c>
      <c r="J19" s="16">
        <f>IF($A19="","",COUNTIFS(MASTER!$B:$B,$A19,MASTER!$I:$I,"&gt;=10000"))</f>
        <v>0</v>
      </c>
      <c r="K19" s="16">
        <f>IF($A19="","",COUNTIFS(MASTER!$B:$B,$A19,MASTER!$I:$I,"&gt;=8000",MASTER!$I:$I,"&lt;10000"))</f>
        <v>3</v>
      </c>
      <c r="L19" s="17">
        <f>IF($A19="","",IFERROR(ROUND(AVERAGEIFS(MASTER!$L:$L,MASTER!$B:$B,$A19),1),"-"))</f>
        <v>4.5</v>
      </c>
      <c r="M19" s="17">
        <f>IF($A19="","",IFERROR(ROUND(AVERAGEIFS(MASTER!$N:$N,MASTER!$B:$B,$A19),1),"-"))</f>
        <v>40.6</v>
      </c>
      <c r="N19" s="16">
        <f>IF($A19="","",IFERROR(IF($A19="FUCT","- ours -",$G19-ROUND(AVERAGEIF(MASTER!$B:$B,"FUCT",MASTER!$I:$I),0)),"-"))</f>
        <v>-1799</v>
      </c>
      <c r="O19" s="15">
        <f t="shared" si="0"/>
        <v>10</v>
      </c>
      <c r="P19" s="14" t="str">
        <f>IF($A19="","",IFERROR(IF(INDEX(MASTER!$C$4:$C$1463,MATCH($A19&amp;"|1",MASTER!$Y$4:$Y$1463,0))="","-",INDEX(MASTER!$C$4:$C$1463,MATCH($A19&amp;"|1",MASTER!$Y$4:$Y$1463,0))),"-"))</f>
        <v>Seric</v>
      </c>
      <c r="Q19" s="16">
        <f>IF($A19="","",IFERROR(IF(INDEX(MASTER!$I$4:$I$1463,MATCH($A19&amp;"|1",MASTER!$Y$4:$Y$1463,0))="","-",INDEX(MASTER!$I$4:$I$1463,MATCH($A19&amp;"|1",MASTER!$Y$4:$Y$1463,0))),"-"))</f>
        <v>9752</v>
      </c>
    </row>
    <row r="20" spans="1:17">
      <c r="A20" s="18" t="str">
        <f>IFERROR(INDEX(SETUP!$A$68:$A$81,MATCH(10,SETUP!$E$68:$E$81,0)),"")</f>
        <v>EMERALD LEAF TRIBE</v>
      </c>
      <c r="B20" s="19" t="str">
        <f>IF($A20="","",IFERROR(INDEX(SETUP!$B$68:$B$81,MATCH($A20,SETUP!$A$68:$A$81,0)),"-"))</f>
        <v>SHADOW</v>
      </c>
      <c r="C20" s="20">
        <f>IF($A20="","",COUNTIF(MASTER!$B:$B,$A20))</f>
        <v>97</v>
      </c>
      <c r="D20" s="20">
        <f>IF($A20="","",COUNTIFS(MASTER!$B:$B,$A20,MASTER!$S:$S,"Complete"))</f>
        <v>97</v>
      </c>
      <c r="E20" s="20">
        <f>IF($A20="","",IFERROR(ROUND(AVERAGEIFS(MASTER!$G:$G,MASTER!$B:$B,$A20),0),"-"))</f>
        <v>60411</v>
      </c>
      <c r="F20" s="20">
        <f>IF($A20="","",IFERROR(_xlfn.MAXIFS(MASTER!$G:$G,MASTER!$B:$B,$A20),"-"))</f>
        <v>63451</v>
      </c>
      <c r="G20" s="20">
        <f>IF($A20="","",IFERROR(ROUND(AVERAGEIFS(MASTER!$I:$I,MASTER!$B:$B,$A20),0),"-"))</f>
        <v>2318</v>
      </c>
      <c r="H20" s="20">
        <f>IF($A20="","",IFERROR(_xlfn.MAXIFS(MASTER!$I:$I,MASTER!$B:$B,$A20),"-"))</f>
        <v>5260</v>
      </c>
      <c r="I20" s="20">
        <f>IF($A20="","",IFERROR(IF(INDEX(MASTER!$I$4:$I$1463,MATCH($A20&amp;"|"&amp;ROUND($C20/2,0),MASTER!$Y$4:$Y$1463,0))="","-",INDEX(MASTER!$I$4:$I$1463,MATCH($A20&amp;"|"&amp;ROUND($C20/2,0),MASTER!$Y$4:$Y$1463,0))),"-"))</f>
        <v>2180</v>
      </c>
      <c r="J20" s="20">
        <f>IF($A20="","",COUNTIFS(MASTER!$B:$B,$A20,MASTER!$I:$I,"&gt;=10000"))</f>
        <v>0</v>
      </c>
      <c r="K20" s="20">
        <f>IF($A20="","",COUNTIFS(MASTER!$B:$B,$A20,MASTER!$I:$I,"&gt;=8000",MASTER!$I:$I,"&lt;10000"))</f>
        <v>0</v>
      </c>
      <c r="L20" s="21">
        <f>IF($A20="","",IFERROR(ROUND(AVERAGEIFS(MASTER!$L:$L,MASTER!$B:$B,$A20),1),"-"))</f>
        <v>3.7</v>
      </c>
      <c r="M20" s="21">
        <f>IF($A20="","",IFERROR(ROUND(AVERAGEIFS(MASTER!$N:$N,MASTER!$B:$B,$A20),1),"-"))</f>
        <v>31.7</v>
      </c>
      <c r="N20" s="20">
        <f>IF($A20="","",IFERROR(IF($A20="FUCT","- ours -",$G20-ROUND(AVERAGEIF(MASTER!$B:$B,"FUCT",MASTER!$I:$I),0)),"-"))</f>
        <v>-2896</v>
      </c>
      <c r="O20" s="19">
        <f t="shared" si="0"/>
        <v>13</v>
      </c>
      <c r="P20" s="18" t="str">
        <f>IF($A20="","",IFERROR(IF(INDEX(MASTER!$C$4:$C$1463,MATCH($A20&amp;"|1",MASTER!$Y$4:$Y$1463,0))="","-",INDEX(MASTER!$C$4:$C$1463,MATCH($A20&amp;"|1",MASTER!$Y$4:$Y$1463,0))),"-"))</f>
        <v>Cal66</v>
      </c>
      <c r="Q20" s="20">
        <f>IF($A20="","",IFERROR(IF(INDEX(MASTER!$I$4:$I$1463,MATCH($A20&amp;"|1",MASTER!$Y$4:$Y$1463,0))="","-",INDEX(MASTER!$I$4:$I$1463,MATCH($A20&amp;"|1",MASTER!$Y$4:$Y$1463,0))),"-"))</f>
        <v>5260</v>
      </c>
    </row>
    <row r="21" spans="1:17">
      <c r="A21" s="14" t="str">
        <f>IFERROR(INDEX(SETUP!$A$68:$A$81,MATCH(11,SETUP!$E$68:$E$81,0)),"")</f>
        <v>SUB ROSA</v>
      </c>
      <c r="B21" s="15" t="str">
        <f>IF($A21="","",IFERROR(INDEX(SETUP!$B$68:$B$81,MATCH($A21,SETUP!$A$68:$A$81,0)),"-"))</f>
        <v>SHADOW</v>
      </c>
      <c r="C21" s="16">
        <f>IF($A21="","",COUNTIF(MASTER!$B:$B,$A21))</f>
        <v>93</v>
      </c>
      <c r="D21" s="16">
        <f>IF($A21="","",COUNTIFS(MASTER!$B:$B,$A21,MASTER!$S:$S,"Complete"))</f>
        <v>68</v>
      </c>
      <c r="E21" s="16">
        <f>IF($A21="","",IFERROR(ROUND(AVERAGEIFS(MASTER!$G:$G,MASTER!$B:$B,$A21),0),"-"))</f>
        <v>61588</v>
      </c>
      <c r="F21" s="16">
        <f>IF($A21="","",IFERROR(_xlfn.MAXIFS(MASTER!$G:$G,MASTER!$B:$B,$A21),"-"))</f>
        <v>64435</v>
      </c>
      <c r="G21" s="16">
        <f>IF($A21="","",IFERROR(ROUND(AVERAGEIFS(MASTER!$I:$I,MASTER!$B:$B,$A21),0),"-"))</f>
        <v>3056</v>
      </c>
      <c r="H21" s="16">
        <f>IF($A21="","",IFERROR(_xlfn.MAXIFS(MASTER!$I:$I,MASTER!$B:$B,$A21),"-"))</f>
        <v>11094</v>
      </c>
      <c r="I21" s="16">
        <f>IF($A21="","",IFERROR(IF(INDEX(MASTER!$I$4:$I$1463,MATCH($A21&amp;"|"&amp;ROUND($C21/2,0),MASTER!$Y$4:$Y$1463,0))="","-",INDEX(MASTER!$I$4:$I$1463,MATCH($A21&amp;"|"&amp;ROUND($C21/2,0),MASTER!$Y$4:$Y$1463,0))),"-"))</f>
        <v>1912</v>
      </c>
      <c r="J21" s="16">
        <f>IF($A21="","",COUNTIFS(MASTER!$B:$B,$A21,MASTER!$I:$I,"&gt;=10000"))</f>
        <v>2</v>
      </c>
      <c r="K21" s="16">
        <f>IF($A21="","",COUNTIFS(MASTER!$B:$B,$A21,MASTER!$I:$I,"&gt;=8000",MASTER!$I:$I,"&lt;10000"))</f>
        <v>1</v>
      </c>
      <c r="L21" s="17">
        <f>IF($A21="","",IFERROR(ROUND(AVERAGEIFS(MASTER!$L:$L,MASTER!$B:$B,$A21),1),"-"))</f>
        <v>4</v>
      </c>
      <c r="M21" s="17">
        <f>IF($A21="","",IFERROR(ROUND(AVERAGEIFS(MASTER!$N:$N,MASTER!$B:$B,$A21),1),"-"))</f>
        <v>37.299999999999997</v>
      </c>
      <c r="N21" s="16">
        <f>IF($A21="","",IFERROR(IF($A21="FUCT","- ours -",$G21-ROUND(AVERAGEIF(MASTER!$B:$B,"FUCT",MASTER!$I:$I),0)),"-"))</f>
        <v>-2158</v>
      </c>
      <c r="O21" s="15">
        <f t="shared" si="0"/>
        <v>11</v>
      </c>
      <c r="P21" s="14" t="str">
        <f>IF($A21="","",IFERROR(IF(INDEX(MASTER!$C$4:$C$1463,MATCH($A21&amp;"|1",MASTER!$Y$4:$Y$1463,0))="","-",INDEX(MASTER!$C$4:$C$1463,MATCH($A21&amp;"|1",MASTER!$Y$4:$Y$1463,0))),"-"))</f>
        <v>Dwai</v>
      </c>
      <c r="Q21" s="16">
        <f>IF($A21="","",IFERROR(IF(INDEX(MASTER!$I$4:$I$1463,MATCH($A21&amp;"|1",MASTER!$Y$4:$Y$1463,0))="","-",INDEX(MASTER!$I$4:$I$1463,MATCH($A21&amp;"|1",MASTER!$Y$4:$Y$1463,0))),"-"))</f>
        <v>11094</v>
      </c>
    </row>
    <row r="22" spans="1:17">
      <c r="A22" s="18" t="str">
        <f>IFERROR(INDEX(SETUP!$A$68:$A$81,MATCH(12,SETUP!$E$68:$E$81,0)),"")</f>
        <v>VENGEANCE</v>
      </c>
      <c r="B22" s="19" t="str">
        <f>IF($A22="","",IFERROR(INDEX(SETUP!$B$68:$B$81,MATCH($A22,SETUP!$A$68:$A$81,0)),"-"))</f>
        <v>SHADOW</v>
      </c>
      <c r="C22" s="20">
        <f>IF($A22="","",COUNTIF(MASTER!$B:$B,$A22))</f>
        <v>96</v>
      </c>
      <c r="D22" s="20">
        <f>IF($A22="","",COUNTIFS(MASTER!$B:$B,$A22,MASTER!$S:$S,"Complete"))</f>
        <v>94</v>
      </c>
      <c r="E22" s="20">
        <f>IF($A22="","",IFERROR(ROUND(AVERAGEIFS(MASTER!$G:$G,MASTER!$B:$B,$A22),0),"-"))</f>
        <v>61944</v>
      </c>
      <c r="F22" s="20">
        <f>IF($A22="","",IFERROR(_xlfn.MAXIFS(MASTER!$G:$G,MASTER!$B:$B,$A22),"-"))</f>
        <v>63732</v>
      </c>
      <c r="G22" s="20">
        <f>IF($A22="","",IFERROR(ROUND(AVERAGEIFS(MASTER!$I:$I,MASTER!$B:$B,$A22),0),"-"))</f>
        <v>3603</v>
      </c>
      <c r="H22" s="20">
        <f>IF($A22="","",IFERROR(_xlfn.MAXIFS(MASTER!$I:$I,MASTER!$B:$B,$A22),"-"))</f>
        <v>7759</v>
      </c>
      <c r="I22" s="20">
        <f>IF($A22="","",IFERROR(IF(INDEX(MASTER!$I$4:$I$1463,MATCH($A22&amp;"|"&amp;ROUND($C22/2,0),MASTER!$Y$4:$Y$1463,0))="","-",INDEX(MASTER!$I$4:$I$1463,MATCH($A22&amp;"|"&amp;ROUND($C22/2,0),MASTER!$Y$4:$Y$1463,0))),"-"))</f>
        <v>3408</v>
      </c>
      <c r="J22" s="20">
        <f>IF($A22="","",COUNTIFS(MASTER!$B:$B,$A22,MASTER!$I:$I,"&gt;=10000"))</f>
        <v>0</v>
      </c>
      <c r="K22" s="20">
        <f>IF($A22="","",COUNTIFS(MASTER!$B:$B,$A22,MASTER!$I:$I,"&gt;=8000",MASTER!$I:$I,"&lt;10000"))</f>
        <v>0</v>
      </c>
      <c r="L22" s="21">
        <f>IF($A22="","",IFERROR(ROUND(AVERAGEIFS(MASTER!$L:$L,MASTER!$B:$B,$A22),1),"-"))</f>
        <v>4.7</v>
      </c>
      <c r="M22" s="21">
        <f>IF($A22="","",IFERROR(ROUND(AVERAGEIFS(MASTER!$N:$N,MASTER!$B:$B,$A22),1),"-"))</f>
        <v>41.9</v>
      </c>
      <c r="N22" s="20">
        <f>IF($A22="","",IFERROR(IF($A22="FUCT","- ours -",$G22-ROUND(AVERAGEIF(MASTER!$B:$B,"FUCT",MASTER!$I:$I),0)),"-"))</f>
        <v>-1611</v>
      </c>
      <c r="O22" s="19">
        <f t="shared" si="0"/>
        <v>9</v>
      </c>
      <c r="P22" s="18" t="str">
        <f>IF($A22="","",IFERROR(IF(INDEX(MASTER!$C$4:$C$1463,MATCH($A22&amp;"|1",MASTER!$Y$4:$Y$1463,0))="","-",INDEX(MASTER!$C$4:$C$1463,MATCH($A22&amp;"|1",MASTER!$Y$4:$Y$1463,0))),"-"))</f>
        <v>Stevo77</v>
      </c>
      <c r="Q22" s="20">
        <f>IF($A22="","",IFERROR(IF(INDEX(MASTER!$I$4:$I$1463,MATCH($A22&amp;"|1",MASTER!$Y$4:$Y$1463,0))="","-",INDEX(MASTER!$I$4:$I$1463,MATCH($A22&amp;"|1",MASTER!$Y$4:$Y$1463,0))),"-"))</f>
        <v>7759</v>
      </c>
    </row>
    <row r="23" spans="1:17">
      <c r="A23" s="14" t="str">
        <f>IFERROR(INDEX(SETUP!$A$68:$A$81,MATCH(13,SETUP!$E$68:$E$81,0)),"")</f>
        <v>VENDETTA</v>
      </c>
      <c r="B23" s="15" t="str">
        <f>IF($A23="","",IFERROR(INDEX(SETUP!$B$68:$B$81,MATCH($A23,SETUP!$A$68:$A$81,0)),"-"))</f>
        <v>SHADOW</v>
      </c>
      <c r="C23" s="16">
        <f>IF($A23="","",COUNTIF(MASTER!$B:$B,$A23))</f>
        <v>94</v>
      </c>
      <c r="D23" s="16">
        <f>IF($A23="","",COUNTIFS(MASTER!$B:$B,$A23,MASTER!$S:$S,"Complete"))</f>
        <v>93</v>
      </c>
      <c r="E23" s="16">
        <f>IF($A23="","",IFERROR(ROUND(AVERAGEIFS(MASTER!$G:$G,MASTER!$B:$B,$A23),0),"-"))</f>
        <v>61394</v>
      </c>
      <c r="F23" s="16">
        <f>IF($A23="","",IFERROR(_xlfn.MAXIFS(MASTER!$G:$G,MASTER!$B:$B,$A23),"-"))</f>
        <v>63539</v>
      </c>
      <c r="G23" s="16">
        <f>IF($A23="","",IFERROR(ROUND(AVERAGEIFS(MASTER!$I:$I,MASTER!$B:$B,$A23),0),"-"))</f>
        <v>2098</v>
      </c>
      <c r="H23" s="16">
        <f>IF($A23="","",IFERROR(_xlfn.MAXIFS(MASTER!$I:$I,MASTER!$B:$B,$A23),"-"))</f>
        <v>4790</v>
      </c>
      <c r="I23" s="16">
        <f>IF($A23="","",IFERROR(IF(INDEX(MASTER!$I$4:$I$1463,MATCH($A23&amp;"|"&amp;ROUND($C23/2,0),MASTER!$Y$4:$Y$1463,0))="","-",INDEX(MASTER!$I$4:$I$1463,MATCH($A23&amp;"|"&amp;ROUND($C23/2,0),MASTER!$Y$4:$Y$1463,0))),"-"))</f>
        <v>2030</v>
      </c>
      <c r="J23" s="16">
        <f>IF($A23="","",COUNTIFS(MASTER!$B:$B,$A23,MASTER!$I:$I,"&gt;=10000"))</f>
        <v>0</v>
      </c>
      <c r="K23" s="16">
        <f>IF($A23="","",COUNTIFS(MASTER!$B:$B,$A23,MASTER!$I:$I,"&gt;=8000",MASTER!$I:$I,"&lt;10000"))</f>
        <v>0</v>
      </c>
      <c r="L23" s="17">
        <f>IF($A23="","",IFERROR(ROUND(AVERAGEIFS(MASTER!$L:$L,MASTER!$B:$B,$A23),1),"-"))</f>
        <v>3.8</v>
      </c>
      <c r="M23" s="17">
        <f>IF($A23="","",IFERROR(ROUND(AVERAGEIFS(MASTER!$N:$N,MASTER!$B:$B,$A23),1),"-"))</f>
        <v>32.299999999999997</v>
      </c>
      <c r="N23" s="16">
        <f>IF($A23="","",IFERROR(IF($A23="FUCT","- ours -",$G23-ROUND(AVERAGEIF(MASTER!$B:$B,"FUCT",MASTER!$I:$I),0)),"-"))</f>
        <v>-3116</v>
      </c>
      <c r="O23" s="15">
        <f t="shared" si="0"/>
        <v>12</v>
      </c>
      <c r="P23" s="14" t="str">
        <f>IF($A23="","",IFERROR(IF(INDEX(MASTER!$C$4:$C$1463,MATCH($A23&amp;"|1",MASTER!$Y$4:$Y$1463,0))="","-",INDEX(MASTER!$C$4:$C$1463,MATCH($A23&amp;"|1",MASTER!$Y$4:$Y$1463,0))),"-"))</f>
        <v>anamal</v>
      </c>
      <c r="Q23" s="16">
        <f>IF($A23="","",IFERROR(IF(INDEX(MASTER!$I$4:$I$1463,MATCH($A23&amp;"|1",MASTER!$Y$4:$Y$1463,0))="","-",INDEX(MASTER!$I$4:$I$1463,MATCH($A23&amp;"|1",MASTER!$Y$4:$Y$1463,0))),"-"))</f>
        <v>4790</v>
      </c>
    </row>
    <row r="24" spans="1:17">
      <c r="A24" s="18" t="str">
        <f>IFERROR(INDEX(SETUP!$A$68:$A$81,MATCH(14,SETUP!$E$68:$E$81,0)),"")</f>
        <v>ZOMBIES</v>
      </c>
      <c r="B24" s="19" t="str">
        <f>IF($A24="","",IFERROR(INDEX(SETUP!$B$68:$B$81,MATCH($A24,SETUP!$A$68:$A$81,0)),"-"))</f>
        <v>SHADOW</v>
      </c>
      <c r="C24" s="20">
        <f>IF($A24="","",COUNTIF(MASTER!$B:$B,$A24))</f>
        <v>98</v>
      </c>
      <c r="D24" s="20">
        <f>IF($A24="","",COUNTIFS(MASTER!$B:$B,$A24,MASTER!$S:$S,"Complete"))</f>
        <v>97</v>
      </c>
      <c r="E24" s="20">
        <f>IF($A24="","",IFERROR(ROUND(AVERAGEIFS(MASTER!$G:$G,MASTER!$B:$B,$A24),0),"-"))</f>
        <v>60959</v>
      </c>
      <c r="F24" s="20">
        <f>IF($A24="","",IFERROR(_xlfn.MAXIFS(MASTER!$G:$G,MASTER!$B:$B,$A24),"-"))</f>
        <v>63698</v>
      </c>
      <c r="G24" s="20">
        <f>IF($A24="","",IFERROR(ROUND(AVERAGEIFS(MASTER!$I:$I,MASTER!$B:$B,$A24),0),"-"))</f>
        <v>2100</v>
      </c>
      <c r="H24" s="20">
        <f>IF($A24="","",IFERROR(_xlfn.MAXIFS(MASTER!$I:$I,MASTER!$B:$B,$A24),"-"))</f>
        <v>8652</v>
      </c>
      <c r="I24" s="20">
        <f>IF($A24="","",IFERROR(IF(INDEX(MASTER!$I$4:$I$1463,MATCH($A24&amp;"|"&amp;ROUND($C24/2,0),MASTER!$Y$4:$Y$1463,0))="","-",INDEX(MASTER!$I$4:$I$1463,MATCH($A24&amp;"|"&amp;ROUND($C24/2,0),MASTER!$Y$4:$Y$1463,0))),"-"))</f>
        <v>1740</v>
      </c>
      <c r="J24" s="20">
        <f>IF($A24="","",COUNTIFS(MASTER!$B:$B,$A24,MASTER!$I:$I,"&gt;=10000"))</f>
        <v>0</v>
      </c>
      <c r="K24" s="20">
        <f>IF($A24="","",COUNTIFS(MASTER!$B:$B,$A24,MASTER!$I:$I,"&gt;=8000",MASTER!$I:$I,"&lt;10000"))</f>
        <v>2</v>
      </c>
      <c r="L24" s="21">
        <f>IF($A24="","",IFERROR(ROUND(AVERAGEIFS(MASTER!$L:$L,MASTER!$B:$B,$A24),1),"-"))</f>
        <v>3.7</v>
      </c>
      <c r="M24" s="21">
        <f>IF($A24="","",IFERROR(ROUND(AVERAGEIFS(MASTER!$N:$N,MASTER!$B:$B,$A24),1),"-"))</f>
        <v>31</v>
      </c>
      <c r="N24" s="20">
        <f>IF($A24="","",IFERROR(IF($A24="FUCT","- ours -",$G24-ROUND(AVERAGEIF(MASTER!$B:$B,"FUCT",MASTER!$I:$I),0)),"-"))</f>
        <v>-3114</v>
      </c>
      <c r="O24" s="19">
        <f t="shared" si="0"/>
        <v>14</v>
      </c>
      <c r="P24" s="18" t="str">
        <f>IF($A24="","",IFERROR(IF(INDEX(MASTER!$C$4:$C$1463,MATCH($A24&amp;"|1",MASTER!$Y$4:$Y$1463,0))="","-",INDEX(MASTER!$C$4:$C$1463,MATCH($A24&amp;"|1",MASTER!$Y$4:$Y$1463,0))),"-"))</f>
        <v>THERIDDIC</v>
      </c>
      <c r="Q24" s="20">
        <f>IF($A24="","",IFERROR(IF(INDEX(MASTER!$I$4:$I$1463,MATCH($A24&amp;"|1",MASTER!$Y$4:$Y$1463,0))="","-",INDEX(MASTER!$I$4:$I$1463,MATCH($A24&amp;"|1",MASTER!$Y$4:$Y$1463,0))),"-"))</f>
        <v>8652</v>
      </c>
    </row>
    <row r="26" spans="1:17" ht="19.5" customHeight="1">
      <c r="A26" s="91" t="s">
        <v>61</v>
      </c>
      <c r="B26" s="91"/>
      <c r="C26" s="91"/>
      <c r="D26" s="91"/>
      <c r="E26" s="91"/>
      <c r="F26" s="91"/>
      <c r="H26" s="91" t="s">
        <v>62</v>
      </c>
      <c r="I26" s="91"/>
      <c r="J26" s="91"/>
      <c r="K26" s="91"/>
      <c r="L26" s="91"/>
      <c r="M26" s="91"/>
    </row>
    <row r="27" spans="1:17" ht="27.75" customHeight="1">
      <c r="A27" s="13" t="s">
        <v>63</v>
      </c>
      <c r="B27" s="13" t="s">
        <v>64</v>
      </c>
      <c r="C27" s="13" t="s">
        <v>65</v>
      </c>
      <c r="D27" s="13" t="s">
        <v>66</v>
      </c>
      <c r="E27" s="13" t="s">
        <v>48</v>
      </c>
      <c r="F27" s="13" t="s">
        <v>67</v>
      </c>
      <c r="H27" s="13" t="s">
        <v>68</v>
      </c>
      <c r="I27" s="13" t="s">
        <v>69</v>
      </c>
      <c r="J27" s="13" t="s">
        <v>64</v>
      </c>
      <c r="K27" s="13" t="s">
        <v>66</v>
      </c>
      <c r="L27" s="13" t="s">
        <v>70</v>
      </c>
      <c r="M27" s="13" t="s">
        <v>67</v>
      </c>
    </row>
    <row r="28" spans="1:17">
      <c r="A28" s="18" t="str">
        <f>SETUP!$B$22</f>
        <v>MYTHIC</v>
      </c>
      <c r="B28" s="20">
        <f>SUMPRODUCT((MASTER!$J$4:$J$1463=$A28)*(IF($C$3="ALL",1,MASTER!$A$4:$A$1463=$C$3)))</f>
        <v>3</v>
      </c>
      <c r="C28" s="22">
        <f t="shared" ref="C28:C34" si="1">IFERROR($B28/SUM($B$28:$B$34),"")</f>
        <v>2.2641509433962265E-3</v>
      </c>
      <c r="D28" s="20">
        <f>COUNTIFS(MASTER!$B:$B,"FUCT",MASTER!$J:$J,$A28)</f>
        <v>0</v>
      </c>
      <c r="E28" s="20">
        <f>IFERROR(ROUND(AVERAGEIFS(MASTER!$G:$G,MASTER!$J:$J,$A28),0),"-")</f>
        <v>64241</v>
      </c>
      <c r="F28" s="23" t="str">
        <f t="shared" ref="F28:F34" si="2">REPT("|",ROUND($B28/6,0))</f>
        <v>|</v>
      </c>
      <c r="H28" s="18" t="s">
        <v>71</v>
      </c>
      <c r="I28" s="1" t="str">
        <f>IFERROR(INDEX(SETUP!$B$55:$B$64,MATCH($H28,SETUP!$A$55:$A$64,0)),"-")</f>
        <v>Frontline</v>
      </c>
      <c r="J28" s="20">
        <f>SUMPRODUCT((MASTER!$E$4:$E$1463=$H28)*(IF($C$3="ALL",1,MASTER!$A$4:$A$1463=$C$3)))</f>
        <v>214</v>
      </c>
      <c r="K28" s="20">
        <f>COUNTIFS(MASTER!$B:$B,"FUCT",MASTER!$E:$E,$H28)</f>
        <v>19</v>
      </c>
      <c r="L28" s="20">
        <f>IFERROR(ROUND(AVERAGEIFS(MASTER!$I:$I,MASTER!$E:$E,$H28),0),"-")</f>
        <v>4743</v>
      </c>
      <c r="M28" s="24" t="str">
        <f t="shared" ref="M28:M37" si="3">REPT("|",ROUND($J28/6,0))</f>
        <v>||||||||||||||||||||||||||||||||||||</v>
      </c>
    </row>
    <row r="29" spans="1:17">
      <c r="A29" s="18" t="str">
        <f>SETUP!$B$21</f>
        <v>APEX</v>
      </c>
      <c r="B29" s="20">
        <f>SUMPRODUCT((MASTER!$J$4:$J$1463=$A29)*(IF($C$3="ALL",1,MASTER!$A$4:$A$1463=$C$3)))</f>
        <v>52</v>
      </c>
      <c r="C29" s="22">
        <f t="shared" si="1"/>
        <v>3.9245283018867927E-2</v>
      </c>
      <c r="D29" s="20">
        <f>COUNTIFS(MASTER!$B:$B,"FUCT",MASTER!$J:$J,$A29)</f>
        <v>5</v>
      </c>
      <c r="E29" s="20">
        <f>IFERROR(ROUND(AVERAGEIFS(MASTER!$G:$G,MASTER!$J:$J,$A29),0),"-")</f>
        <v>64034</v>
      </c>
      <c r="F29" s="23" t="str">
        <f t="shared" si="2"/>
        <v>|||||||||</v>
      </c>
      <c r="H29" s="18" t="s">
        <v>72</v>
      </c>
      <c r="I29" s="1" t="str">
        <f>IFERROR(INDEX(SETUP!$B$55:$B$64,MATCH($H29,SETUP!$A$55:$A$64,0)),"-")</f>
        <v>Frontline</v>
      </c>
      <c r="J29" s="20">
        <f>SUMPRODUCT((MASTER!$E$4:$E$1463=$H29)*(IF($C$3="ALL",1,MASTER!$A$4:$A$1463=$C$3)))</f>
        <v>93</v>
      </c>
      <c r="K29" s="20">
        <f>COUNTIFS(MASTER!$B:$B,"FUCT",MASTER!$E:$E,$H29)</f>
        <v>7</v>
      </c>
      <c r="L29" s="20">
        <f>IFERROR(ROUND(AVERAGEIFS(MASTER!$I:$I,MASTER!$E:$E,$H29),0),"-")</f>
        <v>4134</v>
      </c>
      <c r="M29" s="24" t="str">
        <f t="shared" si="3"/>
        <v>||||||||||||||||</v>
      </c>
    </row>
    <row r="30" spans="1:17">
      <c r="A30" s="18" t="str">
        <f>SETUP!$B$20</f>
        <v>ELITE</v>
      </c>
      <c r="B30" s="20">
        <f>SUMPRODUCT((MASTER!$J$4:$J$1463=$A30)*(IF($C$3="ALL",1,MASTER!$A$4:$A$1463=$C$3)))</f>
        <v>94</v>
      </c>
      <c r="C30" s="22">
        <f t="shared" si="1"/>
        <v>7.0943396226415101E-2</v>
      </c>
      <c r="D30" s="20">
        <f>COUNTIFS(MASTER!$B:$B,"FUCT",MASTER!$J:$J,$A30)</f>
        <v>9</v>
      </c>
      <c r="E30" s="20">
        <f>IFERROR(ROUND(AVERAGEIFS(MASTER!$G:$G,MASTER!$J:$J,$A30),0),"-")</f>
        <v>63555</v>
      </c>
      <c r="F30" s="23" t="str">
        <f t="shared" si="2"/>
        <v>||||||||||||||||</v>
      </c>
      <c r="H30" s="18" t="s">
        <v>73</v>
      </c>
      <c r="I30" s="1" t="str">
        <f>IFERROR(INDEX(SETUP!$B$55:$B$64,MATCH($H30,SETUP!$A$55:$A$64,0)),"-")</f>
        <v>Frontline</v>
      </c>
      <c r="J30" s="20">
        <f>SUMPRODUCT((MASTER!$E$4:$E$1463=$H30)*(IF($C$3="ALL",1,MASTER!$A$4:$A$1463=$C$3)))</f>
        <v>124</v>
      </c>
      <c r="K30" s="20">
        <f>COUNTIFS(MASTER!$B:$B,"FUCT",MASTER!$E:$E,$H30)</f>
        <v>7</v>
      </c>
      <c r="L30" s="20">
        <f>IFERROR(ROUND(AVERAGEIFS(MASTER!$I:$I,MASTER!$E:$E,$H30),0),"-")</f>
        <v>5072</v>
      </c>
      <c r="M30" s="24" t="str">
        <f t="shared" si="3"/>
        <v>|||||||||||||||||||||</v>
      </c>
    </row>
    <row r="31" spans="1:17">
      <c r="A31" s="18" t="str">
        <f>SETUP!$B$19</f>
        <v>VETERAN</v>
      </c>
      <c r="B31" s="20">
        <f>SUMPRODUCT((MASTER!$J$4:$J$1463=$A31)*(IF($C$3="ALL",1,MASTER!$A$4:$A$1463=$C$3)))</f>
        <v>139</v>
      </c>
      <c r="C31" s="22">
        <f t="shared" si="1"/>
        <v>0.10490566037735849</v>
      </c>
      <c r="D31" s="20">
        <f>COUNTIFS(MASTER!$B:$B,"FUCT",MASTER!$J:$J,$A31)</f>
        <v>14</v>
      </c>
      <c r="E31" s="20">
        <f>IFERROR(ROUND(AVERAGEIFS(MASTER!$G:$G,MASTER!$J:$J,$A31),0),"-")</f>
        <v>62985</v>
      </c>
      <c r="F31" s="23" t="str">
        <f t="shared" si="2"/>
        <v>|||||||||||||||||||||||</v>
      </c>
      <c r="H31" s="18" t="s">
        <v>74</v>
      </c>
      <c r="I31" s="1" t="str">
        <f>IFERROR(INDEX(SETUP!$B$55:$B$64,MATCH($H31,SETUP!$A$55:$A$64,0)),"-")</f>
        <v>Ranged DPS</v>
      </c>
      <c r="J31" s="20">
        <f>SUMPRODUCT((MASTER!$E$4:$E$1463=$H31)*(IF($C$3="ALL",1,MASTER!$A$4:$A$1463=$C$3)))</f>
        <v>191</v>
      </c>
      <c r="K31" s="20">
        <f>COUNTIFS(MASTER!$B:$B,"FUCT",MASTER!$E:$E,$H31)</f>
        <v>18</v>
      </c>
      <c r="L31" s="20">
        <f>IFERROR(ROUND(AVERAGEIFS(MASTER!$I:$I,MASTER!$E:$E,$H31),0),"-")</f>
        <v>4661</v>
      </c>
      <c r="M31" s="24" t="str">
        <f t="shared" si="3"/>
        <v>||||||||||||||||||||||||||||||||</v>
      </c>
    </row>
    <row r="32" spans="1:17">
      <c r="A32" s="18" t="str">
        <f>SETUP!$B$18</f>
        <v>CORE</v>
      </c>
      <c r="B32" s="20">
        <f>SUMPRODUCT((MASTER!$J$4:$J$1463=$A32)*(IF($C$3="ALL",1,MASTER!$A$4:$A$1463=$C$3)))</f>
        <v>317</v>
      </c>
      <c r="C32" s="22">
        <f t="shared" si="1"/>
        <v>0.23924528301886794</v>
      </c>
      <c r="D32" s="20">
        <f>COUNTIFS(MASTER!$B:$B,"FUCT",MASTER!$J:$J,$A32)</f>
        <v>33</v>
      </c>
      <c r="E32" s="20">
        <f>IFERROR(ROUND(AVERAGEIFS(MASTER!$G:$G,MASTER!$J:$J,$A32),0),"-")</f>
        <v>62705</v>
      </c>
      <c r="F32" s="23" t="str">
        <f t="shared" si="2"/>
        <v>|||||||||||||||||||||||||||||||||||||||||||||||||||||</v>
      </c>
      <c r="H32" s="18" t="s">
        <v>75</v>
      </c>
      <c r="I32" s="1" t="str">
        <f>IFERROR(INDEX(SETUP!$B$55:$B$64,MATCH($H32,SETUP!$A$55:$A$64,0)),"-")</f>
        <v>Support</v>
      </c>
      <c r="J32" s="20">
        <f>SUMPRODUCT((MASTER!$E$4:$E$1463=$H32)*(IF($C$3="ALL",1,MASTER!$A$4:$A$1463=$C$3)))</f>
        <v>71</v>
      </c>
      <c r="K32" s="20">
        <f>COUNTIFS(MASTER!$B:$B,"FUCT",MASTER!$E:$E,$H32)</f>
        <v>5</v>
      </c>
      <c r="L32" s="20">
        <f>IFERROR(ROUND(AVERAGEIFS(MASTER!$I:$I,MASTER!$E:$E,$H32),0),"-")</f>
        <v>3918</v>
      </c>
      <c r="M32" s="24" t="str">
        <f t="shared" si="3"/>
        <v>||||||||||||</v>
      </c>
    </row>
    <row r="33" spans="1:13">
      <c r="A33" s="18" t="str">
        <f>SETUP!$B$17</f>
        <v>DEVELOPING</v>
      </c>
      <c r="B33" s="20">
        <f>SUMPRODUCT((MASTER!$J$4:$J$1463=$A33)*(IF($C$3="ALL",1,MASTER!$A$4:$A$1463=$C$3)))</f>
        <v>512</v>
      </c>
      <c r="C33" s="22">
        <f t="shared" si="1"/>
        <v>0.38641509433962262</v>
      </c>
      <c r="D33" s="20">
        <f>COUNTIFS(MASTER!$B:$B,"FUCT",MASTER!$J:$J,$A33)</f>
        <v>38</v>
      </c>
      <c r="E33" s="20">
        <f>IFERROR(ROUND(AVERAGEIFS(MASTER!$G:$G,MASTER!$J:$J,$A33),0),"-")</f>
        <v>61930</v>
      </c>
      <c r="F33" s="23" t="str">
        <f t="shared" si="2"/>
        <v>|||||||||||||||||||||||||||||||||||||||||||||||||||||||||||||||||||||||||||||||||||||</v>
      </c>
      <c r="H33" s="18" t="s">
        <v>76</v>
      </c>
      <c r="I33" s="1" t="str">
        <f>IFERROR(INDEX(SETUP!$B$55:$B$64,MATCH($H33,SETUP!$A$55:$A$64,0)),"-")</f>
        <v>Support</v>
      </c>
      <c r="J33" s="20">
        <f>SUMPRODUCT((MASTER!$E$4:$E$1463=$H33)*(IF($C$3="ALL",1,MASTER!$A$4:$A$1463=$C$3)))</f>
        <v>39</v>
      </c>
      <c r="K33" s="20">
        <f>COUNTIFS(MASTER!$B:$B,"FUCT",MASTER!$E:$E,$H33)</f>
        <v>3</v>
      </c>
      <c r="L33" s="20">
        <f>IFERROR(ROUND(AVERAGEIFS(MASTER!$I:$I,MASTER!$E:$E,$H33),0),"-")</f>
        <v>4780</v>
      </c>
      <c r="M33" s="24" t="str">
        <f t="shared" si="3"/>
        <v>|||||||</v>
      </c>
    </row>
    <row r="34" spans="1:13">
      <c r="A34" s="18" t="str">
        <f>SETUP!$B$16</f>
        <v>ROOKIE</v>
      </c>
      <c r="B34" s="20">
        <f>SUMPRODUCT((MASTER!$J$4:$J$1463=$A34)*(IF($C$3="ALL",1,MASTER!$A$4:$A$1463=$C$3)))</f>
        <v>208</v>
      </c>
      <c r="C34" s="22">
        <f t="shared" si="1"/>
        <v>0.15698113207547171</v>
      </c>
      <c r="D34" s="20">
        <f>COUNTIFS(MASTER!$B:$B,"FUCT",MASTER!$J:$J,$A34)</f>
        <v>0</v>
      </c>
      <c r="E34" s="20">
        <f>IFERROR(ROUND(AVERAGEIFS(MASTER!$G:$G,MASTER!$J:$J,$A34),0),"-")</f>
        <v>60277</v>
      </c>
      <c r="F34" s="23" t="str">
        <f t="shared" si="2"/>
        <v>|||||||||||||||||||||||||||||||||||</v>
      </c>
      <c r="H34" s="18" t="s">
        <v>77</v>
      </c>
      <c r="I34" s="1" t="str">
        <f>IFERROR(INDEX(SETUP!$B$55:$B$64,MATCH($H34,SETUP!$A$55:$A$64,0)),"-")</f>
        <v>Control</v>
      </c>
      <c r="J34" s="20">
        <f>SUMPRODUCT((MASTER!$E$4:$E$1463=$H34)*(IF($C$3="ALL",1,MASTER!$A$4:$A$1463=$C$3)))</f>
        <v>108</v>
      </c>
      <c r="K34" s="20">
        <f>COUNTIFS(MASTER!$B:$B,"FUCT",MASTER!$E:$E,$H34)</f>
        <v>6</v>
      </c>
      <c r="L34" s="20">
        <f>IFERROR(ROUND(AVERAGEIFS(MASTER!$I:$I,MASTER!$E:$E,$H34),0),"-")</f>
        <v>3198</v>
      </c>
      <c r="M34" s="24" t="str">
        <f t="shared" si="3"/>
        <v>||||||||||||||||||</v>
      </c>
    </row>
    <row r="35" spans="1:13">
      <c r="H35" s="18" t="s">
        <v>78</v>
      </c>
      <c r="I35" s="1" t="str">
        <f>IFERROR(INDEX(SETUP!$B$55:$B$64,MATCH($H35,SETUP!$A$55:$A$64,0)),"-")</f>
        <v>Melee DPS</v>
      </c>
      <c r="J35" s="20">
        <f>SUMPRODUCT((MASTER!$E$4:$E$1463=$H35)*(IF($C$3="ALL",1,MASTER!$A$4:$A$1463=$C$3)))</f>
        <v>67</v>
      </c>
      <c r="K35" s="20">
        <f>COUNTIFS(MASTER!$B:$B,"FUCT",MASTER!$E:$E,$H35)</f>
        <v>6</v>
      </c>
      <c r="L35" s="20">
        <f>IFERROR(ROUND(AVERAGEIFS(MASTER!$I:$I,MASTER!$E:$E,$H35),0),"-")</f>
        <v>3546</v>
      </c>
      <c r="M35" s="24" t="str">
        <f t="shared" si="3"/>
        <v>|||||||||||</v>
      </c>
    </row>
    <row r="36" spans="1:13">
      <c r="H36" s="18" t="s">
        <v>79</v>
      </c>
      <c r="I36" s="1" t="str">
        <f>IFERROR(INDEX(SETUP!$B$55:$B$64,MATCH($H36,SETUP!$A$55:$A$64,0)),"-")</f>
        <v>Control</v>
      </c>
      <c r="J36" s="20">
        <f>SUMPRODUCT((MASTER!$E$4:$E$1463=$H36)*(IF($C$3="ALL",1,MASTER!$A$4:$A$1463=$C$3)))</f>
        <v>326</v>
      </c>
      <c r="K36" s="20">
        <f>COUNTIFS(MASTER!$B:$B,"FUCT",MASTER!$E:$E,$H36)</f>
        <v>17</v>
      </c>
      <c r="L36" s="20">
        <f>IFERROR(ROUND(AVERAGEIFS(MASTER!$I:$I,MASTER!$E:$E,$H36),0),"-")</f>
        <v>4200</v>
      </c>
      <c r="M36" s="24" t="str">
        <f t="shared" si="3"/>
        <v>||||||||||||||||||||||||||||||||||||||||||||||||||||||</v>
      </c>
    </row>
    <row r="37" spans="1:13">
      <c r="H37" s="18" t="s">
        <v>80</v>
      </c>
      <c r="I37" s="1" t="str">
        <f>IFERROR(INDEX(SETUP!$B$55:$B$64,MATCH($H37,SETUP!$A$55:$A$64,0)),"-")</f>
        <v>Ranged DPS</v>
      </c>
      <c r="J37" s="20">
        <f>SUMPRODUCT((MASTER!$E$4:$E$1463=$H37)*(IF($C$3="ALL",1,MASTER!$A$4:$A$1463=$C$3)))</f>
        <v>92</v>
      </c>
      <c r="K37" s="20">
        <f>COUNTIFS(MASTER!$B:$B,"FUCT",MASTER!$E:$E,$H37)</f>
        <v>11</v>
      </c>
      <c r="L37" s="20">
        <f>IFERROR(ROUND(AVERAGEIFS(MASTER!$I:$I,MASTER!$E:$E,$H37),0),"-")</f>
        <v>4306</v>
      </c>
      <c r="M37" s="24" t="str">
        <f t="shared" si="3"/>
        <v>|||||||||||||||</v>
      </c>
    </row>
  </sheetData>
  <mergeCells count="22">
    <mergeCell ref="A1:Q1"/>
    <mergeCell ref="A2:Q2"/>
    <mergeCell ref="C3:D3"/>
    <mergeCell ref="A6:B6"/>
    <mergeCell ref="C6:D6"/>
    <mergeCell ref="E6:F6"/>
    <mergeCell ref="G6:H6"/>
    <mergeCell ref="I6:J6"/>
    <mergeCell ref="K6:L6"/>
    <mergeCell ref="M6:N6"/>
    <mergeCell ref="O6:P6"/>
    <mergeCell ref="K7:L7"/>
    <mergeCell ref="M7:N7"/>
    <mergeCell ref="O7:P7"/>
    <mergeCell ref="A9:Q9"/>
    <mergeCell ref="A26:F26"/>
    <mergeCell ref="H26:M26"/>
    <mergeCell ref="A7:B7"/>
    <mergeCell ref="C7:D7"/>
    <mergeCell ref="E7:F7"/>
    <mergeCell ref="G7:H7"/>
    <mergeCell ref="I7:J7"/>
  </mergeCells>
  <conditionalFormatting sqref="A11:Q24">
    <cfRule type="cellIs" dxfId="29" priority="2" operator="equal">
      <formula>$A11="FUCT"</formula>
    </cfRule>
  </conditionalFormatting>
  <conditionalFormatting sqref="G11:G24">
    <cfRule type="colorScale" priority="16">
      <colorScale>
        <cfvo type="min"/>
        <cfvo type="max"/>
        <color rgb="FFFFFFFF"/>
        <color rgb="FFA9D08E"/>
      </colorScale>
    </cfRule>
  </conditionalFormatting>
  <conditionalFormatting sqref="N11:N24">
    <cfRule type="cellIs" dxfId="28" priority="17" operator="lessThan">
      <formula>0</formula>
    </cfRule>
    <cfRule type="cellIs" dxfId="27" priority="18" operator="greaterThan">
      <formula>0</formula>
    </cfRule>
  </conditionalFormatting>
  <dataValidations count="1">
    <dataValidation type="list" sqref="C3" xr:uid="{00000000-0002-0000-0100-000000000000}">
      <formula1>"ALL,SHADOW,IMMORTAL,STANDALONE"</formula1>
      <formula2>0</formula2>
    </dataValidation>
  </dataValidations>
  <printOptions horizontalCentered="1"/>
  <pageMargins left="0.75" right="0.75" top="1" bottom="1" header="0.511811023622047" footer="0.511811023622047"/>
  <pageSetup fitToHeight="0" orientation="landscape" horizontalDpi="300" verticalDpi="300"/>
  <ignoredErrors>
    <ignoredError sqref="A1:Q2 A4:Q37 A3:B3 D3:Q3" evalError="1" twoDigitTextYear="1" numberStoredAsText="1" formula="1" formulaRange="1" unlockedFormula="1" emptyCellReference="1" listDataValidation="1" calculatedColumn="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1E54"/>
    <pageSetUpPr fitToPage="1"/>
  </sheetPr>
  <dimension ref="A1:R155"/>
  <sheetViews>
    <sheetView showGridLines="0" topLeftCell="A23" zoomScaleNormal="100" workbookViewId="0">
      <selection activeCell="B4" sqref="B4:C4"/>
    </sheetView>
  </sheetViews>
  <sheetFormatPr defaultColWidth="8.7109375" defaultRowHeight="15"/>
  <cols>
    <col min="1" max="1" width="21.85546875" customWidth="1"/>
    <col min="2" max="10" width="13" customWidth="1"/>
    <col min="11" max="11" width="21.85546875" customWidth="1"/>
    <col min="12" max="16" width="13" customWidth="1"/>
    <col min="17" max="17" width="22" customWidth="1"/>
    <col min="18" max="18" width="24" customWidth="1"/>
  </cols>
  <sheetData>
    <row r="1" spans="1:18" ht="30" customHeight="1">
      <c r="A1" s="92" t="s">
        <v>81</v>
      </c>
      <c r="B1" s="92"/>
      <c r="C1" s="92"/>
      <c r="D1" s="92"/>
      <c r="E1" s="92"/>
      <c r="F1" s="92"/>
      <c r="G1" s="92"/>
      <c r="H1" s="92"/>
      <c r="I1" s="92"/>
      <c r="J1" s="92"/>
      <c r="K1" s="92"/>
      <c r="L1" s="92"/>
      <c r="M1" s="92"/>
      <c r="N1" s="92"/>
      <c r="O1" s="92"/>
      <c r="P1" s="92"/>
      <c r="Q1" s="92"/>
      <c r="R1" s="92"/>
    </row>
    <row r="2" spans="1:18" ht="15.75" customHeight="1">
      <c r="A2" s="93" t="s">
        <v>82</v>
      </c>
      <c r="B2" s="93"/>
      <c r="C2" s="93"/>
      <c r="D2" s="93"/>
      <c r="E2" s="93"/>
      <c r="F2" s="93"/>
      <c r="G2" s="93"/>
      <c r="H2" s="93"/>
      <c r="I2" s="93"/>
      <c r="J2" s="93"/>
      <c r="K2" s="93"/>
      <c r="L2" s="93"/>
      <c r="M2" s="93"/>
      <c r="N2" s="93"/>
      <c r="O2" s="93"/>
      <c r="P2" s="93"/>
      <c r="Q2" s="93"/>
      <c r="R2" s="93"/>
    </row>
    <row r="4" spans="1:18" ht="24" customHeight="1">
      <c r="A4" s="25" t="s">
        <v>83</v>
      </c>
      <c r="B4" s="100" t="s">
        <v>84</v>
      </c>
      <c r="C4" s="100"/>
      <c r="D4" s="25" t="s">
        <v>85</v>
      </c>
      <c r="E4" s="101" t="s">
        <v>107</v>
      </c>
      <c r="F4" s="101"/>
      <c r="H4" s="11" t="str">
        <f>IF($B$4="RESONANCE","Resonance — the headline number.",IF($B$4="COMBAT RATING","Combat Rating — gear and paragon floor. Note the whole field sits in a narrow 55k-64.5k band.","Secondary average, in thousands — armor / pen / potency / resist."))</f>
        <v>Resonance — the headline number.</v>
      </c>
    </row>
    <row r="6" spans="1:18" ht="19.5" customHeight="1">
      <c r="A6" s="91" t="s">
        <v>87</v>
      </c>
      <c r="B6" s="91"/>
      <c r="C6" s="91"/>
      <c r="D6" s="91"/>
      <c r="E6" s="91"/>
      <c r="F6" s="91"/>
      <c r="G6" s="91"/>
      <c r="H6" s="91"/>
      <c r="I6" s="91"/>
      <c r="J6" s="91"/>
      <c r="K6" s="91"/>
      <c r="L6" s="91"/>
      <c r="M6" s="91"/>
      <c r="N6" s="91"/>
      <c r="O6" s="91"/>
      <c r="Q6" s="26" t="s">
        <v>88</v>
      </c>
    </row>
    <row r="7" spans="1:18">
      <c r="A7" s="99"/>
      <c r="B7" s="99"/>
      <c r="C7" s="99"/>
      <c r="D7" s="99"/>
      <c r="E7" s="99"/>
      <c r="F7" s="99"/>
      <c r="G7" s="99"/>
      <c r="H7" s="99"/>
      <c r="I7" s="99"/>
      <c r="J7" s="99"/>
      <c r="K7" s="99"/>
      <c r="L7" s="99"/>
      <c r="M7" s="99"/>
      <c r="N7" s="99"/>
      <c r="O7" s="99"/>
      <c r="P7" s="99"/>
      <c r="Q7" s="27" t="s">
        <v>89</v>
      </c>
    </row>
    <row r="8" spans="1:18">
      <c r="A8" s="99"/>
      <c r="B8" s="99"/>
      <c r="C8" s="99"/>
      <c r="D8" s="99"/>
      <c r="E8" s="99"/>
      <c r="F8" s="99"/>
      <c r="G8" s="99"/>
      <c r="H8" s="99"/>
      <c r="I8" s="99"/>
      <c r="J8" s="99"/>
      <c r="K8" s="99"/>
      <c r="L8" s="99"/>
      <c r="M8" s="99"/>
      <c r="N8" s="99"/>
      <c r="O8" s="99"/>
      <c r="P8" s="99"/>
      <c r="Q8" s="28" t="str">
        <f>$E$4</f>
        <v>UNDYING</v>
      </c>
    </row>
    <row r="9" spans="1:18">
      <c r="A9" s="99"/>
      <c r="B9" s="99"/>
      <c r="C9" s="99"/>
      <c r="D9" s="99"/>
      <c r="E9" s="99"/>
      <c r="F9" s="99"/>
      <c r="G9" s="99"/>
      <c r="H9" s="99"/>
      <c r="I9" s="99"/>
      <c r="J9" s="99"/>
      <c r="K9" s="99"/>
      <c r="L9" s="99"/>
      <c r="M9" s="99"/>
      <c r="N9" s="99"/>
      <c r="O9" s="99"/>
      <c r="P9" s="99"/>
      <c r="Q9" s="29" t="s">
        <v>90</v>
      </c>
    </row>
    <row r="10" spans="1:18">
      <c r="A10" s="99"/>
      <c r="B10" s="99"/>
      <c r="C10" s="99"/>
      <c r="D10" s="99"/>
      <c r="E10" s="99"/>
      <c r="F10" s="99"/>
      <c r="G10" s="99"/>
      <c r="H10" s="99"/>
      <c r="I10" s="99"/>
      <c r="J10" s="99"/>
      <c r="K10" s="99"/>
      <c r="L10" s="99"/>
      <c r="M10" s="99"/>
      <c r="N10" s="99"/>
      <c r="O10" s="99"/>
      <c r="P10" s="99"/>
    </row>
    <row r="11" spans="1:18">
      <c r="A11" s="99"/>
      <c r="B11" s="99"/>
      <c r="C11" s="99"/>
      <c r="D11" s="99"/>
      <c r="E11" s="99"/>
      <c r="F11" s="99"/>
      <c r="G11" s="99"/>
      <c r="H11" s="99"/>
      <c r="I11" s="99"/>
      <c r="J11" s="99"/>
      <c r="K11" s="99"/>
      <c r="L11" s="99"/>
      <c r="M11" s="99"/>
      <c r="N11" s="99"/>
      <c r="O11" s="99"/>
      <c r="P11" s="99"/>
      <c r="Q11" s="11" t="s">
        <v>91</v>
      </c>
    </row>
    <row r="12" spans="1:18">
      <c r="A12" s="99"/>
      <c r="B12" s="99"/>
      <c r="C12" s="99"/>
      <c r="D12" s="99"/>
      <c r="E12" s="99"/>
      <c r="F12" s="99"/>
      <c r="G12" s="99"/>
      <c r="H12" s="99"/>
      <c r="I12" s="99"/>
      <c r="J12" s="99"/>
      <c r="K12" s="99"/>
      <c r="L12" s="99"/>
      <c r="M12" s="99"/>
      <c r="N12" s="99"/>
      <c r="O12" s="99"/>
      <c r="P12" s="99"/>
      <c r="Q12" s="11" t="s">
        <v>92</v>
      </c>
    </row>
    <row r="13" spans="1:18">
      <c r="A13" s="99"/>
      <c r="B13" s="99"/>
      <c r="C13" s="99"/>
      <c r="D13" s="99"/>
      <c r="E13" s="99"/>
      <c r="F13" s="99"/>
      <c r="G13" s="99"/>
      <c r="H13" s="99"/>
      <c r="I13" s="99"/>
      <c r="J13" s="99"/>
      <c r="K13" s="99"/>
      <c r="L13" s="99"/>
      <c r="M13" s="99"/>
      <c r="N13" s="99"/>
      <c r="O13" s="99"/>
      <c r="P13" s="99"/>
      <c r="Q13" s="11" t="s">
        <v>93</v>
      </c>
    </row>
    <row r="14" spans="1:18">
      <c r="A14" s="99"/>
      <c r="B14" s="99"/>
      <c r="C14" s="99"/>
      <c r="D14" s="99"/>
      <c r="E14" s="99"/>
      <c r="F14" s="99"/>
      <c r="G14" s="99"/>
      <c r="H14" s="99"/>
      <c r="I14" s="99"/>
      <c r="J14" s="99"/>
      <c r="K14" s="99"/>
      <c r="L14" s="99"/>
      <c r="M14" s="99"/>
      <c r="N14" s="99"/>
      <c r="O14" s="99"/>
      <c r="P14" s="99"/>
      <c r="Q14" s="11" t="s">
        <v>94</v>
      </c>
    </row>
    <row r="15" spans="1:18">
      <c r="A15" s="99"/>
      <c r="B15" s="99"/>
      <c r="C15" s="99"/>
      <c r="D15" s="99"/>
      <c r="E15" s="99"/>
      <c r="F15" s="99"/>
      <c r="G15" s="99"/>
      <c r="H15" s="99"/>
      <c r="I15" s="99"/>
      <c r="J15" s="99"/>
      <c r="K15" s="99"/>
      <c r="L15" s="99"/>
      <c r="M15" s="99"/>
      <c r="N15" s="99"/>
      <c r="O15" s="99"/>
      <c r="P15" s="99"/>
      <c r="Q15" s="11" t="s">
        <v>95</v>
      </c>
    </row>
    <row r="16" spans="1:18">
      <c r="A16" s="99"/>
      <c r="B16" s="99"/>
      <c r="C16" s="99"/>
      <c r="D16" s="99"/>
      <c r="E16" s="99"/>
      <c r="F16" s="99"/>
      <c r="G16" s="99"/>
      <c r="H16" s="99"/>
      <c r="I16" s="99"/>
      <c r="J16" s="99"/>
      <c r="K16" s="99"/>
      <c r="L16" s="99"/>
      <c r="M16" s="99"/>
      <c r="N16" s="99"/>
      <c r="O16" s="99"/>
      <c r="P16" s="99"/>
      <c r="Q16" s="11" t="s">
        <v>96</v>
      </c>
    </row>
    <row r="17" spans="1:16">
      <c r="A17" s="99"/>
      <c r="B17" s="99"/>
      <c r="C17" s="99"/>
      <c r="D17" s="99"/>
      <c r="E17" s="99"/>
      <c r="F17" s="99"/>
      <c r="G17" s="99"/>
      <c r="H17" s="99"/>
      <c r="I17" s="99"/>
      <c r="J17" s="99"/>
      <c r="K17" s="99"/>
      <c r="L17" s="99"/>
      <c r="M17" s="99"/>
      <c r="N17" s="99"/>
      <c r="O17" s="99"/>
      <c r="P17" s="99"/>
    </row>
    <row r="18" spans="1:16">
      <c r="A18" s="99"/>
      <c r="B18" s="99"/>
      <c r="C18" s="99"/>
      <c r="D18" s="99"/>
      <c r="E18" s="99"/>
      <c r="F18" s="99"/>
      <c r="G18" s="99"/>
      <c r="H18" s="99"/>
      <c r="I18" s="99"/>
      <c r="J18" s="99"/>
      <c r="K18" s="99"/>
      <c r="L18" s="99"/>
      <c r="M18" s="99"/>
      <c r="N18" s="99"/>
      <c r="O18" s="99"/>
      <c r="P18" s="99"/>
    </row>
    <row r="19" spans="1:16">
      <c r="A19" s="99"/>
      <c r="B19" s="99"/>
      <c r="C19" s="99"/>
      <c r="D19" s="99"/>
      <c r="E19" s="99"/>
      <c r="F19" s="99"/>
      <c r="G19" s="99"/>
      <c r="H19" s="99"/>
      <c r="I19" s="99"/>
      <c r="J19" s="99"/>
      <c r="K19" s="99"/>
      <c r="L19" s="99"/>
      <c r="M19" s="99"/>
      <c r="N19" s="99"/>
      <c r="O19" s="99"/>
      <c r="P19" s="99"/>
    </row>
    <row r="20" spans="1:16">
      <c r="A20" s="99"/>
      <c r="B20" s="99"/>
      <c r="C20" s="99"/>
      <c r="D20" s="99"/>
      <c r="E20" s="99"/>
      <c r="F20" s="99"/>
      <c r="G20" s="99"/>
      <c r="H20" s="99"/>
      <c r="I20" s="99"/>
      <c r="J20" s="99"/>
      <c r="K20" s="99"/>
      <c r="L20" s="99"/>
      <c r="M20" s="99"/>
      <c r="N20" s="99"/>
      <c r="O20" s="99"/>
      <c r="P20" s="99"/>
    </row>
    <row r="21" spans="1:16">
      <c r="A21" s="99"/>
      <c r="B21" s="99"/>
      <c r="C21" s="99"/>
      <c r="D21" s="99"/>
      <c r="E21" s="99"/>
      <c r="F21" s="99"/>
      <c r="G21" s="99"/>
      <c r="H21" s="99"/>
      <c r="I21" s="99"/>
      <c r="J21" s="99"/>
      <c r="K21" s="99"/>
      <c r="L21" s="99"/>
      <c r="M21" s="99"/>
      <c r="N21" s="99"/>
      <c r="O21" s="99"/>
      <c r="P21" s="99"/>
    </row>
    <row r="22" spans="1:16">
      <c r="A22" s="99"/>
      <c r="B22" s="99"/>
      <c r="C22" s="99"/>
      <c r="D22" s="99"/>
      <c r="E22" s="99"/>
      <c r="F22" s="99"/>
      <c r="G22" s="99"/>
      <c r="H22" s="99"/>
      <c r="I22" s="99"/>
      <c r="J22" s="99"/>
      <c r="K22" s="99"/>
      <c r="L22" s="99"/>
      <c r="M22" s="99"/>
      <c r="N22" s="99"/>
      <c r="O22" s="99"/>
      <c r="P22" s="99"/>
    </row>
    <row r="23" spans="1:16">
      <c r="A23" s="99"/>
      <c r="B23" s="99"/>
      <c r="C23" s="99"/>
      <c r="D23" s="99"/>
      <c r="E23" s="99"/>
      <c r="F23" s="99"/>
      <c r="G23" s="99"/>
      <c r="H23" s="99"/>
      <c r="I23" s="99"/>
      <c r="J23" s="99"/>
      <c r="K23" s="99"/>
      <c r="L23" s="99"/>
      <c r="M23" s="99"/>
      <c r="N23" s="99"/>
      <c r="O23" s="99"/>
      <c r="P23" s="99"/>
    </row>
    <row r="24" spans="1:16">
      <c r="A24" s="99"/>
      <c r="B24" s="99"/>
      <c r="C24" s="99"/>
      <c r="D24" s="99"/>
      <c r="E24" s="99"/>
      <c r="F24" s="99"/>
      <c r="G24" s="99"/>
      <c r="H24" s="99"/>
      <c r="I24" s="99"/>
      <c r="J24" s="99"/>
      <c r="K24" s="99"/>
      <c r="L24" s="99"/>
      <c r="M24" s="99"/>
      <c r="N24" s="99"/>
      <c r="O24" s="99"/>
      <c r="P24" s="99"/>
    </row>
    <row r="25" spans="1:16">
      <c r="A25" s="99"/>
      <c r="B25" s="99"/>
      <c r="C25" s="99"/>
      <c r="D25" s="99"/>
      <c r="E25" s="99"/>
      <c r="F25" s="99"/>
      <c r="G25" s="99"/>
      <c r="H25" s="99"/>
      <c r="I25" s="99"/>
      <c r="J25" s="99"/>
      <c r="K25" s="99"/>
      <c r="L25" s="99"/>
      <c r="M25" s="99"/>
      <c r="N25" s="99"/>
      <c r="O25" s="99"/>
      <c r="P25" s="99"/>
    </row>
    <row r="26" spans="1:16">
      <c r="A26" s="99"/>
      <c r="B26" s="99"/>
      <c r="C26" s="99"/>
      <c r="D26" s="99"/>
      <c r="E26" s="99"/>
      <c r="F26" s="99"/>
      <c r="G26" s="99"/>
      <c r="H26" s="99"/>
      <c r="I26" s="99"/>
      <c r="J26" s="99"/>
      <c r="K26" s="99"/>
      <c r="L26" s="99"/>
      <c r="M26" s="99"/>
      <c r="N26" s="99"/>
      <c r="O26" s="99"/>
      <c r="P26" s="99"/>
    </row>
    <row r="27" spans="1:16">
      <c r="A27" s="99"/>
      <c r="B27" s="99"/>
      <c r="C27" s="99"/>
      <c r="D27" s="99"/>
      <c r="E27" s="99"/>
      <c r="F27" s="99"/>
      <c r="G27" s="99"/>
      <c r="H27" s="99"/>
      <c r="I27" s="99"/>
      <c r="J27" s="99"/>
      <c r="K27" s="99"/>
      <c r="L27" s="99"/>
      <c r="M27" s="99"/>
      <c r="N27" s="99"/>
      <c r="O27" s="99"/>
      <c r="P27" s="99"/>
    </row>
    <row r="28" spans="1:16">
      <c r="A28" s="99"/>
      <c r="B28" s="99"/>
      <c r="C28" s="99"/>
      <c r="D28" s="99"/>
      <c r="E28" s="99"/>
      <c r="F28" s="99"/>
      <c r="G28" s="99"/>
      <c r="H28" s="99"/>
      <c r="I28" s="99"/>
      <c r="J28" s="99"/>
      <c r="K28" s="99"/>
      <c r="L28" s="99"/>
      <c r="M28" s="99"/>
      <c r="N28" s="99"/>
      <c r="O28" s="99"/>
      <c r="P28" s="99"/>
    </row>
    <row r="29" spans="1:16">
      <c r="A29" s="99"/>
      <c r="B29" s="99"/>
      <c r="C29" s="99"/>
      <c r="D29" s="99"/>
      <c r="E29" s="99"/>
      <c r="F29" s="99"/>
      <c r="G29" s="99"/>
      <c r="H29" s="99"/>
      <c r="I29" s="99"/>
      <c r="J29" s="99"/>
      <c r="K29" s="99"/>
      <c r="L29" s="99"/>
      <c r="M29" s="99"/>
      <c r="N29" s="99"/>
      <c r="O29" s="99"/>
      <c r="P29" s="99"/>
    </row>
    <row r="30" spans="1:16">
      <c r="A30" s="99"/>
      <c r="B30" s="99"/>
      <c r="C30" s="99"/>
      <c r="D30" s="99"/>
      <c r="E30" s="99"/>
      <c r="F30" s="99"/>
      <c r="G30" s="99"/>
      <c r="H30" s="99"/>
      <c r="I30" s="99"/>
      <c r="J30" s="99"/>
      <c r="K30" s="99"/>
      <c r="L30" s="99"/>
      <c r="M30" s="99"/>
      <c r="N30" s="99"/>
      <c r="O30" s="99"/>
      <c r="P30" s="99"/>
    </row>
    <row r="31" spans="1:16">
      <c r="A31" s="99"/>
      <c r="B31" s="99"/>
      <c r="C31" s="99"/>
      <c r="D31" s="99"/>
      <c r="E31" s="99"/>
      <c r="F31" s="99"/>
      <c r="G31" s="99"/>
      <c r="H31" s="99"/>
      <c r="I31" s="99"/>
      <c r="J31" s="99"/>
      <c r="K31" s="99"/>
      <c r="L31" s="99"/>
      <c r="M31" s="99"/>
      <c r="N31" s="99"/>
      <c r="O31" s="99"/>
      <c r="P31" s="99"/>
    </row>
    <row r="32" spans="1:16">
      <c r="A32" s="99"/>
      <c r="B32" s="99"/>
      <c r="C32" s="99"/>
      <c r="D32" s="99"/>
      <c r="E32" s="99"/>
      <c r="F32" s="99"/>
      <c r="G32" s="99"/>
      <c r="H32" s="99"/>
      <c r="I32" s="99"/>
      <c r="J32" s="99"/>
      <c r="K32" s="99"/>
      <c r="L32" s="99"/>
      <c r="M32" s="99"/>
      <c r="N32" s="99"/>
      <c r="O32" s="99"/>
      <c r="P32" s="99"/>
    </row>
    <row r="33" spans="1:16">
      <c r="A33" s="99"/>
      <c r="B33" s="99"/>
      <c r="C33" s="99"/>
      <c r="D33" s="99"/>
      <c r="E33" s="99"/>
      <c r="F33" s="99"/>
      <c r="G33" s="99"/>
      <c r="H33" s="99"/>
      <c r="I33" s="99"/>
      <c r="J33" s="99"/>
      <c r="K33" s="99"/>
      <c r="L33" s="99"/>
      <c r="M33" s="99"/>
      <c r="N33" s="99"/>
      <c r="O33" s="99"/>
      <c r="P33" s="99"/>
    </row>
    <row r="34" spans="1:16">
      <c r="A34" s="99"/>
      <c r="B34" s="99"/>
      <c r="C34" s="99"/>
      <c r="D34" s="99"/>
      <c r="E34" s="99"/>
      <c r="F34" s="99"/>
      <c r="G34" s="99"/>
      <c r="H34" s="99"/>
      <c r="I34" s="99"/>
      <c r="J34" s="99"/>
      <c r="K34" s="99"/>
      <c r="L34" s="99"/>
      <c r="M34" s="99"/>
      <c r="N34" s="99"/>
      <c r="O34" s="99"/>
      <c r="P34" s="99"/>
    </row>
    <row r="36" spans="1:16" ht="19.5" customHeight="1">
      <c r="A36" s="91" t="s">
        <v>97</v>
      </c>
      <c r="B36" s="91"/>
      <c r="C36" s="91"/>
      <c r="D36" s="91"/>
      <c r="E36" s="91"/>
      <c r="F36" s="91"/>
      <c r="G36" s="91"/>
      <c r="H36" s="91"/>
    </row>
    <row r="37" spans="1:16" ht="27.75" customHeight="1">
      <c r="A37" s="13" t="s">
        <v>44</v>
      </c>
      <c r="B37" s="13" t="s">
        <v>45</v>
      </c>
      <c r="C37" s="13" t="s">
        <v>98</v>
      </c>
      <c r="D37" s="13" t="s">
        <v>99</v>
      </c>
      <c r="E37" s="13" t="s">
        <v>100</v>
      </c>
      <c r="F37" s="13" t="s">
        <v>101</v>
      </c>
      <c r="G37" s="13" t="s">
        <v>102</v>
      </c>
      <c r="H37" s="13" t="s">
        <v>103</v>
      </c>
    </row>
    <row r="38" spans="1:16">
      <c r="A38" s="30" t="s">
        <v>66</v>
      </c>
      <c r="B38" s="31" t="s">
        <v>104</v>
      </c>
      <c r="C38" s="32">
        <f>IFERROR(ROUND(AVERAGE(IF($B$4="RESONANCE",IFERROR(IF(INDEX(MASTER!$I$4:$I$1463,MATCH($A38&amp;"|"&amp;1,MASTER!$Y$4:$Y$1463,0))="","",INDEX(MASTER!$I$4:$I$1463,MATCH($A38&amp;"|"&amp;1,MASTER!$Y$4:$Y$1463,0))),""),IF($B$4="COMBAT RATING",IFERROR(IF(INDEX(MASTER!$G$4:$G$1463,MATCH($A38&amp;"|"&amp;1,MASTER!$AH$4:$AH$1463,0))="","",INDEX(MASTER!$G$4:$G$1463,MATCH($A38&amp;"|"&amp;1,MASTER!$AH$4:$AH$1463,0))),""),IF($B$4="SECONDARY",IFERROR(IF(INDEX(MASTER!$L$4:$L$1463,MATCH($A38&amp;"|"&amp;1,MASTER!$AI$4:$AI$1463,0))="","",INDEX(MASTER!$L$4:$L$1463,MATCH($A38&amp;"|"&amp;1,MASTER!$AI$4:$AI$1463,0))),"")))),IF($B$4="RESONANCE",IFERROR(IF(INDEX(MASTER!$I$4:$I$1463,MATCH($A38&amp;"|"&amp;2,MASTER!$Y$4:$Y$1463,0))="","",INDEX(MASTER!$I$4:$I$1463,MATCH($A38&amp;"|"&amp;2,MASTER!$Y$4:$Y$1463,0))),""),IF($B$4="COMBAT RATING",IFERROR(IF(INDEX(MASTER!$G$4:$G$1463,MATCH($A38&amp;"|"&amp;2,MASTER!$AH$4:$AH$1463,0))="","",INDEX(MASTER!$G$4:$G$1463,MATCH($A38&amp;"|"&amp;2,MASTER!$AH$4:$AH$1463,0))),""),IF($B$4="SECONDARY",IFERROR(IF(INDEX(MASTER!$L$4:$L$1463,MATCH($A38&amp;"|"&amp;2,MASTER!$AI$4:$AI$1463,0))="","",INDEX(MASTER!$L$4:$L$1463,MATCH($A38&amp;"|"&amp;2,MASTER!$AI$4:$AI$1463,0))),"")))),IF($B$4="RESONANCE",IFERROR(IF(INDEX(MASTER!$I$4:$I$1463,MATCH($A38&amp;"|"&amp;3,MASTER!$Y$4:$Y$1463,0))="","",INDEX(MASTER!$I$4:$I$1463,MATCH($A38&amp;"|"&amp;3,MASTER!$Y$4:$Y$1463,0))),""),IF($B$4="COMBAT RATING",IFERROR(IF(INDEX(MASTER!$G$4:$G$1463,MATCH($A38&amp;"|"&amp;3,MASTER!$AH$4:$AH$1463,0))="","",INDEX(MASTER!$G$4:$G$1463,MATCH($A38&amp;"|"&amp;3,MASTER!$AH$4:$AH$1463,0))),""),IF($B$4="SECONDARY",IFERROR(IF(INDEX(MASTER!$L$4:$L$1463,MATCH($A38&amp;"|"&amp;3,MASTER!$AI$4:$AI$1463,0))="","",INDEX(MASTER!$L$4:$L$1463,MATCH($A38&amp;"|"&amp;3,MASTER!$AI$4:$AI$1463,0))),"")))),IF($B$4="RESONANCE",IFERROR(IF(INDEX(MASTER!$I$4:$I$1463,MATCH($A38&amp;"|"&amp;4,MASTER!$Y$4:$Y$1463,0))="","",INDEX(MASTER!$I$4:$I$1463,MATCH($A38&amp;"|"&amp;4,MASTER!$Y$4:$Y$1463,0))),""),IF($B$4="COMBAT RATING",IFERROR(IF(INDEX(MASTER!$G$4:$G$1463,MATCH($A38&amp;"|"&amp;4,MASTER!$AH$4:$AH$1463,0))="","",INDEX(MASTER!$G$4:$G$1463,MATCH($A38&amp;"|"&amp;4,MASTER!$AH$4:$AH$1463,0))),""),IF($B$4="SECONDARY",IFERROR(IF(INDEX(MASTER!$L$4:$L$1463,MATCH($A38&amp;"|"&amp;4,MASTER!$AI$4:$AI$1463,0))="","",INDEX(MASTER!$L$4:$L$1463,MATCH($A38&amp;"|"&amp;4,MASTER!$AI$4:$AI$1463,0))),"")))),IF($B$4="RESONANCE",IFERROR(IF(INDEX(MASTER!$I$4:$I$1463,MATCH($A38&amp;"|"&amp;5,MASTER!$Y$4:$Y$1463,0))="","",INDEX(MASTER!$I$4:$I$1463,MATCH($A38&amp;"|"&amp;5,MASTER!$Y$4:$Y$1463,0))),""),IF($B$4="COMBAT RATING",IFERROR(IF(INDEX(MASTER!$G$4:$G$1463,MATCH($A38&amp;"|"&amp;5,MASTER!$AH$4:$AH$1463,0))="","",INDEX(MASTER!$G$4:$G$1463,MATCH($A38&amp;"|"&amp;5,MASTER!$AH$4:$AH$1463,0))),""),IF($B$4="SECONDARY",IFERROR(IF(INDEX(MASTER!$L$4:$L$1463,MATCH($A38&amp;"|"&amp;5,MASTER!$AI$4:$AI$1463,0))="","",INDEX(MASTER!$L$4:$L$1463,MATCH($A38&amp;"|"&amp;5,MASTER!$AI$4:$AI$1463,0))),""))))),1),"-")</f>
        <v>10482</v>
      </c>
      <c r="D38" s="32">
        <f>IFERROR(ROUND(IF($B$4="RESONANCE",IFERROR(IF(INDEX(MASTER!$I$4:$I$1463,MATCH($A38&amp;"|"&amp;MAX(1,ROUND(COUNTIFS(MASTER!$B:$B,$A38,MASTER!$S:$S,"&lt;&gt;Name only")*0.1,0)),MASTER!$Y$4:$Y$1463,0))="","",INDEX(MASTER!$I$4:$I$1463,MATCH($A38&amp;"|"&amp;MAX(1,ROUND(COUNTIFS(MASTER!$B:$B,$A38,MASTER!$S:$S,"&lt;&gt;Name only")*0.1,0)),MASTER!$Y$4:$Y$1463,0))),""),IF($B$4="COMBAT RATING",IFERROR(IF(INDEX(MASTER!$G$4:$G$1463,MATCH($A38&amp;"|"&amp;MAX(1,ROUND(COUNTIFS(MASTER!$B:$B,$A38,MASTER!$S:$S,"&lt;&gt;Name only")*0.1,0)),MASTER!$AH$4:$AH$1463,0))="","",INDEX(MASTER!$G$4:$G$1463,MATCH($A38&amp;"|"&amp;MAX(1,ROUND(COUNTIFS(MASTER!$B:$B,$A38,MASTER!$S:$S,"&lt;&gt;Name only")*0.1,0)),MASTER!$AH$4:$AH$1463,0))),""),IF($B$4="SECONDARY",IFERROR(IF(INDEX(MASTER!$L$4:$L$1463,MATCH($A38&amp;"|"&amp;MAX(1,ROUND(COUNTIFS(MASTER!$B:$B,$A38,MASTER!$S:$S,"&lt;&gt;Name only")*0.1,0)),MASTER!$AI$4:$AI$1463,0))="","",INDEX(MASTER!$L$4:$L$1463,MATCH($A38&amp;"|"&amp;MAX(1,ROUND(COUNTIFS(MASTER!$B:$B,$A38,MASTER!$S:$S,"&lt;&gt;Name only")*0.1,0)),MASTER!$AI$4:$AI$1463,0))),"")))),1),"-")</f>
        <v>8529</v>
      </c>
      <c r="E38" s="32">
        <f>IFERROR(ROUND(IF($B$4="RESONANCE",IFERROR(IF(INDEX(MASTER!$I$4:$I$1463,MATCH($A38&amp;"|"&amp;MAX(1,ROUND(COUNTIFS(MASTER!$B:$B,$A38,MASTER!$S:$S,"&lt;&gt;Name only")*0.25,0)),MASTER!$Y$4:$Y$1463,0))="","",INDEX(MASTER!$I$4:$I$1463,MATCH($A38&amp;"|"&amp;MAX(1,ROUND(COUNTIFS(MASTER!$B:$B,$A38,MASTER!$S:$S,"&lt;&gt;Name only")*0.25,0)),MASTER!$Y$4:$Y$1463,0))),""),IF($B$4="COMBAT RATING",IFERROR(IF(INDEX(MASTER!$G$4:$G$1463,MATCH($A38&amp;"|"&amp;MAX(1,ROUND(COUNTIFS(MASTER!$B:$B,$A38,MASTER!$S:$S,"&lt;&gt;Name only")*0.25,0)),MASTER!$AH$4:$AH$1463,0))="","",INDEX(MASTER!$G$4:$G$1463,MATCH($A38&amp;"|"&amp;MAX(1,ROUND(COUNTIFS(MASTER!$B:$B,$A38,MASTER!$S:$S,"&lt;&gt;Name only")*0.25,0)),MASTER!$AH$4:$AH$1463,0))),""),IF($B$4="SECONDARY",IFERROR(IF(INDEX(MASTER!$L$4:$L$1463,MATCH($A38&amp;"|"&amp;MAX(1,ROUND(COUNTIFS(MASTER!$B:$B,$A38,MASTER!$S:$S,"&lt;&gt;Name only")*0.25,0)),MASTER!$AI$4:$AI$1463,0))="","",INDEX(MASTER!$L$4:$L$1463,MATCH($A38&amp;"|"&amp;MAX(1,ROUND(COUNTIFS(MASTER!$B:$B,$A38,MASTER!$S:$S,"&lt;&gt;Name only")*0.25,0)),MASTER!$AI$4:$AI$1463,0))),"")))),1),"-")</f>
        <v>6573</v>
      </c>
      <c r="F38" s="32">
        <f>IFERROR(ROUND(IF($B$4="RESONANCE",IFERROR(IF(INDEX(MASTER!$I$4:$I$1463,MATCH($A38&amp;"|"&amp;MAX(1,ROUND(COUNTIFS(MASTER!$B:$B,$A38,MASTER!$S:$S,"&lt;&gt;Name only")*0.5,0)),MASTER!$Y$4:$Y$1463,0))="","",INDEX(MASTER!$I$4:$I$1463,MATCH($A38&amp;"|"&amp;MAX(1,ROUND(COUNTIFS(MASTER!$B:$B,$A38,MASTER!$S:$S,"&lt;&gt;Name only")*0.5,0)),MASTER!$Y$4:$Y$1463,0))),""),IF($B$4="COMBAT RATING",IFERROR(IF(INDEX(MASTER!$G$4:$G$1463,MATCH($A38&amp;"|"&amp;MAX(1,ROUND(COUNTIFS(MASTER!$B:$B,$A38,MASTER!$S:$S,"&lt;&gt;Name only")*0.5,0)),MASTER!$AH$4:$AH$1463,0))="","",INDEX(MASTER!$G$4:$G$1463,MATCH($A38&amp;"|"&amp;MAX(1,ROUND(COUNTIFS(MASTER!$B:$B,$A38,MASTER!$S:$S,"&lt;&gt;Name only")*0.5,0)),MASTER!$AH$4:$AH$1463,0))),""),IF($B$4="SECONDARY",IFERROR(IF(INDEX(MASTER!$L$4:$L$1463,MATCH($A38&amp;"|"&amp;MAX(1,ROUND(COUNTIFS(MASTER!$B:$B,$A38,MASTER!$S:$S,"&lt;&gt;Name only")*0.5,0)),MASTER!$AI$4:$AI$1463,0))="","",INDEX(MASTER!$L$4:$L$1463,MATCH($A38&amp;"|"&amp;MAX(1,ROUND(COUNTIFS(MASTER!$B:$B,$A38,MASTER!$S:$S,"&lt;&gt;Name only")*0.5,0)),MASTER!$AI$4:$AI$1463,0))),"")))),1),"-")</f>
        <v>4435</v>
      </c>
      <c r="G38" s="32">
        <f>IFERROR(ROUND(IF($B$4="RESONANCE",IFERROR(IF(INDEX(MASTER!$I$4:$I$1463,MATCH($A38&amp;"|"&amp;MAX(1,ROUND(COUNTIFS(MASTER!$B:$B,$A38,MASTER!$S:$S,"&lt;&gt;Name only")*0.75,0)),MASTER!$Y$4:$Y$1463,0))="","",INDEX(MASTER!$I$4:$I$1463,MATCH($A38&amp;"|"&amp;MAX(1,ROUND(COUNTIFS(MASTER!$B:$B,$A38,MASTER!$S:$S,"&lt;&gt;Name only")*0.75,0)),MASTER!$Y$4:$Y$1463,0))),""),IF($B$4="COMBAT RATING",IFERROR(IF(INDEX(MASTER!$G$4:$G$1463,MATCH($A38&amp;"|"&amp;MAX(1,ROUND(COUNTIFS(MASTER!$B:$B,$A38,MASTER!$S:$S,"&lt;&gt;Name only")*0.75,0)),MASTER!$AH$4:$AH$1463,0))="","",INDEX(MASTER!$G$4:$G$1463,MATCH($A38&amp;"|"&amp;MAX(1,ROUND(COUNTIFS(MASTER!$B:$B,$A38,MASTER!$S:$S,"&lt;&gt;Name only")*0.75,0)),MASTER!$AH$4:$AH$1463,0))),""),IF($B$4="SECONDARY",IFERROR(IF(INDEX(MASTER!$L$4:$L$1463,MATCH($A38&amp;"|"&amp;MAX(1,ROUND(COUNTIFS(MASTER!$B:$B,$A38,MASTER!$S:$S,"&lt;&gt;Name only")*0.75,0)),MASTER!$AI$4:$AI$1463,0))="","",INDEX(MASTER!$L$4:$L$1463,MATCH($A38&amp;"|"&amp;MAX(1,ROUND(COUNTIFS(MASTER!$B:$B,$A38,MASTER!$S:$S,"&lt;&gt;Name only")*0.75,0)),MASTER!$AI$4:$AI$1463,0))),"")))),1),"-")</f>
        <v>3498</v>
      </c>
      <c r="H38" s="32" t="str">
        <f t="shared" ref="H38:H51" si="0">IFERROR(IF($A38="FUCT","- ours -",ROUND($F38-INDEX($F$38:$F$51,MATCH("FUCT",$A$38:$A$51,0)),1)),"-")</f>
        <v>- ours -</v>
      </c>
    </row>
    <row r="39" spans="1:16">
      <c r="A39" s="14" t="s">
        <v>105</v>
      </c>
      <c r="B39" s="15" t="s">
        <v>106</v>
      </c>
      <c r="C39" s="33">
        <f>IFERROR(ROUND(AVERAGE(IF($B$4="RESONANCE",IFERROR(IF(INDEX(MASTER!$I$4:$I$1463,MATCH($A39&amp;"|"&amp;1,MASTER!$Y$4:$Y$1463,0))="","",INDEX(MASTER!$I$4:$I$1463,MATCH($A39&amp;"|"&amp;1,MASTER!$Y$4:$Y$1463,0))),""),IF($B$4="COMBAT RATING",IFERROR(IF(INDEX(MASTER!$G$4:$G$1463,MATCH($A39&amp;"|"&amp;1,MASTER!$AH$4:$AH$1463,0))="","",INDEX(MASTER!$G$4:$G$1463,MATCH($A39&amp;"|"&amp;1,MASTER!$AH$4:$AH$1463,0))),""),IF($B$4="SECONDARY",IFERROR(IF(INDEX(MASTER!$L$4:$L$1463,MATCH($A39&amp;"|"&amp;1,MASTER!$AI$4:$AI$1463,0))="","",INDEX(MASTER!$L$4:$L$1463,MATCH($A39&amp;"|"&amp;1,MASTER!$AI$4:$AI$1463,0))),"")))),IF($B$4="RESONANCE",IFERROR(IF(INDEX(MASTER!$I$4:$I$1463,MATCH($A39&amp;"|"&amp;2,MASTER!$Y$4:$Y$1463,0))="","",INDEX(MASTER!$I$4:$I$1463,MATCH($A39&amp;"|"&amp;2,MASTER!$Y$4:$Y$1463,0))),""),IF($B$4="COMBAT RATING",IFERROR(IF(INDEX(MASTER!$G$4:$G$1463,MATCH($A39&amp;"|"&amp;2,MASTER!$AH$4:$AH$1463,0))="","",INDEX(MASTER!$G$4:$G$1463,MATCH($A39&amp;"|"&amp;2,MASTER!$AH$4:$AH$1463,0))),""),IF($B$4="SECONDARY",IFERROR(IF(INDEX(MASTER!$L$4:$L$1463,MATCH($A39&amp;"|"&amp;2,MASTER!$AI$4:$AI$1463,0))="","",INDEX(MASTER!$L$4:$L$1463,MATCH($A39&amp;"|"&amp;2,MASTER!$AI$4:$AI$1463,0))),"")))),IF($B$4="RESONANCE",IFERROR(IF(INDEX(MASTER!$I$4:$I$1463,MATCH($A39&amp;"|"&amp;3,MASTER!$Y$4:$Y$1463,0))="","",INDEX(MASTER!$I$4:$I$1463,MATCH($A39&amp;"|"&amp;3,MASTER!$Y$4:$Y$1463,0))),""),IF($B$4="COMBAT RATING",IFERROR(IF(INDEX(MASTER!$G$4:$G$1463,MATCH($A39&amp;"|"&amp;3,MASTER!$AH$4:$AH$1463,0))="","",INDEX(MASTER!$G$4:$G$1463,MATCH($A39&amp;"|"&amp;3,MASTER!$AH$4:$AH$1463,0))),""),IF($B$4="SECONDARY",IFERROR(IF(INDEX(MASTER!$L$4:$L$1463,MATCH($A39&amp;"|"&amp;3,MASTER!$AI$4:$AI$1463,0))="","",INDEX(MASTER!$L$4:$L$1463,MATCH($A39&amp;"|"&amp;3,MASTER!$AI$4:$AI$1463,0))),"")))),IF($B$4="RESONANCE",IFERROR(IF(INDEX(MASTER!$I$4:$I$1463,MATCH($A39&amp;"|"&amp;4,MASTER!$Y$4:$Y$1463,0))="","",INDEX(MASTER!$I$4:$I$1463,MATCH($A39&amp;"|"&amp;4,MASTER!$Y$4:$Y$1463,0))),""),IF($B$4="COMBAT RATING",IFERROR(IF(INDEX(MASTER!$G$4:$G$1463,MATCH($A39&amp;"|"&amp;4,MASTER!$AH$4:$AH$1463,0))="","",INDEX(MASTER!$G$4:$G$1463,MATCH($A39&amp;"|"&amp;4,MASTER!$AH$4:$AH$1463,0))),""),IF($B$4="SECONDARY",IFERROR(IF(INDEX(MASTER!$L$4:$L$1463,MATCH($A39&amp;"|"&amp;4,MASTER!$AI$4:$AI$1463,0))="","",INDEX(MASTER!$L$4:$L$1463,MATCH($A39&amp;"|"&amp;4,MASTER!$AI$4:$AI$1463,0))),"")))),IF($B$4="RESONANCE",IFERROR(IF(INDEX(MASTER!$I$4:$I$1463,MATCH($A39&amp;"|"&amp;5,MASTER!$Y$4:$Y$1463,0))="","",INDEX(MASTER!$I$4:$I$1463,MATCH($A39&amp;"|"&amp;5,MASTER!$Y$4:$Y$1463,0))),""),IF($B$4="COMBAT RATING",IFERROR(IF(INDEX(MASTER!$G$4:$G$1463,MATCH($A39&amp;"|"&amp;5,MASTER!$AH$4:$AH$1463,0))="","",INDEX(MASTER!$G$4:$G$1463,MATCH($A39&amp;"|"&amp;5,MASTER!$AH$4:$AH$1463,0))),""),IF($B$4="SECONDARY",IFERROR(IF(INDEX(MASTER!$L$4:$L$1463,MATCH($A39&amp;"|"&amp;5,MASTER!$AI$4:$AI$1463,0))="","",INDEX(MASTER!$L$4:$L$1463,MATCH($A39&amp;"|"&amp;5,MASTER!$AI$4:$AI$1463,0))),""))))),1),"-")</f>
        <v>10770</v>
      </c>
      <c r="D39" s="33">
        <f>IFERROR(ROUND(IF($B$4="RESONANCE",IFERROR(IF(INDEX(MASTER!$I$4:$I$1463,MATCH($A39&amp;"|"&amp;MAX(1,ROUND(COUNTIFS(MASTER!$B:$B,$A39,MASTER!$S:$S,"&lt;&gt;Name only")*0.1,0)),MASTER!$Y$4:$Y$1463,0))="","",INDEX(MASTER!$I$4:$I$1463,MATCH($A39&amp;"|"&amp;MAX(1,ROUND(COUNTIFS(MASTER!$B:$B,$A39,MASTER!$S:$S,"&lt;&gt;Name only")*0.1,0)),MASTER!$Y$4:$Y$1463,0))),""),IF($B$4="COMBAT RATING",IFERROR(IF(INDEX(MASTER!$G$4:$G$1463,MATCH($A39&amp;"|"&amp;MAX(1,ROUND(COUNTIFS(MASTER!$B:$B,$A39,MASTER!$S:$S,"&lt;&gt;Name only")*0.1,0)),MASTER!$AH$4:$AH$1463,0))="","",INDEX(MASTER!$G$4:$G$1463,MATCH($A39&amp;"|"&amp;MAX(1,ROUND(COUNTIFS(MASTER!$B:$B,$A39,MASTER!$S:$S,"&lt;&gt;Name only")*0.1,0)),MASTER!$AH$4:$AH$1463,0))),""),IF($B$4="SECONDARY",IFERROR(IF(INDEX(MASTER!$L$4:$L$1463,MATCH($A39&amp;"|"&amp;MAX(1,ROUND(COUNTIFS(MASTER!$B:$B,$A39,MASTER!$S:$S,"&lt;&gt;Name only")*0.1,0)),MASTER!$AI$4:$AI$1463,0))="","",INDEX(MASTER!$L$4:$L$1463,MATCH($A39&amp;"|"&amp;MAX(1,ROUND(COUNTIFS(MASTER!$B:$B,$A39,MASTER!$S:$S,"&lt;&gt;Name only")*0.1,0)),MASTER!$AI$4:$AI$1463,0))),"")))),1),"-")</f>
        <v>8491</v>
      </c>
      <c r="E39" s="33">
        <f>IFERROR(ROUND(IF($B$4="RESONANCE",IFERROR(IF(INDEX(MASTER!$I$4:$I$1463,MATCH($A39&amp;"|"&amp;MAX(1,ROUND(COUNTIFS(MASTER!$B:$B,$A39,MASTER!$S:$S,"&lt;&gt;Name only")*0.25,0)),MASTER!$Y$4:$Y$1463,0))="","",INDEX(MASTER!$I$4:$I$1463,MATCH($A39&amp;"|"&amp;MAX(1,ROUND(COUNTIFS(MASTER!$B:$B,$A39,MASTER!$S:$S,"&lt;&gt;Name only")*0.25,0)),MASTER!$Y$4:$Y$1463,0))),""),IF($B$4="COMBAT RATING",IFERROR(IF(INDEX(MASTER!$G$4:$G$1463,MATCH($A39&amp;"|"&amp;MAX(1,ROUND(COUNTIFS(MASTER!$B:$B,$A39,MASTER!$S:$S,"&lt;&gt;Name only")*0.25,0)),MASTER!$AH$4:$AH$1463,0))="","",INDEX(MASTER!$G$4:$G$1463,MATCH($A39&amp;"|"&amp;MAX(1,ROUND(COUNTIFS(MASTER!$B:$B,$A39,MASTER!$S:$S,"&lt;&gt;Name only")*0.25,0)),MASTER!$AH$4:$AH$1463,0))),""),IF($B$4="SECONDARY",IFERROR(IF(INDEX(MASTER!$L$4:$L$1463,MATCH($A39&amp;"|"&amp;MAX(1,ROUND(COUNTIFS(MASTER!$B:$B,$A39,MASTER!$S:$S,"&lt;&gt;Name only")*0.25,0)),MASTER!$AI$4:$AI$1463,0))="","",INDEX(MASTER!$L$4:$L$1463,MATCH($A39&amp;"|"&amp;MAX(1,ROUND(COUNTIFS(MASTER!$B:$B,$A39,MASTER!$S:$S,"&lt;&gt;Name only")*0.25,0)),MASTER!$AI$4:$AI$1463,0))),"")))),1),"-")</f>
        <v>6768</v>
      </c>
      <c r="F39" s="33">
        <f>IFERROR(ROUND(IF($B$4="RESONANCE",IFERROR(IF(INDEX(MASTER!$I$4:$I$1463,MATCH($A39&amp;"|"&amp;MAX(1,ROUND(COUNTIFS(MASTER!$B:$B,$A39,MASTER!$S:$S,"&lt;&gt;Name only")*0.5,0)),MASTER!$Y$4:$Y$1463,0))="","",INDEX(MASTER!$I$4:$I$1463,MATCH($A39&amp;"|"&amp;MAX(1,ROUND(COUNTIFS(MASTER!$B:$B,$A39,MASTER!$S:$S,"&lt;&gt;Name only")*0.5,0)),MASTER!$Y$4:$Y$1463,0))),""),IF($B$4="COMBAT RATING",IFERROR(IF(INDEX(MASTER!$G$4:$G$1463,MATCH($A39&amp;"|"&amp;MAX(1,ROUND(COUNTIFS(MASTER!$B:$B,$A39,MASTER!$S:$S,"&lt;&gt;Name only")*0.5,0)),MASTER!$AH$4:$AH$1463,0))="","",INDEX(MASTER!$G$4:$G$1463,MATCH($A39&amp;"|"&amp;MAX(1,ROUND(COUNTIFS(MASTER!$B:$B,$A39,MASTER!$S:$S,"&lt;&gt;Name only")*0.5,0)),MASTER!$AH$4:$AH$1463,0))),""),IF($B$4="SECONDARY",IFERROR(IF(INDEX(MASTER!$L$4:$L$1463,MATCH($A39&amp;"|"&amp;MAX(1,ROUND(COUNTIFS(MASTER!$B:$B,$A39,MASTER!$S:$S,"&lt;&gt;Name only")*0.5,0)),MASTER!$AI$4:$AI$1463,0))="","",INDEX(MASTER!$L$4:$L$1463,MATCH($A39&amp;"|"&amp;MAX(1,ROUND(COUNTIFS(MASTER!$B:$B,$A39,MASTER!$S:$S,"&lt;&gt;Name only")*0.5,0)),MASTER!$AI$4:$AI$1463,0))),"")))),1),"-")</f>
        <v>5099</v>
      </c>
      <c r="G39" s="33">
        <f>IFERROR(ROUND(IF($B$4="RESONANCE",IFERROR(IF(INDEX(MASTER!$I$4:$I$1463,MATCH($A39&amp;"|"&amp;MAX(1,ROUND(COUNTIFS(MASTER!$B:$B,$A39,MASTER!$S:$S,"&lt;&gt;Name only")*0.75,0)),MASTER!$Y$4:$Y$1463,0))="","",INDEX(MASTER!$I$4:$I$1463,MATCH($A39&amp;"|"&amp;MAX(1,ROUND(COUNTIFS(MASTER!$B:$B,$A39,MASTER!$S:$S,"&lt;&gt;Name only")*0.75,0)),MASTER!$Y$4:$Y$1463,0))),""),IF($B$4="COMBAT RATING",IFERROR(IF(INDEX(MASTER!$G$4:$G$1463,MATCH($A39&amp;"|"&amp;MAX(1,ROUND(COUNTIFS(MASTER!$B:$B,$A39,MASTER!$S:$S,"&lt;&gt;Name only")*0.75,0)),MASTER!$AH$4:$AH$1463,0))="","",INDEX(MASTER!$G$4:$G$1463,MATCH($A39&amp;"|"&amp;MAX(1,ROUND(COUNTIFS(MASTER!$B:$B,$A39,MASTER!$S:$S,"&lt;&gt;Name only")*0.75,0)),MASTER!$AH$4:$AH$1463,0))),""),IF($B$4="SECONDARY",IFERROR(IF(INDEX(MASTER!$L$4:$L$1463,MATCH($A39&amp;"|"&amp;MAX(1,ROUND(COUNTIFS(MASTER!$B:$B,$A39,MASTER!$S:$S,"&lt;&gt;Name only")*0.75,0)),MASTER!$AI$4:$AI$1463,0))="","",INDEX(MASTER!$L$4:$L$1463,MATCH($A39&amp;"|"&amp;MAX(1,ROUND(COUNTIFS(MASTER!$B:$B,$A39,MASTER!$S:$S,"&lt;&gt;Name only")*0.75,0)),MASTER!$AI$4:$AI$1463,0))),"")))),1),"-")</f>
        <v>4156</v>
      </c>
      <c r="H39" s="33">
        <f t="shared" si="0"/>
        <v>664</v>
      </c>
    </row>
    <row r="40" spans="1:16">
      <c r="A40" s="18" t="s">
        <v>86</v>
      </c>
      <c r="B40" s="19" t="s">
        <v>106</v>
      </c>
      <c r="C40" s="34">
        <f>IFERROR(ROUND(AVERAGE(IF($B$4="RESONANCE",IFERROR(IF(INDEX(MASTER!$I$4:$I$1463,MATCH($A40&amp;"|"&amp;1,MASTER!$Y$4:$Y$1463,0))="","",INDEX(MASTER!$I$4:$I$1463,MATCH($A40&amp;"|"&amp;1,MASTER!$Y$4:$Y$1463,0))),""),IF($B$4="COMBAT RATING",IFERROR(IF(INDEX(MASTER!$G$4:$G$1463,MATCH($A40&amp;"|"&amp;1,MASTER!$AH$4:$AH$1463,0))="","",INDEX(MASTER!$G$4:$G$1463,MATCH($A40&amp;"|"&amp;1,MASTER!$AH$4:$AH$1463,0))),""),IF($B$4="SECONDARY",IFERROR(IF(INDEX(MASTER!$L$4:$L$1463,MATCH($A40&amp;"|"&amp;1,MASTER!$AI$4:$AI$1463,0))="","",INDEX(MASTER!$L$4:$L$1463,MATCH($A40&amp;"|"&amp;1,MASTER!$AI$4:$AI$1463,0))),"")))),IF($B$4="RESONANCE",IFERROR(IF(INDEX(MASTER!$I$4:$I$1463,MATCH($A40&amp;"|"&amp;2,MASTER!$Y$4:$Y$1463,0))="","",INDEX(MASTER!$I$4:$I$1463,MATCH($A40&amp;"|"&amp;2,MASTER!$Y$4:$Y$1463,0))),""),IF($B$4="COMBAT RATING",IFERROR(IF(INDEX(MASTER!$G$4:$G$1463,MATCH($A40&amp;"|"&amp;2,MASTER!$AH$4:$AH$1463,0))="","",INDEX(MASTER!$G$4:$G$1463,MATCH($A40&amp;"|"&amp;2,MASTER!$AH$4:$AH$1463,0))),""),IF($B$4="SECONDARY",IFERROR(IF(INDEX(MASTER!$L$4:$L$1463,MATCH($A40&amp;"|"&amp;2,MASTER!$AI$4:$AI$1463,0))="","",INDEX(MASTER!$L$4:$L$1463,MATCH($A40&amp;"|"&amp;2,MASTER!$AI$4:$AI$1463,0))),"")))),IF($B$4="RESONANCE",IFERROR(IF(INDEX(MASTER!$I$4:$I$1463,MATCH($A40&amp;"|"&amp;3,MASTER!$Y$4:$Y$1463,0))="","",INDEX(MASTER!$I$4:$I$1463,MATCH($A40&amp;"|"&amp;3,MASTER!$Y$4:$Y$1463,0))),""),IF($B$4="COMBAT RATING",IFERROR(IF(INDEX(MASTER!$G$4:$G$1463,MATCH($A40&amp;"|"&amp;3,MASTER!$AH$4:$AH$1463,0))="","",INDEX(MASTER!$G$4:$G$1463,MATCH($A40&amp;"|"&amp;3,MASTER!$AH$4:$AH$1463,0))),""),IF($B$4="SECONDARY",IFERROR(IF(INDEX(MASTER!$L$4:$L$1463,MATCH($A40&amp;"|"&amp;3,MASTER!$AI$4:$AI$1463,0))="","",INDEX(MASTER!$L$4:$L$1463,MATCH($A40&amp;"|"&amp;3,MASTER!$AI$4:$AI$1463,0))),"")))),IF($B$4="RESONANCE",IFERROR(IF(INDEX(MASTER!$I$4:$I$1463,MATCH($A40&amp;"|"&amp;4,MASTER!$Y$4:$Y$1463,0))="","",INDEX(MASTER!$I$4:$I$1463,MATCH($A40&amp;"|"&amp;4,MASTER!$Y$4:$Y$1463,0))),""),IF($B$4="COMBAT RATING",IFERROR(IF(INDEX(MASTER!$G$4:$G$1463,MATCH($A40&amp;"|"&amp;4,MASTER!$AH$4:$AH$1463,0))="","",INDEX(MASTER!$G$4:$G$1463,MATCH($A40&amp;"|"&amp;4,MASTER!$AH$4:$AH$1463,0))),""),IF($B$4="SECONDARY",IFERROR(IF(INDEX(MASTER!$L$4:$L$1463,MATCH($A40&amp;"|"&amp;4,MASTER!$AI$4:$AI$1463,0))="","",INDEX(MASTER!$L$4:$L$1463,MATCH($A40&amp;"|"&amp;4,MASTER!$AI$4:$AI$1463,0))),"")))),IF($B$4="RESONANCE",IFERROR(IF(INDEX(MASTER!$I$4:$I$1463,MATCH($A40&amp;"|"&amp;5,MASTER!$Y$4:$Y$1463,0))="","",INDEX(MASTER!$I$4:$I$1463,MATCH($A40&amp;"|"&amp;5,MASTER!$Y$4:$Y$1463,0))),""),IF($B$4="COMBAT RATING",IFERROR(IF(INDEX(MASTER!$G$4:$G$1463,MATCH($A40&amp;"|"&amp;5,MASTER!$AH$4:$AH$1463,0))="","",INDEX(MASTER!$G$4:$G$1463,MATCH($A40&amp;"|"&amp;5,MASTER!$AH$4:$AH$1463,0))),""),IF($B$4="SECONDARY",IFERROR(IF(INDEX(MASTER!$L$4:$L$1463,MATCH($A40&amp;"|"&amp;5,MASTER!$AI$4:$AI$1463,0))="","",INDEX(MASTER!$L$4:$L$1463,MATCH($A40&amp;"|"&amp;5,MASTER!$AI$4:$AI$1463,0))),""))))),1),"-")</f>
        <v>10393.4</v>
      </c>
      <c r="D40" s="34">
        <f>IFERROR(ROUND(IF($B$4="RESONANCE",IFERROR(IF(INDEX(MASTER!$I$4:$I$1463,MATCH($A40&amp;"|"&amp;MAX(1,ROUND(COUNTIFS(MASTER!$B:$B,$A40,MASTER!$S:$S,"&lt;&gt;Name only")*0.1,0)),MASTER!$Y$4:$Y$1463,0))="","",INDEX(MASTER!$I$4:$I$1463,MATCH($A40&amp;"|"&amp;MAX(1,ROUND(COUNTIFS(MASTER!$B:$B,$A40,MASTER!$S:$S,"&lt;&gt;Name only")*0.1,0)),MASTER!$Y$4:$Y$1463,0))),""),IF($B$4="COMBAT RATING",IFERROR(IF(INDEX(MASTER!$G$4:$G$1463,MATCH($A40&amp;"|"&amp;MAX(1,ROUND(COUNTIFS(MASTER!$B:$B,$A40,MASTER!$S:$S,"&lt;&gt;Name only")*0.1,0)),MASTER!$AH$4:$AH$1463,0))="","",INDEX(MASTER!$G$4:$G$1463,MATCH($A40&amp;"|"&amp;MAX(1,ROUND(COUNTIFS(MASTER!$B:$B,$A40,MASTER!$S:$S,"&lt;&gt;Name only")*0.1,0)),MASTER!$AH$4:$AH$1463,0))),""),IF($B$4="SECONDARY",IFERROR(IF(INDEX(MASTER!$L$4:$L$1463,MATCH($A40&amp;"|"&amp;MAX(1,ROUND(COUNTIFS(MASTER!$B:$B,$A40,MASTER!$S:$S,"&lt;&gt;Name only")*0.1,0)),MASTER!$AI$4:$AI$1463,0))="","",INDEX(MASTER!$L$4:$L$1463,MATCH($A40&amp;"|"&amp;MAX(1,ROUND(COUNTIFS(MASTER!$B:$B,$A40,MASTER!$S:$S,"&lt;&gt;Name only")*0.1,0)),MASTER!$AI$4:$AI$1463,0))),"")))),1),"-")</f>
        <v>10023</v>
      </c>
      <c r="E40" s="34">
        <f>IFERROR(ROUND(IF($B$4="RESONANCE",IFERROR(IF(INDEX(MASTER!$I$4:$I$1463,MATCH($A40&amp;"|"&amp;MAX(1,ROUND(COUNTIFS(MASTER!$B:$B,$A40,MASTER!$S:$S,"&lt;&gt;Name only")*0.25,0)),MASTER!$Y$4:$Y$1463,0))="","",INDEX(MASTER!$I$4:$I$1463,MATCH($A40&amp;"|"&amp;MAX(1,ROUND(COUNTIFS(MASTER!$B:$B,$A40,MASTER!$S:$S,"&lt;&gt;Name only")*0.25,0)),MASTER!$Y$4:$Y$1463,0))),""),IF($B$4="COMBAT RATING",IFERROR(IF(INDEX(MASTER!$G$4:$G$1463,MATCH($A40&amp;"|"&amp;MAX(1,ROUND(COUNTIFS(MASTER!$B:$B,$A40,MASTER!$S:$S,"&lt;&gt;Name only")*0.25,0)),MASTER!$AH$4:$AH$1463,0))="","",INDEX(MASTER!$G$4:$G$1463,MATCH($A40&amp;"|"&amp;MAX(1,ROUND(COUNTIFS(MASTER!$B:$B,$A40,MASTER!$S:$S,"&lt;&gt;Name only")*0.25,0)),MASTER!$AH$4:$AH$1463,0))),""),IF($B$4="SECONDARY",IFERROR(IF(INDEX(MASTER!$L$4:$L$1463,MATCH($A40&amp;"|"&amp;MAX(1,ROUND(COUNTIFS(MASTER!$B:$B,$A40,MASTER!$S:$S,"&lt;&gt;Name only")*0.25,0)),MASTER!$AI$4:$AI$1463,0))="","",INDEX(MASTER!$L$4:$L$1463,MATCH($A40&amp;"|"&amp;MAX(1,ROUND(COUNTIFS(MASTER!$B:$B,$A40,MASTER!$S:$S,"&lt;&gt;Name only")*0.25,0)),MASTER!$AI$4:$AI$1463,0))),"")))),1),"-")</f>
        <v>8923</v>
      </c>
      <c r="F40" s="34">
        <f>IFERROR(ROUND(IF($B$4="RESONANCE",IFERROR(IF(INDEX(MASTER!$I$4:$I$1463,MATCH($A40&amp;"|"&amp;MAX(1,ROUND(COUNTIFS(MASTER!$B:$B,$A40,MASTER!$S:$S,"&lt;&gt;Name only")*0.5,0)),MASTER!$Y$4:$Y$1463,0))="","",INDEX(MASTER!$I$4:$I$1463,MATCH($A40&amp;"|"&amp;MAX(1,ROUND(COUNTIFS(MASTER!$B:$B,$A40,MASTER!$S:$S,"&lt;&gt;Name only")*0.5,0)),MASTER!$Y$4:$Y$1463,0))),""),IF($B$4="COMBAT RATING",IFERROR(IF(INDEX(MASTER!$G$4:$G$1463,MATCH($A40&amp;"|"&amp;MAX(1,ROUND(COUNTIFS(MASTER!$B:$B,$A40,MASTER!$S:$S,"&lt;&gt;Name only")*0.5,0)),MASTER!$AH$4:$AH$1463,0))="","",INDEX(MASTER!$G$4:$G$1463,MATCH($A40&amp;"|"&amp;MAX(1,ROUND(COUNTIFS(MASTER!$B:$B,$A40,MASTER!$S:$S,"&lt;&gt;Name only")*0.5,0)),MASTER!$AH$4:$AH$1463,0))),""),IF($B$4="SECONDARY",IFERROR(IF(INDEX(MASTER!$L$4:$L$1463,MATCH($A40&amp;"|"&amp;MAX(1,ROUND(COUNTIFS(MASTER!$B:$B,$A40,MASTER!$S:$S,"&lt;&gt;Name only")*0.5,0)),MASTER!$AI$4:$AI$1463,0))="","",INDEX(MASTER!$L$4:$L$1463,MATCH($A40&amp;"|"&amp;MAX(1,ROUND(COUNTIFS(MASTER!$B:$B,$A40,MASTER!$S:$S,"&lt;&gt;Name only")*0.5,0)),MASTER!$AI$4:$AI$1463,0))),"")))),1),"-")</f>
        <v>6829</v>
      </c>
      <c r="G40" s="34">
        <f>IFERROR(ROUND(IF($B$4="RESONANCE",IFERROR(IF(INDEX(MASTER!$I$4:$I$1463,MATCH($A40&amp;"|"&amp;MAX(1,ROUND(COUNTIFS(MASTER!$B:$B,$A40,MASTER!$S:$S,"&lt;&gt;Name only")*0.75,0)),MASTER!$Y$4:$Y$1463,0))="","",INDEX(MASTER!$I$4:$I$1463,MATCH($A40&amp;"|"&amp;MAX(1,ROUND(COUNTIFS(MASTER!$B:$B,$A40,MASTER!$S:$S,"&lt;&gt;Name only")*0.75,0)),MASTER!$Y$4:$Y$1463,0))),""),IF($B$4="COMBAT RATING",IFERROR(IF(INDEX(MASTER!$G$4:$G$1463,MATCH($A40&amp;"|"&amp;MAX(1,ROUND(COUNTIFS(MASTER!$B:$B,$A40,MASTER!$S:$S,"&lt;&gt;Name only")*0.75,0)),MASTER!$AH$4:$AH$1463,0))="","",INDEX(MASTER!$G$4:$G$1463,MATCH($A40&amp;"|"&amp;MAX(1,ROUND(COUNTIFS(MASTER!$B:$B,$A40,MASTER!$S:$S,"&lt;&gt;Name only")*0.75,0)),MASTER!$AH$4:$AH$1463,0))),""),IF($B$4="SECONDARY",IFERROR(IF(INDEX(MASTER!$L$4:$L$1463,MATCH($A40&amp;"|"&amp;MAX(1,ROUND(COUNTIFS(MASTER!$B:$B,$A40,MASTER!$S:$S,"&lt;&gt;Name only")*0.75,0)),MASTER!$AI$4:$AI$1463,0))="","",INDEX(MASTER!$L$4:$L$1463,MATCH($A40&amp;"|"&amp;MAX(1,ROUND(COUNTIFS(MASTER!$B:$B,$A40,MASTER!$S:$S,"&lt;&gt;Name only")*0.75,0)),MASTER!$AI$4:$AI$1463,0))),"")))),1),"-")</f>
        <v>4581</v>
      </c>
      <c r="H40" s="34">
        <f t="shared" si="0"/>
        <v>2394</v>
      </c>
    </row>
    <row r="41" spans="1:16">
      <c r="A41" s="14" t="s">
        <v>107</v>
      </c>
      <c r="B41" s="15" t="s">
        <v>106</v>
      </c>
      <c r="C41" s="33">
        <f>IFERROR(ROUND(AVERAGE(IF($B$4="RESONANCE",IFERROR(IF(INDEX(MASTER!$I$4:$I$1463,MATCH($A41&amp;"|"&amp;1,MASTER!$Y$4:$Y$1463,0))="","",INDEX(MASTER!$I$4:$I$1463,MATCH($A41&amp;"|"&amp;1,MASTER!$Y$4:$Y$1463,0))),""),IF($B$4="COMBAT RATING",IFERROR(IF(INDEX(MASTER!$G$4:$G$1463,MATCH($A41&amp;"|"&amp;1,MASTER!$AH$4:$AH$1463,0))="","",INDEX(MASTER!$G$4:$G$1463,MATCH($A41&amp;"|"&amp;1,MASTER!$AH$4:$AH$1463,0))),""),IF($B$4="SECONDARY",IFERROR(IF(INDEX(MASTER!$L$4:$L$1463,MATCH($A41&amp;"|"&amp;1,MASTER!$AI$4:$AI$1463,0))="","",INDEX(MASTER!$L$4:$L$1463,MATCH($A41&amp;"|"&amp;1,MASTER!$AI$4:$AI$1463,0))),"")))),IF($B$4="RESONANCE",IFERROR(IF(INDEX(MASTER!$I$4:$I$1463,MATCH($A41&amp;"|"&amp;2,MASTER!$Y$4:$Y$1463,0))="","",INDEX(MASTER!$I$4:$I$1463,MATCH($A41&amp;"|"&amp;2,MASTER!$Y$4:$Y$1463,0))),""),IF($B$4="COMBAT RATING",IFERROR(IF(INDEX(MASTER!$G$4:$G$1463,MATCH($A41&amp;"|"&amp;2,MASTER!$AH$4:$AH$1463,0))="","",INDEX(MASTER!$G$4:$G$1463,MATCH($A41&amp;"|"&amp;2,MASTER!$AH$4:$AH$1463,0))),""),IF($B$4="SECONDARY",IFERROR(IF(INDEX(MASTER!$L$4:$L$1463,MATCH($A41&amp;"|"&amp;2,MASTER!$AI$4:$AI$1463,0))="","",INDEX(MASTER!$L$4:$L$1463,MATCH($A41&amp;"|"&amp;2,MASTER!$AI$4:$AI$1463,0))),"")))),IF($B$4="RESONANCE",IFERROR(IF(INDEX(MASTER!$I$4:$I$1463,MATCH($A41&amp;"|"&amp;3,MASTER!$Y$4:$Y$1463,0))="","",INDEX(MASTER!$I$4:$I$1463,MATCH($A41&amp;"|"&amp;3,MASTER!$Y$4:$Y$1463,0))),""),IF($B$4="COMBAT RATING",IFERROR(IF(INDEX(MASTER!$G$4:$G$1463,MATCH($A41&amp;"|"&amp;3,MASTER!$AH$4:$AH$1463,0))="","",INDEX(MASTER!$G$4:$G$1463,MATCH($A41&amp;"|"&amp;3,MASTER!$AH$4:$AH$1463,0))),""),IF($B$4="SECONDARY",IFERROR(IF(INDEX(MASTER!$L$4:$L$1463,MATCH($A41&amp;"|"&amp;3,MASTER!$AI$4:$AI$1463,0))="","",INDEX(MASTER!$L$4:$L$1463,MATCH($A41&amp;"|"&amp;3,MASTER!$AI$4:$AI$1463,0))),"")))),IF($B$4="RESONANCE",IFERROR(IF(INDEX(MASTER!$I$4:$I$1463,MATCH($A41&amp;"|"&amp;4,MASTER!$Y$4:$Y$1463,0))="","",INDEX(MASTER!$I$4:$I$1463,MATCH($A41&amp;"|"&amp;4,MASTER!$Y$4:$Y$1463,0))),""),IF($B$4="COMBAT RATING",IFERROR(IF(INDEX(MASTER!$G$4:$G$1463,MATCH($A41&amp;"|"&amp;4,MASTER!$AH$4:$AH$1463,0))="","",INDEX(MASTER!$G$4:$G$1463,MATCH($A41&amp;"|"&amp;4,MASTER!$AH$4:$AH$1463,0))),""),IF($B$4="SECONDARY",IFERROR(IF(INDEX(MASTER!$L$4:$L$1463,MATCH($A41&amp;"|"&amp;4,MASTER!$AI$4:$AI$1463,0))="","",INDEX(MASTER!$L$4:$L$1463,MATCH($A41&amp;"|"&amp;4,MASTER!$AI$4:$AI$1463,0))),"")))),IF($B$4="RESONANCE",IFERROR(IF(INDEX(MASTER!$I$4:$I$1463,MATCH($A41&amp;"|"&amp;5,MASTER!$Y$4:$Y$1463,0))="","",INDEX(MASTER!$I$4:$I$1463,MATCH($A41&amp;"|"&amp;5,MASTER!$Y$4:$Y$1463,0))),""),IF($B$4="COMBAT RATING",IFERROR(IF(INDEX(MASTER!$G$4:$G$1463,MATCH($A41&amp;"|"&amp;5,MASTER!$AH$4:$AH$1463,0))="","",INDEX(MASTER!$G$4:$G$1463,MATCH($A41&amp;"|"&amp;5,MASTER!$AH$4:$AH$1463,0))),""),IF($B$4="SECONDARY",IFERROR(IF(INDEX(MASTER!$L$4:$L$1463,MATCH($A41&amp;"|"&amp;5,MASTER!$AI$4:$AI$1463,0))="","",INDEX(MASTER!$L$4:$L$1463,MATCH($A41&amp;"|"&amp;5,MASTER!$AI$4:$AI$1463,0))),""))))),1),"-")</f>
        <v>9085.7999999999993</v>
      </c>
      <c r="D41" s="33">
        <f>IFERROR(ROUND(IF($B$4="RESONANCE",IFERROR(IF(INDEX(MASTER!$I$4:$I$1463,MATCH($A41&amp;"|"&amp;MAX(1,ROUND(COUNTIFS(MASTER!$B:$B,$A41,MASTER!$S:$S,"&lt;&gt;Name only")*0.1,0)),MASTER!$Y$4:$Y$1463,0))="","",INDEX(MASTER!$I$4:$I$1463,MATCH($A41&amp;"|"&amp;MAX(1,ROUND(COUNTIFS(MASTER!$B:$B,$A41,MASTER!$S:$S,"&lt;&gt;Name only")*0.1,0)),MASTER!$Y$4:$Y$1463,0))),""),IF($B$4="COMBAT RATING",IFERROR(IF(INDEX(MASTER!$G$4:$G$1463,MATCH($A41&amp;"|"&amp;MAX(1,ROUND(COUNTIFS(MASTER!$B:$B,$A41,MASTER!$S:$S,"&lt;&gt;Name only")*0.1,0)),MASTER!$AH$4:$AH$1463,0))="","",INDEX(MASTER!$G$4:$G$1463,MATCH($A41&amp;"|"&amp;MAX(1,ROUND(COUNTIFS(MASTER!$B:$B,$A41,MASTER!$S:$S,"&lt;&gt;Name only")*0.1,0)),MASTER!$AH$4:$AH$1463,0))),""),IF($B$4="SECONDARY",IFERROR(IF(INDEX(MASTER!$L$4:$L$1463,MATCH($A41&amp;"|"&amp;MAX(1,ROUND(COUNTIFS(MASTER!$B:$B,$A41,MASTER!$S:$S,"&lt;&gt;Name only")*0.1,0)),MASTER!$AI$4:$AI$1463,0))="","",INDEX(MASTER!$L$4:$L$1463,MATCH($A41&amp;"|"&amp;MAX(1,ROUND(COUNTIFS(MASTER!$B:$B,$A41,MASTER!$S:$S,"&lt;&gt;Name only")*0.1,0)),MASTER!$AI$4:$AI$1463,0))),"")))),1),"-")</f>
        <v>7317</v>
      </c>
      <c r="E41" s="33">
        <f>IFERROR(ROUND(IF($B$4="RESONANCE",IFERROR(IF(INDEX(MASTER!$I$4:$I$1463,MATCH($A41&amp;"|"&amp;MAX(1,ROUND(COUNTIFS(MASTER!$B:$B,$A41,MASTER!$S:$S,"&lt;&gt;Name only")*0.25,0)),MASTER!$Y$4:$Y$1463,0))="","",INDEX(MASTER!$I$4:$I$1463,MATCH($A41&amp;"|"&amp;MAX(1,ROUND(COUNTIFS(MASTER!$B:$B,$A41,MASTER!$S:$S,"&lt;&gt;Name only")*0.25,0)),MASTER!$Y$4:$Y$1463,0))),""),IF($B$4="COMBAT RATING",IFERROR(IF(INDEX(MASTER!$G$4:$G$1463,MATCH($A41&amp;"|"&amp;MAX(1,ROUND(COUNTIFS(MASTER!$B:$B,$A41,MASTER!$S:$S,"&lt;&gt;Name only")*0.25,0)),MASTER!$AH$4:$AH$1463,0))="","",INDEX(MASTER!$G$4:$G$1463,MATCH($A41&amp;"|"&amp;MAX(1,ROUND(COUNTIFS(MASTER!$B:$B,$A41,MASTER!$S:$S,"&lt;&gt;Name only")*0.25,0)),MASTER!$AH$4:$AH$1463,0))),""),IF($B$4="SECONDARY",IFERROR(IF(INDEX(MASTER!$L$4:$L$1463,MATCH($A41&amp;"|"&amp;MAX(1,ROUND(COUNTIFS(MASTER!$B:$B,$A41,MASTER!$S:$S,"&lt;&gt;Name only")*0.25,0)),MASTER!$AI$4:$AI$1463,0))="","",INDEX(MASTER!$L$4:$L$1463,MATCH($A41&amp;"|"&amp;MAX(1,ROUND(COUNTIFS(MASTER!$B:$B,$A41,MASTER!$S:$S,"&lt;&gt;Name only")*0.25,0)),MASTER!$AI$4:$AI$1463,0))),"")))),1),"-")</f>
        <v>5400</v>
      </c>
      <c r="F41" s="33">
        <f>IFERROR(ROUND(IF($B$4="RESONANCE",IFERROR(IF(INDEX(MASTER!$I$4:$I$1463,MATCH($A41&amp;"|"&amp;MAX(1,ROUND(COUNTIFS(MASTER!$B:$B,$A41,MASTER!$S:$S,"&lt;&gt;Name only")*0.5,0)),MASTER!$Y$4:$Y$1463,0))="","",INDEX(MASTER!$I$4:$I$1463,MATCH($A41&amp;"|"&amp;MAX(1,ROUND(COUNTIFS(MASTER!$B:$B,$A41,MASTER!$S:$S,"&lt;&gt;Name only")*0.5,0)),MASTER!$Y$4:$Y$1463,0))),""),IF($B$4="COMBAT RATING",IFERROR(IF(INDEX(MASTER!$G$4:$G$1463,MATCH($A41&amp;"|"&amp;MAX(1,ROUND(COUNTIFS(MASTER!$B:$B,$A41,MASTER!$S:$S,"&lt;&gt;Name only")*0.5,0)),MASTER!$AH$4:$AH$1463,0))="","",INDEX(MASTER!$G$4:$G$1463,MATCH($A41&amp;"|"&amp;MAX(1,ROUND(COUNTIFS(MASTER!$B:$B,$A41,MASTER!$S:$S,"&lt;&gt;Name only")*0.5,0)),MASTER!$AH$4:$AH$1463,0))),""),IF($B$4="SECONDARY",IFERROR(IF(INDEX(MASTER!$L$4:$L$1463,MATCH($A41&amp;"|"&amp;MAX(1,ROUND(COUNTIFS(MASTER!$B:$B,$A41,MASTER!$S:$S,"&lt;&gt;Name only")*0.5,0)),MASTER!$AI$4:$AI$1463,0))="","",INDEX(MASTER!$L$4:$L$1463,MATCH($A41&amp;"|"&amp;MAX(1,ROUND(COUNTIFS(MASTER!$B:$B,$A41,MASTER!$S:$S,"&lt;&gt;Name only")*0.5,0)),MASTER!$AI$4:$AI$1463,0))),"")))),1),"-")</f>
        <v>4203</v>
      </c>
      <c r="G41" s="33">
        <f>IFERROR(ROUND(IF($B$4="RESONANCE",IFERROR(IF(INDEX(MASTER!$I$4:$I$1463,MATCH($A41&amp;"|"&amp;MAX(1,ROUND(COUNTIFS(MASTER!$B:$B,$A41,MASTER!$S:$S,"&lt;&gt;Name only")*0.75,0)),MASTER!$Y$4:$Y$1463,0))="","",INDEX(MASTER!$I$4:$I$1463,MATCH($A41&amp;"|"&amp;MAX(1,ROUND(COUNTIFS(MASTER!$B:$B,$A41,MASTER!$S:$S,"&lt;&gt;Name only")*0.75,0)),MASTER!$Y$4:$Y$1463,0))),""),IF($B$4="COMBAT RATING",IFERROR(IF(INDEX(MASTER!$G$4:$G$1463,MATCH($A41&amp;"|"&amp;MAX(1,ROUND(COUNTIFS(MASTER!$B:$B,$A41,MASTER!$S:$S,"&lt;&gt;Name only")*0.75,0)),MASTER!$AH$4:$AH$1463,0))="","",INDEX(MASTER!$G$4:$G$1463,MATCH($A41&amp;"|"&amp;MAX(1,ROUND(COUNTIFS(MASTER!$B:$B,$A41,MASTER!$S:$S,"&lt;&gt;Name only")*0.75,0)),MASTER!$AH$4:$AH$1463,0))),""),IF($B$4="SECONDARY",IFERROR(IF(INDEX(MASTER!$L$4:$L$1463,MATCH($A41&amp;"|"&amp;MAX(1,ROUND(COUNTIFS(MASTER!$B:$B,$A41,MASTER!$S:$S,"&lt;&gt;Name only")*0.75,0)),MASTER!$AI$4:$AI$1463,0))="","",INDEX(MASTER!$L$4:$L$1463,MATCH($A41&amp;"|"&amp;MAX(1,ROUND(COUNTIFS(MASTER!$B:$B,$A41,MASTER!$S:$S,"&lt;&gt;Name only")*0.75,0)),MASTER!$AI$4:$AI$1463,0))),"")))),1),"-")</f>
        <v>3401</v>
      </c>
      <c r="H41" s="33">
        <f t="shared" si="0"/>
        <v>-232</v>
      </c>
    </row>
    <row r="42" spans="1:16">
      <c r="A42" s="18" t="s">
        <v>108</v>
      </c>
      <c r="B42" s="19" t="s">
        <v>109</v>
      </c>
      <c r="C42" s="34">
        <f>IFERROR(ROUND(AVERAGE(IF($B$4="RESONANCE",IFERROR(IF(INDEX(MASTER!$I$4:$I$1463,MATCH($A42&amp;"|"&amp;1,MASTER!$Y$4:$Y$1463,0))="","",INDEX(MASTER!$I$4:$I$1463,MATCH($A42&amp;"|"&amp;1,MASTER!$Y$4:$Y$1463,0))),""),IF($B$4="COMBAT RATING",IFERROR(IF(INDEX(MASTER!$G$4:$G$1463,MATCH($A42&amp;"|"&amp;1,MASTER!$AH$4:$AH$1463,0))="","",INDEX(MASTER!$G$4:$G$1463,MATCH($A42&amp;"|"&amp;1,MASTER!$AH$4:$AH$1463,0))),""),IF($B$4="SECONDARY",IFERROR(IF(INDEX(MASTER!$L$4:$L$1463,MATCH($A42&amp;"|"&amp;1,MASTER!$AI$4:$AI$1463,0))="","",INDEX(MASTER!$L$4:$L$1463,MATCH($A42&amp;"|"&amp;1,MASTER!$AI$4:$AI$1463,0))),"")))),IF($B$4="RESONANCE",IFERROR(IF(INDEX(MASTER!$I$4:$I$1463,MATCH($A42&amp;"|"&amp;2,MASTER!$Y$4:$Y$1463,0))="","",INDEX(MASTER!$I$4:$I$1463,MATCH($A42&amp;"|"&amp;2,MASTER!$Y$4:$Y$1463,0))),""),IF($B$4="COMBAT RATING",IFERROR(IF(INDEX(MASTER!$G$4:$G$1463,MATCH($A42&amp;"|"&amp;2,MASTER!$AH$4:$AH$1463,0))="","",INDEX(MASTER!$G$4:$G$1463,MATCH($A42&amp;"|"&amp;2,MASTER!$AH$4:$AH$1463,0))),""),IF($B$4="SECONDARY",IFERROR(IF(INDEX(MASTER!$L$4:$L$1463,MATCH($A42&amp;"|"&amp;2,MASTER!$AI$4:$AI$1463,0))="","",INDEX(MASTER!$L$4:$L$1463,MATCH($A42&amp;"|"&amp;2,MASTER!$AI$4:$AI$1463,0))),"")))),IF($B$4="RESONANCE",IFERROR(IF(INDEX(MASTER!$I$4:$I$1463,MATCH($A42&amp;"|"&amp;3,MASTER!$Y$4:$Y$1463,0))="","",INDEX(MASTER!$I$4:$I$1463,MATCH($A42&amp;"|"&amp;3,MASTER!$Y$4:$Y$1463,0))),""),IF($B$4="COMBAT RATING",IFERROR(IF(INDEX(MASTER!$G$4:$G$1463,MATCH($A42&amp;"|"&amp;3,MASTER!$AH$4:$AH$1463,0))="","",INDEX(MASTER!$G$4:$G$1463,MATCH($A42&amp;"|"&amp;3,MASTER!$AH$4:$AH$1463,0))),""),IF($B$4="SECONDARY",IFERROR(IF(INDEX(MASTER!$L$4:$L$1463,MATCH($A42&amp;"|"&amp;3,MASTER!$AI$4:$AI$1463,0))="","",INDEX(MASTER!$L$4:$L$1463,MATCH($A42&amp;"|"&amp;3,MASTER!$AI$4:$AI$1463,0))),"")))),IF($B$4="RESONANCE",IFERROR(IF(INDEX(MASTER!$I$4:$I$1463,MATCH($A42&amp;"|"&amp;4,MASTER!$Y$4:$Y$1463,0))="","",INDEX(MASTER!$I$4:$I$1463,MATCH($A42&amp;"|"&amp;4,MASTER!$Y$4:$Y$1463,0))),""),IF($B$4="COMBAT RATING",IFERROR(IF(INDEX(MASTER!$G$4:$G$1463,MATCH($A42&amp;"|"&amp;4,MASTER!$AH$4:$AH$1463,0))="","",INDEX(MASTER!$G$4:$G$1463,MATCH($A42&amp;"|"&amp;4,MASTER!$AH$4:$AH$1463,0))),""),IF($B$4="SECONDARY",IFERROR(IF(INDEX(MASTER!$L$4:$L$1463,MATCH($A42&amp;"|"&amp;4,MASTER!$AI$4:$AI$1463,0))="","",INDEX(MASTER!$L$4:$L$1463,MATCH($A42&amp;"|"&amp;4,MASTER!$AI$4:$AI$1463,0))),"")))),IF($B$4="RESONANCE",IFERROR(IF(INDEX(MASTER!$I$4:$I$1463,MATCH($A42&amp;"|"&amp;5,MASTER!$Y$4:$Y$1463,0))="","",INDEX(MASTER!$I$4:$I$1463,MATCH($A42&amp;"|"&amp;5,MASTER!$Y$4:$Y$1463,0))),""),IF($B$4="COMBAT RATING",IFERROR(IF(INDEX(MASTER!$G$4:$G$1463,MATCH($A42&amp;"|"&amp;5,MASTER!$AH$4:$AH$1463,0))="","",INDEX(MASTER!$G$4:$G$1463,MATCH($A42&amp;"|"&amp;5,MASTER!$AH$4:$AH$1463,0))),""),IF($B$4="SECONDARY",IFERROR(IF(INDEX(MASTER!$L$4:$L$1463,MATCH($A42&amp;"|"&amp;5,MASTER!$AI$4:$AI$1463,0))="","",INDEX(MASTER!$L$4:$L$1463,MATCH($A42&amp;"|"&amp;5,MASTER!$AI$4:$AI$1463,0))),""))))),1),"-")</f>
        <v>11454.4</v>
      </c>
      <c r="D42" s="34">
        <f>IFERROR(ROUND(IF($B$4="RESONANCE",IFERROR(IF(INDEX(MASTER!$I$4:$I$1463,MATCH($A42&amp;"|"&amp;MAX(1,ROUND(COUNTIFS(MASTER!$B:$B,$A42,MASTER!$S:$S,"&lt;&gt;Name only")*0.1,0)),MASTER!$Y$4:$Y$1463,0))="","",INDEX(MASTER!$I$4:$I$1463,MATCH($A42&amp;"|"&amp;MAX(1,ROUND(COUNTIFS(MASTER!$B:$B,$A42,MASTER!$S:$S,"&lt;&gt;Name only")*0.1,0)),MASTER!$Y$4:$Y$1463,0))),""),IF($B$4="COMBAT RATING",IFERROR(IF(INDEX(MASTER!$G$4:$G$1463,MATCH($A42&amp;"|"&amp;MAX(1,ROUND(COUNTIFS(MASTER!$B:$B,$A42,MASTER!$S:$S,"&lt;&gt;Name only")*0.1,0)),MASTER!$AH$4:$AH$1463,0))="","",INDEX(MASTER!$G$4:$G$1463,MATCH($A42&amp;"|"&amp;MAX(1,ROUND(COUNTIFS(MASTER!$B:$B,$A42,MASTER!$S:$S,"&lt;&gt;Name only")*0.1,0)),MASTER!$AH$4:$AH$1463,0))),""),IF($B$4="SECONDARY",IFERROR(IF(INDEX(MASTER!$L$4:$L$1463,MATCH($A42&amp;"|"&amp;MAX(1,ROUND(COUNTIFS(MASTER!$B:$B,$A42,MASTER!$S:$S,"&lt;&gt;Name only")*0.1,0)),MASTER!$AI$4:$AI$1463,0))="","",INDEX(MASTER!$L$4:$L$1463,MATCH($A42&amp;"|"&amp;MAX(1,ROUND(COUNTIFS(MASTER!$B:$B,$A42,MASTER!$S:$S,"&lt;&gt;Name only")*0.1,0)),MASTER!$AI$4:$AI$1463,0))),"")))),1),"-")</f>
        <v>9770</v>
      </c>
      <c r="E42" s="34">
        <f>IFERROR(ROUND(IF($B$4="RESONANCE",IFERROR(IF(INDEX(MASTER!$I$4:$I$1463,MATCH($A42&amp;"|"&amp;MAX(1,ROUND(COUNTIFS(MASTER!$B:$B,$A42,MASTER!$S:$S,"&lt;&gt;Name only")*0.25,0)),MASTER!$Y$4:$Y$1463,0))="","",INDEX(MASTER!$I$4:$I$1463,MATCH($A42&amp;"|"&amp;MAX(1,ROUND(COUNTIFS(MASTER!$B:$B,$A42,MASTER!$S:$S,"&lt;&gt;Name only")*0.25,0)),MASTER!$Y$4:$Y$1463,0))),""),IF($B$4="COMBAT RATING",IFERROR(IF(INDEX(MASTER!$G$4:$G$1463,MATCH($A42&amp;"|"&amp;MAX(1,ROUND(COUNTIFS(MASTER!$B:$B,$A42,MASTER!$S:$S,"&lt;&gt;Name only")*0.25,0)),MASTER!$AH$4:$AH$1463,0))="","",INDEX(MASTER!$G$4:$G$1463,MATCH($A42&amp;"|"&amp;MAX(1,ROUND(COUNTIFS(MASTER!$B:$B,$A42,MASTER!$S:$S,"&lt;&gt;Name only")*0.25,0)),MASTER!$AH$4:$AH$1463,0))),""),IF($B$4="SECONDARY",IFERROR(IF(INDEX(MASTER!$L$4:$L$1463,MATCH($A42&amp;"|"&amp;MAX(1,ROUND(COUNTIFS(MASTER!$B:$B,$A42,MASTER!$S:$S,"&lt;&gt;Name only")*0.25,0)),MASTER!$AI$4:$AI$1463,0))="","",INDEX(MASTER!$L$4:$L$1463,MATCH($A42&amp;"|"&amp;MAX(1,ROUND(COUNTIFS(MASTER!$B:$B,$A42,MASTER!$S:$S,"&lt;&gt;Name only")*0.25,0)),MASTER!$AI$4:$AI$1463,0))),"")))),1),"-")</f>
        <v>8023</v>
      </c>
      <c r="F42" s="34">
        <f>IFERROR(ROUND(IF($B$4="RESONANCE",IFERROR(IF(INDEX(MASTER!$I$4:$I$1463,MATCH($A42&amp;"|"&amp;MAX(1,ROUND(COUNTIFS(MASTER!$B:$B,$A42,MASTER!$S:$S,"&lt;&gt;Name only")*0.5,0)),MASTER!$Y$4:$Y$1463,0))="","",INDEX(MASTER!$I$4:$I$1463,MATCH($A42&amp;"|"&amp;MAX(1,ROUND(COUNTIFS(MASTER!$B:$B,$A42,MASTER!$S:$S,"&lt;&gt;Name only")*0.5,0)),MASTER!$Y$4:$Y$1463,0))),""),IF($B$4="COMBAT RATING",IFERROR(IF(INDEX(MASTER!$G$4:$G$1463,MATCH($A42&amp;"|"&amp;MAX(1,ROUND(COUNTIFS(MASTER!$B:$B,$A42,MASTER!$S:$S,"&lt;&gt;Name only")*0.5,0)),MASTER!$AH$4:$AH$1463,0))="","",INDEX(MASTER!$G$4:$G$1463,MATCH($A42&amp;"|"&amp;MAX(1,ROUND(COUNTIFS(MASTER!$B:$B,$A42,MASTER!$S:$S,"&lt;&gt;Name only")*0.5,0)),MASTER!$AH$4:$AH$1463,0))),""),IF($B$4="SECONDARY",IFERROR(IF(INDEX(MASTER!$L$4:$L$1463,MATCH($A42&amp;"|"&amp;MAX(1,ROUND(COUNTIFS(MASTER!$B:$B,$A42,MASTER!$S:$S,"&lt;&gt;Name only")*0.5,0)),MASTER!$AI$4:$AI$1463,0))="","",INDEX(MASTER!$L$4:$L$1463,MATCH($A42&amp;"|"&amp;MAX(1,ROUND(COUNTIFS(MASTER!$B:$B,$A42,MASTER!$S:$S,"&lt;&gt;Name only")*0.5,0)),MASTER!$AI$4:$AI$1463,0))),"")))),1),"-")</f>
        <v>5671</v>
      </c>
      <c r="G42" s="34">
        <f>IFERROR(ROUND(IF($B$4="RESONANCE",IFERROR(IF(INDEX(MASTER!$I$4:$I$1463,MATCH($A42&amp;"|"&amp;MAX(1,ROUND(COUNTIFS(MASTER!$B:$B,$A42,MASTER!$S:$S,"&lt;&gt;Name only")*0.75,0)),MASTER!$Y$4:$Y$1463,0))="","",INDEX(MASTER!$I$4:$I$1463,MATCH($A42&amp;"|"&amp;MAX(1,ROUND(COUNTIFS(MASTER!$B:$B,$A42,MASTER!$S:$S,"&lt;&gt;Name only")*0.75,0)),MASTER!$Y$4:$Y$1463,0))),""),IF($B$4="COMBAT RATING",IFERROR(IF(INDEX(MASTER!$G$4:$G$1463,MATCH($A42&amp;"|"&amp;MAX(1,ROUND(COUNTIFS(MASTER!$B:$B,$A42,MASTER!$S:$S,"&lt;&gt;Name only")*0.75,0)),MASTER!$AH$4:$AH$1463,0))="","",INDEX(MASTER!$G$4:$G$1463,MATCH($A42&amp;"|"&amp;MAX(1,ROUND(COUNTIFS(MASTER!$B:$B,$A42,MASTER!$S:$S,"&lt;&gt;Name only")*0.75,0)),MASTER!$AH$4:$AH$1463,0))),""),IF($B$4="SECONDARY",IFERROR(IF(INDEX(MASTER!$L$4:$L$1463,MATCH($A42&amp;"|"&amp;MAX(1,ROUND(COUNTIFS(MASTER!$B:$B,$A42,MASTER!$S:$S,"&lt;&gt;Name only")*0.75,0)),MASTER!$AI$4:$AI$1463,0))="","",INDEX(MASTER!$L$4:$L$1463,MATCH($A42&amp;"|"&amp;MAX(1,ROUND(COUNTIFS(MASTER!$B:$B,$A42,MASTER!$S:$S,"&lt;&gt;Name only")*0.75,0)),MASTER!$AI$4:$AI$1463,0))),"")))),1),"-")</f>
        <v>3956</v>
      </c>
      <c r="H42" s="34">
        <f t="shared" si="0"/>
        <v>1236</v>
      </c>
    </row>
    <row r="43" spans="1:16">
      <c r="A43" s="14" t="s">
        <v>110</v>
      </c>
      <c r="B43" s="15" t="s">
        <v>109</v>
      </c>
      <c r="C43" s="33">
        <f>IFERROR(ROUND(AVERAGE(IF($B$4="RESONANCE",IFERROR(IF(INDEX(MASTER!$I$4:$I$1463,MATCH($A43&amp;"|"&amp;1,MASTER!$Y$4:$Y$1463,0))="","",INDEX(MASTER!$I$4:$I$1463,MATCH($A43&amp;"|"&amp;1,MASTER!$Y$4:$Y$1463,0))),""),IF($B$4="COMBAT RATING",IFERROR(IF(INDEX(MASTER!$G$4:$G$1463,MATCH($A43&amp;"|"&amp;1,MASTER!$AH$4:$AH$1463,0))="","",INDEX(MASTER!$G$4:$G$1463,MATCH($A43&amp;"|"&amp;1,MASTER!$AH$4:$AH$1463,0))),""),IF($B$4="SECONDARY",IFERROR(IF(INDEX(MASTER!$L$4:$L$1463,MATCH($A43&amp;"|"&amp;1,MASTER!$AI$4:$AI$1463,0))="","",INDEX(MASTER!$L$4:$L$1463,MATCH($A43&amp;"|"&amp;1,MASTER!$AI$4:$AI$1463,0))),"")))),IF($B$4="RESONANCE",IFERROR(IF(INDEX(MASTER!$I$4:$I$1463,MATCH($A43&amp;"|"&amp;2,MASTER!$Y$4:$Y$1463,0))="","",INDEX(MASTER!$I$4:$I$1463,MATCH($A43&amp;"|"&amp;2,MASTER!$Y$4:$Y$1463,0))),""),IF($B$4="COMBAT RATING",IFERROR(IF(INDEX(MASTER!$G$4:$G$1463,MATCH($A43&amp;"|"&amp;2,MASTER!$AH$4:$AH$1463,0))="","",INDEX(MASTER!$G$4:$G$1463,MATCH($A43&amp;"|"&amp;2,MASTER!$AH$4:$AH$1463,0))),""),IF($B$4="SECONDARY",IFERROR(IF(INDEX(MASTER!$L$4:$L$1463,MATCH($A43&amp;"|"&amp;2,MASTER!$AI$4:$AI$1463,0))="","",INDEX(MASTER!$L$4:$L$1463,MATCH($A43&amp;"|"&amp;2,MASTER!$AI$4:$AI$1463,0))),"")))),IF($B$4="RESONANCE",IFERROR(IF(INDEX(MASTER!$I$4:$I$1463,MATCH($A43&amp;"|"&amp;3,MASTER!$Y$4:$Y$1463,0))="","",INDEX(MASTER!$I$4:$I$1463,MATCH($A43&amp;"|"&amp;3,MASTER!$Y$4:$Y$1463,0))),""),IF($B$4="COMBAT RATING",IFERROR(IF(INDEX(MASTER!$G$4:$G$1463,MATCH($A43&amp;"|"&amp;3,MASTER!$AH$4:$AH$1463,0))="","",INDEX(MASTER!$G$4:$G$1463,MATCH($A43&amp;"|"&amp;3,MASTER!$AH$4:$AH$1463,0))),""),IF($B$4="SECONDARY",IFERROR(IF(INDEX(MASTER!$L$4:$L$1463,MATCH($A43&amp;"|"&amp;3,MASTER!$AI$4:$AI$1463,0))="","",INDEX(MASTER!$L$4:$L$1463,MATCH($A43&amp;"|"&amp;3,MASTER!$AI$4:$AI$1463,0))),"")))),IF($B$4="RESONANCE",IFERROR(IF(INDEX(MASTER!$I$4:$I$1463,MATCH($A43&amp;"|"&amp;4,MASTER!$Y$4:$Y$1463,0))="","",INDEX(MASTER!$I$4:$I$1463,MATCH($A43&amp;"|"&amp;4,MASTER!$Y$4:$Y$1463,0))),""),IF($B$4="COMBAT RATING",IFERROR(IF(INDEX(MASTER!$G$4:$G$1463,MATCH($A43&amp;"|"&amp;4,MASTER!$AH$4:$AH$1463,0))="","",INDEX(MASTER!$G$4:$G$1463,MATCH($A43&amp;"|"&amp;4,MASTER!$AH$4:$AH$1463,0))),""),IF($B$4="SECONDARY",IFERROR(IF(INDEX(MASTER!$L$4:$L$1463,MATCH($A43&amp;"|"&amp;4,MASTER!$AI$4:$AI$1463,0))="","",INDEX(MASTER!$L$4:$L$1463,MATCH($A43&amp;"|"&amp;4,MASTER!$AI$4:$AI$1463,0))),"")))),IF($B$4="RESONANCE",IFERROR(IF(INDEX(MASTER!$I$4:$I$1463,MATCH($A43&amp;"|"&amp;5,MASTER!$Y$4:$Y$1463,0))="","",INDEX(MASTER!$I$4:$I$1463,MATCH($A43&amp;"|"&amp;5,MASTER!$Y$4:$Y$1463,0))),""),IF($B$4="COMBAT RATING",IFERROR(IF(INDEX(MASTER!$G$4:$G$1463,MATCH($A43&amp;"|"&amp;5,MASTER!$AH$4:$AH$1463,0))="","",INDEX(MASTER!$G$4:$G$1463,MATCH($A43&amp;"|"&amp;5,MASTER!$AH$4:$AH$1463,0))),""),IF($B$4="SECONDARY",IFERROR(IF(INDEX(MASTER!$L$4:$L$1463,MATCH($A43&amp;"|"&amp;5,MASTER!$AI$4:$AI$1463,0))="","",INDEX(MASTER!$L$4:$L$1463,MATCH($A43&amp;"|"&amp;5,MASTER!$AI$4:$AI$1463,0))),""))))),1),"-")</f>
        <v>11957</v>
      </c>
      <c r="D43" s="33">
        <f>IFERROR(ROUND(IF($B$4="RESONANCE",IFERROR(IF(INDEX(MASTER!$I$4:$I$1463,MATCH($A43&amp;"|"&amp;MAX(1,ROUND(COUNTIFS(MASTER!$B:$B,$A43,MASTER!$S:$S,"&lt;&gt;Name only")*0.1,0)),MASTER!$Y$4:$Y$1463,0))="","",INDEX(MASTER!$I$4:$I$1463,MATCH($A43&amp;"|"&amp;MAX(1,ROUND(COUNTIFS(MASTER!$B:$B,$A43,MASTER!$S:$S,"&lt;&gt;Name only")*0.1,0)),MASTER!$Y$4:$Y$1463,0))),""),IF($B$4="COMBAT RATING",IFERROR(IF(INDEX(MASTER!$G$4:$G$1463,MATCH($A43&amp;"|"&amp;MAX(1,ROUND(COUNTIFS(MASTER!$B:$B,$A43,MASTER!$S:$S,"&lt;&gt;Name only")*0.1,0)),MASTER!$AH$4:$AH$1463,0))="","",INDEX(MASTER!$G$4:$G$1463,MATCH($A43&amp;"|"&amp;MAX(1,ROUND(COUNTIFS(MASTER!$B:$B,$A43,MASTER!$S:$S,"&lt;&gt;Name only")*0.1,0)),MASTER!$AH$4:$AH$1463,0))),""),IF($B$4="SECONDARY",IFERROR(IF(INDEX(MASTER!$L$4:$L$1463,MATCH($A43&amp;"|"&amp;MAX(1,ROUND(COUNTIFS(MASTER!$B:$B,$A43,MASTER!$S:$S,"&lt;&gt;Name only")*0.1,0)),MASTER!$AI$4:$AI$1463,0))="","",INDEX(MASTER!$L$4:$L$1463,MATCH($A43&amp;"|"&amp;MAX(1,ROUND(COUNTIFS(MASTER!$B:$B,$A43,MASTER!$S:$S,"&lt;&gt;Name only")*0.1,0)),MASTER!$AI$4:$AI$1463,0))),"")))),1),"-")</f>
        <v>10272</v>
      </c>
      <c r="E43" s="33">
        <f>IFERROR(ROUND(IF($B$4="RESONANCE",IFERROR(IF(INDEX(MASTER!$I$4:$I$1463,MATCH($A43&amp;"|"&amp;MAX(1,ROUND(COUNTIFS(MASTER!$B:$B,$A43,MASTER!$S:$S,"&lt;&gt;Name only")*0.25,0)),MASTER!$Y$4:$Y$1463,0))="","",INDEX(MASTER!$I$4:$I$1463,MATCH($A43&amp;"|"&amp;MAX(1,ROUND(COUNTIFS(MASTER!$B:$B,$A43,MASTER!$S:$S,"&lt;&gt;Name only")*0.25,0)),MASTER!$Y$4:$Y$1463,0))),""),IF($B$4="COMBAT RATING",IFERROR(IF(INDEX(MASTER!$G$4:$G$1463,MATCH($A43&amp;"|"&amp;MAX(1,ROUND(COUNTIFS(MASTER!$B:$B,$A43,MASTER!$S:$S,"&lt;&gt;Name only")*0.25,0)),MASTER!$AH$4:$AH$1463,0))="","",INDEX(MASTER!$G$4:$G$1463,MATCH($A43&amp;"|"&amp;MAX(1,ROUND(COUNTIFS(MASTER!$B:$B,$A43,MASTER!$S:$S,"&lt;&gt;Name only")*0.25,0)),MASTER!$AH$4:$AH$1463,0))),""),IF($B$4="SECONDARY",IFERROR(IF(INDEX(MASTER!$L$4:$L$1463,MATCH($A43&amp;"|"&amp;MAX(1,ROUND(COUNTIFS(MASTER!$B:$B,$A43,MASTER!$S:$S,"&lt;&gt;Name only")*0.25,0)),MASTER!$AI$4:$AI$1463,0))="","",INDEX(MASTER!$L$4:$L$1463,MATCH($A43&amp;"|"&amp;MAX(1,ROUND(COUNTIFS(MASTER!$B:$B,$A43,MASTER!$S:$S,"&lt;&gt;Name only")*0.25,0)),MASTER!$AI$4:$AI$1463,0))),"")))),1),"-")</f>
        <v>7741</v>
      </c>
      <c r="F43" s="33">
        <f>IFERROR(ROUND(IF($B$4="RESONANCE",IFERROR(IF(INDEX(MASTER!$I$4:$I$1463,MATCH($A43&amp;"|"&amp;MAX(1,ROUND(COUNTIFS(MASTER!$B:$B,$A43,MASTER!$S:$S,"&lt;&gt;Name only")*0.5,0)),MASTER!$Y$4:$Y$1463,0))="","",INDEX(MASTER!$I$4:$I$1463,MATCH($A43&amp;"|"&amp;MAX(1,ROUND(COUNTIFS(MASTER!$B:$B,$A43,MASTER!$S:$S,"&lt;&gt;Name only")*0.5,0)),MASTER!$Y$4:$Y$1463,0))),""),IF($B$4="COMBAT RATING",IFERROR(IF(INDEX(MASTER!$G$4:$G$1463,MATCH($A43&amp;"|"&amp;MAX(1,ROUND(COUNTIFS(MASTER!$B:$B,$A43,MASTER!$S:$S,"&lt;&gt;Name only")*0.5,0)),MASTER!$AH$4:$AH$1463,0))="","",INDEX(MASTER!$G$4:$G$1463,MATCH($A43&amp;"|"&amp;MAX(1,ROUND(COUNTIFS(MASTER!$B:$B,$A43,MASTER!$S:$S,"&lt;&gt;Name only")*0.5,0)),MASTER!$AH$4:$AH$1463,0))),""),IF($B$4="SECONDARY",IFERROR(IF(INDEX(MASTER!$L$4:$L$1463,MATCH($A43&amp;"|"&amp;MAX(1,ROUND(COUNTIFS(MASTER!$B:$B,$A43,MASTER!$S:$S,"&lt;&gt;Name only")*0.5,0)),MASTER!$AI$4:$AI$1463,0))="","",INDEX(MASTER!$L$4:$L$1463,MATCH($A43&amp;"|"&amp;MAX(1,ROUND(COUNTIFS(MASTER!$B:$B,$A43,MASTER!$S:$S,"&lt;&gt;Name only")*0.5,0)),MASTER!$AI$4:$AI$1463,0))),"")))),1),"-")</f>
        <v>4939</v>
      </c>
      <c r="G43" s="33">
        <f>IFERROR(ROUND(IF($B$4="RESONANCE",IFERROR(IF(INDEX(MASTER!$I$4:$I$1463,MATCH($A43&amp;"|"&amp;MAX(1,ROUND(COUNTIFS(MASTER!$B:$B,$A43,MASTER!$S:$S,"&lt;&gt;Name only")*0.75,0)),MASTER!$Y$4:$Y$1463,0))="","",INDEX(MASTER!$I$4:$I$1463,MATCH($A43&amp;"|"&amp;MAX(1,ROUND(COUNTIFS(MASTER!$B:$B,$A43,MASTER!$S:$S,"&lt;&gt;Name only")*0.75,0)),MASTER!$Y$4:$Y$1463,0))),""),IF($B$4="COMBAT RATING",IFERROR(IF(INDEX(MASTER!$G$4:$G$1463,MATCH($A43&amp;"|"&amp;MAX(1,ROUND(COUNTIFS(MASTER!$B:$B,$A43,MASTER!$S:$S,"&lt;&gt;Name only")*0.75,0)),MASTER!$AH$4:$AH$1463,0))="","",INDEX(MASTER!$G$4:$G$1463,MATCH($A43&amp;"|"&amp;MAX(1,ROUND(COUNTIFS(MASTER!$B:$B,$A43,MASTER!$S:$S,"&lt;&gt;Name only")*0.75,0)),MASTER!$AH$4:$AH$1463,0))),""),IF($B$4="SECONDARY",IFERROR(IF(INDEX(MASTER!$L$4:$L$1463,MATCH($A43&amp;"|"&amp;MAX(1,ROUND(COUNTIFS(MASTER!$B:$B,$A43,MASTER!$S:$S,"&lt;&gt;Name only")*0.75,0)),MASTER!$AI$4:$AI$1463,0))="","",INDEX(MASTER!$L$4:$L$1463,MATCH($A43&amp;"|"&amp;MAX(1,ROUND(COUNTIFS(MASTER!$B:$B,$A43,MASTER!$S:$S,"&lt;&gt;Name only")*0.75,0)),MASTER!$AI$4:$AI$1463,0))),"")))),1),"-")</f>
        <v>3478</v>
      </c>
      <c r="H43" s="33">
        <f t="shared" si="0"/>
        <v>504</v>
      </c>
    </row>
    <row r="44" spans="1:16">
      <c r="A44" s="18" t="s">
        <v>111</v>
      </c>
      <c r="B44" s="19" t="s">
        <v>109</v>
      </c>
      <c r="C44" s="34">
        <f>IFERROR(ROUND(AVERAGE(IF($B$4="RESONANCE",IFERROR(IF(INDEX(MASTER!$I$4:$I$1463,MATCH($A44&amp;"|"&amp;1,MASTER!$Y$4:$Y$1463,0))="","",INDEX(MASTER!$I$4:$I$1463,MATCH($A44&amp;"|"&amp;1,MASTER!$Y$4:$Y$1463,0))),""),IF($B$4="COMBAT RATING",IFERROR(IF(INDEX(MASTER!$G$4:$G$1463,MATCH($A44&amp;"|"&amp;1,MASTER!$AH$4:$AH$1463,0))="","",INDEX(MASTER!$G$4:$G$1463,MATCH($A44&amp;"|"&amp;1,MASTER!$AH$4:$AH$1463,0))),""),IF($B$4="SECONDARY",IFERROR(IF(INDEX(MASTER!$L$4:$L$1463,MATCH($A44&amp;"|"&amp;1,MASTER!$AI$4:$AI$1463,0))="","",INDEX(MASTER!$L$4:$L$1463,MATCH($A44&amp;"|"&amp;1,MASTER!$AI$4:$AI$1463,0))),"")))),IF($B$4="RESONANCE",IFERROR(IF(INDEX(MASTER!$I$4:$I$1463,MATCH($A44&amp;"|"&amp;2,MASTER!$Y$4:$Y$1463,0))="","",INDEX(MASTER!$I$4:$I$1463,MATCH($A44&amp;"|"&amp;2,MASTER!$Y$4:$Y$1463,0))),""),IF($B$4="COMBAT RATING",IFERROR(IF(INDEX(MASTER!$G$4:$G$1463,MATCH($A44&amp;"|"&amp;2,MASTER!$AH$4:$AH$1463,0))="","",INDEX(MASTER!$G$4:$G$1463,MATCH($A44&amp;"|"&amp;2,MASTER!$AH$4:$AH$1463,0))),""),IF($B$4="SECONDARY",IFERROR(IF(INDEX(MASTER!$L$4:$L$1463,MATCH($A44&amp;"|"&amp;2,MASTER!$AI$4:$AI$1463,0))="","",INDEX(MASTER!$L$4:$L$1463,MATCH($A44&amp;"|"&amp;2,MASTER!$AI$4:$AI$1463,0))),"")))),IF($B$4="RESONANCE",IFERROR(IF(INDEX(MASTER!$I$4:$I$1463,MATCH($A44&amp;"|"&amp;3,MASTER!$Y$4:$Y$1463,0))="","",INDEX(MASTER!$I$4:$I$1463,MATCH($A44&amp;"|"&amp;3,MASTER!$Y$4:$Y$1463,0))),""),IF($B$4="COMBAT RATING",IFERROR(IF(INDEX(MASTER!$G$4:$G$1463,MATCH($A44&amp;"|"&amp;3,MASTER!$AH$4:$AH$1463,0))="","",INDEX(MASTER!$G$4:$G$1463,MATCH($A44&amp;"|"&amp;3,MASTER!$AH$4:$AH$1463,0))),""),IF($B$4="SECONDARY",IFERROR(IF(INDEX(MASTER!$L$4:$L$1463,MATCH($A44&amp;"|"&amp;3,MASTER!$AI$4:$AI$1463,0))="","",INDEX(MASTER!$L$4:$L$1463,MATCH($A44&amp;"|"&amp;3,MASTER!$AI$4:$AI$1463,0))),"")))),IF($B$4="RESONANCE",IFERROR(IF(INDEX(MASTER!$I$4:$I$1463,MATCH($A44&amp;"|"&amp;4,MASTER!$Y$4:$Y$1463,0))="","",INDEX(MASTER!$I$4:$I$1463,MATCH($A44&amp;"|"&amp;4,MASTER!$Y$4:$Y$1463,0))),""),IF($B$4="COMBAT RATING",IFERROR(IF(INDEX(MASTER!$G$4:$G$1463,MATCH($A44&amp;"|"&amp;4,MASTER!$AH$4:$AH$1463,0))="","",INDEX(MASTER!$G$4:$G$1463,MATCH($A44&amp;"|"&amp;4,MASTER!$AH$4:$AH$1463,0))),""),IF($B$4="SECONDARY",IFERROR(IF(INDEX(MASTER!$L$4:$L$1463,MATCH($A44&amp;"|"&amp;4,MASTER!$AI$4:$AI$1463,0))="","",INDEX(MASTER!$L$4:$L$1463,MATCH($A44&amp;"|"&amp;4,MASTER!$AI$4:$AI$1463,0))),"")))),IF($B$4="RESONANCE",IFERROR(IF(INDEX(MASTER!$I$4:$I$1463,MATCH($A44&amp;"|"&amp;5,MASTER!$Y$4:$Y$1463,0))="","",INDEX(MASTER!$I$4:$I$1463,MATCH($A44&amp;"|"&amp;5,MASTER!$Y$4:$Y$1463,0))),""),IF($B$4="COMBAT RATING",IFERROR(IF(INDEX(MASTER!$G$4:$G$1463,MATCH($A44&amp;"|"&amp;5,MASTER!$AH$4:$AH$1463,0))="","",INDEX(MASTER!$G$4:$G$1463,MATCH($A44&amp;"|"&amp;5,MASTER!$AH$4:$AH$1463,0))),""),IF($B$4="SECONDARY",IFERROR(IF(INDEX(MASTER!$L$4:$L$1463,MATCH($A44&amp;"|"&amp;5,MASTER!$AI$4:$AI$1463,0))="","",INDEX(MASTER!$L$4:$L$1463,MATCH($A44&amp;"|"&amp;5,MASTER!$AI$4:$AI$1463,0))),""))))),1),"-")</f>
        <v>10647.8</v>
      </c>
      <c r="D44" s="34">
        <f>IFERROR(ROUND(IF($B$4="RESONANCE",IFERROR(IF(INDEX(MASTER!$I$4:$I$1463,MATCH($A44&amp;"|"&amp;MAX(1,ROUND(COUNTIFS(MASTER!$B:$B,$A44,MASTER!$S:$S,"&lt;&gt;Name only")*0.1,0)),MASTER!$Y$4:$Y$1463,0))="","",INDEX(MASTER!$I$4:$I$1463,MATCH($A44&amp;"|"&amp;MAX(1,ROUND(COUNTIFS(MASTER!$B:$B,$A44,MASTER!$S:$S,"&lt;&gt;Name only")*0.1,0)),MASTER!$Y$4:$Y$1463,0))),""),IF($B$4="COMBAT RATING",IFERROR(IF(INDEX(MASTER!$G$4:$G$1463,MATCH($A44&amp;"|"&amp;MAX(1,ROUND(COUNTIFS(MASTER!$B:$B,$A44,MASTER!$S:$S,"&lt;&gt;Name only")*0.1,0)),MASTER!$AH$4:$AH$1463,0))="","",INDEX(MASTER!$G$4:$G$1463,MATCH($A44&amp;"|"&amp;MAX(1,ROUND(COUNTIFS(MASTER!$B:$B,$A44,MASTER!$S:$S,"&lt;&gt;Name only")*0.1,0)),MASTER!$AH$4:$AH$1463,0))),""),IF($B$4="SECONDARY",IFERROR(IF(INDEX(MASTER!$L$4:$L$1463,MATCH($A44&amp;"|"&amp;MAX(1,ROUND(COUNTIFS(MASTER!$B:$B,$A44,MASTER!$S:$S,"&lt;&gt;Name only")*0.1,0)),MASTER!$AI$4:$AI$1463,0))="","",INDEX(MASTER!$L$4:$L$1463,MATCH($A44&amp;"|"&amp;MAX(1,ROUND(COUNTIFS(MASTER!$B:$B,$A44,MASTER!$S:$S,"&lt;&gt;Name only")*0.1,0)),MASTER!$AI$4:$AI$1463,0))),"")))),1),"-")</f>
        <v>9867</v>
      </c>
      <c r="E44" s="34">
        <f>IFERROR(ROUND(IF($B$4="RESONANCE",IFERROR(IF(INDEX(MASTER!$I$4:$I$1463,MATCH($A44&amp;"|"&amp;MAX(1,ROUND(COUNTIFS(MASTER!$B:$B,$A44,MASTER!$S:$S,"&lt;&gt;Name only")*0.25,0)),MASTER!$Y$4:$Y$1463,0))="","",INDEX(MASTER!$I$4:$I$1463,MATCH($A44&amp;"|"&amp;MAX(1,ROUND(COUNTIFS(MASTER!$B:$B,$A44,MASTER!$S:$S,"&lt;&gt;Name only")*0.25,0)),MASTER!$Y$4:$Y$1463,0))),""),IF($B$4="COMBAT RATING",IFERROR(IF(INDEX(MASTER!$G$4:$G$1463,MATCH($A44&amp;"|"&amp;MAX(1,ROUND(COUNTIFS(MASTER!$B:$B,$A44,MASTER!$S:$S,"&lt;&gt;Name only")*0.25,0)),MASTER!$AH$4:$AH$1463,0))="","",INDEX(MASTER!$G$4:$G$1463,MATCH($A44&amp;"|"&amp;MAX(1,ROUND(COUNTIFS(MASTER!$B:$B,$A44,MASTER!$S:$S,"&lt;&gt;Name only")*0.25,0)),MASTER!$AH$4:$AH$1463,0))),""),IF($B$4="SECONDARY",IFERROR(IF(INDEX(MASTER!$L$4:$L$1463,MATCH($A44&amp;"|"&amp;MAX(1,ROUND(COUNTIFS(MASTER!$B:$B,$A44,MASTER!$S:$S,"&lt;&gt;Name only")*0.25,0)),MASTER!$AI$4:$AI$1463,0))="","",INDEX(MASTER!$L$4:$L$1463,MATCH($A44&amp;"|"&amp;MAX(1,ROUND(COUNTIFS(MASTER!$B:$B,$A44,MASTER!$S:$S,"&lt;&gt;Name only")*0.25,0)),MASTER!$AI$4:$AI$1463,0))),"")))),1),"-")</f>
        <v>7352</v>
      </c>
      <c r="F44" s="34">
        <f>IFERROR(ROUND(IF($B$4="RESONANCE",IFERROR(IF(INDEX(MASTER!$I$4:$I$1463,MATCH($A44&amp;"|"&amp;MAX(1,ROUND(COUNTIFS(MASTER!$B:$B,$A44,MASTER!$S:$S,"&lt;&gt;Name only")*0.5,0)),MASTER!$Y$4:$Y$1463,0))="","",INDEX(MASTER!$I$4:$I$1463,MATCH($A44&amp;"|"&amp;MAX(1,ROUND(COUNTIFS(MASTER!$B:$B,$A44,MASTER!$S:$S,"&lt;&gt;Name only")*0.5,0)),MASTER!$Y$4:$Y$1463,0))),""),IF($B$4="COMBAT RATING",IFERROR(IF(INDEX(MASTER!$G$4:$G$1463,MATCH($A44&amp;"|"&amp;MAX(1,ROUND(COUNTIFS(MASTER!$B:$B,$A44,MASTER!$S:$S,"&lt;&gt;Name only")*0.5,0)),MASTER!$AH$4:$AH$1463,0))="","",INDEX(MASTER!$G$4:$G$1463,MATCH($A44&amp;"|"&amp;MAX(1,ROUND(COUNTIFS(MASTER!$B:$B,$A44,MASTER!$S:$S,"&lt;&gt;Name only")*0.5,0)),MASTER!$AH$4:$AH$1463,0))),""),IF($B$4="SECONDARY",IFERROR(IF(INDEX(MASTER!$L$4:$L$1463,MATCH($A44&amp;"|"&amp;MAX(1,ROUND(COUNTIFS(MASTER!$B:$B,$A44,MASTER!$S:$S,"&lt;&gt;Name only")*0.5,0)),MASTER!$AI$4:$AI$1463,0))="","",INDEX(MASTER!$L$4:$L$1463,MATCH($A44&amp;"|"&amp;MAX(1,ROUND(COUNTIFS(MASTER!$B:$B,$A44,MASTER!$S:$S,"&lt;&gt;Name only")*0.5,0)),MASTER!$AI$4:$AI$1463,0))),"")))),1),"-")</f>
        <v>4850</v>
      </c>
      <c r="G44" s="34">
        <f>IFERROR(ROUND(IF($B$4="RESONANCE",IFERROR(IF(INDEX(MASTER!$I$4:$I$1463,MATCH($A44&amp;"|"&amp;MAX(1,ROUND(COUNTIFS(MASTER!$B:$B,$A44,MASTER!$S:$S,"&lt;&gt;Name only")*0.75,0)),MASTER!$Y$4:$Y$1463,0))="","",INDEX(MASTER!$I$4:$I$1463,MATCH($A44&amp;"|"&amp;MAX(1,ROUND(COUNTIFS(MASTER!$B:$B,$A44,MASTER!$S:$S,"&lt;&gt;Name only")*0.75,0)),MASTER!$Y$4:$Y$1463,0))),""),IF($B$4="COMBAT RATING",IFERROR(IF(INDEX(MASTER!$G$4:$G$1463,MATCH($A44&amp;"|"&amp;MAX(1,ROUND(COUNTIFS(MASTER!$B:$B,$A44,MASTER!$S:$S,"&lt;&gt;Name only")*0.75,0)),MASTER!$AH$4:$AH$1463,0))="","",INDEX(MASTER!$G$4:$G$1463,MATCH($A44&amp;"|"&amp;MAX(1,ROUND(COUNTIFS(MASTER!$B:$B,$A44,MASTER!$S:$S,"&lt;&gt;Name only")*0.75,0)),MASTER!$AH$4:$AH$1463,0))),""),IF($B$4="SECONDARY",IFERROR(IF(INDEX(MASTER!$L$4:$L$1463,MATCH($A44&amp;"|"&amp;MAX(1,ROUND(COUNTIFS(MASTER!$B:$B,$A44,MASTER!$S:$S,"&lt;&gt;Name only")*0.75,0)),MASTER!$AI$4:$AI$1463,0))="","",INDEX(MASTER!$L$4:$L$1463,MATCH($A44&amp;"|"&amp;MAX(1,ROUND(COUNTIFS(MASTER!$B:$B,$A44,MASTER!$S:$S,"&lt;&gt;Name only")*0.75,0)),MASTER!$AI$4:$AI$1463,0))),"")))),1),"-")</f>
        <v>3762</v>
      </c>
      <c r="H44" s="34">
        <f t="shared" si="0"/>
        <v>415</v>
      </c>
    </row>
    <row r="45" spans="1:16">
      <c r="A45" s="14" t="s">
        <v>112</v>
      </c>
      <c r="B45" s="15" t="s">
        <v>109</v>
      </c>
      <c r="C45" s="33">
        <f>IFERROR(ROUND(AVERAGE(IF($B$4="RESONANCE",IFERROR(IF(INDEX(MASTER!$I$4:$I$1463,MATCH($A45&amp;"|"&amp;1,MASTER!$Y$4:$Y$1463,0))="","",INDEX(MASTER!$I$4:$I$1463,MATCH($A45&amp;"|"&amp;1,MASTER!$Y$4:$Y$1463,0))),""),IF($B$4="COMBAT RATING",IFERROR(IF(INDEX(MASTER!$G$4:$G$1463,MATCH($A45&amp;"|"&amp;1,MASTER!$AH$4:$AH$1463,0))="","",INDEX(MASTER!$G$4:$G$1463,MATCH($A45&amp;"|"&amp;1,MASTER!$AH$4:$AH$1463,0))),""),IF($B$4="SECONDARY",IFERROR(IF(INDEX(MASTER!$L$4:$L$1463,MATCH($A45&amp;"|"&amp;1,MASTER!$AI$4:$AI$1463,0))="","",INDEX(MASTER!$L$4:$L$1463,MATCH($A45&amp;"|"&amp;1,MASTER!$AI$4:$AI$1463,0))),"")))),IF($B$4="RESONANCE",IFERROR(IF(INDEX(MASTER!$I$4:$I$1463,MATCH($A45&amp;"|"&amp;2,MASTER!$Y$4:$Y$1463,0))="","",INDEX(MASTER!$I$4:$I$1463,MATCH($A45&amp;"|"&amp;2,MASTER!$Y$4:$Y$1463,0))),""),IF($B$4="COMBAT RATING",IFERROR(IF(INDEX(MASTER!$G$4:$G$1463,MATCH($A45&amp;"|"&amp;2,MASTER!$AH$4:$AH$1463,0))="","",INDEX(MASTER!$G$4:$G$1463,MATCH($A45&amp;"|"&amp;2,MASTER!$AH$4:$AH$1463,0))),""),IF($B$4="SECONDARY",IFERROR(IF(INDEX(MASTER!$L$4:$L$1463,MATCH($A45&amp;"|"&amp;2,MASTER!$AI$4:$AI$1463,0))="","",INDEX(MASTER!$L$4:$L$1463,MATCH($A45&amp;"|"&amp;2,MASTER!$AI$4:$AI$1463,0))),"")))),IF($B$4="RESONANCE",IFERROR(IF(INDEX(MASTER!$I$4:$I$1463,MATCH($A45&amp;"|"&amp;3,MASTER!$Y$4:$Y$1463,0))="","",INDEX(MASTER!$I$4:$I$1463,MATCH($A45&amp;"|"&amp;3,MASTER!$Y$4:$Y$1463,0))),""),IF($B$4="COMBAT RATING",IFERROR(IF(INDEX(MASTER!$G$4:$G$1463,MATCH($A45&amp;"|"&amp;3,MASTER!$AH$4:$AH$1463,0))="","",INDEX(MASTER!$G$4:$G$1463,MATCH($A45&amp;"|"&amp;3,MASTER!$AH$4:$AH$1463,0))),""),IF($B$4="SECONDARY",IFERROR(IF(INDEX(MASTER!$L$4:$L$1463,MATCH($A45&amp;"|"&amp;3,MASTER!$AI$4:$AI$1463,0))="","",INDEX(MASTER!$L$4:$L$1463,MATCH($A45&amp;"|"&amp;3,MASTER!$AI$4:$AI$1463,0))),"")))),IF($B$4="RESONANCE",IFERROR(IF(INDEX(MASTER!$I$4:$I$1463,MATCH($A45&amp;"|"&amp;4,MASTER!$Y$4:$Y$1463,0))="","",INDEX(MASTER!$I$4:$I$1463,MATCH($A45&amp;"|"&amp;4,MASTER!$Y$4:$Y$1463,0))),""),IF($B$4="COMBAT RATING",IFERROR(IF(INDEX(MASTER!$G$4:$G$1463,MATCH($A45&amp;"|"&amp;4,MASTER!$AH$4:$AH$1463,0))="","",INDEX(MASTER!$G$4:$G$1463,MATCH($A45&amp;"|"&amp;4,MASTER!$AH$4:$AH$1463,0))),""),IF($B$4="SECONDARY",IFERROR(IF(INDEX(MASTER!$L$4:$L$1463,MATCH($A45&amp;"|"&amp;4,MASTER!$AI$4:$AI$1463,0))="","",INDEX(MASTER!$L$4:$L$1463,MATCH($A45&amp;"|"&amp;4,MASTER!$AI$4:$AI$1463,0))),"")))),IF($B$4="RESONANCE",IFERROR(IF(INDEX(MASTER!$I$4:$I$1463,MATCH($A45&amp;"|"&amp;5,MASTER!$Y$4:$Y$1463,0))="","",INDEX(MASTER!$I$4:$I$1463,MATCH($A45&amp;"|"&amp;5,MASTER!$Y$4:$Y$1463,0))),""),IF($B$4="COMBAT RATING",IFERROR(IF(INDEX(MASTER!$G$4:$G$1463,MATCH($A45&amp;"|"&amp;5,MASTER!$AH$4:$AH$1463,0))="","",INDEX(MASTER!$G$4:$G$1463,MATCH($A45&amp;"|"&amp;5,MASTER!$AH$4:$AH$1463,0))),""),IF($B$4="SECONDARY",IFERROR(IF(INDEX(MASTER!$L$4:$L$1463,MATCH($A45&amp;"|"&amp;5,MASTER!$AI$4:$AI$1463,0))="","",INDEX(MASTER!$L$4:$L$1463,MATCH($A45&amp;"|"&amp;5,MASTER!$AI$4:$AI$1463,0))),""))))),1),"-")</f>
        <v>9312.4</v>
      </c>
      <c r="D45" s="33">
        <f>IFERROR(ROUND(IF($B$4="RESONANCE",IFERROR(IF(INDEX(MASTER!$I$4:$I$1463,MATCH($A45&amp;"|"&amp;MAX(1,ROUND(COUNTIFS(MASTER!$B:$B,$A45,MASTER!$S:$S,"&lt;&gt;Name only")*0.1,0)),MASTER!$Y$4:$Y$1463,0))="","",INDEX(MASTER!$I$4:$I$1463,MATCH($A45&amp;"|"&amp;MAX(1,ROUND(COUNTIFS(MASTER!$B:$B,$A45,MASTER!$S:$S,"&lt;&gt;Name only")*0.1,0)),MASTER!$Y$4:$Y$1463,0))),""),IF($B$4="COMBAT RATING",IFERROR(IF(INDEX(MASTER!$G$4:$G$1463,MATCH($A45&amp;"|"&amp;MAX(1,ROUND(COUNTIFS(MASTER!$B:$B,$A45,MASTER!$S:$S,"&lt;&gt;Name only")*0.1,0)),MASTER!$AH$4:$AH$1463,0))="","",INDEX(MASTER!$G$4:$G$1463,MATCH($A45&amp;"|"&amp;MAX(1,ROUND(COUNTIFS(MASTER!$B:$B,$A45,MASTER!$S:$S,"&lt;&gt;Name only")*0.1,0)),MASTER!$AH$4:$AH$1463,0))),""),IF($B$4="SECONDARY",IFERROR(IF(INDEX(MASTER!$L$4:$L$1463,MATCH($A45&amp;"|"&amp;MAX(1,ROUND(COUNTIFS(MASTER!$B:$B,$A45,MASTER!$S:$S,"&lt;&gt;Name only")*0.1,0)),MASTER!$AI$4:$AI$1463,0))="","",INDEX(MASTER!$L$4:$L$1463,MATCH($A45&amp;"|"&amp;MAX(1,ROUND(COUNTIFS(MASTER!$B:$B,$A45,MASTER!$S:$S,"&lt;&gt;Name only")*0.1,0)),MASTER!$AI$4:$AI$1463,0))),"")))),1),"-")</f>
        <v>7221</v>
      </c>
      <c r="E45" s="33">
        <f>IFERROR(ROUND(IF($B$4="RESONANCE",IFERROR(IF(INDEX(MASTER!$I$4:$I$1463,MATCH($A45&amp;"|"&amp;MAX(1,ROUND(COUNTIFS(MASTER!$B:$B,$A45,MASTER!$S:$S,"&lt;&gt;Name only")*0.25,0)),MASTER!$Y$4:$Y$1463,0))="","",INDEX(MASTER!$I$4:$I$1463,MATCH($A45&amp;"|"&amp;MAX(1,ROUND(COUNTIFS(MASTER!$B:$B,$A45,MASTER!$S:$S,"&lt;&gt;Name only")*0.25,0)),MASTER!$Y$4:$Y$1463,0))),""),IF($B$4="COMBAT RATING",IFERROR(IF(INDEX(MASTER!$G$4:$G$1463,MATCH($A45&amp;"|"&amp;MAX(1,ROUND(COUNTIFS(MASTER!$B:$B,$A45,MASTER!$S:$S,"&lt;&gt;Name only")*0.25,0)),MASTER!$AH$4:$AH$1463,0))="","",INDEX(MASTER!$G$4:$G$1463,MATCH($A45&amp;"|"&amp;MAX(1,ROUND(COUNTIFS(MASTER!$B:$B,$A45,MASTER!$S:$S,"&lt;&gt;Name only")*0.25,0)),MASTER!$AH$4:$AH$1463,0))),""),IF($B$4="SECONDARY",IFERROR(IF(INDEX(MASTER!$L$4:$L$1463,MATCH($A45&amp;"|"&amp;MAX(1,ROUND(COUNTIFS(MASTER!$B:$B,$A45,MASTER!$S:$S,"&lt;&gt;Name only")*0.25,0)),MASTER!$AI$4:$AI$1463,0))="","",INDEX(MASTER!$L$4:$L$1463,MATCH($A45&amp;"|"&amp;MAX(1,ROUND(COUNTIFS(MASTER!$B:$B,$A45,MASTER!$S:$S,"&lt;&gt;Name only")*0.25,0)),MASTER!$AI$4:$AI$1463,0))),"")))),1),"-")</f>
        <v>5096</v>
      </c>
      <c r="F45" s="33">
        <f>IFERROR(ROUND(IF($B$4="RESONANCE",IFERROR(IF(INDEX(MASTER!$I$4:$I$1463,MATCH($A45&amp;"|"&amp;MAX(1,ROUND(COUNTIFS(MASTER!$B:$B,$A45,MASTER!$S:$S,"&lt;&gt;Name only")*0.5,0)),MASTER!$Y$4:$Y$1463,0))="","",INDEX(MASTER!$I$4:$I$1463,MATCH($A45&amp;"|"&amp;MAX(1,ROUND(COUNTIFS(MASTER!$B:$B,$A45,MASTER!$S:$S,"&lt;&gt;Name only")*0.5,0)),MASTER!$Y$4:$Y$1463,0))),""),IF($B$4="COMBAT RATING",IFERROR(IF(INDEX(MASTER!$G$4:$G$1463,MATCH($A45&amp;"|"&amp;MAX(1,ROUND(COUNTIFS(MASTER!$B:$B,$A45,MASTER!$S:$S,"&lt;&gt;Name only")*0.5,0)),MASTER!$AH$4:$AH$1463,0))="","",INDEX(MASTER!$G$4:$G$1463,MATCH($A45&amp;"|"&amp;MAX(1,ROUND(COUNTIFS(MASTER!$B:$B,$A45,MASTER!$S:$S,"&lt;&gt;Name only")*0.5,0)),MASTER!$AH$4:$AH$1463,0))),""),IF($B$4="SECONDARY",IFERROR(IF(INDEX(MASTER!$L$4:$L$1463,MATCH($A45&amp;"|"&amp;MAX(1,ROUND(COUNTIFS(MASTER!$B:$B,$A45,MASTER!$S:$S,"&lt;&gt;Name only")*0.5,0)),MASTER!$AI$4:$AI$1463,0))="","",INDEX(MASTER!$L$4:$L$1463,MATCH($A45&amp;"|"&amp;MAX(1,ROUND(COUNTIFS(MASTER!$B:$B,$A45,MASTER!$S:$S,"&lt;&gt;Name only")*0.5,0)),MASTER!$AI$4:$AI$1463,0))),"")))),1),"-")</f>
        <v>3926</v>
      </c>
      <c r="G45" s="33">
        <f>IFERROR(ROUND(IF($B$4="RESONANCE",IFERROR(IF(INDEX(MASTER!$I$4:$I$1463,MATCH($A45&amp;"|"&amp;MAX(1,ROUND(COUNTIFS(MASTER!$B:$B,$A45,MASTER!$S:$S,"&lt;&gt;Name only")*0.75,0)),MASTER!$Y$4:$Y$1463,0))="","",INDEX(MASTER!$I$4:$I$1463,MATCH($A45&amp;"|"&amp;MAX(1,ROUND(COUNTIFS(MASTER!$B:$B,$A45,MASTER!$S:$S,"&lt;&gt;Name only")*0.75,0)),MASTER!$Y$4:$Y$1463,0))),""),IF($B$4="COMBAT RATING",IFERROR(IF(INDEX(MASTER!$G$4:$G$1463,MATCH($A45&amp;"|"&amp;MAX(1,ROUND(COUNTIFS(MASTER!$B:$B,$A45,MASTER!$S:$S,"&lt;&gt;Name only")*0.75,0)),MASTER!$AH$4:$AH$1463,0))="","",INDEX(MASTER!$G$4:$G$1463,MATCH($A45&amp;"|"&amp;MAX(1,ROUND(COUNTIFS(MASTER!$B:$B,$A45,MASTER!$S:$S,"&lt;&gt;Name only")*0.75,0)),MASTER!$AH$4:$AH$1463,0))),""),IF($B$4="SECONDARY",IFERROR(IF(INDEX(MASTER!$L$4:$L$1463,MATCH($A45&amp;"|"&amp;MAX(1,ROUND(COUNTIFS(MASTER!$B:$B,$A45,MASTER!$S:$S,"&lt;&gt;Name only")*0.75,0)),MASTER!$AI$4:$AI$1463,0))="","",INDEX(MASTER!$L$4:$L$1463,MATCH($A45&amp;"|"&amp;MAX(1,ROUND(COUNTIFS(MASTER!$B:$B,$A45,MASTER!$S:$S,"&lt;&gt;Name only")*0.75,0)),MASTER!$AI$4:$AI$1463,0))),"")))),1),"-")</f>
        <v>2877</v>
      </c>
      <c r="H45" s="33">
        <f t="shared" si="0"/>
        <v>-509</v>
      </c>
    </row>
    <row r="46" spans="1:16">
      <c r="A46" s="18" t="s">
        <v>113</v>
      </c>
      <c r="B46" s="19" t="s">
        <v>109</v>
      </c>
      <c r="C46" s="34">
        <f>IFERROR(ROUND(AVERAGE(IF($B$4="RESONANCE",IFERROR(IF(INDEX(MASTER!$I$4:$I$1463,MATCH($A46&amp;"|"&amp;1,MASTER!$Y$4:$Y$1463,0))="","",INDEX(MASTER!$I$4:$I$1463,MATCH($A46&amp;"|"&amp;1,MASTER!$Y$4:$Y$1463,0))),""),IF($B$4="COMBAT RATING",IFERROR(IF(INDEX(MASTER!$G$4:$G$1463,MATCH($A46&amp;"|"&amp;1,MASTER!$AH$4:$AH$1463,0))="","",INDEX(MASTER!$G$4:$G$1463,MATCH($A46&amp;"|"&amp;1,MASTER!$AH$4:$AH$1463,0))),""),IF($B$4="SECONDARY",IFERROR(IF(INDEX(MASTER!$L$4:$L$1463,MATCH($A46&amp;"|"&amp;1,MASTER!$AI$4:$AI$1463,0))="","",INDEX(MASTER!$L$4:$L$1463,MATCH($A46&amp;"|"&amp;1,MASTER!$AI$4:$AI$1463,0))),"")))),IF($B$4="RESONANCE",IFERROR(IF(INDEX(MASTER!$I$4:$I$1463,MATCH($A46&amp;"|"&amp;2,MASTER!$Y$4:$Y$1463,0))="","",INDEX(MASTER!$I$4:$I$1463,MATCH($A46&amp;"|"&amp;2,MASTER!$Y$4:$Y$1463,0))),""),IF($B$4="COMBAT RATING",IFERROR(IF(INDEX(MASTER!$G$4:$G$1463,MATCH($A46&amp;"|"&amp;2,MASTER!$AH$4:$AH$1463,0))="","",INDEX(MASTER!$G$4:$G$1463,MATCH($A46&amp;"|"&amp;2,MASTER!$AH$4:$AH$1463,0))),""),IF($B$4="SECONDARY",IFERROR(IF(INDEX(MASTER!$L$4:$L$1463,MATCH($A46&amp;"|"&amp;2,MASTER!$AI$4:$AI$1463,0))="","",INDEX(MASTER!$L$4:$L$1463,MATCH($A46&amp;"|"&amp;2,MASTER!$AI$4:$AI$1463,0))),"")))),IF($B$4="RESONANCE",IFERROR(IF(INDEX(MASTER!$I$4:$I$1463,MATCH($A46&amp;"|"&amp;3,MASTER!$Y$4:$Y$1463,0))="","",INDEX(MASTER!$I$4:$I$1463,MATCH($A46&amp;"|"&amp;3,MASTER!$Y$4:$Y$1463,0))),""),IF($B$4="COMBAT RATING",IFERROR(IF(INDEX(MASTER!$G$4:$G$1463,MATCH($A46&amp;"|"&amp;3,MASTER!$AH$4:$AH$1463,0))="","",INDEX(MASTER!$G$4:$G$1463,MATCH($A46&amp;"|"&amp;3,MASTER!$AH$4:$AH$1463,0))),""),IF($B$4="SECONDARY",IFERROR(IF(INDEX(MASTER!$L$4:$L$1463,MATCH($A46&amp;"|"&amp;3,MASTER!$AI$4:$AI$1463,0))="","",INDEX(MASTER!$L$4:$L$1463,MATCH($A46&amp;"|"&amp;3,MASTER!$AI$4:$AI$1463,0))),"")))),IF($B$4="RESONANCE",IFERROR(IF(INDEX(MASTER!$I$4:$I$1463,MATCH($A46&amp;"|"&amp;4,MASTER!$Y$4:$Y$1463,0))="","",INDEX(MASTER!$I$4:$I$1463,MATCH($A46&amp;"|"&amp;4,MASTER!$Y$4:$Y$1463,0))),""),IF($B$4="COMBAT RATING",IFERROR(IF(INDEX(MASTER!$G$4:$G$1463,MATCH($A46&amp;"|"&amp;4,MASTER!$AH$4:$AH$1463,0))="","",INDEX(MASTER!$G$4:$G$1463,MATCH($A46&amp;"|"&amp;4,MASTER!$AH$4:$AH$1463,0))),""),IF($B$4="SECONDARY",IFERROR(IF(INDEX(MASTER!$L$4:$L$1463,MATCH($A46&amp;"|"&amp;4,MASTER!$AI$4:$AI$1463,0))="","",INDEX(MASTER!$L$4:$L$1463,MATCH($A46&amp;"|"&amp;4,MASTER!$AI$4:$AI$1463,0))),"")))),IF($B$4="RESONANCE",IFERROR(IF(INDEX(MASTER!$I$4:$I$1463,MATCH($A46&amp;"|"&amp;5,MASTER!$Y$4:$Y$1463,0))="","",INDEX(MASTER!$I$4:$I$1463,MATCH($A46&amp;"|"&amp;5,MASTER!$Y$4:$Y$1463,0))),""),IF($B$4="COMBAT RATING",IFERROR(IF(INDEX(MASTER!$G$4:$G$1463,MATCH($A46&amp;"|"&amp;5,MASTER!$AH$4:$AH$1463,0))="","",INDEX(MASTER!$G$4:$G$1463,MATCH($A46&amp;"|"&amp;5,MASTER!$AH$4:$AH$1463,0))),""),IF($B$4="SECONDARY",IFERROR(IF(INDEX(MASTER!$L$4:$L$1463,MATCH($A46&amp;"|"&amp;5,MASTER!$AI$4:$AI$1463,0))="","",INDEX(MASTER!$L$4:$L$1463,MATCH($A46&amp;"|"&amp;5,MASTER!$AI$4:$AI$1463,0))),""))))),1),"-")</f>
        <v>8520.2000000000007</v>
      </c>
      <c r="D46" s="34">
        <f>IFERROR(ROUND(IF($B$4="RESONANCE",IFERROR(IF(INDEX(MASTER!$I$4:$I$1463,MATCH($A46&amp;"|"&amp;MAX(1,ROUND(COUNTIFS(MASTER!$B:$B,$A46,MASTER!$S:$S,"&lt;&gt;Name only")*0.1,0)),MASTER!$Y$4:$Y$1463,0))="","",INDEX(MASTER!$I$4:$I$1463,MATCH($A46&amp;"|"&amp;MAX(1,ROUND(COUNTIFS(MASTER!$B:$B,$A46,MASTER!$S:$S,"&lt;&gt;Name only")*0.1,0)),MASTER!$Y$4:$Y$1463,0))),""),IF($B$4="COMBAT RATING",IFERROR(IF(INDEX(MASTER!$G$4:$G$1463,MATCH($A46&amp;"|"&amp;MAX(1,ROUND(COUNTIFS(MASTER!$B:$B,$A46,MASTER!$S:$S,"&lt;&gt;Name only")*0.1,0)),MASTER!$AH$4:$AH$1463,0))="","",INDEX(MASTER!$G$4:$G$1463,MATCH($A46&amp;"|"&amp;MAX(1,ROUND(COUNTIFS(MASTER!$B:$B,$A46,MASTER!$S:$S,"&lt;&gt;Name only")*0.1,0)),MASTER!$AH$4:$AH$1463,0))),""),IF($B$4="SECONDARY",IFERROR(IF(INDEX(MASTER!$L$4:$L$1463,MATCH($A46&amp;"|"&amp;MAX(1,ROUND(COUNTIFS(MASTER!$B:$B,$A46,MASTER!$S:$S,"&lt;&gt;Name only")*0.1,0)),MASTER!$AI$4:$AI$1463,0))="","",INDEX(MASTER!$L$4:$L$1463,MATCH($A46&amp;"|"&amp;MAX(1,ROUND(COUNTIFS(MASTER!$B:$B,$A46,MASTER!$S:$S,"&lt;&gt;Name only")*0.1,0)),MASTER!$AI$4:$AI$1463,0))),"")))),1),"-")</f>
        <v>5758</v>
      </c>
      <c r="E46" s="34">
        <f>IFERROR(ROUND(IF($B$4="RESONANCE",IFERROR(IF(INDEX(MASTER!$I$4:$I$1463,MATCH($A46&amp;"|"&amp;MAX(1,ROUND(COUNTIFS(MASTER!$B:$B,$A46,MASTER!$S:$S,"&lt;&gt;Name only")*0.25,0)),MASTER!$Y$4:$Y$1463,0))="","",INDEX(MASTER!$I$4:$I$1463,MATCH($A46&amp;"|"&amp;MAX(1,ROUND(COUNTIFS(MASTER!$B:$B,$A46,MASTER!$S:$S,"&lt;&gt;Name only")*0.25,0)),MASTER!$Y$4:$Y$1463,0))),""),IF($B$4="COMBAT RATING",IFERROR(IF(INDEX(MASTER!$G$4:$G$1463,MATCH($A46&amp;"|"&amp;MAX(1,ROUND(COUNTIFS(MASTER!$B:$B,$A46,MASTER!$S:$S,"&lt;&gt;Name only")*0.25,0)),MASTER!$AH$4:$AH$1463,0))="","",INDEX(MASTER!$G$4:$G$1463,MATCH($A46&amp;"|"&amp;MAX(1,ROUND(COUNTIFS(MASTER!$B:$B,$A46,MASTER!$S:$S,"&lt;&gt;Name only")*0.25,0)),MASTER!$AH$4:$AH$1463,0))),""),IF($B$4="SECONDARY",IFERROR(IF(INDEX(MASTER!$L$4:$L$1463,MATCH($A46&amp;"|"&amp;MAX(1,ROUND(COUNTIFS(MASTER!$B:$B,$A46,MASTER!$S:$S,"&lt;&gt;Name only")*0.25,0)),MASTER!$AI$4:$AI$1463,0))="","",INDEX(MASTER!$L$4:$L$1463,MATCH($A46&amp;"|"&amp;MAX(1,ROUND(COUNTIFS(MASTER!$B:$B,$A46,MASTER!$S:$S,"&lt;&gt;Name only")*0.25,0)),MASTER!$AI$4:$AI$1463,0))),"")))),1),"-")</f>
        <v>4113</v>
      </c>
      <c r="F46" s="34">
        <f>IFERROR(ROUND(IF($B$4="RESONANCE",IFERROR(IF(INDEX(MASTER!$I$4:$I$1463,MATCH($A46&amp;"|"&amp;MAX(1,ROUND(COUNTIFS(MASTER!$B:$B,$A46,MASTER!$S:$S,"&lt;&gt;Name only")*0.5,0)),MASTER!$Y$4:$Y$1463,0))="","",INDEX(MASTER!$I$4:$I$1463,MATCH($A46&amp;"|"&amp;MAX(1,ROUND(COUNTIFS(MASTER!$B:$B,$A46,MASTER!$S:$S,"&lt;&gt;Name only")*0.5,0)),MASTER!$Y$4:$Y$1463,0))),""),IF($B$4="COMBAT RATING",IFERROR(IF(INDEX(MASTER!$G$4:$G$1463,MATCH($A46&amp;"|"&amp;MAX(1,ROUND(COUNTIFS(MASTER!$B:$B,$A46,MASTER!$S:$S,"&lt;&gt;Name only")*0.5,0)),MASTER!$AH$4:$AH$1463,0))="","",INDEX(MASTER!$G$4:$G$1463,MATCH($A46&amp;"|"&amp;MAX(1,ROUND(COUNTIFS(MASTER!$B:$B,$A46,MASTER!$S:$S,"&lt;&gt;Name only")*0.5,0)),MASTER!$AH$4:$AH$1463,0))),""),IF($B$4="SECONDARY",IFERROR(IF(INDEX(MASTER!$L$4:$L$1463,MATCH($A46&amp;"|"&amp;MAX(1,ROUND(COUNTIFS(MASTER!$B:$B,$A46,MASTER!$S:$S,"&lt;&gt;Name only")*0.5,0)),MASTER!$AI$4:$AI$1463,0))="","",INDEX(MASTER!$L$4:$L$1463,MATCH($A46&amp;"|"&amp;MAX(1,ROUND(COUNTIFS(MASTER!$B:$B,$A46,MASTER!$S:$S,"&lt;&gt;Name only")*0.5,0)),MASTER!$AI$4:$AI$1463,0))),"")))),1),"-")</f>
        <v>3040</v>
      </c>
      <c r="G46" s="34">
        <f>IFERROR(ROUND(IF($B$4="RESONANCE",IFERROR(IF(INDEX(MASTER!$I$4:$I$1463,MATCH($A46&amp;"|"&amp;MAX(1,ROUND(COUNTIFS(MASTER!$B:$B,$A46,MASTER!$S:$S,"&lt;&gt;Name only")*0.75,0)),MASTER!$Y$4:$Y$1463,0))="","",INDEX(MASTER!$I$4:$I$1463,MATCH($A46&amp;"|"&amp;MAX(1,ROUND(COUNTIFS(MASTER!$B:$B,$A46,MASTER!$S:$S,"&lt;&gt;Name only")*0.75,0)),MASTER!$Y$4:$Y$1463,0))),""),IF($B$4="COMBAT RATING",IFERROR(IF(INDEX(MASTER!$G$4:$G$1463,MATCH($A46&amp;"|"&amp;MAX(1,ROUND(COUNTIFS(MASTER!$B:$B,$A46,MASTER!$S:$S,"&lt;&gt;Name only")*0.75,0)),MASTER!$AH$4:$AH$1463,0))="","",INDEX(MASTER!$G$4:$G$1463,MATCH($A46&amp;"|"&amp;MAX(1,ROUND(COUNTIFS(MASTER!$B:$B,$A46,MASTER!$S:$S,"&lt;&gt;Name only")*0.75,0)),MASTER!$AH$4:$AH$1463,0))),""),IF($B$4="SECONDARY",IFERROR(IF(INDEX(MASTER!$L$4:$L$1463,MATCH($A46&amp;"|"&amp;MAX(1,ROUND(COUNTIFS(MASTER!$B:$B,$A46,MASTER!$S:$S,"&lt;&gt;Name only")*0.75,0)),MASTER!$AI$4:$AI$1463,0))="","",INDEX(MASTER!$L$4:$L$1463,MATCH($A46&amp;"|"&amp;MAX(1,ROUND(COUNTIFS(MASTER!$B:$B,$A46,MASTER!$S:$S,"&lt;&gt;Name only")*0.75,0)),MASTER!$AI$4:$AI$1463,0))),"")))),1),"-")</f>
        <v>2234</v>
      </c>
      <c r="H46" s="34">
        <f t="shared" si="0"/>
        <v>-1395</v>
      </c>
    </row>
    <row r="47" spans="1:16">
      <c r="A47" s="14" t="s">
        <v>114</v>
      </c>
      <c r="B47" s="15" t="s">
        <v>109</v>
      </c>
      <c r="C47" s="33">
        <f>IFERROR(ROUND(AVERAGE(IF($B$4="RESONANCE",IFERROR(IF(INDEX(MASTER!$I$4:$I$1463,MATCH($A47&amp;"|"&amp;1,MASTER!$Y$4:$Y$1463,0))="","",INDEX(MASTER!$I$4:$I$1463,MATCH($A47&amp;"|"&amp;1,MASTER!$Y$4:$Y$1463,0))),""),IF($B$4="COMBAT RATING",IFERROR(IF(INDEX(MASTER!$G$4:$G$1463,MATCH($A47&amp;"|"&amp;1,MASTER!$AH$4:$AH$1463,0))="","",INDEX(MASTER!$G$4:$G$1463,MATCH($A47&amp;"|"&amp;1,MASTER!$AH$4:$AH$1463,0))),""),IF($B$4="SECONDARY",IFERROR(IF(INDEX(MASTER!$L$4:$L$1463,MATCH($A47&amp;"|"&amp;1,MASTER!$AI$4:$AI$1463,0))="","",INDEX(MASTER!$L$4:$L$1463,MATCH($A47&amp;"|"&amp;1,MASTER!$AI$4:$AI$1463,0))),"")))),IF($B$4="RESONANCE",IFERROR(IF(INDEX(MASTER!$I$4:$I$1463,MATCH($A47&amp;"|"&amp;2,MASTER!$Y$4:$Y$1463,0))="","",INDEX(MASTER!$I$4:$I$1463,MATCH($A47&amp;"|"&amp;2,MASTER!$Y$4:$Y$1463,0))),""),IF($B$4="COMBAT RATING",IFERROR(IF(INDEX(MASTER!$G$4:$G$1463,MATCH($A47&amp;"|"&amp;2,MASTER!$AH$4:$AH$1463,0))="","",INDEX(MASTER!$G$4:$G$1463,MATCH($A47&amp;"|"&amp;2,MASTER!$AH$4:$AH$1463,0))),""),IF($B$4="SECONDARY",IFERROR(IF(INDEX(MASTER!$L$4:$L$1463,MATCH($A47&amp;"|"&amp;2,MASTER!$AI$4:$AI$1463,0))="","",INDEX(MASTER!$L$4:$L$1463,MATCH($A47&amp;"|"&amp;2,MASTER!$AI$4:$AI$1463,0))),"")))),IF($B$4="RESONANCE",IFERROR(IF(INDEX(MASTER!$I$4:$I$1463,MATCH($A47&amp;"|"&amp;3,MASTER!$Y$4:$Y$1463,0))="","",INDEX(MASTER!$I$4:$I$1463,MATCH($A47&amp;"|"&amp;3,MASTER!$Y$4:$Y$1463,0))),""),IF($B$4="COMBAT RATING",IFERROR(IF(INDEX(MASTER!$G$4:$G$1463,MATCH($A47&amp;"|"&amp;3,MASTER!$AH$4:$AH$1463,0))="","",INDEX(MASTER!$G$4:$G$1463,MATCH($A47&amp;"|"&amp;3,MASTER!$AH$4:$AH$1463,0))),""),IF($B$4="SECONDARY",IFERROR(IF(INDEX(MASTER!$L$4:$L$1463,MATCH($A47&amp;"|"&amp;3,MASTER!$AI$4:$AI$1463,0))="","",INDEX(MASTER!$L$4:$L$1463,MATCH($A47&amp;"|"&amp;3,MASTER!$AI$4:$AI$1463,0))),"")))),IF($B$4="RESONANCE",IFERROR(IF(INDEX(MASTER!$I$4:$I$1463,MATCH($A47&amp;"|"&amp;4,MASTER!$Y$4:$Y$1463,0))="","",INDEX(MASTER!$I$4:$I$1463,MATCH($A47&amp;"|"&amp;4,MASTER!$Y$4:$Y$1463,0))),""),IF($B$4="COMBAT RATING",IFERROR(IF(INDEX(MASTER!$G$4:$G$1463,MATCH($A47&amp;"|"&amp;4,MASTER!$AH$4:$AH$1463,0))="","",INDEX(MASTER!$G$4:$G$1463,MATCH($A47&amp;"|"&amp;4,MASTER!$AH$4:$AH$1463,0))),""),IF($B$4="SECONDARY",IFERROR(IF(INDEX(MASTER!$L$4:$L$1463,MATCH($A47&amp;"|"&amp;4,MASTER!$AI$4:$AI$1463,0))="","",INDEX(MASTER!$L$4:$L$1463,MATCH($A47&amp;"|"&amp;4,MASTER!$AI$4:$AI$1463,0))),"")))),IF($B$4="RESONANCE",IFERROR(IF(INDEX(MASTER!$I$4:$I$1463,MATCH($A47&amp;"|"&amp;5,MASTER!$Y$4:$Y$1463,0))="","",INDEX(MASTER!$I$4:$I$1463,MATCH($A47&amp;"|"&amp;5,MASTER!$Y$4:$Y$1463,0))),""),IF($B$4="COMBAT RATING",IFERROR(IF(INDEX(MASTER!$G$4:$G$1463,MATCH($A47&amp;"|"&amp;5,MASTER!$AH$4:$AH$1463,0))="","",INDEX(MASTER!$G$4:$G$1463,MATCH($A47&amp;"|"&amp;5,MASTER!$AH$4:$AH$1463,0))),""),IF($B$4="SECONDARY",IFERROR(IF(INDEX(MASTER!$L$4:$L$1463,MATCH($A47&amp;"|"&amp;5,MASTER!$AI$4:$AI$1463,0))="","",INDEX(MASTER!$L$4:$L$1463,MATCH($A47&amp;"|"&amp;5,MASTER!$AI$4:$AI$1463,0))),""))))),1),"-")</f>
        <v>4962.3999999999996</v>
      </c>
      <c r="D47" s="33">
        <f>IFERROR(ROUND(IF($B$4="RESONANCE",IFERROR(IF(INDEX(MASTER!$I$4:$I$1463,MATCH($A47&amp;"|"&amp;MAX(1,ROUND(COUNTIFS(MASTER!$B:$B,$A47,MASTER!$S:$S,"&lt;&gt;Name only")*0.1,0)),MASTER!$Y$4:$Y$1463,0))="","",INDEX(MASTER!$I$4:$I$1463,MATCH($A47&amp;"|"&amp;MAX(1,ROUND(COUNTIFS(MASTER!$B:$B,$A47,MASTER!$S:$S,"&lt;&gt;Name only")*0.1,0)),MASTER!$Y$4:$Y$1463,0))),""),IF($B$4="COMBAT RATING",IFERROR(IF(INDEX(MASTER!$G$4:$G$1463,MATCH($A47&amp;"|"&amp;MAX(1,ROUND(COUNTIFS(MASTER!$B:$B,$A47,MASTER!$S:$S,"&lt;&gt;Name only")*0.1,0)),MASTER!$AH$4:$AH$1463,0))="","",INDEX(MASTER!$G$4:$G$1463,MATCH($A47&amp;"|"&amp;MAX(1,ROUND(COUNTIFS(MASTER!$B:$B,$A47,MASTER!$S:$S,"&lt;&gt;Name only")*0.1,0)),MASTER!$AH$4:$AH$1463,0))),""),IF($B$4="SECONDARY",IFERROR(IF(INDEX(MASTER!$L$4:$L$1463,MATCH($A47&amp;"|"&amp;MAX(1,ROUND(COUNTIFS(MASTER!$B:$B,$A47,MASTER!$S:$S,"&lt;&gt;Name only")*0.1,0)),MASTER!$AI$4:$AI$1463,0))="","",INDEX(MASTER!$L$4:$L$1463,MATCH($A47&amp;"|"&amp;MAX(1,ROUND(COUNTIFS(MASTER!$B:$B,$A47,MASTER!$S:$S,"&lt;&gt;Name only")*0.1,0)),MASTER!$AI$4:$AI$1463,0))),"")))),1),"-")</f>
        <v>4233</v>
      </c>
      <c r="E47" s="33">
        <f>IFERROR(ROUND(IF($B$4="RESONANCE",IFERROR(IF(INDEX(MASTER!$I$4:$I$1463,MATCH($A47&amp;"|"&amp;MAX(1,ROUND(COUNTIFS(MASTER!$B:$B,$A47,MASTER!$S:$S,"&lt;&gt;Name only")*0.25,0)),MASTER!$Y$4:$Y$1463,0))="","",INDEX(MASTER!$I$4:$I$1463,MATCH($A47&amp;"|"&amp;MAX(1,ROUND(COUNTIFS(MASTER!$B:$B,$A47,MASTER!$S:$S,"&lt;&gt;Name only")*0.25,0)),MASTER!$Y$4:$Y$1463,0))),""),IF($B$4="COMBAT RATING",IFERROR(IF(INDEX(MASTER!$G$4:$G$1463,MATCH($A47&amp;"|"&amp;MAX(1,ROUND(COUNTIFS(MASTER!$B:$B,$A47,MASTER!$S:$S,"&lt;&gt;Name only")*0.25,0)),MASTER!$AH$4:$AH$1463,0))="","",INDEX(MASTER!$G$4:$G$1463,MATCH($A47&amp;"|"&amp;MAX(1,ROUND(COUNTIFS(MASTER!$B:$B,$A47,MASTER!$S:$S,"&lt;&gt;Name only")*0.25,0)),MASTER!$AH$4:$AH$1463,0))),""),IF($B$4="SECONDARY",IFERROR(IF(INDEX(MASTER!$L$4:$L$1463,MATCH($A47&amp;"|"&amp;MAX(1,ROUND(COUNTIFS(MASTER!$B:$B,$A47,MASTER!$S:$S,"&lt;&gt;Name only")*0.25,0)),MASTER!$AI$4:$AI$1463,0))="","",INDEX(MASTER!$L$4:$L$1463,MATCH($A47&amp;"|"&amp;MAX(1,ROUND(COUNTIFS(MASTER!$B:$B,$A47,MASTER!$S:$S,"&lt;&gt;Name only")*0.25,0)),MASTER!$AI$4:$AI$1463,0))),"")))),1),"-")</f>
        <v>3019</v>
      </c>
      <c r="F47" s="33">
        <f>IFERROR(ROUND(IF($B$4="RESONANCE",IFERROR(IF(INDEX(MASTER!$I$4:$I$1463,MATCH($A47&amp;"|"&amp;MAX(1,ROUND(COUNTIFS(MASTER!$B:$B,$A47,MASTER!$S:$S,"&lt;&gt;Name only")*0.5,0)),MASTER!$Y$4:$Y$1463,0))="","",INDEX(MASTER!$I$4:$I$1463,MATCH($A47&amp;"|"&amp;MAX(1,ROUND(COUNTIFS(MASTER!$B:$B,$A47,MASTER!$S:$S,"&lt;&gt;Name only")*0.5,0)),MASTER!$Y$4:$Y$1463,0))),""),IF($B$4="COMBAT RATING",IFERROR(IF(INDEX(MASTER!$G$4:$G$1463,MATCH($A47&amp;"|"&amp;MAX(1,ROUND(COUNTIFS(MASTER!$B:$B,$A47,MASTER!$S:$S,"&lt;&gt;Name only")*0.5,0)),MASTER!$AH$4:$AH$1463,0))="","",INDEX(MASTER!$G$4:$G$1463,MATCH($A47&amp;"|"&amp;MAX(1,ROUND(COUNTIFS(MASTER!$B:$B,$A47,MASTER!$S:$S,"&lt;&gt;Name only")*0.5,0)),MASTER!$AH$4:$AH$1463,0))),""),IF($B$4="SECONDARY",IFERROR(IF(INDEX(MASTER!$L$4:$L$1463,MATCH($A47&amp;"|"&amp;MAX(1,ROUND(COUNTIFS(MASTER!$B:$B,$A47,MASTER!$S:$S,"&lt;&gt;Name only")*0.5,0)),MASTER!$AI$4:$AI$1463,0))="","",INDEX(MASTER!$L$4:$L$1463,MATCH($A47&amp;"|"&amp;MAX(1,ROUND(COUNTIFS(MASTER!$B:$B,$A47,MASTER!$S:$S,"&lt;&gt;Name only")*0.5,0)),MASTER!$AI$4:$AI$1463,0))),"")))),1),"-")</f>
        <v>2180</v>
      </c>
      <c r="G47" s="33">
        <f>IFERROR(ROUND(IF($B$4="RESONANCE",IFERROR(IF(INDEX(MASTER!$I$4:$I$1463,MATCH($A47&amp;"|"&amp;MAX(1,ROUND(COUNTIFS(MASTER!$B:$B,$A47,MASTER!$S:$S,"&lt;&gt;Name only")*0.75,0)),MASTER!$Y$4:$Y$1463,0))="","",INDEX(MASTER!$I$4:$I$1463,MATCH($A47&amp;"|"&amp;MAX(1,ROUND(COUNTIFS(MASTER!$B:$B,$A47,MASTER!$S:$S,"&lt;&gt;Name only")*0.75,0)),MASTER!$Y$4:$Y$1463,0))),""),IF($B$4="COMBAT RATING",IFERROR(IF(INDEX(MASTER!$G$4:$G$1463,MATCH($A47&amp;"|"&amp;MAX(1,ROUND(COUNTIFS(MASTER!$B:$B,$A47,MASTER!$S:$S,"&lt;&gt;Name only")*0.75,0)),MASTER!$AH$4:$AH$1463,0))="","",INDEX(MASTER!$G$4:$G$1463,MATCH($A47&amp;"|"&amp;MAX(1,ROUND(COUNTIFS(MASTER!$B:$B,$A47,MASTER!$S:$S,"&lt;&gt;Name only")*0.75,0)),MASTER!$AH$4:$AH$1463,0))),""),IF($B$4="SECONDARY",IFERROR(IF(INDEX(MASTER!$L$4:$L$1463,MATCH($A47&amp;"|"&amp;MAX(1,ROUND(COUNTIFS(MASTER!$B:$B,$A47,MASTER!$S:$S,"&lt;&gt;Name only")*0.75,0)),MASTER!$AI$4:$AI$1463,0))="","",INDEX(MASTER!$L$4:$L$1463,MATCH($A47&amp;"|"&amp;MAX(1,ROUND(COUNTIFS(MASTER!$B:$B,$A47,MASTER!$S:$S,"&lt;&gt;Name only")*0.75,0)),MASTER!$AI$4:$AI$1463,0))),"")))),1),"-")</f>
        <v>1430</v>
      </c>
      <c r="H47" s="33">
        <f t="shared" si="0"/>
        <v>-2255</v>
      </c>
    </row>
    <row r="48" spans="1:16">
      <c r="A48" s="18" t="s">
        <v>115</v>
      </c>
      <c r="B48" s="19" t="s">
        <v>109</v>
      </c>
      <c r="C48" s="34">
        <f>IFERROR(ROUND(AVERAGE(IF($B$4="RESONANCE",IFERROR(IF(INDEX(MASTER!$I$4:$I$1463,MATCH($A48&amp;"|"&amp;1,MASTER!$Y$4:$Y$1463,0))="","",INDEX(MASTER!$I$4:$I$1463,MATCH($A48&amp;"|"&amp;1,MASTER!$Y$4:$Y$1463,0))),""),IF($B$4="COMBAT RATING",IFERROR(IF(INDEX(MASTER!$G$4:$G$1463,MATCH($A48&amp;"|"&amp;1,MASTER!$AH$4:$AH$1463,0))="","",INDEX(MASTER!$G$4:$G$1463,MATCH($A48&amp;"|"&amp;1,MASTER!$AH$4:$AH$1463,0))),""),IF($B$4="SECONDARY",IFERROR(IF(INDEX(MASTER!$L$4:$L$1463,MATCH($A48&amp;"|"&amp;1,MASTER!$AI$4:$AI$1463,0))="","",INDEX(MASTER!$L$4:$L$1463,MATCH($A48&amp;"|"&amp;1,MASTER!$AI$4:$AI$1463,0))),"")))),IF($B$4="RESONANCE",IFERROR(IF(INDEX(MASTER!$I$4:$I$1463,MATCH($A48&amp;"|"&amp;2,MASTER!$Y$4:$Y$1463,0))="","",INDEX(MASTER!$I$4:$I$1463,MATCH($A48&amp;"|"&amp;2,MASTER!$Y$4:$Y$1463,0))),""),IF($B$4="COMBAT RATING",IFERROR(IF(INDEX(MASTER!$G$4:$G$1463,MATCH($A48&amp;"|"&amp;2,MASTER!$AH$4:$AH$1463,0))="","",INDEX(MASTER!$G$4:$G$1463,MATCH($A48&amp;"|"&amp;2,MASTER!$AH$4:$AH$1463,0))),""),IF($B$4="SECONDARY",IFERROR(IF(INDEX(MASTER!$L$4:$L$1463,MATCH($A48&amp;"|"&amp;2,MASTER!$AI$4:$AI$1463,0))="","",INDEX(MASTER!$L$4:$L$1463,MATCH($A48&amp;"|"&amp;2,MASTER!$AI$4:$AI$1463,0))),"")))),IF($B$4="RESONANCE",IFERROR(IF(INDEX(MASTER!$I$4:$I$1463,MATCH($A48&amp;"|"&amp;3,MASTER!$Y$4:$Y$1463,0))="","",INDEX(MASTER!$I$4:$I$1463,MATCH($A48&amp;"|"&amp;3,MASTER!$Y$4:$Y$1463,0))),""),IF($B$4="COMBAT RATING",IFERROR(IF(INDEX(MASTER!$G$4:$G$1463,MATCH($A48&amp;"|"&amp;3,MASTER!$AH$4:$AH$1463,0))="","",INDEX(MASTER!$G$4:$G$1463,MATCH($A48&amp;"|"&amp;3,MASTER!$AH$4:$AH$1463,0))),""),IF($B$4="SECONDARY",IFERROR(IF(INDEX(MASTER!$L$4:$L$1463,MATCH($A48&amp;"|"&amp;3,MASTER!$AI$4:$AI$1463,0))="","",INDEX(MASTER!$L$4:$L$1463,MATCH($A48&amp;"|"&amp;3,MASTER!$AI$4:$AI$1463,0))),"")))),IF($B$4="RESONANCE",IFERROR(IF(INDEX(MASTER!$I$4:$I$1463,MATCH($A48&amp;"|"&amp;4,MASTER!$Y$4:$Y$1463,0))="","",INDEX(MASTER!$I$4:$I$1463,MATCH($A48&amp;"|"&amp;4,MASTER!$Y$4:$Y$1463,0))),""),IF($B$4="COMBAT RATING",IFERROR(IF(INDEX(MASTER!$G$4:$G$1463,MATCH($A48&amp;"|"&amp;4,MASTER!$AH$4:$AH$1463,0))="","",INDEX(MASTER!$G$4:$G$1463,MATCH($A48&amp;"|"&amp;4,MASTER!$AH$4:$AH$1463,0))),""),IF($B$4="SECONDARY",IFERROR(IF(INDEX(MASTER!$L$4:$L$1463,MATCH($A48&amp;"|"&amp;4,MASTER!$AI$4:$AI$1463,0))="","",INDEX(MASTER!$L$4:$L$1463,MATCH($A48&amp;"|"&amp;4,MASTER!$AI$4:$AI$1463,0))),"")))),IF($B$4="RESONANCE",IFERROR(IF(INDEX(MASTER!$I$4:$I$1463,MATCH($A48&amp;"|"&amp;5,MASTER!$Y$4:$Y$1463,0))="","",INDEX(MASTER!$I$4:$I$1463,MATCH($A48&amp;"|"&amp;5,MASTER!$Y$4:$Y$1463,0))),""),IF($B$4="COMBAT RATING",IFERROR(IF(INDEX(MASTER!$G$4:$G$1463,MATCH($A48&amp;"|"&amp;5,MASTER!$AH$4:$AH$1463,0))="","",INDEX(MASTER!$G$4:$G$1463,MATCH($A48&amp;"|"&amp;5,MASTER!$AH$4:$AH$1463,0))),""),IF($B$4="SECONDARY",IFERROR(IF(INDEX(MASTER!$L$4:$L$1463,MATCH($A48&amp;"|"&amp;5,MASTER!$AI$4:$AI$1463,0))="","",INDEX(MASTER!$L$4:$L$1463,MATCH($A48&amp;"|"&amp;5,MASTER!$AI$4:$AI$1463,0))),""))))),1),"-")</f>
        <v>9145.6</v>
      </c>
      <c r="D48" s="34">
        <f>IFERROR(ROUND(IF($B$4="RESONANCE",IFERROR(IF(INDEX(MASTER!$I$4:$I$1463,MATCH($A48&amp;"|"&amp;MAX(1,ROUND(COUNTIFS(MASTER!$B:$B,$A48,MASTER!$S:$S,"&lt;&gt;Name only")*0.1,0)),MASTER!$Y$4:$Y$1463,0))="","",INDEX(MASTER!$I$4:$I$1463,MATCH($A48&amp;"|"&amp;MAX(1,ROUND(COUNTIFS(MASTER!$B:$B,$A48,MASTER!$S:$S,"&lt;&gt;Name only")*0.1,0)),MASTER!$Y$4:$Y$1463,0))),""),IF($B$4="COMBAT RATING",IFERROR(IF(INDEX(MASTER!$G$4:$G$1463,MATCH($A48&amp;"|"&amp;MAX(1,ROUND(COUNTIFS(MASTER!$B:$B,$A48,MASTER!$S:$S,"&lt;&gt;Name only")*0.1,0)),MASTER!$AH$4:$AH$1463,0))="","",INDEX(MASTER!$G$4:$G$1463,MATCH($A48&amp;"|"&amp;MAX(1,ROUND(COUNTIFS(MASTER!$B:$B,$A48,MASTER!$S:$S,"&lt;&gt;Name only")*0.1,0)),MASTER!$AH$4:$AH$1463,0))),""),IF($B$4="SECONDARY",IFERROR(IF(INDEX(MASTER!$L$4:$L$1463,MATCH($A48&amp;"|"&amp;MAX(1,ROUND(COUNTIFS(MASTER!$B:$B,$A48,MASTER!$S:$S,"&lt;&gt;Name only")*0.1,0)),MASTER!$AI$4:$AI$1463,0))="","",INDEX(MASTER!$L$4:$L$1463,MATCH($A48&amp;"|"&amp;MAX(1,ROUND(COUNTIFS(MASTER!$B:$B,$A48,MASTER!$S:$S,"&lt;&gt;Name only")*0.1,0)),MASTER!$AI$4:$AI$1463,0))),"")))),1),"-")</f>
        <v>6165</v>
      </c>
      <c r="E48" s="34">
        <f>IFERROR(ROUND(IF($B$4="RESONANCE",IFERROR(IF(INDEX(MASTER!$I$4:$I$1463,MATCH($A48&amp;"|"&amp;MAX(1,ROUND(COUNTIFS(MASTER!$B:$B,$A48,MASTER!$S:$S,"&lt;&gt;Name only")*0.25,0)),MASTER!$Y$4:$Y$1463,0))="","",INDEX(MASTER!$I$4:$I$1463,MATCH($A48&amp;"|"&amp;MAX(1,ROUND(COUNTIFS(MASTER!$B:$B,$A48,MASTER!$S:$S,"&lt;&gt;Name only")*0.25,0)),MASTER!$Y$4:$Y$1463,0))),""),IF($B$4="COMBAT RATING",IFERROR(IF(INDEX(MASTER!$G$4:$G$1463,MATCH($A48&amp;"|"&amp;MAX(1,ROUND(COUNTIFS(MASTER!$B:$B,$A48,MASTER!$S:$S,"&lt;&gt;Name only")*0.25,0)),MASTER!$AH$4:$AH$1463,0))="","",INDEX(MASTER!$G$4:$G$1463,MATCH($A48&amp;"|"&amp;MAX(1,ROUND(COUNTIFS(MASTER!$B:$B,$A48,MASTER!$S:$S,"&lt;&gt;Name only")*0.25,0)),MASTER!$AH$4:$AH$1463,0))),""),IF($B$4="SECONDARY",IFERROR(IF(INDEX(MASTER!$L$4:$L$1463,MATCH($A48&amp;"|"&amp;MAX(1,ROUND(COUNTIFS(MASTER!$B:$B,$A48,MASTER!$S:$S,"&lt;&gt;Name only")*0.25,0)),MASTER!$AI$4:$AI$1463,0))="","",INDEX(MASTER!$L$4:$L$1463,MATCH($A48&amp;"|"&amp;MAX(1,ROUND(COUNTIFS(MASTER!$B:$B,$A48,MASTER!$S:$S,"&lt;&gt;Name only")*0.25,0)),MASTER!$AI$4:$AI$1463,0))),"")))),1),"-")</f>
        <v>3924</v>
      </c>
      <c r="F48" s="34">
        <f>IFERROR(ROUND(IF($B$4="RESONANCE",IFERROR(IF(INDEX(MASTER!$I$4:$I$1463,MATCH($A48&amp;"|"&amp;MAX(1,ROUND(COUNTIFS(MASTER!$B:$B,$A48,MASTER!$S:$S,"&lt;&gt;Name only")*0.5,0)),MASTER!$Y$4:$Y$1463,0))="","",INDEX(MASTER!$I$4:$I$1463,MATCH($A48&amp;"|"&amp;MAX(1,ROUND(COUNTIFS(MASTER!$B:$B,$A48,MASTER!$S:$S,"&lt;&gt;Name only")*0.5,0)),MASTER!$Y$4:$Y$1463,0))),""),IF($B$4="COMBAT RATING",IFERROR(IF(INDEX(MASTER!$G$4:$G$1463,MATCH($A48&amp;"|"&amp;MAX(1,ROUND(COUNTIFS(MASTER!$B:$B,$A48,MASTER!$S:$S,"&lt;&gt;Name only")*0.5,0)),MASTER!$AH$4:$AH$1463,0))="","",INDEX(MASTER!$G$4:$G$1463,MATCH($A48&amp;"|"&amp;MAX(1,ROUND(COUNTIFS(MASTER!$B:$B,$A48,MASTER!$S:$S,"&lt;&gt;Name only")*0.5,0)),MASTER!$AH$4:$AH$1463,0))),""),IF($B$4="SECONDARY",IFERROR(IF(INDEX(MASTER!$L$4:$L$1463,MATCH($A48&amp;"|"&amp;MAX(1,ROUND(COUNTIFS(MASTER!$B:$B,$A48,MASTER!$S:$S,"&lt;&gt;Name only")*0.5,0)),MASTER!$AI$4:$AI$1463,0))="","",INDEX(MASTER!$L$4:$L$1463,MATCH($A48&amp;"|"&amp;MAX(1,ROUND(COUNTIFS(MASTER!$B:$B,$A48,MASTER!$S:$S,"&lt;&gt;Name only")*0.5,0)),MASTER!$AI$4:$AI$1463,0))),"")))),1),"-")</f>
        <v>2554</v>
      </c>
      <c r="G48" s="34">
        <f>IFERROR(ROUND(IF($B$4="RESONANCE",IFERROR(IF(INDEX(MASTER!$I$4:$I$1463,MATCH($A48&amp;"|"&amp;MAX(1,ROUND(COUNTIFS(MASTER!$B:$B,$A48,MASTER!$S:$S,"&lt;&gt;Name only")*0.75,0)),MASTER!$Y$4:$Y$1463,0))="","",INDEX(MASTER!$I$4:$I$1463,MATCH($A48&amp;"|"&amp;MAX(1,ROUND(COUNTIFS(MASTER!$B:$B,$A48,MASTER!$S:$S,"&lt;&gt;Name only")*0.75,0)),MASTER!$Y$4:$Y$1463,0))),""),IF($B$4="COMBAT RATING",IFERROR(IF(INDEX(MASTER!$G$4:$G$1463,MATCH($A48&amp;"|"&amp;MAX(1,ROUND(COUNTIFS(MASTER!$B:$B,$A48,MASTER!$S:$S,"&lt;&gt;Name only")*0.75,0)),MASTER!$AH$4:$AH$1463,0))="","",INDEX(MASTER!$G$4:$G$1463,MATCH($A48&amp;"|"&amp;MAX(1,ROUND(COUNTIFS(MASTER!$B:$B,$A48,MASTER!$S:$S,"&lt;&gt;Name only")*0.75,0)),MASTER!$AH$4:$AH$1463,0))),""),IF($B$4="SECONDARY",IFERROR(IF(INDEX(MASTER!$L$4:$L$1463,MATCH($A48&amp;"|"&amp;MAX(1,ROUND(COUNTIFS(MASTER!$B:$B,$A48,MASTER!$S:$S,"&lt;&gt;Name only")*0.75,0)),MASTER!$AI$4:$AI$1463,0))="","",INDEX(MASTER!$L$4:$L$1463,MATCH($A48&amp;"|"&amp;MAX(1,ROUND(COUNTIFS(MASTER!$B:$B,$A48,MASTER!$S:$S,"&lt;&gt;Name only")*0.75,0)),MASTER!$AI$4:$AI$1463,0))),"")))),1),"-")</f>
        <v>1533</v>
      </c>
      <c r="H48" s="34">
        <f t="shared" si="0"/>
        <v>-1881</v>
      </c>
    </row>
    <row r="49" spans="1:17">
      <c r="A49" s="14" t="s">
        <v>116</v>
      </c>
      <c r="B49" s="15" t="s">
        <v>109</v>
      </c>
      <c r="C49" s="33">
        <f>IFERROR(ROUND(AVERAGE(IF($B$4="RESONANCE",IFERROR(IF(INDEX(MASTER!$I$4:$I$1463,MATCH($A49&amp;"|"&amp;1,MASTER!$Y$4:$Y$1463,0))="","",INDEX(MASTER!$I$4:$I$1463,MATCH($A49&amp;"|"&amp;1,MASTER!$Y$4:$Y$1463,0))),""),IF($B$4="COMBAT RATING",IFERROR(IF(INDEX(MASTER!$G$4:$G$1463,MATCH($A49&amp;"|"&amp;1,MASTER!$AH$4:$AH$1463,0))="","",INDEX(MASTER!$G$4:$G$1463,MATCH($A49&amp;"|"&amp;1,MASTER!$AH$4:$AH$1463,0))),""),IF($B$4="SECONDARY",IFERROR(IF(INDEX(MASTER!$L$4:$L$1463,MATCH($A49&amp;"|"&amp;1,MASTER!$AI$4:$AI$1463,0))="","",INDEX(MASTER!$L$4:$L$1463,MATCH($A49&amp;"|"&amp;1,MASTER!$AI$4:$AI$1463,0))),"")))),IF($B$4="RESONANCE",IFERROR(IF(INDEX(MASTER!$I$4:$I$1463,MATCH($A49&amp;"|"&amp;2,MASTER!$Y$4:$Y$1463,0))="","",INDEX(MASTER!$I$4:$I$1463,MATCH($A49&amp;"|"&amp;2,MASTER!$Y$4:$Y$1463,0))),""),IF($B$4="COMBAT RATING",IFERROR(IF(INDEX(MASTER!$G$4:$G$1463,MATCH($A49&amp;"|"&amp;2,MASTER!$AH$4:$AH$1463,0))="","",INDEX(MASTER!$G$4:$G$1463,MATCH($A49&amp;"|"&amp;2,MASTER!$AH$4:$AH$1463,0))),""),IF($B$4="SECONDARY",IFERROR(IF(INDEX(MASTER!$L$4:$L$1463,MATCH($A49&amp;"|"&amp;2,MASTER!$AI$4:$AI$1463,0))="","",INDEX(MASTER!$L$4:$L$1463,MATCH($A49&amp;"|"&amp;2,MASTER!$AI$4:$AI$1463,0))),"")))),IF($B$4="RESONANCE",IFERROR(IF(INDEX(MASTER!$I$4:$I$1463,MATCH($A49&amp;"|"&amp;3,MASTER!$Y$4:$Y$1463,0))="","",INDEX(MASTER!$I$4:$I$1463,MATCH($A49&amp;"|"&amp;3,MASTER!$Y$4:$Y$1463,0))),""),IF($B$4="COMBAT RATING",IFERROR(IF(INDEX(MASTER!$G$4:$G$1463,MATCH($A49&amp;"|"&amp;3,MASTER!$AH$4:$AH$1463,0))="","",INDEX(MASTER!$G$4:$G$1463,MATCH($A49&amp;"|"&amp;3,MASTER!$AH$4:$AH$1463,0))),""),IF($B$4="SECONDARY",IFERROR(IF(INDEX(MASTER!$L$4:$L$1463,MATCH($A49&amp;"|"&amp;3,MASTER!$AI$4:$AI$1463,0))="","",INDEX(MASTER!$L$4:$L$1463,MATCH($A49&amp;"|"&amp;3,MASTER!$AI$4:$AI$1463,0))),"")))),IF($B$4="RESONANCE",IFERROR(IF(INDEX(MASTER!$I$4:$I$1463,MATCH($A49&amp;"|"&amp;4,MASTER!$Y$4:$Y$1463,0))="","",INDEX(MASTER!$I$4:$I$1463,MATCH($A49&amp;"|"&amp;4,MASTER!$Y$4:$Y$1463,0))),""),IF($B$4="COMBAT RATING",IFERROR(IF(INDEX(MASTER!$G$4:$G$1463,MATCH($A49&amp;"|"&amp;4,MASTER!$AH$4:$AH$1463,0))="","",INDEX(MASTER!$G$4:$G$1463,MATCH($A49&amp;"|"&amp;4,MASTER!$AH$4:$AH$1463,0))),""),IF($B$4="SECONDARY",IFERROR(IF(INDEX(MASTER!$L$4:$L$1463,MATCH($A49&amp;"|"&amp;4,MASTER!$AI$4:$AI$1463,0))="","",INDEX(MASTER!$L$4:$L$1463,MATCH($A49&amp;"|"&amp;4,MASTER!$AI$4:$AI$1463,0))),"")))),IF($B$4="RESONANCE",IFERROR(IF(INDEX(MASTER!$I$4:$I$1463,MATCH($A49&amp;"|"&amp;5,MASTER!$Y$4:$Y$1463,0))="","",INDEX(MASTER!$I$4:$I$1463,MATCH($A49&amp;"|"&amp;5,MASTER!$Y$4:$Y$1463,0))),""),IF($B$4="COMBAT RATING",IFERROR(IF(INDEX(MASTER!$G$4:$G$1463,MATCH($A49&amp;"|"&amp;5,MASTER!$AH$4:$AH$1463,0))="","",INDEX(MASTER!$G$4:$G$1463,MATCH($A49&amp;"|"&amp;5,MASTER!$AH$4:$AH$1463,0))),""),IF($B$4="SECONDARY",IFERROR(IF(INDEX(MASTER!$L$4:$L$1463,MATCH($A49&amp;"|"&amp;5,MASTER!$AI$4:$AI$1463,0))="","",INDEX(MASTER!$L$4:$L$1463,MATCH($A49&amp;"|"&amp;5,MASTER!$AI$4:$AI$1463,0))),""))))),1),"-")</f>
        <v>7429.4</v>
      </c>
      <c r="D49" s="33">
        <f>IFERROR(ROUND(IF($B$4="RESONANCE",IFERROR(IF(INDEX(MASTER!$I$4:$I$1463,MATCH($A49&amp;"|"&amp;MAX(1,ROUND(COUNTIFS(MASTER!$B:$B,$A49,MASTER!$S:$S,"&lt;&gt;Name only")*0.1,0)),MASTER!$Y$4:$Y$1463,0))="","",INDEX(MASTER!$I$4:$I$1463,MATCH($A49&amp;"|"&amp;MAX(1,ROUND(COUNTIFS(MASTER!$B:$B,$A49,MASTER!$S:$S,"&lt;&gt;Name only")*0.1,0)),MASTER!$Y$4:$Y$1463,0))),""),IF($B$4="COMBAT RATING",IFERROR(IF(INDEX(MASTER!$G$4:$G$1463,MATCH($A49&amp;"|"&amp;MAX(1,ROUND(COUNTIFS(MASTER!$B:$B,$A49,MASTER!$S:$S,"&lt;&gt;Name only")*0.1,0)),MASTER!$AH$4:$AH$1463,0))="","",INDEX(MASTER!$G$4:$G$1463,MATCH($A49&amp;"|"&amp;MAX(1,ROUND(COUNTIFS(MASTER!$B:$B,$A49,MASTER!$S:$S,"&lt;&gt;Name only")*0.1,0)),MASTER!$AH$4:$AH$1463,0))),""),IF($B$4="SECONDARY",IFERROR(IF(INDEX(MASTER!$L$4:$L$1463,MATCH($A49&amp;"|"&amp;MAX(1,ROUND(COUNTIFS(MASTER!$B:$B,$A49,MASTER!$S:$S,"&lt;&gt;Name only")*0.1,0)),MASTER!$AI$4:$AI$1463,0))="","",INDEX(MASTER!$L$4:$L$1463,MATCH($A49&amp;"|"&amp;MAX(1,ROUND(COUNTIFS(MASTER!$B:$B,$A49,MASTER!$S:$S,"&lt;&gt;Name only")*0.1,0)),MASTER!$AI$4:$AI$1463,0))),"")))),1),"-")</f>
        <v>5646</v>
      </c>
      <c r="E49" s="33">
        <f>IFERROR(ROUND(IF($B$4="RESONANCE",IFERROR(IF(INDEX(MASTER!$I$4:$I$1463,MATCH($A49&amp;"|"&amp;MAX(1,ROUND(COUNTIFS(MASTER!$B:$B,$A49,MASTER!$S:$S,"&lt;&gt;Name only")*0.25,0)),MASTER!$Y$4:$Y$1463,0))="","",INDEX(MASTER!$I$4:$I$1463,MATCH($A49&amp;"|"&amp;MAX(1,ROUND(COUNTIFS(MASTER!$B:$B,$A49,MASTER!$S:$S,"&lt;&gt;Name only")*0.25,0)),MASTER!$Y$4:$Y$1463,0))),""),IF($B$4="COMBAT RATING",IFERROR(IF(INDEX(MASTER!$G$4:$G$1463,MATCH($A49&amp;"|"&amp;MAX(1,ROUND(COUNTIFS(MASTER!$B:$B,$A49,MASTER!$S:$S,"&lt;&gt;Name only")*0.25,0)),MASTER!$AH$4:$AH$1463,0))="","",INDEX(MASTER!$G$4:$G$1463,MATCH($A49&amp;"|"&amp;MAX(1,ROUND(COUNTIFS(MASTER!$B:$B,$A49,MASTER!$S:$S,"&lt;&gt;Name only")*0.25,0)),MASTER!$AH$4:$AH$1463,0))),""),IF($B$4="SECONDARY",IFERROR(IF(INDEX(MASTER!$L$4:$L$1463,MATCH($A49&amp;"|"&amp;MAX(1,ROUND(COUNTIFS(MASTER!$B:$B,$A49,MASTER!$S:$S,"&lt;&gt;Name only")*0.25,0)),MASTER!$AI$4:$AI$1463,0))="","",INDEX(MASTER!$L$4:$L$1463,MATCH($A49&amp;"|"&amp;MAX(1,ROUND(COUNTIFS(MASTER!$B:$B,$A49,MASTER!$S:$S,"&lt;&gt;Name only")*0.25,0)),MASTER!$AI$4:$AI$1463,0))),"")))),1),"-")</f>
        <v>4410</v>
      </c>
      <c r="F49" s="33">
        <f>IFERROR(ROUND(IF($B$4="RESONANCE",IFERROR(IF(INDEX(MASTER!$I$4:$I$1463,MATCH($A49&amp;"|"&amp;MAX(1,ROUND(COUNTIFS(MASTER!$B:$B,$A49,MASTER!$S:$S,"&lt;&gt;Name only")*0.5,0)),MASTER!$Y$4:$Y$1463,0))="","",INDEX(MASTER!$I$4:$I$1463,MATCH($A49&amp;"|"&amp;MAX(1,ROUND(COUNTIFS(MASTER!$B:$B,$A49,MASTER!$S:$S,"&lt;&gt;Name only")*0.5,0)),MASTER!$Y$4:$Y$1463,0))),""),IF($B$4="COMBAT RATING",IFERROR(IF(INDEX(MASTER!$G$4:$G$1463,MATCH($A49&amp;"|"&amp;MAX(1,ROUND(COUNTIFS(MASTER!$B:$B,$A49,MASTER!$S:$S,"&lt;&gt;Name only")*0.5,0)),MASTER!$AH$4:$AH$1463,0))="","",INDEX(MASTER!$G$4:$G$1463,MATCH($A49&amp;"|"&amp;MAX(1,ROUND(COUNTIFS(MASTER!$B:$B,$A49,MASTER!$S:$S,"&lt;&gt;Name only")*0.5,0)),MASTER!$AH$4:$AH$1463,0))),""),IF($B$4="SECONDARY",IFERROR(IF(INDEX(MASTER!$L$4:$L$1463,MATCH($A49&amp;"|"&amp;MAX(1,ROUND(COUNTIFS(MASTER!$B:$B,$A49,MASTER!$S:$S,"&lt;&gt;Name only")*0.5,0)),MASTER!$AI$4:$AI$1463,0))="","",INDEX(MASTER!$L$4:$L$1463,MATCH($A49&amp;"|"&amp;MAX(1,ROUND(COUNTIFS(MASTER!$B:$B,$A49,MASTER!$S:$S,"&lt;&gt;Name only")*0.5,0)),MASTER!$AI$4:$AI$1463,0))),"")))),1),"-")</f>
        <v>3418</v>
      </c>
      <c r="G49" s="33">
        <f>IFERROR(ROUND(IF($B$4="RESONANCE",IFERROR(IF(INDEX(MASTER!$I$4:$I$1463,MATCH($A49&amp;"|"&amp;MAX(1,ROUND(COUNTIFS(MASTER!$B:$B,$A49,MASTER!$S:$S,"&lt;&gt;Name only")*0.75,0)),MASTER!$Y$4:$Y$1463,0))="","",INDEX(MASTER!$I$4:$I$1463,MATCH($A49&amp;"|"&amp;MAX(1,ROUND(COUNTIFS(MASTER!$B:$B,$A49,MASTER!$S:$S,"&lt;&gt;Name only")*0.75,0)),MASTER!$Y$4:$Y$1463,0))),""),IF($B$4="COMBAT RATING",IFERROR(IF(INDEX(MASTER!$G$4:$G$1463,MATCH($A49&amp;"|"&amp;MAX(1,ROUND(COUNTIFS(MASTER!$B:$B,$A49,MASTER!$S:$S,"&lt;&gt;Name only")*0.75,0)),MASTER!$AH$4:$AH$1463,0))="","",INDEX(MASTER!$G$4:$G$1463,MATCH($A49&amp;"|"&amp;MAX(1,ROUND(COUNTIFS(MASTER!$B:$B,$A49,MASTER!$S:$S,"&lt;&gt;Name only")*0.75,0)),MASTER!$AH$4:$AH$1463,0))),""),IF($B$4="SECONDARY",IFERROR(IF(INDEX(MASTER!$L$4:$L$1463,MATCH($A49&amp;"|"&amp;MAX(1,ROUND(COUNTIFS(MASTER!$B:$B,$A49,MASTER!$S:$S,"&lt;&gt;Name only")*0.75,0)),MASTER!$AI$4:$AI$1463,0))="","",INDEX(MASTER!$L$4:$L$1463,MATCH($A49&amp;"|"&amp;MAX(1,ROUND(COUNTIFS(MASTER!$B:$B,$A49,MASTER!$S:$S,"&lt;&gt;Name only")*0.75,0)),MASTER!$AI$4:$AI$1463,0))),"")))),1),"-")</f>
        <v>2536</v>
      </c>
      <c r="H49" s="33">
        <f t="shared" si="0"/>
        <v>-1017</v>
      </c>
    </row>
    <row r="50" spans="1:17">
      <c r="A50" s="18" t="s">
        <v>117</v>
      </c>
      <c r="B50" s="19" t="s">
        <v>109</v>
      </c>
      <c r="C50" s="34">
        <f>IFERROR(ROUND(AVERAGE(IF($B$4="RESONANCE",IFERROR(IF(INDEX(MASTER!$I$4:$I$1463,MATCH($A50&amp;"|"&amp;1,MASTER!$Y$4:$Y$1463,0))="","",INDEX(MASTER!$I$4:$I$1463,MATCH($A50&amp;"|"&amp;1,MASTER!$Y$4:$Y$1463,0))),""),IF($B$4="COMBAT RATING",IFERROR(IF(INDEX(MASTER!$G$4:$G$1463,MATCH($A50&amp;"|"&amp;1,MASTER!$AH$4:$AH$1463,0))="","",INDEX(MASTER!$G$4:$G$1463,MATCH($A50&amp;"|"&amp;1,MASTER!$AH$4:$AH$1463,0))),""),IF($B$4="SECONDARY",IFERROR(IF(INDEX(MASTER!$L$4:$L$1463,MATCH($A50&amp;"|"&amp;1,MASTER!$AI$4:$AI$1463,0))="","",INDEX(MASTER!$L$4:$L$1463,MATCH($A50&amp;"|"&amp;1,MASTER!$AI$4:$AI$1463,0))),"")))),IF($B$4="RESONANCE",IFERROR(IF(INDEX(MASTER!$I$4:$I$1463,MATCH($A50&amp;"|"&amp;2,MASTER!$Y$4:$Y$1463,0))="","",INDEX(MASTER!$I$4:$I$1463,MATCH($A50&amp;"|"&amp;2,MASTER!$Y$4:$Y$1463,0))),""),IF($B$4="COMBAT RATING",IFERROR(IF(INDEX(MASTER!$G$4:$G$1463,MATCH($A50&amp;"|"&amp;2,MASTER!$AH$4:$AH$1463,0))="","",INDEX(MASTER!$G$4:$G$1463,MATCH($A50&amp;"|"&amp;2,MASTER!$AH$4:$AH$1463,0))),""),IF($B$4="SECONDARY",IFERROR(IF(INDEX(MASTER!$L$4:$L$1463,MATCH($A50&amp;"|"&amp;2,MASTER!$AI$4:$AI$1463,0))="","",INDEX(MASTER!$L$4:$L$1463,MATCH($A50&amp;"|"&amp;2,MASTER!$AI$4:$AI$1463,0))),"")))),IF($B$4="RESONANCE",IFERROR(IF(INDEX(MASTER!$I$4:$I$1463,MATCH($A50&amp;"|"&amp;3,MASTER!$Y$4:$Y$1463,0))="","",INDEX(MASTER!$I$4:$I$1463,MATCH($A50&amp;"|"&amp;3,MASTER!$Y$4:$Y$1463,0))),""),IF($B$4="COMBAT RATING",IFERROR(IF(INDEX(MASTER!$G$4:$G$1463,MATCH($A50&amp;"|"&amp;3,MASTER!$AH$4:$AH$1463,0))="","",INDEX(MASTER!$G$4:$G$1463,MATCH($A50&amp;"|"&amp;3,MASTER!$AH$4:$AH$1463,0))),""),IF($B$4="SECONDARY",IFERROR(IF(INDEX(MASTER!$L$4:$L$1463,MATCH($A50&amp;"|"&amp;3,MASTER!$AI$4:$AI$1463,0))="","",INDEX(MASTER!$L$4:$L$1463,MATCH($A50&amp;"|"&amp;3,MASTER!$AI$4:$AI$1463,0))),"")))),IF($B$4="RESONANCE",IFERROR(IF(INDEX(MASTER!$I$4:$I$1463,MATCH($A50&amp;"|"&amp;4,MASTER!$Y$4:$Y$1463,0))="","",INDEX(MASTER!$I$4:$I$1463,MATCH($A50&amp;"|"&amp;4,MASTER!$Y$4:$Y$1463,0))),""),IF($B$4="COMBAT RATING",IFERROR(IF(INDEX(MASTER!$G$4:$G$1463,MATCH($A50&amp;"|"&amp;4,MASTER!$AH$4:$AH$1463,0))="","",INDEX(MASTER!$G$4:$G$1463,MATCH($A50&amp;"|"&amp;4,MASTER!$AH$4:$AH$1463,0))),""),IF($B$4="SECONDARY",IFERROR(IF(INDEX(MASTER!$L$4:$L$1463,MATCH($A50&amp;"|"&amp;4,MASTER!$AI$4:$AI$1463,0))="","",INDEX(MASTER!$L$4:$L$1463,MATCH($A50&amp;"|"&amp;4,MASTER!$AI$4:$AI$1463,0))),"")))),IF($B$4="RESONANCE",IFERROR(IF(INDEX(MASTER!$I$4:$I$1463,MATCH($A50&amp;"|"&amp;5,MASTER!$Y$4:$Y$1463,0))="","",INDEX(MASTER!$I$4:$I$1463,MATCH($A50&amp;"|"&amp;5,MASTER!$Y$4:$Y$1463,0))),""),IF($B$4="COMBAT RATING",IFERROR(IF(INDEX(MASTER!$G$4:$G$1463,MATCH($A50&amp;"|"&amp;5,MASTER!$AH$4:$AH$1463,0))="","",INDEX(MASTER!$G$4:$G$1463,MATCH($A50&amp;"|"&amp;5,MASTER!$AH$4:$AH$1463,0))),""),IF($B$4="SECONDARY",IFERROR(IF(INDEX(MASTER!$L$4:$L$1463,MATCH($A50&amp;"|"&amp;5,MASTER!$AI$4:$AI$1463,0))="","",INDEX(MASTER!$L$4:$L$1463,MATCH($A50&amp;"|"&amp;5,MASTER!$AI$4:$AI$1463,0))),""))))),1),"-")</f>
        <v>3958.8</v>
      </c>
      <c r="D50" s="34">
        <f>IFERROR(ROUND(IF($B$4="RESONANCE",IFERROR(IF(INDEX(MASTER!$I$4:$I$1463,MATCH($A50&amp;"|"&amp;MAX(1,ROUND(COUNTIFS(MASTER!$B:$B,$A50,MASTER!$S:$S,"&lt;&gt;Name only")*0.1,0)),MASTER!$Y$4:$Y$1463,0))="","",INDEX(MASTER!$I$4:$I$1463,MATCH($A50&amp;"|"&amp;MAX(1,ROUND(COUNTIFS(MASTER!$B:$B,$A50,MASTER!$S:$S,"&lt;&gt;Name only")*0.1,0)),MASTER!$Y$4:$Y$1463,0))),""),IF($B$4="COMBAT RATING",IFERROR(IF(INDEX(MASTER!$G$4:$G$1463,MATCH($A50&amp;"|"&amp;MAX(1,ROUND(COUNTIFS(MASTER!$B:$B,$A50,MASTER!$S:$S,"&lt;&gt;Name only")*0.1,0)),MASTER!$AH$4:$AH$1463,0))="","",INDEX(MASTER!$G$4:$G$1463,MATCH($A50&amp;"|"&amp;MAX(1,ROUND(COUNTIFS(MASTER!$B:$B,$A50,MASTER!$S:$S,"&lt;&gt;Name only")*0.1,0)),MASTER!$AH$4:$AH$1463,0))),""),IF($B$4="SECONDARY",IFERROR(IF(INDEX(MASTER!$L$4:$L$1463,MATCH($A50&amp;"|"&amp;MAX(1,ROUND(COUNTIFS(MASTER!$B:$B,$A50,MASTER!$S:$S,"&lt;&gt;Name only")*0.1,0)),MASTER!$AI$4:$AI$1463,0))="","",INDEX(MASTER!$L$4:$L$1463,MATCH($A50&amp;"|"&amp;MAX(1,ROUND(COUNTIFS(MASTER!$B:$B,$A50,MASTER!$S:$S,"&lt;&gt;Name only")*0.1,0)),MASTER!$AI$4:$AI$1463,0))),"")))),1),"-")</f>
        <v>3282</v>
      </c>
      <c r="E50" s="34">
        <f>IFERROR(ROUND(IF($B$4="RESONANCE",IFERROR(IF(INDEX(MASTER!$I$4:$I$1463,MATCH($A50&amp;"|"&amp;MAX(1,ROUND(COUNTIFS(MASTER!$B:$B,$A50,MASTER!$S:$S,"&lt;&gt;Name only")*0.25,0)),MASTER!$Y$4:$Y$1463,0))="","",INDEX(MASTER!$I$4:$I$1463,MATCH($A50&amp;"|"&amp;MAX(1,ROUND(COUNTIFS(MASTER!$B:$B,$A50,MASTER!$S:$S,"&lt;&gt;Name only")*0.25,0)),MASTER!$Y$4:$Y$1463,0))),""),IF($B$4="COMBAT RATING",IFERROR(IF(INDEX(MASTER!$G$4:$G$1463,MATCH($A50&amp;"|"&amp;MAX(1,ROUND(COUNTIFS(MASTER!$B:$B,$A50,MASTER!$S:$S,"&lt;&gt;Name only")*0.25,0)),MASTER!$AH$4:$AH$1463,0))="","",INDEX(MASTER!$G$4:$G$1463,MATCH($A50&amp;"|"&amp;MAX(1,ROUND(COUNTIFS(MASTER!$B:$B,$A50,MASTER!$S:$S,"&lt;&gt;Name only")*0.25,0)),MASTER!$AH$4:$AH$1463,0))),""),IF($B$4="SECONDARY",IFERROR(IF(INDEX(MASTER!$L$4:$L$1463,MATCH($A50&amp;"|"&amp;MAX(1,ROUND(COUNTIFS(MASTER!$B:$B,$A50,MASTER!$S:$S,"&lt;&gt;Name only")*0.25,0)),MASTER!$AI$4:$AI$1463,0))="","",INDEX(MASTER!$L$4:$L$1463,MATCH($A50&amp;"|"&amp;MAX(1,ROUND(COUNTIFS(MASTER!$B:$B,$A50,MASTER!$S:$S,"&lt;&gt;Name only")*0.25,0)),MASTER!$AI$4:$AI$1463,0))),"")))),1),"-")</f>
        <v>2734</v>
      </c>
      <c r="F50" s="34">
        <f>IFERROR(ROUND(IF($B$4="RESONANCE",IFERROR(IF(INDEX(MASTER!$I$4:$I$1463,MATCH($A50&amp;"|"&amp;MAX(1,ROUND(COUNTIFS(MASTER!$B:$B,$A50,MASTER!$S:$S,"&lt;&gt;Name only")*0.5,0)),MASTER!$Y$4:$Y$1463,0))="","",INDEX(MASTER!$I$4:$I$1463,MATCH($A50&amp;"|"&amp;MAX(1,ROUND(COUNTIFS(MASTER!$B:$B,$A50,MASTER!$S:$S,"&lt;&gt;Name only")*0.5,0)),MASTER!$Y$4:$Y$1463,0))),""),IF($B$4="COMBAT RATING",IFERROR(IF(INDEX(MASTER!$G$4:$G$1463,MATCH($A50&amp;"|"&amp;MAX(1,ROUND(COUNTIFS(MASTER!$B:$B,$A50,MASTER!$S:$S,"&lt;&gt;Name only")*0.5,0)),MASTER!$AH$4:$AH$1463,0))="","",INDEX(MASTER!$G$4:$G$1463,MATCH($A50&amp;"|"&amp;MAX(1,ROUND(COUNTIFS(MASTER!$B:$B,$A50,MASTER!$S:$S,"&lt;&gt;Name only")*0.5,0)),MASTER!$AH$4:$AH$1463,0))),""),IF($B$4="SECONDARY",IFERROR(IF(INDEX(MASTER!$L$4:$L$1463,MATCH($A50&amp;"|"&amp;MAX(1,ROUND(COUNTIFS(MASTER!$B:$B,$A50,MASTER!$S:$S,"&lt;&gt;Name only")*0.5,0)),MASTER!$AI$4:$AI$1463,0))="","",INDEX(MASTER!$L$4:$L$1463,MATCH($A50&amp;"|"&amp;MAX(1,ROUND(COUNTIFS(MASTER!$B:$B,$A50,MASTER!$S:$S,"&lt;&gt;Name only")*0.5,0)),MASTER!$AI$4:$AI$1463,0))),"")))),1),"-")</f>
        <v>2030</v>
      </c>
      <c r="G50" s="34">
        <f>IFERROR(ROUND(IF($B$4="RESONANCE",IFERROR(IF(INDEX(MASTER!$I$4:$I$1463,MATCH($A50&amp;"|"&amp;MAX(1,ROUND(COUNTIFS(MASTER!$B:$B,$A50,MASTER!$S:$S,"&lt;&gt;Name only")*0.75,0)),MASTER!$Y$4:$Y$1463,0))="","",INDEX(MASTER!$I$4:$I$1463,MATCH($A50&amp;"|"&amp;MAX(1,ROUND(COUNTIFS(MASTER!$B:$B,$A50,MASTER!$S:$S,"&lt;&gt;Name only")*0.75,0)),MASTER!$Y$4:$Y$1463,0))),""),IF($B$4="COMBAT RATING",IFERROR(IF(INDEX(MASTER!$G$4:$G$1463,MATCH($A50&amp;"|"&amp;MAX(1,ROUND(COUNTIFS(MASTER!$B:$B,$A50,MASTER!$S:$S,"&lt;&gt;Name only")*0.75,0)),MASTER!$AH$4:$AH$1463,0))="","",INDEX(MASTER!$G$4:$G$1463,MATCH($A50&amp;"|"&amp;MAX(1,ROUND(COUNTIFS(MASTER!$B:$B,$A50,MASTER!$S:$S,"&lt;&gt;Name only")*0.75,0)),MASTER!$AH$4:$AH$1463,0))),""),IF($B$4="SECONDARY",IFERROR(IF(INDEX(MASTER!$L$4:$L$1463,MATCH($A50&amp;"|"&amp;MAX(1,ROUND(COUNTIFS(MASTER!$B:$B,$A50,MASTER!$S:$S,"&lt;&gt;Name only")*0.75,0)),MASTER!$AI$4:$AI$1463,0))="","",INDEX(MASTER!$L$4:$L$1463,MATCH($A50&amp;"|"&amp;MAX(1,ROUND(COUNTIFS(MASTER!$B:$B,$A50,MASTER!$S:$S,"&lt;&gt;Name only")*0.75,0)),MASTER!$AI$4:$AI$1463,0))),"")))),1),"-")</f>
        <v>1422</v>
      </c>
      <c r="H50" s="34">
        <f t="shared" si="0"/>
        <v>-2405</v>
      </c>
    </row>
    <row r="51" spans="1:17">
      <c r="A51" s="14" t="s">
        <v>118</v>
      </c>
      <c r="B51" s="15" t="s">
        <v>109</v>
      </c>
      <c r="C51" s="33">
        <f>IFERROR(ROUND(AVERAGE(IF($B$4="RESONANCE",IFERROR(IF(INDEX(MASTER!$I$4:$I$1463,MATCH($A51&amp;"|"&amp;1,MASTER!$Y$4:$Y$1463,0))="","",INDEX(MASTER!$I$4:$I$1463,MATCH($A51&amp;"|"&amp;1,MASTER!$Y$4:$Y$1463,0))),""),IF($B$4="COMBAT RATING",IFERROR(IF(INDEX(MASTER!$G$4:$G$1463,MATCH($A51&amp;"|"&amp;1,MASTER!$AH$4:$AH$1463,0))="","",INDEX(MASTER!$G$4:$G$1463,MATCH($A51&amp;"|"&amp;1,MASTER!$AH$4:$AH$1463,0))),""),IF($B$4="SECONDARY",IFERROR(IF(INDEX(MASTER!$L$4:$L$1463,MATCH($A51&amp;"|"&amp;1,MASTER!$AI$4:$AI$1463,0))="","",INDEX(MASTER!$L$4:$L$1463,MATCH($A51&amp;"|"&amp;1,MASTER!$AI$4:$AI$1463,0))),"")))),IF($B$4="RESONANCE",IFERROR(IF(INDEX(MASTER!$I$4:$I$1463,MATCH($A51&amp;"|"&amp;2,MASTER!$Y$4:$Y$1463,0))="","",INDEX(MASTER!$I$4:$I$1463,MATCH($A51&amp;"|"&amp;2,MASTER!$Y$4:$Y$1463,0))),""),IF($B$4="COMBAT RATING",IFERROR(IF(INDEX(MASTER!$G$4:$G$1463,MATCH($A51&amp;"|"&amp;2,MASTER!$AH$4:$AH$1463,0))="","",INDEX(MASTER!$G$4:$G$1463,MATCH($A51&amp;"|"&amp;2,MASTER!$AH$4:$AH$1463,0))),""),IF($B$4="SECONDARY",IFERROR(IF(INDEX(MASTER!$L$4:$L$1463,MATCH($A51&amp;"|"&amp;2,MASTER!$AI$4:$AI$1463,0))="","",INDEX(MASTER!$L$4:$L$1463,MATCH($A51&amp;"|"&amp;2,MASTER!$AI$4:$AI$1463,0))),"")))),IF($B$4="RESONANCE",IFERROR(IF(INDEX(MASTER!$I$4:$I$1463,MATCH($A51&amp;"|"&amp;3,MASTER!$Y$4:$Y$1463,0))="","",INDEX(MASTER!$I$4:$I$1463,MATCH($A51&amp;"|"&amp;3,MASTER!$Y$4:$Y$1463,0))),""),IF($B$4="COMBAT RATING",IFERROR(IF(INDEX(MASTER!$G$4:$G$1463,MATCH($A51&amp;"|"&amp;3,MASTER!$AH$4:$AH$1463,0))="","",INDEX(MASTER!$G$4:$G$1463,MATCH($A51&amp;"|"&amp;3,MASTER!$AH$4:$AH$1463,0))),""),IF($B$4="SECONDARY",IFERROR(IF(INDEX(MASTER!$L$4:$L$1463,MATCH($A51&amp;"|"&amp;3,MASTER!$AI$4:$AI$1463,0))="","",INDEX(MASTER!$L$4:$L$1463,MATCH($A51&amp;"|"&amp;3,MASTER!$AI$4:$AI$1463,0))),"")))),IF($B$4="RESONANCE",IFERROR(IF(INDEX(MASTER!$I$4:$I$1463,MATCH($A51&amp;"|"&amp;4,MASTER!$Y$4:$Y$1463,0))="","",INDEX(MASTER!$I$4:$I$1463,MATCH($A51&amp;"|"&amp;4,MASTER!$Y$4:$Y$1463,0))),""),IF($B$4="COMBAT RATING",IFERROR(IF(INDEX(MASTER!$G$4:$G$1463,MATCH($A51&amp;"|"&amp;4,MASTER!$AH$4:$AH$1463,0))="","",INDEX(MASTER!$G$4:$G$1463,MATCH($A51&amp;"|"&amp;4,MASTER!$AH$4:$AH$1463,0))),""),IF($B$4="SECONDARY",IFERROR(IF(INDEX(MASTER!$L$4:$L$1463,MATCH($A51&amp;"|"&amp;4,MASTER!$AI$4:$AI$1463,0))="","",INDEX(MASTER!$L$4:$L$1463,MATCH($A51&amp;"|"&amp;4,MASTER!$AI$4:$AI$1463,0))),"")))),IF($B$4="RESONANCE",IFERROR(IF(INDEX(MASTER!$I$4:$I$1463,MATCH($A51&amp;"|"&amp;5,MASTER!$Y$4:$Y$1463,0))="","",INDEX(MASTER!$I$4:$I$1463,MATCH($A51&amp;"|"&amp;5,MASTER!$Y$4:$Y$1463,0))),""),IF($B$4="COMBAT RATING",IFERROR(IF(INDEX(MASTER!$G$4:$G$1463,MATCH($A51&amp;"|"&amp;5,MASTER!$AH$4:$AH$1463,0))="","",INDEX(MASTER!$G$4:$G$1463,MATCH($A51&amp;"|"&amp;5,MASTER!$AH$4:$AH$1463,0))),""),IF($B$4="SECONDARY",IFERROR(IF(INDEX(MASTER!$L$4:$L$1463,MATCH($A51&amp;"|"&amp;5,MASTER!$AI$4:$AI$1463,0))="","",INDEX(MASTER!$L$4:$L$1463,MATCH($A51&amp;"|"&amp;5,MASTER!$AI$4:$AI$1463,0))),""))))),1),"-")</f>
        <v>7072.2</v>
      </c>
      <c r="D51" s="33">
        <f>IFERROR(ROUND(IF($B$4="RESONANCE",IFERROR(IF(INDEX(MASTER!$I$4:$I$1463,MATCH($A51&amp;"|"&amp;MAX(1,ROUND(COUNTIFS(MASTER!$B:$B,$A51,MASTER!$S:$S,"&lt;&gt;Name only")*0.1,0)),MASTER!$Y$4:$Y$1463,0))="","",INDEX(MASTER!$I$4:$I$1463,MATCH($A51&amp;"|"&amp;MAX(1,ROUND(COUNTIFS(MASTER!$B:$B,$A51,MASTER!$S:$S,"&lt;&gt;Name only")*0.1,0)),MASTER!$Y$4:$Y$1463,0))),""),IF($B$4="COMBAT RATING",IFERROR(IF(INDEX(MASTER!$G$4:$G$1463,MATCH($A51&amp;"|"&amp;MAX(1,ROUND(COUNTIFS(MASTER!$B:$B,$A51,MASTER!$S:$S,"&lt;&gt;Name only")*0.1,0)),MASTER!$AH$4:$AH$1463,0))="","",INDEX(MASTER!$G$4:$G$1463,MATCH($A51&amp;"|"&amp;MAX(1,ROUND(COUNTIFS(MASTER!$B:$B,$A51,MASTER!$S:$S,"&lt;&gt;Name only")*0.1,0)),MASTER!$AH$4:$AH$1463,0))),""),IF($B$4="SECONDARY",IFERROR(IF(INDEX(MASTER!$L$4:$L$1463,MATCH($A51&amp;"|"&amp;MAX(1,ROUND(COUNTIFS(MASTER!$B:$B,$A51,MASTER!$S:$S,"&lt;&gt;Name only")*0.1,0)),MASTER!$AI$4:$AI$1463,0))="","",INDEX(MASTER!$L$4:$L$1463,MATCH($A51&amp;"|"&amp;MAX(1,ROUND(COUNTIFS(MASTER!$B:$B,$A51,MASTER!$S:$S,"&lt;&gt;Name only")*0.1,0)),MASTER!$AI$4:$AI$1463,0))),"")))),1),"-")</f>
        <v>3473</v>
      </c>
      <c r="E51" s="33">
        <f>IFERROR(ROUND(IF($B$4="RESONANCE",IFERROR(IF(INDEX(MASTER!$I$4:$I$1463,MATCH($A51&amp;"|"&amp;MAX(1,ROUND(COUNTIFS(MASTER!$B:$B,$A51,MASTER!$S:$S,"&lt;&gt;Name only")*0.25,0)),MASTER!$Y$4:$Y$1463,0))="","",INDEX(MASTER!$I$4:$I$1463,MATCH($A51&amp;"|"&amp;MAX(1,ROUND(COUNTIFS(MASTER!$B:$B,$A51,MASTER!$S:$S,"&lt;&gt;Name only")*0.25,0)),MASTER!$Y$4:$Y$1463,0))),""),IF($B$4="COMBAT RATING",IFERROR(IF(INDEX(MASTER!$G$4:$G$1463,MATCH($A51&amp;"|"&amp;MAX(1,ROUND(COUNTIFS(MASTER!$B:$B,$A51,MASTER!$S:$S,"&lt;&gt;Name only")*0.25,0)),MASTER!$AH$4:$AH$1463,0))="","",INDEX(MASTER!$G$4:$G$1463,MATCH($A51&amp;"|"&amp;MAX(1,ROUND(COUNTIFS(MASTER!$B:$B,$A51,MASTER!$S:$S,"&lt;&gt;Name only")*0.25,0)),MASTER!$AH$4:$AH$1463,0))),""),IF($B$4="SECONDARY",IFERROR(IF(INDEX(MASTER!$L$4:$L$1463,MATCH($A51&amp;"|"&amp;MAX(1,ROUND(COUNTIFS(MASTER!$B:$B,$A51,MASTER!$S:$S,"&lt;&gt;Name only")*0.25,0)),MASTER!$AI$4:$AI$1463,0))="","",INDEX(MASTER!$L$4:$L$1463,MATCH($A51&amp;"|"&amp;MAX(1,ROUND(COUNTIFS(MASTER!$B:$B,$A51,MASTER!$S:$S,"&lt;&gt;Name only")*0.25,0)),MASTER!$AI$4:$AI$1463,0))),"")))),1),"-")</f>
        <v>2496</v>
      </c>
      <c r="F51" s="33">
        <f>IFERROR(ROUND(IF($B$4="RESONANCE",IFERROR(IF(INDEX(MASTER!$I$4:$I$1463,MATCH($A51&amp;"|"&amp;MAX(1,ROUND(COUNTIFS(MASTER!$B:$B,$A51,MASTER!$S:$S,"&lt;&gt;Name only")*0.5,0)),MASTER!$Y$4:$Y$1463,0))="","",INDEX(MASTER!$I$4:$I$1463,MATCH($A51&amp;"|"&amp;MAX(1,ROUND(COUNTIFS(MASTER!$B:$B,$A51,MASTER!$S:$S,"&lt;&gt;Name only")*0.5,0)),MASTER!$Y$4:$Y$1463,0))),""),IF($B$4="COMBAT RATING",IFERROR(IF(INDEX(MASTER!$G$4:$G$1463,MATCH($A51&amp;"|"&amp;MAX(1,ROUND(COUNTIFS(MASTER!$B:$B,$A51,MASTER!$S:$S,"&lt;&gt;Name only")*0.5,0)),MASTER!$AH$4:$AH$1463,0))="","",INDEX(MASTER!$G$4:$G$1463,MATCH($A51&amp;"|"&amp;MAX(1,ROUND(COUNTIFS(MASTER!$B:$B,$A51,MASTER!$S:$S,"&lt;&gt;Name only")*0.5,0)),MASTER!$AH$4:$AH$1463,0))),""),IF($B$4="SECONDARY",IFERROR(IF(INDEX(MASTER!$L$4:$L$1463,MATCH($A51&amp;"|"&amp;MAX(1,ROUND(COUNTIFS(MASTER!$B:$B,$A51,MASTER!$S:$S,"&lt;&gt;Name only")*0.5,0)),MASTER!$AI$4:$AI$1463,0))="","",INDEX(MASTER!$L$4:$L$1463,MATCH($A51&amp;"|"&amp;MAX(1,ROUND(COUNTIFS(MASTER!$B:$B,$A51,MASTER!$S:$S,"&lt;&gt;Name only")*0.5,0)),MASTER!$AI$4:$AI$1463,0))),"")))),1),"-")</f>
        <v>1740</v>
      </c>
      <c r="G51" s="33">
        <f>IFERROR(ROUND(IF($B$4="RESONANCE",IFERROR(IF(INDEX(MASTER!$I$4:$I$1463,MATCH($A51&amp;"|"&amp;MAX(1,ROUND(COUNTIFS(MASTER!$B:$B,$A51,MASTER!$S:$S,"&lt;&gt;Name only")*0.75,0)),MASTER!$Y$4:$Y$1463,0))="","",INDEX(MASTER!$I$4:$I$1463,MATCH($A51&amp;"|"&amp;MAX(1,ROUND(COUNTIFS(MASTER!$B:$B,$A51,MASTER!$S:$S,"&lt;&gt;Name only")*0.75,0)),MASTER!$Y$4:$Y$1463,0))),""),IF($B$4="COMBAT RATING",IFERROR(IF(INDEX(MASTER!$G$4:$G$1463,MATCH($A51&amp;"|"&amp;MAX(1,ROUND(COUNTIFS(MASTER!$B:$B,$A51,MASTER!$S:$S,"&lt;&gt;Name only")*0.75,0)),MASTER!$AH$4:$AH$1463,0))="","",INDEX(MASTER!$G$4:$G$1463,MATCH($A51&amp;"|"&amp;MAX(1,ROUND(COUNTIFS(MASTER!$B:$B,$A51,MASTER!$S:$S,"&lt;&gt;Name only")*0.75,0)),MASTER!$AH$4:$AH$1463,0))),""),IF($B$4="SECONDARY",IFERROR(IF(INDEX(MASTER!$L$4:$L$1463,MATCH($A51&amp;"|"&amp;MAX(1,ROUND(COUNTIFS(MASTER!$B:$B,$A51,MASTER!$S:$S,"&lt;&gt;Name only")*0.75,0)),MASTER!$AI$4:$AI$1463,0))="","",INDEX(MASTER!$L$4:$L$1463,MATCH($A51&amp;"|"&amp;MAX(1,ROUND(COUNTIFS(MASTER!$B:$B,$A51,MASTER!$S:$S,"&lt;&gt;Name only")*0.75,0)),MASTER!$AI$4:$AI$1463,0))),"")))),1),"-")</f>
        <v>1150</v>
      </c>
      <c r="H51" s="33">
        <f t="shared" si="0"/>
        <v>-2695</v>
      </c>
    </row>
    <row r="54" spans="1:17" hidden="1">
      <c r="A54" s="11" t="s">
        <v>119</v>
      </c>
    </row>
    <row r="55" spans="1:17" hidden="1">
      <c r="A55" s="35" t="s">
        <v>120</v>
      </c>
      <c r="B55" s="35" t="s">
        <v>66</v>
      </c>
      <c r="C55" s="35" t="s">
        <v>105</v>
      </c>
      <c r="D55" s="35" t="s">
        <v>86</v>
      </c>
      <c r="E55" s="35" t="s">
        <v>107</v>
      </c>
      <c r="F55" s="35" t="s">
        <v>108</v>
      </c>
      <c r="G55" s="35" t="s">
        <v>110</v>
      </c>
      <c r="H55" s="35" t="s">
        <v>111</v>
      </c>
      <c r="I55" s="35" t="s">
        <v>112</v>
      </c>
      <c r="J55" s="35" t="s">
        <v>113</v>
      </c>
      <c r="K55" s="35" t="s">
        <v>114</v>
      </c>
      <c r="L55" s="35" t="s">
        <v>115</v>
      </c>
      <c r="M55" s="35" t="s">
        <v>116</v>
      </c>
      <c r="N55" s="35" t="s">
        <v>117</v>
      </c>
      <c r="O55" s="35" t="s">
        <v>118</v>
      </c>
      <c r="P55" s="35" t="s">
        <v>66</v>
      </c>
      <c r="Q55" s="35" t="s">
        <v>121</v>
      </c>
    </row>
    <row r="56" spans="1:17" hidden="1">
      <c r="A56" s="36">
        <v>0.01</v>
      </c>
      <c r="B56" s="37">
        <f>IF($B$4="RESONANCE",IFERROR(IF(INDEX(MASTER!$I$4:$I$1463,MATCH("FUCT"&amp;"|"&amp;MAX(1,ROUND(COUNTIFS(MASTER!$B$4:$B$1463,"FUCT",MASTER!$I$4:$I$1463,"&lt;&gt;")*$A56*100/100,0)),MASTER!$Y$4:$Y$1463,0))="",NA(),INDEX(MASTER!$I$4:$I$1463,MATCH("FUCT"&amp;"|"&amp;MAX(1,ROUND(COUNTIFS(MASTER!$B$4:$B$1463,"FUCT",MASTER!$I$4:$I$1463,"&lt;&gt;")*$A56*100/100,0)),MASTER!$Y$4:$Y$1463,0))),NA()),IF($B$4="COMBAT RATING",IFERROR(IF(INDEX(MASTER!$G$4:$G$1463,MATCH("FUCT"&amp;"|"&amp;MAX(1,ROUND(COUNTIFS(MASTER!$B$4:$B$1463,"FUCT",MASTER!$G$4:$G$1463,"&lt;&gt;")*$A56*100/100,0)),MASTER!$AH$4:$AH$1463,0))="",NA(),INDEX(MASTER!$G$4:$G$1463,MATCH("FUCT"&amp;"|"&amp;MAX(1,ROUND(COUNTIFS(MASTER!$B$4:$B$1463,"FUCT",MASTER!$G$4:$G$1463,"&lt;&gt;")*$A56*100/100,0)),MASTER!$AH$4:$AH$1463,0))),NA()),IF($B$4="SECONDARY",IFERROR(IF(INDEX(MASTER!$L$4:$L$1463,MATCH("FUCT"&amp;"|"&amp;MAX(1,ROUND(COUNTIFS(MASTER!$B$4:$B$1463,"FUCT",MASTER!$L$4:$L$1463,"&lt;&gt;")*$A56*100/100,0)),MASTER!$AI$4:$AI$1463,0))="",NA(),INDEX(MASTER!$L$4:$L$1463,MATCH("FUCT"&amp;"|"&amp;MAX(1,ROUND(COUNTIFS(MASTER!$B$4:$B$1463,"FUCT",MASTER!$L$4:$L$1463,"&lt;&gt;")*$A56*100/100,0)),MASTER!$AI$4:$AI$1463,0))),NA()))))</f>
        <v>11602</v>
      </c>
      <c r="C56" s="37">
        <f>IF($B$4="RESONANCE",IFERROR(IF(INDEX(MASTER!$I$4:$I$1463,MATCH("LEGENDS"&amp;"|"&amp;MAX(1,ROUND(COUNTIFS(MASTER!$B$4:$B$1463,"LEGENDS",MASTER!$I$4:$I$1463,"&lt;&gt;")*$A56*100/100,0)),MASTER!$Y$4:$Y$1463,0))="",NA(),INDEX(MASTER!$I$4:$I$1463,MATCH("LEGENDS"&amp;"|"&amp;MAX(1,ROUND(COUNTIFS(MASTER!$B$4:$B$1463,"LEGENDS",MASTER!$I$4:$I$1463,"&lt;&gt;")*$A56*100/100,0)),MASTER!$Y$4:$Y$1463,0))),NA()),IF($B$4="COMBAT RATING",IFERROR(IF(INDEX(MASTER!$G$4:$G$1463,MATCH("LEGENDS"&amp;"|"&amp;MAX(1,ROUND(COUNTIFS(MASTER!$B$4:$B$1463,"LEGENDS",MASTER!$G$4:$G$1463,"&lt;&gt;")*$A56*100/100,0)),MASTER!$AH$4:$AH$1463,0))="",NA(),INDEX(MASTER!$G$4:$G$1463,MATCH("LEGENDS"&amp;"|"&amp;MAX(1,ROUND(COUNTIFS(MASTER!$B$4:$B$1463,"LEGENDS",MASTER!$G$4:$G$1463,"&lt;&gt;")*$A56*100/100,0)),MASTER!$AH$4:$AH$1463,0))),NA()),IF($B$4="SECONDARY",IFERROR(IF(INDEX(MASTER!$L$4:$L$1463,MATCH("LEGENDS"&amp;"|"&amp;MAX(1,ROUND(COUNTIFS(MASTER!$B$4:$B$1463,"LEGENDS",MASTER!$L$4:$L$1463,"&lt;&gt;")*$A56*100/100,0)),MASTER!$AI$4:$AI$1463,0))="",NA(),INDEX(MASTER!$L$4:$L$1463,MATCH("LEGENDS"&amp;"|"&amp;MAX(1,ROUND(COUNTIFS(MASTER!$B$4:$B$1463,"LEGENDS",MASTER!$L$4:$L$1463,"&lt;&gt;")*$A56*100/100,0)),MASTER!$AI$4:$AI$1463,0))),NA()))))</f>
        <v>11601</v>
      </c>
      <c r="D56" s="37">
        <f>IF($B$4="RESONANCE",IFERROR(IF(INDEX(MASTER!$I$4:$I$1463,MATCH("VANGUARD"&amp;"|"&amp;MAX(1,ROUND(COUNTIFS(MASTER!$B$4:$B$1463,"VANGUARD",MASTER!$I$4:$I$1463,"&lt;&gt;")*$A56*100/100,0)),MASTER!$Y$4:$Y$1463,0))="",NA(),INDEX(MASTER!$I$4:$I$1463,MATCH("VANGUARD"&amp;"|"&amp;MAX(1,ROUND(COUNTIFS(MASTER!$B$4:$B$1463,"VANGUARD",MASTER!$I$4:$I$1463,"&lt;&gt;")*$A56*100/100,0)),MASTER!$Y$4:$Y$1463,0))),NA()),IF($B$4="COMBAT RATING",IFERROR(IF(INDEX(MASTER!$G$4:$G$1463,MATCH("VANGUARD"&amp;"|"&amp;MAX(1,ROUND(COUNTIFS(MASTER!$B$4:$B$1463,"VANGUARD",MASTER!$G$4:$G$1463,"&lt;&gt;")*$A56*100/100,0)),MASTER!$AH$4:$AH$1463,0))="",NA(),INDEX(MASTER!$G$4:$G$1463,MATCH("VANGUARD"&amp;"|"&amp;MAX(1,ROUND(COUNTIFS(MASTER!$B$4:$B$1463,"VANGUARD",MASTER!$G$4:$G$1463,"&lt;&gt;")*$A56*100/100,0)),MASTER!$AH$4:$AH$1463,0))),NA()),IF($B$4="SECONDARY",IFERROR(IF(INDEX(MASTER!$L$4:$L$1463,MATCH("VANGUARD"&amp;"|"&amp;MAX(1,ROUND(COUNTIFS(MASTER!$B$4:$B$1463,"VANGUARD",MASTER!$L$4:$L$1463,"&lt;&gt;")*$A56*100/100,0)),MASTER!$AI$4:$AI$1463,0))="",NA(),INDEX(MASTER!$L$4:$L$1463,MATCH("VANGUARD"&amp;"|"&amp;MAX(1,ROUND(COUNTIFS(MASTER!$B$4:$B$1463,"VANGUARD",MASTER!$L$4:$L$1463,"&lt;&gt;")*$A56*100/100,0)),MASTER!$AI$4:$AI$1463,0))),NA()))))</f>
        <v>10905</v>
      </c>
      <c r="E56" s="37">
        <f>IF($B$4="RESONANCE",IFERROR(IF(INDEX(MASTER!$I$4:$I$1463,MATCH("UNDYING"&amp;"|"&amp;MAX(1,ROUND(COUNTIFS(MASTER!$B$4:$B$1463,"UNDYING",MASTER!$I$4:$I$1463,"&lt;&gt;")*$A56*100/100,0)),MASTER!$Y$4:$Y$1463,0))="",NA(),INDEX(MASTER!$I$4:$I$1463,MATCH("UNDYING"&amp;"|"&amp;MAX(1,ROUND(COUNTIFS(MASTER!$B$4:$B$1463,"UNDYING",MASTER!$I$4:$I$1463,"&lt;&gt;")*$A56*100/100,0)),MASTER!$Y$4:$Y$1463,0))),NA()),IF($B$4="COMBAT RATING",IFERROR(IF(INDEX(MASTER!$G$4:$G$1463,MATCH("UNDYING"&amp;"|"&amp;MAX(1,ROUND(COUNTIFS(MASTER!$B$4:$B$1463,"UNDYING",MASTER!$G$4:$G$1463,"&lt;&gt;")*$A56*100/100,0)),MASTER!$AH$4:$AH$1463,0))="",NA(),INDEX(MASTER!$G$4:$G$1463,MATCH("UNDYING"&amp;"|"&amp;MAX(1,ROUND(COUNTIFS(MASTER!$B$4:$B$1463,"UNDYING",MASTER!$G$4:$G$1463,"&lt;&gt;")*$A56*100/100,0)),MASTER!$AH$4:$AH$1463,0))),NA()),IF($B$4="SECONDARY",IFERROR(IF(INDEX(MASTER!$L$4:$L$1463,MATCH("UNDYING"&amp;"|"&amp;MAX(1,ROUND(COUNTIFS(MASTER!$B$4:$B$1463,"UNDYING",MASTER!$L$4:$L$1463,"&lt;&gt;")*$A56*100/100,0)),MASTER!$AI$4:$AI$1463,0))="",NA(),INDEX(MASTER!$L$4:$L$1463,MATCH("UNDYING"&amp;"|"&amp;MAX(1,ROUND(COUNTIFS(MASTER!$B$4:$B$1463,"UNDYING",MASTER!$L$4:$L$1463,"&lt;&gt;")*$A56*100/100,0)),MASTER!$AI$4:$AI$1463,0))),NA()))))</f>
        <v>10023</v>
      </c>
      <c r="F56" s="37">
        <f>IF($B$4="RESONANCE",IFERROR(IF(INDEX(MASTER!$I$4:$I$1463,MATCH("SBG"&amp;"|"&amp;MAX(1,ROUND(COUNTIFS(MASTER!$B$4:$B$1463,"SBG",MASTER!$I$4:$I$1463,"&lt;&gt;")*$A56*100/100,0)),MASTER!$Y$4:$Y$1463,0))="",NA(),INDEX(MASTER!$I$4:$I$1463,MATCH("SBG"&amp;"|"&amp;MAX(1,ROUND(COUNTIFS(MASTER!$B$4:$B$1463,"SBG",MASTER!$I$4:$I$1463,"&lt;&gt;")*$A56*100/100,0)),MASTER!$Y$4:$Y$1463,0))),NA()),IF($B$4="COMBAT RATING",IFERROR(IF(INDEX(MASTER!$G$4:$G$1463,MATCH("SBG"&amp;"|"&amp;MAX(1,ROUND(COUNTIFS(MASTER!$B$4:$B$1463,"SBG",MASTER!$G$4:$G$1463,"&lt;&gt;")*$A56*100/100,0)),MASTER!$AH$4:$AH$1463,0))="",NA(),INDEX(MASTER!$G$4:$G$1463,MATCH("SBG"&amp;"|"&amp;MAX(1,ROUND(COUNTIFS(MASTER!$B$4:$B$1463,"SBG",MASTER!$G$4:$G$1463,"&lt;&gt;")*$A56*100/100,0)),MASTER!$AH$4:$AH$1463,0))),NA()),IF($B$4="SECONDARY",IFERROR(IF(INDEX(MASTER!$L$4:$L$1463,MATCH("SBG"&amp;"|"&amp;MAX(1,ROUND(COUNTIFS(MASTER!$B$4:$B$1463,"SBG",MASTER!$L$4:$L$1463,"&lt;&gt;")*$A56*100/100,0)),MASTER!$AI$4:$AI$1463,0))="",NA(),INDEX(MASTER!$L$4:$L$1463,MATCH("SBG"&amp;"|"&amp;MAX(1,ROUND(COUNTIFS(MASTER!$B$4:$B$1463,"SBG",MASTER!$L$4:$L$1463,"&lt;&gt;")*$A56*100/100,0)),MASTER!$AI$4:$AI$1463,0))),NA()))))</f>
        <v>12383</v>
      </c>
      <c r="G56" s="37">
        <f>IF($B$4="RESONANCE",IFERROR(IF(INDEX(MASTER!$I$4:$I$1463,MATCH("AZUKI"&amp;"|"&amp;MAX(1,ROUND(COUNTIFS(MASTER!$B$4:$B$1463,"AZUKI",MASTER!$I$4:$I$1463,"&lt;&gt;")*$A56*100/100,0)),MASTER!$Y$4:$Y$1463,0))="",NA(),INDEX(MASTER!$I$4:$I$1463,MATCH("AZUKI"&amp;"|"&amp;MAX(1,ROUND(COUNTIFS(MASTER!$B$4:$B$1463,"AZUKI",MASTER!$I$4:$I$1463,"&lt;&gt;")*$A56*100/100,0)),MASTER!$Y$4:$Y$1463,0))),NA()),IF($B$4="COMBAT RATING",IFERROR(IF(INDEX(MASTER!$G$4:$G$1463,MATCH("AZUKI"&amp;"|"&amp;MAX(1,ROUND(COUNTIFS(MASTER!$B$4:$B$1463,"AZUKI",MASTER!$G$4:$G$1463,"&lt;&gt;")*$A56*100/100,0)),MASTER!$AH$4:$AH$1463,0))="",NA(),INDEX(MASTER!$G$4:$G$1463,MATCH("AZUKI"&amp;"|"&amp;MAX(1,ROUND(COUNTIFS(MASTER!$B$4:$B$1463,"AZUKI",MASTER!$G$4:$G$1463,"&lt;&gt;")*$A56*100/100,0)),MASTER!$AH$4:$AH$1463,0))),NA()),IF($B$4="SECONDARY",IFERROR(IF(INDEX(MASTER!$L$4:$L$1463,MATCH("AZUKI"&amp;"|"&amp;MAX(1,ROUND(COUNTIFS(MASTER!$B$4:$B$1463,"AZUKI",MASTER!$L$4:$L$1463,"&lt;&gt;")*$A56*100/100,0)),MASTER!$AI$4:$AI$1463,0))="",NA(),INDEX(MASTER!$L$4:$L$1463,MATCH("AZUKI"&amp;"|"&amp;MAX(1,ROUND(COUNTIFS(MASTER!$B$4:$B$1463,"AZUKI",MASTER!$L$4:$L$1463,"&lt;&gt;")*$A56*100/100,0)),MASTER!$AI$4:$AI$1463,0))),NA()))))</f>
        <v>12511</v>
      </c>
      <c r="H56" s="37">
        <f>IF($B$4="RESONANCE",IFERROR(IF(INDEX(MASTER!$I$4:$I$1463,MATCH("RECKONING"&amp;"|"&amp;MAX(1,ROUND(COUNTIFS(MASTER!$B$4:$B$1463,"RECKONING",MASTER!$I$4:$I$1463,"&lt;&gt;")*$A56*100/100,0)),MASTER!$Y$4:$Y$1463,0))="",NA(),INDEX(MASTER!$I$4:$I$1463,MATCH("RECKONING"&amp;"|"&amp;MAX(1,ROUND(COUNTIFS(MASTER!$B$4:$B$1463,"RECKONING",MASTER!$I$4:$I$1463,"&lt;&gt;")*$A56*100/100,0)),MASTER!$Y$4:$Y$1463,0))),NA()),IF($B$4="COMBAT RATING",IFERROR(IF(INDEX(MASTER!$G$4:$G$1463,MATCH("RECKONING"&amp;"|"&amp;MAX(1,ROUND(COUNTIFS(MASTER!$B$4:$B$1463,"RECKONING",MASTER!$G$4:$G$1463,"&lt;&gt;")*$A56*100/100,0)),MASTER!$AH$4:$AH$1463,0))="",NA(),INDEX(MASTER!$G$4:$G$1463,MATCH("RECKONING"&amp;"|"&amp;MAX(1,ROUND(COUNTIFS(MASTER!$B$4:$B$1463,"RECKONING",MASTER!$G$4:$G$1463,"&lt;&gt;")*$A56*100/100,0)),MASTER!$AH$4:$AH$1463,0))),NA()),IF($B$4="SECONDARY",IFERROR(IF(INDEX(MASTER!$L$4:$L$1463,MATCH("RECKONING"&amp;"|"&amp;MAX(1,ROUND(COUNTIFS(MASTER!$B$4:$B$1463,"RECKONING",MASTER!$L$4:$L$1463,"&lt;&gt;")*$A56*100/100,0)),MASTER!$AI$4:$AI$1463,0))="",NA(),INDEX(MASTER!$L$4:$L$1463,MATCH("RECKONING"&amp;"|"&amp;MAX(1,ROUND(COUNTIFS(MASTER!$B$4:$B$1463,"RECKONING",MASTER!$L$4:$L$1463,"&lt;&gt;")*$A56*100/100,0)),MASTER!$AI$4:$AI$1463,0))),NA()))))</f>
        <v>11024</v>
      </c>
      <c r="I56" s="37">
        <f>IF($B$4="RESONANCE",IFERROR(IF(INDEX(MASTER!$I$4:$I$1463,MATCH("ACHERON"&amp;"|"&amp;MAX(1,ROUND(COUNTIFS(MASTER!$B$4:$B$1463,"ACHERON",MASTER!$I$4:$I$1463,"&lt;&gt;")*$A56*100/100,0)),MASTER!$Y$4:$Y$1463,0))="",NA(),INDEX(MASTER!$I$4:$I$1463,MATCH("ACHERON"&amp;"|"&amp;MAX(1,ROUND(COUNTIFS(MASTER!$B$4:$B$1463,"ACHERON",MASTER!$I$4:$I$1463,"&lt;&gt;")*$A56*100/100,0)),MASTER!$Y$4:$Y$1463,0))),NA()),IF($B$4="COMBAT RATING",IFERROR(IF(INDEX(MASTER!$G$4:$G$1463,MATCH("ACHERON"&amp;"|"&amp;MAX(1,ROUND(COUNTIFS(MASTER!$B$4:$B$1463,"ACHERON",MASTER!$G$4:$G$1463,"&lt;&gt;")*$A56*100/100,0)),MASTER!$AH$4:$AH$1463,0))="",NA(),INDEX(MASTER!$G$4:$G$1463,MATCH("ACHERON"&amp;"|"&amp;MAX(1,ROUND(COUNTIFS(MASTER!$B$4:$B$1463,"ACHERON",MASTER!$G$4:$G$1463,"&lt;&gt;")*$A56*100/100,0)),MASTER!$AH$4:$AH$1463,0))),NA()),IF($B$4="SECONDARY",IFERROR(IF(INDEX(MASTER!$L$4:$L$1463,MATCH("ACHERON"&amp;"|"&amp;MAX(1,ROUND(COUNTIFS(MASTER!$B$4:$B$1463,"ACHERON",MASTER!$L$4:$L$1463,"&lt;&gt;")*$A56*100/100,0)),MASTER!$AI$4:$AI$1463,0))="",NA(),INDEX(MASTER!$L$4:$L$1463,MATCH("ACHERON"&amp;"|"&amp;MAX(1,ROUND(COUNTIFS(MASTER!$B$4:$B$1463,"ACHERON",MASTER!$L$4:$L$1463,"&lt;&gt;")*$A56*100/100,0)),MASTER!$AI$4:$AI$1463,0))),NA()))))</f>
        <v>10705</v>
      </c>
      <c r="J56" s="37">
        <f>IF($B$4="RESONANCE",IFERROR(IF(INDEX(MASTER!$I$4:$I$1463,MATCH("INVICTUS"&amp;"|"&amp;MAX(1,ROUND(COUNTIFS(MASTER!$B$4:$B$1463,"INVICTUS",MASTER!$I$4:$I$1463,"&lt;&gt;")*$A56*100/100,0)),MASTER!$Y$4:$Y$1463,0))="",NA(),INDEX(MASTER!$I$4:$I$1463,MATCH("INVICTUS"&amp;"|"&amp;MAX(1,ROUND(COUNTIFS(MASTER!$B$4:$B$1463,"INVICTUS",MASTER!$I$4:$I$1463,"&lt;&gt;")*$A56*100/100,0)),MASTER!$Y$4:$Y$1463,0))),NA()),IF($B$4="COMBAT RATING",IFERROR(IF(INDEX(MASTER!$G$4:$G$1463,MATCH("INVICTUS"&amp;"|"&amp;MAX(1,ROUND(COUNTIFS(MASTER!$B$4:$B$1463,"INVICTUS",MASTER!$G$4:$G$1463,"&lt;&gt;")*$A56*100/100,0)),MASTER!$AH$4:$AH$1463,0))="",NA(),INDEX(MASTER!$G$4:$G$1463,MATCH("INVICTUS"&amp;"|"&amp;MAX(1,ROUND(COUNTIFS(MASTER!$B$4:$B$1463,"INVICTUS",MASTER!$G$4:$G$1463,"&lt;&gt;")*$A56*100/100,0)),MASTER!$AH$4:$AH$1463,0))),NA()),IF($B$4="SECONDARY",IFERROR(IF(INDEX(MASTER!$L$4:$L$1463,MATCH("INVICTUS"&amp;"|"&amp;MAX(1,ROUND(COUNTIFS(MASTER!$B$4:$B$1463,"INVICTUS",MASTER!$L$4:$L$1463,"&lt;&gt;")*$A56*100/100,0)),MASTER!$AI$4:$AI$1463,0))="",NA(),INDEX(MASTER!$L$4:$L$1463,MATCH("INVICTUS"&amp;"|"&amp;MAX(1,ROUND(COUNTIFS(MASTER!$B$4:$B$1463,"INVICTUS",MASTER!$L$4:$L$1463,"&lt;&gt;")*$A56*100/100,0)),MASTER!$AI$4:$AI$1463,0))),NA()))))</f>
        <v>9752</v>
      </c>
      <c r="K56" s="37">
        <f>IF($B$4="RESONANCE",IFERROR(IF(INDEX(MASTER!$I$4:$I$1463,MATCH("EMERALD LEAF TRIBE"&amp;"|"&amp;MAX(1,ROUND(COUNTIFS(MASTER!$B$4:$B$1463,"EMERALD LEAF TRIBE",MASTER!$I$4:$I$1463,"&lt;&gt;")*$A56*100/100,0)),MASTER!$Y$4:$Y$1463,0))="",NA(),INDEX(MASTER!$I$4:$I$1463,MATCH("EMERALD LEAF TRIBE"&amp;"|"&amp;MAX(1,ROUND(COUNTIFS(MASTER!$B$4:$B$1463,"EMERALD LEAF TRIBE",MASTER!$I$4:$I$1463,"&lt;&gt;")*$A56*100/100,0)),MASTER!$Y$4:$Y$1463,0))),NA()),IF($B$4="COMBAT RATING",IFERROR(IF(INDEX(MASTER!$G$4:$G$1463,MATCH("EMERALD LEAF TRIBE"&amp;"|"&amp;MAX(1,ROUND(COUNTIFS(MASTER!$B$4:$B$1463,"EMERALD LEAF TRIBE",MASTER!$G$4:$G$1463,"&lt;&gt;")*$A56*100/100,0)),MASTER!$AH$4:$AH$1463,0))="",NA(),INDEX(MASTER!$G$4:$G$1463,MATCH("EMERALD LEAF TRIBE"&amp;"|"&amp;MAX(1,ROUND(COUNTIFS(MASTER!$B$4:$B$1463,"EMERALD LEAF TRIBE",MASTER!$G$4:$G$1463,"&lt;&gt;")*$A56*100/100,0)),MASTER!$AH$4:$AH$1463,0))),NA()),IF($B$4="SECONDARY",IFERROR(IF(INDEX(MASTER!$L$4:$L$1463,MATCH("EMERALD LEAF TRIBE"&amp;"|"&amp;MAX(1,ROUND(COUNTIFS(MASTER!$B$4:$B$1463,"EMERALD LEAF TRIBE",MASTER!$L$4:$L$1463,"&lt;&gt;")*$A56*100/100,0)),MASTER!$AI$4:$AI$1463,0))="",NA(),INDEX(MASTER!$L$4:$L$1463,MATCH("EMERALD LEAF TRIBE"&amp;"|"&amp;MAX(1,ROUND(COUNTIFS(MASTER!$B$4:$B$1463,"EMERALD LEAF TRIBE",MASTER!$L$4:$L$1463,"&lt;&gt;")*$A56*100/100,0)),MASTER!$AI$4:$AI$1463,0))),NA()))))</f>
        <v>5260</v>
      </c>
      <c r="L56" s="37">
        <f>IF($B$4="RESONANCE",IFERROR(IF(INDEX(MASTER!$I$4:$I$1463,MATCH("SUB ROSA"&amp;"|"&amp;MAX(1,ROUND(COUNTIFS(MASTER!$B$4:$B$1463,"SUB ROSA",MASTER!$I$4:$I$1463,"&lt;&gt;")*$A56*100/100,0)),MASTER!$Y$4:$Y$1463,0))="",NA(),INDEX(MASTER!$I$4:$I$1463,MATCH("SUB ROSA"&amp;"|"&amp;MAX(1,ROUND(COUNTIFS(MASTER!$B$4:$B$1463,"SUB ROSA",MASTER!$I$4:$I$1463,"&lt;&gt;")*$A56*100/100,0)),MASTER!$Y$4:$Y$1463,0))),NA()),IF($B$4="COMBAT RATING",IFERROR(IF(INDEX(MASTER!$G$4:$G$1463,MATCH("SUB ROSA"&amp;"|"&amp;MAX(1,ROUND(COUNTIFS(MASTER!$B$4:$B$1463,"SUB ROSA",MASTER!$G$4:$G$1463,"&lt;&gt;")*$A56*100/100,0)),MASTER!$AH$4:$AH$1463,0))="",NA(),INDEX(MASTER!$G$4:$G$1463,MATCH("SUB ROSA"&amp;"|"&amp;MAX(1,ROUND(COUNTIFS(MASTER!$B$4:$B$1463,"SUB ROSA",MASTER!$G$4:$G$1463,"&lt;&gt;")*$A56*100/100,0)),MASTER!$AH$4:$AH$1463,0))),NA()),IF($B$4="SECONDARY",IFERROR(IF(INDEX(MASTER!$L$4:$L$1463,MATCH("SUB ROSA"&amp;"|"&amp;MAX(1,ROUND(COUNTIFS(MASTER!$B$4:$B$1463,"SUB ROSA",MASTER!$L$4:$L$1463,"&lt;&gt;")*$A56*100/100,0)),MASTER!$AI$4:$AI$1463,0))="",NA(),INDEX(MASTER!$L$4:$L$1463,MATCH("SUB ROSA"&amp;"|"&amp;MAX(1,ROUND(COUNTIFS(MASTER!$B$4:$B$1463,"SUB ROSA",MASTER!$L$4:$L$1463,"&lt;&gt;")*$A56*100/100,0)),MASTER!$AI$4:$AI$1463,0))),NA()))))</f>
        <v>11094</v>
      </c>
      <c r="M56" s="37">
        <f>IF($B$4="RESONANCE",IFERROR(IF(INDEX(MASTER!$I$4:$I$1463,MATCH("VENGEANCE"&amp;"|"&amp;MAX(1,ROUND(COUNTIFS(MASTER!$B$4:$B$1463,"VENGEANCE",MASTER!$I$4:$I$1463,"&lt;&gt;")*$A56*100/100,0)),MASTER!$Y$4:$Y$1463,0))="",NA(),INDEX(MASTER!$I$4:$I$1463,MATCH("VENGEANCE"&amp;"|"&amp;MAX(1,ROUND(COUNTIFS(MASTER!$B$4:$B$1463,"VENGEANCE",MASTER!$I$4:$I$1463,"&lt;&gt;")*$A56*100/100,0)),MASTER!$Y$4:$Y$1463,0))),NA()),IF($B$4="COMBAT RATING",IFERROR(IF(INDEX(MASTER!$G$4:$G$1463,MATCH("VENGEANCE"&amp;"|"&amp;MAX(1,ROUND(COUNTIFS(MASTER!$B$4:$B$1463,"VENGEANCE",MASTER!$G$4:$G$1463,"&lt;&gt;")*$A56*100/100,0)),MASTER!$AH$4:$AH$1463,0))="",NA(),INDEX(MASTER!$G$4:$G$1463,MATCH("VENGEANCE"&amp;"|"&amp;MAX(1,ROUND(COUNTIFS(MASTER!$B$4:$B$1463,"VENGEANCE",MASTER!$G$4:$G$1463,"&lt;&gt;")*$A56*100/100,0)),MASTER!$AH$4:$AH$1463,0))),NA()),IF($B$4="SECONDARY",IFERROR(IF(INDEX(MASTER!$L$4:$L$1463,MATCH("VENGEANCE"&amp;"|"&amp;MAX(1,ROUND(COUNTIFS(MASTER!$B$4:$B$1463,"VENGEANCE",MASTER!$L$4:$L$1463,"&lt;&gt;")*$A56*100/100,0)),MASTER!$AI$4:$AI$1463,0))="",NA(),INDEX(MASTER!$L$4:$L$1463,MATCH("VENGEANCE"&amp;"|"&amp;MAX(1,ROUND(COUNTIFS(MASTER!$B$4:$B$1463,"VENGEANCE",MASTER!$L$4:$L$1463,"&lt;&gt;")*$A56*100/100,0)),MASTER!$AI$4:$AI$1463,0))),NA()))))</f>
        <v>7759</v>
      </c>
      <c r="N56" s="37">
        <f>IF($B$4="RESONANCE",IFERROR(IF(INDEX(MASTER!$I$4:$I$1463,MATCH("VENDETTA"&amp;"|"&amp;MAX(1,ROUND(COUNTIFS(MASTER!$B$4:$B$1463,"VENDETTA",MASTER!$I$4:$I$1463,"&lt;&gt;")*$A56*100/100,0)),MASTER!$Y$4:$Y$1463,0))="",NA(),INDEX(MASTER!$I$4:$I$1463,MATCH("VENDETTA"&amp;"|"&amp;MAX(1,ROUND(COUNTIFS(MASTER!$B$4:$B$1463,"VENDETTA",MASTER!$I$4:$I$1463,"&lt;&gt;")*$A56*100/100,0)),MASTER!$Y$4:$Y$1463,0))),NA()),IF($B$4="COMBAT RATING",IFERROR(IF(INDEX(MASTER!$G$4:$G$1463,MATCH("VENDETTA"&amp;"|"&amp;MAX(1,ROUND(COUNTIFS(MASTER!$B$4:$B$1463,"VENDETTA",MASTER!$G$4:$G$1463,"&lt;&gt;")*$A56*100/100,0)),MASTER!$AH$4:$AH$1463,0))="",NA(),INDEX(MASTER!$G$4:$G$1463,MATCH("VENDETTA"&amp;"|"&amp;MAX(1,ROUND(COUNTIFS(MASTER!$B$4:$B$1463,"VENDETTA",MASTER!$G$4:$G$1463,"&lt;&gt;")*$A56*100/100,0)),MASTER!$AH$4:$AH$1463,0))),NA()),IF($B$4="SECONDARY",IFERROR(IF(INDEX(MASTER!$L$4:$L$1463,MATCH("VENDETTA"&amp;"|"&amp;MAX(1,ROUND(COUNTIFS(MASTER!$B$4:$B$1463,"VENDETTA",MASTER!$L$4:$L$1463,"&lt;&gt;")*$A56*100/100,0)),MASTER!$AI$4:$AI$1463,0))="",NA(),INDEX(MASTER!$L$4:$L$1463,MATCH("VENDETTA"&amp;"|"&amp;MAX(1,ROUND(COUNTIFS(MASTER!$B$4:$B$1463,"VENDETTA",MASTER!$L$4:$L$1463,"&lt;&gt;")*$A56*100/100,0)),MASTER!$AI$4:$AI$1463,0))),NA()))))</f>
        <v>4790</v>
      </c>
      <c r="O56" s="37">
        <f>IF($B$4="RESONANCE",IFERROR(IF(INDEX(MASTER!$I$4:$I$1463,MATCH("ZOMBIES"&amp;"|"&amp;MAX(1,ROUND(COUNTIFS(MASTER!$B$4:$B$1463,"ZOMBIES",MASTER!$I$4:$I$1463,"&lt;&gt;")*$A56*100/100,0)),MASTER!$Y$4:$Y$1463,0))="",NA(),INDEX(MASTER!$I$4:$I$1463,MATCH("ZOMBIES"&amp;"|"&amp;MAX(1,ROUND(COUNTIFS(MASTER!$B$4:$B$1463,"ZOMBIES",MASTER!$I$4:$I$1463,"&lt;&gt;")*$A56*100/100,0)),MASTER!$Y$4:$Y$1463,0))),NA()),IF($B$4="COMBAT RATING",IFERROR(IF(INDEX(MASTER!$G$4:$G$1463,MATCH("ZOMBIES"&amp;"|"&amp;MAX(1,ROUND(COUNTIFS(MASTER!$B$4:$B$1463,"ZOMBIES",MASTER!$G$4:$G$1463,"&lt;&gt;")*$A56*100/100,0)),MASTER!$AH$4:$AH$1463,0))="",NA(),INDEX(MASTER!$G$4:$G$1463,MATCH("ZOMBIES"&amp;"|"&amp;MAX(1,ROUND(COUNTIFS(MASTER!$B$4:$B$1463,"ZOMBIES",MASTER!$G$4:$G$1463,"&lt;&gt;")*$A56*100/100,0)),MASTER!$AH$4:$AH$1463,0))),NA()),IF($B$4="SECONDARY",IFERROR(IF(INDEX(MASTER!$L$4:$L$1463,MATCH("ZOMBIES"&amp;"|"&amp;MAX(1,ROUND(COUNTIFS(MASTER!$B$4:$B$1463,"ZOMBIES",MASTER!$L$4:$L$1463,"&lt;&gt;")*$A56*100/100,0)),MASTER!$AI$4:$AI$1463,0))="",NA(),INDEX(MASTER!$L$4:$L$1463,MATCH("ZOMBIES"&amp;"|"&amp;MAX(1,ROUND(COUNTIFS(MASTER!$B$4:$B$1463,"ZOMBIES",MASTER!$L$4:$L$1463,"&lt;&gt;")*$A56*100/100,0)),MASTER!$AI$4:$AI$1463,0))),NA()))))</f>
        <v>8652</v>
      </c>
      <c r="P56" s="37">
        <f>IF($B$4="RESONANCE",IFERROR(IF(INDEX(MASTER!$I$4:$I$1463,MATCH("FUCT"&amp;"|"&amp;MAX(1,ROUND(COUNTIFS(MASTER!$B$4:$B$1463,"FUCT",MASTER!$I$4:$I$1463,"&lt;&gt;")*$A56*100/100,0)),MASTER!$Y$4:$Y$1463,0))="",NA(),INDEX(MASTER!$I$4:$I$1463,MATCH("FUCT"&amp;"|"&amp;MAX(1,ROUND(COUNTIFS(MASTER!$B$4:$B$1463,"FUCT",MASTER!$I$4:$I$1463,"&lt;&gt;")*$A56*100/100,0)),MASTER!$Y$4:$Y$1463,0))),NA()),IF($B$4="COMBAT RATING",IFERROR(IF(INDEX(MASTER!$G$4:$G$1463,MATCH("FUCT"&amp;"|"&amp;MAX(1,ROUND(COUNTIFS(MASTER!$B$4:$B$1463,"FUCT",MASTER!$G$4:$G$1463,"&lt;&gt;")*$A56*100/100,0)),MASTER!$AH$4:$AH$1463,0))="",NA(),INDEX(MASTER!$G$4:$G$1463,MATCH("FUCT"&amp;"|"&amp;MAX(1,ROUND(COUNTIFS(MASTER!$B$4:$B$1463,"FUCT",MASTER!$G$4:$G$1463,"&lt;&gt;")*$A56*100/100,0)),MASTER!$AH$4:$AH$1463,0))),NA()),IF($B$4="SECONDARY",IFERROR(IF(INDEX(MASTER!$L$4:$L$1463,MATCH("FUCT"&amp;"|"&amp;MAX(1,ROUND(COUNTIFS(MASTER!$B$4:$B$1463,"FUCT",MASTER!$L$4:$L$1463,"&lt;&gt;")*$A56*100/100,0)),MASTER!$AI$4:$AI$1463,0))="",NA(),INDEX(MASTER!$L$4:$L$1463,MATCH("FUCT"&amp;"|"&amp;MAX(1,ROUND(COUNTIFS(MASTER!$B$4:$B$1463,"FUCT",MASTER!$L$4:$L$1463,"&lt;&gt;")*$A56*100/100,0)),MASTER!$AI$4:$AI$1463,0))),NA()))))</f>
        <v>11602</v>
      </c>
      <c r="Q56" s="37">
        <f>IF($B$4="RESONANCE",IFERROR(IF(INDEX(MASTER!$I$4:$I$1463,MATCH($E$4&amp;"|"&amp;MAX(1,ROUND(COUNTIFS(MASTER!$B$4:$B$1463,$E$4,MASTER!$I$4:$I$1463,"&lt;&gt;")*$A56*100/100,0)),MASTER!$Y$4:$Y$1463,0))="",NA(),INDEX(MASTER!$I$4:$I$1463,MATCH($E$4&amp;"|"&amp;MAX(1,ROUND(COUNTIFS(MASTER!$B$4:$B$1463,$E$4,MASTER!$I$4:$I$1463,"&lt;&gt;")*$A56*100/100,0)),MASTER!$Y$4:$Y$1463,0))),NA()),IF($B$4="COMBAT RATING",IFERROR(IF(INDEX(MASTER!$G$4:$G$1463,MATCH($E$4&amp;"|"&amp;MAX(1,ROUND(COUNTIFS(MASTER!$B$4:$B$1463,$E$4,MASTER!$G$4:$G$1463,"&lt;&gt;")*$A56*100/100,0)),MASTER!$AH$4:$AH$1463,0))="",NA(),INDEX(MASTER!$G$4:$G$1463,MATCH($E$4&amp;"|"&amp;MAX(1,ROUND(COUNTIFS(MASTER!$B$4:$B$1463,$E$4,MASTER!$G$4:$G$1463,"&lt;&gt;")*$A56*100/100,0)),MASTER!$AH$4:$AH$1463,0))),NA()),IF($B$4="SECONDARY",IFERROR(IF(INDEX(MASTER!$L$4:$L$1463,MATCH($E$4&amp;"|"&amp;MAX(1,ROUND(COUNTIFS(MASTER!$B$4:$B$1463,$E$4,MASTER!$L$4:$L$1463,"&lt;&gt;")*$A56*100/100,0)),MASTER!$AI$4:$AI$1463,0))="",NA(),INDEX(MASTER!$L$4:$L$1463,MATCH($E$4&amp;"|"&amp;MAX(1,ROUND(COUNTIFS(MASTER!$B$4:$B$1463,$E$4,MASTER!$L$4:$L$1463,"&lt;&gt;")*$A56*100/100,0)),MASTER!$AI$4:$AI$1463,0))),NA()))))</f>
        <v>10023</v>
      </c>
    </row>
    <row r="57" spans="1:17" hidden="1">
      <c r="A57" s="36">
        <v>0.02</v>
      </c>
      <c r="B57" s="37">
        <f>IF($B$4="RESONANCE",IFERROR(IF(INDEX(MASTER!$I$4:$I$1463,MATCH("FUCT"&amp;"|"&amp;MAX(1,ROUND(COUNTIFS(MASTER!$B$4:$B$1463,"FUCT",MASTER!$I$4:$I$1463,"&lt;&gt;")*$A57*100/100,0)),MASTER!$Y$4:$Y$1463,0))="",NA(),INDEX(MASTER!$I$4:$I$1463,MATCH("FUCT"&amp;"|"&amp;MAX(1,ROUND(COUNTIFS(MASTER!$B$4:$B$1463,"FUCT",MASTER!$I$4:$I$1463,"&lt;&gt;")*$A57*100/100,0)),MASTER!$Y$4:$Y$1463,0))),NA()),IF($B$4="COMBAT RATING",IFERROR(IF(INDEX(MASTER!$G$4:$G$1463,MATCH("FUCT"&amp;"|"&amp;MAX(1,ROUND(COUNTIFS(MASTER!$B$4:$B$1463,"FUCT",MASTER!$G$4:$G$1463,"&lt;&gt;")*$A57*100/100,0)),MASTER!$AH$4:$AH$1463,0))="",NA(),INDEX(MASTER!$G$4:$G$1463,MATCH("FUCT"&amp;"|"&amp;MAX(1,ROUND(COUNTIFS(MASTER!$B$4:$B$1463,"FUCT",MASTER!$G$4:$G$1463,"&lt;&gt;")*$A57*100/100,0)),MASTER!$AH$4:$AH$1463,0))),NA()),IF($B$4="SECONDARY",IFERROR(IF(INDEX(MASTER!$L$4:$L$1463,MATCH("FUCT"&amp;"|"&amp;MAX(1,ROUND(COUNTIFS(MASTER!$B$4:$B$1463,"FUCT",MASTER!$L$4:$L$1463,"&lt;&gt;")*$A57*100/100,0)),MASTER!$AI$4:$AI$1463,0))="",NA(),INDEX(MASTER!$L$4:$L$1463,MATCH("FUCT"&amp;"|"&amp;MAX(1,ROUND(COUNTIFS(MASTER!$B$4:$B$1463,"FUCT",MASTER!$L$4:$L$1463,"&lt;&gt;")*$A57*100/100,0)),MASTER!$AI$4:$AI$1463,0))),NA()))))</f>
        <v>10376</v>
      </c>
      <c r="C57" s="37">
        <f>IF($B$4="RESONANCE",IFERROR(IF(INDEX(MASTER!$I$4:$I$1463,MATCH("LEGENDS"&amp;"|"&amp;MAX(1,ROUND(COUNTIFS(MASTER!$B$4:$B$1463,"LEGENDS",MASTER!$I$4:$I$1463,"&lt;&gt;")*$A57*100/100,0)),MASTER!$Y$4:$Y$1463,0))="",NA(),INDEX(MASTER!$I$4:$I$1463,MATCH("LEGENDS"&amp;"|"&amp;MAX(1,ROUND(COUNTIFS(MASTER!$B$4:$B$1463,"LEGENDS",MASTER!$I$4:$I$1463,"&lt;&gt;")*$A57*100/100,0)),MASTER!$Y$4:$Y$1463,0))),NA()),IF($B$4="COMBAT RATING",IFERROR(IF(INDEX(MASTER!$G$4:$G$1463,MATCH("LEGENDS"&amp;"|"&amp;MAX(1,ROUND(COUNTIFS(MASTER!$B$4:$B$1463,"LEGENDS",MASTER!$G$4:$G$1463,"&lt;&gt;")*$A57*100/100,0)),MASTER!$AH$4:$AH$1463,0))="",NA(),INDEX(MASTER!$G$4:$G$1463,MATCH("LEGENDS"&amp;"|"&amp;MAX(1,ROUND(COUNTIFS(MASTER!$B$4:$B$1463,"LEGENDS",MASTER!$G$4:$G$1463,"&lt;&gt;")*$A57*100/100,0)),MASTER!$AH$4:$AH$1463,0))),NA()),IF($B$4="SECONDARY",IFERROR(IF(INDEX(MASTER!$L$4:$L$1463,MATCH("LEGENDS"&amp;"|"&amp;MAX(1,ROUND(COUNTIFS(MASTER!$B$4:$B$1463,"LEGENDS",MASTER!$L$4:$L$1463,"&lt;&gt;")*$A57*100/100,0)),MASTER!$AI$4:$AI$1463,0))="",NA(),INDEX(MASTER!$L$4:$L$1463,MATCH("LEGENDS"&amp;"|"&amp;MAX(1,ROUND(COUNTIFS(MASTER!$B$4:$B$1463,"LEGENDS",MASTER!$L$4:$L$1463,"&lt;&gt;")*$A57*100/100,0)),MASTER!$AI$4:$AI$1463,0))),NA()))))</f>
        <v>11001</v>
      </c>
      <c r="D57" s="37">
        <f>IF($B$4="RESONANCE",IFERROR(IF(INDEX(MASTER!$I$4:$I$1463,MATCH("VANGUARD"&amp;"|"&amp;MAX(1,ROUND(COUNTIFS(MASTER!$B$4:$B$1463,"VANGUARD",MASTER!$I$4:$I$1463,"&lt;&gt;")*$A57*100/100,0)),MASTER!$Y$4:$Y$1463,0))="",NA(),INDEX(MASTER!$I$4:$I$1463,MATCH("VANGUARD"&amp;"|"&amp;MAX(1,ROUND(COUNTIFS(MASTER!$B$4:$B$1463,"VANGUARD",MASTER!$I$4:$I$1463,"&lt;&gt;")*$A57*100/100,0)),MASTER!$Y$4:$Y$1463,0))),NA()),IF($B$4="COMBAT RATING",IFERROR(IF(INDEX(MASTER!$G$4:$G$1463,MATCH("VANGUARD"&amp;"|"&amp;MAX(1,ROUND(COUNTIFS(MASTER!$B$4:$B$1463,"VANGUARD",MASTER!$G$4:$G$1463,"&lt;&gt;")*$A57*100/100,0)),MASTER!$AH$4:$AH$1463,0))="",NA(),INDEX(MASTER!$G$4:$G$1463,MATCH("VANGUARD"&amp;"|"&amp;MAX(1,ROUND(COUNTIFS(MASTER!$B$4:$B$1463,"VANGUARD",MASTER!$G$4:$G$1463,"&lt;&gt;")*$A57*100/100,0)),MASTER!$AH$4:$AH$1463,0))),NA()),IF($B$4="SECONDARY",IFERROR(IF(INDEX(MASTER!$L$4:$L$1463,MATCH("VANGUARD"&amp;"|"&amp;MAX(1,ROUND(COUNTIFS(MASTER!$B$4:$B$1463,"VANGUARD",MASTER!$L$4:$L$1463,"&lt;&gt;")*$A57*100/100,0)),MASTER!$AI$4:$AI$1463,0))="",NA(),INDEX(MASTER!$L$4:$L$1463,MATCH("VANGUARD"&amp;"|"&amp;MAX(1,ROUND(COUNTIFS(MASTER!$B$4:$B$1463,"VANGUARD",MASTER!$L$4:$L$1463,"&lt;&gt;")*$A57*100/100,0)),MASTER!$AI$4:$AI$1463,0))),NA()))))</f>
        <v>10352</v>
      </c>
      <c r="E57" s="37">
        <f>IF($B$4="RESONANCE",IFERROR(IF(INDEX(MASTER!$I$4:$I$1463,MATCH("UNDYING"&amp;"|"&amp;MAX(1,ROUND(COUNTIFS(MASTER!$B$4:$B$1463,"UNDYING",MASTER!$I$4:$I$1463,"&lt;&gt;")*$A57*100/100,0)),MASTER!$Y$4:$Y$1463,0))="",NA(),INDEX(MASTER!$I$4:$I$1463,MATCH("UNDYING"&amp;"|"&amp;MAX(1,ROUND(COUNTIFS(MASTER!$B$4:$B$1463,"UNDYING",MASTER!$I$4:$I$1463,"&lt;&gt;")*$A57*100/100,0)),MASTER!$Y$4:$Y$1463,0))),NA()),IF($B$4="COMBAT RATING",IFERROR(IF(INDEX(MASTER!$G$4:$G$1463,MATCH("UNDYING"&amp;"|"&amp;MAX(1,ROUND(COUNTIFS(MASTER!$B$4:$B$1463,"UNDYING",MASTER!$G$4:$G$1463,"&lt;&gt;")*$A57*100/100,0)),MASTER!$AH$4:$AH$1463,0))="",NA(),INDEX(MASTER!$G$4:$G$1463,MATCH("UNDYING"&amp;"|"&amp;MAX(1,ROUND(COUNTIFS(MASTER!$B$4:$B$1463,"UNDYING",MASTER!$G$4:$G$1463,"&lt;&gt;")*$A57*100/100,0)),MASTER!$AH$4:$AH$1463,0))),NA()),IF($B$4="SECONDARY",IFERROR(IF(INDEX(MASTER!$L$4:$L$1463,MATCH("UNDYING"&amp;"|"&amp;MAX(1,ROUND(COUNTIFS(MASTER!$B$4:$B$1463,"UNDYING",MASTER!$L$4:$L$1463,"&lt;&gt;")*$A57*100/100,0)),MASTER!$AI$4:$AI$1463,0))="",NA(),INDEX(MASTER!$L$4:$L$1463,MATCH("UNDYING"&amp;"|"&amp;MAX(1,ROUND(COUNTIFS(MASTER!$B$4:$B$1463,"UNDYING",MASTER!$L$4:$L$1463,"&lt;&gt;")*$A57*100/100,0)),MASTER!$AI$4:$AI$1463,0))),NA()))))</f>
        <v>9637</v>
      </c>
      <c r="F57" s="37">
        <f>IF($B$4="RESONANCE",IFERROR(IF(INDEX(MASTER!$I$4:$I$1463,MATCH("SBG"&amp;"|"&amp;MAX(1,ROUND(COUNTIFS(MASTER!$B$4:$B$1463,"SBG",MASTER!$I$4:$I$1463,"&lt;&gt;")*$A57*100/100,0)),MASTER!$Y$4:$Y$1463,0))="",NA(),INDEX(MASTER!$I$4:$I$1463,MATCH("SBG"&amp;"|"&amp;MAX(1,ROUND(COUNTIFS(MASTER!$B$4:$B$1463,"SBG",MASTER!$I$4:$I$1463,"&lt;&gt;")*$A57*100/100,0)),MASTER!$Y$4:$Y$1463,0))),NA()),IF($B$4="COMBAT RATING",IFERROR(IF(INDEX(MASTER!$G$4:$G$1463,MATCH("SBG"&amp;"|"&amp;MAX(1,ROUND(COUNTIFS(MASTER!$B$4:$B$1463,"SBG",MASTER!$G$4:$G$1463,"&lt;&gt;")*$A57*100/100,0)),MASTER!$AH$4:$AH$1463,0))="",NA(),INDEX(MASTER!$G$4:$G$1463,MATCH("SBG"&amp;"|"&amp;MAX(1,ROUND(COUNTIFS(MASTER!$B$4:$B$1463,"SBG",MASTER!$G$4:$G$1463,"&lt;&gt;")*$A57*100/100,0)),MASTER!$AH$4:$AH$1463,0))),NA()),IF($B$4="SECONDARY",IFERROR(IF(INDEX(MASTER!$L$4:$L$1463,MATCH("SBG"&amp;"|"&amp;MAX(1,ROUND(COUNTIFS(MASTER!$B$4:$B$1463,"SBG",MASTER!$L$4:$L$1463,"&lt;&gt;")*$A57*100/100,0)),MASTER!$AI$4:$AI$1463,0))="",NA(),INDEX(MASTER!$L$4:$L$1463,MATCH("SBG"&amp;"|"&amp;MAX(1,ROUND(COUNTIFS(MASTER!$B$4:$B$1463,"SBG",MASTER!$L$4:$L$1463,"&lt;&gt;")*$A57*100/100,0)),MASTER!$AI$4:$AI$1463,0))),NA()))))</f>
        <v>11448</v>
      </c>
      <c r="G57" s="37">
        <f>IF($B$4="RESONANCE",IFERROR(IF(INDEX(MASTER!$I$4:$I$1463,MATCH("AZUKI"&amp;"|"&amp;MAX(1,ROUND(COUNTIFS(MASTER!$B$4:$B$1463,"AZUKI",MASTER!$I$4:$I$1463,"&lt;&gt;")*$A57*100/100,0)),MASTER!$Y$4:$Y$1463,0))="",NA(),INDEX(MASTER!$I$4:$I$1463,MATCH("AZUKI"&amp;"|"&amp;MAX(1,ROUND(COUNTIFS(MASTER!$B$4:$B$1463,"AZUKI",MASTER!$I$4:$I$1463,"&lt;&gt;")*$A57*100/100,0)),MASTER!$Y$4:$Y$1463,0))),NA()),IF($B$4="COMBAT RATING",IFERROR(IF(INDEX(MASTER!$G$4:$G$1463,MATCH("AZUKI"&amp;"|"&amp;MAX(1,ROUND(COUNTIFS(MASTER!$B$4:$B$1463,"AZUKI",MASTER!$G$4:$G$1463,"&lt;&gt;")*$A57*100/100,0)),MASTER!$AH$4:$AH$1463,0))="",NA(),INDEX(MASTER!$G$4:$G$1463,MATCH("AZUKI"&amp;"|"&amp;MAX(1,ROUND(COUNTIFS(MASTER!$B$4:$B$1463,"AZUKI",MASTER!$G$4:$G$1463,"&lt;&gt;")*$A57*100/100,0)),MASTER!$AH$4:$AH$1463,0))),NA()),IF($B$4="SECONDARY",IFERROR(IF(INDEX(MASTER!$L$4:$L$1463,MATCH("AZUKI"&amp;"|"&amp;MAX(1,ROUND(COUNTIFS(MASTER!$B$4:$B$1463,"AZUKI",MASTER!$L$4:$L$1463,"&lt;&gt;")*$A57*100/100,0)),MASTER!$AI$4:$AI$1463,0))="",NA(),INDEX(MASTER!$L$4:$L$1463,MATCH("AZUKI"&amp;"|"&amp;MAX(1,ROUND(COUNTIFS(MASTER!$B$4:$B$1463,"AZUKI",MASTER!$L$4:$L$1463,"&lt;&gt;")*$A57*100/100,0)),MASTER!$AI$4:$AI$1463,0))),NA()))))</f>
        <v>12511</v>
      </c>
      <c r="H57" s="37">
        <f>IF($B$4="RESONANCE",IFERROR(IF(INDEX(MASTER!$I$4:$I$1463,MATCH("RECKONING"&amp;"|"&amp;MAX(1,ROUND(COUNTIFS(MASTER!$B$4:$B$1463,"RECKONING",MASTER!$I$4:$I$1463,"&lt;&gt;")*$A57*100/100,0)),MASTER!$Y$4:$Y$1463,0))="",NA(),INDEX(MASTER!$I$4:$I$1463,MATCH("RECKONING"&amp;"|"&amp;MAX(1,ROUND(COUNTIFS(MASTER!$B$4:$B$1463,"RECKONING",MASTER!$I$4:$I$1463,"&lt;&gt;")*$A57*100/100,0)),MASTER!$Y$4:$Y$1463,0))),NA()),IF($B$4="COMBAT RATING",IFERROR(IF(INDEX(MASTER!$G$4:$G$1463,MATCH("RECKONING"&amp;"|"&amp;MAX(1,ROUND(COUNTIFS(MASTER!$B$4:$B$1463,"RECKONING",MASTER!$G$4:$G$1463,"&lt;&gt;")*$A57*100/100,0)),MASTER!$AH$4:$AH$1463,0))="",NA(),INDEX(MASTER!$G$4:$G$1463,MATCH("RECKONING"&amp;"|"&amp;MAX(1,ROUND(COUNTIFS(MASTER!$B$4:$B$1463,"RECKONING",MASTER!$G$4:$G$1463,"&lt;&gt;")*$A57*100/100,0)),MASTER!$AH$4:$AH$1463,0))),NA()),IF($B$4="SECONDARY",IFERROR(IF(INDEX(MASTER!$L$4:$L$1463,MATCH("RECKONING"&amp;"|"&amp;MAX(1,ROUND(COUNTIFS(MASTER!$B$4:$B$1463,"RECKONING",MASTER!$L$4:$L$1463,"&lt;&gt;")*$A57*100/100,0)),MASTER!$AI$4:$AI$1463,0))="",NA(),INDEX(MASTER!$L$4:$L$1463,MATCH("RECKONING"&amp;"|"&amp;MAX(1,ROUND(COUNTIFS(MASTER!$B$4:$B$1463,"RECKONING",MASTER!$L$4:$L$1463,"&lt;&gt;")*$A57*100/100,0)),MASTER!$AI$4:$AI$1463,0))),NA()))))</f>
        <v>11000</v>
      </c>
      <c r="I57" s="37">
        <f>IF($B$4="RESONANCE",IFERROR(IF(INDEX(MASTER!$I$4:$I$1463,MATCH("ACHERON"&amp;"|"&amp;MAX(1,ROUND(COUNTIFS(MASTER!$B$4:$B$1463,"ACHERON",MASTER!$I$4:$I$1463,"&lt;&gt;")*$A57*100/100,0)),MASTER!$Y$4:$Y$1463,0))="",NA(),INDEX(MASTER!$I$4:$I$1463,MATCH("ACHERON"&amp;"|"&amp;MAX(1,ROUND(COUNTIFS(MASTER!$B$4:$B$1463,"ACHERON",MASTER!$I$4:$I$1463,"&lt;&gt;")*$A57*100/100,0)),MASTER!$Y$4:$Y$1463,0))),NA()),IF($B$4="COMBAT RATING",IFERROR(IF(INDEX(MASTER!$G$4:$G$1463,MATCH("ACHERON"&amp;"|"&amp;MAX(1,ROUND(COUNTIFS(MASTER!$B$4:$B$1463,"ACHERON",MASTER!$G$4:$G$1463,"&lt;&gt;")*$A57*100/100,0)),MASTER!$AH$4:$AH$1463,0))="",NA(),INDEX(MASTER!$G$4:$G$1463,MATCH("ACHERON"&amp;"|"&amp;MAX(1,ROUND(COUNTIFS(MASTER!$B$4:$B$1463,"ACHERON",MASTER!$G$4:$G$1463,"&lt;&gt;")*$A57*100/100,0)),MASTER!$AH$4:$AH$1463,0))),NA()),IF($B$4="SECONDARY",IFERROR(IF(INDEX(MASTER!$L$4:$L$1463,MATCH("ACHERON"&amp;"|"&amp;MAX(1,ROUND(COUNTIFS(MASTER!$B$4:$B$1463,"ACHERON",MASTER!$L$4:$L$1463,"&lt;&gt;")*$A57*100/100,0)),MASTER!$AI$4:$AI$1463,0))="",NA(),INDEX(MASTER!$L$4:$L$1463,MATCH("ACHERON"&amp;"|"&amp;MAX(1,ROUND(COUNTIFS(MASTER!$B$4:$B$1463,"ACHERON",MASTER!$L$4:$L$1463,"&lt;&gt;")*$A57*100/100,0)),MASTER!$AI$4:$AI$1463,0))),NA()))))</f>
        <v>9608</v>
      </c>
      <c r="J57" s="37">
        <f>IF($B$4="RESONANCE",IFERROR(IF(INDEX(MASTER!$I$4:$I$1463,MATCH("INVICTUS"&amp;"|"&amp;MAX(1,ROUND(COUNTIFS(MASTER!$B$4:$B$1463,"INVICTUS",MASTER!$I$4:$I$1463,"&lt;&gt;")*$A57*100/100,0)),MASTER!$Y$4:$Y$1463,0))="",NA(),INDEX(MASTER!$I$4:$I$1463,MATCH("INVICTUS"&amp;"|"&amp;MAX(1,ROUND(COUNTIFS(MASTER!$B$4:$B$1463,"INVICTUS",MASTER!$I$4:$I$1463,"&lt;&gt;")*$A57*100/100,0)),MASTER!$Y$4:$Y$1463,0))),NA()),IF($B$4="COMBAT RATING",IFERROR(IF(INDEX(MASTER!$G$4:$G$1463,MATCH("INVICTUS"&amp;"|"&amp;MAX(1,ROUND(COUNTIFS(MASTER!$B$4:$B$1463,"INVICTUS",MASTER!$G$4:$G$1463,"&lt;&gt;")*$A57*100/100,0)),MASTER!$AH$4:$AH$1463,0))="",NA(),INDEX(MASTER!$G$4:$G$1463,MATCH("INVICTUS"&amp;"|"&amp;MAX(1,ROUND(COUNTIFS(MASTER!$B$4:$B$1463,"INVICTUS",MASTER!$G$4:$G$1463,"&lt;&gt;")*$A57*100/100,0)),MASTER!$AH$4:$AH$1463,0))),NA()),IF($B$4="SECONDARY",IFERROR(IF(INDEX(MASTER!$L$4:$L$1463,MATCH("INVICTUS"&amp;"|"&amp;MAX(1,ROUND(COUNTIFS(MASTER!$B$4:$B$1463,"INVICTUS",MASTER!$L$4:$L$1463,"&lt;&gt;")*$A57*100/100,0)),MASTER!$AI$4:$AI$1463,0))="",NA(),INDEX(MASTER!$L$4:$L$1463,MATCH("INVICTUS"&amp;"|"&amp;MAX(1,ROUND(COUNTIFS(MASTER!$B$4:$B$1463,"INVICTUS",MASTER!$L$4:$L$1463,"&lt;&gt;")*$A57*100/100,0)),MASTER!$AI$4:$AI$1463,0))),NA()))))</f>
        <v>9175</v>
      </c>
      <c r="K57" s="37">
        <f>IF($B$4="RESONANCE",IFERROR(IF(INDEX(MASTER!$I$4:$I$1463,MATCH("EMERALD LEAF TRIBE"&amp;"|"&amp;MAX(1,ROUND(COUNTIFS(MASTER!$B$4:$B$1463,"EMERALD LEAF TRIBE",MASTER!$I$4:$I$1463,"&lt;&gt;")*$A57*100/100,0)),MASTER!$Y$4:$Y$1463,0))="",NA(),INDEX(MASTER!$I$4:$I$1463,MATCH("EMERALD LEAF TRIBE"&amp;"|"&amp;MAX(1,ROUND(COUNTIFS(MASTER!$B$4:$B$1463,"EMERALD LEAF TRIBE",MASTER!$I$4:$I$1463,"&lt;&gt;")*$A57*100/100,0)),MASTER!$Y$4:$Y$1463,0))),NA()),IF($B$4="COMBAT RATING",IFERROR(IF(INDEX(MASTER!$G$4:$G$1463,MATCH("EMERALD LEAF TRIBE"&amp;"|"&amp;MAX(1,ROUND(COUNTIFS(MASTER!$B$4:$B$1463,"EMERALD LEAF TRIBE",MASTER!$G$4:$G$1463,"&lt;&gt;")*$A57*100/100,0)),MASTER!$AH$4:$AH$1463,0))="",NA(),INDEX(MASTER!$G$4:$G$1463,MATCH("EMERALD LEAF TRIBE"&amp;"|"&amp;MAX(1,ROUND(COUNTIFS(MASTER!$B$4:$B$1463,"EMERALD LEAF TRIBE",MASTER!$G$4:$G$1463,"&lt;&gt;")*$A57*100/100,0)),MASTER!$AH$4:$AH$1463,0))),NA()),IF($B$4="SECONDARY",IFERROR(IF(INDEX(MASTER!$L$4:$L$1463,MATCH("EMERALD LEAF TRIBE"&amp;"|"&amp;MAX(1,ROUND(COUNTIFS(MASTER!$B$4:$B$1463,"EMERALD LEAF TRIBE",MASTER!$L$4:$L$1463,"&lt;&gt;")*$A57*100/100,0)),MASTER!$AI$4:$AI$1463,0))="",NA(),INDEX(MASTER!$L$4:$L$1463,MATCH("EMERALD LEAF TRIBE"&amp;"|"&amp;MAX(1,ROUND(COUNTIFS(MASTER!$B$4:$B$1463,"EMERALD LEAF TRIBE",MASTER!$L$4:$L$1463,"&lt;&gt;")*$A57*100/100,0)),MASTER!$AI$4:$AI$1463,0))),NA()))))</f>
        <v>5118</v>
      </c>
      <c r="L57" s="37">
        <f>IF($B$4="RESONANCE",IFERROR(IF(INDEX(MASTER!$I$4:$I$1463,MATCH("SUB ROSA"&amp;"|"&amp;MAX(1,ROUND(COUNTIFS(MASTER!$B$4:$B$1463,"SUB ROSA",MASTER!$I$4:$I$1463,"&lt;&gt;")*$A57*100/100,0)),MASTER!$Y$4:$Y$1463,0))="",NA(),INDEX(MASTER!$I$4:$I$1463,MATCH("SUB ROSA"&amp;"|"&amp;MAX(1,ROUND(COUNTIFS(MASTER!$B$4:$B$1463,"SUB ROSA",MASTER!$I$4:$I$1463,"&lt;&gt;")*$A57*100/100,0)),MASTER!$Y$4:$Y$1463,0))),NA()),IF($B$4="COMBAT RATING",IFERROR(IF(INDEX(MASTER!$G$4:$G$1463,MATCH("SUB ROSA"&amp;"|"&amp;MAX(1,ROUND(COUNTIFS(MASTER!$B$4:$B$1463,"SUB ROSA",MASTER!$G$4:$G$1463,"&lt;&gt;")*$A57*100/100,0)),MASTER!$AH$4:$AH$1463,0))="",NA(),INDEX(MASTER!$G$4:$G$1463,MATCH("SUB ROSA"&amp;"|"&amp;MAX(1,ROUND(COUNTIFS(MASTER!$B$4:$B$1463,"SUB ROSA",MASTER!$G$4:$G$1463,"&lt;&gt;")*$A57*100/100,0)),MASTER!$AH$4:$AH$1463,0))),NA()),IF($B$4="SECONDARY",IFERROR(IF(INDEX(MASTER!$L$4:$L$1463,MATCH("SUB ROSA"&amp;"|"&amp;MAX(1,ROUND(COUNTIFS(MASTER!$B$4:$B$1463,"SUB ROSA",MASTER!$L$4:$L$1463,"&lt;&gt;")*$A57*100/100,0)),MASTER!$AI$4:$AI$1463,0))="",NA(),INDEX(MASTER!$L$4:$L$1463,MATCH("SUB ROSA"&amp;"|"&amp;MAX(1,ROUND(COUNTIFS(MASTER!$B$4:$B$1463,"SUB ROSA",MASTER!$L$4:$L$1463,"&lt;&gt;")*$A57*100/100,0)),MASTER!$AI$4:$AI$1463,0))),NA()))))</f>
        <v>11094</v>
      </c>
      <c r="M57" s="37">
        <f>IF($B$4="RESONANCE",IFERROR(IF(INDEX(MASTER!$I$4:$I$1463,MATCH("VENGEANCE"&amp;"|"&amp;MAX(1,ROUND(COUNTIFS(MASTER!$B$4:$B$1463,"VENGEANCE",MASTER!$I$4:$I$1463,"&lt;&gt;")*$A57*100/100,0)),MASTER!$Y$4:$Y$1463,0))="",NA(),INDEX(MASTER!$I$4:$I$1463,MATCH("VENGEANCE"&amp;"|"&amp;MAX(1,ROUND(COUNTIFS(MASTER!$B$4:$B$1463,"VENGEANCE",MASTER!$I$4:$I$1463,"&lt;&gt;")*$A57*100/100,0)),MASTER!$Y$4:$Y$1463,0))),NA()),IF($B$4="COMBAT RATING",IFERROR(IF(INDEX(MASTER!$G$4:$G$1463,MATCH("VENGEANCE"&amp;"|"&amp;MAX(1,ROUND(COUNTIFS(MASTER!$B$4:$B$1463,"VENGEANCE",MASTER!$G$4:$G$1463,"&lt;&gt;")*$A57*100/100,0)),MASTER!$AH$4:$AH$1463,0))="",NA(),INDEX(MASTER!$G$4:$G$1463,MATCH("VENGEANCE"&amp;"|"&amp;MAX(1,ROUND(COUNTIFS(MASTER!$B$4:$B$1463,"VENGEANCE",MASTER!$G$4:$G$1463,"&lt;&gt;")*$A57*100/100,0)),MASTER!$AH$4:$AH$1463,0))),NA()),IF($B$4="SECONDARY",IFERROR(IF(INDEX(MASTER!$L$4:$L$1463,MATCH("VENGEANCE"&amp;"|"&amp;MAX(1,ROUND(COUNTIFS(MASTER!$B$4:$B$1463,"VENGEANCE",MASTER!$L$4:$L$1463,"&lt;&gt;")*$A57*100/100,0)),MASTER!$AI$4:$AI$1463,0))="",NA(),INDEX(MASTER!$L$4:$L$1463,MATCH("VENGEANCE"&amp;"|"&amp;MAX(1,ROUND(COUNTIFS(MASTER!$B$4:$B$1463,"VENGEANCE",MASTER!$L$4:$L$1463,"&lt;&gt;")*$A57*100/100,0)),MASTER!$AI$4:$AI$1463,0))),NA()))))</f>
        <v>7574</v>
      </c>
      <c r="N57" s="37">
        <f>IF($B$4="RESONANCE",IFERROR(IF(INDEX(MASTER!$I$4:$I$1463,MATCH("VENDETTA"&amp;"|"&amp;MAX(1,ROUND(COUNTIFS(MASTER!$B$4:$B$1463,"VENDETTA",MASTER!$I$4:$I$1463,"&lt;&gt;")*$A57*100/100,0)),MASTER!$Y$4:$Y$1463,0))="",NA(),INDEX(MASTER!$I$4:$I$1463,MATCH("VENDETTA"&amp;"|"&amp;MAX(1,ROUND(COUNTIFS(MASTER!$B$4:$B$1463,"VENDETTA",MASTER!$I$4:$I$1463,"&lt;&gt;")*$A57*100/100,0)),MASTER!$Y$4:$Y$1463,0))),NA()),IF($B$4="COMBAT RATING",IFERROR(IF(INDEX(MASTER!$G$4:$G$1463,MATCH("VENDETTA"&amp;"|"&amp;MAX(1,ROUND(COUNTIFS(MASTER!$B$4:$B$1463,"VENDETTA",MASTER!$G$4:$G$1463,"&lt;&gt;")*$A57*100/100,0)),MASTER!$AH$4:$AH$1463,0))="",NA(),INDEX(MASTER!$G$4:$G$1463,MATCH("VENDETTA"&amp;"|"&amp;MAX(1,ROUND(COUNTIFS(MASTER!$B$4:$B$1463,"VENDETTA",MASTER!$G$4:$G$1463,"&lt;&gt;")*$A57*100/100,0)),MASTER!$AH$4:$AH$1463,0))),NA()),IF($B$4="SECONDARY",IFERROR(IF(INDEX(MASTER!$L$4:$L$1463,MATCH("VENDETTA"&amp;"|"&amp;MAX(1,ROUND(COUNTIFS(MASTER!$B$4:$B$1463,"VENDETTA",MASTER!$L$4:$L$1463,"&lt;&gt;")*$A57*100/100,0)),MASTER!$AI$4:$AI$1463,0))="",NA(),INDEX(MASTER!$L$4:$L$1463,MATCH("VENDETTA"&amp;"|"&amp;MAX(1,ROUND(COUNTIFS(MASTER!$B$4:$B$1463,"VENDETTA",MASTER!$L$4:$L$1463,"&lt;&gt;")*$A57*100/100,0)),MASTER!$AI$4:$AI$1463,0))),NA()))))</f>
        <v>3894</v>
      </c>
      <c r="O57" s="37">
        <f>IF($B$4="RESONANCE",IFERROR(IF(INDEX(MASTER!$I$4:$I$1463,MATCH("ZOMBIES"&amp;"|"&amp;MAX(1,ROUND(COUNTIFS(MASTER!$B$4:$B$1463,"ZOMBIES",MASTER!$I$4:$I$1463,"&lt;&gt;")*$A57*100/100,0)),MASTER!$Y$4:$Y$1463,0))="",NA(),INDEX(MASTER!$I$4:$I$1463,MATCH("ZOMBIES"&amp;"|"&amp;MAX(1,ROUND(COUNTIFS(MASTER!$B$4:$B$1463,"ZOMBIES",MASTER!$I$4:$I$1463,"&lt;&gt;")*$A57*100/100,0)),MASTER!$Y$4:$Y$1463,0))),NA()),IF($B$4="COMBAT RATING",IFERROR(IF(INDEX(MASTER!$G$4:$G$1463,MATCH("ZOMBIES"&amp;"|"&amp;MAX(1,ROUND(COUNTIFS(MASTER!$B$4:$B$1463,"ZOMBIES",MASTER!$G$4:$G$1463,"&lt;&gt;")*$A57*100/100,0)),MASTER!$AH$4:$AH$1463,0))="",NA(),INDEX(MASTER!$G$4:$G$1463,MATCH("ZOMBIES"&amp;"|"&amp;MAX(1,ROUND(COUNTIFS(MASTER!$B$4:$B$1463,"ZOMBIES",MASTER!$G$4:$G$1463,"&lt;&gt;")*$A57*100/100,0)),MASTER!$AH$4:$AH$1463,0))),NA()),IF($B$4="SECONDARY",IFERROR(IF(INDEX(MASTER!$L$4:$L$1463,MATCH("ZOMBIES"&amp;"|"&amp;MAX(1,ROUND(COUNTIFS(MASTER!$B$4:$B$1463,"ZOMBIES",MASTER!$L$4:$L$1463,"&lt;&gt;")*$A57*100/100,0)),MASTER!$AI$4:$AI$1463,0))="",NA(),INDEX(MASTER!$L$4:$L$1463,MATCH("ZOMBIES"&amp;"|"&amp;MAX(1,ROUND(COUNTIFS(MASTER!$B$4:$B$1463,"ZOMBIES",MASTER!$L$4:$L$1463,"&lt;&gt;")*$A57*100/100,0)),MASTER!$AI$4:$AI$1463,0))),NA()))))</f>
        <v>8150</v>
      </c>
      <c r="P57" s="37">
        <f>IF($B$4="RESONANCE",IFERROR(IF(INDEX(MASTER!$I$4:$I$1463,MATCH("FUCT"&amp;"|"&amp;MAX(1,ROUND(COUNTIFS(MASTER!$B$4:$B$1463,"FUCT",MASTER!$I$4:$I$1463,"&lt;&gt;")*$A57*100/100,0)),MASTER!$Y$4:$Y$1463,0))="",NA(),INDEX(MASTER!$I$4:$I$1463,MATCH("FUCT"&amp;"|"&amp;MAX(1,ROUND(COUNTIFS(MASTER!$B$4:$B$1463,"FUCT",MASTER!$I$4:$I$1463,"&lt;&gt;")*$A57*100/100,0)),MASTER!$Y$4:$Y$1463,0))),NA()),IF($B$4="COMBAT RATING",IFERROR(IF(INDEX(MASTER!$G$4:$G$1463,MATCH("FUCT"&amp;"|"&amp;MAX(1,ROUND(COUNTIFS(MASTER!$B$4:$B$1463,"FUCT",MASTER!$G$4:$G$1463,"&lt;&gt;")*$A57*100/100,0)),MASTER!$AH$4:$AH$1463,0))="",NA(),INDEX(MASTER!$G$4:$G$1463,MATCH("FUCT"&amp;"|"&amp;MAX(1,ROUND(COUNTIFS(MASTER!$B$4:$B$1463,"FUCT",MASTER!$G$4:$G$1463,"&lt;&gt;")*$A57*100/100,0)),MASTER!$AH$4:$AH$1463,0))),NA()),IF($B$4="SECONDARY",IFERROR(IF(INDEX(MASTER!$L$4:$L$1463,MATCH("FUCT"&amp;"|"&amp;MAX(1,ROUND(COUNTIFS(MASTER!$B$4:$B$1463,"FUCT",MASTER!$L$4:$L$1463,"&lt;&gt;")*$A57*100/100,0)),MASTER!$AI$4:$AI$1463,0))="",NA(),INDEX(MASTER!$L$4:$L$1463,MATCH("FUCT"&amp;"|"&amp;MAX(1,ROUND(COUNTIFS(MASTER!$B$4:$B$1463,"FUCT",MASTER!$L$4:$L$1463,"&lt;&gt;")*$A57*100/100,0)),MASTER!$AI$4:$AI$1463,0))),NA()))))</f>
        <v>10376</v>
      </c>
      <c r="Q57" s="37">
        <f>IF($B$4="RESONANCE",IFERROR(IF(INDEX(MASTER!$I$4:$I$1463,MATCH($E$4&amp;"|"&amp;MAX(1,ROUND(COUNTIFS(MASTER!$B$4:$B$1463,$E$4,MASTER!$I$4:$I$1463,"&lt;&gt;")*$A57*100/100,0)),MASTER!$Y$4:$Y$1463,0))="",NA(),INDEX(MASTER!$I$4:$I$1463,MATCH($E$4&amp;"|"&amp;MAX(1,ROUND(COUNTIFS(MASTER!$B$4:$B$1463,$E$4,MASTER!$I$4:$I$1463,"&lt;&gt;")*$A57*100/100,0)),MASTER!$Y$4:$Y$1463,0))),NA()),IF($B$4="COMBAT RATING",IFERROR(IF(INDEX(MASTER!$G$4:$G$1463,MATCH($E$4&amp;"|"&amp;MAX(1,ROUND(COUNTIFS(MASTER!$B$4:$B$1463,$E$4,MASTER!$G$4:$G$1463,"&lt;&gt;")*$A57*100/100,0)),MASTER!$AH$4:$AH$1463,0))="",NA(),INDEX(MASTER!$G$4:$G$1463,MATCH($E$4&amp;"|"&amp;MAX(1,ROUND(COUNTIFS(MASTER!$B$4:$B$1463,$E$4,MASTER!$G$4:$G$1463,"&lt;&gt;")*$A57*100/100,0)),MASTER!$AH$4:$AH$1463,0))),NA()),IF($B$4="SECONDARY",IFERROR(IF(INDEX(MASTER!$L$4:$L$1463,MATCH($E$4&amp;"|"&amp;MAX(1,ROUND(COUNTIFS(MASTER!$B$4:$B$1463,$E$4,MASTER!$L$4:$L$1463,"&lt;&gt;")*$A57*100/100,0)),MASTER!$AI$4:$AI$1463,0))="",NA(),INDEX(MASTER!$L$4:$L$1463,MATCH($E$4&amp;"|"&amp;MAX(1,ROUND(COUNTIFS(MASTER!$B$4:$B$1463,$E$4,MASTER!$L$4:$L$1463,"&lt;&gt;")*$A57*100/100,0)),MASTER!$AI$4:$AI$1463,0))),NA()))))</f>
        <v>9637</v>
      </c>
    </row>
    <row r="58" spans="1:17" hidden="1">
      <c r="A58" s="36">
        <v>0.03</v>
      </c>
      <c r="B58" s="37">
        <f>IF($B$4="RESONANCE",IFERROR(IF(INDEX(MASTER!$I$4:$I$1463,MATCH("FUCT"&amp;"|"&amp;MAX(1,ROUND(COUNTIFS(MASTER!$B$4:$B$1463,"FUCT",MASTER!$I$4:$I$1463,"&lt;&gt;")*$A58*100/100,0)),MASTER!$Y$4:$Y$1463,0))="",NA(),INDEX(MASTER!$I$4:$I$1463,MATCH("FUCT"&amp;"|"&amp;MAX(1,ROUND(COUNTIFS(MASTER!$B$4:$B$1463,"FUCT",MASTER!$I$4:$I$1463,"&lt;&gt;")*$A58*100/100,0)),MASTER!$Y$4:$Y$1463,0))),NA()),IF($B$4="COMBAT RATING",IFERROR(IF(INDEX(MASTER!$G$4:$G$1463,MATCH("FUCT"&amp;"|"&amp;MAX(1,ROUND(COUNTIFS(MASTER!$B$4:$B$1463,"FUCT",MASTER!$G$4:$G$1463,"&lt;&gt;")*$A58*100/100,0)),MASTER!$AH$4:$AH$1463,0))="",NA(),INDEX(MASTER!$G$4:$G$1463,MATCH("FUCT"&amp;"|"&amp;MAX(1,ROUND(COUNTIFS(MASTER!$B$4:$B$1463,"FUCT",MASTER!$G$4:$G$1463,"&lt;&gt;")*$A58*100/100,0)),MASTER!$AH$4:$AH$1463,0))),NA()),IF($B$4="SECONDARY",IFERROR(IF(INDEX(MASTER!$L$4:$L$1463,MATCH("FUCT"&amp;"|"&amp;MAX(1,ROUND(COUNTIFS(MASTER!$B$4:$B$1463,"FUCT",MASTER!$L$4:$L$1463,"&lt;&gt;")*$A58*100/100,0)),MASTER!$AI$4:$AI$1463,0))="",NA(),INDEX(MASTER!$L$4:$L$1463,MATCH("FUCT"&amp;"|"&amp;MAX(1,ROUND(COUNTIFS(MASTER!$B$4:$B$1463,"FUCT",MASTER!$L$4:$L$1463,"&lt;&gt;")*$A58*100/100,0)),MASTER!$AI$4:$AI$1463,0))),NA()))))</f>
        <v>10332</v>
      </c>
      <c r="C58" s="37">
        <f>IF($B$4="RESONANCE",IFERROR(IF(INDEX(MASTER!$I$4:$I$1463,MATCH("LEGENDS"&amp;"|"&amp;MAX(1,ROUND(COUNTIFS(MASTER!$B$4:$B$1463,"LEGENDS",MASTER!$I$4:$I$1463,"&lt;&gt;")*$A58*100/100,0)),MASTER!$Y$4:$Y$1463,0))="",NA(),INDEX(MASTER!$I$4:$I$1463,MATCH("LEGENDS"&amp;"|"&amp;MAX(1,ROUND(COUNTIFS(MASTER!$B$4:$B$1463,"LEGENDS",MASTER!$I$4:$I$1463,"&lt;&gt;")*$A58*100/100,0)),MASTER!$Y$4:$Y$1463,0))),NA()),IF($B$4="COMBAT RATING",IFERROR(IF(INDEX(MASTER!$G$4:$G$1463,MATCH("LEGENDS"&amp;"|"&amp;MAX(1,ROUND(COUNTIFS(MASTER!$B$4:$B$1463,"LEGENDS",MASTER!$G$4:$G$1463,"&lt;&gt;")*$A58*100/100,0)),MASTER!$AH$4:$AH$1463,0))="",NA(),INDEX(MASTER!$G$4:$G$1463,MATCH("LEGENDS"&amp;"|"&amp;MAX(1,ROUND(COUNTIFS(MASTER!$B$4:$B$1463,"LEGENDS",MASTER!$G$4:$G$1463,"&lt;&gt;")*$A58*100/100,0)),MASTER!$AH$4:$AH$1463,0))),NA()),IF($B$4="SECONDARY",IFERROR(IF(INDEX(MASTER!$L$4:$L$1463,MATCH("LEGENDS"&amp;"|"&amp;MAX(1,ROUND(COUNTIFS(MASTER!$B$4:$B$1463,"LEGENDS",MASTER!$L$4:$L$1463,"&lt;&gt;")*$A58*100/100,0)),MASTER!$AI$4:$AI$1463,0))="",NA(),INDEX(MASTER!$L$4:$L$1463,MATCH("LEGENDS"&amp;"|"&amp;MAX(1,ROUND(COUNTIFS(MASTER!$B$4:$B$1463,"LEGENDS",MASTER!$L$4:$L$1463,"&lt;&gt;")*$A58*100/100,0)),MASTER!$AI$4:$AI$1463,0))),NA()))))</f>
        <v>10652</v>
      </c>
      <c r="D58" s="37">
        <f>IF($B$4="RESONANCE",IFERROR(IF(INDEX(MASTER!$I$4:$I$1463,MATCH("VANGUARD"&amp;"|"&amp;MAX(1,ROUND(COUNTIFS(MASTER!$B$4:$B$1463,"VANGUARD",MASTER!$I$4:$I$1463,"&lt;&gt;")*$A58*100/100,0)),MASTER!$Y$4:$Y$1463,0))="",NA(),INDEX(MASTER!$I$4:$I$1463,MATCH("VANGUARD"&amp;"|"&amp;MAX(1,ROUND(COUNTIFS(MASTER!$B$4:$B$1463,"VANGUARD",MASTER!$I$4:$I$1463,"&lt;&gt;")*$A58*100/100,0)),MASTER!$Y$4:$Y$1463,0))),NA()),IF($B$4="COMBAT RATING",IFERROR(IF(INDEX(MASTER!$G$4:$G$1463,MATCH("VANGUARD"&amp;"|"&amp;MAX(1,ROUND(COUNTIFS(MASTER!$B$4:$B$1463,"VANGUARD",MASTER!$G$4:$G$1463,"&lt;&gt;")*$A58*100/100,0)),MASTER!$AH$4:$AH$1463,0))="",NA(),INDEX(MASTER!$G$4:$G$1463,MATCH("VANGUARD"&amp;"|"&amp;MAX(1,ROUND(COUNTIFS(MASTER!$B$4:$B$1463,"VANGUARD",MASTER!$G$4:$G$1463,"&lt;&gt;")*$A58*100/100,0)),MASTER!$AH$4:$AH$1463,0))),NA()),IF($B$4="SECONDARY",IFERROR(IF(INDEX(MASTER!$L$4:$L$1463,MATCH("VANGUARD"&amp;"|"&amp;MAX(1,ROUND(COUNTIFS(MASTER!$B$4:$B$1463,"VANGUARD",MASTER!$L$4:$L$1463,"&lt;&gt;")*$A58*100/100,0)),MASTER!$AI$4:$AI$1463,0))="",NA(),INDEX(MASTER!$L$4:$L$1463,MATCH("VANGUARD"&amp;"|"&amp;MAX(1,ROUND(COUNTIFS(MASTER!$B$4:$B$1463,"VANGUARD",MASTER!$L$4:$L$1463,"&lt;&gt;")*$A58*100/100,0)),MASTER!$AI$4:$AI$1463,0))),NA()))))</f>
        <v>10306</v>
      </c>
      <c r="E58" s="37">
        <f>IF($B$4="RESONANCE",IFERROR(IF(INDEX(MASTER!$I$4:$I$1463,MATCH("UNDYING"&amp;"|"&amp;MAX(1,ROUND(COUNTIFS(MASTER!$B$4:$B$1463,"UNDYING",MASTER!$I$4:$I$1463,"&lt;&gt;")*$A58*100/100,0)),MASTER!$Y$4:$Y$1463,0))="",NA(),INDEX(MASTER!$I$4:$I$1463,MATCH("UNDYING"&amp;"|"&amp;MAX(1,ROUND(COUNTIFS(MASTER!$B$4:$B$1463,"UNDYING",MASTER!$I$4:$I$1463,"&lt;&gt;")*$A58*100/100,0)),MASTER!$Y$4:$Y$1463,0))),NA()),IF($B$4="COMBAT RATING",IFERROR(IF(INDEX(MASTER!$G$4:$G$1463,MATCH("UNDYING"&amp;"|"&amp;MAX(1,ROUND(COUNTIFS(MASTER!$B$4:$B$1463,"UNDYING",MASTER!$G$4:$G$1463,"&lt;&gt;")*$A58*100/100,0)),MASTER!$AH$4:$AH$1463,0))="",NA(),INDEX(MASTER!$G$4:$G$1463,MATCH("UNDYING"&amp;"|"&amp;MAX(1,ROUND(COUNTIFS(MASTER!$B$4:$B$1463,"UNDYING",MASTER!$G$4:$G$1463,"&lt;&gt;")*$A58*100/100,0)),MASTER!$AH$4:$AH$1463,0))),NA()),IF($B$4="SECONDARY",IFERROR(IF(INDEX(MASTER!$L$4:$L$1463,MATCH("UNDYING"&amp;"|"&amp;MAX(1,ROUND(COUNTIFS(MASTER!$B$4:$B$1463,"UNDYING",MASTER!$L$4:$L$1463,"&lt;&gt;")*$A58*100/100,0)),MASTER!$AI$4:$AI$1463,0))="",NA(),INDEX(MASTER!$L$4:$L$1463,MATCH("UNDYING"&amp;"|"&amp;MAX(1,ROUND(COUNTIFS(MASTER!$B$4:$B$1463,"UNDYING",MASTER!$L$4:$L$1463,"&lt;&gt;")*$A58*100/100,0)),MASTER!$AI$4:$AI$1463,0))),NA()))))</f>
        <v>8843</v>
      </c>
      <c r="F58" s="37">
        <f>IF($B$4="RESONANCE",IFERROR(IF(INDEX(MASTER!$I$4:$I$1463,MATCH("SBG"&amp;"|"&amp;MAX(1,ROUND(COUNTIFS(MASTER!$B$4:$B$1463,"SBG",MASTER!$I$4:$I$1463,"&lt;&gt;")*$A58*100/100,0)),MASTER!$Y$4:$Y$1463,0))="",NA(),INDEX(MASTER!$I$4:$I$1463,MATCH("SBG"&amp;"|"&amp;MAX(1,ROUND(COUNTIFS(MASTER!$B$4:$B$1463,"SBG",MASTER!$I$4:$I$1463,"&lt;&gt;")*$A58*100/100,0)),MASTER!$Y$4:$Y$1463,0))),NA()),IF($B$4="COMBAT RATING",IFERROR(IF(INDEX(MASTER!$G$4:$G$1463,MATCH("SBG"&amp;"|"&amp;MAX(1,ROUND(COUNTIFS(MASTER!$B$4:$B$1463,"SBG",MASTER!$G$4:$G$1463,"&lt;&gt;")*$A58*100/100,0)),MASTER!$AH$4:$AH$1463,0))="",NA(),INDEX(MASTER!$G$4:$G$1463,MATCH("SBG"&amp;"|"&amp;MAX(1,ROUND(COUNTIFS(MASTER!$B$4:$B$1463,"SBG",MASTER!$G$4:$G$1463,"&lt;&gt;")*$A58*100/100,0)),MASTER!$AH$4:$AH$1463,0))),NA()),IF($B$4="SECONDARY",IFERROR(IF(INDEX(MASTER!$L$4:$L$1463,MATCH("SBG"&amp;"|"&amp;MAX(1,ROUND(COUNTIFS(MASTER!$B$4:$B$1463,"SBG",MASTER!$L$4:$L$1463,"&lt;&gt;")*$A58*100/100,0)),MASTER!$AI$4:$AI$1463,0))="",NA(),INDEX(MASTER!$L$4:$L$1463,MATCH("SBG"&amp;"|"&amp;MAX(1,ROUND(COUNTIFS(MASTER!$B$4:$B$1463,"SBG",MASTER!$L$4:$L$1463,"&lt;&gt;")*$A58*100/100,0)),MASTER!$AI$4:$AI$1463,0))),NA()))))</f>
        <v>11256</v>
      </c>
      <c r="G58" s="37">
        <f>IF($B$4="RESONANCE",IFERROR(IF(INDEX(MASTER!$I$4:$I$1463,MATCH("AZUKI"&amp;"|"&amp;MAX(1,ROUND(COUNTIFS(MASTER!$B$4:$B$1463,"AZUKI",MASTER!$I$4:$I$1463,"&lt;&gt;")*$A58*100/100,0)),MASTER!$Y$4:$Y$1463,0))="",NA(),INDEX(MASTER!$I$4:$I$1463,MATCH("AZUKI"&amp;"|"&amp;MAX(1,ROUND(COUNTIFS(MASTER!$B$4:$B$1463,"AZUKI",MASTER!$I$4:$I$1463,"&lt;&gt;")*$A58*100/100,0)),MASTER!$Y$4:$Y$1463,0))),NA()),IF($B$4="COMBAT RATING",IFERROR(IF(INDEX(MASTER!$G$4:$G$1463,MATCH("AZUKI"&amp;"|"&amp;MAX(1,ROUND(COUNTIFS(MASTER!$B$4:$B$1463,"AZUKI",MASTER!$G$4:$G$1463,"&lt;&gt;")*$A58*100/100,0)),MASTER!$AH$4:$AH$1463,0))="",NA(),INDEX(MASTER!$G$4:$G$1463,MATCH("AZUKI"&amp;"|"&amp;MAX(1,ROUND(COUNTIFS(MASTER!$B$4:$B$1463,"AZUKI",MASTER!$G$4:$G$1463,"&lt;&gt;")*$A58*100/100,0)),MASTER!$AH$4:$AH$1463,0))),NA()),IF($B$4="SECONDARY",IFERROR(IF(INDEX(MASTER!$L$4:$L$1463,MATCH("AZUKI"&amp;"|"&amp;MAX(1,ROUND(COUNTIFS(MASTER!$B$4:$B$1463,"AZUKI",MASTER!$L$4:$L$1463,"&lt;&gt;")*$A58*100/100,0)),MASTER!$AI$4:$AI$1463,0))="",NA(),INDEX(MASTER!$L$4:$L$1463,MATCH("AZUKI"&amp;"|"&amp;MAX(1,ROUND(COUNTIFS(MASTER!$B$4:$B$1463,"AZUKI",MASTER!$L$4:$L$1463,"&lt;&gt;")*$A58*100/100,0)),MASTER!$AI$4:$AI$1463,0))),NA()))))</f>
        <v>11863</v>
      </c>
      <c r="H58" s="37">
        <f>IF($B$4="RESONANCE",IFERROR(IF(INDEX(MASTER!$I$4:$I$1463,MATCH("RECKONING"&amp;"|"&amp;MAX(1,ROUND(COUNTIFS(MASTER!$B$4:$B$1463,"RECKONING",MASTER!$I$4:$I$1463,"&lt;&gt;")*$A58*100/100,0)),MASTER!$Y$4:$Y$1463,0))="",NA(),INDEX(MASTER!$I$4:$I$1463,MATCH("RECKONING"&amp;"|"&amp;MAX(1,ROUND(COUNTIFS(MASTER!$B$4:$B$1463,"RECKONING",MASTER!$I$4:$I$1463,"&lt;&gt;")*$A58*100/100,0)),MASTER!$Y$4:$Y$1463,0))),NA()),IF($B$4="COMBAT RATING",IFERROR(IF(INDEX(MASTER!$G$4:$G$1463,MATCH("RECKONING"&amp;"|"&amp;MAX(1,ROUND(COUNTIFS(MASTER!$B$4:$B$1463,"RECKONING",MASTER!$G$4:$G$1463,"&lt;&gt;")*$A58*100/100,0)),MASTER!$AH$4:$AH$1463,0))="",NA(),INDEX(MASTER!$G$4:$G$1463,MATCH("RECKONING"&amp;"|"&amp;MAX(1,ROUND(COUNTIFS(MASTER!$B$4:$B$1463,"RECKONING",MASTER!$G$4:$G$1463,"&lt;&gt;")*$A58*100/100,0)),MASTER!$AH$4:$AH$1463,0))),NA()),IF($B$4="SECONDARY",IFERROR(IF(INDEX(MASTER!$L$4:$L$1463,MATCH("RECKONING"&amp;"|"&amp;MAX(1,ROUND(COUNTIFS(MASTER!$B$4:$B$1463,"RECKONING",MASTER!$L$4:$L$1463,"&lt;&gt;")*$A58*100/100,0)),MASTER!$AI$4:$AI$1463,0))="",NA(),INDEX(MASTER!$L$4:$L$1463,MATCH("RECKONING"&amp;"|"&amp;MAX(1,ROUND(COUNTIFS(MASTER!$B$4:$B$1463,"RECKONING",MASTER!$L$4:$L$1463,"&lt;&gt;")*$A58*100/100,0)),MASTER!$AI$4:$AI$1463,0))),NA()))))</f>
        <v>10435</v>
      </c>
      <c r="I58" s="37">
        <f>IF($B$4="RESONANCE",IFERROR(IF(INDEX(MASTER!$I$4:$I$1463,MATCH("ACHERON"&amp;"|"&amp;MAX(1,ROUND(COUNTIFS(MASTER!$B$4:$B$1463,"ACHERON",MASTER!$I$4:$I$1463,"&lt;&gt;")*$A58*100/100,0)),MASTER!$Y$4:$Y$1463,0))="",NA(),INDEX(MASTER!$I$4:$I$1463,MATCH("ACHERON"&amp;"|"&amp;MAX(1,ROUND(COUNTIFS(MASTER!$B$4:$B$1463,"ACHERON",MASTER!$I$4:$I$1463,"&lt;&gt;")*$A58*100/100,0)),MASTER!$Y$4:$Y$1463,0))),NA()),IF($B$4="COMBAT RATING",IFERROR(IF(INDEX(MASTER!$G$4:$G$1463,MATCH("ACHERON"&amp;"|"&amp;MAX(1,ROUND(COUNTIFS(MASTER!$B$4:$B$1463,"ACHERON",MASTER!$G$4:$G$1463,"&lt;&gt;")*$A58*100/100,0)),MASTER!$AH$4:$AH$1463,0))="",NA(),INDEX(MASTER!$G$4:$G$1463,MATCH("ACHERON"&amp;"|"&amp;MAX(1,ROUND(COUNTIFS(MASTER!$B$4:$B$1463,"ACHERON",MASTER!$G$4:$G$1463,"&lt;&gt;")*$A58*100/100,0)),MASTER!$AH$4:$AH$1463,0))),NA()),IF($B$4="SECONDARY",IFERROR(IF(INDEX(MASTER!$L$4:$L$1463,MATCH("ACHERON"&amp;"|"&amp;MAX(1,ROUND(COUNTIFS(MASTER!$B$4:$B$1463,"ACHERON",MASTER!$L$4:$L$1463,"&lt;&gt;")*$A58*100/100,0)),MASTER!$AI$4:$AI$1463,0))="",NA(),INDEX(MASTER!$L$4:$L$1463,MATCH("ACHERON"&amp;"|"&amp;MAX(1,ROUND(COUNTIFS(MASTER!$B$4:$B$1463,"ACHERON",MASTER!$L$4:$L$1463,"&lt;&gt;")*$A58*100/100,0)),MASTER!$AI$4:$AI$1463,0))),NA()))))</f>
        <v>9142</v>
      </c>
      <c r="J58" s="37">
        <f>IF($B$4="RESONANCE",IFERROR(IF(INDEX(MASTER!$I$4:$I$1463,MATCH("INVICTUS"&amp;"|"&amp;MAX(1,ROUND(COUNTIFS(MASTER!$B$4:$B$1463,"INVICTUS",MASTER!$I$4:$I$1463,"&lt;&gt;")*$A58*100/100,0)),MASTER!$Y$4:$Y$1463,0))="",NA(),INDEX(MASTER!$I$4:$I$1463,MATCH("INVICTUS"&amp;"|"&amp;MAX(1,ROUND(COUNTIFS(MASTER!$B$4:$B$1463,"INVICTUS",MASTER!$I$4:$I$1463,"&lt;&gt;")*$A58*100/100,0)),MASTER!$Y$4:$Y$1463,0))),NA()),IF($B$4="COMBAT RATING",IFERROR(IF(INDEX(MASTER!$G$4:$G$1463,MATCH("INVICTUS"&amp;"|"&amp;MAX(1,ROUND(COUNTIFS(MASTER!$B$4:$B$1463,"INVICTUS",MASTER!$G$4:$G$1463,"&lt;&gt;")*$A58*100/100,0)),MASTER!$AH$4:$AH$1463,0))="",NA(),INDEX(MASTER!$G$4:$G$1463,MATCH("INVICTUS"&amp;"|"&amp;MAX(1,ROUND(COUNTIFS(MASTER!$B$4:$B$1463,"INVICTUS",MASTER!$G$4:$G$1463,"&lt;&gt;")*$A58*100/100,0)),MASTER!$AH$4:$AH$1463,0))),NA()),IF($B$4="SECONDARY",IFERROR(IF(INDEX(MASTER!$L$4:$L$1463,MATCH("INVICTUS"&amp;"|"&amp;MAX(1,ROUND(COUNTIFS(MASTER!$B$4:$B$1463,"INVICTUS",MASTER!$L$4:$L$1463,"&lt;&gt;")*$A58*100/100,0)),MASTER!$AI$4:$AI$1463,0))="",NA(),INDEX(MASTER!$L$4:$L$1463,MATCH("INVICTUS"&amp;"|"&amp;MAX(1,ROUND(COUNTIFS(MASTER!$B$4:$B$1463,"INVICTUS",MASTER!$L$4:$L$1463,"&lt;&gt;")*$A58*100/100,0)),MASTER!$AI$4:$AI$1463,0))),NA()))))</f>
        <v>9005</v>
      </c>
      <c r="K58" s="37">
        <f>IF($B$4="RESONANCE",IFERROR(IF(INDEX(MASTER!$I$4:$I$1463,MATCH("EMERALD LEAF TRIBE"&amp;"|"&amp;MAX(1,ROUND(COUNTIFS(MASTER!$B$4:$B$1463,"EMERALD LEAF TRIBE",MASTER!$I$4:$I$1463,"&lt;&gt;")*$A58*100/100,0)),MASTER!$Y$4:$Y$1463,0))="",NA(),INDEX(MASTER!$I$4:$I$1463,MATCH("EMERALD LEAF TRIBE"&amp;"|"&amp;MAX(1,ROUND(COUNTIFS(MASTER!$B$4:$B$1463,"EMERALD LEAF TRIBE",MASTER!$I$4:$I$1463,"&lt;&gt;")*$A58*100/100,0)),MASTER!$Y$4:$Y$1463,0))),NA()),IF($B$4="COMBAT RATING",IFERROR(IF(INDEX(MASTER!$G$4:$G$1463,MATCH("EMERALD LEAF TRIBE"&amp;"|"&amp;MAX(1,ROUND(COUNTIFS(MASTER!$B$4:$B$1463,"EMERALD LEAF TRIBE",MASTER!$G$4:$G$1463,"&lt;&gt;")*$A58*100/100,0)),MASTER!$AH$4:$AH$1463,0))="",NA(),INDEX(MASTER!$G$4:$G$1463,MATCH("EMERALD LEAF TRIBE"&amp;"|"&amp;MAX(1,ROUND(COUNTIFS(MASTER!$B$4:$B$1463,"EMERALD LEAF TRIBE",MASTER!$G$4:$G$1463,"&lt;&gt;")*$A58*100/100,0)),MASTER!$AH$4:$AH$1463,0))),NA()),IF($B$4="SECONDARY",IFERROR(IF(INDEX(MASTER!$L$4:$L$1463,MATCH("EMERALD LEAF TRIBE"&amp;"|"&amp;MAX(1,ROUND(COUNTIFS(MASTER!$B$4:$B$1463,"EMERALD LEAF TRIBE",MASTER!$L$4:$L$1463,"&lt;&gt;")*$A58*100/100,0)),MASTER!$AI$4:$AI$1463,0))="",NA(),INDEX(MASTER!$L$4:$L$1463,MATCH("EMERALD LEAF TRIBE"&amp;"|"&amp;MAX(1,ROUND(COUNTIFS(MASTER!$B$4:$B$1463,"EMERALD LEAF TRIBE",MASTER!$L$4:$L$1463,"&lt;&gt;")*$A58*100/100,0)),MASTER!$AI$4:$AI$1463,0))),NA()))))</f>
        <v>5102</v>
      </c>
      <c r="L58" s="37">
        <f>IF($B$4="RESONANCE",IFERROR(IF(INDEX(MASTER!$I$4:$I$1463,MATCH("SUB ROSA"&amp;"|"&amp;MAX(1,ROUND(COUNTIFS(MASTER!$B$4:$B$1463,"SUB ROSA",MASTER!$I$4:$I$1463,"&lt;&gt;")*$A58*100/100,0)),MASTER!$Y$4:$Y$1463,0))="",NA(),INDEX(MASTER!$I$4:$I$1463,MATCH("SUB ROSA"&amp;"|"&amp;MAX(1,ROUND(COUNTIFS(MASTER!$B$4:$B$1463,"SUB ROSA",MASTER!$I$4:$I$1463,"&lt;&gt;")*$A58*100/100,0)),MASTER!$Y$4:$Y$1463,0))),NA()),IF($B$4="COMBAT RATING",IFERROR(IF(INDEX(MASTER!$G$4:$G$1463,MATCH("SUB ROSA"&amp;"|"&amp;MAX(1,ROUND(COUNTIFS(MASTER!$B$4:$B$1463,"SUB ROSA",MASTER!$G$4:$G$1463,"&lt;&gt;")*$A58*100/100,0)),MASTER!$AH$4:$AH$1463,0))="",NA(),INDEX(MASTER!$G$4:$G$1463,MATCH("SUB ROSA"&amp;"|"&amp;MAX(1,ROUND(COUNTIFS(MASTER!$B$4:$B$1463,"SUB ROSA",MASTER!$G$4:$G$1463,"&lt;&gt;")*$A58*100/100,0)),MASTER!$AH$4:$AH$1463,0))),NA()),IF($B$4="SECONDARY",IFERROR(IF(INDEX(MASTER!$L$4:$L$1463,MATCH("SUB ROSA"&amp;"|"&amp;MAX(1,ROUND(COUNTIFS(MASTER!$B$4:$B$1463,"SUB ROSA",MASTER!$L$4:$L$1463,"&lt;&gt;")*$A58*100/100,0)),MASTER!$AI$4:$AI$1463,0))="",NA(),INDEX(MASTER!$L$4:$L$1463,MATCH("SUB ROSA"&amp;"|"&amp;MAX(1,ROUND(COUNTIFS(MASTER!$B$4:$B$1463,"SUB ROSA",MASTER!$L$4:$L$1463,"&lt;&gt;")*$A58*100/100,0)),MASTER!$AI$4:$AI$1463,0))),NA()))))</f>
        <v>10121</v>
      </c>
      <c r="M58" s="37">
        <f>IF($B$4="RESONANCE",IFERROR(IF(INDEX(MASTER!$I$4:$I$1463,MATCH("VENGEANCE"&amp;"|"&amp;MAX(1,ROUND(COUNTIFS(MASTER!$B$4:$B$1463,"VENGEANCE",MASTER!$I$4:$I$1463,"&lt;&gt;")*$A58*100/100,0)),MASTER!$Y$4:$Y$1463,0))="",NA(),INDEX(MASTER!$I$4:$I$1463,MATCH("VENGEANCE"&amp;"|"&amp;MAX(1,ROUND(COUNTIFS(MASTER!$B$4:$B$1463,"VENGEANCE",MASTER!$I$4:$I$1463,"&lt;&gt;")*$A58*100/100,0)),MASTER!$Y$4:$Y$1463,0))),NA()),IF($B$4="COMBAT RATING",IFERROR(IF(INDEX(MASTER!$G$4:$G$1463,MATCH("VENGEANCE"&amp;"|"&amp;MAX(1,ROUND(COUNTIFS(MASTER!$B$4:$B$1463,"VENGEANCE",MASTER!$G$4:$G$1463,"&lt;&gt;")*$A58*100/100,0)),MASTER!$AH$4:$AH$1463,0))="",NA(),INDEX(MASTER!$G$4:$G$1463,MATCH("VENGEANCE"&amp;"|"&amp;MAX(1,ROUND(COUNTIFS(MASTER!$B$4:$B$1463,"VENGEANCE",MASTER!$G$4:$G$1463,"&lt;&gt;")*$A58*100/100,0)),MASTER!$AH$4:$AH$1463,0))),NA()),IF($B$4="SECONDARY",IFERROR(IF(INDEX(MASTER!$L$4:$L$1463,MATCH("VENGEANCE"&amp;"|"&amp;MAX(1,ROUND(COUNTIFS(MASTER!$B$4:$B$1463,"VENGEANCE",MASTER!$L$4:$L$1463,"&lt;&gt;")*$A58*100/100,0)),MASTER!$AI$4:$AI$1463,0))="",NA(),INDEX(MASTER!$L$4:$L$1463,MATCH("VENGEANCE"&amp;"|"&amp;MAX(1,ROUND(COUNTIFS(MASTER!$B$4:$B$1463,"VENGEANCE",MASTER!$L$4:$L$1463,"&lt;&gt;")*$A58*100/100,0)),MASTER!$AI$4:$AI$1463,0))),NA()))))</f>
        <v>7544</v>
      </c>
      <c r="N58" s="37">
        <f>IF($B$4="RESONANCE",IFERROR(IF(INDEX(MASTER!$I$4:$I$1463,MATCH("VENDETTA"&amp;"|"&amp;MAX(1,ROUND(COUNTIFS(MASTER!$B$4:$B$1463,"VENDETTA",MASTER!$I$4:$I$1463,"&lt;&gt;")*$A58*100/100,0)),MASTER!$Y$4:$Y$1463,0))="",NA(),INDEX(MASTER!$I$4:$I$1463,MATCH("VENDETTA"&amp;"|"&amp;MAX(1,ROUND(COUNTIFS(MASTER!$B$4:$B$1463,"VENDETTA",MASTER!$I$4:$I$1463,"&lt;&gt;")*$A58*100/100,0)),MASTER!$Y$4:$Y$1463,0))),NA()),IF($B$4="COMBAT RATING",IFERROR(IF(INDEX(MASTER!$G$4:$G$1463,MATCH("VENDETTA"&amp;"|"&amp;MAX(1,ROUND(COUNTIFS(MASTER!$B$4:$B$1463,"VENDETTA",MASTER!$G$4:$G$1463,"&lt;&gt;")*$A58*100/100,0)),MASTER!$AH$4:$AH$1463,0))="",NA(),INDEX(MASTER!$G$4:$G$1463,MATCH("VENDETTA"&amp;"|"&amp;MAX(1,ROUND(COUNTIFS(MASTER!$B$4:$B$1463,"VENDETTA",MASTER!$G$4:$G$1463,"&lt;&gt;")*$A58*100/100,0)),MASTER!$AH$4:$AH$1463,0))),NA()),IF($B$4="SECONDARY",IFERROR(IF(INDEX(MASTER!$L$4:$L$1463,MATCH("VENDETTA"&amp;"|"&amp;MAX(1,ROUND(COUNTIFS(MASTER!$B$4:$B$1463,"VENDETTA",MASTER!$L$4:$L$1463,"&lt;&gt;")*$A58*100/100,0)),MASTER!$AI$4:$AI$1463,0))="",NA(),INDEX(MASTER!$L$4:$L$1463,MATCH("VENDETTA"&amp;"|"&amp;MAX(1,ROUND(COUNTIFS(MASTER!$B$4:$B$1463,"VENDETTA",MASTER!$L$4:$L$1463,"&lt;&gt;")*$A58*100/100,0)),MASTER!$AI$4:$AI$1463,0))),NA()))))</f>
        <v>3833</v>
      </c>
      <c r="O58" s="37">
        <f>IF($B$4="RESONANCE",IFERROR(IF(INDEX(MASTER!$I$4:$I$1463,MATCH("ZOMBIES"&amp;"|"&amp;MAX(1,ROUND(COUNTIFS(MASTER!$B$4:$B$1463,"ZOMBIES",MASTER!$I$4:$I$1463,"&lt;&gt;")*$A58*100/100,0)),MASTER!$Y$4:$Y$1463,0))="",NA(),INDEX(MASTER!$I$4:$I$1463,MATCH("ZOMBIES"&amp;"|"&amp;MAX(1,ROUND(COUNTIFS(MASTER!$B$4:$B$1463,"ZOMBIES",MASTER!$I$4:$I$1463,"&lt;&gt;")*$A58*100/100,0)),MASTER!$Y$4:$Y$1463,0))),NA()),IF($B$4="COMBAT RATING",IFERROR(IF(INDEX(MASTER!$G$4:$G$1463,MATCH("ZOMBIES"&amp;"|"&amp;MAX(1,ROUND(COUNTIFS(MASTER!$B$4:$B$1463,"ZOMBIES",MASTER!$G$4:$G$1463,"&lt;&gt;")*$A58*100/100,0)),MASTER!$AH$4:$AH$1463,0))="",NA(),INDEX(MASTER!$G$4:$G$1463,MATCH("ZOMBIES"&amp;"|"&amp;MAX(1,ROUND(COUNTIFS(MASTER!$B$4:$B$1463,"ZOMBIES",MASTER!$G$4:$G$1463,"&lt;&gt;")*$A58*100/100,0)),MASTER!$AH$4:$AH$1463,0))),NA()),IF($B$4="SECONDARY",IFERROR(IF(INDEX(MASTER!$L$4:$L$1463,MATCH("ZOMBIES"&amp;"|"&amp;MAX(1,ROUND(COUNTIFS(MASTER!$B$4:$B$1463,"ZOMBIES",MASTER!$L$4:$L$1463,"&lt;&gt;")*$A58*100/100,0)),MASTER!$AI$4:$AI$1463,0))="",NA(),INDEX(MASTER!$L$4:$L$1463,MATCH("ZOMBIES"&amp;"|"&amp;MAX(1,ROUND(COUNTIFS(MASTER!$B$4:$B$1463,"ZOMBIES",MASTER!$L$4:$L$1463,"&lt;&gt;")*$A58*100/100,0)),MASTER!$AI$4:$AI$1463,0))),NA()))))</f>
        <v>7277</v>
      </c>
      <c r="P58" s="37">
        <f>IF($B$4="RESONANCE",IFERROR(IF(INDEX(MASTER!$I$4:$I$1463,MATCH("FUCT"&amp;"|"&amp;MAX(1,ROUND(COUNTIFS(MASTER!$B$4:$B$1463,"FUCT",MASTER!$I$4:$I$1463,"&lt;&gt;")*$A58*100/100,0)),MASTER!$Y$4:$Y$1463,0))="",NA(),INDEX(MASTER!$I$4:$I$1463,MATCH("FUCT"&amp;"|"&amp;MAX(1,ROUND(COUNTIFS(MASTER!$B$4:$B$1463,"FUCT",MASTER!$I$4:$I$1463,"&lt;&gt;")*$A58*100/100,0)),MASTER!$Y$4:$Y$1463,0))),NA()),IF($B$4="COMBAT RATING",IFERROR(IF(INDEX(MASTER!$G$4:$G$1463,MATCH("FUCT"&amp;"|"&amp;MAX(1,ROUND(COUNTIFS(MASTER!$B$4:$B$1463,"FUCT",MASTER!$G$4:$G$1463,"&lt;&gt;")*$A58*100/100,0)),MASTER!$AH$4:$AH$1463,0))="",NA(),INDEX(MASTER!$G$4:$G$1463,MATCH("FUCT"&amp;"|"&amp;MAX(1,ROUND(COUNTIFS(MASTER!$B$4:$B$1463,"FUCT",MASTER!$G$4:$G$1463,"&lt;&gt;")*$A58*100/100,0)),MASTER!$AH$4:$AH$1463,0))),NA()),IF($B$4="SECONDARY",IFERROR(IF(INDEX(MASTER!$L$4:$L$1463,MATCH("FUCT"&amp;"|"&amp;MAX(1,ROUND(COUNTIFS(MASTER!$B$4:$B$1463,"FUCT",MASTER!$L$4:$L$1463,"&lt;&gt;")*$A58*100/100,0)),MASTER!$AI$4:$AI$1463,0))="",NA(),INDEX(MASTER!$L$4:$L$1463,MATCH("FUCT"&amp;"|"&amp;MAX(1,ROUND(COUNTIFS(MASTER!$B$4:$B$1463,"FUCT",MASTER!$L$4:$L$1463,"&lt;&gt;")*$A58*100/100,0)),MASTER!$AI$4:$AI$1463,0))),NA()))))</f>
        <v>10332</v>
      </c>
      <c r="Q58" s="37">
        <f>IF($B$4="RESONANCE",IFERROR(IF(INDEX(MASTER!$I$4:$I$1463,MATCH($E$4&amp;"|"&amp;MAX(1,ROUND(COUNTIFS(MASTER!$B$4:$B$1463,$E$4,MASTER!$I$4:$I$1463,"&lt;&gt;")*$A58*100/100,0)),MASTER!$Y$4:$Y$1463,0))="",NA(),INDEX(MASTER!$I$4:$I$1463,MATCH($E$4&amp;"|"&amp;MAX(1,ROUND(COUNTIFS(MASTER!$B$4:$B$1463,$E$4,MASTER!$I$4:$I$1463,"&lt;&gt;")*$A58*100/100,0)),MASTER!$Y$4:$Y$1463,0))),NA()),IF($B$4="COMBAT RATING",IFERROR(IF(INDEX(MASTER!$G$4:$G$1463,MATCH($E$4&amp;"|"&amp;MAX(1,ROUND(COUNTIFS(MASTER!$B$4:$B$1463,$E$4,MASTER!$G$4:$G$1463,"&lt;&gt;")*$A58*100/100,0)),MASTER!$AH$4:$AH$1463,0))="",NA(),INDEX(MASTER!$G$4:$G$1463,MATCH($E$4&amp;"|"&amp;MAX(1,ROUND(COUNTIFS(MASTER!$B$4:$B$1463,$E$4,MASTER!$G$4:$G$1463,"&lt;&gt;")*$A58*100/100,0)),MASTER!$AH$4:$AH$1463,0))),NA()),IF($B$4="SECONDARY",IFERROR(IF(INDEX(MASTER!$L$4:$L$1463,MATCH($E$4&amp;"|"&amp;MAX(1,ROUND(COUNTIFS(MASTER!$B$4:$B$1463,$E$4,MASTER!$L$4:$L$1463,"&lt;&gt;")*$A58*100/100,0)),MASTER!$AI$4:$AI$1463,0))="",NA(),INDEX(MASTER!$L$4:$L$1463,MATCH($E$4&amp;"|"&amp;MAX(1,ROUND(COUNTIFS(MASTER!$B$4:$B$1463,$E$4,MASTER!$L$4:$L$1463,"&lt;&gt;")*$A58*100/100,0)),MASTER!$AI$4:$AI$1463,0))),NA()))))</f>
        <v>8843</v>
      </c>
    </row>
    <row r="59" spans="1:17" hidden="1">
      <c r="A59" s="36">
        <v>0.04</v>
      </c>
      <c r="B59" s="37">
        <f>IF($B$4="RESONANCE",IFERROR(IF(INDEX(MASTER!$I$4:$I$1463,MATCH("FUCT"&amp;"|"&amp;MAX(1,ROUND(COUNTIFS(MASTER!$B$4:$B$1463,"FUCT",MASTER!$I$4:$I$1463,"&lt;&gt;")*$A59*100/100,0)),MASTER!$Y$4:$Y$1463,0))="",NA(),INDEX(MASTER!$I$4:$I$1463,MATCH("FUCT"&amp;"|"&amp;MAX(1,ROUND(COUNTIFS(MASTER!$B$4:$B$1463,"FUCT",MASTER!$I$4:$I$1463,"&lt;&gt;")*$A59*100/100,0)),MASTER!$Y$4:$Y$1463,0))),NA()),IF($B$4="COMBAT RATING",IFERROR(IF(INDEX(MASTER!$G$4:$G$1463,MATCH("FUCT"&amp;"|"&amp;MAX(1,ROUND(COUNTIFS(MASTER!$B$4:$B$1463,"FUCT",MASTER!$G$4:$G$1463,"&lt;&gt;")*$A59*100/100,0)),MASTER!$AH$4:$AH$1463,0))="",NA(),INDEX(MASTER!$G$4:$G$1463,MATCH("FUCT"&amp;"|"&amp;MAX(1,ROUND(COUNTIFS(MASTER!$B$4:$B$1463,"FUCT",MASTER!$G$4:$G$1463,"&lt;&gt;")*$A59*100/100,0)),MASTER!$AH$4:$AH$1463,0))),NA()),IF($B$4="SECONDARY",IFERROR(IF(INDEX(MASTER!$L$4:$L$1463,MATCH("FUCT"&amp;"|"&amp;MAX(1,ROUND(COUNTIFS(MASTER!$B$4:$B$1463,"FUCT",MASTER!$L$4:$L$1463,"&lt;&gt;")*$A59*100/100,0)),MASTER!$AI$4:$AI$1463,0))="",NA(),INDEX(MASTER!$L$4:$L$1463,MATCH("FUCT"&amp;"|"&amp;MAX(1,ROUND(COUNTIFS(MASTER!$B$4:$B$1463,"FUCT",MASTER!$L$4:$L$1463,"&lt;&gt;")*$A59*100/100,0)),MASTER!$AI$4:$AI$1463,0))),NA()))))</f>
        <v>10077</v>
      </c>
      <c r="C59" s="37">
        <f>IF($B$4="RESONANCE",IFERROR(IF(INDEX(MASTER!$I$4:$I$1463,MATCH("LEGENDS"&amp;"|"&amp;MAX(1,ROUND(COUNTIFS(MASTER!$B$4:$B$1463,"LEGENDS",MASTER!$I$4:$I$1463,"&lt;&gt;")*$A59*100/100,0)),MASTER!$Y$4:$Y$1463,0))="",NA(),INDEX(MASTER!$I$4:$I$1463,MATCH("LEGENDS"&amp;"|"&amp;MAX(1,ROUND(COUNTIFS(MASTER!$B$4:$B$1463,"LEGENDS",MASTER!$I$4:$I$1463,"&lt;&gt;")*$A59*100/100,0)),MASTER!$Y$4:$Y$1463,0))),NA()),IF($B$4="COMBAT RATING",IFERROR(IF(INDEX(MASTER!$G$4:$G$1463,MATCH("LEGENDS"&amp;"|"&amp;MAX(1,ROUND(COUNTIFS(MASTER!$B$4:$B$1463,"LEGENDS",MASTER!$G$4:$G$1463,"&lt;&gt;")*$A59*100/100,0)),MASTER!$AH$4:$AH$1463,0))="",NA(),INDEX(MASTER!$G$4:$G$1463,MATCH("LEGENDS"&amp;"|"&amp;MAX(1,ROUND(COUNTIFS(MASTER!$B$4:$B$1463,"LEGENDS",MASTER!$G$4:$G$1463,"&lt;&gt;")*$A59*100/100,0)),MASTER!$AH$4:$AH$1463,0))),NA()),IF($B$4="SECONDARY",IFERROR(IF(INDEX(MASTER!$L$4:$L$1463,MATCH("LEGENDS"&amp;"|"&amp;MAX(1,ROUND(COUNTIFS(MASTER!$B$4:$B$1463,"LEGENDS",MASTER!$L$4:$L$1463,"&lt;&gt;")*$A59*100/100,0)),MASTER!$AI$4:$AI$1463,0))="",NA(),INDEX(MASTER!$L$4:$L$1463,MATCH("LEGENDS"&amp;"|"&amp;MAX(1,ROUND(COUNTIFS(MASTER!$B$4:$B$1463,"LEGENDS",MASTER!$L$4:$L$1463,"&lt;&gt;")*$A59*100/100,0)),MASTER!$AI$4:$AI$1463,0))),NA()))))</f>
        <v>10350</v>
      </c>
      <c r="D59" s="37">
        <f>IF($B$4="RESONANCE",IFERROR(IF(INDEX(MASTER!$I$4:$I$1463,MATCH("VANGUARD"&amp;"|"&amp;MAX(1,ROUND(COUNTIFS(MASTER!$B$4:$B$1463,"VANGUARD",MASTER!$I$4:$I$1463,"&lt;&gt;")*$A59*100/100,0)),MASTER!$Y$4:$Y$1463,0))="",NA(),INDEX(MASTER!$I$4:$I$1463,MATCH("VANGUARD"&amp;"|"&amp;MAX(1,ROUND(COUNTIFS(MASTER!$B$4:$B$1463,"VANGUARD",MASTER!$I$4:$I$1463,"&lt;&gt;")*$A59*100/100,0)),MASTER!$Y$4:$Y$1463,0))),NA()),IF($B$4="COMBAT RATING",IFERROR(IF(INDEX(MASTER!$G$4:$G$1463,MATCH("VANGUARD"&amp;"|"&amp;MAX(1,ROUND(COUNTIFS(MASTER!$B$4:$B$1463,"VANGUARD",MASTER!$G$4:$G$1463,"&lt;&gt;")*$A59*100/100,0)),MASTER!$AH$4:$AH$1463,0))="",NA(),INDEX(MASTER!$G$4:$G$1463,MATCH("VANGUARD"&amp;"|"&amp;MAX(1,ROUND(COUNTIFS(MASTER!$B$4:$B$1463,"VANGUARD",MASTER!$G$4:$G$1463,"&lt;&gt;")*$A59*100/100,0)),MASTER!$AH$4:$AH$1463,0))),NA()),IF($B$4="SECONDARY",IFERROR(IF(INDEX(MASTER!$L$4:$L$1463,MATCH("VANGUARD"&amp;"|"&amp;MAX(1,ROUND(COUNTIFS(MASTER!$B$4:$B$1463,"VANGUARD",MASTER!$L$4:$L$1463,"&lt;&gt;")*$A59*100/100,0)),MASTER!$AI$4:$AI$1463,0))="",NA(),INDEX(MASTER!$L$4:$L$1463,MATCH("VANGUARD"&amp;"|"&amp;MAX(1,ROUND(COUNTIFS(MASTER!$B$4:$B$1463,"VANGUARD",MASTER!$L$4:$L$1463,"&lt;&gt;")*$A59*100/100,0)),MASTER!$AI$4:$AI$1463,0))),NA()))))</f>
        <v>10216</v>
      </c>
      <c r="E59" s="37">
        <f>IF($B$4="RESONANCE",IFERROR(IF(INDEX(MASTER!$I$4:$I$1463,MATCH("UNDYING"&amp;"|"&amp;MAX(1,ROUND(COUNTIFS(MASTER!$B$4:$B$1463,"UNDYING",MASTER!$I$4:$I$1463,"&lt;&gt;")*$A59*100/100,0)),MASTER!$Y$4:$Y$1463,0))="",NA(),INDEX(MASTER!$I$4:$I$1463,MATCH("UNDYING"&amp;"|"&amp;MAX(1,ROUND(COUNTIFS(MASTER!$B$4:$B$1463,"UNDYING",MASTER!$I$4:$I$1463,"&lt;&gt;")*$A59*100/100,0)),MASTER!$Y$4:$Y$1463,0))),NA()),IF($B$4="COMBAT RATING",IFERROR(IF(INDEX(MASTER!$G$4:$G$1463,MATCH("UNDYING"&amp;"|"&amp;MAX(1,ROUND(COUNTIFS(MASTER!$B$4:$B$1463,"UNDYING",MASTER!$G$4:$G$1463,"&lt;&gt;")*$A59*100/100,0)),MASTER!$AH$4:$AH$1463,0))="",NA(),INDEX(MASTER!$G$4:$G$1463,MATCH("UNDYING"&amp;"|"&amp;MAX(1,ROUND(COUNTIFS(MASTER!$B$4:$B$1463,"UNDYING",MASTER!$G$4:$G$1463,"&lt;&gt;")*$A59*100/100,0)),MASTER!$AH$4:$AH$1463,0))),NA()),IF($B$4="SECONDARY",IFERROR(IF(INDEX(MASTER!$L$4:$L$1463,MATCH("UNDYING"&amp;"|"&amp;MAX(1,ROUND(COUNTIFS(MASTER!$B$4:$B$1463,"UNDYING",MASTER!$L$4:$L$1463,"&lt;&gt;")*$A59*100/100,0)),MASTER!$AI$4:$AI$1463,0))="",NA(),INDEX(MASTER!$L$4:$L$1463,MATCH("UNDYING"&amp;"|"&amp;MAX(1,ROUND(COUNTIFS(MASTER!$B$4:$B$1463,"UNDYING",MASTER!$L$4:$L$1463,"&lt;&gt;")*$A59*100/100,0)),MASTER!$AI$4:$AI$1463,0))),NA()))))</f>
        <v>8610</v>
      </c>
      <c r="F59" s="37">
        <f>IF($B$4="RESONANCE",IFERROR(IF(INDEX(MASTER!$I$4:$I$1463,MATCH("SBG"&amp;"|"&amp;MAX(1,ROUND(COUNTIFS(MASTER!$B$4:$B$1463,"SBG",MASTER!$I$4:$I$1463,"&lt;&gt;")*$A59*100/100,0)),MASTER!$Y$4:$Y$1463,0))="",NA(),INDEX(MASTER!$I$4:$I$1463,MATCH("SBG"&amp;"|"&amp;MAX(1,ROUND(COUNTIFS(MASTER!$B$4:$B$1463,"SBG",MASTER!$I$4:$I$1463,"&lt;&gt;")*$A59*100/100,0)),MASTER!$Y$4:$Y$1463,0))),NA()),IF($B$4="COMBAT RATING",IFERROR(IF(INDEX(MASTER!$G$4:$G$1463,MATCH("SBG"&amp;"|"&amp;MAX(1,ROUND(COUNTIFS(MASTER!$B$4:$B$1463,"SBG",MASTER!$G$4:$G$1463,"&lt;&gt;")*$A59*100/100,0)),MASTER!$AH$4:$AH$1463,0))="",NA(),INDEX(MASTER!$G$4:$G$1463,MATCH("SBG"&amp;"|"&amp;MAX(1,ROUND(COUNTIFS(MASTER!$B$4:$B$1463,"SBG",MASTER!$G$4:$G$1463,"&lt;&gt;")*$A59*100/100,0)),MASTER!$AH$4:$AH$1463,0))),NA()),IF($B$4="SECONDARY",IFERROR(IF(INDEX(MASTER!$L$4:$L$1463,MATCH("SBG"&amp;"|"&amp;MAX(1,ROUND(COUNTIFS(MASTER!$B$4:$B$1463,"SBG",MASTER!$L$4:$L$1463,"&lt;&gt;")*$A59*100/100,0)),MASTER!$AI$4:$AI$1463,0))="",NA(),INDEX(MASTER!$L$4:$L$1463,MATCH("SBG"&amp;"|"&amp;MAX(1,ROUND(COUNTIFS(MASTER!$B$4:$B$1463,"SBG",MASTER!$L$4:$L$1463,"&lt;&gt;")*$A59*100/100,0)),MASTER!$AI$4:$AI$1463,0))),NA()))))</f>
        <v>11185</v>
      </c>
      <c r="G59" s="37">
        <f>IF($B$4="RESONANCE",IFERROR(IF(INDEX(MASTER!$I$4:$I$1463,MATCH("AZUKI"&amp;"|"&amp;MAX(1,ROUND(COUNTIFS(MASTER!$B$4:$B$1463,"AZUKI",MASTER!$I$4:$I$1463,"&lt;&gt;")*$A59*100/100,0)),MASTER!$Y$4:$Y$1463,0))="",NA(),INDEX(MASTER!$I$4:$I$1463,MATCH("AZUKI"&amp;"|"&amp;MAX(1,ROUND(COUNTIFS(MASTER!$B$4:$B$1463,"AZUKI",MASTER!$I$4:$I$1463,"&lt;&gt;")*$A59*100/100,0)),MASTER!$Y$4:$Y$1463,0))),NA()),IF($B$4="COMBAT RATING",IFERROR(IF(INDEX(MASTER!$G$4:$G$1463,MATCH("AZUKI"&amp;"|"&amp;MAX(1,ROUND(COUNTIFS(MASTER!$B$4:$B$1463,"AZUKI",MASTER!$G$4:$G$1463,"&lt;&gt;")*$A59*100/100,0)),MASTER!$AH$4:$AH$1463,0))="",NA(),INDEX(MASTER!$G$4:$G$1463,MATCH("AZUKI"&amp;"|"&amp;MAX(1,ROUND(COUNTIFS(MASTER!$B$4:$B$1463,"AZUKI",MASTER!$G$4:$G$1463,"&lt;&gt;")*$A59*100/100,0)),MASTER!$AH$4:$AH$1463,0))),NA()),IF($B$4="SECONDARY",IFERROR(IF(INDEX(MASTER!$L$4:$L$1463,MATCH("AZUKI"&amp;"|"&amp;MAX(1,ROUND(COUNTIFS(MASTER!$B$4:$B$1463,"AZUKI",MASTER!$L$4:$L$1463,"&lt;&gt;")*$A59*100/100,0)),MASTER!$AI$4:$AI$1463,0))="",NA(),INDEX(MASTER!$L$4:$L$1463,MATCH("AZUKI"&amp;"|"&amp;MAX(1,ROUND(COUNTIFS(MASTER!$B$4:$B$1463,"AZUKI",MASTER!$L$4:$L$1463,"&lt;&gt;")*$A59*100/100,0)),MASTER!$AI$4:$AI$1463,0))),NA()))))</f>
        <v>11506</v>
      </c>
      <c r="H59" s="37">
        <f>IF($B$4="RESONANCE",IFERROR(IF(INDEX(MASTER!$I$4:$I$1463,MATCH("RECKONING"&amp;"|"&amp;MAX(1,ROUND(COUNTIFS(MASTER!$B$4:$B$1463,"RECKONING",MASTER!$I$4:$I$1463,"&lt;&gt;")*$A59*100/100,0)),MASTER!$Y$4:$Y$1463,0))="",NA(),INDEX(MASTER!$I$4:$I$1463,MATCH("RECKONING"&amp;"|"&amp;MAX(1,ROUND(COUNTIFS(MASTER!$B$4:$B$1463,"RECKONING",MASTER!$I$4:$I$1463,"&lt;&gt;")*$A59*100/100,0)),MASTER!$Y$4:$Y$1463,0))),NA()),IF($B$4="COMBAT RATING",IFERROR(IF(INDEX(MASTER!$G$4:$G$1463,MATCH("RECKONING"&amp;"|"&amp;MAX(1,ROUND(COUNTIFS(MASTER!$B$4:$B$1463,"RECKONING",MASTER!$G$4:$G$1463,"&lt;&gt;")*$A59*100/100,0)),MASTER!$AH$4:$AH$1463,0))="",NA(),INDEX(MASTER!$G$4:$G$1463,MATCH("RECKONING"&amp;"|"&amp;MAX(1,ROUND(COUNTIFS(MASTER!$B$4:$B$1463,"RECKONING",MASTER!$G$4:$G$1463,"&lt;&gt;")*$A59*100/100,0)),MASTER!$AH$4:$AH$1463,0))),NA()),IF($B$4="SECONDARY",IFERROR(IF(INDEX(MASTER!$L$4:$L$1463,MATCH("RECKONING"&amp;"|"&amp;MAX(1,ROUND(COUNTIFS(MASTER!$B$4:$B$1463,"RECKONING",MASTER!$L$4:$L$1463,"&lt;&gt;")*$A59*100/100,0)),MASTER!$AI$4:$AI$1463,0))="",NA(),INDEX(MASTER!$L$4:$L$1463,MATCH("RECKONING"&amp;"|"&amp;MAX(1,ROUND(COUNTIFS(MASTER!$B$4:$B$1463,"RECKONING",MASTER!$L$4:$L$1463,"&lt;&gt;")*$A59*100/100,0)),MASTER!$AI$4:$AI$1463,0))),NA()))))</f>
        <v>10392</v>
      </c>
      <c r="I59" s="37">
        <f>IF($B$4="RESONANCE",IFERROR(IF(INDEX(MASTER!$I$4:$I$1463,MATCH("ACHERON"&amp;"|"&amp;MAX(1,ROUND(COUNTIFS(MASTER!$B$4:$B$1463,"ACHERON",MASTER!$I$4:$I$1463,"&lt;&gt;")*$A59*100/100,0)),MASTER!$Y$4:$Y$1463,0))="",NA(),INDEX(MASTER!$I$4:$I$1463,MATCH("ACHERON"&amp;"|"&amp;MAX(1,ROUND(COUNTIFS(MASTER!$B$4:$B$1463,"ACHERON",MASTER!$I$4:$I$1463,"&lt;&gt;")*$A59*100/100,0)),MASTER!$Y$4:$Y$1463,0))),NA()),IF($B$4="COMBAT RATING",IFERROR(IF(INDEX(MASTER!$G$4:$G$1463,MATCH("ACHERON"&amp;"|"&amp;MAX(1,ROUND(COUNTIFS(MASTER!$B$4:$B$1463,"ACHERON",MASTER!$G$4:$G$1463,"&lt;&gt;")*$A59*100/100,0)),MASTER!$AH$4:$AH$1463,0))="",NA(),INDEX(MASTER!$G$4:$G$1463,MATCH("ACHERON"&amp;"|"&amp;MAX(1,ROUND(COUNTIFS(MASTER!$B$4:$B$1463,"ACHERON",MASTER!$G$4:$G$1463,"&lt;&gt;")*$A59*100/100,0)),MASTER!$AH$4:$AH$1463,0))),NA()),IF($B$4="SECONDARY",IFERROR(IF(INDEX(MASTER!$L$4:$L$1463,MATCH("ACHERON"&amp;"|"&amp;MAX(1,ROUND(COUNTIFS(MASTER!$B$4:$B$1463,"ACHERON",MASTER!$L$4:$L$1463,"&lt;&gt;")*$A59*100/100,0)),MASTER!$AI$4:$AI$1463,0))="",NA(),INDEX(MASTER!$L$4:$L$1463,MATCH("ACHERON"&amp;"|"&amp;MAX(1,ROUND(COUNTIFS(MASTER!$B$4:$B$1463,"ACHERON",MASTER!$L$4:$L$1463,"&lt;&gt;")*$A59*100/100,0)),MASTER!$AI$4:$AI$1463,0))),NA()))))</f>
        <v>8735</v>
      </c>
      <c r="J59" s="37">
        <f>IF($B$4="RESONANCE",IFERROR(IF(INDEX(MASTER!$I$4:$I$1463,MATCH("INVICTUS"&amp;"|"&amp;MAX(1,ROUND(COUNTIFS(MASTER!$B$4:$B$1463,"INVICTUS",MASTER!$I$4:$I$1463,"&lt;&gt;")*$A59*100/100,0)),MASTER!$Y$4:$Y$1463,0))="",NA(),INDEX(MASTER!$I$4:$I$1463,MATCH("INVICTUS"&amp;"|"&amp;MAX(1,ROUND(COUNTIFS(MASTER!$B$4:$B$1463,"INVICTUS",MASTER!$I$4:$I$1463,"&lt;&gt;")*$A59*100/100,0)),MASTER!$Y$4:$Y$1463,0))),NA()),IF($B$4="COMBAT RATING",IFERROR(IF(INDEX(MASTER!$G$4:$G$1463,MATCH("INVICTUS"&amp;"|"&amp;MAX(1,ROUND(COUNTIFS(MASTER!$B$4:$B$1463,"INVICTUS",MASTER!$G$4:$G$1463,"&lt;&gt;")*$A59*100/100,0)),MASTER!$AH$4:$AH$1463,0))="",NA(),INDEX(MASTER!$G$4:$G$1463,MATCH("INVICTUS"&amp;"|"&amp;MAX(1,ROUND(COUNTIFS(MASTER!$B$4:$B$1463,"INVICTUS",MASTER!$G$4:$G$1463,"&lt;&gt;")*$A59*100/100,0)),MASTER!$AH$4:$AH$1463,0))),NA()),IF($B$4="SECONDARY",IFERROR(IF(INDEX(MASTER!$L$4:$L$1463,MATCH("INVICTUS"&amp;"|"&amp;MAX(1,ROUND(COUNTIFS(MASTER!$B$4:$B$1463,"INVICTUS",MASTER!$L$4:$L$1463,"&lt;&gt;")*$A59*100/100,0)),MASTER!$AI$4:$AI$1463,0))="",NA(),INDEX(MASTER!$L$4:$L$1463,MATCH("INVICTUS"&amp;"|"&amp;MAX(1,ROUND(COUNTIFS(MASTER!$B$4:$B$1463,"INVICTUS",MASTER!$L$4:$L$1463,"&lt;&gt;")*$A59*100/100,0)),MASTER!$AI$4:$AI$1463,0))),NA()))))</f>
        <v>7342</v>
      </c>
      <c r="K59" s="37">
        <f>IF($B$4="RESONANCE",IFERROR(IF(INDEX(MASTER!$I$4:$I$1463,MATCH("EMERALD LEAF TRIBE"&amp;"|"&amp;MAX(1,ROUND(COUNTIFS(MASTER!$B$4:$B$1463,"EMERALD LEAF TRIBE",MASTER!$I$4:$I$1463,"&lt;&gt;")*$A59*100/100,0)),MASTER!$Y$4:$Y$1463,0))="",NA(),INDEX(MASTER!$I$4:$I$1463,MATCH("EMERALD LEAF TRIBE"&amp;"|"&amp;MAX(1,ROUND(COUNTIFS(MASTER!$B$4:$B$1463,"EMERALD LEAF TRIBE",MASTER!$I$4:$I$1463,"&lt;&gt;")*$A59*100/100,0)),MASTER!$Y$4:$Y$1463,0))),NA()),IF($B$4="COMBAT RATING",IFERROR(IF(INDEX(MASTER!$G$4:$G$1463,MATCH("EMERALD LEAF TRIBE"&amp;"|"&amp;MAX(1,ROUND(COUNTIFS(MASTER!$B$4:$B$1463,"EMERALD LEAF TRIBE",MASTER!$G$4:$G$1463,"&lt;&gt;")*$A59*100/100,0)),MASTER!$AH$4:$AH$1463,0))="",NA(),INDEX(MASTER!$G$4:$G$1463,MATCH("EMERALD LEAF TRIBE"&amp;"|"&amp;MAX(1,ROUND(COUNTIFS(MASTER!$B$4:$B$1463,"EMERALD LEAF TRIBE",MASTER!$G$4:$G$1463,"&lt;&gt;")*$A59*100/100,0)),MASTER!$AH$4:$AH$1463,0))),NA()),IF($B$4="SECONDARY",IFERROR(IF(INDEX(MASTER!$L$4:$L$1463,MATCH("EMERALD LEAF TRIBE"&amp;"|"&amp;MAX(1,ROUND(COUNTIFS(MASTER!$B$4:$B$1463,"EMERALD LEAF TRIBE",MASTER!$L$4:$L$1463,"&lt;&gt;")*$A59*100/100,0)),MASTER!$AI$4:$AI$1463,0))="",NA(),INDEX(MASTER!$L$4:$L$1463,MATCH("EMERALD LEAF TRIBE"&amp;"|"&amp;MAX(1,ROUND(COUNTIFS(MASTER!$B$4:$B$1463,"EMERALD LEAF TRIBE",MASTER!$L$4:$L$1463,"&lt;&gt;")*$A59*100/100,0)),MASTER!$AI$4:$AI$1463,0))),NA()))))</f>
        <v>4683</v>
      </c>
      <c r="L59" s="37">
        <f>IF($B$4="RESONANCE",IFERROR(IF(INDEX(MASTER!$I$4:$I$1463,MATCH("SUB ROSA"&amp;"|"&amp;MAX(1,ROUND(COUNTIFS(MASTER!$B$4:$B$1463,"SUB ROSA",MASTER!$I$4:$I$1463,"&lt;&gt;")*$A59*100/100,0)),MASTER!$Y$4:$Y$1463,0))="",NA(),INDEX(MASTER!$I$4:$I$1463,MATCH("SUB ROSA"&amp;"|"&amp;MAX(1,ROUND(COUNTIFS(MASTER!$B$4:$B$1463,"SUB ROSA",MASTER!$I$4:$I$1463,"&lt;&gt;")*$A59*100/100,0)),MASTER!$Y$4:$Y$1463,0))),NA()),IF($B$4="COMBAT RATING",IFERROR(IF(INDEX(MASTER!$G$4:$G$1463,MATCH("SUB ROSA"&amp;"|"&amp;MAX(1,ROUND(COUNTIFS(MASTER!$B$4:$B$1463,"SUB ROSA",MASTER!$G$4:$G$1463,"&lt;&gt;")*$A59*100/100,0)),MASTER!$AH$4:$AH$1463,0))="",NA(),INDEX(MASTER!$G$4:$G$1463,MATCH("SUB ROSA"&amp;"|"&amp;MAX(1,ROUND(COUNTIFS(MASTER!$B$4:$B$1463,"SUB ROSA",MASTER!$G$4:$G$1463,"&lt;&gt;")*$A59*100/100,0)),MASTER!$AH$4:$AH$1463,0))),NA()),IF($B$4="SECONDARY",IFERROR(IF(INDEX(MASTER!$L$4:$L$1463,MATCH("SUB ROSA"&amp;"|"&amp;MAX(1,ROUND(COUNTIFS(MASTER!$B$4:$B$1463,"SUB ROSA",MASTER!$L$4:$L$1463,"&lt;&gt;")*$A59*100/100,0)),MASTER!$AI$4:$AI$1463,0))="",NA(),INDEX(MASTER!$L$4:$L$1463,MATCH("SUB ROSA"&amp;"|"&amp;MAX(1,ROUND(COUNTIFS(MASTER!$B$4:$B$1463,"SUB ROSA",MASTER!$L$4:$L$1463,"&lt;&gt;")*$A59*100/100,0)),MASTER!$AI$4:$AI$1463,0))),NA()))))</f>
        <v>9887</v>
      </c>
      <c r="M59" s="37">
        <f>IF($B$4="RESONANCE",IFERROR(IF(INDEX(MASTER!$I$4:$I$1463,MATCH("VENGEANCE"&amp;"|"&amp;MAX(1,ROUND(COUNTIFS(MASTER!$B$4:$B$1463,"VENGEANCE",MASTER!$I$4:$I$1463,"&lt;&gt;")*$A59*100/100,0)),MASTER!$Y$4:$Y$1463,0))="",NA(),INDEX(MASTER!$I$4:$I$1463,MATCH("VENGEANCE"&amp;"|"&amp;MAX(1,ROUND(COUNTIFS(MASTER!$B$4:$B$1463,"VENGEANCE",MASTER!$I$4:$I$1463,"&lt;&gt;")*$A59*100/100,0)),MASTER!$Y$4:$Y$1463,0))),NA()),IF($B$4="COMBAT RATING",IFERROR(IF(INDEX(MASTER!$G$4:$G$1463,MATCH("VENGEANCE"&amp;"|"&amp;MAX(1,ROUND(COUNTIFS(MASTER!$B$4:$B$1463,"VENGEANCE",MASTER!$G$4:$G$1463,"&lt;&gt;")*$A59*100/100,0)),MASTER!$AH$4:$AH$1463,0))="",NA(),INDEX(MASTER!$G$4:$G$1463,MATCH("VENGEANCE"&amp;"|"&amp;MAX(1,ROUND(COUNTIFS(MASTER!$B$4:$B$1463,"VENGEANCE",MASTER!$G$4:$G$1463,"&lt;&gt;")*$A59*100/100,0)),MASTER!$AH$4:$AH$1463,0))),NA()),IF($B$4="SECONDARY",IFERROR(IF(INDEX(MASTER!$L$4:$L$1463,MATCH("VENGEANCE"&amp;"|"&amp;MAX(1,ROUND(COUNTIFS(MASTER!$B$4:$B$1463,"VENGEANCE",MASTER!$L$4:$L$1463,"&lt;&gt;")*$A59*100/100,0)),MASTER!$AI$4:$AI$1463,0))="",NA(),INDEX(MASTER!$L$4:$L$1463,MATCH("VENGEANCE"&amp;"|"&amp;MAX(1,ROUND(COUNTIFS(MASTER!$B$4:$B$1463,"VENGEANCE",MASTER!$L$4:$L$1463,"&lt;&gt;")*$A59*100/100,0)),MASTER!$AI$4:$AI$1463,0))),NA()))))</f>
        <v>7513</v>
      </c>
      <c r="N59" s="37">
        <f>IF($B$4="RESONANCE",IFERROR(IF(INDEX(MASTER!$I$4:$I$1463,MATCH("VENDETTA"&amp;"|"&amp;MAX(1,ROUND(COUNTIFS(MASTER!$B$4:$B$1463,"VENDETTA",MASTER!$I$4:$I$1463,"&lt;&gt;")*$A59*100/100,0)),MASTER!$Y$4:$Y$1463,0))="",NA(),INDEX(MASTER!$I$4:$I$1463,MATCH("VENDETTA"&amp;"|"&amp;MAX(1,ROUND(COUNTIFS(MASTER!$B$4:$B$1463,"VENDETTA",MASTER!$I$4:$I$1463,"&lt;&gt;")*$A59*100/100,0)),MASTER!$Y$4:$Y$1463,0))),NA()),IF($B$4="COMBAT RATING",IFERROR(IF(INDEX(MASTER!$G$4:$G$1463,MATCH("VENDETTA"&amp;"|"&amp;MAX(1,ROUND(COUNTIFS(MASTER!$B$4:$B$1463,"VENDETTA",MASTER!$G$4:$G$1463,"&lt;&gt;")*$A59*100/100,0)),MASTER!$AH$4:$AH$1463,0))="",NA(),INDEX(MASTER!$G$4:$G$1463,MATCH("VENDETTA"&amp;"|"&amp;MAX(1,ROUND(COUNTIFS(MASTER!$B$4:$B$1463,"VENDETTA",MASTER!$G$4:$G$1463,"&lt;&gt;")*$A59*100/100,0)),MASTER!$AH$4:$AH$1463,0))),NA()),IF($B$4="SECONDARY",IFERROR(IF(INDEX(MASTER!$L$4:$L$1463,MATCH("VENDETTA"&amp;"|"&amp;MAX(1,ROUND(COUNTIFS(MASTER!$B$4:$B$1463,"VENDETTA",MASTER!$L$4:$L$1463,"&lt;&gt;")*$A59*100/100,0)),MASTER!$AI$4:$AI$1463,0))="",NA(),INDEX(MASTER!$L$4:$L$1463,MATCH("VENDETTA"&amp;"|"&amp;MAX(1,ROUND(COUNTIFS(MASTER!$B$4:$B$1463,"VENDETTA",MASTER!$L$4:$L$1463,"&lt;&gt;")*$A59*100/100,0)),MASTER!$AI$4:$AI$1463,0))),NA()))))</f>
        <v>3685</v>
      </c>
      <c r="O59" s="37">
        <f>IF($B$4="RESONANCE",IFERROR(IF(INDEX(MASTER!$I$4:$I$1463,MATCH("ZOMBIES"&amp;"|"&amp;MAX(1,ROUND(COUNTIFS(MASTER!$B$4:$B$1463,"ZOMBIES",MASTER!$I$4:$I$1463,"&lt;&gt;")*$A59*100/100,0)),MASTER!$Y$4:$Y$1463,0))="",NA(),INDEX(MASTER!$I$4:$I$1463,MATCH("ZOMBIES"&amp;"|"&amp;MAX(1,ROUND(COUNTIFS(MASTER!$B$4:$B$1463,"ZOMBIES",MASTER!$I$4:$I$1463,"&lt;&gt;")*$A59*100/100,0)),MASTER!$Y$4:$Y$1463,0))),NA()),IF($B$4="COMBAT RATING",IFERROR(IF(INDEX(MASTER!$G$4:$G$1463,MATCH("ZOMBIES"&amp;"|"&amp;MAX(1,ROUND(COUNTIFS(MASTER!$B$4:$B$1463,"ZOMBIES",MASTER!$G$4:$G$1463,"&lt;&gt;")*$A59*100/100,0)),MASTER!$AH$4:$AH$1463,0))="",NA(),INDEX(MASTER!$G$4:$G$1463,MATCH("ZOMBIES"&amp;"|"&amp;MAX(1,ROUND(COUNTIFS(MASTER!$B$4:$B$1463,"ZOMBIES",MASTER!$G$4:$G$1463,"&lt;&gt;")*$A59*100/100,0)),MASTER!$AH$4:$AH$1463,0))),NA()),IF($B$4="SECONDARY",IFERROR(IF(INDEX(MASTER!$L$4:$L$1463,MATCH("ZOMBIES"&amp;"|"&amp;MAX(1,ROUND(COUNTIFS(MASTER!$B$4:$B$1463,"ZOMBIES",MASTER!$L$4:$L$1463,"&lt;&gt;")*$A59*100/100,0)),MASTER!$AI$4:$AI$1463,0))="",NA(),INDEX(MASTER!$L$4:$L$1463,MATCH("ZOMBIES"&amp;"|"&amp;MAX(1,ROUND(COUNTIFS(MASTER!$B$4:$B$1463,"ZOMBIES",MASTER!$L$4:$L$1463,"&lt;&gt;")*$A59*100/100,0)),MASTER!$AI$4:$AI$1463,0))),NA()))))</f>
        <v>6533</v>
      </c>
      <c r="P59" s="37">
        <f>IF($B$4="RESONANCE",IFERROR(IF(INDEX(MASTER!$I$4:$I$1463,MATCH("FUCT"&amp;"|"&amp;MAX(1,ROUND(COUNTIFS(MASTER!$B$4:$B$1463,"FUCT",MASTER!$I$4:$I$1463,"&lt;&gt;")*$A59*100/100,0)),MASTER!$Y$4:$Y$1463,0))="",NA(),INDEX(MASTER!$I$4:$I$1463,MATCH("FUCT"&amp;"|"&amp;MAX(1,ROUND(COUNTIFS(MASTER!$B$4:$B$1463,"FUCT",MASTER!$I$4:$I$1463,"&lt;&gt;")*$A59*100/100,0)),MASTER!$Y$4:$Y$1463,0))),NA()),IF($B$4="COMBAT RATING",IFERROR(IF(INDEX(MASTER!$G$4:$G$1463,MATCH("FUCT"&amp;"|"&amp;MAX(1,ROUND(COUNTIFS(MASTER!$B$4:$B$1463,"FUCT",MASTER!$G$4:$G$1463,"&lt;&gt;")*$A59*100/100,0)),MASTER!$AH$4:$AH$1463,0))="",NA(),INDEX(MASTER!$G$4:$G$1463,MATCH("FUCT"&amp;"|"&amp;MAX(1,ROUND(COUNTIFS(MASTER!$B$4:$B$1463,"FUCT",MASTER!$G$4:$G$1463,"&lt;&gt;")*$A59*100/100,0)),MASTER!$AH$4:$AH$1463,0))),NA()),IF($B$4="SECONDARY",IFERROR(IF(INDEX(MASTER!$L$4:$L$1463,MATCH("FUCT"&amp;"|"&amp;MAX(1,ROUND(COUNTIFS(MASTER!$B$4:$B$1463,"FUCT",MASTER!$L$4:$L$1463,"&lt;&gt;")*$A59*100/100,0)),MASTER!$AI$4:$AI$1463,0))="",NA(),INDEX(MASTER!$L$4:$L$1463,MATCH("FUCT"&amp;"|"&amp;MAX(1,ROUND(COUNTIFS(MASTER!$B$4:$B$1463,"FUCT",MASTER!$L$4:$L$1463,"&lt;&gt;")*$A59*100/100,0)),MASTER!$AI$4:$AI$1463,0))),NA()))))</f>
        <v>10077</v>
      </c>
      <c r="Q59" s="37">
        <f>IF($B$4="RESONANCE",IFERROR(IF(INDEX(MASTER!$I$4:$I$1463,MATCH($E$4&amp;"|"&amp;MAX(1,ROUND(COUNTIFS(MASTER!$B$4:$B$1463,$E$4,MASTER!$I$4:$I$1463,"&lt;&gt;")*$A59*100/100,0)),MASTER!$Y$4:$Y$1463,0))="",NA(),INDEX(MASTER!$I$4:$I$1463,MATCH($E$4&amp;"|"&amp;MAX(1,ROUND(COUNTIFS(MASTER!$B$4:$B$1463,$E$4,MASTER!$I$4:$I$1463,"&lt;&gt;")*$A59*100/100,0)),MASTER!$Y$4:$Y$1463,0))),NA()),IF($B$4="COMBAT RATING",IFERROR(IF(INDEX(MASTER!$G$4:$G$1463,MATCH($E$4&amp;"|"&amp;MAX(1,ROUND(COUNTIFS(MASTER!$B$4:$B$1463,$E$4,MASTER!$G$4:$G$1463,"&lt;&gt;")*$A59*100/100,0)),MASTER!$AH$4:$AH$1463,0))="",NA(),INDEX(MASTER!$G$4:$G$1463,MATCH($E$4&amp;"|"&amp;MAX(1,ROUND(COUNTIFS(MASTER!$B$4:$B$1463,$E$4,MASTER!$G$4:$G$1463,"&lt;&gt;")*$A59*100/100,0)),MASTER!$AH$4:$AH$1463,0))),NA()),IF($B$4="SECONDARY",IFERROR(IF(INDEX(MASTER!$L$4:$L$1463,MATCH($E$4&amp;"|"&amp;MAX(1,ROUND(COUNTIFS(MASTER!$B$4:$B$1463,$E$4,MASTER!$L$4:$L$1463,"&lt;&gt;")*$A59*100/100,0)),MASTER!$AI$4:$AI$1463,0))="",NA(),INDEX(MASTER!$L$4:$L$1463,MATCH($E$4&amp;"|"&amp;MAX(1,ROUND(COUNTIFS(MASTER!$B$4:$B$1463,$E$4,MASTER!$L$4:$L$1463,"&lt;&gt;")*$A59*100/100,0)),MASTER!$AI$4:$AI$1463,0))),NA()))))</f>
        <v>8610</v>
      </c>
    </row>
    <row r="60" spans="1:17" hidden="1">
      <c r="A60" s="36">
        <v>0.05</v>
      </c>
      <c r="B60" s="37">
        <f>IF($B$4="RESONANCE",IFERROR(IF(INDEX(MASTER!$I$4:$I$1463,MATCH("FUCT"&amp;"|"&amp;MAX(1,ROUND(COUNTIFS(MASTER!$B$4:$B$1463,"FUCT",MASTER!$I$4:$I$1463,"&lt;&gt;")*$A60*100/100,0)),MASTER!$Y$4:$Y$1463,0))="",NA(),INDEX(MASTER!$I$4:$I$1463,MATCH("FUCT"&amp;"|"&amp;MAX(1,ROUND(COUNTIFS(MASTER!$B$4:$B$1463,"FUCT",MASTER!$I$4:$I$1463,"&lt;&gt;")*$A60*100/100,0)),MASTER!$Y$4:$Y$1463,0))),NA()),IF($B$4="COMBAT RATING",IFERROR(IF(INDEX(MASTER!$G$4:$G$1463,MATCH("FUCT"&amp;"|"&amp;MAX(1,ROUND(COUNTIFS(MASTER!$B$4:$B$1463,"FUCT",MASTER!$G$4:$G$1463,"&lt;&gt;")*$A60*100/100,0)),MASTER!$AH$4:$AH$1463,0))="",NA(),INDEX(MASTER!$G$4:$G$1463,MATCH("FUCT"&amp;"|"&amp;MAX(1,ROUND(COUNTIFS(MASTER!$B$4:$B$1463,"FUCT",MASTER!$G$4:$G$1463,"&lt;&gt;")*$A60*100/100,0)),MASTER!$AH$4:$AH$1463,0))),NA()),IF($B$4="SECONDARY",IFERROR(IF(INDEX(MASTER!$L$4:$L$1463,MATCH("FUCT"&amp;"|"&amp;MAX(1,ROUND(COUNTIFS(MASTER!$B$4:$B$1463,"FUCT",MASTER!$L$4:$L$1463,"&lt;&gt;")*$A60*100/100,0)),MASTER!$AI$4:$AI$1463,0))="",NA(),INDEX(MASTER!$L$4:$L$1463,MATCH("FUCT"&amp;"|"&amp;MAX(1,ROUND(COUNTIFS(MASTER!$B$4:$B$1463,"FUCT",MASTER!$L$4:$L$1463,"&lt;&gt;")*$A60*100/100,0)),MASTER!$AI$4:$AI$1463,0))),NA()))))</f>
        <v>10023</v>
      </c>
      <c r="C60" s="37">
        <f>IF($B$4="RESONANCE",IFERROR(IF(INDEX(MASTER!$I$4:$I$1463,MATCH("LEGENDS"&amp;"|"&amp;MAX(1,ROUND(COUNTIFS(MASTER!$B$4:$B$1463,"LEGENDS",MASTER!$I$4:$I$1463,"&lt;&gt;")*$A60*100/100,0)),MASTER!$Y$4:$Y$1463,0))="",NA(),INDEX(MASTER!$I$4:$I$1463,MATCH("LEGENDS"&amp;"|"&amp;MAX(1,ROUND(COUNTIFS(MASTER!$B$4:$B$1463,"LEGENDS",MASTER!$I$4:$I$1463,"&lt;&gt;")*$A60*100/100,0)),MASTER!$Y$4:$Y$1463,0))),NA()),IF($B$4="COMBAT RATING",IFERROR(IF(INDEX(MASTER!$G$4:$G$1463,MATCH("LEGENDS"&amp;"|"&amp;MAX(1,ROUND(COUNTIFS(MASTER!$B$4:$B$1463,"LEGENDS",MASTER!$G$4:$G$1463,"&lt;&gt;")*$A60*100/100,0)),MASTER!$AH$4:$AH$1463,0))="",NA(),INDEX(MASTER!$G$4:$G$1463,MATCH("LEGENDS"&amp;"|"&amp;MAX(1,ROUND(COUNTIFS(MASTER!$B$4:$B$1463,"LEGENDS",MASTER!$G$4:$G$1463,"&lt;&gt;")*$A60*100/100,0)),MASTER!$AH$4:$AH$1463,0))),NA()),IF($B$4="SECONDARY",IFERROR(IF(INDEX(MASTER!$L$4:$L$1463,MATCH("LEGENDS"&amp;"|"&amp;MAX(1,ROUND(COUNTIFS(MASTER!$B$4:$B$1463,"LEGENDS",MASTER!$L$4:$L$1463,"&lt;&gt;")*$A60*100/100,0)),MASTER!$AI$4:$AI$1463,0))="",NA(),INDEX(MASTER!$L$4:$L$1463,MATCH("LEGENDS"&amp;"|"&amp;MAX(1,ROUND(COUNTIFS(MASTER!$B$4:$B$1463,"LEGENDS",MASTER!$L$4:$L$1463,"&lt;&gt;")*$A60*100/100,0)),MASTER!$AI$4:$AI$1463,0))),NA()))))</f>
        <v>10246</v>
      </c>
      <c r="D60" s="37">
        <f>IF($B$4="RESONANCE",IFERROR(IF(INDEX(MASTER!$I$4:$I$1463,MATCH("VANGUARD"&amp;"|"&amp;MAX(1,ROUND(COUNTIFS(MASTER!$B$4:$B$1463,"VANGUARD",MASTER!$I$4:$I$1463,"&lt;&gt;")*$A60*100/100,0)),MASTER!$Y$4:$Y$1463,0))="",NA(),INDEX(MASTER!$I$4:$I$1463,MATCH("VANGUARD"&amp;"|"&amp;MAX(1,ROUND(COUNTIFS(MASTER!$B$4:$B$1463,"VANGUARD",MASTER!$I$4:$I$1463,"&lt;&gt;")*$A60*100/100,0)),MASTER!$Y$4:$Y$1463,0))),NA()),IF($B$4="COMBAT RATING",IFERROR(IF(INDEX(MASTER!$G$4:$G$1463,MATCH("VANGUARD"&amp;"|"&amp;MAX(1,ROUND(COUNTIFS(MASTER!$B$4:$B$1463,"VANGUARD",MASTER!$G$4:$G$1463,"&lt;&gt;")*$A60*100/100,0)),MASTER!$AH$4:$AH$1463,0))="",NA(),INDEX(MASTER!$G$4:$G$1463,MATCH("VANGUARD"&amp;"|"&amp;MAX(1,ROUND(COUNTIFS(MASTER!$B$4:$B$1463,"VANGUARD",MASTER!$G$4:$G$1463,"&lt;&gt;")*$A60*100/100,0)),MASTER!$AH$4:$AH$1463,0))),NA()),IF($B$4="SECONDARY",IFERROR(IF(INDEX(MASTER!$L$4:$L$1463,MATCH("VANGUARD"&amp;"|"&amp;MAX(1,ROUND(COUNTIFS(MASTER!$B$4:$B$1463,"VANGUARD",MASTER!$L$4:$L$1463,"&lt;&gt;")*$A60*100/100,0)),MASTER!$AI$4:$AI$1463,0))="",NA(),INDEX(MASTER!$L$4:$L$1463,MATCH("VANGUARD"&amp;"|"&amp;MAX(1,ROUND(COUNTIFS(MASTER!$B$4:$B$1463,"VANGUARD",MASTER!$L$4:$L$1463,"&lt;&gt;")*$A60*100/100,0)),MASTER!$AI$4:$AI$1463,0))),NA()))))</f>
        <v>10188</v>
      </c>
      <c r="E60" s="37">
        <f>IF($B$4="RESONANCE",IFERROR(IF(INDEX(MASTER!$I$4:$I$1463,MATCH("UNDYING"&amp;"|"&amp;MAX(1,ROUND(COUNTIFS(MASTER!$B$4:$B$1463,"UNDYING",MASTER!$I$4:$I$1463,"&lt;&gt;")*$A60*100/100,0)),MASTER!$Y$4:$Y$1463,0))="",NA(),INDEX(MASTER!$I$4:$I$1463,MATCH("UNDYING"&amp;"|"&amp;MAX(1,ROUND(COUNTIFS(MASTER!$B$4:$B$1463,"UNDYING",MASTER!$I$4:$I$1463,"&lt;&gt;")*$A60*100/100,0)),MASTER!$Y$4:$Y$1463,0))),NA()),IF($B$4="COMBAT RATING",IFERROR(IF(INDEX(MASTER!$G$4:$G$1463,MATCH("UNDYING"&amp;"|"&amp;MAX(1,ROUND(COUNTIFS(MASTER!$B$4:$B$1463,"UNDYING",MASTER!$G$4:$G$1463,"&lt;&gt;")*$A60*100/100,0)),MASTER!$AH$4:$AH$1463,0))="",NA(),INDEX(MASTER!$G$4:$G$1463,MATCH("UNDYING"&amp;"|"&amp;MAX(1,ROUND(COUNTIFS(MASTER!$B$4:$B$1463,"UNDYING",MASTER!$G$4:$G$1463,"&lt;&gt;")*$A60*100/100,0)),MASTER!$AH$4:$AH$1463,0))),NA()),IF($B$4="SECONDARY",IFERROR(IF(INDEX(MASTER!$L$4:$L$1463,MATCH("UNDYING"&amp;"|"&amp;MAX(1,ROUND(COUNTIFS(MASTER!$B$4:$B$1463,"UNDYING",MASTER!$L$4:$L$1463,"&lt;&gt;")*$A60*100/100,0)),MASTER!$AI$4:$AI$1463,0))="",NA(),INDEX(MASTER!$L$4:$L$1463,MATCH("UNDYING"&amp;"|"&amp;MAX(1,ROUND(COUNTIFS(MASTER!$B$4:$B$1463,"UNDYING",MASTER!$L$4:$L$1463,"&lt;&gt;")*$A60*100/100,0)),MASTER!$AI$4:$AI$1463,0))),NA()))))</f>
        <v>8316</v>
      </c>
      <c r="F60" s="37">
        <f>IF($B$4="RESONANCE",IFERROR(IF(INDEX(MASTER!$I$4:$I$1463,MATCH("SBG"&amp;"|"&amp;MAX(1,ROUND(COUNTIFS(MASTER!$B$4:$B$1463,"SBG",MASTER!$I$4:$I$1463,"&lt;&gt;")*$A60*100/100,0)),MASTER!$Y$4:$Y$1463,0))="",NA(),INDEX(MASTER!$I$4:$I$1463,MATCH("SBG"&amp;"|"&amp;MAX(1,ROUND(COUNTIFS(MASTER!$B$4:$B$1463,"SBG",MASTER!$I$4:$I$1463,"&lt;&gt;")*$A60*100/100,0)),MASTER!$Y$4:$Y$1463,0))),NA()),IF($B$4="COMBAT RATING",IFERROR(IF(INDEX(MASTER!$G$4:$G$1463,MATCH("SBG"&amp;"|"&amp;MAX(1,ROUND(COUNTIFS(MASTER!$B$4:$B$1463,"SBG",MASTER!$G$4:$G$1463,"&lt;&gt;")*$A60*100/100,0)),MASTER!$AH$4:$AH$1463,0))="",NA(),INDEX(MASTER!$G$4:$G$1463,MATCH("SBG"&amp;"|"&amp;MAX(1,ROUND(COUNTIFS(MASTER!$B$4:$B$1463,"SBG",MASTER!$G$4:$G$1463,"&lt;&gt;")*$A60*100/100,0)),MASTER!$AH$4:$AH$1463,0))),NA()),IF($B$4="SECONDARY",IFERROR(IF(INDEX(MASTER!$L$4:$L$1463,MATCH("SBG"&amp;"|"&amp;MAX(1,ROUND(COUNTIFS(MASTER!$B$4:$B$1463,"SBG",MASTER!$L$4:$L$1463,"&lt;&gt;")*$A60*100/100,0)),MASTER!$AI$4:$AI$1463,0))="",NA(),INDEX(MASTER!$L$4:$L$1463,MATCH("SBG"&amp;"|"&amp;MAX(1,ROUND(COUNTIFS(MASTER!$B$4:$B$1463,"SBG",MASTER!$L$4:$L$1463,"&lt;&gt;")*$A60*100/100,0)),MASTER!$AI$4:$AI$1463,0))),NA()))))</f>
        <v>11000</v>
      </c>
      <c r="G60" s="37">
        <f>IF($B$4="RESONANCE",IFERROR(IF(INDEX(MASTER!$I$4:$I$1463,MATCH("AZUKI"&amp;"|"&amp;MAX(1,ROUND(COUNTIFS(MASTER!$B$4:$B$1463,"AZUKI",MASTER!$I$4:$I$1463,"&lt;&gt;")*$A60*100/100,0)),MASTER!$Y$4:$Y$1463,0))="",NA(),INDEX(MASTER!$I$4:$I$1463,MATCH("AZUKI"&amp;"|"&amp;MAX(1,ROUND(COUNTIFS(MASTER!$B$4:$B$1463,"AZUKI",MASTER!$I$4:$I$1463,"&lt;&gt;")*$A60*100/100,0)),MASTER!$Y$4:$Y$1463,0))),NA()),IF($B$4="COMBAT RATING",IFERROR(IF(INDEX(MASTER!$G$4:$G$1463,MATCH("AZUKI"&amp;"|"&amp;MAX(1,ROUND(COUNTIFS(MASTER!$B$4:$B$1463,"AZUKI",MASTER!$G$4:$G$1463,"&lt;&gt;")*$A60*100/100,0)),MASTER!$AH$4:$AH$1463,0))="",NA(),INDEX(MASTER!$G$4:$G$1463,MATCH("AZUKI"&amp;"|"&amp;MAX(1,ROUND(COUNTIFS(MASTER!$B$4:$B$1463,"AZUKI",MASTER!$G$4:$G$1463,"&lt;&gt;")*$A60*100/100,0)),MASTER!$AH$4:$AH$1463,0))),NA()),IF($B$4="SECONDARY",IFERROR(IF(INDEX(MASTER!$L$4:$L$1463,MATCH("AZUKI"&amp;"|"&amp;MAX(1,ROUND(COUNTIFS(MASTER!$B$4:$B$1463,"AZUKI",MASTER!$L$4:$L$1463,"&lt;&gt;")*$A60*100/100,0)),MASTER!$AI$4:$AI$1463,0))="",NA(),INDEX(MASTER!$L$4:$L$1463,MATCH("AZUKI"&amp;"|"&amp;MAX(1,ROUND(COUNTIFS(MASTER!$B$4:$B$1463,"AZUKI",MASTER!$L$4:$L$1463,"&lt;&gt;")*$A60*100/100,0)),MASTER!$AI$4:$AI$1463,0))),NA()))))</f>
        <v>11394</v>
      </c>
      <c r="H60" s="37">
        <f>IF($B$4="RESONANCE",IFERROR(IF(INDEX(MASTER!$I$4:$I$1463,MATCH("RECKONING"&amp;"|"&amp;MAX(1,ROUND(COUNTIFS(MASTER!$B$4:$B$1463,"RECKONING",MASTER!$I$4:$I$1463,"&lt;&gt;")*$A60*100/100,0)),MASTER!$Y$4:$Y$1463,0))="",NA(),INDEX(MASTER!$I$4:$I$1463,MATCH("RECKONING"&amp;"|"&amp;MAX(1,ROUND(COUNTIFS(MASTER!$B$4:$B$1463,"RECKONING",MASTER!$I$4:$I$1463,"&lt;&gt;")*$A60*100/100,0)),MASTER!$Y$4:$Y$1463,0))),NA()),IF($B$4="COMBAT RATING",IFERROR(IF(INDEX(MASTER!$G$4:$G$1463,MATCH("RECKONING"&amp;"|"&amp;MAX(1,ROUND(COUNTIFS(MASTER!$B$4:$B$1463,"RECKONING",MASTER!$G$4:$G$1463,"&lt;&gt;")*$A60*100/100,0)),MASTER!$AH$4:$AH$1463,0))="",NA(),INDEX(MASTER!$G$4:$G$1463,MATCH("RECKONING"&amp;"|"&amp;MAX(1,ROUND(COUNTIFS(MASTER!$B$4:$B$1463,"RECKONING",MASTER!$G$4:$G$1463,"&lt;&gt;")*$A60*100/100,0)),MASTER!$AH$4:$AH$1463,0))),NA()),IF($B$4="SECONDARY",IFERROR(IF(INDEX(MASTER!$L$4:$L$1463,MATCH("RECKONING"&amp;"|"&amp;MAX(1,ROUND(COUNTIFS(MASTER!$B$4:$B$1463,"RECKONING",MASTER!$L$4:$L$1463,"&lt;&gt;")*$A60*100/100,0)),MASTER!$AI$4:$AI$1463,0))="",NA(),INDEX(MASTER!$L$4:$L$1463,MATCH("RECKONING"&amp;"|"&amp;MAX(1,ROUND(COUNTIFS(MASTER!$B$4:$B$1463,"RECKONING",MASTER!$L$4:$L$1463,"&lt;&gt;")*$A60*100/100,0)),MASTER!$AI$4:$AI$1463,0))),NA()))))</f>
        <v>10388</v>
      </c>
      <c r="I60" s="37">
        <f>IF($B$4="RESONANCE",IFERROR(IF(INDEX(MASTER!$I$4:$I$1463,MATCH("ACHERON"&amp;"|"&amp;MAX(1,ROUND(COUNTIFS(MASTER!$B$4:$B$1463,"ACHERON",MASTER!$I$4:$I$1463,"&lt;&gt;")*$A60*100/100,0)),MASTER!$Y$4:$Y$1463,0))="",NA(),INDEX(MASTER!$I$4:$I$1463,MATCH("ACHERON"&amp;"|"&amp;MAX(1,ROUND(COUNTIFS(MASTER!$B$4:$B$1463,"ACHERON",MASTER!$I$4:$I$1463,"&lt;&gt;")*$A60*100/100,0)),MASTER!$Y$4:$Y$1463,0))),NA()),IF($B$4="COMBAT RATING",IFERROR(IF(INDEX(MASTER!$G$4:$G$1463,MATCH("ACHERON"&amp;"|"&amp;MAX(1,ROUND(COUNTIFS(MASTER!$B$4:$B$1463,"ACHERON",MASTER!$G$4:$G$1463,"&lt;&gt;")*$A60*100/100,0)),MASTER!$AH$4:$AH$1463,0))="",NA(),INDEX(MASTER!$G$4:$G$1463,MATCH("ACHERON"&amp;"|"&amp;MAX(1,ROUND(COUNTIFS(MASTER!$B$4:$B$1463,"ACHERON",MASTER!$G$4:$G$1463,"&lt;&gt;")*$A60*100/100,0)),MASTER!$AH$4:$AH$1463,0))),NA()),IF($B$4="SECONDARY",IFERROR(IF(INDEX(MASTER!$L$4:$L$1463,MATCH("ACHERON"&amp;"|"&amp;MAX(1,ROUND(COUNTIFS(MASTER!$B$4:$B$1463,"ACHERON",MASTER!$L$4:$L$1463,"&lt;&gt;")*$A60*100/100,0)),MASTER!$AI$4:$AI$1463,0))="",NA(),INDEX(MASTER!$L$4:$L$1463,MATCH("ACHERON"&amp;"|"&amp;MAX(1,ROUND(COUNTIFS(MASTER!$B$4:$B$1463,"ACHERON",MASTER!$L$4:$L$1463,"&lt;&gt;")*$A60*100/100,0)),MASTER!$AI$4:$AI$1463,0))),NA()))))</f>
        <v>8372</v>
      </c>
      <c r="J60" s="37">
        <f>IF($B$4="RESONANCE",IFERROR(IF(INDEX(MASTER!$I$4:$I$1463,MATCH("INVICTUS"&amp;"|"&amp;MAX(1,ROUND(COUNTIFS(MASTER!$B$4:$B$1463,"INVICTUS",MASTER!$I$4:$I$1463,"&lt;&gt;")*$A60*100/100,0)),MASTER!$Y$4:$Y$1463,0))="",NA(),INDEX(MASTER!$I$4:$I$1463,MATCH("INVICTUS"&amp;"|"&amp;MAX(1,ROUND(COUNTIFS(MASTER!$B$4:$B$1463,"INVICTUS",MASTER!$I$4:$I$1463,"&lt;&gt;")*$A60*100/100,0)),MASTER!$Y$4:$Y$1463,0))),NA()),IF($B$4="COMBAT RATING",IFERROR(IF(INDEX(MASTER!$G$4:$G$1463,MATCH("INVICTUS"&amp;"|"&amp;MAX(1,ROUND(COUNTIFS(MASTER!$B$4:$B$1463,"INVICTUS",MASTER!$G$4:$G$1463,"&lt;&gt;")*$A60*100/100,0)),MASTER!$AH$4:$AH$1463,0))="",NA(),INDEX(MASTER!$G$4:$G$1463,MATCH("INVICTUS"&amp;"|"&amp;MAX(1,ROUND(COUNTIFS(MASTER!$B$4:$B$1463,"INVICTUS",MASTER!$G$4:$G$1463,"&lt;&gt;")*$A60*100/100,0)),MASTER!$AH$4:$AH$1463,0))),NA()),IF($B$4="SECONDARY",IFERROR(IF(INDEX(MASTER!$L$4:$L$1463,MATCH("INVICTUS"&amp;"|"&amp;MAX(1,ROUND(COUNTIFS(MASTER!$B$4:$B$1463,"INVICTUS",MASTER!$L$4:$L$1463,"&lt;&gt;")*$A60*100/100,0)),MASTER!$AI$4:$AI$1463,0))="",NA(),INDEX(MASTER!$L$4:$L$1463,MATCH("INVICTUS"&amp;"|"&amp;MAX(1,ROUND(COUNTIFS(MASTER!$B$4:$B$1463,"INVICTUS",MASTER!$L$4:$L$1463,"&lt;&gt;")*$A60*100/100,0)),MASTER!$AI$4:$AI$1463,0))),NA()))))</f>
        <v>7327</v>
      </c>
      <c r="K60" s="37">
        <f>IF($B$4="RESONANCE",IFERROR(IF(INDEX(MASTER!$I$4:$I$1463,MATCH("EMERALD LEAF TRIBE"&amp;"|"&amp;MAX(1,ROUND(COUNTIFS(MASTER!$B$4:$B$1463,"EMERALD LEAF TRIBE",MASTER!$I$4:$I$1463,"&lt;&gt;")*$A60*100/100,0)),MASTER!$Y$4:$Y$1463,0))="",NA(),INDEX(MASTER!$I$4:$I$1463,MATCH("EMERALD LEAF TRIBE"&amp;"|"&amp;MAX(1,ROUND(COUNTIFS(MASTER!$B$4:$B$1463,"EMERALD LEAF TRIBE",MASTER!$I$4:$I$1463,"&lt;&gt;")*$A60*100/100,0)),MASTER!$Y$4:$Y$1463,0))),NA()),IF($B$4="COMBAT RATING",IFERROR(IF(INDEX(MASTER!$G$4:$G$1463,MATCH("EMERALD LEAF TRIBE"&amp;"|"&amp;MAX(1,ROUND(COUNTIFS(MASTER!$B$4:$B$1463,"EMERALD LEAF TRIBE",MASTER!$G$4:$G$1463,"&lt;&gt;")*$A60*100/100,0)),MASTER!$AH$4:$AH$1463,0))="",NA(),INDEX(MASTER!$G$4:$G$1463,MATCH("EMERALD LEAF TRIBE"&amp;"|"&amp;MAX(1,ROUND(COUNTIFS(MASTER!$B$4:$B$1463,"EMERALD LEAF TRIBE",MASTER!$G$4:$G$1463,"&lt;&gt;")*$A60*100/100,0)),MASTER!$AH$4:$AH$1463,0))),NA()),IF($B$4="SECONDARY",IFERROR(IF(INDEX(MASTER!$L$4:$L$1463,MATCH("EMERALD LEAF TRIBE"&amp;"|"&amp;MAX(1,ROUND(COUNTIFS(MASTER!$B$4:$B$1463,"EMERALD LEAF TRIBE",MASTER!$L$4:$L$1463,"&lt;&gt;")*$A60*100/100,0)),MASTER!$AI$4:$AI$1463,0))="",NA(),INDEX(MASTER!$L$4:$L$1463,MATCH("EMERALD LEAF TRIBE"&amp;"|"&amp;MAX(1,ROUND(COUNTIFS(MASTER!$B$4:$B$1463,"EMERALD LEAF TRIBE",MASTER!$L$4:$L$1463,"&lt;&gt;")*$A60*100/100,0)),MASTER!$AI$4:$AI$1463,0))),NA()))))</f>
        <v>4649</v>
      </c>
      <c r="L60" s="37">
        <f>IF($B$4="RESONANCE",IFERROR(IF(INDEX(MASTER!$I$4:$I$1463,MATCH("SUB ROSA"&amp;"|"&amp;MAX(1,ROUND(COUNTIFS(MASTER!$B$4:$B$1463,"SUB ROSA",MASTER!$I$4:$I$1463,"&lt;&gt;")*$A60*100/100,0)),MASTER!$Y$4:$Y$1463,0))="",NA(),INDEX(MASTER!$I$4:$I$1463,MATCH("SUB ROSA"&amp;"|"&amp;MAX(1,ROUND(COUNTIFS(MASTER!$B$4:$B$1463,"SUB ROSA",MASTER!$I$4:$I$1463,"&lt;&gt;")*$A60*100/100,0)),MASTER!$Y$4:$Y$1463,0))),NA()),IF($B$4="COMBAT RATING",IFERROR(IF(INDEX(MASTER!$G$4:$G$1463,MATCH("SUB ROSA"&amp;"|"&amp;MAX(1,ROUND(COUNTIFS(MASTER!$B$4:$B$1463,"SUB ROSA",MASTER!$G$4:$G$1463,"&lt;&gt;")*$A60*100/100,0)),MASTER!$AH$4:$AH$1463,0))="",NA(),INDEX(MASTER!$G$4:$G$1463,MATCH("SUB ROSA"&amp;"|"&amp;MAX(1,ROUND(COUNTIFS(MASTER!$B$4:$B$1463,"SUB ROSA",MASTER!$G$4:$G$1463,"&lt;&gt;")*$A60*100/100,0)),MASTER!$AH$4:$AH$1463,0))),NA()),IF($B$4="SECONDARY",IFERROR(IF(INDEX(MASTER!$L$4:$L$1463,MATCH("SUB ROSA"&amp;"|"&amp;MAX(1,ROUND(COUNTIFS(MASTER!$B$4:$B$1463,"SUB ROSA",MASTER!$L$4:$L$1463,"&lt;&gt;")*$A60*100/100,0)),MASTER!$AI$4:$AI$1463,0))="",NA(),INDEX(MASTER!$L$4:$L$1463,MATCH("SUB ROSA"&amp;"|"&amp;MAX(1,ROUND(COUNTIFS(MASTER!$B$4:$B$1463,"SUB ROSA",MASTER!$L$4:$L$1463,"&lt;&gt;")*$A60*100/100,0)),MASTER!$AI$4:$AI$1463,0))),NA()))))</f>
        <v>9887</v>
      </c>
      <c r="M60" s="37">
        <f>IF($B$4="RESONANCE",IFERROR(IF(INDEX(MASTER!$I$4:$I$1463,MATCH("VENGEANCE"&amp;"|"&amp;MAX(1,ROUND(COUNTIFS(MASTER!$B$4:$B$1463,"VENGEANCE",MASTER!$I$4:$I$1463,"&lt;&gt;")*$A60*100/100,0)),MASTER!$Y$4:$Y$1463,0))="",NA(),INDEX(MASTER!$I$4:$I$1463,MATCH("VENGEANCE"&amp;"|"&amp;MAX(1,ROUND(COUNTIFS(MASTER!$B$4:$B$1463,"VENGEANCE",MASTER!$I$4:$I$1463,"&lt;&gt;")*$A60*100/100,0)),MASTER!$Y$4:$Y$1463,0))),NA()),IF($B$4="COMBAT RATING",IFERROR(IF(INDEX(MASTER!$G$4:$G$1463,MATCH("VENGEANCE"&amp;"|"&amp;MAX(1,ROUND(COUNTIFS(MASTER!$B$4:$B$1463,"VENGEANCE",MASTER!$G$4:$G$1463,"&lt;&gt;")*$A60*100/100,0)),MASTER!$AH$4:$AH$1463,0))="",NA(),INDEX(MASTER!$G$4:$G$1463,MATCH("VENGEANCE"&amp;"|"&amp;MAX(1,ROUND(COUNTIFS(MASTER!$B$4:$B$1463,"VENGEANCE",MASTER!$G$4:$G$1463,"&lt;&gt;")*$A60*100/100,0)),MASTER!$AH$4:$AH$1463,0))),NA()),IF($B$4="SECONDARY",IFERROR(IF(INDEX(MASTER!$L$4:$L$1463,MATCH("VENGEANCE"&amp;"|"&amp;MAX(1,ROUND(COUNTIFS(MASTER!$B$4:$B$1463,"VENGEANCE",MASTER!$L$4:$L$1463,"&lt;&gt;")*$A60*100/100,0)),MASTER!$AI$4:$AI$1463,0))="",NA(),INDEX(MASTER!$L$4:$L$1463,MATCH("VENGEANCE"&amp;"|"&amp;MAX(1,ROUND(COUNTIFS(MASTER!$B$4:$B$1463,"VENGEANCE",MASTER!$L$4:$L$1463,"&lt;&gt;")*$A60*100/100,0)),MASTER!$AI$4:$AI$1463,0))),NA()))))</f>
        <v>6757</v>
      </c>
      <c r="N60" s="37">
        <f>IF($B$4="RESONANCE",IFERROR(IF(INDEX(MASTER!$I$4:$I$1463,MATCH("VENDETTA"&amp;"|"&amp;MAX(1,ROUND(COUNTIFS(MASTER!$B$4:$B$1463,"VENDETTA",MASTER!$I$4:$I$1463,"&lt;&gt;")*$A60*100/100,0)),MASTER!$Y$4:$Y$1463,0))="",NA(),INDEX(MASTER!$I$4:$I$1463,MATCH("VENDETTA"&amp;"|"&amp;MAX(1,ROUND(COUNTIFS(MASTER!$B$4:$B$1463,"VENDETTA",MASTER!$I$4:$I$1463,"&lt;&gt;")*$A60*100/100,0)),MASTER!$Y$4:$Y$1463,0))),NA()),IF($B$4="COMBAT RATING",IFERROR(IF(INDEX(MASTER!$G$4:$G$1463,MATCH("VENDETTA"&amp;"|"&amp;MAX(1,ROUND(COUNTIFS(MASTER!$B$4:$B$1463,"VENDETTA",MASTER!$G$4:$G$1463,"&lt;&gt;")*$A60*100/100,0)),MASTER!$AH$4:$AH$1463,0))="",NA(),INDEX(MASTER!$G$4:$G$1463,MATCH("VENDETTA"&amp;"|"&amp;MAX(1,ROUND(COUNTIFS(MASTER!$B$4:$B$1463,"VENDETTA",MASTER!$G$4:$G$1463,"&lt;&gt;")*$A60*100/100,0)),MASTER!$AH$4:$AH$1463,0))),NA()),IF($B$4="SECONDARY",IFERROR(IF(INDEX(MASTER!$L$4:$L$1463,MATCH("VENDETTA"&amp;"|"&amp;MAX(1,ROUND(COUNTIFS(MASTER!$B$4:$B$1463,"VENDETTA",MASTER!$L$4:$L$1463,"&lt;&gt;")*$A60*100/100,0)),MASTER!$AI$4:$AI$1463,0))="",NA(),INDEX(MASTER!$L$4:$L$1463,MATCH("VENDETTA"&amp;"|"&amp;MAX(1,ROUND(COUNTIFS(MASTER!$B$4:$B$1463,"VENDETTA",MASTER!$L$4:$L$1463,"&lt;&gt;")*$A60*100/100,0)),MASTER!$AI$4:$AI$1463,0))),NA()))))</f>
        <v>3592</v>
      </c>
      <c r="O60" s="37">
        <f>IF($B$4="RESONANCE",IFERROR(IF(INDEX(MASTER!$I$4:$I$1463,MATCH("ZOMBIES"&amp;"|"&amp;MAX(1,ROUND(COUNTIFS(MASTER!$B$4:$B$1463,"ZOMBIES",MASTER!$I$4:$I$1463,"&lt;&gt;")*$A60*100/100,0)),MASTER!$Y$4:$Y$1463,0))="",NA(),INDEX(MASTER!$I$4:$I$1463,MATCH("ZOMBIES"&amp;"|"&amp;MAX(1,ROUND(COUNTIFS(MASTER!$B$4:$B$1463,"ZOMBIES",MASTER!$I$4:$I$1463,"&lt;&gt;")*$A60*100/100,0)),MASTER!$Y$4:$Y$1463,0))),NA()),IF($B$4="COMBAT RATING",IFERROR(IF(INDEX(MASTER!$G$4:$G$1463,MATCH("ZOMBIES"&amp;"|"&amp;MAX(1,ROUND(COUNTIFS(MASTER!$B$4:$B$1463,"ZOMBIES",MASTER!$G$4:$G$1463,"&lt;&gt;")*$A60*100/100,0)),MASTER!$AH$4:$AH$1463,0))="",NA(),INDEX(MASTER!$G$4:$G$1463,MATCH("ZOMBIES"&amp;"|"&amp;MAX(1,ROUND(COUNTIFS(MASTER!$B$4:$B$1463,"ZOMBIES",MASTER!$G$4:$G$1463,"&lt;&gt;")*$A60*100/100,0)),MASTER!$AH$4:$AH$1463,0))),NA()),IF($B$4="SECONDARY",IFERROR(IF(INDEX(MASTER!$L$4:$L$1463,MATCH("ZOMBIES"&amp;"|"&amp;MAX(1,ROUND(COUNTIFS(MASTER!$B$4:$B$1463,"ZOMBIES",MASTER!$L$4:$L$1463,"&lt;&gt;")*$A60*100/100,0)),MASTER!$AI$4:$AI$1463,0))="",NA(),INDEX(MASTER!$L$4:$L$1463,MATCH("ZOMBIES"&amp;"|"&amp;MAX(1,ROUND(COUNTIFS(MASTER!$B$4:$B$1463,"ZOMBIES",MASTER!$L$4:$L$1463,"&lt;&gt;")*$A60*100/100,0)),MASTER!$AI$4:$AI$1463,0))),NA()))))</f>
        <v>4749</v>
      </c>
      <c r="P60" s="37">
        <f>IF($B$4="RESONANCE",IFERROR(IF(INDEX(MASTER!$I$4:$I$1463,MATCH("FUCT"&amp;"|"&amp;MAX(1,ROUND(COUNTIFS(MASTER!$B$4:$B$1463,"FUCT",MASTER!$I$4:$I$1463,"&lt;&gt;")*$A60*100/100,0)),MASTER!$Y$4:$Y$1463,0))="",NA(),INDEX(MASTER!$I$4:$I$1463,MATCH("FUCT"&amp;"|"&amp;MAX(1,ROUND(COUNTIFS(MASTER!$B$4:$B$1463,"FUCT",MASTER!$I$4:$I$1463,"&lt;&gt;")*$A60*100/100,0)),MASTER!$Y$4:$Y$1463,0))),NA()),IF($B$4="COMBAT RATING",IFERROR(IF(INDEX(MASTER!$G$4:$G$1463,MATCH("FUCT"&amp;"|"&amp;MAX(1,ROUND(COUNTIFS(MASTER!$B$4:$B$1463,"FUCT",MASTER!$G$4:$G$1463,"&lt;&gt;")*$A60*100/100,0)),MASTER!$AH$4:$AH$1463,0))="",NA(),INDEX(MASTER!$G$4:$G$1463,MATCH("FUCT"&amp;"|"&amp;MAX(1,ROUND(COUNTIFS(MASTER!$B$4:$B$1463,"FUCT",MASTER!$G$4:$G$1463,"&lt;&gt;")*$A60*100/100,0)),MASTER!$AH$4:$AH$1463,0))),NA()),IF($B$4="SECONDARY",IFERROR(IF(INDEX(MASTER!$L$4:$L$1463,MATCH("FUCT"&amp;"|"&amp;MAX(1,ROUND(COUNTIFS(MASTER!$B$4:$B$1463,"FUCT",MASTER!$L$4:$L$1463,"&lt;&gt;")*$A60*100/100,0)),MASTER!$AI$4:$AI$1463,0))="",NA(),INDEX(MASTER!$L$4:$L$1463,MATCH("FUCT"&amp;"|"&amp;MAX(1,ROUND(COUNTIFS(MASTER!$B$4:$B$1463,"FUCT",MASTER!$L$4:$L$1463,"&lt;&gt;")*$A60*100/100,0)),MASTER!$AI$4:$AI$1463,0))),NA()))))</f>
        <v>10023</v>
      </c>
      <c r="Q60" s="37">
        <f>IF($B$4="RESONANCE",IFERROR(IF(INDEX(MASTER!$I$4:$I$1463,MATCH($E$4&amp;"|"&amp;MAX(1,ROUND(COUNTIFS(MASTER!$B$4:$B$1463,$E$4,MASTER!$I$4:$I$1463,"&lt;&gt;")*$A60*100/100,0)),MASTER!$Y$4:$Y$1463,0))="",NA(),INDEX(MASTER!$I$4:$I$1463,MATCH($E$4&amp;"|"&amp;MAX(1,ROUND(COUNTIFS(MASTER!$B$4:$B$1463,$E$4,MASTER!$I$4:$I$1463,"&lt;&gt;")*$A60*100/100,0)),MASTER!$Y$4:$Y$1463,0))),NA()),IF($B$4="COMBAT RATING",IFERROR(IF(INDEX(MASTER!$G$4:$G$1463,MATCH($E$4&amp;"|"&amp;MAX(1,ROUND(COUNTIFS(MASTER!$B$4:$B$1463,$E$4,MASTER!$G$4:$G$1463,"&lt;&gt;")*$A60*100/100,0)),MASTER!$AH$4:$AH$1463,0))="",NA(),INDEX(MASTER!$G$4:$G$1463,MATCH($E$4&amp;"|"&amp;MAX(1,ROUND(COUNTIFS(MASTER!$B$4:$B$1463,$E$4,MASTER!$G$4:$G$1463,"&lt;&gt;")*$A60*100/100,0)),MASTER!$AH$4:$AH$1463,0))),NA()),IF($B$4="SECONDARY",IFERROR(IF(INDEX(MASTER!$L$4:$L$1463,MATCH($E$4&amp;"|"&amp;MAX(1,ROUND(COUNTIFS(MASTER!$B$4:$B$1463,$E$4,MASTER!$L$4:$L$1463,"&lt;&gt;")*$A60*100/100,0)),MASTER!$AI$4:$AI$1463,0))="",NA(),INDEX(MASTER!$L$4:$L$1463,MATCH($E$4&amp;"|"&amp;MAX(1,ROUND(COUNTIFS(MASTER!$B$4:$B$1463,$E$4,MASTER!$L$4:$L$1463,"&lt;&gt;")*$A60*100/100,0)),MASTER!$AI$4:$AI$1463,0))),NA()))))</f>
        <v>8316</v>
      </c>
    </row>
    <row r="61" spans="1:17" hidden="1">
      <c r="A61" s="36">
        <v>0.06</v>
      </c>
      <c r="B61" s="37">
        <f>IF($B$4="RESONANCE",IFERROR(IF(INDEX(MASTER!$I$4:$I$1463,MATCH("FUCT"&amp;"|"&amp;MAX(1,ROUND(COUNTIFS(MASTER!$B$4:$B$1463,"FUCT",MASTER!$I$4:$I$1463,"&lt;&gt;")*$A61*100/100,0)),MASTER!$Y$4:$Y$1463,0))="",NA(),INDEX(MASTER!$I$4:$I$1463,MATCH("FUCT"&amp;"|"&amp;MAX(1,ROUND(COUNTIFS(MASTER!$B$4:$B$1463,"FUCT",MASTER!$I$4:$I$1463,"&lt;&gt;")*$A61*100/100,0)),MASTER!$Y$4:$Y$1463,0))),NA()),IF($B$4="COMBAT RATING",IFERROR(IF(INDEX(MASTER!$G$4:$G$1463,MATCH("FUCT"&amp;"|"&amp;MAX(1,ROUND(COUNTIFS(MASTER!$B$4:$B$1463,"FUCT",MASTER!$G$4:$G$1463,"&lt;&gt;")*$A61*100/100,0)),MASTER!$AH$4:$AH$1463,0))="",NA(),INDEX(MASTER!$G$4:$G$1463,MATCH("FUCT"&amp;"|"&amp;MAX(1,ROUND(COUNTIFS(MASTER!$B$4:$B$1463,"FUCT",MASTER!$G$4:$G$1463,"&lt;&gt;")*$A61*100/100,0)),MASTER!$AH$4:$AH$1463,0))),NA()),IF($B$4="SECONDARY",IFERROR(IF(INDEX(MASTER!$L$4:$L$1463,MATCH("FUCT"&amp;"|"&amp;MAX(1,ROUND(COUNTIFS(MASTER!$B$4:$B$1463,"FUCT",MASTER!$L$4:$L$1463,"&lt;&gt;")*$A61*100/100,0)),MASTER!$AI$4:$AI$1463,0))="",NA(),INDEX(MASTER!$L$4:$L$1463,MATCH("FUCT"&amp;"|"&amp;MAX(1,ROUND(COUNTIFS(MASTER!$B$4:$B$1463,"FUCT",MASTER!$L$4:$L$1463,"&lt;&gt;")*$A61*100/100,0)),MASTER!$AI$4:$AI$1463,0))),NA()))))</f>
        <v>9868</v>
      </c>
      <c r="C61" s="37">
        <f>IF($B$4="RESONANCE",IFERROR(IF(INDEX(MASTER!$I$4:$I$1463,MATCH("LEGENDS"&amp;"|"&amp;MAX(1,ROUND(COUNTIFS(MASTER!$B$4:$B$1463,"LEGENDS",MASTER!$I$4:$I$1463,"&lt;&gt;")*$A61*100/100,0)),MASTER!$Y$4:$Y$1463,0))="",NA(),INDEX(MASTER!$I$4:$I$1463,MATCH("LEGENDS"&amp;"|"&amp;MAX(1,ROUND(COUNTIFS(MASTER!$B$4:$B$1463,"LEGENDS",MASTER!$I$4:$I$1463,"&lt;&gt;")*$A61*100/100,0)),MASTER!$Y$4:$Y$1463,0))),NA()),IF($B$4="COMBAT RATING",IFERROR(IF(INDEX(MASTER!$G$4:$G$1463,MATCH("LEGENDS"&amp;"|"&amp;MAX(1,ROUND(COUNTIFS(MASTER!$B$4:$B$1463,"LEGENDS",MASTER!$G$4:$G$1463,"&lt;&gt;")*$A61*100/100,0)),MASTER!$AH$4:$AH$1463,0))="",NA(),INDEX(MASTER!$G$4:$G$1463,MATCH("LEGENDS"&amp;"|"&amp;MAX(1,ROUND(COUNTIFS(MASTER!$B$4:$B$1463,"LEGENDS",MASTER!$G$4:$G$1463,"&lt;&gt;")*$A61*100/100,0)),MASTER!$AH$4:$AH$1463,0))),NA()),IF($B$4="SECONDARY",IFERROR(IF(INDEX(MASTER!$L$4:$L$1463,MATCH("LEGENDS"&amp;"|"&amp;MAX(1,ROUND(COUNTIFS(MASTER!$B$4:$B$1463,"LEGENDS",MASTER!$L$4:$L$1463,"&lt;&gt;")*$A61*100/100,0)),MASTER!$AI$4:$AI$1463,0))="",NA(),INDEX(MASTER!$L$4:$L$1463,MATCH("LEGENDS"&amp;"|"&amp;MAX(1,ROUND(COUNTIFS(MASTER!$B$4:$B$1463,"LEGENDS",MASTER!$L$4:$L$1463,"&lt;&gt;")*$A61*100/100,0)),MASTER!$AI$4:$AI$1463,0))),NA()))))</f>
        <v>10175</v>
      </c>
      <c r="D61" s="37">
        <f>IF($B$4="RESONANCE",IFERROR(IF(INDEX(MASTER!$I$4:$I$1463,MATCH("VANGUARD"&amp;"|"&amp;MAX(1,ROUND(COUNTIFS(MASTER!$B$4:$B$1463,"VANGUARD",MASTER!$I$4:$I$1463,"&lt;&gt;")*$A61*100/100,0)),MASTER!$Y$4:$Y$1463,0))="",NA(),INDEX(MASTER!$I$4:$I$1463,MATCH("VANGUARD"&amp;"|"&amp;MAX(1,ROUND(COUNTIFS(MASTER!$B$4:$B$1463,"VANGUARD",MASTER!$I$4:$I$1463,"&lt;&gt;")*$A61*100/100,0)),MASTER!$Y$4:$Y$1463,0))),NA()),IF($B$4="COMBAT RATING",IFERROR(IF(INDEX(MASTER!$G$4:$G$1463,MATCH("VANGUARD"&amp;"|"&amp;MAX(1,ROUND(COUNTIFS(MASTER!$B$4:$B$1463,"VANGUARD",MASTER!$G$4:$G$1463,"&lt;&gt;")*$A61*100/100,0)),MASTER!$AH$4:$AH$1463,0))="",NA(),INDEX(MASTER!$G$4:$G$1463,MATCH("VANGUARD"&amp;"|"&amp;MAX(1,ROUND(COUNTIFS(MASTER!$B$4:$B$1463,"VANGUARD",MASTER!$G$4:$G$1463,"&lt;&gt;")*$A61*100/100,0)),MASTER!$AH$4:$AH$1463,0))),NA()),IF($B$4="SECONDARY",IFERROR(IF(INDEX(MASTER!$L$4:$L$1463,MATCH("VANGUARD"&amp;"|"&amp;MAX(1,ROUND(COUNTIFS(MASTER!$B$4:$B$1463,"VANGUARD",MASTER!$L$4:$L$1463,"&lt;&gt;")*$A61*100/100,0)),MASTER!$AI$4:$AI$1463,0))="",NA(),INDEX(MASTER!$L$4:$L$1463,MATCH("VANGUARD"&amp;"|"&amp;MAX(1,ROUND(COUNTIFS(MASTER!$B$4:$B$1463,"VANGUARD",MASTER!$L$4:$L$1463,"&lt;&gt;")*$A61*100/100,0)),MASTER!$AI$4:$AI$1463,0))),NA()))))</f>
        <v>10170</v>
      </c>
      <c r="E61" s="37">
        <f>IF($B$4="RESONANCE",IFERROR(IF(INDEX(MASTER!$I$4:$I$1463,MATCH("UNDYING"&amp;"|"&amp;MAX(1,ROUND(COUNTIFS(MASTER!$B$4:$B$1463,"UNDYING",MASTER!$I$4:$I$1463,"&lt;&gt;")*$A61*100/100,0)),MASTER!$Y$4:$Y$1463,0))="",NA(),INDEX(MASTER!$I$4:$I$1463,MATCH("UNDYING"&amp;"|"&amp;MAX(1,ROUND(COUNTIFS(MASTER!$B$4:$B$1463,"UNDYING",MASTER!$I$4:$I$1463,"&lt;&gt;")*$A61*100/100,0)),MASTER!$Y$4:$Y$1463,0))),NA()),IF($B$4="COMBAT RATING",IFERROR(IF(INDEX(MASTER!$G$4:$G$1463,MATCH("UNDYING"&amp;"|"&amp;MAX(1,ROUND(COUNTIFS(MASTER!$B$4:$B$1463,"UNDYING",MASTER!$G$4:$G$1463,"&lt;&gt;")*$A61*100/100,0)),MASTER!$AH$4:$AH$1463,0))="",NA(),INDEX(MASTER!$G$4:$G$1463,MATCH("UNDYING"&amp;"|"&amp;MAX(1,ROUND(COUNTIFS(MASTER!$B$4:$B$1463,"UNDYING",MASTER!$G$4:$G$1463,"&lt;&gt;")*$A61*100/100,0)),MASTER!$AH$4:$AH$1463,0))),NA()),IF($B$4="SECONDARY",IFERROR(IF(INDEX(MASTER!$L$4:$L$1463,MATCH("UNDYING"&amp;"|"&amp;MAX(1,ROUND(COUNTIFS(MASTER!$B$4:$B$1463,"UNDYING",MASTER!$L$4:$L$1463,"&lt;&gt;")*$A61*100/100,0)),MASTER!$AI$4:$AI$1463,0))="",NA(),INDEX(MASTER!$L$4:$L$1463,MATCH("UNDYING"&amp;"|"&amp;MAX(1,ROUND(COUNTIFS(MASTER!$B$4:$B$1463,"UNDYING",MASTER!$L$4:$L$1463,"&lt;&gt;")*$A61*100/100,0)),MASTER!$AI$4:$AI$1463,0))),NA()))))</f>
        <v>8315</v>
      </c>
      <c r="F61" s="37">
        <f>IF($B$4="RESONANCE",IFERROR(IF(INDEX(MASTER!$I$4:$I$1463,MATCH("SBG"&amp;"|"&amp;MAX(1,ROUND(COUNTIFS(MASTER!$B$4:$B$1463,"SBG",MASTER!$I$4:$I$1463,"&lt;&gt;")*$A61*100/100,0)),MASTER!$Y$4:$Y$1463,0))="",NA(),INDEX(MASTER!$I$4:$I$1463,MATCH("SBG"&amp;"|"&amp;MAX(1,ROUND(COUNTIFS(MASTER!$B$4:$B$1463,"SBG",MASTER!$I$4:$I$1463,"&lt;&gt;")*$A61*100/100,0)),MASTER!$Y$4:$Y$1463,0))),NA()),IF($B$4="COMBAT RATING",IFERROR(IF(INDEX(MASTER!$G$4:$G$1463,MATCH("SBG"&amp;"|"&amp;MAX(1,ROUND(COUNTIFS(MASTER!$B$4:$B$1463,"SBG",MASTER!$G$4:$G$1463,"&lt;&gt;")*$A61*100/100,0)),MASTER!$AH$4:$AH$1463,0))="",NA(),INDEX(MASTER!$G$4:$G$1463,MATCH("SBG"&amp;"|"&amp;MAX(1,ROUND(COUNTIFS(MASTER!$B$4:$B$1463,"SBG",MASTER!$G$4:$G$1463,"&lt;&gt;")*$A61*100/100,0)),MASTER!$AH$4:$AH$1463,0))),NA()),IF($B$4="SECONDARY",IFERROR(IF(INDEX(MASTER!$L$4:$L$1463,MATCH("SBG"&amp;"|"&amp;MAX(1,ROUND(COUNTIFS(MASTER!$B$4:$B$1463,"SBG",MASTER!$L$4:$L$1463,"&lt;&gt;")*$A61*100/100,0)),MASTER!$AI$4:$AI$1463,0))="",NA(),INDEX(MASTER!$L$4:$L$1463,MATCH("SBG"&amp;"|"&amp;MAX(1,ROUND(COUNTIFS(MASTER!$B$4:$B$1463,"SBG",MASTER!$L$4:$L$1463,"&lt;&gt;")*$A61*100/100,0)),MASTER!$AI$4:$AI$1463,0))),NA()))))</f>
        <v>10345</v>
      </c>
      <c r="G61" s="37">
        <f>IF($B$4="RESONANCE",IFERROR(IF(INDEX(MASTER!$I$4:$I$1463,MATCH("AZUKI"&amp;"|"&amp;MAX(1,ROUND(COUNTIFS(MASTER!$B$4:$B$1463,"AZUKI",MASTER!$I$4:$I$1463,"&lt;&gt;")*$A61*100/100,0)),MASTER!$Y$4:$Y$1463,0))="",NA(),INDEX(MASTER!$I$4:$I$1463,MATCH("AZUKI"&amp;"|"&amp;MAX(1,ROUND(COUNTIFS(MASTER!$B$4:$B$1463,"AZUKI",MASTER!$I$4:$I$1463,"&lt;&gt;")*$A61*100/100,0)),MASTER!$Y$4:$Y$1463,0))),NA()),IF($B$4="COMBAT RATING",IFERROR(IF(INDEX(MASTER!$G$4:$G$1463,MATCH("AZUKI"&amp;"|"&amp;MAX(1,ROUND(COUNTIFS(MASTER!$B$4:$B$1463,"AZUKI",MASTER!$G$4:$G$1463,"&lt;&gt;")*$A61*100/100,0)),MASTER!$AH$4:$AH$1463,0))="",NA(),INDEX(MASTER!$G$4:$G$1463,MATCH("AZUKI"&amp;"|"&amp;MAX(1,ROUND(COUNTIFS(MASTER!$B$4:$B$1463,"AZUKI",MASTER!$G$4:$G$1463,"&lt;&gt;")*$A61*100/100,0)),MASTER!$AH$4:$AH$1463,0))),NA()),IF($B$4="SECONDARY",IFERROR(IF(INDEX(MASTER!$L$4:$L$1463,MATCH("AZUKI"&amp;"|"&amp;MAX(1,ROUND(COUNTIFS(MASTER!$B$4:$B$1463,"AZUKI",MASTER!$L$4:$L$1463,"&lt;&gt;")*$A61*100/100,0)),MASTER!$AI$4:$AI$1463,0))="",NA(),INDEX(MASTER!$L$4:$L$1463,MATCH("AZUKI"&amp;"|"&amp;MAX(1,ROUND(COUNTIFS(MASTER!$B$4:$B$1463,"AZUKI",MASTER!$L$4:$L$1463,"&lt;&gt;")*$A61*100/100,0)),MASTER!$AI$4:$AI$1463,0))),NA()))))</f>
        <v>11213</v>
      </c>
      <c r="H61" s="37">
        <f>IF($B$4="RESONANCE",IFERROR(IF(INDEX(MASTER!$I$4:$I$1463,MATCH("RECKONING"&amp;"|"&amp;MAX(1,ROUND(COUNTIFS(MASTER!$B$4:$B$1463,"RECKONING",MASTER!$I$4:$I$1463,"&lt;&gt;")*$A61*100/100,0)),MASTER!$Y$4:$Y$1463,0))="",NA(),INDEX(MASTER!$I$4:$I$1463,MATCH("RECKONING"&amp;"|"&amp;MAX(1,ROUND(COUNTIFS(MASTER!$B$4:$B$1463,"RECKONING",MASTER!$I$4:$I$1463,"&lt;&gt;")*$A61*100/100,0)),MASTER!$Y$4:$Y$1463,0))),NA()),IF($B$4="COMBAT RATING",IFERROR(IF(INDEX(MASTER!$G$4:$G$1463,MATCH("RECKONING"&amp;"|"&amp;MAX(1,ROUND(COUNTIFS(MASTER!$B$4:$B$1463,"RECKONING",MASTER!$G$4:$G$1463,"&lt;&gt;")*$A61*100/100,0)),MASTER!$AH$4:$AH$1463,0))="",NA(),INDEX(MASTER!$G$4:$G$1463,MATCH("RECKONING"&amp;"|"&amp;MAX(1,ROUND(COUNTIFS(MASTER!$B$4:$B$1463,"RECKONING",MASTER!$G$4:$G$1463,"&lt;&gt;")*$A61*100/100,0)),MASTER!$AH$4:$AH$1463,0))),NA()),IF($B$4="SECONDARY",IFERROR(IF(INDEX(MASTER!$L$4:$L$1463,MATCH("RECKONING"&amp;"|"&amp;MAX(1,ROUND(COUNTIFS(MASTER!$B$4:$B$1463,"RECKONING",MASTER!$L$4:$L$1463,"&lt;&gt;")*$A61*100/100,0)),MASTER!$AI$4:$AI$1463,0))="",NA(),INDEX(MASTER!$L$4:$L$1463,MATCH("RECKONING"&amp;"|"&amp;MAX(1,ROUND(COUNTIFS(MASTER!$B$4:$B$1463,"RECKONING",MASTER!$L$4:$L$1463,"&lt;&gt;")*$A61*100/100,0)),MASTER!$AI$4:$AI$1463,0))),NA()))))</f>
        <v>10376</v>
      </c>
      <c r="I61" s="37">
        <f>IF($B$4="RESONANCE",IFERROR(IF(INDEX(MASTER!$I$4:$I$1463,MATCH("ACHERON"&amp;"|"&amp;MAX(1,ROUND(COUNTIFS(MASTER!$B$4:$B$1463,"ACHERON",MASTER!$I$4:$I$1463,"&lt;&gt;")*$A61*100/100,0)),MASTER!$Y$4:$Y$1463,0))="",NA(),INDEX(MASTER!$I$4:$I$1463,MATCH("ACHERON"&amp;"|"&amp;MAX(1,ROUND(COUNTIFS(MASTER!$B$4:$B$1463,"ACHERON",MASTER!$I$4:$I$1463,"&lt;&gt;")*$A61*100/100,0)),MASTER!$Y$4:$Y$1463,0))),NA()),IF($B$4="COMBAT RATING",IFERROR(IF(INDEX(MASTER!$G$4:$G$1463,MATCH("ACHERON"&amp;"|"&amp;MAX(1,ROUND(COUNTIFS(MASTER!$B$4:$B$1463,"ACHERON",MASTER!$G$4:$G$1463,"&lt;&gt;")*$A61*100/100,0)),MASTER!$AH$4:$AH$1463,0))="",NA(),INDEX(MASTER!$G$4:$G$1463,MATCH("ACHERON"&amp;"|"&amp;MAX(1,ROUND(COUNTIFS(MASTER!$B$4:$B$1463,"ACHERON",MASTER!$G$4:$G$1463,"&lt;&gt;")*$A61*100/100,0)),MASTER!$AH$4:$AH$1463,0))),NA()),IF($B$4="SECONDARY",IFERROR(IF(INDEX(MASTER!$L$4:$L$1463,MATCH("ACHERON"&amp;"|"&amp;MAX(1,ROUND(COUNTIFS(MASTER!$B$4:$B$1463,"ACHERON",MASTER!$L$4:$L$1463,"&lt;&gt;")*$A61*100/100,0)),MASTER!$AI$4:$AI$1463,0))="",NA(),INDEX(MASTER!$L$4:$L$1463,MATCH("ACHERON"&amp;"|"&amp;MAX(1,ROUND(COUNTIFS(MASTER!$B$4:$B$1463,"ACHERON",MASTER!$L$4:$L$1463,"&lt;&gt;")*$A61*100/100,0)),MASTER!$AI$4:$AI$1463,0))),NA()))))</f>
        <v>8042</v>
      </c>
      <c r="J61" s="37">
        <f>IF($B$4="RESONANCE",IFERROR(IF(INDEX(MASTER!$I$4:$I$1463,MATCH("INVICTUS"&amp;"|"&amp;MAX(1,ROUND(COUNTIFS(MASTER!$B$4:$B$1463,"INVICTUS",MASTER!$I$4:$I$1463,"&lt;&gt;")*$A61*100/100,0)),MASTER!$Y$4:$Y$1463,0))="",NA(),INDEX(MASTER!$I$4:$I$1463,MATCH("INVICTUS"&amp;"|"&amp;MAX(1,ROUND(COUNTIFS(MASTER!$B$4:$B$1463,"INVICTUS",MASTER!$I$4:$I$1463,"&lt;&gt;")*$A61*100/100,0)),MASTER!$Y$4:$Y$1463,0))),NA()),IF($B$4="COMBAT RATING",IFERROR(IF(INDEX(MASTER!$G$4:$G$1463,MATCH("INVICTUS"&amp;"|"&amp;MAX(1,ROUND(COUNTIFS(MASTER!$B$4:$B$1463,"INVICTUS",MASTER!$G$4:$G$1463,"&lt;&gt;")*$A61*100/100,0)),MASTER!$AH$4:$AH$1463,0))="",NA(),INDEX(MASTER!$G$4:$G$1463,MATCH("INVICTUS"&amp;"|"&amp;MAX(1,ROUND(COUNTIFS(MASTER!$B$4:$B$1463,"INVICTUS",MASTER!$G$4:$G$1463,"&lt;&gt;")*$A61*100/100,0)),MASTER!$AH$4:$AH$1463,0))),NA()),IF($B$4="SECONDARY",IFERROR(IF(INDEX(MASTER!$L$4:$L$1463,MATCH("INVICTUS"&amp;"|"&amp;MAX(1,ROUND(COUNTIFS(MASTER!$B$4:$B$1463,"INVICTUS",MASTER!$L$4:$L$1463,"&lt;&gt;")*$A61*100/100,0)),MASTER!$AI$4:$AI$1463,0))="",NA(),INDEX(MASTER!$L$4:$L$1463,MATCH("INVICTUS"&amp;"|"&amp;MAX(1,ROUND(COUNTIFS(MASTER!$B$4:$B$1463,"INVICTUS",MASTER!$L$4:$L$1463,"&lt;&gt;")*$A61*100/100,0)),MASTER!$AI$4:$AI$1463,0))),NA()))))</f>
        <v>7152</v>
      </c>
      <c r="K61" s="37">
        <f>IF($B$4="RESONANCE",IFERROR(IF(INDEX(MASTER!$I$4:$I$1463,MATCH("EMERALD LEAF TRIBE"&amp;"|"&amp;MAX(1,ROUND(COUNTIFS(MASTER!$B$4:$B$1463,"EMERALD LEAF TRIBE",MASTER!$I$4:$I$1463,"&lt;&gt;")*$A61*100/100,0)),MASTER!$Y$4:$Y$1463,0))="",NA(),INDEX(MASTER!$I$4:$I$1463,MATCH("EMERALD LEAF TRIBE"&amp;"|"&amp;MAX(1,ROUND(COUNTIFS(MASTER!$B$4:$B$1463,"EMERALD LEAF TRIBE",MASTER!$I$4:$I$1463,"&lt;&gt;")*$A61*100/100,0)),MASTER!$Y$4:$Y$1463,0))),NA()),IF($B$4="COMBAT RATING",IFERROR(IF(INDEX(MASTER!$G$4:$G$1463,MATCH("EMERALD LEAF TRIBE"&amp;"|"&amp;MAX(1,ROUND(COUNTIFS(MASTER!$B$4:$B$1463,"EMERALD LEAF TRIBE",MASTER!$G$4:$G$1463,"&lt;&gt;")*$A61*100/100,0)),MASTER!$AH$4:$AH$1463,0))="",NA(),INDEX(MASTER!$G$4:$G$1463,MATCH("EMERALD LEAF TRIBE"&amp;"|"&amp;MAX(1,ROUND(COUNTIFS(MASTER!$B$4:$B$1463,"EMERALD LEAF TRIBE",MASTER!$G$4:$G$1463,"&lt;&gt;")*$A61*100/100,0)),MASTER!$AH$4:$AH$1463,0))),NA()),IF($B$4="SECONDARY",IFERROR(IF(INDEX(MASTER!$L$4:$L$1463,MATCH("EMERALD LEAF TRIBE"&amp;"|"&amp;MAX(1,ROUND(COUNTIFS(MASTER!$B$4:$B$1463,"EMERALD LEAF TRIBE",MASTER!$L$4:$L$1463,"&lt;&gt;")*$A61*100/100,0)),MASTER!$AI$4:$AI$1463,0))="",NA(),INDEX(MASTER!$L$4:$L$1463,MATCH("EMERALD LEAF TRIBE"&amp;"|"&amp;MAX(1,ROUND(COUNTIFS(MASTER!$B$4:$B$1463,"EMERALD LEAF TRIBE",MASTER!$L$4:$L$1463,"&lt;&gt;")*$A61*100/100,0)),MASTER!$AI$4:$AI$1463,0))),NA()))))</f>
        <v>4493</v>
      </c>
      <c r="L61" s="37">
        <f>IF($B$4="RESONANCE",IFERROR(IF(INDEX(MASTER!$I$4:$I$1463,MATCH("SUB ROSA"&amp;"|"&amp;MAX(1,ROUND(COUNTIFS(MASTER!$B$4:$B$1463,"SUB ROSA",MASTER!$I$4:$I$1463,"&lt;&gt;")*$A61*100/100,0)),MASTER!$Y$4:$Y$1463,0))="",NA(),INDEX(MASTER!$I$4:$I$1463,MATCH("SUB ROSA"&amp;"|"&amp;MAX(1,ROUND(COUNTIFS(MASTER!$B$4:$B$1463,"SUB ROSA",MASTER!$I$4:$I$1463,"&lt;&gt;")*$A61*100/100,0)),MASTER!$Y$4:$Y$1463,0))),NA()),IF($B$4="COMBAT RATING",IFERROR(IF(INDEX(MASTER!$G$4:$G$1463,MATCH("SUB ROSA"&amp;"|"&amp;MAX(1,ROUND(COUNTIFS(MASTER!$B$4:$B$1463,"SUB ROSA",MASTER!$G$4:$G$1463,"&lt;&gt;")*$A61*100/100,0)),MASTER!$AH$4:$AH$1463,0))="",NA(),INDEX(MASTER!$G$4:$G$1463,MATCH("SUB ROSA"&amp;"|"&amp;MAX(1,ROUND(COUNTIFS(MASTER!$B$4:$B$1463,"SUB ROSA",MASTER!$G$4:$G$1463,"&lt;&gt;")*$A61*100/100,0)),MASTER!$AH$4:$AH$1463,0))),NA()),IF($B$4="SECONDARY",IFERROR(IF(INDEX(MASTER!$L$4:$L$1463,MATCH("SUB ROSA"&amp;"|"&amp;MAX(1,ROUND(COUNTIFS(MASTER!$B$4:$B$1463,"SUB ROSA",MASTER!$L$4:$L$1463,"&lt;&gt;")*$A61*100/100,0)),MASTER!$AI$4:$AI$1463,0))="",NA(),INDEX(MASTER!$L$4:$L$1463,MATCH("SUB ROSA"&amp;"|"&amp;MAX(1,ROUND(COUNTIFS(MASTER!$B$4:$B$1463,"SUB ROSA",MASTER!$L$4:$L$1463,"&lt;&gt;")*$A61*100/100,0)),MASTER!$AI$4:$AI$1463,0))),NA()))))</f>
        <v>7463</v>
      </c>
      <c r="M61" s="37">
        <f>IF($B$4="RESONANCE",IFERROR(IF(INDEX(MASTER!$I$4:$I$1463,MATCH("VENGEANCE"&amp;"|"&amp;MAX(1,ROUND(COUNTIFS(MASTER!$B$4:$B$1463,"VENGEANCE",MASTER!$I$4:$I$1463,"&lt;&gt;")*$A61*100/100,0)),MASTER!$Y$4:$Y$1463,0))="",NA(),INDEX(MASTER!$I$4:$I$1463,MATCH("VENGEANCE"&amp;"|"&amp;MAX(1,ROUND(COUNTIFS(MASTER!$B$4:$B$1463,"VENGEANCE",MASTER!$I$4:$I$1463,"&lt;&gt;")*$A61*100/100,0)),MASTER!$Y$4:$Y$1463,0))),NA()),IF($B$4="COMBAT RATING",IFERROR(IF(INDEX(MASTER!$G$4:$G$1463,MATCH("VENGEANCE"&amp;"|"&amp;MAX(1,ROUND(COUNTIFS(MASTER!$B$4:$B$1463,"VENGEANCE",MASTER!$G$4:$G$1463,"&lt;&gt;")*$A61*100/100,0)),MASTER!$AH$4:$AH$1463,0))="",NA(),INDEX(MASTER!$G$4:$G$1463,MATCH("VENGEANCE"&amp;"|"&amp;MAX(1,ROUND(COUNTIFS(MASTER!$B$4:$B$1463,"VENGEANCE",MASTER!$G$4:$G$1463,"&lt;&gt;")*$A61*100/100,0)),MASTER!$AH$4:$AH$1463,0))),NA()),IF($B$4="SECONDARY",IFERROR(IF(INDEX(MASTER!$L$4:$L$1463,MATCH("VENGEANCE"&amp;"|"&amp;MAX(1,ROUND(COUNTIFS(MASTER!$B$4:$B$1463,"VENGEANCE",MASTER!$L$4:$L$1463,"&lt;&gt;")*$A61*100/100,0)),MASTER!$AI$4:$AI$1463,0))="",NA(),INDEX(MASTER!$L$4:$L$1463,MATCH("VENGEANCE"&amp;"|"&amp;MAX(1,ROUND(COUNTIFS(MASTER!$B$4:$B$1463,"VENGEANCE",MASTER!$L$4:$L$1463,"&lt;&gt;")*$A61*100/100,0)),MASTER!$AI$4:$AI$1463,0))),NA()))))</f>
        <v>6380</v>
      </c>
      <c r="N61" s="37">
        <f>IF($B$4="RESONANCE",IFERROR(IF(INDEX(MASTER!$I$4:$I$1463,MATCH("VENDETTA"&amp;"|"&amp;MAX(1,ROUND(COUNTIFS(MASTER!$B$4:$B$1463,"VENDETTA",MASTER!$I$4:$I$1463,"&lt;&gt;")*$A61*100/100,0)),MASTER!$Y$4:$Y$1463,0))="",NA(),INDEX(MASTER!$I$4:$I$1463,MATCH("VENDETTA"&amp;"|"&amp;MAX(1,ROUND(COUNTIFS(MASTER!$B$4:$B$1463,"VENDETTA",MASTER!$I$4:$I$1463,"&lt;&gt;")*$A61*100/100,0)),MASTER!$Y$4:$Y$1463,0))),NA()),IF($B$4="COMBAT RATING",IFERROR(IF(INDEX(MASTER!$G$4:$G$1463,MATCH("VENDETTA"&amp;"|"&amp;MAX(1,ROUND(COUNTIFS(MASTER!$B$4:$B$1463,"VENDETTA",MASTER!$G$4:$G$1463,"&lt;&gt;")*$A61*100/100,0)),MASTER!$AH$4:$AH$1463,0))="",NA(),INDEX(MASTER!$G$4:$G$1463,MATCH("VENDETTA"&amp;"|"&amp;MAX(1,ROUND(COUNTIFS(MASTER!$B$4:$B$1463,"VENDETTA",MASTER!$G$4:$G$1463,"&lt;&gt;")*$A61*100/100,0)),MASTER!$AH$4:$AH$1463,0))),NA()),IF($B$4="SECONDARY",IFERROR(IF(INDEX(MASTER!$L$4:$L$1463,MATCH("VENDETTA"&amp;"|"&amp;MAX(1,ROUND(COUNTIFS(MASTER!$B$4:$B$1463,"VENDETTA",MASTER!$L$4:$L$1463,"&lt;&gt;")*$A61*100/100,0)),MASTER!$AI$4:$AI$1463,0))="",NA(),INDEX(MASTER!$L$4:$L$1463,MATCH("VENDETTA"&amp;"|"&amp;MAX(1,ROUND(COUNTIFS(MASTER!$B$4:$B$1463,"VENDETTA",MASTER!$L$4:$L$1463,"&lt;&gt;")*$A61*100/100,0)),MASTER!$AI$4:$AI$1463,0))),NA()))))</f>
        <v>3586</v>
      </c>
      <c r="O61" s="37">
        <f>IF($B$4="RESONANCE",IFERROR(IF(INDEX(MASTER!$I$4:$I$1463,MATCH("ZOMBIES"&amp;"|"&amp;MAX(1,ROUND(COUNTIFS(MASTER!$B$4:$B$1463,"ZOMBIES",MASTER!$I$4:$I$1463,"&lt;&gt;")*$A61*100/100,0)),MASTER!$Y$4:$Y$1463,0))="",NA(),INDEX(MASTER!$I$4:$I$1463,MATCH("ZOMBIES"&amp;"|"&amp;MAX(1,ROUND(COUNTIFS(MASTER!$B$4:$B$1463,"ZOMBIES",MASTER!$I$4:$I$1463,"&lt;&gt;")*$A61*100/100,0)),MASTER!$Y$4:$Y$1463,0))),NA()),IF($B$4="COMBAT RATING",IFERROR(IF(INDEX(MASTER!$G$4:$G$1463,MATCH("ZOMBIES"&amp;"|"&amp;MAX(1,ROUND(COUNTIFS(MASTER!$B$4:$B$1463,"ZOMBIES",MASTER!$G$4:$G$1463,"&lt;&gt;")*$A61*100/100,0)),MASTER!$AH$4:$AH$1463,0))="",NA(),INDEX(MASTER!$G$4:$G$1463,MATCH("ZOMBIES"&amp;"|"&amp;MAX(1,ROUND(COUNTIFS(MASTER!$B$4:$B$1463,"ZOMBIES",MASTER!$G$4:$G$1463,"&lt;&gt;")*$A61*100/100,0)),MASTER!$AH$4:$AH$1463,0))),NA()),IF($B$4="SECONDARY",IFERROR(IF(INDEX(MASTER!$L$4:$L$1463,MATCH("ZOMBIES"&amp;"|"&amp;MAX(1,ROUND(COUNTIFS(MASTER!$B$4:$B$1463,"ZOMBIES",MASTER!$L$4:$L$1463,"&lt;&gt;")*$A61*100/100,0)),MASTER!$AI$4:$AI$1463,0))="",NA(),INDEX(MASTER!$L$4:$L$1463,MATCH("ZOMBIES"&amp;"|"&amp;MAX(1,ROUND(COUNTIFS(MASTER!$B$4:$B$1463,"ZOMBIES",MASTER!$L$4:$L$1463,"&lt;&gt;")*$A61*100/100,0)),MASTER!$AI$4:$AI$1463,0))),NA()))))</f>
        <v>4593</v>
      </c>
      <c r="P61" s="37">
        <f>IF($B$4="RESONANCE",IFERROR(IF(INDEX(MASTER!$I$4:$I$1463,MATCH("FUCT"&amp;"|"&amp;MAX(1,ROUND(COUNTIFS(MASTER!$B$4:$B$1463,"FUCT",MASTER!$I$4:$I$1463,"&lt;&gt;")*$A61*100/100,0)),MASTER!$Y$4:$Y$1463,0))="",NA(),INDEX(MASTER!$I$4:$I$1463,MATCH("FUCT"&amp;"|"&amp;MAX(1,ROUND(COUNTIFS(MASTER!$B$4:$B$1463,"FUCT",MASTER!$I$4:$I$1463,"&lt;&gt;")*$A61*100/100,0)),MASTER!$Y$4:$Y$1463,0))),NA()),IF($B$4="COMBAT RATING",IFERROR(IF(INDEX(MASTER!$G$4:$G$1463,MATCH("FUCT"&amp;"|"&amp;MAX(1,ROUND(COUNTIFS(MASTER!$B$4:$B$1463,"FUCT",MASTER!$G$4:$G$1463,"&lt;&gt;")*$A61*100/100,0)),MASTER!$AH$4:$AH$1463,0))="",NA(),INDEX(MASTER!$G$4:$G$1463,MATCH("FUCT"&amp;"|"&amp;MAX(1,ROUND(COUNTIFS(MASTER!$B$4:$B$1463,"FUCT",MASTER!$G$4:$G$1463,"&lt;&gt;")*$A61*100/100,0)),MASTER!$AH$4:$AH$1463,0))),NA()),IF($B$4="SECONDARY",IFERROR(IF(INDEX(MASTER!$L$4:$L$1463,MATCH("FUCT"&amp;"|"&amp;MAX(1,ROUND(COUNTIFS(MASTER!$B$4:$B$1463,"FUCT",MASTER!$L$4:$L$1463,"&lt;&gt;")*$A61*100/100,0)),MASTER!$AI$4:$AI$1463,0))="",NA(),INDEX(MASTER!$L$4:$L$1463,MATCH("FUCT"&amp;"|"&amp;MAX(1,ROUND(COUNTIFS(MASTER!$B$4:$B$1463,"FUCT",MASTER!$L$4:$L$1463,"&lt;&gt;")*$A61*100/100,0)),MASTER!$AI$4:$AI$1463,0))),NA()))))</f>
        <v>9868</v>
      </c>
      <c r="Q61" s="37">
        <f>IF($B$4="RESONANCE",IFERROR(IF(INDEX(MASTER!$I$4:$I$1463,MATCH($E$4&amp;"|"&amp;MAX(1,ROUND(COUNTIFS(MASTER!$B$4:$B$1463,$E$4,MASTER!$I$4:$I$1463,"&lt;&gt;")*$A61*100/100,0)),MASTER!$Y$4:$Y$1463,0))="",NA(),INDEX(MASTER!$I$4:$I$1463,MATCH($E$4&amp;"|"&amp;MAX(1,ROUND(COUNTIFS(MASTER!$B$4:$B$1463,$E$4,MASTER!$I$4:$I$1463,"&lt;&gt;")*$A61*100/100,0)),MASTER!$Y$4:$Y$1463,0))),NA()),IF($B$4="COMBAT RATING",IFERROR(IF(INDEX(MASTER!$G$4:$G$1463,MATCH($E$4&amp;"|"&amp;MAX(1,ROUND(COUNTIFS(MASTER!$B$4:$B$1463,$E$4,MASTER!$G$4:$G$1463,"&lt;&gt;")*$A61*100/100,0)),MASTER!$AH$4:$AH$1463,0))="",NA(),INDEX(MASTER!$G$4:$G$1463,MATCH($E$4&amp;"|"&amp;MAX(1,ROUND(COUNTIFS(MASTER!$B$4:$B$1463,$E$4,MASTER!$G$4:$G$1463,"&lt;&gt;")*$A61*100/100,0)),MASTER!$AH$4:$AH$1463,0))),NA()),IF($B$4="SECONDARY",IFERROR(IF(INDEX(MASTER!$L$4:$L$1463,MATCH($E$4&amp;"|"&amp;MAX(1,ROUND(COUNTIFS(MASTER!$B$4:$B$1463,$E$4,MASTER!$L$4:$L$1463,"&lt;&gt;")*$A61*100/100,0)),MASTER!$AI$4:$AI$1463,0))="",NA(),INDEX(MASTER!$L$4:$L$1463,MATCH($E$4&amp;"|"&amp;MAX(1,ROUND(COUNTIFS(MASTER!$B$4:$B$1463,$E$4,MASTER!$L$4:$L$1463,"&lt;&gt;")*$A61*100/100,0)),MASTER!$AI$4:$AI$1463,0))),NA()))))</f>
        <v>8315</v>
      </c>
    </row>
    <row r="62" spans="1:17" hidden="1">
      <c r="A62" s="36">
        <v>7.0000000000000007E-2</v>
      </c>
      <c r="B62" s="37">
        <f>IF($B$4="RESONANCE",IFERROR(IF(INDEX(MASTER!$I$4:$I$1463,MATCH("FUCT"&amp;"|"&amp;MAX(1,ROUND(COUNTIFS(MASTER!$B$4:$B$1463,"FUCT",MASTER!$I$4:$I$1463,"&lt;&gt;")*$A62*100/100,0)),MASTER!$Y$4:$Y$1463,0))="",NA(),INDEX(MASTER!$I$4:$I$1463,MATCH("FUCT"&amp;"|"&amp;MAX(1,ROUND(COUNTIFS(MASTER!$B$4:$B$1463,"FUCT",MASTER!$I$4:$I$1463,"&lt;&gt;")*$A62*100/100,0)),MASTER!$Y$4:$Y$1463,0))),NA()),IF($B$4="COMBAT RATING",IFERROR(IF(INDEX(MASTER!$G$4:$G$1463,MATCH("FUCT"&amp;"|"&amp;MAX(1,ROUND(COUNTIFS(MASTER!$B$4:$B$1463,"FUCT",MASTER!$G$4:$G$1463,"&lt;&gt;")*$A62*100/100,0)),MASTER!$AH$4:$AH$1463,0))="",NA(),INDEX(MASTER!$G$4:$G$1463,MATCH("FUCT"&amp;"|"&amp;MAX(1,ROUND(COUNTIFS(MASTER!$B$4:$B$1463,"FUCT",MASTER!$G$4:$G$1463,"&lt;&gt;")*$A62*100/100,0)),MASTER!$AH$4:$AH$1463,0))),NA()),IF($B$4="SECONDARY",IFERROR(IF(INDEX(MASTER!$L$4:$L$1463,MATCH("FUCT"&amp;"|"&amp;MAX(1,ROUND(COUNTIFS(MASTER!$B$4:$B$1463,"FUCT",MASTER!$L$4:$L$1463,"&lt;&gt;")*$A62*100/100,0)),MASTER!$AI$4:$AI$1463,0))="",NA(),INDEX(MASTER!$L$4:$L$1463,MATCH("FUCT"&amp;"|"&amp;MAX(1,ROUND(COUNTIFS(MASTER!$B$4:$B$1463,"FUCT",MASTER!$L$4:$L$1463,"&lt;&gt;")*$A62*100/100,0)),MASTER!$AI$4:$AI$1463,0))),NA()))))</f>
        <v>9600</v>
      </c>
      <c r="C62" s="37">
        <f>IF($B$4="RESONANCE",IFERROR(IF(INDEX(MASTER!$I$4:$I$1463,MATCH("LEGENDS"&amp;"|"&amp;MAX(1,ROUND(COUNTIFS(MASTER!$B$4:$B$1463,"LEGENDS",MASTER!$I$4:$I$1463,"&lt;&gt;")*$A62*100/100,0)),MASTER!$Y$4:$Y$1463,0))="",NA(),INDEX(MASTER!$I$4:$I$1463,MATCH("LEGENDS"&amp;"|"&amp;MAX(1,ROUND(COUNTIFS(MASTER!$B$4:$B$1463,"LEGENDS",MASTER!$I$4:$I$1463,"&lt;&gt;")*$A62*100/100,0)),MASTER!$Y$4:$Y$1463,0))),NA()),IF($B$4="COMBAT RATING",IFERROR(IF(INDEX(MASTER!$G$4:$G$1463,MATCH("LEGENDS"&amp;"|"&amp;MAX(1,ROUND(COUNTIFS(MASTER!$B$4:$B$1463,"LEGENDS",MASTER!$G$4:$G$1463,"&lt;&gt;")*$A62*100/100,0)),MASTER!$AH$4:$AH$1463,0))="",NA(),INDEX(MASTER!$G$4:$G$1463,MATCH("LEGENDS"&amp;"|"&amp;MAX(1,ROUND(COUNTIFS(MASTER!$B$4:$B$1463,"LEGENDS",MASTER!$G$4:$G$1463,"&lt;&gt;")*$A62*100/100,0)),MASTER!$AH$4:$AH$1463,0))),NA()),IF($B$4="SECONDARY",IFERROR(IF(INDEX(MASTER!$L$4:$L$1463,MATCH("LEGENDS"&amp;"|"&amp;MAX(1,ROUND(COUNTIFS(MASTER!$B$4:$B$1463,"LEGENDS",MASTER!$L$4:$L$1463,"&lt;&gt;")*$A62*100/100,0)),MASTER!$AI$4:$AI$1463,0))="",NA(),INDEX(MASTER!$L$4:$L$1463,MATCH("LEGENDS"&amp;"|"&amp;MAX(1,ROUND(COUNTIFS(MASTER!$B$4:$B$1463,"LEGENDS",MASTER!$L$4:$L$1463,"&lt;&gt;")*$A62*100/100,0)),MASTER!$AI$4:$AI$1463,0))),NA()))))</f>
        <v>9011</v>
      </c>
      <c r="D62" s="37">
        <f>IF($B$4="RESONANCE",IFERROR(IF(INDEX(MASTER!$I$4:$I$1463,MATCH("VANGUARD"&amp;"|"&amp;MAX(1,ROUND(COUNTIFS(MASTER!$B$4:$B$1463,"VANGUARD",MASTER!$I$4:$I$1463,"&lt;&gt;")*$A62*100/100,0)),MASTER!$Y$4:$Y$1463,0))="",NA(),INDEX(MASTER!$I$4:$I$1463,MATCH("VANGUARD"&amp;"|"&amp;MAX(1,ROUND(COUNTIFS(MASTER!$B$4:$B$1463,"VANGUARD",MASTER!$I$4:$I$1463,"&lt;&gt;")*$A62*100/100,0)),MASTER!$Y$4:$Y$1463,0))),NA()),IF($B$4="COMBAT RATING",IFERROR(IF(INDEX(MASTER!$G$4:$G$1463,MATCH("VANGUARD"&amp;"|"&amp;MAX(1,ROUND(COUNTIFS(MASTER!$B$4:$B$1463,"VANGUARD",MASTER!$G$4:$G$1463,"&lt;&gt;")*$A62*100/100,0)),MASTER!$AH$4:$AH$1463,0))="",NA(),INDEX(MASTER!$G$4:$G$1463,MATCH("VANGUARD"&amp;"|"&amp;MAX(1,ROUND(COUNTIFS(MASTER!$B$4:$B$1463,"VANGUARD",MASTER!$G$4:$G$1463,"&lt;&gt;")*$A62*100/100,0)),MASTER!$AH$4:$AH$1463,0))),NA()),IF($B$4="SECONDARY",IFERROR(IF(INDEX(MASTER!$L$4:$L$1463,MATCH("VANGUARD"&amp;"|"&amp;MAX(1,ROUND(COUNTIFS(MASTER!$B$4:$B$1463,"VANGUARD",MASTER!$L$4:$L$1463,"&lt;&gt;")*$A62*100/100,0)),MASTER!$AI$4:$AI$1463,0))="",NA(),INDEX(MASTER!$L$4:$L$1463,MATCH("VANGUARD"&amp;"|"&amp;MAX(1,ROUND(COUNTIFS(MASTER!$B$4:$B$1463,"VANGUARD",MASTER!$L$4:$L$1463,"&lt;&gt;")*$A62*100/100,0)),MASTER!$AI$4:$AI$1463,0))),NA()))))</f>
        <v>10132</v>
      </c>
      <c r="E62" s="37">
        <f>IF($B$4="RESONANCE",IFERROR(IF(INDEX(MASTER!$I$4:$I$1463,MATCH("UNDYING"&amp;"|"&amp;MAX(1,ROUND(COUNTIFS(MASTER!$B$4:$B$1463,"UNDYING",MASTER!$I$4:$I$1463,"&lt;&gt;")*$A62*100/100,0)),MASTER!$Y$4:$Y$1463,0))="",NA(),INDEX(MASTER!$I$4:$I$1463,MATCH("UNDYING"&amp;"|"&amp;MAX(1,ROUND(COUNTIFS(MASTER!$B$4:$B$1463,"UNDYING",MASTER!$I$4:$I$1463,"&lt;&gt;")*$A62*100/100,0)),MASTER!$Y$4:$Y$1463,0))),NA()),IF($B$4="COMBAT RATING",IFERROR(IF(INDEX(MASTER!$G$4:$G$1463,MATCH("UNDYING"&amp;"|"&amp;MAX(1,ROUND(COUNTIFS(MASTER!$B$4:$B$1463,"UNDYING",MASTER!$G$4:$G$1463,"&lt;&gt;")*$A62*100/100,0)),MASTER!$AH$4:$AH$1463,0))="",NA(),INDEX(MASTER!$G$4:$G$1463,MATCH("UNDYING"&amp;"|"&amp;MAX(1,ROUND(COUNTIFS(MASTER!$B$4:$B$1463,"UNDYING",MASTER!$G$4:$G$1463,"&lt;&gt;")*$A62*100/100,0)),MASTER!$AH$4:$AH$1463,0))),NA()),IF($B$4="SECONDARY",IFERROR(IF(INDEX(MASTER!$L$4:$L$1463,MATCH("UNDYING"&amp;"|"&amp;MAX(1,ROUND(COUNTIFS(MASTER!$B$4:$B$1463,"UNDYING",MASTER!$L$4:$L$1463,"&lt;&gt;")*$A62*100/100,0)),MASTER!$AI$4:$AI$1463,0))="",NA(),INDEX(MASTER!$L$4:$L$1463,MATCH("UNDYING"&amp;"|"&amp;MAX(1,ROUND(COUNTIFS(MASTER!$B$4:$B$1463,"UNDYING",MASTER!$L$4:$L$1463,"&lt;&gt;")*$A62*100/100,0)),MASTER!$AI$4:$AI$1463,0))),NA()))))</f>
        <v>8226</v>
      </c>
      <c r="F62" s="37">
        <f>IF($B$4="RESONANCE",IFERROR(IF(INDEX(MASTER!$I$4:$I$1463,MATCH("SBG"&amp;"|"&amp;MAX(1,ROUND(COUNTIFS(MASTER!$B$4:$B$1463,"SBG",MASTER!$I$4:$I$1463,"&lt;&gt;")*$A62*100/100,0)),MASTER!$Y$4:$Y$1463,0))="",NA(),INDEX(MASTER!$I$4:$I$1463,MATCH("SBG"&amp;"|"&amp;MAX(1,ROUND(COUNTIFS(MASTER!$B$4:$B$1463,"SBG",MASTER!$I$4:$I$1463,"&lt;&gt;")*$A62*100/100,0)),MASTER!$Y$4:$Y$1463,0))),NA()),IF($B$4="COMBAT RATING",IFERROR(IF(INDEX(MASTER!$G$4:$G$1463,MATCH("SBG"&amp;"|"&amp;MAX(1,ROUND(COUNTIFS(MASTER!$B$4:$B$1463,"SBG",MASTER!$G$4:$G$1463,"&lt;&gt;")*$A62*100/100,0)),MASTER!$AH$4:$AH$1463,0))="",NA(),INDEX(MASTER!$G$4:$G$1463,MATCH("SBG"&amp;"|"&amp;MAX(1,ROUND(COUNTIFS(MASTER!$B$4:$B$1463,"SBG",MASTER!$G$4:$G$1463,"&lt;&gt;")*$A62*100/100,0)),MASTER!$AH$4:$AH$1463,0))),NA()),IF($B$4="SECONDARY",IFERROR(IF(INDEX(MASTER!$L$4:$L$1463,MATCH("SBG"&amp;"|"&amp;MAX(1,ROUND(COUNTIFS(MASTER!$B$4:$B$1463,"SBG",MASTER!$L$4:$L$1463,"&lt;&gt;")*$A62*100/100,0)),MASTER!$AI$4:$AI$1463,0))="",NA(),INDEX(MASTER!$L$4:$L$1463,MATCH("SBG"&amp;"|"&amp;MAX(1,ROUND(COUNTIFS(MASTER!$B$4:$B$1463,"SBG",MASTER!$L$4:$L$1463,"&lt;&gt;")*$A62*100/100,0)),MASTER!$AI$4:$AI$1463,0))),NA()))))</f>
        <v>10277</v>
      </c>
      <c r="G62" s="37">
        <f>IF($B$4="RESONANCE",IFERROR(IF(INDEX(MASTER!$I$4:$I$1463,MATCH("AZUKI"&amp;"|"&amp;MAX(1,ROUND(COUNTIFS(MASTER!$B$4:$B$1463,"AZUKI",MASTER!$I$4:$I$1463,"&lt;&gt;")*$A62*100/100,0)),MASTER!$Y$4:$Y$1463,0))="",NA(),INDEX(MASTER!$I$4:$I$1463,MATCH("AZUKI"&amp;"|"&amp;MAX(1,ROUND(COUNTIFS(MASTER!$B$4:$B$1463,"AZUKI",MASTER!$I$4:$I$1463,"&lt;&gt;")*$A62*100/100,0)),MASTER!$Y$4:$Y$1463,0))),NA()),IF($B$4="COMBAT RATING",IFERROR(IF(INDEX(MASTER!$G$4:$G$1463,MATCH("AZUKI"&amp;"|"&amp;MAX(1,ROUND(COUNTIFS(MASTER!$B$4:$B$1463,"AZUKI",MASTER!$G$4:$G$1463,"&lt;&gt;")*$A62*100/100,0)),MASTER!$AH$4:$AH$1463,0))="",NA(),INDEX(MASTER!$G$4:$G$1463,MATCH("AZUKI"&amp;"|"&amp;MAX(1,ROUND(COUNTIFS(MASTER!$B$4:$B$1463,"AZUKI",MASTER!$G$4:$G$1463,"&lt;&gt;")*$A62*100/100,0)),MASTER!$AH$4:$AH$1463,0))),NA()),IF($B$4="SECONDARY",IFERROR(IF(INDEX(MASTER!$L$4:$L$1463,MATCH("AZUKI"&amp;"|"&amp;MAX(1,ROUND(COUNTIFS(MASTER!$B$4:$B$1463,"AZUKI",MASTER!$L$4:$L$1463,"&lt;&gt;")*$A62*100/100,0)),MASTER!$AI$4:$AI$1463,0))="",NA(),INDEX(MASTER!$L$4:$L$1463,MATCH("AZUKI"&amp;"|"&amp;MAX(1,ROUND(COUNTIFS(MASTER!$B$4:$B$1463,"AZUKI",MASTER!$L$4:$L$1463,"&lt;&gt;")*$A62*100/100,0)),MASTER!$AI$4:$AI$1463,0))),NA()))))</f>
        <v>10553</v>
      </c>
      <c r="H62" s="37">
        <f>IF($B$4="RESONANCE",IFERROR(IF(INDEX(MASTER!$I$4:$I$1463,MATCH("RECKONING"&amp;"|"&amp;MAX(1,ROUND(COUNTIFS(MASTER!$B$4:$B$1463,"RECKONING",MASTER!$I$4:$I$1463,"&lt;&gt;")*$A62*100/100,0)),MASTER!$Y$4:$Y$1463,0))="",NA(),INDEX(MASTER!$I$4:$I$1463,MATCH("RECKONING"&amp;"|"&amp;MAX(1,ROUND(COUNTIFS(MASTER!$B$4:$B$1463,"RECKONING",MASTER!$I$4:$I$1463,"&lt;&gt;")*$A62*100/100,0)),MASTER!$Y$4:$Y$1463,0))),NA()),IF($B$4="COMBAT RATING",IFERROR(IF(INDEX(MASTER!$G$4:$G$1463,MATCH("RECKONING"&amp;"|"&amp;MAX(1,ROUND(COUNTIFS(MASTER!$B$4:$B$1463,"RECKONING",MASTER!$G$4:$G$1463,"&lt;&gt;")*$A62*100/100,0)),MASTER!$AH$4:$AH$1463,0))="",NA(),INDEX(MASTER!$G$4:$G$1463,MATCH("RECKONING"&amp;"|"&amp;MAX(1,ROUND(COUNTIFS(MASTER!$B$4:$B$1463,"RECKONING",MASTER!$G$4:$G$1463,"&lt;&gt;")*$A62*100/100,0)),MASTER!$AH$4:$AH$1463,0))),NA()),IF($B$4="SECONDARY",IFERROR(IF(INDEX(MASTER!$L$4:$L$1463,MATCH("RECKONING"&amp;"|"&amp;MAX(1,ROUND(COUNTIFS(MASTER!$B$4:$B$1463,"RECKONING",MASTER!$L$4:$L$1463,"&lt;&gt;")*$A62*100/100,0)),MASTER!$AI$4:$AI$1463,0))="",NA(),INDEX(MASTER!$L$4:$L$1463,MATCH("RECKONING"&amp;"|"&amp;MAX(1,ROUND(COUNTIFS(MASTER!$B$4:$B$1463,"RECKONING",MASTER!$L$4:$L$1463,"&lt;&gt;")*$A62*100/100,0)),MASTER!$AI$4:$AI$1463,0))),NA()))))</f>
        <v>10339</v>
      </c>
      <c r="I62" s="37">
        <f>IF($B$4="RESONANCE",IFERROR(IF(INDEX(MASTER!$I$4:$I$1463,MATCH("ACHERON"&amp;"|"&amp;MAX(1,ROUND(COUNTIFS(MASTER!$B$4:$B$1463,"ACHERON",MASTER!$I$4:$I$1463,"&lt;&gt;")*$A62*100/100,0)),MASTER!$Y$4:$Y$1463,0))="",NA(),INDEX(MASTER!$I$4:$I$1463,MATCH("ACHERON"&amp;"|"&amp;MAX(1,ROUND(COUNTIFS(MASTER!$B$4:$B$1463,"ACHERON",MASTER!$I$4:$I$1463,"&lt;&gt;")*$A62*100/100,0)),MASTER!$Y$4:$Y$1463,0))),NA()),IF($B$4="COMBAT RATING",IFERROR(IF(INDEX(MASTER!$G$4:$G$1463,MATCH("ACHERON"&amp;"|"&amp;MAX(1,ROUND(COUNTIFS(MASTER!$B$4:$B$1463,"ACHERON",MASTER!$G$4:$G$1463,"&lt;&gt;")*$A62*100/100,0)),MASTER!$AH$4:$AH$1463,0))="",NA(),INDEX(MASTER!$G$4:$G$1463,MATCH("ACHERON"&amp;"|"&amp;MAX(1,ROUND(COUNTIFS(MASTER!$B$4:$B$1463,"ACHERON",MASTER!$G$4:$G$1463,"&lt;&gt;")*$A62*100/100,0)),MASTER!$AH$4:$AH$1463,0))),NA()),IF($B$4="SECONDARY",IFERROR(IF(INDEX(MASTER!$L$4:$L$1463,MATCH("ACHERON"&amp;"|"&amp;MAX(1,ROUND(COUNTIFS(MASTER!$B$4:$B$1463,"ACHERON",MASTER!$L$4:$L$1463,"&lt;&gt;")*$A62*100/100,0)),MASTER!$AI$4:$AI$1463,0))="",NA(),INDEX(MASTER!$L$4:$L$1463,MATCH("ACHERON"&amp;"|"&amp;MAX(1,ROUND(COUNTIFS(MASTER!$B$4:$B$1463,"ACHERON",MASTER!$L$4:$L$1463,"&lt;&gt;")*$A62*100/100,0)),MASTER!$AI$4:$AI$1463,0))),NA()))))</f>
        <v>7497</v>
      </c>
      <c r="J62" s="37">
        <f>IF($B$4="RESONANCE",IFERROR(IF(INDEX(MASTER!$I$4:$I$1463,MATCH("INVICTUS"&amp;"|"&amp;MAX(1,ROUND(COUNTIFS(MASTER!$B$4:$B$1463,"INVICTUS",MASTER!$I$4:$I$1463,"&lt;&gt;")*$A62*100/100,0)),MASTER!$Y$4:$Y$1463,0))="",NA(),INDEX(MASTER!$I$4:$I$1463,MATCH("INVICTUS"&amp;"|"&amp;MAX(1,ROUND(COUNTIFS(MASTER!$B$4:$B$1463,"INVICTUS",MASTER!$I$4:$I$1463,"&lt;&gt;")*$A62*100/100,0)),MASTER!$Y$4:$Y$1463,0))),NA()),IF($B$4="COMBAT RATING",IFERROR(IF(INDEX(MASTER!$G$4:$G$1463,MATCH("INVICTUS"&amp;"|"&amp;MAX(1,ROUND(COUNTIFS(MASTER!$B$4:$B$1463,"INVICTUS",MASTER!$G$4:$G$1463,"&lt;&gt;")*$A62*100/100,0)),MASTER!$AH$4:$AH$1463,0))="",NA(),INDEX(MASTER!$G$4:$G$1463,MATCH("INVICTUS"&amp;"|"&amp;MAX(1,ROUND(COUNTIFS(MASTER!$B$4:$B$1463,"INVICTUS",MASTER!$G$4:$G$1463,"&lt;&gt;")*$A62*100/100,0)),MASTER!$AH$4:$AH$1463,0))),NA()),IF($B$4="SECONDARY",IFERROR(IF(INDEX(MASTER!$L$4:$L$1463,MATCH("INVICTUS"&amp;"|"&amp;MAX(1,ROUND(COUNTIFS(MASTER!$B$4:$B$1463,"INVICTUS",MASTER!$L$4:$L$1463,"&lt;&gt;")*$A62*100/100,0)),MASTER!$AI$4:$AI$1463,0))="",NA(),INDEX(MASTER!$L$4:$L$1463,MATCH("INVICTUS"&amp;"|"&amp;MAX(1,ROUND(COUNTIFS(MASTER!$B$4:$B$1463,"INVICTUS",MASTER!$L$4:$L$1463,"&lt;&gt;")*$A62*100/100,0)),MASTER!$AI$4:$AI$1463,0))),NA()))))</f>
        <v>6215</v>
      </c>
      <c r="K62" s="37">
        <f>IF($B$4="RESONANCE",IFERROR(IF(INDEX(MASTER!$I$4:$I$1463,MATCH("EMERALD LEAF TRIBE"&amp;"|"&amp;MAX(1,ROUND(COUNTIFS(MASTER!$B$4:$B$1463,"EMERALD LEAF TRIBE",MASTER!$I$4:$I$1463,"&lt;&gt;")*$A62*100/100,0)),MASTER!$Y$4:$Y$1463,0))="",NA(),INDEX(MASTER!$I$4:$I$1463,MATCH("EMERALD LEAF TRIBE"&amp;"|"&amp;MAX(1,ROUND(COUNTIFS(MASTER!$B$4:$B$1463,"EMERALD LEAF TRIBE",MASTER!$I$4:$I$1463,"&lt;&gt;")*$A62*100/100,0)),MASTER!$Y$4:$Y$1463,0))),NA()),IF($B$4="COMBAT RATING",IFERROR(IF(INDEX(MASTER!$G$4:$G$1463,MATCH("EMERALD LEAF TRIBE"&amp;"|"&amp;MAX(1,ROUND(COUNTIFS(MASTER!$B$4:$B$1463,"EMERALD LEAF TRIBE",MASTER!$G$4:$G$1463,"&lt;&gt;")*$A62*100/100,0)),MASTER!$AH$4:$AH$1463,0))="",NA(),INDEX(MASTER!$G$4:$G$1463,MATCH("EMERALD LEAF TRIBE"&amp;"|"&amp;MAX(1,ROUND(COUNTIFS(MASTER!$B$4:$B$1463,"EMERALD LEAF TRIBE",MASTER!$G$4:$G$1463,"&lt;&gt;")*$A62*100/100,0)),MASTER!$AH$4:$AH$1463,0))),NA()),IF($B$4="SECONDARY",IFERROR(IF(INDEX(MASTER!$L$4:$L$1463,MATCH("EMERALD LEAF TRIBE"&amp;"|"&amp;MAX(1,ROUND(COUNTIFS(MASTER!$B$4:$B$1463,"EMERALD LEAF TRIBE",MASTER!$L$4:$L$1463,"&lt;&gt;")*$A62*100/100,0)),MASTER!$AI$4:$AI$1463,0))="",NA(),INDEX(MASTER!$L$4:$L$1463,MATCH("EMERALD LEAF TRIBE"&amp;"|"&amp;MAX(1,ROUND(COUNTIFS(MASTER!$B$4:$B$1463,"EMERALD LEAF TRIBE",MASTER!$L$4:$L$1463,"&lt;&gt;")*$A62*100/100,0)),MASTER!$AI$4:$AI$1463,0))),NA()))))</f>
        <v>4389</v>
      </c>
      <c r="L62" s="37">
        <f>IF($B$4="RESONANCE",IFERROR(IF(INDEX(MASTER!$I$4:$I$1463,MATCH("SUB ROSA"&amp;"|"&amp;MAX(1,ROUND(COUNTIFS(MASTER!$B$4:$B$1463,"SUB ROSA",MASTER!$I$4:$I$1463,"&lt;&gt;")*$A62*100/100,0)),MASTER!$Y$4:$Y$1463,0))="",NA(),INDEX(MASTER!$I$4:$I$1463,MATCH("SUB ROSA"&amp;"|"&amp;MAX(1,ROUND(COUNTIFS(MASTER!$B$4:$B$1463,"SUB ROSA",MASTER!$I$4:$I$1463,"&lt;&gt;")*$A62*100/100,0)),MASTER!$Y$4:$Y$1463,0))),NA()),IF($B$4="COMBAT RATING",IFERROR(IF(INDEX(MASTER!$G$4:$G$1463,MATCH("SUB ROSA"&amp;"|"&amp;MAX(1,ROUND(COUNTIFS(MASTER!$B$4:$B$1463,"SUB ROSA",MASTER!$G$4:$G$1463,"&lt;&gt;")*$A62*100/100,0)),MASTER!$AH$4:$AH$1463,0))="",NA(),INDEX(MASTER!$G$4:$G$1463,MATCH("SUB ROSA"&amp;"|"&amp;MAX(1,ROUND(COUNTIFS(MASTER!$B$4:$B$1463,"SUB ROSA",MASTER!$G$4:$G$1463,"&lt;&gt;")*$A62*100/100,0)),MASTER!$AH$4:$AH$1463,0))),NA()),IF($B$4="SECONDARY",IFERROR(IF(INDEX(MASTER!$L$4:$L$1463,MATCH("SUB ROSA"&amp;"|"&amp;MAX(1,ROUND(COUNTIFS(MASTER!$B$4:$B$1463,"SUB ROSA",MASTER!$L$4:$L$1463,"&lt;&gt;")*$A62*100/100,0)),MASTER!$AI$4:$AI$1463,0))="",NA(),INDEX(MASTER!$L$4:$L$1463,MATCH("SUB ROSA"&amp;"|"&amp;MAX(1,ROUND(COUNTIFS(MASTER!$B$4:$B$1463,"SUB ROSA",MASTER!$L$4:$L$1463,"&lt;&gt;")*$A62*100/100,0)),MASTER!$AI$4:$AI$1463,0))),NA()))))</f>
        <v>7163</v>
      </c>
      <c r="M62" s="37">
        <f>IF($B$4="RESONANCE",IFERROR(IF(INDEX(MASTER!$I$4:$I$1463,MATCH("VENGEANCE"&amp;"|"&amp;MAX(1,ROUND(COUNTIFS(MASTER!$B$4:$B$1463,"VENGEANCE",MASTER!$I$4:$I$1463,"&lt;&gt;")*$A62*100/100,0)),MASTER!$Y$4:$Y$1463,0))="",NA(),INDEX(MASTER!$I$4:$I$1463,MATCH("VENGEANCE"&amp;"|"&amp;MAX(1,ROUND(COUNTIFS(MASTER!$B$4:$B$1463,"VENGEANCE",MASTER!$I$4:$I$1463,"&lt;&gt;")*$A62*100/100,0)),MASTER!$Y$4:$Y$1463,0))),NA()),IF($B$4="COMBAT RATING",IFERROR(IF(INDEX(MASTER!$G$4:$G$1463,MATCH("VENGEANCE"&amp;"|"&amp;MAX(1,ROUND(COUNTIFS(MASTER!$B$4:$B$1463,"VENGEANCE",MASTER!$G$4:$G$1463,"&lt;&gt;")*$A62*100/100,0)),MASTER!$AH$4:$AH$1463,0))="",NA(),INDEX(MASTER!$G$4:$G$1463,MATCH("VENGEANCE"&amp;"|"&amp;MAX(1,ROUND(COUNTIFS(MASTER!$B$4:$B$1463,"VENGEANCE",MASTER!$G$4:$G$1463,"&lt;&gt;")*$A62*100/100,0)),MASTER!$AH$4:$AH$1463,0))),NA()),IF($B$4="SECONDARY",IFERROR(IF(INDEX(MASTER!$L$4:$L$1463,MATCH("VENGEANCE"&amp;"|"&amp;MAX(1,ROUND(COUNTIFS(MASTER!$B$4:$B$1463,"VENGEANCE",MASTER!$L$4:$L$1463,"&lt;&gt;")*$A62*100/100,0)),MASTER!$AI$4:$AI$1463,0))="",NA(),INDEX(MASTER!$L$4:$L$1463,MATCH("VENGEANCE"&amp;"|"&amp;MAX(1,ROUND(COUNTIFS(MASTER!$B$4:$B$1463,"VENGEANCE",MASTER!$L$4:$L$1463,"&lt;&gt;")*$A62*100/100,0)),MASTER!$AI$4:$AI$1463,0))),NA()))))</f>
        <v>5909</v>
      </c>
      <c r="N62" s="37">
        <f>IF($B$4="RESONANCE",IFERROR(IF(INDEX(MASTER!$I$4:$I$1463,MATCH("VENDETTA"&amp;"|"&amp;MAX(1,ROUND(COUNTIFS(MASTER!$B$4:$B$1463,"VENDETTA",MASTER!$I$4:$I$1463,"&lt;&gt;")*$A62*100/100,0)),MASTER!$Y$4:$Y$1463,0))="",NA(),INDEX(MASTER!$I$4:$I$1463,MATCH("VENDETTA"&amp;"|"&amp;MAX(1,ROUND(COUNTIFS(MASTER!$B$4:$B$1463,"VENDETTA",MASTER!$I$4:$I$1463,"&lt;&gt;")*$A62*100/100,0)),MASTER!$Y$4:$Y$1463,0))),NA()),IF($B$4="COMBAT RATING",IFERROR(IF(INDEX(MASTER!$G$4:$G$1463,MATCH("VENDETTA"&amp;"|"&amp;MAX(1,ROUND(COUNTIFS(MASTER!$B$4:$B$1463,"VENDETTA",MASTER!$G$4:$G$1463,"&lt;&gt;")*$A62*100/100,0)),MASTER!$AH$4:$AH$1463,0))="",NA(),INDEX(MASTER!$G$4:$G$1463,MATCH("VENDETTA"&amp;"|"&amp;MAX(1,ROUND(COUNTIFS(MASTER!$B$4:$B$1463,"VENDETTA",MASTER!$G$4:$G$1463,"&lt;&gt;")*$A62*100/100,0)),MASTER!$AH$4:$AH$1463,0))),NA()),IF($B$4="SECONDARY",IFERROR(IF(INDEX(MASTER!$L$4:$L$1463,MATCH("VENDETTA"&amp;"|"&amp;MAX(1,ROUND(COUNTIFS(MASTER!$B$4:$B$1463,"VENDETTA",MASTER!$L$4:$L$1463,"&lt;&gt;")*$A62*100/100,0)),MASTER!$AI$4:$AI$1463,0))="",NA(),INDEX(MASTER!$L$4:$L$1463,MATCH("VENDETTA"&amp;"|"&amp;MAX(1,ROUND(COUNTIFS(MASTER!$B$4:$B$1463,"VENDETTA",MASTER!$L$4:$L$1463,"&lt;&gt;")*$A62*100/100,0)),MASTER!$AI$4:$AI$1463,0))),NA()))))</f>
        <v>3513</v>
      </c>
      <c r="O62" s="37">
        <f>IF($B$4="RESONANCE",IFERROR(IF(INDEX(MASTER!$I$4:$I$1463,MATCH("ZOMBIES"&amp;"|"&amp;MAX(1,ROUND(COUNTIFS(MASTER!$B$4:$B$1463,"ZOMBIES",MASTER!$I$4:$I$1463,"&lt;&gt;")*$A62*100/100,0)),MASTER!$Y$4:$Y$1463,0))="",NA(),INDEX(MASTER!$I$4:$I$1463,MATCH("ZOMBIES"&amp;"|"&amp;MAX(1,ROUND(COUNTIFS(MASTER!$B$4:$B$1463,"ZOMBIES",MASTER!$I$4:$I$1463,"&lt;&gt;")*$A62*100/100,0)),MASTER!$Y$4:$Y$1463,0))),NA()),IF($B$4="COMBAT RATING",IFERROR(IF(INDEX(MASTER!$G$4:$G$1463,MATCH("ZOMBIES"&amp;"|"&amp;MAX(1,ROUND(COUNTIFS(MASTER!$B$4:$B$1463,"ZOMBIES",MASTER!$G$4:$G$1463,"&lt;&gt;")*$A62*100/100,0)),MASTER!$AH$4:$AH$1463,0))="",NA(),INDEX(MASTER!$G$4:$G$1463,MATCH("ZOMBIES"&amp;"|"&amp;MAX(1,ROUND(COUNTIFS(MASTER!$B$4:$B$1463,"ZOMBIES",MASTER!$G$4:$G$1463,"&lt;&gt;")*$A62*100/100,0)),MASTER!$AH$4:$AH$1463,0))),NA()),IF($B$4="SECONDARY",IFERROR(IF(INDEX(MASTER!$L$4:$L$1463,MATCH("ZOMBIES"&amp;"|"&amp;MAX(1,ROUND(COUNTIFS(MASTER!$B$4:$B$1463,"ZOMBIES",MASTER!$L$4:$L$1463,"&lt;&gt;")*$A62*100/100,0)),MASTER!$AI$4:$AI$1463,0))="",NA(),INDEX(MASTER!$L$4:$L$1463,MATCH("ZOMBIES"&amp;"|"&amp;MAX(1,ROUND(COUNTIFS(MASTER!$B$4:$B$1463,"ZOMBIES",MASTER!$L$4:$L$1463,"&lt;&gt;")*$A62*100/100,0)),MASTER!$AI$4:$AI$1463,0))),NA()))))</f>
        <v>4179</v>
      </c>
      <c r="P62" s="37">
        <f>IF($B$4="RESONANCE",IFERROR(IF(INDEX(MASTER!$I$4:$I$1463,MATCH("FUCT"&amp;"|"&amp;MAX(1,ROUND(COUNTIFS(MASTER!$B$4:$B$1463,"FUCT",MASTER!$I$4:$I$1463,"&lt;&gt;")*$A62*100/100,0)),MASTER!$Y$4:$Y$1463,0))="",NA(),INDEX(MASTER!$I$4:$I$1463,MATCH("FUCT"&amp;"|"&amp;MAX(1,ROUND(COUNTIFS(MASTER!$B$4:$B$1463,"FUCT",MASTER!$I$4:$I$1463,"&lt;&gt;")*$A62*100/100,0)),MASTER!$Y$4:$Y$1463,0))),NA()),IF($B$4="COMBAT RATING",IFERROR(IF(INDEX(MASTER!$G$4:$G$1463,MATCH("FUCT"&amp;"|"&amp;MAX(1,ROUND(COUNTIFS(MASTER!$B$4:$B$1463,"FUCT",MASTER!$G$4:$G$1463,"&lt;&gt;")*$A62*100/100,0)),MASTER!$AH$4:$AH$1463,0))="",NA(),INDEX(MASTER!$G$4:$G$1463,MATCH("FUCT"&amp;"|"&amp;MAX(1,ROUND(COUNTIFS(MASTER!$B$4:$B$1463,"FUCT",MASTER!$G$4:$G$1463,"&lt;&gt;")*$A62*100/100,0)),MASTER!$AH$4:$AH$1463,0))),NA()),IF($B$4="SECONDARY",IFERROR(IF(INDEX(MASTER!$L$4:$L$1463,MATCH("FUCT"&amp;"|"&amp;MAX(1,ROUND(COUNTIFS(MASTER!$B$4:$B$1463,"FUCT",MASTER!$L$4:$L$1463,"&lt;&gt;")*$A62*100/100,0)),MASTER!$AI$4:$AI$1463,0))="",NA(),INDEX(MASTER!$L$4:$L$1463,MATCH("FUCT"&amp;"|"&amp;MAX(1,ROUND(COUNTIFS(MASTER!$B$4:$B$1463,"FUCT",MASTER!$L$4:$L$1463,"&lt;&gt;")*$A62*100/100,0)),MASTER!$AI$4:$AI$1463,0))),NA()))))</f>
        <v>9600</v>
      </c>
      <c r="Q62" s="37">
        <f>IF($B$4="RESONANCE",IFERROR(IF(INDEX(MASTER!$I$4:$I$1463,MATCH($E$4&amp;"|"&amp;MAX(1,ROUND(COUNTIFS(MASTER!$B$4:$B$1463,$E$4,MASTER!$I$4:$I$1463,"&lt;&gt;")*$A62*100/100,0)),MASTER!$Y$4:$Y$1463,0))="",NA(),INDEX(MASTER!$I$4:$I$1463,MATCH($E$4&amp;"|"&amp;MAX(1,ROUND(COUNTIFS(MASTER!$B$4:$B$1463,$E$4,MASTER!$I$4:$I$1463,"&lt;&gt;")*$A62*100/100,0)),MASTER!$Y$4:$Y$1463,0))),NA()),IF($B$4="COMBAT RATING",IFERROR(IF(INDEX(MASTER!$G$4:$G$1463,MATCH($E$4&amp;"|"&amp;MAX(1,ROUND(COUNTIFS(MASTER!$B$4:$B$1463,$E$4,MASTER!$G$4:$G$1463,"&lt;&gt;")*$A62*100/100,0)),MASTER!$AH$4:$AH$1463,0))="",NA(),INDEX(MASTER!$G$4:$G$1463,MATCH($E$4&amp;"|"&amp;MAX(1,ROUND(COUNTIFS(MASTER!$B$4:$B$1463,$E$4,MASTER!$G$4:$G$1463,"&lt;&gt;")*$A62*100/100,0)),MASTER!$AH$4:$AH$1463,0))),NA()),IF($B$4="SECONDARY",IFERROR(IF(INDEX(MASTER!$L$4:$L$1463,MATCH($E$4&amp;"|"&amp;MAX(1,ROUND(COUNTIFS(MASTER!$B$4:$B$1463,$E$4,MASTER!$L$4:$L$1463,"&lt;&gt;")*$A62*100/100,0)),MASTER!$AI$4:$AI$1463,0))="",NA(),INDEX(MASTER!$L$4:$L$1463,MATCH($E$4&amp;"|"&amp;MAX(1,ROUND(COUNTIFS(MASTER!$B$4:$B$1463,$E$4,MASTER!$L$4:$L$1463,"&lt;&gt;")*$A62*100/100,0)),MASTER!$AI$4:$AI$1463,0))),NA()))))</f>
        <v>8226</v>
      </c>
    </row>
    <row r="63" spans="1:17" hidden="1">
      <c r="A63" s="36">
        <v>0.08</v>
      </c>
      <c r="B63" s="37">
        <f>IF($B$4="RESONANCE",IFERROR(IF(INDEX(MASTER!$I$4:$I$1463,MATCH("FUCT"&amp;"|"&amp;MAX(1,ROUND(COUNTIFS(MASTER!$B$4:$B$1463,"FUCT",MASTER!$I$4:$I$1463,"&lt;&gt;")*$A63*100/100,0)),MASTER!$Y$4:$Y$1463,0))="",NA(),INDEX(MASTER!$I$4:$I$1463,MATCH("FUCT"&amp;"|"&amp;MAX(1,ROUND(COUNTIFS(MASTER!$B$4:$B$1463,"FUCT",MASTER!$I$4:$I$1463,"&lt;&gt;")*$A63*100/100,0)),MASTER!$Y$4:$Y$1463,0))),NA()),IF($B$4="COMBAT RATING",IFERROR(IF(INDEX(MASTER!$G$4:$G$1463,MATCH("FUCT"&amp;"|"&amp;MAX(1,ROUND(COUNTIFS(MASTER!$B$4:$B$1463,"FUCT",MASTER!$G$4:$G$1463,"&lt;&gt;")*$A63*100/100,0)),MASTER!$AH$4:$AH$1463,0))="",NA(),INDEX(MASTER!$G$4:$G$1463,MATCH("FUCT"&amp;"|"&amp;MAX(1,ROUND(COUNTIFS(MASTER!$B$4:$B$1463,"FUCT",MASTER!$G$4:$G$1463,"&lt;&gt;")*$A63*100/100,0)),MASTER!$AH$4:$AH$1463,0))),NA()),IF($B$4="SECONDARY",IFERROR(IF(INDEX(MASTER!$L$4:$L$1463,MATCH("FUCT"&amp;"|"&amp;MAX(1,ROUND(COUNTIFS(MASTER!$B$4:$B$1463,"FUCT",MASTER!$L$4:$L$1463,"&lt;&gt;")*$A63*100/100,0)),MASTER!$AI$4:$AI$1463,0))="",NA(),INDEX(MASTER!$L$4:$L$1463,MATCH("FUCT"&amp;"|"&amp;MAX(1,ROUND(COUNTIFS(MASTER!$B$4:$B$1463,"FUCT",MASTER!$L$4:$L$1463,"&lt;&gt;")*$A63*100/100,0)),MASTER!$AI$4:$AI$1463,0))),NA()))))</f>
        <v>9278</v>
      </c>
      <c r="C63" s="37">
        <f>IF($B$4="RESONANCE",IFERROR(IF(INDEX(MASTER!$I$4:$I$1463,MATCH("LEGENDS"&amp;"|"&amp;MAX(1,ROUND(COUNTIFS(MASTER!$B$4:$B$1463,"LEGENDS",MASTER!$I$4:$I$1463,"&lt;&gt;")*$A63*100/100,0)),MASTER!$Y$4:$Y$1463,0))="",NA(),INDEX(MASTER!$I$4:$I$1463,MATCH("LEGENDS"&amp;"|"&amp;MAX(1,ROUND(COUNTIFS(MASTER!$B$4:$B$1463,"LEGENDS",MASTER!$I$4:$I$1463,"&lt;&gt;")*$A63*100/100,0)),MASTER!$Y$4:$Y$1463,0))),NA()),IF($B$4="COMBAT RATING",IFERROR(IF(INDEX(MASTER!$G$4:$G$1463,MATCH("LEGENDS"&amp;"|"&amp;MAX(1,ROUND(COUNTIFS(MASTER!$B$4:$B$1463,"LEGENDS",MASTER!$G$4:$G$1463,"&lt;&gt;")*$A63*100/100,0)),MASTER!$AH$4:$AH$1463,0))="",NA(),INDEX(MASTER!$G$4:$G$1463,MATCH("LEGENDS"&amp;"|"&amp;MAX(1,ROUND(COUNTIFS(MASTER!$B$4:$B$1463,"LEGENDS",MASTER!$G$4:$G$1463,"&lt;&gt;")*$A63*100/100,0)),MASTER!$AH$4:$AH$1463,0))),NA()),IF($B$4="SECONDARY",IFERROR(IF(INDEX(MASTER!$L$4:$L$1463,MATCH("LEGENDS"&amp;"|"&amp;MAX(1,ROUND(COUNTIFS(MASTER!$B$4:$B$1463,"LEGENDS",MASTER!$L$4:$L$1463,"&lt;&gt;")*$A63*100/100,0)),MASTER!$AI$4:$AI$1463,0))="",NA(),INDEX(MASTER!$L$4:$L$1463,MATCH("LEGENDS"&amp;"|"&amp;MAX(1,ROUND(COUNTIFS(MASTER!$B$4:$B$1463,"LEGENDS",MASTER!$L$4:$L$1463,"&lt;&gt;")*$A63*100/100,0)),MASTER!$AI$4:$AI$1463,0))),NA()))))</f>
        <v>8979</v>
      </c>
      <c r="D63" s="37">
        <f>IF($B$4="RESONANCE",IFERROR(IF(INDEX(MASTER!$I$4:$I$1463,MATCH("VANGUARD"&amp;"|"&amp;MAX(1,ROUND(COUNTIFS(MASTER!$B$4:$B$1463,"VANGUARD",MASTER!$I$4:$I$1463,"&lt;&gt;")*$A63*100/100,0)),MASTER!$Y$4:$Y$1463,0))="",NA(),INDEX(MASTER!$I$4:$I$1463,MATCH("VANGUARD"&amp;"|"&amp;MAX(1,ROUND(COUNTIFS(MASTER!$B$4:$B$1463,"VANGUARD",MASTER!$I$4:$I$1463,"&lt;&gt;")*$A63*100/100,0)),MASTER!$Y$4:$Y$1463,0))),NA()),IF($B$4="COMBAT RATING",IFERROR(IF(INDEX(MASTER!$G$4:$G$1463,MATCH("VANGUARD"&amp;"|"&amp;MAX(1,ROUND(COUNTIFS(MASTER!$B$4:$B$1463,"VANGUARD",MASTER!$G$4:$G$1463,"&lt;&gt;")*$A63*100/100,0)),MASTER!$AH$4:$AH$1463,0))="",NA(),INDEX(MASTER!$G$4:$G$1463,MATCH("VANGUARD"&amp;"|"&amp;MAX(1,ROUND(COUNTIFS(MASTER!$B$4:$B$1463,"VANGUARD",MASTER!$G$4:$G$1463,"&lt;&gt;")*$A63*100/100,0)),MASTER!$AH$4:$AH$1463,0))),NA()),IF($B$4="SECONDARY",IFERROR(IF(INDEX(MASTER!$L$4:$L$1463,MATCH("VANGUARD"&amp;"|"&amp;MAX(1,ROUND(COUNTIFS(MASTER!$B$4:$B$1463,"VANGUARD",MASTER!$L$4:$L$1463,"&lt;&gt;")*$A63*100/100,0)),MASTER!$AI$4:$AI$1463,0))="",NA(),INDEX(MASTER!$L$4:$L$1463,MATCH("VANGUARD"&amp;"|"&amp;MAX(1,ROUND(COUNTIFS(MASTER!$B$4:$B$1463,"VANGUARD",MASTER!$L$4:$L$1463,"&lt;&gt;")*$A63*100/100,0)),MASTER!$AI$4:$AI$1463,0))),NA()))))</f>
        <v>10123</v>
      </c>
      <c r="E63" s="37">
        <f>IF($B$4="RESONANCE",IFERROR(IF(INDEX(MASTER!$I$4:$I$1463,MATCH("UNDYING"&amp;"|"&amp;MAX(1,ROUND(COUNTIFS(MASTER!$B$4:$B$1463,"UNDYING",MASTER!$I$4:$I$1463,"&lt;&gt;")*$A63*100/100,0)),MASTER!$Y$4:$Y$1463,0))="",NA(),INDEX(MASTER!$I$4:$I$1463,MATCH("UNDYING"&amp;"|"&amp;MAX(1,ROUND(COUNTIFS(MASTER!$B$4:$B$1463,"UNDYING",MASTER!$I$4:$I$1463,"&lt;&gt;")*$A63*100/100,0)),MASTER!$Y$4:$Y$1463,0))),NA()),IF($B$4="COMBAT RATING",IFERROR(IF(INDEX(MASTER!$G$4:$G$1463,MATCH("UNDYING"&amp;"|"&amp;MAX(1,ROUND(COUNTIFS(MASTER!$B$4:$B$1463,"UNDYING",MASTER!$G$4:$G$1463,"&lt;&gt;")*$A63*100/100,0)),MASTER!$AH$4:$AH$1463,0))="",NA(),INDEX(MASTER!$G$4:$G$1463,MATCH("UNDYING"&amp;"|"&amp;MAX(1,ROUND(COUNTIFS(MASTER!$B$4:$B$1463,"UNDYING",MASTER!$G$4:$G$1463,"&lt;&gt;")*$A63*100/100,0)),MASTER!$AH$4:$AH$1463,0))),NA()),IF($B$4="SECONDARY",IFERROR(IF(INDEX(MASTER!$L$4:$L$1463,MATCH("UNDYING"&amp;"|"&amp;MAX(1,ROUND(COUNTIFS(MASTER!$B$4:$B$1463,"UNDYING",MASTER!$L$4:$L$1463,"&lt;&gt;")*$A63*100/100,0)),MASTER!$AI$4:$AI$1463,0))="",NA(),INDEX(MASTER!$L$4:$L$1463,MATCH("UNDYING"&amp;"|"&amp;MAX(1,ROUND(COUNTIFS(MASTER!$B$4:$B$1463,"UNDYING",MASTER!$L$4:$L$1463,"&lt;&gt;")*$A63*100/100,0)),MASTER!$AI$4:$AI$1463,0))),NA()))))</f>
        <v>8045</v>
      </c>
      <c r="F63" s="37">
        <f>IF($B$4="RESONANCE",IFERROR(IF(INDEX(MASTER!$I$4:$I$1463,MATCH("SBG"&amp;"|"&amp;MAX(1,ROUND(COUNTIFS(MASTER!$B$4:$B$1463,"SBG",MASTER!$I$4:$I$1463,"&lt;&gt;")*$A63*100/100,0)),MASTER!$Y$4:$Y$1463,0))="",NA(),INDEX(MASTER!$I$4:$I$1463,MATCH("SBG"&amp;"|"&amp;MAX(1,ROUND(COUNTIFS(MASTER!$B$4:$B$1463,"SBG",MASTER!$I$4:$I$1463,"&lt;&gt;")*$A63*100/100,0)),MASTER!$Y$4:$Y$1463,0))),NA()),IF($B$4="COMBAT RATING",IFERROR(IF(INDEX(MASTER!$G$4:$G$1463,MATCH("SBG"&amp;"|"&amp;MAX(1,ROUND(COUNTIFS(MASTER!$B$4:$B$1463,"SBG",MASTER!$G$4:$G$1463,"&lt;&gt;")*$A63*100/100,0)),MASTER!$AH$4:$AH$1463,0))="",NA(),INDEX(MASTER!$G$4:$G$1463,MATCH("SBG"&amp;"|"&amp;MAX(1,ROUND(COUNTIFS(MASTER!$B$4:$B$1463,"SBG",MASTER!$G$4:$G$1463,"&lt;&gt;")*$A63*100/100,0)),MASTER!$AH$4:$AH$1463,0))),NA()),IF($B$4="SECONDARY",IFERROR(IF(INDEX(MASTER!$L$4:$L$1463,MATCH("SBG"&amp;"|"&amp;MAX(1,ROUND(COUNTIFS(MASTER!$B$4:$B$1463,"SBG",MASTER!$L$4:$L$1463,"&lt;&gt;")*$A63*100/100,0)),MASTER!$AI$4:$AI$1463,0))="",NA(),INDEX(MASTER!$L$4:$L$1463,MATCH("SBG"&amp;"|"&amp;MAX(1,ROUND(COUNTIFS(MASTER!$B$4:$B$1463,"SBG",MASTER!$L$4:$L$1463,"&lt;&gt;")*$A63*100/100,0)),MASTER!$AI$4:$AI$1463,0))),NA()))))</f>
        <v>10170</v>
      </c>
      <c r="G63" s="37">
        <f>IF($B$4="RESONANCE",IFERROR(IF(INDEX(MASTER!$I$4:$I$1463,MATCH("AZUKI"&amp;"|"&amp;MAX(1,ROUND(COUNTIFS(MASTER!$B$4:$B$1463,"AZUKI",MASTER!$I$4:$I$1463,"&lt;&gt;")*$A63*100/100,0)),MASTER!$Y$4:$Y$1463,0))="",NA(),INDEX(MASTER!$I$4:$I$1463,MATCH("AZUKI"&amp;"|"&amp;MAX(1,ROUND(COUNTIFS(MASTER!$B$4:$B$1463,"AZUKI",MASTER!$I$4:$I$1463,"&lt;&gt;")*$A63*100/100,0)),MASTER!$Y$4:$Y$1463,0))),NA()),IF($B$4="COMBAT RATING",IFERROR(IF(INDEX(MASTER!$G$4:$G$1463,MATCH("AZUKI"&amp;"|"&amp;MAX(1,ROUND(COUNTIFS(MASTER!$B$4:$B$1463,"AZUKI",MASTER!$G$4:$G$1463,"&lt;&gt;")*$A63*100/100,0)),MASTER!$AH$4:$AH$1463,0))="",NA(),INDEX(MASTER!$G$4:$G$1463,MATCH("AZUKI"&amp;"|"&amp;MAX(1,ROUND(COUNTIFS(MASTER!$B$4:$B$1463,"AZUKI",MASTER!$G$4:$G$1463,"&lt;&gt;")*$A63*100/100,0)),MASTER!$AH$4:$AH$1463,0))),NA()),IF($B$4="SECONDARY",IFERROR(IF(INDEX(MASTER!$L$4:$L$1463,MATCH("AZUKI"&amp;"|"&amp;MAX(1,ROUND(COUNTIFS(MASTER!$B$4:$B$1463,"AZUKI",MASTER!$L$4:$L$1463,"&lt;&gt;")*$A63*100/100,0)),MASTER!$AI$4:$AI$1463,0))="",NA(),INDEX(MASTER!$L$4:$L$1463,MATCH("AZUKI"&amp;"|"&amp;MAX(1,ROUND(COUNTIFS(MASTER!$B$4:$B$1463,"AZUKI",MASTER!$L$4:$L$1463,"&lt;&gt;")*$A63*100/100,0)),MASTER!$AI$4:$AI$1463,0))),NA()))))</f>
        <v>10522</v>
      </c>
      <c r="H63" s="37">
        <f>IF($B$4="RESONANCE",IFERROR(IF(INDEX(MASTER!$I$4:$I$1463,MATCH("RECKONING"&amp;"|"&amp;MAX(1,ROUND(COUNTIFS(MASTER!$B$4:$B$1463,"RECKONING",MASTER!$I$4:$I$1463,"&lt;&gt;")*$A63*100/100,0)),MASTER!$Y$4:$Y$1463,0))="",NA(),INDEX(MASTER!$I$4:$I$1463,MATCH("RECKONING"&amp;"|"&amp;MAX(1,ROUND(COUNTIFS(MASTER!$B$4:$B$1463,"RECKONING",MASTER!$I$4:$I$1463,"&lt;&gt;")*$A63*100/100,0)),MASTER!$Y$4:$Y$1463,0))),NA()),IF($B$4="COMBAT RATING",IFERROR(IF(INDEX(MASTER!$G$4:$G$1463,MATCH("RECKONING"&amp;"|"&amp;MAX(1,ROUND(COUNTIFS(MASTER!$B$4:$B$1463,"RECKONING",MASTER!$G$4:$G$1463,"&lt;&gt;")*$A63*100/100,0)),MASTER!$AH$4:$AH$1463,0))="",NA(),INDEX(MASTER!$G$4:$G$1463,MATCH("RECKONING"&amp;"|"&amp;MAX(1,ROUND(COUNTIFS(MASTER!$B$4:$B$1463,"RECKONING",MASTER!$G$4:$G$1463,"&lt;&gt;")*$A63*100/100,0)),MASTER!$AH$4:$AH$1463,0))),NA()),IF($B$4="SECONDARY",IFERROR(IF(INDEX(MASTER!$L$4:$L$1463,MATCH("RECKONING"&amp;"|"&amp;MAX(1,ROUND(COUNTIFS(MASTER!$B$4:$B$1463,"RECKONING",MASTER!$L$4:$L$1463,"&lt;&gt;")*$A63*100/100,0)),MASTER!$AI$4:$AI$1463,0))="",NA(),INDEX(MASTER!$L$4:$L$1463,MATCH("RECKONING"&amp;"|"&amp;MAX(1,ROUND(COUNTIFS(MASTER!$B$4:$B$1463,"RECKONING",MASTER!$L$4:$L$1463,"&lt;&gt;")*$A63*100/100,0)),MASTER!$AI$4:$AI$1463,0))),NA()))))</f>
        <v>10252</v>
      </c>
      <c r="I63" s="37">
        <f>IF($B$4="RESONANCE",IFERROR(IF(INDEX(MASTER!$I$4:$I$1463,MATCH("ACHERON"&amp;"|"&amp;MAX(1,ROUND(COUNTIFS(MASTER!$B$4:$B$1463,"ACHERON",MASTER!$I$4:$I$1463,"&lt;&gt;")*$A63*100/100,0)),MASTER!$Y$4:$Y$1463,0))="",NA(),INDEX(MASTER!$I$4:$I$1463,MATCH("ACHERON"&amp;"|"&amp;MAX(1,ROUND(COUNTIFS(MASTER!$B$4:$B$1463,"ACHERON",MASTER!$I$4:$I$1463,"&lt;&gt;")*$A63*100/100,0)),MASTER!$Y$4:$Y$1463,0))),NA()),IF($B$4="COMBAT RATING",IFERROR(IF(INDEX(MASTER!$G$4:$G$1463,MATCH("ACHERON"&amp;"|"&amp;MAX(1,ROUND(COUNTIFS(MASTER!$B$4:$B$1463,"ACHERON",MASTER!$G$4:$G$1463,"&lt;&gt;")*$A63*100/100,0)),MASTER!$AH$4:$AH$1463,0))="",NA(),INDEX(MASTER!$G$4:$G$1463,MATCH("ACHERON"&amp;"|"&amp;MAX(1,ROUND(COUNTIFS(MASTER!$B$4:$B$1463,"ACHERON",MASTER!$G$4:$G$1463,"&lt;&gt;")*$A63*100/100,0)),MASTER!$AH$4:$AH$1463,0))),NA()),IF($B$4="SECONDARY",IFERROR(IF(INDEX(MASTER!$L$4:$L$1463,MATCH("ACHERON"&amp;"|"&amp;MAX(1,ROUND(COUNTIFS(MASTER!$B$4:$B$1463,"ACHERON",MASTER!$L$4:$L$1463,"&lt;&gt;")*$A63*100/100,0)),MASTER!$AI$4:$AI$1463,0))="",NA(),INDEX(MASTER!$L$4:$L$1463,MATCH("ACHERON"&amp;"|"&amp;MAX(1,ROUND(COUNTIFS(MASTER!$B$4:$B$1463,"ACHERON",MASTER!$L$4:$L$1463,"&lt;&gt;")*$A63*100/100,0)),MASTER!$AI$4:$AI$1463,0))),NA()))))</f>
        <v>7224</v>
      </c>
      <c r="J63" s="37">
        <f>IF($B$4="RESONANCE",IFERROR(IF(INDEX(MASTER!$I$4:$I$1463,MATCH("INVICTUS"&amp;"|"&amp;MAX(1,ROUND(COUNTIFS(MASTER!$B$4:$B$1463,"INVICTUS",MASTER!$I$4:$I$1463,"&lt;&gt;")*$A63*100/100,0)),MASTER!$Y$4:$Y$1463,0))="",NA(),INDEX(MASTER!$I$4:$I$1463,MATCH("INVICTUS"&amp;"|"&amp;MAX(1,ROUND(COUNTIFS(MASTER!$B$4:$B$1463,"INVICTUS",MASTER!$I$4:$I$1463,"&lt;&gt;")*$A63*100/100,0)),MASTER!$Y$4:$Y$1463,0))),NA()),IF($B$4="COMBAT RATING",IFERROR(IF(INDEX(MASTER!$G$4:$G$1463,MATCH("INVICTUS"&amp;"|"&amp;MAX(1,ROUND(COUNTIFS(MASTER!$B$4:$B$1463,"INVICTUS",MASTER!$G$4:$G$1463,"&lt;&gt;")*$A63*100/100,0)),MASTER!$AH$4:$AH$1463,0))="",NA(),INDEX(MASTER!$G$4:$G$1463,MATCH("INVICTUS"&amp;"|"&amp;MAX(1,ROUND(COUNTIFS(MASTER!$B$4:$B$1463,"INVICTUS",MASTER!$G$4:$G$1463,"&lt;&gt;")*$A63*100/100,0)),MASTER!$AH$4:$AH$1463,0))),NA()),IF($B$4="SECONDARY",IFERROR(IF(INDEX(MASTER!$L$4:$L$1463,MATCH("INVICTUS"&amp;"|"&amp;MAX(1,ROUND(COUNTIFS(MASTER!$B$4:$B$1463,"INVICTUS",MASTER!$L$4:$L$1463,"&lt;&gt;")*$A63*100/100,0)),MASTER!$AI$4:$AI$1463,0))="",NA(),INDEX(MASTER!$L$4:$L$1463,MATCH("INVICTUS"&amp;"|"&amp;MAX(1,ROUND(COUNTIFS(MASTER!$B$4:$B$1463,"INVICTUS",MASTER!$L$4:$L$1463,"&lt;&gt;")*$A63*100/100,0)),MASTER!$AI$4:$AI$1463,0))),NA()))))</f>
        <v>6182</v>
      </c>
      <c r="K63" s="37">
        <f>IF($B$4="RESONANCE",IFERROR(IF(INDEX(MASTER!$I$4:$I$1463,MATCH("EMERALD LEAF TRIBE"&amp;"|"&amp;MAX(1,ROUND(COUNTIFS(MASTER!$B$4:$B$1463,"EMERALD LEAF TRIBE",MASTER!$I$4:$I$1463,"&lt;&gt;")*$A63*100/100,0)),MASTER!$Y$4:$Y$1463,0))="",NA(),INDEX(MASTER!$I$4:$I$1463,MATCH("EMERALD LEAF TRIBE"&amp;"|"&amp;MAX(1,ROUND(COUNTIFS(MASTER!$B$4:$B$1463,"EMERALD LEAF TRIBE",MASTER!$I$4:$I$1463,"&lt;&gt;")*$A63*100/100,0)),MASTER!$Y$4:$Y$1463,0))),NA()),IF($B$4="COMBAT RATING",IFERROR(IF(INDEX(MASTER!$G$4:$G$1463,MATCH("EMERALD LEAF TRIBE"&amp;"|"&amp;MAX(1,ROUND(COUNTIFS(MASTER!$B$4:$B$1463,"EMERALD LEAF TRIBE",MASTER!$G$4:$G$1463,"&lt;&gt;")*$A63*100/100,0)),MASTER!$AH$4:$AH$1463,0))="",NA(),INDEX(MASTER!$G$4:$G$1463,MATCH("EMERALD LEAF TRIBE"&amp;"|"&amp;MAX(1,ROUND(COUNTIFS(MASTER!$B$4:$B$1463,"EMERALD LEAF TRIBE",MASTER!$G$4:$G$1463,"&lt;&gt;")*$A63*100/100,0)),MASTER!$AH$4:$AH$1463,0))),NA()),IF($B$4="SECONDARY",IFERROR(IF(INDEX(MASTER!$L$4:$L$1463,MATCH("EMERALD LEAF TRIBE"&amp;"|"&amp;MAX(1,ROUND(COUNTIFS(MASTER!$B$4:$B$1463,"EMERALD LEAF TRIBE",MASTER!$L$4:$L$1463,"&lt;&gt;")*$A63*100/100,0)),MASTER!$AI$4:$AI$1463,0))="",NA(),INDEX(MASTER!$L$4:$L$1463,MATCH("EMERALD LEAF TRIBE"&amp;"|"&amp;MAX(1,ROUND(COUNTIFS(MASTER!$B$4:$B$1463,"EMERALD LEAF TRIBE",MASTER!$L$4:$L$1463,"&lt;&gt;")*$A63*100/100,0)),MASTER!$AI$4:$AI$1463,0))),NA()))))</f>
        <v>4387</v>
      </c>
      <c r="L63" s="37">
        <f>IF($B$4="RESONANCE",IFERROR(IF(INDEX(MASTER!$I$4:$I$1463,MATCH("SUB ROSA"&amp;"|"&amp;MAX(1,ROUND(COUNTIFS(MASTER!$B$4:$B$1463,"SUB ROSA",MASTER!$I$4:$I$1463,"&lt;&gt;")*$A63*100/100,0)),MASTER!$Y$4:$Y$1463,0))="",NA(),INDEX(MASTER!$I$4:$I$1463,MATCH("SUB ROSA"&amp;"|"&amp;MAX(1,ROUND(COUNTIFS(MASTER!$B$4:$B$1463,"SUB ROSA",MASTER!$I$4:$I$1463,"&lt;&gt;")*$A63*100/100,0)),MASTER!$Y$4:$Y$1463,0))),NA()),IF($B$4="COMBAT RATING",IFERROR(IF(INDEX(MASTER!$G$4:$G$1463,MATCH("SUB ROSA"&amp;"|"&amp;MAX(1,ROUND(COUNTIFS(MASTER!$B$4:$B$1463,"SUB ROSA",MASTER!$G$4:$G$1463,"&lt;&gt;")*$A63*100/100,0)),MASTER!$AH$4:$AH$1463,0))="",NA(),INDEX(MASTER!$G$4:$G$1463,MATCH("SUB ROSA"&amp;"|"&amp;MAX(1,ROUND(COUNTIFS(MASTER!$B$4:$B$1463,"SUB ROSA",MASTER!$G$4:$G$1463,"&lt;&gt;")*$A63*100/100,0)),MASTER!$AH$4:$AH$1463,0))),NA()),IF($B$4="SECONDARY",IFERROR(IF(INDEX(MASTER!$L$4:$L$1463,MATCH("SUB ROSA"&amp;"|"&amp;MAX(1,ROUND(COUNTIFS(MASTER!$B$4:$B$1463,"SUB ROSA",MASTER!$L$4:$L$1463,"&lt;&gt;")*$A63*100/100,0)),MASTER!$AI$4:$AI$1463,0))="",NA(),INDEX(MASTER!$L$4:$L$1463,MATCH("SUB ROSA"&amp;"|"&amp;MAX(1,ROUND(COUNTIFS(MASTER!$B$4:$B$1463,"SUB ROSA",MASTER!$L$4:$L$1463,"&lt;&gt;")*$A63*100/100,0)),MASTER!$AI$4:$AI$1463,0))),NA()))))</f>
        <v>7163</v>
      </c>
      <c r="M63" s="37">
        <f>IF($B$4="RESONANCE",IFERROR(IF(INDEX(MASTER!$I$4:$I$1463,MATCH("VENGEANCE"&amp;"|"&amp;MAX(1,ROUND(COUNTIFS(MASTER!$B$4:$B$1463,"VENGEANCE",MASTER!$I$4:$I$1463,"&lt;&gt;")*$A63*100/100,0)),MASTER!$Y$4:$Y$1463,0))="",NA(),INDEX(MASTER!$I$4:$I$1463,MATCH("VENGEANCE"&amp;"|"&amp;MAX(1,ROUND(COUNTIFS(MASTER!$B$4:$B$1463,"VENGEANCE",MASTER!$I$4:$I$1463,"&lt;&gt;")*$A63*100/100,0)),MASTER!$Y$4:$Y$1463,0))),NA()),IF($B$4="COMBAT RATING",IFERROR(IF(INDEX(MASTER!$G$4:$G$1463,MATCH("VENGEANCE"&amp;"|"&amp;MAX(1,ROUND(COUNTIFS(MASTER!$B$4:$B$1463,"VENGEANCE",MASTER!$G$4:$G$1463,"&lt;&gt;")*$A63*100/100,0)),MASTER!$AH$4:$AH$1463,0))="",NA(),INDEX(MASTER!$G$4:$G$1463,MATCH("VENGEANCE"&amp;"|"&amp;MAX(1,ROUND(COUNTIFS(MASTER!$B$4:$B$1463,"VENGEANCE",MASTER!$G$4:$G$1463,"&lt;&gt;")*$A63*100/100,0)),MASTER!$AH$4:$AH$1463,0))),NA()),IF($B$4="SECONDARY",IFERROR(IF(INDEX(MASTER!$L$4:$L$1463,MATCH("VENGEANCE"&amp;"|"&amp;MAX(1,ROUND(COUNTIFS(MASTER!$B$4:$B$1463,"VENGEANCE",MASTER!$L$4:$L$1463,"&lt;&gt;")*$A63*100/100,0)),MASTER!$AI$4:$AI$1463,0))="",NA(),INDEX(MASTER!$L$4:$L$1463,MATCH("VENGEANCE"&amp;"|"&amp;MAX(1,ROUND(COUNTIFS(MASTER!$B$4:$B$1463,"VENGEANCE",MASTER!$L$4:$L$1463,"&lt;&gt;")*$A63*100/100,0)),MASTER!$AI$4:$AI$1463,0))),NA()))))</f>
        <v>5695</v>
      </c>
      <c r="N63" s="37">
        <f>IF($B$4="RESONANCE",IFERROR(IF(INDEX(MASTER!$I$4:$I$1463,MATCH("VENDETTA"&amp;"|"&amp;MAX(1,ROUND(COUNTIFS(MASTER!$B$4:$B$1463,"VENDETTA",MASTER!$I$4:$I$1463,"&lt;&gt;")*$A63*100/100,0)),MASTER!$Y$4:$Y$1463,0))="",NA(),INDEX(MASTER!$I$4:$I$1463,MATCH("VENDETTA"&amp;"|"&amp;MAX(1,ROUND(COUNTIFS(MASTER!$B$4:$B$1463,"VENDETTA",MASTER!$I$4:$I$1463,"&lt;&gt;")*$A63*100/100,0)),MASTER!$Y$4:$Y$1463,0))),NA()),IF($B$4="COMBAT RATING",IFERROR(IF(INDEX(MASTER!$G$4:$G$1463,MATCH("VENDETTA"&amp;"|"&amp;MAX(1,ROUND(COUNTIFS(MASTER!$B$4:$B$1463,"VENDETTA",MASTER!$G$4:$G$1463,"&lt;&gt;")*$A63*100/100,0)),MASTER!$AH$4:$AH$1463,0))="",NA(),INDEX(MASTER!$G$4:$G$1463,MATCH("VENDETTA"&amp;"|"&amp;MAX(1,ROUND(COUNTIFS(MASTER!$B$4:$B$1463,"VENDETTA",MASTER!$G$4:$G$1463,"&lt;&gt;")*$A63*100/100,0)),MASTER!$AH$4:$AH$1463,0))),NA()),IF($B$4="SECONDARY",IFERROR(IF(INDEX(MASTER!$L$4:$L$1463,MATCH("VENDETTA"&amp;"|"&amp;MAX(1,ROUND(COUNTIFS(MASTER!$B$4:$B$1463,"VENDETTA",MASTER!$L$4:$L$1463,"&lt;&gt;")*$A63*100/100,0)),MASTER!$AI$4:$AI$1463,0))="",NA(),INDEX(MASTER!$L$4:$L$1463,MATCH("VENDETTA"&amp;"|"&amp;MAX(1,ROUND(COUNTIFS(MASTER!$B$4:$B$1463,"VENDETTA",MASTER!$L$4:$L$1463,"&lt;&gt;")*$A63*100/100,0)),MASTER!$AI$4:$AI$1463,0))),NA()))))</f>
        <v>3513</v>
      </c>
      <c r="O63" s="37">
        <f>IF($B$4="RESONANCE",IFERROR(IF(INDEX(MASTER!$I$4:$I$1463,MATCH("ZOMBIES"&amp;"|"&amp;MAX(1,ROUND(COUNTIFS(MASTER!$B$4:$B$1463,"ZOMBIES",MASTER!$I$4:$I$1463,"&lt;&gt;")*$A63*100/100,0)),MASTER!$Y$4:$Y$1463,0))="",NA(),INDEX(MASTER!$I$4:$I$1463,MATCH("ZOMBIES"&amp;"|"&amp;MAX(1,ROUND(COUNTIFS(MASTER!$B$4:$B$1463,"ZOMBIES",MASTER!$I$4:$I$1463,"&lt;&gt;")*$A63*100/100,0)),MASTER!$Y$4:$Y$1463,0))),NA()),IF($B$4="COMBAT RATING",IFERROR(IF(INDEX(MASTER!$G$4:$G$1463,MATCH("ZOMBIES"&amp;"|"&amp;MAX(1,ROUND(COUNTIFS(MASTER!$B$4:$B$1463,"ZOMBIES",MASTER!$G$4:$G$1463,"&lt;&gt;")*$A63*100/100,0)),MASTER!$AH$4:$AH$1463,0))="",NA(),INDEX(MASTER!$G$4:$G$1463,MATCH("ZOMBIES"&amp;"|"&amp;MAX(1,ROUND(COUNTIFS(MASTER!$B$4:$B$1463,"ZOMBIES",MASTER!$G$4:$G$1463,"&lt;&gt;")*$A63*100/100,0)),MASTER!$AH$4:$AH$1463,0))),NA()),IF($B$4="SECONDARY",IFERROR(IF(INDEX(MASTER!$L$4:$L$1463,MATCH("ZOMBIES"&amp;"|"&amp;MAX(1,ROUND(COUNTIFS(MASTER!$B$4:$B$1463,"ZOMBIES",MASTER!$L$4:$L$1463,"&lt;&gt;")*$A63*100/100,0)),MASTER!$AI$4:$AI$1463,0))="",NA(),INDEX(MASTER!$L$4:$L$1463,MATCH("ZOMBIES"&amp;"|"&amp;MAX(1,ROUND(COUNTIFS(MASTER!$B$4:$B$1463,"ZOMBIES",MASTER!$L$4:$L$1463,"&lt;&gt;")*$A63*100/100,0)),MASTER!$AI$4:$AI$1463,0))),NA()))))</f>
        <v>3762</v>
      </c>
      <c r="P63" s="37">
        <f>IF($B$4="RESONANCE",IFERROR(IF(INDEX(MASTER!$I$4:$I$1463,MATCH("FUCT"&amp;"|"&amp;MAX(1,ROUND(COUNTIFS(MASTER!$B$4:$B$1463,"FUCT",MASTER!$I$4:$I$1463,"&lt;&gt;")*$A63*100/100,0)),MASTER!$Y$4:$Y$1463,0))="",NA(),INDEX(MASTER!$I$4:$I$1463,MATCH("FUCT"&amp;"|"&amp;MAX(1,ROUND(COUNTIFS(MASTER!$B$4:$B$1463,"FUCT",MASTER!$I$4:$I$1463,"&lt;&gt;")*$A63*100/100,0)),MASTER!$Y$4:$Y$1463,0))),NA()),IF($B$4="COMBAT RATING",IFERROR(IF(INDEX(MASTER!$G$4:$G$1463,MATCH("FUCT"&amp;"|"&amp;MAX(1,ROUND(COUNTIFS(MASTER!$B$4:$B$1463,"FUCT",MASTER!$G$4:$G$1463,"&lt;&gt;")*$A63*100/100,0)),MASTER!$AH$4:$AH$1463,0))="",NA(),INDEX(MASTER!$G$4:$G$1463,MATCH("FUCT"&amp;"|"&amp;MAX(1,ROUND(COUNTIFS(MASTER!$B$4:$B$1463,"FUCT",MASTER!$G$4:$G$1463,"&lt;&gt;")*$A63*100/100,0)),MASTER!$AH$4:$AH$1463,0))),NA()),IF($B$4="SECONDARY",IFERROR(IF(INDEX(MASTER!$L$4:$L$1463,MATCH("FUCT"&amp;"|"&amp;MAX(1,ROUND(COUNTIFS(MASTER!$B$4:$B$1463,"FUCT",MASTER!$L$4:$L$1463,"&lt;&gt;")*$A63*100/100,0)),MASTER!$AI$4:$AI$1463,0))="",NA(),INDEX(MASTER!$L$4:$L$1463,MATCH("FUCT"&amp;"|"&amp;MAX(1,ROUND(COUNTIFS(MASTER!$B$4:$B$1463,"FUCT",MASTER!$L$4:$L$1463,"&lt;&gt;")*$A63*100/100,0)),MASTER!$AI$4:$AI$1463,0))),NA()))))</f>
        <v>9278</v>
      </c>
      <c r="Q63" s="37">
        <f>IF($B$4="RESONANCE",IFERROR(IF(INDEX(MASTER!$I$4:$I$1463,MATCH($E$4&amp;"|"&amp;MAX(1,ROUND(COUNTIFS(MASTER!$B$4:$B$1463,$E$4,MASTER!$I$4:$I$1463,"&lt;&gt;")*$A63*100/100,0)),MASTER!$Y$4:$Y$1463,0))="",NA(),INDEX(MASTER!$I$4:$I$1463,MATCH($E$4&amp;"|"&amp;MAX(1,ROUND(COUNTIFS(MASTER!$B$4:$B$1463,$E$4,MASTER!$I$4:$I$1463,"&lt;&gt;")*$A63*100/100,0)),MASTER!$Y$4:$Y$1463,0))),NA()),IF($B$4="COMBAT RATING",IFERROR(IF(INDEX(MASTER!$G$4:$G$1463,MATCH($E$4&amp;"|"&amp;MAX(1,ROUND(COUNTIFS(MASTER!$B$4:$B$1463,$E$4,MASTER!$G$4:$G$1463,"&lt;&gt;")*$A63*100/100,0)),MASTER!$AH$4:$AH$1463,0))="",NA(),INDEX(MASTER!$G$4:$G$1463,MATCH($E$4&amp;"|"&amp;MAX(1,ROUND(COUNTIFS(MASTER!$B$4:$B$1463,$E$4,MASTER!$G$4:$G$1463,"&lt;&gt;")*$A63*100/100,0)),MASTER!$AH$4:$AH$1463,0))),NA()),IF($B$4="SECONDARY",IFERROR(IF(INDEX(MASTER!$L$4:$L$1463,MATCH($E$4&amp;"|"&amp;MAX(1,ROUND(COUNTIFS(MASTER!$B$4:$B$1463,$E$4,MASTER!$L$4:$L$1463,"&lt;&gt;")*$A63*100/100,0)),MASTER!$AI$4:$AI$1463,0))="",NA(),INDEX(MASTER!$L$4:$L$1463,MATCH($E$4&amp;"|"&amp;MAX(1,ROUND(COUNTIFS(MASTER!$B$4:$B$1463,$E$4,MASTER!$L$4:$L$1463,"&lt;&gt;")*$A63*100/100,0)),MASTER!$AI$4:$AI$1463,0))),NA()))))</f>
        <v>8045</v>
      </c>
    </row>
    <row r="64" spans="1:17" hidden="1">
      <c r="A64" s="36">
        <v>0.09</v>
      </c>
      <c r="B64" s="37">
        <f>IF($B$4="RESONANCE",IFERROR(IF(INDEX(MASTER!$I$4:$I$1463,MATCH("FUCT"&amp;"|"&amp;MAX(1,ROUND(COUNTIFS(MASTER!$B$4:$B$1463,"FUCT",MASTER!$I$4:$I$1463,"&lt;&gt;")*$A64*100/100,0)),MASTER!$Y$4:$Y$1463,0))="",NA(),INDEX(MASTER!$I$4:$I$1463,MATCH("FUCT"&amp;"|"&amp;MAX(1,ROUND(COUNTIFS(MASTER!$B$4:$B$1463,"FUCT",MASTER!$I$4:$I$1463,"&lt;&gt;")*$A64*100/100,0)),MASTER!$Y$4:$Y$1463,0))),NA()),IF($B$4="COMBAT RATING",IFERROR(IF(INDEX(MASTER!$G$4:$G$1463,MATCH("FUCT"&amp;"|"&amp;MAX(1,ROUND(COUNTIFS(MASTER!$B$4:$B$1463,"FUCT",MASTER!$G$4:$G$1463,"&lt;&gt;")*$A64*100/100,0)),MASTER!$AH$4:$AH$1463,0))="",NA(),INDEX(MASTER!$G$4:$G$1463,MATCH("FUCT"&amp;"|"&amp;MAX(1,ROUND(COUNTIFS(MASTER!$B$4:$B$1463,"FUCT",MASTER!$G$4:$G$1463,"&lt;&gt;")*$A64*100/100,0)),MASTER!$AH$4:$AH$1463,0))),NA()),IF($B$4="SECONDARY",IFERROR(IF(INDEX(MASTER!$L$4:$L$1463,MATCH("FUCT"&amp;"|"&amp;MAX(1,ROUND(COUNTIFS(MASTER!$B$4:$B$1463,"FUCT",MASTER!$L$4:$L$1463,"&lt;&gt;")*$A64*100/100,0)),MASTER!$AI$4:$AI$1463,0))="",NA(),INDEX(MASTER!$L$4:$L$1463,MATCH("FUCT"&amp;"|"&amp;MAX(1,ROUND(COUNTIFS(MASTER!$B$4:$B$1463,"FUCT",MASTER!$L$4:$L$1463,"&lt;&gt;")*$A64*100/100,0)),MASTER!$AI$4:$AI$1463,0))),NA()))))</f>
        <v>8770</v>
      </c>
      <c r="C64" s="37">
        <f>IF($B$4="RESONANCE",IFERROR(IF(INDEX(MASTER!$I$4:$I$1463,MATCH("LEGENDS"&amp;"|"&amp;MAX(1,ROUND(COUNTIFS(MASTER!$B$4:$B$1463,"LEGENDS",MASTER!$I$4:$I$1463,"&lt;&gt;")*$A64*100/100,0)),MASTER!$Y$4:$Y$1463,0))="",NA(),INDEX(MASTER!$I$4:$I$1463,MATCH("LEGENDS"&amp;"|"&amp;MAX(1,ROUND(COUNTIFS(MASTER!$B$4:$B$1463,"LEGENDS",MASTER!$I$4:$I$1463,"&lt;&gt;")*$A64*100/100,0)),MASTER!$Y$4:$Y$1463,0))),NA()),IF($B$4="COMBAT RATING",IFERROR(IF(INDEX(MASTER!$G$4:$G$1463,MATCH("LEGENDS"&amp;"|"&amp;MAX(1,ROUND(COUNTIFS(MASTER!$B$4:$B$1463,"LEGENDS",MASTER!$G$4:$G$1463,"&lt;&gt;")*$A64*100/100,0)),MASTER!$AH$4:$AH$1463,0))="",NA(),INDEX(MASTER!$G$4:$G$1463,MATCH("LEGENDS"&amp;"|"&amp;MAX(1,ROUND(COUNTIFS(MASTER!$B$4:$B$1463,"LEGENDS",MASTER!$G$4:$G$1463,"&lt;&gt;")*$A64*100/100,0)),MASTER!$AH$4:$AH$1463,0))),NA()),IF($B$4="SECONDARY",IFERROR(IF(INDEX(MASTER!$L$4:$L$1463,MATCH("LEGENDS"&amp;"|"&amp;MAX(1,ROUND(COUNTIFS(MASTER!$B$4:$B$1463,"LEGENDS",MASTER!$L$4:$L$1463,"&lt;&gt;")*$A64*100/100,0)),MASTER!$AI$4:$AI$1463,0))="",NA(),INDEX(MASTER!$L$4:$L$1463,MATCH("LEGENDS"&amp;"|"&amp;MAX(1,ROUND(COUNTIFS(MASTER!$B$4:$B$1463,"LEGENDS",MASTER!$L$4:$L$1463,"&lt;&gt;")*$A64*100/100,0)),MASTER!$AI$4:$AI$1463,0))),NA()))))</f>
        <v>8755</v>
      </c>
      <c r="D64" s="37">
        <f>IF($B$4="RESONANCE",IFERROR(IF(INDEX(MASTER!$I$4:$I$1463,MATCH("VANGUARD"&amp;"|"&amp;MAX(1,ROUND(COUNTIFS(MASTER!$B$4:$B$1463,"VANGUARD",MASTER!$I$4:$I$1463,"&lt;&gt;")*$A64*100/100,0)),MASTER!$Y$4:$Y$1463,0))="",NA(),INDEX(MASTER!$I$4:$I$1463,MATCH("VANGUARD"&amp;"|"&amp;MAX(1,ROUND(COUNTIFS(MASTER!$B$4:$B$1463,"VANGUARD",MASTER!$I$4:$I$1463,"&lt;&gt;")*$A64*100/100,0)),MASTER!$Y$4:$Y$1463,0))),NA()),IF($B$4="COMBAT RATING",IFERROR(IF(INDEX(MASTER!$G$4:$G$1463,MATCH("VANGUARD"&amp;"|"&amp;MAX(1,ROUND(COUNTIFS(MASTER!$B$4:$B$1463,"VANGUARD",MASTER!$G$4:$G$1463,"&lt;&gt;")*$A64*100/100,0)),MASTER!$AH$4:$AH$1463,0))="",NA(),INDEX(MASTER!$G$4:$G$1463,MATCH("VANGUARD"&amp;"|"&amp;MAX(1,ROUND(COUNTIFS(MASTER!$B$4:$B$1463,"VANGUARD",MASTER!$G$4:$G$1463,"&lt;&gt;")*$A64*100/100,0)),MASTER!$AH$4:$AH$1463,0))),NA()),IF($B$4="SECONDARY",IFERROR(IF(INDEX(MASTER!$L$4:$L$1463,MATCH("VANGUARD"&amp;"|"&amp;MAX(1,ROUND(COUNTIFS(MASTER!$B$4:$B$1463,"VANGUARD",MASTER!$L$4:$L$1463,"&lt;&gt;")*$A64*100/100,0)),MASTER!$AI$4:$AI$1463,0))="",NA(),INDEX(MASTER!$L$4:$L$1463,MATCH("VANGUARD"&amp;"|"&amp;MAX(1,ROUND(COUNTIFS(MASTER!$B$4:$B$1463,"VANGUARD",MASTER!$L$4:$L$1463,"&lt;&gt;")*$A64*100/100,0)),MASTER!$AI$4:$AI$1463,0))),NA()))))</f>
        <v>10084</v>
      </c>
      <c r="E64" s="37">
        <f>IF($B$4="RESONANCE",IFERROR(IF(INDEX(MASTER!$I$4:$I$1463,MATCH("UNDYING"&amp;"|"&amp;MAX(1,ROUND(COUNTIFS(MASTER!$B$4:$B$1463,"UNDYING",MASTER!$I$4:$I$1463,"&lt;&gt;")*$A64*100/100,0)),MASTER!$Y$4:$Y$1463,0))="",NA(),INDEX(MASTER!$I$4:$I$1463,MATCH("UNDYING"&amp;"|"&amp;MAX(1,ROUND(COUNTIFS(MASTER!$B$4:$B$1463,"UNDYING",MASTER!$I$4:$I$1463,"&lt;&gt;")*$A64*100/100,0)),MASTER!$Y$4:$Y$1463,0))),NA()),IF($B$4="COMBAT RATING",IFERROR(IF(INDEX(MASTER!$G$4:$G$1463,MATCH("UNDYING"&amp;"|"&amp;MAX(1,ROUND(COUNTIFS(MASTER!$B$4:$B$1463,"UNDYING",MASTER!$G$4:$G$1463,"&lt;&gt;")*$A64*100/100,0)),MASTER!$AH$4:$AH$1463,0))="",NA(),INDEX(MASTER!$G$4:$G$1463,MATCH("UNDYING"&amp;"|"&amp;MAX(1,ROUND(COUNTIFS(MASTER!$B$4:$B$1463,"UNDYING",MASTER!$G$4:$G$1463,"&lt;&gt;")*$A64*100/100,0)),MASTER!$AH$4:$AH$1463,0))),NA()),IF($B$4="SECONDARY",IFERROR(IF(INDEX(MASTER!$L$4:$L$1463,MATCH("UNDYING"&amp;"|"&amp;MAX(1,ROUND(COUNTIFS(MASTER!$B$4:$B$1463,"UNDYING",MASTER!$L$4:$L$1463,"&lt;&gt;")*$A64*100/100,0)),MASTER!$AI$4:$AI$1463,0))="",NA(),INDEX(MASTER!$L$4:$L$1463,MATCH("UNDYING"&amp;"|"&amp;MAX(1,ROUND(COUNTIFS(MASTER!$B$4:$B$1463,"UNDYING",MASTER!$L$4:$L$1463,"&lt;&gt;")*$A64*100/100,0)),MASTER!$AI$4:$AI$1463,0))),NA()))))</f>
        <v>7430</v>
      </c>
      <c r="F64" s="37">
        <f>IF($B$4="RESONANCE",IFERROR(IF(INDEX(MASTER!$I$4:$I$1463,MATCH("SBG"&amp;"|"&amp;MAX(1,ROUND(COUNTIFS(MASTER!$B$4:$B$1463,"SBG",MASTER!$I$4:$I$1463,"&lt;&gt;")*$A64*100/100,0)),MASTER!$Y$4:$Y$1463,0))="",NA(),INDEX(MASTER!$I$4:$I$1463,MATCH("SBG"&amp;"|"&amp;MAX(1,ROUND(COUNTIFS(MASTER!$B$4:$B$1463,"SBG",MASTER!$I$4:$I$1463,"&lt;&gt;")*$A64*100/100,0)),MASTER!$Y$4:$Y$1463,0))),NA()),IF($B$4="COMBAT RATING",IFERROR(IF(INDEX(MASTER!$G$4:$G$1463,MATCH("SBG"&amp;"|"&amp;MAX(1,ROUND(COUNTIFS(MASTER!$B$4:$B$1463,"SBG",MASTER!$G$4:$G$1463,"&lt;&gt;")*$A64*100/100,0)),MASTER!$AH$4:$AH$1463,0))="",NA(),INDEX(MASTER!$G$4:$G$1463,MATCH("SBG"&amp;"|"&amp;MAX(1,ROUND(COUNTIFS(MASTER!$B$4:$B$1463,"SBG",MASTER!$G$4:$G$1463,"&lt;&gt;")*$A64*100/100,0)),MASTER!$AH$4:$AH$1463,0))),NA()),IF($B$4="SECONDARY",IFERROR(IF(INDEX(MASTER!$L$4:$L$1463,MATCH("SBG"&amp;"|"&amp;MAX(1,ROUND(COUNTIFS(MASTER!$B$4:$B$1463,"SBG",MASTER!$L$4:$L$1463,"&lt;&gt;")*$A64*100/100,0)),MASTER!$AI$4:$AI$1463,0))="",NA(),INDEX(MASTER!$L$4:$L$1463,MATCH("SBG"&amp;"|"&amp;MAX(1,ROUND(COUNTIFS(MASTER!$B$4:$B$1463,"SBG",MASTER!$L$4:$L$1463,"&lt;&gt;")*$A64*100/100,0)),MASTER!$AI$4:$AI$1463,0))),NA()))))</f>
        <v>10047</v>
      </c>
      <c r="G64" s="37">
        <f>IF($B$4="RESONANCE",IFERROR(IF(INDEX(MASTER!$I$4:$I$1463,MATCH("AZUKI"&amp;"|"&amp;MAX(1,ROUND(COUNTIFS(MASTER!$B$4:$B$1463,"AZUKI",MASTER!$I$4:$I$1463,"&lt;&gt;")*$A64*100/100,0)),MASTER!$Y$4:$Y$1463,0))="",NA(),INDEX(MASTER!$I$4:$I$1463,MATCH("AZUKI"&amp;"|"&amp;MAX(1,ROUND(COUNTIFS(MASTER!$B$4:$B$1463,"AZUKI",MASTER!$I$4:$I$1463,"&lt;&gt;")*$A64*100/100,0)),MASTER!$Y$4:$Y$1463,0))),NA()),IF($B$4="COMBAT RATING",IFERROR(IF(INDEX(MASTER!$G$4:$G$1463,MATCH("AZUKI"&amp;"|"&amp;MAX(1,ROUND(COUNTIFS(MASTER!$B$4:$B$1463,"AZUKI",MASTER!$G$4:$G$1463,"&lt;&gt;")*$A64*100/100,0)),MASTER!$AH$4:$AH$1463,0))="",NA(),INDEX(MASTER!$G$4:$G$1463,MATCH("AZUKI"&amp;"|"&amp;MAX(1,ROUND(COUNTIFS(MASTER!$B$4:$B$1463,"AZUKI",MASTER!$G$4:$G$1463,"&lt;&gt;")*$A64*100/100,0)),MASTER!$AH$4:$AH$1463,0))),NA()),IF($B$4="SECONDARY",IFERROR(IF(INDEX(MASTER!$L$4:$L$1463,MATCH("AZUKI"&amp;"|"&amp;MAX(1,ROUND(COUNTIFS(MASTER!$B$4:$B$1463,"AZUKI",MASTER!$L$4:$L$1463,"&lt;&gt;")*$A64*100/100,0)),MASTER!$AI$4:$AI$1463,0))="",NA(),INDEX(MASTER!$L$4:$L$1463,MATCH("AZUKI"&amp;"|"&amp;MAX(1,ROUND(COUNTIFS(MASTER!$B$4:$B$1463,"AZUKI",MASTER!$L$4:$L$1463,"&lt;&gt;")*$A64*100/100,0)),MASTER!$AI$4:$AI$1463,0))),NA()))))</f>
        <v>10490</v>
      </c>
      <c r="H64" s="37">
        <f>IF($B$4="RESONANCE",IFERROR(IF(INDEX(MASTER!$I$4:$I$1463,MATCH("RECKONING"&amp;"|"&amp;MAX(1,ROUND(COUNTIFS(MASTER!$B$4:$B$1463,"RECKONING",MASTER!$I$4:$I$1463,"&lt;&gt;")*$A64*100/100,0)),MASTER!$Y$4:$Y$1463,0))="",NA(),INDEX(MASTER!$I$4:$I$1463,MATCH("RECKONING"&amp;"|"&amp;MAX(1,ROUND(COUNTIFS(MASTER!$B$4:$B$1463,"RECKONING",MASTER!$I$4:$I$1463,"&lt;&gt;")*$A64*100/100,0)),MASTER!$Y$4:$Y$1463,0))),NA()),IF($B$4="COMBAT RATING",IFERROR(IF(INDEX(MASTER!$G$4:$G$1463,MATCH("RECKONING"&amp;"|"&amp;MAX(1,ROUND(COUNTIFS(MASTER!$B$4:$B$1463,"RECKONING",MASTER!$G$4:$G$1463,"&lt;&gt;")*$A64*100/100,0)),MASTER!$AH$4:$AH$1463,0))="",NA(),INDEX(MASTER!$G$4:$G$1463,MATCH("RECKONING"&amp;"|"&amp;MAX(1,ROUND(COUNTIFS(MASTER!$B$4:$B$1463,"RECKONING",MASTER!$G$4:$G$1463,"&lt;&gt;")*$A64*100/100,0)),MASTER!$AH$4:$AH$1463,0))),NA()),IF($B$4="SECONDARY",IFERROR(IF(INDEX(MASTER!$L$4:$L$1463,MATCH("RECKONING"&amp;"|"&amp;MAX(1,ROUND(COUNTIFS(MASTER!$B$4:$B$1463,"RECKONING",MASTER!$L$4:$L$1463,"&lt;&gt;")*$A64*100/100,0)),MASTER!$AI$4:$AI$1463,0))="",NA(),INDEX(MASTER!$L$4:$L$1463,MATCH("RECKONING"&amp;"|"&amp;MAX(1,ROUND(COUNTIFS(MASTER!$B$4:$B$1463,"RECKONING",MASTER!$L$4:$L$1463,"&lt;&gt;")*$A64*100/100,0)),MASTER!$AI$4:$AI$1463,0))),NA()))))</f>
        <v>10069</v>
      </c>
      <c r="I64" s="37">
        <f>IF($B$4="RESONANCE",IFERROR(IF(INDEX(MASTER!$I$4:$I$1463,MATCH("ACHERON"&amp;"|"&amp;MAX(1,ROUND(COUNTIFS(MASTER!$B$4:$B$1463,"ACHERON",MASTER!$I$4:$I$1463,"&lt;&gt;")*$A64*100/100,0)),MASTER!$Y$4:$Y$1463,0))="",NA(),INDEX(MASTER!$I$4:$I$1463,MATCH("ACHERON"&amp;"|"&amp;MAX(1,ROUND(COUNTIFS(MASTER!$B$4:$B$1463,"ACHERON",MASTER!$I$4:$I$1463,"&lt;&gt;")*$A64*100/100,0)),MASTER!$Y$4:$Y$1463,0))),NA()),IF($B$4="COMBAT RATING",IFERROR(IF(INDEX(MASTER!$G$4:$G$1463,MATCH("ACHERON"&amp;"|"&amp;MAX(1,ROUND(COUNTIFS(MASTER!$B$4:$B$1463,"ACHERON",MASTER!$G$4:$G$1463,"&lt;&gt;")*$A64*100/100,0)),MASTER!$AH$4:$AH$1463,0))="",NA(),INDEX(MASTER!$G$4:$G$1463,MATCH("ACHERON"&amp;"|"&amp;MAX(1,ROUND(COUNTIFS(MASTER!$B$4:$B$1463,"ACHERON",MASTER!$G$4:$G$1463,"&lt;&gt;")*$A64*100/100,0)),MASTER!$AH$4:$AH$1463,0))),NA()),IF($B$4="SECONDARY",IFERROR(IF(INDEX(MASTER!$L$4:$L$1463,MATCH("ACHERON"&amp;"|"&amp;MAX(1,ROUND(COUNTIFS(MASTER!$B$4:$B$1463,"ACHERON",MASTER!$L$4:$L$1463,"&lt;&gt;")*$A64*100/100,0)),MASTER!$AI$4:$AI$1463,0))="",NA(),INDEX(MASTER!$L$4:$L$1463,MATCH("ACHERON"&amp;"|"&amp;MAX(1,ROUND(COUNTIFS(MASTER!$B$4:$B$1463,"ACHERON",MASTER!$L$4:$L$1463,"&lt;&gt;")*$A64*100/100,0)),MASTER!$AI$4:$AI$1463,0))),NA()))))</f>
        <v>7224</v>
      </c>
      <c r="J64" s="37">
        <f>IF($B$4="RESONANCE",IFERROR(IF(INDEX(MASTER!$I$4:$I$1463,MATCH("INVICTUS"&amp;"|"&amp;MAX(1,ROUND(COUNTIFS(MASTER!$B$4:$B$1463,"INVICTUS",MASTER!$I$4:$I$1463,"&lt;&gt;")*$A64*100/100,0)),MASTER!$Y$4:$Y$1463,0))="",NA(),INDEX(MASTER!$I$4:$I$1463,MATCH("INVICTUS"&amp;"|"&amp;MAX(1,ROUND(COUNTIFS(MASTER!$B$4:$B$1463,"INVICTUS",MASTER!$I$4:$I$1463,"&lt;&gt;")*$A64*100/100,0)),MASTER!$Y$4:$Y$1463,0))),NA()),IF($B$4="COMBAT RATING",IFERROR(IF(INDEX(MASTER!$G$4:$G$1463,MATCH("INVICTUS"&amp;"|"&amp;MAX(1,ROUND(COUNTIFS(MASTER!$B$4:$B$1463,"INVICTUS",MASTER!$G$4:$G$1463,"&lt;&gt;")*$A64*100/100,0)),MASTER!$AH$4:$AH$1463,0))="",NA(),INDEX(MASTER!$G$4:$G$1463,MATCH("INVICTUS"&amp;"|"&amp;MAX(1,ROUND(COUNTIFS(MASTER!$B$4:$B$1463,"INVICTUS",MASTER!$G$4:$G$1463,"&lt;&gt;")*$A64*100/100,0)),MASTER!$AH$4:$AH$1463,0))),NA()),IF($B$4="SECONDARY",IFERROR(IF(INDEX(MASTER!$L$4:$L$1463,MATCH("INVICTUS"&amp;"|"&amp;MAX(1,ROUND(COUNTIFS(MASTER!$B$4:$B$1463,"INVICTUS",MASTER!$L$4:$L$1463,"&lt;&gt;")*$A64*100/100,0)),MASTER!$AI$4:$AI$1463,0))="",NA(),INDEX(MASTER!$L$4:$L$1463,MATCH("INVICTUS"&amp;"|"&amp;MAX(1,ROUND(COUNTIFS(MASTER!$B$4:$B$1463,"INVICTUS",MASTER!$L$4:$L$1463,"&lt;&gt;")*$A64*100/100,0)),MASTER!$AI$4:$AI$1463,0))),NA()))))</f>
        <v>5866</v>
      </c>
      <c r="K64" s="37">
        <f>IF($B$4="RESONANCE",IFERROR(IF(INDEX(MASTER!$I$4:$I$1463,MATCH("EMERALD LEAF TRIBE"&amp;"|"&amp;MAX(1,ROUND(COUNTIFS(MASTER!$B$4:$B$1463,"EMERALD LEAF TRIBE",MASTER!$I$4:$I$1463,"&lt;&gt;")*$A64*100/100,0)),MASTER!$Y$4:$Y$1463,0))="",NA(),INDEX(MASTER!$I$4:$I$1463,MATCH("EMERALD LEAF TRIBE"&amp;"|"&amp;MAX(1,ROUND(COUNTIFS(MASTER!$B$4:$B$1463,"EMERALD LEAF TRIBE",MASTER!$I$4:$I$1463,"&lt;&gt;")*$A64*100/100,0)),MASTER!$Y$4:$Y$1463,0))),NA()),IF($B$4="COMBAT RATING",IFERROR(IF(INDEX(MASTER!$G$4:$G$1463,MATCH("EMERALD LEAF TRIBE"&amp;"|"&amp;MAX(1,ROUND(COUNTIFS(MASTER!$B$4:$B$1463,"EMERALD LEAF TRIBE",MASTER!$G$4:$G$1463,"&lt;&gt;")*$A64*100/100,0)),MASTER!$AH$4:$AH$1463,0))="",NA(),INDEX(MASTER!$G$4:$G$1463,MATCH("EMERALD LEAF TRIBE"&amp;"|"&amp;MAX(1,ROUND(COUNTIFS(MASTER!$B$4:$B$1463,"EMERALD LEAF TRIBE",MASTER!$G$4:$G$1463,"&lt;&gt;")*$A64*100/100,0)),MASTER!$AH$4:$AH$1463,0))),NA()),IF($B$4="SECONDARY",IFERROR(IF(INDEX(MASTER!$L$4:$L$1463,MATCH("EMERALD LEAF TRIBE"&amp;"|"&amp;MAX(1,ROUND(COUNTIFS(MASTER!$B$4:$B$1463,"EMERALD LEAF TRIBE",MASTER!$L$4:$L$1463,"&lt;&gt;")*$A64*100/100,0)),MASTER!$AI$4:$AI$1463,0))="",NA(),INDEX(MASTER!$L$4:$L$1463,MATCH("EMERALD LEAF TRIBE"&amp;"|"&amp;MAX(1,ROUND(COUNTIFS(MASTER!$B$4:$B$1463,"EMERALD LEAF TRIBE",MASTER!$L$4:$L$1463,"&lt;&gt;")*$A64*100/100,0)),MASTER!$AI$4:$AI$1463,0))),NA()))))</f>
        <v>4250</v>
      </c>
      <c r="L64" s="37">
        <f>IF($B$4="RESONANCE",IFERROR(IF(INDEX(MASTER!$I$4:$I$1463,MATCH("SUB ROSA"&amp;"|"&amp;MAX(1,ROUND(COUNTIFS(MASTER!$B$4:$B$1463,"SUB ROSA",MASTER!$I$4:$I$1463,"&lt;&gt;")*$A64*100/100,0)),MASTER!$Y$4:$Y$1463,0))="",NA(),INDEX(MASTER!$I$4:$I$1463,MATCH("SUB ROSA"&amp;"|"&amp;MAX(1,ROUND(COUNTIFS(MASTER!$B$4:$B$1463,"SUB ROSA",MASTER!$I$4:$I$1463,"&lt;&gt;")*$A64*100/100,0)),MASTER!$Y$4:$Y$1463,0))),NA()),IF($B$4="COMBAT RATING",IFERROR(IF(INDEX(MASTER!$G$4:$G$1463,MATCH("SUB ROSA"&amp;"|"&amp;MAX(1,ROUND(COUNTIFS(MASTER!$B$4:$B$1463,"SUB ROSA",MASTER!$G$4:$G$1463,"&lt;&gt;")*$A64*100/100,0)),MASTER!$AH$4:$AH$1463,0))="",NA(),INDEX(MASTER!$G$4:$G$1463,MATCH("SUB ROSA"&amp;"|"&amp;MAX(1,ROUND(COUNTIFS(MASTER!$B$4:$B$1463,"SUB ROSA",MASTER!$G$4:$G$1463,"&lt;&gt;")*$A64*100/100,0)),MASTER!$AH$4:$AH$1463,0))),NA()),IF($B$4="SECONDARY",IFERROR(IF(INDEX(MASTER!$L$4:$L$1463,MATCH("SUB ROSA"&amp;"|"&amp;MAX(1,ROUND(COUNTIFS(MASTER!$B$4:$B$1463,"SUB ROSA",MASTER!$L$4:$L$1463,"&lt;&gt;")*$A64*100/100,0)),MASTER!$AI$4:$AI$1463,0))="",NA(),INDEX(MASTER!$L$4:$L$1463,MATCH("SUB ROSA"&amp;"|"&amp;MAX(1,ROUND(COUNTIFS(MASTER!$B$4:$B$1463,"SUB ROSA",MASTER!$L$4:$L$1463,"&lt;&gt;")*$A64*100/100,0)),MASTER!$AI$4:$AI$1463,0))),NA()))))</f>
        <v>6342</v>
      </c>
      <c r="M64" s="37">
        <f>IF($B$4="RESONANCE",IFERROR(IF(INDEX(MASTER!$I$4:$I$1463,MATCH("VENGEANCE"&amp;"|"&amp;MAX(1,ROUND(COUNTIFS(MASTER!$B$4:$B$1463,"VENGEANCE",MASTER!$I$4:$I$1463,"&lt;&gt;")*$A64*100/100,0)),MASTER!$Y$4:$Y$1463,0))="",NA(),INDEX(MASTER!$I$4:$I$1463,MATCH("VENGEANCE"&amp;"|"&amp;MAX(1,ROUND(COUNTIFS(MASTER!$B$4:$B$1463,"VENGEANCE",MASTER!$I$4:$I$1463,"&lt;&gt;")*$A64*100/100,0)),MASTER!$Y$4:$Y$1463,0))),NA()),IF($B$4="COMBAT RATING",IFERROR(IF(INDEX(MASTER!$G$4:$G$1463,MATCH("VENGEANCE"&amp;"|"&amp;MAX(1,ROUND(COUNTIFS(MASTER!$B$4:$B$1463,"VENGEANCE",MASTER!$G$4:$G$1463,"&lt;&gt;")*$A64*100/100,0)),MASTER!$AH$4:$AH$1463,0))="",NA(),INDEX(MASTER!$G$4:$G$1463,MATCH("VENGEANCE"&amp;"|"&amp;MAX(1,ROUND(COUNTIFS(MASTER!$B$4:$B$1463,"VENGEANCE",MASTER!$G$4:$G$1463,"&lt;&gt;")*$A64*100/100,0)),MASTER!$AH$4:$AH$1463,0))),NA()),IF($B$4="SECONDARY",IFERROR(IF(INDEX(MASTER!$L$4:$L$1463,MATCH("VENGEANCE"&amp;"|"&amp;MAX(1,ROUND(COUNTIFS(MASTER!$B$4:$B$1463,"VENGEANCE",MASTER!$L$4:$L$1463,"&lt;&gt;")*$A64*100/100,0)),MASTER!$AI$4:$AI$1463,0))="",NA(),INDEX(MASTER!$L$4:$L$1463,MATCH("VENGEANCE"&amp;"|"&amp;MAX(1,ROUND(COUNTIFS(MASTER!$B$4:$B$1463,"VENGEANCE",MASTER!$L$4:$L$1463,"&lt;&gt;")*$A64*100/100,0)),MASTER!$AI$4:$AI$1463,0))),NA()))))</f>
        <v>5695</v>
      </c>
      <c r="N64" s="37">
        <f>IF($B$4="RESONANCE",IFERROR(IF(INDEX(MASTER!$I$4:$I$1463,MATCH("VENDETTA"&amp;"|"&amp;MAX(1,ROUND(COUNTIFS(MASTER!$B$4:$B$1463,"VENDETTA",MASTER!$I$4:$I$1463,"&lt;&gt;")*$A64*100/100,0)),MASTER!$Y$4:$Y$1463,0))="",NA(),INDEX(MASTER!$I$4:$I$1463,MATCH("VENDETTA"&amp;"|"&amp;MAX(1,ROUND(COUNTIFS(MASTER!$B$4:$B$1463,"VENDETTA",MASTER!$I$4:$I$1463,"&lt;&gt;")*$A64*100/100,0)),MASTER!$Y$4:$Y$1463,0))),NA()),IF($B$4="COMBAT RATING",IFERROR(IF(INDEX(MASTER!$G$4:$G$1463,MATCH("VENDETTA"&amp;"|"&amp;MAX(1,ROUND(COUNTIFS(MASTER!$B$4:$B$1463,"VENDETTA",MASTER!$G$4:$G$1463,"&lt;&gt;")*$A64*100/100,0)),MASTER!$AH$4:$AH$1463,0))="",NA(),INDEX(MASTER!$G$4:$G$1463,MATCH("VENDETTA"&amp;"|"&amp;MAX(1,ROUND(COUNTIFS(MASTER!$B$4:$B$1463,"VENDETTA",MASTER!$G$4:$G$1463,"&lt;&gt;")*$A64*100/100,0)),MASTER!$AH$4:$AH$1463,0))),NA()),IF($B$4="SECONDARY",IFERROR(IF(INDEX(MASTER!$L$4:$L$1463,MATCH("VENDETTA"&amp;"|"&amp;MAX(1,ROUND(COUNTIFS(MASTER!$B$4:$B$1463,"VENDETTA",MASTER!$L$4:$L$1463,"&lt;&gt;")*$A64*100/100,0)),MASTER!$AI$4:$AI$1463,0))="",NA(),INDEX(MASTER!$L$4:$L$1463,MATCH("VENDETTA"&amp;"|"&amp;MAX(1,ROUND(COUNTIFS(MASTER!$B$4:$B$1463,"VENDETTA",MASTER!$L$4:$L$1463,"&lt;&gt;")*$A64*100/100,0)),MASTER!$AI$4:$AI$1463,0))),NA()))))</f>
        <v>3473</v>
      </c>
      <c r="O64" s="37">
        <f>IF($B$4="RESONANCE",IFERROR(IF(INDEX(MASTER!$I$4:$I$1463,MATCH("ZOMBIES"&amp;"|"&amp;MAX(1,ROUND(COUNTIFS(MASTER!$B$4:$B$1463,"ZOMBIES",MASTER!$I$4:$I$1463,"&lt;&gt;")*$A64*100/100,0)),MASTER!$Y$4:$Y$1463,0))="",NA(),INDEX(MASTER!$I$4:$I$1463,MATCH("ZOMBIES"&amp;"|"&amp;MAX(1,ROUND(COUNTIFS(MASTER!$B$4:$B$1463,"ZOMBIES",MASTER!$I$4:$I$1463,"&lt;&gt;")*$A64*100/100,0)),MASTER!$Y$4:$Y$1463,0))),NA()),IF($B$4="COMBAT RATING",IFERROR(IF(INDEX(MASTER!$G$4:$G$1463,MATCH("ZOMBIES"&amp;"|"&amp;MAX(1,ROUND(COUNTIFS(MASTER!$B$4:$B$1463,"ZOMBIES",MASTER!$G$4:$G$1463,"&lt;&gt;")*$A64*100/100,0)),MASTER!$AH$4:$AH$1463,0))="",NA(),INDEX(MASTER!$G$4:$G$1463,MATCH("ZOMBIES"&amp;"|"&amp;MAX(1,ROUND(COUNTIFS(MASTER!$B$4:$B$1463,"ZOMBIES",MASTER!$G$4:$G$1463,"&lt;&gt;")*$A64*100/100,0)),MASTER!$AH$4:$AH$1463,0))),NA()),IF($B$4="SECONDARY",IFERROR(IF(INDEX(MASTER!$L$4:$L$1463,MATCH("ZOMBIES"&amp;"|"&amp;MAX(1,ROUND(COUNTIFS(MASTER!$B$4:$B$1463,"ZOMBIES",MASTER!$L$4:$L$1463,"&lt;&gt;")*$A64*100/100,0)),MASTER!$AI$4:$AI$1463,0))="",NA(),INDEX(MASTER!$L$4:$L$1463,MATCH("ZOMBIES"&amp;"|"&amp;MAX(1,ROUND(COUNTIFS(MASTER!$B$4:$B$1463,"ZOMBIES",MASTER!$L$4:$L$1463,"&lt;&gt;")*$A64*100/100,0)),MASTER!$AI$4:$AI$1463,0))),NA()))))</f>
        <v>3654</v>
      </c>
      <c r="P64" s="37">
        <f>IF($B$4="RESONANCE",IFERROR(IF(INDEX(MASTER!$I$4:$I$1463,MATCH("FUCT"&amp;"|"&amp;MAX(1,ROUND(COUNTIFS(MASTER!$B$4:$B$1463,"FUCT",MASTER!$I$4:$I$1463,"&lt;&gt;")*$A64*100/100,0)),MASTER!$Y$4:$Y$1463,0))="",NA(),INDEX(MASTER!$I$4:$I$1463,MATCH("FUCT"&amp;"|"&amp;MAX(1,ROUND(COUNTIFS(MASTER!$B$4:$B$1463,"FUCT",MASTER!$I$4:$I$1463,"&lt;&gt;")*$A64*100/100,0)),MASTER!$Y$4:$Y$1463,0))),NA()),IF($B$4="COMBAT RATING",IFERROR(IF(INDEX(MASTER!$G$4:$G$1463,MATCH("FUCT"&amp;"|"&amp;MAX(1,ROUND(COUNTIFS(MASTER!$B$4:$B$1463,"FUCT",MASTER!$G$4:$G$1463,"&lt;&gt;")*$A64*100/100,0)),MASTER!$AH$4:$AH$1463,0))="",NA(),INDEX(MASTER!$G$4:$G$1463,MATCH("FUCT"&amp;"|"&amp;MAX(1,ROUND(COUNTIFS(MASTER!$B$4:$B$1463,"FUCT",MASTER!$G$4:$G$1463,"&lt;&gt;")*$A64*100/100,0)),MASTER!$AH$4:$AH$1463,0))),NA()),IF($B$4="SECONDARY",IFERROR(IF(INDEX(MASTER!$L$4:$L$1463,MATCH("FUCT"&amp;"|"&amp;MAX(1,ROUND(COUNTIFS(MASTER!$B$4:$B$1463,"FUCT",MASTER!$L$4:$L$1463,"&lt;&gt;")*$A64*100/100,0)),MASTER!$AI$4:$AI$1463,0))="",NA(),INDEX(MASTER!$L$4:$L$1463,MATCH("FUCT"&amp;"|"&amp;MAX(1,ROUND(COUNTIFS(MASTER!$B$4:$B$1463,"FUCT",MASTER!$L$4:$L$1463,"&lt;&gt;")*$A64*100/100,0)),MASTER!$AI$4:$AI$1463,0))),NA()))))</f>
        <v>8770</v>
      </c>
      <c r="Q64" s="37">
        <f>IF($B$4="RESONANCE",IFERROR(IF(INDEX(MASTER!$I$4:$I$1463,MATCH($E$4&amp;"|"&amp;MAX(1,ROUND(COUNTIFS(MASTER!$B$4:$B$1463,$E$4,MASTER!$I$4:$I$1463,"&lt;&gt;")*$A64*100/100,0)),MASTER!$Y$4:$Y$1463,0))="",NA(),INDEX(MASTER!$I$4:$I$1463,MATCH($E$4&amp;"|"&amp;MAX(1,ROUND(COUNTIFS(MASTER!$B$4:$B$1463,$E$4,MASTER!$I$4:$I$1463,"&lt;&gt;")*$A64*100/100,0)),MASTER!$Y$4:$Y$1463,0))),NA()),IF($B$4="COMBAT RATING",IFERROR(IF(INDEX(MASTER!$G$4:$G$1463,MATCH($E$4&amp;"|"&amp;MAX(1,ROUND(COUNTIFS(MASTER!$B$4:$B$1463,$E$4,MASTER!$G$4:$G$1463,"&lt;&gt;")*$A64*100/100,0)),MASTER!$AH$4:$AH$1463,0))="",NA(),INDEX(MASTER!$G$4:$G$1463,MATCH($E$4&amp;"|"&amp;MAX(1,ROUND(COUNTIFS(MASTER!$B$4:$B$1463,$E$4,MASTER!$G$4:$G$1463,"&lt;&gt;")*$A64*100/100,0)),MASTER!$AH$4:$AH$1463,0))),NA()),IF($B$4="SECONDARY",IFERROR(IF(INDEX(MASTER!$L$4:$L$1463,MATCH($E$4&amp;"|"&amp;MAX(1,ROUND(COUNTIFS(MASTER!$B$4:$B$1463,$E$4,MASTER!$L$4:$L$1463,"&lt;&gt;")*$A64*100/100,0)),MASTER!$AI$4:$AI$1463,0))="",NA(),INDEX(MASTER!$L$4:$L$1463,MATCH($E$4&amp;"|"&amp;MAX(1,ROUND(COUNTIFS(MASTER!$B$4:$B$1463,$E$4,MASTER!$L$4:$L$1463,"&lt;&gt;")*$A64*100/100,0)),MASTER!$AI$4:$AI$1463,0))),NA()))))</f>
        <v>7430</v>
      </c>
    </row>
    <row r="65" spans="1:17" hidden="1">
      <c r="A65" s="36">
        <v>0.1</v>
      </c>
      <c r="B65" s="37">
        <f>IF($B$4="RESONANCE",IFERROR(IF(INDEX(MASTER!$I$4:$I$1463,MATCH("FUCT"&amp;"|"&amp;MAX(1,ROUND(COUNTIFS(MASTER!$B$4:$B$1463,"FUCT",MASTER!$I$4:$I$1463,"&lt;&gt;")*$A65*100/100,0)),MASTER!$Y$4:$Y$1463,0))="",NA(),INDEX(MASTER!$I$4:$I$1463,MATCH("FUCT"&amp;"|"&amp;MAX(1,ROUND(COUNTIFS(MASTER!$B$4:$B$1463,"FUCT",MASTER!$I$4:$I$1463,"&lt;&gt;")*$A65*100/100,0)),MASTER!$Y$4:$Y$1463,0))),NA()),IF($B$4="COMBAT RATING",IFERROR(IF(INDEX(MASTER!$G$4:$G$1463,MATCH("FUCT"&amp;"|"&amp;MAX(1,ROUND(COUNTIFS(MASTER!$B$4:$B$1463,"FUCT",MASTER!$G$4:$G$1463,"&lt;&gt;")*$A65*100/100,0)),MASTER!$AH$4:$AH$1463,0))="",NA(),INDEX(MASTER!$G$4:$G$1463,MATCH("FUCT"&amp;"|"&amp;MAX(1,ROUND(COUNTIFS(MASTER!$B$4:$B$1463,"FUCT",MASTER!$G$4:$G$1463,"&lt;&gt;")*$A65*100/100,0)),MASTER!$AH$4:$AH$1463,0))),NA()),IF($B$4="SECONDARY",IFERROR(IF(INDEX(MASTER!$L$4:$L$1463,MATCH("FUCT"&amp;"|"&amp;MAX(1,ROUND(COUNTIFS(MASTER!$B$4:$B$1463,"FUCT",MASTER!$L$4:$L$1463,"&lt;&gt;")*$A65*100/100,0)),MASTER!$AI$4:$AI$1463,0))="",NA(),INDEX(MASTER!$L$4:$L$1463,MATCH("FUCT"&amp;"|"&amp;MAX(1,ROUND(COUNTIFS(MASTER!$B$4:$B$1463,"FUCT",MASTER!$L$4:$L$1463,"&lt;&gt;")*$A65*100/100,0)),MASTER!$AI$4:$AI$1463,0))),NA()))))</f>
        <v>8529</v>
      </c>
      <c r="C65" s="37">
        <f>IF($B$4="RESONANCE",IFERROR(IF(INDEX(MASTER!$I$4:$I$1463,MATCH("LEGENDS"&amp;"|"&amp;MAX(1,ROUND(COUNTIFS(MASTER!$B$4:$B$1463,"LEGENDS",MASTER!$I$4:$I$1463,"&lt;&gt;")*$A65*100/100,0)),MASTER!$Y$4:$Y$1463,0))="",NA(),INDEX(MASTER!$I$4:$I$1463,MATCH("LEGENDS"&amp;"|"&amp;MAX(1,ROUND(COUNTIFS(MASTER!$B$4:$B$1463,"LEGENDS",MASTER!$I$4:$I$1463,"&lt;&gt;")*$A65*100/100,0)),MASTER!$Y$4:$Y$1463,0))),NA()),IF($B$4="COMBAT RATING",IFERROR(IF(INDEX(MASTER!$G$4:$G$1463,MATCH("LEGENDS"&amp;"|"&amp;MAX(1,ROUND(COUNTIFS(MASTER!$B$4:$B$1463,"LEGENDS",MASTER!$G$4:$G$1463,"&lt;&gt;")*$A65*100/100,0)),MASTER!$AH$4:$AH$1463,0))="",NA(),INDEX(MASTER!$G$4:$G$1463,MATCH("LEGENDS"&amp;"|"&amp;MAX(1,ROUND(COUNTIFS(MASTER!$B$4:$B$1463,"LEGENDS",MASTER!$G$4:$G$1463,"&lt;&gt;")*$A65*100/100,0)),MASTER!$AH$4:$AH$1463,0))),NA()),IF($B$4="SECONDARY",IFERROR(IF(INDEX(MASTER!$L$4:$L$1463,MATCH("LEGENDS"&amp;"|"&amp;MAX(1,ROUND(COUNTIFS(MASTER!$B$4:$B$1463,"LEGENDS",MASTER!$L$4:$L$1463,"&lt;&gt;")*$A65*100/100,0)),MASTER!$AI$4:$AI$1463,0))="",NA(),INDEX(MASTER!$L$4:$L$1463,MATCH("LEGENDS"&amp;"|"&amp;MAX(1,ROUND(COUNTIFS(MASTER!$B$4:$B$1463,"LEGENDS",MASTER!$L$4:$L$1463,"&lt;&gt;")*$A65*100/100,0)),MASTER!$AI$4:$AI$1463,0))),NA()))))</f>
        <v>8491</v>
      </c>
      <c r="D65" s="37">
        <f>IF($B$4="RESONANCE",IFERROR(IF(INDEX(MASTER!$I$4:$I$1463,MATCH("VANGUARD"&amp;"|"&amp;MAX(1,ROUND(COUNTIFS(MASTER!$B$4:$B$1463,"VANGUARD",MASTER!$I$4:$I$1463,"&lt;&gt;")*$A65*100/100,0)),MASTER!$Y$4:$Y$1463,0))="",NA(),INDEX(MASTER!$I$4:$I$1463,MATCH("VANGUARD"&amp;"|"&amp;MAX(1,ROUND(COUNTIFS(MASTER!$B$4:$B$1463,"VANGUARD",MASTER!$I$4:$I$1463,"&lt;&gt;")*$A65*100/100,0)),MASTER!$Y$4:$Y$1463,0))),NA()),IF($B$4="COMBAT RATING",IFERROR(IF(INDEX(MASTER!$G$4:$G$1463,MATCH("VANGUARD"&amp;"|"&amp;MAX(1,ROUND(COUNTIFS(MASTER!$B$4:$B$1463,"VANGUARD",MASTER!$G$4:$G$1463,"&lt;&gt;")*$A65*100/100,0)),MASTER!$AH$4:$AH$1463,0))="",NA(),INDEX(MASTER!$G$4:$G$1463,MATCH("VANGUARD"&amp;"|"&amp;MAX(1,ROUND(COUNTIFS(MASTER!$B$4:$B$1463,"VANGUARD",MASTER!$G$4:$G$1463,"&lt;&gt;")*$A65*100/100,0)),MASTER!$AH$4:$AH$1463,0))),NA()),IF($B$4="SECONDARY",IFERROR(IF(INDEX(MASTER!$L$4:$L$1463,MATCH("VANGUARD"&amp;"|"&amp;MAX(1,ROUND(COUNTIFS(MASTER!$B$4:$B$1463,"VANGUARD",MASTER!$L$4:$L$1463,"&lt;&gt;")*$A65*100/100,0)),MASTER!$AI$4:$AI$1463,0))="",NA(),INDEX(MASTER!$L$4:$L$1463,MATCH("VANGUARD"&amp;"|"&amp;MAX(1,ROUND(COUNTIFS(MASTER!$B$4:$B$1463,"VANGUARD",MASTER!$L$4:$L$1463,"&lt;&gt;")*$A65*100/100,0)),MASTER!$AI$4:$AI$1463,0))),NA()))))</f>
        <v>10023</v>
      </c>
      <c r="E65" s="37">
        <f>IF($B$4="RESONANCE",IFERROR(IF(INDEX(MASTER!$I$4:$I$1463,MATCH("UNDYING"&amp;"|"&amp;MAX(1,ROUND(COUNTIFS(MASTER!$B$4:$B$1463,"UNDYING",MASTER!$I$4:$I$1463,"&lt;&gt;")*$A65*100/100,0)),MASTER!$Y$4:$Y$1463,0))="",NA(),INDEX(MASTER!$I$4:$I$1463,MATCH("UNDYING"&amp;"|"&amp;MAX(1,ROUND(COUNTIFS(MASTER!$B$4:$B$1463,"UNDYING",MASTER!$I$4:$I$1463,"&lt;&gt;")*$A65*100/100,0)),MASTER!$Y$4:$Y$1463,0))),NA()),IF($B$4="COMBAT RATING",IFERROR(IF(INDEX(MASTER!$G$4:$G$1463,MATCH("UNDYING"&amp;"|"&amp;MAX(1,ROUND(COUNTIFS(MASTER!$B$4:$B$1463,"UNDYING",MASTER!$G$4:$G$1463,"&lt;&gt;")*$A65*100/100,0)),MASTER!$AH$4:$AH$1463,0))="",NA(),INDEX(MASTER!$G$4:$G$1463,MATCH("UNDYING"&amp;"|"&amp;MAX(1,ROUND(COUNTIFS(MASTER!$B$4:$B$1463,"UNDYING",MASTER!$G$4:$G$1463,"&lt;&gt;")*$A65*100/100,0)),MASTER!$AH$4:$AH$1463,0))),NA()),IF($B$4="SECONDARY",IFERROR(IF(INDEX(MASTER!$L$4:$L$1463,MATCH("UNDYING"&amp;"|"&amp;MAX(1,ROUND(COUNTIFS(MASTER!$B$4:$B$1463,"UNDYING",MASTER!$L$4:$L$1463,"&lt;&gt;")*$A65*100/100,0)),MASTER!$AI$4:$AI$1463,0))="",NA(),INDEX(MASTER!$L$4:$L$1463,MATCH("UNDYING"&amp;"|"&amp;MAX(1,ROUND(COUNTIFS(MASTER!$B$4:$B$1463,"UNDYING",MASTER!$L$4:$L$1463,"&lt;&gt;")*$A65*100/100,0)),MASTER!$AI$4:$AI$1463,0))),NA()))))</f>
        <v>7317</v>
      </c>
      <c r="F65" s="37">
        <f>IF($B$4="RESONANCE",IFERROR(IF(INDEX(MASTER!$I$4:$I$1463,MATCH("SBG"&amp;"|"&amp;MAX(1,ROUND(COUNTIFS(MASTER!$B$4:$B$1463,"SBG",MASTER!$I$4:$I$1463,"&lt;&gt;")*$A65*100/100,0)),MASTER!$Y$4:$Y$1463,0))="",NA(),INDEX(MASTER!$I$4:$I$1463,MATCH("SBG"&amp;"|"&amp;MAX(1,ROUND(COUNTIFS(MASTER!$B$4:$B$1463,"SBG",MASTER!$I$4:$I$1463,"&lt;&gt;")*$A65*100/100,0)),MASTER!$Y$4:$Y$1463,0))),NA()),IF($B$4="COMBAT RATING",IFERROR(IF(INDEX(MASTER!$G$4:$G$1463,MATCH("SBG"&amp;"|"&amp;MAX(1,ROUND(COUNTIFS(MASTER!$B$4:$B$1463,"SBG",MASTER!$G$4:$G$1463,"&lt;&gt;")*$A65*100/100,0)),MASTER!$AH$4:$AH$1463,0))="",NA(),INDEX(MASTER!$G$4:$G$1463,MATCH("SBG"&amp;"|"&amp;MAX(1,ROUND(COUNTIFS(MASTER!$B$4:$B$1463,"SBG",MASTER!$G$4:$G$1463,"&lt;&gt;")*$A65*100/100,0)),MASTER!$AH$4:$AH$1463,0))),NA()),IF($B$4="SECONDARY",IFERROR(IF(INDEX(MASTER!$L$4:$L$1463,MATCH("SBG"&amp;"|"&amp;MAX(1,ROUND(COUNTIFS(MASTER!$B$4:$B$1463,"SBG",MASTER!$L$4:$L$1463,"&lt;&gt;")*$A65*100/100,0)),MASTER!$AI$4:$AI$1463,0))="",NA(),INDEX(MASTER!$L$4:$L$1463,MATCH("SBG"&amp;"|"&amp;MAX(1,ROUND(COUNTIFS(MASTER!$B$4:$B$1463,"SBG",MASTER!$L$4:$L$1463,"&lt;&gt;")*$A65*100/100,0)),MASTER!$AI$4:$AI$1463,0))),NA()))))</f>
        <v>9770</v>
      </c>
      <c r="G65" s="37">
        <f>IF($B$4="RESONANCE",IFERROR(IF(INDEX(MASTER!$I$4:$I$1463,MATCH("AZUKI"&amp;"|"&amp;MAX(1,ROUND(COUNTIFS(MASTER!$B$4:$B$1463,"AZUKI",MASTER!$I$4:$I$1463,"&lt;&gt;")*$A65*100/100,0)),MASTER!$Y$4:$Y$1463,0))="",NA(),INDEX(MASTER!$I$4:$I$1463,MATCH("AZUKI"&amp;"|"&amp;MAX(1,ROUND(COUNTIFS(MASTER!$B$4:$B$1463,"AZUKI",MASTER!$I$4:$I$1463,"&lt;&gt;")*$A65*100/100,0)),MASTER!$Y$4:$Y$1463,0))),NA()),IF($B$4="COMBAT RATING",IFERROR(IF(INDEX(MASTER!$G$4:$G$1463,MATCH("AZUKI"&amp;"|"&amp;MAX(1,ROUND(COUNTIFS(MASTER!$B$4:$B$1463,"AZUKI",MASTER!$G$4:$G$1463,"&lt;&gt;")*$A65*100/100,0)),MASTER!$AH$4:$AH$1463,0))="",NA(),INDEX(MASTER!$G$4:$G$1463,MATCH("AZUKI"&amp;"|"&amp;MAX(1,ROUND(COUNTIFS(MASTER!$B$4:$B$1463,"AZUKI",MASTER!$G$4:$G$1463,"&lt;&gt;")*$A65*100/100,0)),MASTER!$AH$4:$AH$1463,0))),NA()),IF($B$4="SECONDARY",IFERROR(IF(INDEX(MASTER!$L$4:$L$1463,MATCH("AZUKI"&amp;"|"&amp;MAX(1,ROUND(COUNTIFS(MASTER!$B$4:$B$1463,"AZUKI",MASTER!$L$4:$L$1463,"&lt;&gt;")*$A65*100/100,0)),MASTER!$AI$4:$AI$1463,0))="",NA(),INDEX(MASTER!$L$4:$L$1463,MATCH("AZUKI"&amp;"|"&amp;MAX(1,ROUND(COUNTIFS(MASTER!$B$4:$B$1463,"AZUKI",MASTER!$L$4:$L$1463,"&lt;&gt;")*$A65*100/100,0)),MASTER!$AI$4:$AI$1463,0))),NA()))))</f>
        <v>10272</v>
      </c>
      <c r="H65" s="37">
        <f>IF($B$4="RESONANCE",IFERROR(IF(INDEX(MASTER!$I$4:$I$1463,MATCH("RECKONING"&amp;"|"&amp;MAX(1,ROUND(COUNTIFS(MASTER!$B$4:$B$1463,"RECKONING",MASTER!$I$4:$I$1463,"&lt;&gt;")*$A65*100/100,0)),MASTER!$Y$4:$Y$1463,0))="",NA(),INDEX(MASTER!$I$4:$I$1463,MATCH("RECKONING"&amp;"|"&amp;MAX(1,ROUND(COUNTIFS(MASTER!$B$4:$B$1463,"RECKONING",MASTER!$I$4:$I$1463,"&lt;&gt;")*$A65*100/100,0)),MASTER!$Y$4:$Y$1463,0))),NA()),IF($B$4="COMBAT RATING",IFERROR(IF(INDEX(MASTER!$G$4:$G$1463,MATCH("RECKONING"&amp;"|"&amp;MAX(1,ROUND(COUNTIFS(MASTER!$B$4:$B$1463,"RECKONING",MASTER!$G$4:$G$1463,"&lt;&gt;")*$A65*100/100,0)),MASTER!$AH$4:$AH$1463,0))="",NA(),INDEX(MASTER!$G$4:$G$1463,MATCH("RECKONING"&amp;"|"&amp;MAX(1,ROUND(COUNTIFS(MASTER!$B$4:$B$1463,"RECKONING",MASTER!$G$4:$G$1463,"&lt;&gt;")*$A65*100/100,0)),MASTER!$AH$4:$AH$1463,0))),NA()),IF($B$4="SECONDARY",IFERROR(IF(INDEX(MASTER!$L$4:$L$1463,MATCH("RECKONING"&amp;"|"&amp;MAX(1,ROUND(COUNTIFS(MASTER!$B$4:$B$1463,"RECKONING",MASTER!$L$4:$L$1463,"&lt;&gt;")*$A65*100/100,0)),MASTER!$AI$4:$AI$1463,0))="",NA(),INDEX(MASTER!$L$4:$L$1463,MATCH("RECKONING"&amp;"|"&amp;MAX(1,ROUND(COUNTIFS(MASTER!$B$4:$B$1463,"RECKONING",MASTER!$L$4:$L$1463,"&lt;&gt;")*$A65*100/100,0)),MASTER!$AI$4:$AI$1463,0))),NA()))))</f>
        <v>9867</v>
      </c>
      <c r="I65" s="37">
        <f>IF($B$4="RESONANCE",IFERROR(IF(INDEX(MASTER!$I$4:$I$1463,MATCH("ACHERON"&amp;"|"&amp;MAX(1,ROUND(COUNTIFS(MASTER!$B$4:$B$1463,"ACHERON",MASTER!$I$4:$I$1463,"&lt;&gt;")*$A65*100/100,0)),MASTER!$Y$4:$Y$1463,0))="",NA(),INDEX(MASTER!$I$4:$I$1463,MATCH("ACHERON"&amp;"|"&amp;MAX(1,ROUND(COUNTIFS(MASTER!$B$4:$B$1463,"ACHERON",MASTER!$I$4:$I$1463,"&lt;&gt;")*$A65*100/100,0)),MASTER!$Y$4:$Y$1463,0))),NA()),IF($B$4="COMBAT RATING",IFERROR(IF(INDEX(MASTER!$G$4:$G$1463,MATCH("ACHERON"&amp;"|"&amp;MAX(1,ROUND(COUNTIFS(MASTER!$B$4:$B$1463,"ACHERON",MASTER!$G$4:$G$1463,"&lt;&gt;")*$A65*100/100,0)),MASTER!$AH$4:$AH$1463,0))="",NA(),INDEX(MASTER!$G$4:$G$1463,MATCH("ACHERON"&amp;"|"&amp;MAX(1,ROUND(COUNTIFS(MASTER!$B$4:$B$1463,"ACHERON",MASTER!$G$4:$G$1463,"&lt;&gt;")*$A65*100/100,0)),MASTER!$AH$4:$AH$1463,0))),NA()),IF($B$4="SECONDARY",IFERROR(IF(INDEX(MASTER!$L$4:$L$1463,MATCH("ACHERON"&amp;"|"&amp;MAX(1,ROUND(COUNTIFS(MASTER!$B$4:$B$1463,"ACHERON",MASTER!$L$4:$L$1463,"&lt;&gt;")*$A65*100/100,0)),MASTER!$AI$4:$AI$1463,0))="",NA(),INDEX(MASTER!$L$4:$L$1463,MATCH("ACHERON"&amp;"|"&amp;MAX(1,ROUND(COUNTIFS(MASTER!$B$4:$B$1463,"ACHERON",MASTER!$L$4:$L$1463,"&lt;&gt;")*$A65*100/100,0)),MASTER!$AI$4:$AI$1463,0))),NA()))))</f>
        <v>7221</v>
      </c>
      <c r="J65" s="37">
        <f>IF($B$4="RESONANCE",IFERROR(IF(INDEX(MASTER!$I$4:$I$1463,MATCH("INVICTUS"&amp;"|"&amp;MAX(1,ROUND(COUNTIFS(MASTER!$B$4:$B$1463,"INVICTUS",MASTER!$I$4:$I$1463,"&lt;&gt;")*$A65*100/100,0)),MASTER!$Y$4:$Y$1463,0))="",NA(),INDEX(MASTER!$I$4:$I$1463,MATCH("INVICTUS"&amp;"|"&amp;MAX(1,ROUND(COUNTIFS(MASTER!$B$4:$B$1463,"INVICTUS",MASTER!$I$4:$I$1463,"&lt;&gt;")*$A65*100/100,0)),MASTER!$Y$4:$Y$1463,0))),NA()),IF($B$4="COMBAT RATING",IFERROR(IF(INDEX(MASTER!$G$4:$G$1463,MATCH("INVICTUS"&amp;"|"&amp;MAX(1,ROUND(COUNTIFS(MASTER!$B$4:$B$1463,"INVICTUS",MASTER!$G$4:$G$1463,"&lt;&gt;")*$A65*100/100,0)),MASTER!$AH$4:$AH$1463,0))="",NA(),INDEX(MASTER!$G$4:$G$1463,MATCH("INVICTUS"&amp;"|"&amp;MAX(1,ROUND(COUNTIFS(MASTER!$B$4:$B$1463,"INVICTUS",MASTER!$G$4:$G$1463,"&lt;&gt;")*$A65*100/100,0)),MASTER!$AH$4:$AH$1463,0))),NA()),IF($B$4="SECONDARY",IFERROR(IF(INDEX(MASTER!$L$4:$L$1463,MATCH("INVICTUS"&amp;"|"&amp;MAX(1,ROUND(COUNTIFS(MASTER!$B$4:$B$1463,"INVICTUS",MASTER!$L$4:$L$1463,"&lt;&gt;")*$A65*100/100,0)),MASTER!$AI$4:$AI$1463,0))="",NA(),INDEX(MASTER!$L$4:$L$1463,MATCH("INVICTUS"&amp;"|"&amp;MAX(1,ROUND(COUNTIFS(MASTER!$B$4:$B$1463,"INVICTUS",MASTER!$L$4:$L$1463,"&lt;&gt;")*$A65*100/100,0)),MASTER!$AI$4:$AI$1463,0))),NA()))))</f>
        <v>5758</v>
      </c>
      <c r="K65" s="37">
        <f>IF($B$4="RESONANCE",IFERROR(IF(INDEX(MASTER!$I$4:$I$1463,MATCH("EMERALD LEAF TRIBE"&amp;"|"&amp;MAX(1,ROUND(COUNTIFS(MASTER!$B$4:$B$1463,"EMERALD LEAF TRIBE",MASTER!$I$4:$I$1463,"&lt;&gt;")*$A65*100/100,0)),MASTER!$Y$4:$Y$1463,0))="",NA(),INDEX(MASTER!$I$4:$I$1463,MATCH("EMERALD LEAF TRIBE"&amp;"|"&amp;MAX(1,ROUND(COUNTIFS(MASTER!$B$4:$B$1463,"EMERALD LEAF TRIBE",MASTER!$I$4:$I$1463,"&lt;&gt;")*$A65*100/100,0)),MASTER!$Y$4:$Y$1463,0))),NA()),IF($B$4="COMBAT RATING",IFERROR(IF(INDEX(MASTER!$G$4:$G$1463,MATCH("EMERALD LEAF TRIBE"&amp;"|"&amp;MAX(1,ROUND(COUNTIFS(MASTER!$B$4:$B$1463,"EMERALD LEAF TRIBE",MASTER!$G$4:$G$1463,"&lt;&gt;")*$A65*100/100,0)),MASTER!$AH$4:$AH$1463,0))="",NA(),INDEX(MASTER!$G$4:$G$1463,MATCH("EMERALD LEAF TRIBE"&amp;"|"&amp;MAX(1,ROUND(COUNTIFS(MASTER!$B$4:$B$1463,"EMERALD LEAF TRIBE",MASTER!$G$4:$G$1463,"&lt;&gt;")*$A65*100/100,0)),MASTER!$AH$4:$AH$1463,0))),NA()),IF($B$4="SECONDARY",IFERROR(IF(INDEX(MASTER!$L$4:$L$1463,MATCH("EMERALD LEAF TRIBE"&amp;"|"&amp;MAX(1,ROUND(COUNTIFS(MASTER!$B$4:$B$1463,"EMERALD LEAF TRIBE",MASTER!$L$4:$L$1463,"&lt;&gt;")*$A65*100/100,0)),MASTER!$AI$4:$AI$1463,0))="",NA(),INDEX(MASTER!$L$4:$L$1463,MATCH("EMERALD LEAF TRIBE"&amp;"|"&amp;MAX(1,ROUND(COUNTIFS(MASTER!$B$4:$B$1463,"EMERALD LEAF TRIBE",MASTER!$L$4:$L$1463,"&lt;&gt;")*$A65*100/100,0)),MASTER!$AI$4:$AI$1463,0))),NA()))))</f>
        <v>4233</v>
      </c>
      <c r="L65" s="37">
        <f>IF($B$4="RESONANCE",IFERROR(IF(INDEX(MASTER!$I$4:$I$1463,MATCH("SUB ROSA"&amp;"|"&amp;MAX(1,ROUND(COUNTIFS(MASTER!$B$4:$B$1463,"SUB ROSA",MASTER!$I$4:$I$1463,"&lt;&gt;")*$A65*100/100,0)),MASTER!$Y$4:$Y$1463,0))="",NA(),INDEX(MASTER!$I$4:$I$1463,MATCH("SUB ROSA"&amp;"|"&amp;MAX(1,ROUND(COUNTIFS(MASTER!$B$4:$B$1463,"SUB ROSA",MASTER!$I$4:$I$1463,"&lt;&gt;")*$A65*100/100,0)),MASTER!$Y$4:$Y$1463,0))),NA()),IF($B$4="COMBAT RATING",IFERROR(IF(INDEX(MASTER!$G$4:$G$1463,MATCH("SUB ROSA"&amp;"|"&amp;MAX(1,ROUND(COUNTIFS(MASTER!$B$4:$B$1463,"SUB ROSA",MASTER!$G$4:$G$1463,"&lt;&gt;")*$A65*100/100,0)),MASTER!$AH$4:$AH$1463,0))="",NA(),INDEX(MASTER!$G$4:$G$1463,MATCH("SUB ROSA"&amp;"|"&amp;MAX(1,ROUND(COUNTIFS(MASTER!$B$4:$B$1463,"SUB ROSA",MASTER!$G$4:$G$1463,"&lt;&gt;")*$A65*100/100,0)),MASTER!$AH$4:$AH$1463,0))),NA()),IF($B$4="SECONDARY",IFERROR(IF(INDEX(MASTER!$L$4:$L$1463,MATCH("SUB ROSA"&amp;"|"&amp;MAX(1,ROUND(COUNTIFS(MASTER!$B$4:$B$1463,"SUB ROSA",MASTER!$L$4:$L$1463,"&lt;&gt;")*$A65*100/100,0)),MASTER!$AI$4:$AI$1463,0))="",NA(),INDEX(MASTER!$L$4:$L$1463,MATCH("SUB ROSA"&amp;"|"&amp;MAX(1,ROUND(COUNTIFS(MASTER!$B$4:$B$1463,"SUB ROSA",MASTER!$L$4:$L$1463,"&lt;&gt;")*$A65*100/100,0)),MASTER!$AI$4:$AI$1463,0))),NA()))))</f>
        <v>6165</v>
      </c>
      <c r="M65" s="37">
        <f>IF($B$4="RESONANCE",IFERROR(IF(INDEX(MASTER!$I$4:$I$1463,MATCH("VENGEANCE"&amp;"|"&amp;MAX(1,ROUND(COUNTIFS(MASTER!$B$4:$B$1463,"VENGEANCE",MASTER!$I$4:$I$1463,"&lt;&gt;")*$A65*100/100,0)),MASTER!$Y$4:$Y$1463,0))="",NA(),INDEX(MASTER!$I$4:$I$1463,MATCH("VENGEANCE"&amp;"|"&amp;MAX(1,ROUND(COUNTIFS(MASTER!$B$4:$B$1463,"VENGEANCE",MASTER!$I$4:$I$1463,"&lt;&gt;")*$A65*100/100,0)),MASTER!$Y$4:$Y$1463,0))),NA()),IF($B$4="COMBAT RATING",IFERROR(IF(INDEX(MASTER!$G$4:$G$1463,MATCH("VENGEANCE"&amp;"|"&amp;MAX(1,ROUND(COUNTIFS(MASTER!$B$4:$B$1463,"VENGEANCE",MASTER!$G$4:$G$1463,"&lt;&gt;")*$A65*100/100,0)),MASTER!$AH$4:$AH$1463,0))="",NA(),INDEX(MASTER!$G$4:$G$1463,MATCH("VENGEANCE"&amp;"|"&amp;MAX(1,ROUND(COUNTIFS(MASTER!$B$4:$B$1463,"VENGEANCE",MASTER!$G$4:$G$1463,"&lt;&gt;")*$A65*100/100,0)),MASTER!$AH$4:$AH$1463,0))),NA()),IF($B$4="SECONDARY",IFERROR(IF(INDEX(MASTER!$L$4:$L$1463,MATCH("VENGEANCE"&amp;"|"&amp;MAX(1,ROUND(COUNTIFS(MASTER!$B$4:$B$1463,"VENGEANCE",MASTER!$L$4:$L$1463,"&lt;&gt;")*$A65*100/100,0)),MASTER!$AI$4:$AI$1463,0))="",NA(),INDEX(MASTER!$L$4:$L$1463,MATCH("VENGEANCE"&amp;"|"&amp;MAX(1,ROUND(COUNTIFS(MASTER!$B$4:$B$1463,"VENGEANCE",MASTER!$L$4:$L$1463,"&lt;&gt;")*$A65*100/100,0)),MASTER!$AI$4:$AI$1463,0))),NA()))))</f>
        <v>5646</v>
      </c>
      <c r="N65" s="37">
        <f>IF($B$4="RESONANCE",IFERROR(IF(INDEX(MASTER!$I$4:$I$1463,MATCH("VENDETTA"&amp;"|"&amp;MAX(1,ROUND(COUNTIFS(MASTER!$B$4:$B$1463,"VENDETTA",MASTER!$I$4:$I$1463,"&lt;&gt;")*$A65*100/100,0)),MASTER!$Y$4:$Y$1463,0))="",NA(),INDEX(MASTER!$I$4:$I$1463,MATCH("VENDETTA"&amp;"|"&amp;MAX(1,ROUND(COUNTIFS(MASTER!$B$4:$B$1463,"VENDETTA",MASTER!$I$4:$I$1463,"&lt;&gt;")*$A65*100/100,0)),MASTER!$Y$4:$Y$1463,0))),NA()),IF($B$4="COMBAT RATING",IFERROR(IF(INDEX(MASTER!$G$4:$G$1463,MATCH("VENDETTA"&amp;"|"&amp;MAX(1,ROUND(COUNTIFS(MASTER!$B$4:$B$1463,"VENDETTA",MASTER!$G$4:$G$1463,"&lt;&gt;")*$A65*100/100,0)),MASTER!$AH$4:$AH$1463,0))="",NA(),INDEX(MASTER!$G$4:$G$1463,MATCH("VENDETTA"&amp;"|"&amp;MAX(1,ROUND(COUNTIFS(MASTER!$B$4:$B$1463,"VENDETTA",MASTER!$G$4:$G$1463,"&lt;&gt;")*$A65*100/100,0)),MASTER!$AH$4:$AH$1463,0))),NA()),IF($B$4="SECONDARY",IFERROR(IF(INDEX(MASTER!$L$4:$L$1463,MATCH("VENDETTA"&amp;"|"&amp;MAX(1,ROUND(COUNTIFS(MASTER!$B$4:$B$1463,"VENDETTA",MASTER!$L$4:$L$1463,"&lt;&gt;")*$A65*100/100,0)),MASTER!$AI$4:$AI$1463,0))="",NA(),INDEX(MASTER!$L$4:$L$1463,MATCH("VENDETTA"&amp;"|"&amp;MAX(1,ROUND(COUNTIFS(MASTER!$B$4:$B$1463,"VENDETTA",MASTER!$L$4:$L$1463,"&lt;&gt;")*$A65*100/100,0)),MASTER!$AI$4:$AI$1463,0))),NA()))))</f>
        <v>3282</v>
      </c>
      <c r="O65" s="37">
        <f>IF($B$4="RESONANCE",IFERROR(IF(INDEX(MASTER!$I$4:$I$1463,MATCH("ZOMBIES"&amp;"|"&amp;MAX(1,ROUND(COUNTIFS(MASTER!$B$4:$B$1463,"ZOMBIES",MASTER!$I$4:$I$1463,"&lt;&gt;")*$A65*100/100,0)),MASTER!$Y$4:$Y$1463,0))="",NA(),INDEX(MASTER!$I$4:$I$1463,MATCH("ZOMBIES"&amp;"|"&amp;MAX(1,ROUND(COUNTIFS(MASTER!$B$4:$B$1463,"ZOMBIES",MASTER!$I$4:$I$1463,"&lt;&gt;")*$A65*100/100,0)),MASTER!$Y$4:$Y$1463,0))),NA()),IF($B$4="COMBAT RATING",IFERROR(IF(INDEX(MASTER!$G$4:$G$1463,MATCH("ZOMBIES"&amp;"|"&amp;MAX(1,ROUND(COUNTIFS(MASTER!$B$4:$B$1463,"ZOMBIES",MASTER!$G$4:$G$1463,"&lt;&gt;")*$A65*100/100,0)),MASTER!$AH$4:$AH$1463,0))="",NA(),INDEX(MASTER!$G$4:$G$1463,MATCH("ZOMBIES"&amp;"|"&amp;MAX(1,ROUND(COUNTIFS(MASTER!$B$4:$B$1463,"ZOMBIES",MASTER!$G$4:$G$1463,"&lt;&gt;")*$A65*100/100,0)),MASTER!$AH$4:$AH$1463,0))),NA()),IF($B$4="SECONDARY",IFERROR(IF(INDEX(MASTER!$L$4:$L$1463,MATCH("ZOMBIES"&amp;"|"&amp;MAX(1,ROUND(COUNTIFS(MASTER!$B$4:$B$1463,"ZOMBIES",MASTER!$L$4:$L$1463,"&lt;&gt;")*$A65*100/100,0)),MASTER!$AI$4:$AI$1463,0))="",NA(),INDEX(MASTER!$L$4:$L$1463,MATCH("ZOMBIES"&amp;"|"&amp;MAX(1,ROUND(COUNTIFS(MASTER!$B$4:$B$1463,"ZOMBIES",MASTER!$L$4:$L$1463,"&lt;&gt;")*$A65*100/100,0)),MASTER!$AI$4:$AI$1463,0))),NA()))))</f>
        <v>3473</v>
      </c>
      <c r="P65" s="37">
        <f>IF($B$4="RESONANCE",IFERROR(IF(INDEX(MASTER!$I$4:$I$1463,MATCH("FUCT"&amp;"|"&amp;MAX(1,ROUND(COUNTIFS(MASTER!$B$4:$B$1463,"FUCT",MASTER!$I$4:$I$1463,"&lt;&gt;")*$A65*100/100,0)),MASTER!$Y$4:$Y$1463,0))="",NA(),INDEX(MASTER!$I$4:$I$1463,MATCH("FUCT"&amp;"|"&amp;MAX(1,ROUND(COUNTIFS(MASTER!$B$4:$B$1463,"FUCT",MASTER!$I$4:$I$1463,"&lt;&gt;")*$A65*100/100,0)),MASTER!$Y$4:$Y$1463,0))),NA()),IF($B$4="COMBAT RATING",IFERROR(IF(INDEX(MASTER!$G$4:$G$1463,MATCH("FUCT"&amp;"|"&amp;MAX(1,ROUND(COUNTIFS(MASTER!$B$4:$B$1463,"FUCT",MASTER!$G$4:$G$1463,"&lt;&gt;")*$A65*100/100,0)),MASTER!$AH$4:$AH$1463,0))="",NA(),INDEX(MASTER!$G$4:$G$1463,MATCH("FUCT"&amp;"|"&amp;MAX(1,ROUND(COUNTIFS(MASTER!$B$4:$B$1463,"FUCT",MASTER!$G$4:$G$1463,"&lt;&gt;")*$A65*100/100,0)),MASTER!$AH$4:$AH$1463,0))),NA()),IF($B$4="SECONDARY",IFERROR(IF(INDEX(MASTER!$L$4:$L$1463,MATCH("FUCT"&amp;"|"&amp;MAX(1,ROUND(COUNTIFS(MASTER!$B$4:$B$1463,"FUCT",MASTER!$L$4:$L$1463,"&lt;&gt;")*$A65*100/100,0)),MASTER!$AI$4:$AI$1463,0))="",NA(),INDEX(MASTER!$L$4:$L$1463,MATCH("FUCT"&amp;"|"&amp;MAX(1,ROUND(COUNTIFS(MASTER!$B$4:$B$1463,"FUCT",MASTER!$L$4:$L$1463,"&lt;&gt;")*$A65*100/100,0)),MASTER!$AI$4:$AI$1463,0))),NA()))))</f>
        <v>8529</v>
      </c>
      <c r="Q65" s="37">
        <f>IF($B$4="RESONANCE",IFERROR(IF(INDEX(MASTER!$I$4:$I$1463,MATCH($E$4&amp;"|"&amp;MAX(1,ROUND(COUNTIFS(MASTER!$B$4:$B$1463,$E$4,MASTER!$I$4:$I$1463,"&lt;&gt;")*$A65*100/100,0)),MASTER!$Y$4:$Y$1463,0))="",NA(),INDEX(MASTER!$I$4:$I$1463,MATCH($E$4&amp;"|"&amp;MAX(1,ROUND(COUNTIFS(MASTER!$B$4:$B$1463,$E$4,MASTER!$I$4:$I$1463,"&lt;&gt;")*$A65*100/100,0)),MASTER!$Y$4:$Y$1463,0))),NA()),IF($B$4="COMBAT RATING",IFERROR(IF(INDEX(MASTER!$G$4:$G$1463,MATCH($E$4&amp;"|"&amp;MAX(1,ROUND(COUNTIFS(MASTER!$B$4:$B$1463,$E$4,MASTER!$G$4:$G$1463,"&lt;&gt;")*$A65*100/100,0)),MASTER!$AH$4:$AH$1463,0))="",NA(),INDEX(MASTER!$G$4:$G$1463,MATCH($E$4&amp;"|"&amp;MAX(1,ROUND(COUNTIFS(MASTER!$B$4:$B$1463,$E$4,MASTER!$G$4:$G$1463,"&lt;&gt;")*$A65*100/100,0)),MASTER!$AH$4:$AH$1463,0))),NA()),IF($B$4="SECONDARY",IFERROR(IF(INDEX(MASTER!$L$4:$L$1463,MATCH($E$4&amp;"|"&amp;MAX(1,ROUND(COUNTIFS(MASTER!$B$4:$B$1463,$E$4,MASTER!$L$4:$L$1463,"&lt;&gt;")*$A65*100/100,0)),MASTER!$AI$4:$AI$1463,0))="",NA(),INDEX(MASTER!$L$4:$L$1463,MATCH($E$4&amp;"|"&amp;MAX(1,ROUND(COUNTIFS(MASTER!$B$4:$B$1463,$E$4,MASTER!$L$4:$L$1463,"&lt;&gt;")*$A65*100/100,0)),MASTER!$AI$4:$AI$1463,0))),NA()))))</f>
        <v>7317</v>
      </c>
    </row>
    <row r="66" spans="1:17" hidden="1">
      <c r="A66" s="36">
        <v>0.11</v>
      </c>
      <c r="B66" s="37">
        <f>IF($B$4="RESONANCE",IFERROR(IF(INDEX(MASTER!$I$4:$I$1463,MATCH("FUCT"&amp;"|"&amp;MAX(1,ROUND(COUNTIFS(MASTER!$B$4:$B$1463,"FUCT",MASTER!$I$4:$I$1463,"&lt;&gt;")*$A66*100/100,0)),MASTER!$Y$4:$Y$1463,0))="",NA(),INDEX(MASTER!$I$4:$I$1463,MATCH("FUCT"&amp;"|"&amp;MAX(1,ROUND(COUNTIFS(MASTER!$B$4:$B$1463,"FUCT",MASTER!$I$4:$I$1463,"&lt;&gt;")*$A66*100/100,0)),MASTER!$Y$4:$Y$1463,0))),NA()),IF($B$4="COMBAT RATING",IFERROR(IF(INDEX(MASTER!$G$4:$G$1463,MATCH("FUCT"&amp;"|"&amp;MAX(1,ROUND(COUNTIFS(MASTER!$B$4:$B$1463,"FUCT",MASTER!$G$4:$G$1463,"&lt;&gt;")*$A66*100/100,0)),MASTER!$AH$4:$AH$1463,0))="",NA(),INDEX(MASTER!$G$4:$G$1463,MATCH("FUCT"&amp;"|"&amp;MAX(1,ROUND(COUNTIFS(MASTER!$B$4:$B$1463,"FUCT",MASTER!$G$4:$G$1463,"&lt;&gt;")*$A66*100/100,0)),MASTER!$AH$4:$AH$1463,0))),NA()),IF($B$4="SECONDARY",IFERROR(IF(INDEX(MASTER!$L$4:$L$1463,MATCH("FUCT"&amp;"|"&amp;MAX(1,ROUND(COUNTIFS(MASTER!$B$4:$B$1463,"FUCT",MASTER!$L$4:$L$1463,"&lt;&gt;")*$A66*100/100,0)),MASTER!$AI$4:$AI$1463,0))="",NA(),INDEX(MASTER!$L$4:$L$1463,MATCH("FUCT"&amp;"|"&amp;MAX(1,ROUND(COUNTIFS(MASTER!$B$4:$B$1463,"FUCT",MASTER!$L$4:$L$1463,"&lt;&gt;")*$A66*100/100,0)),MASTER!$AI$4:$AI$1463,0))),NA()))))</f>
        <v>8503</v>
      </c>
      <c r="C66" s="37">
        <f>IF($B$4="RESONANCE",IFERROR(IF(INDEX(MASTER!$I$4:$I$1463,MATCH("LEGENDS"&amp;"|"&amp;MAX(1,ROUND(COUNTIFS(MASTER!$B$4:$B$1463,"LEGENDS",MASTER!$I$4:$I$1463,"&lt;&gt;")*$A66*100/100,0)),MASTER!$Y$4:$Y$1463,0))="",NA(),INDEX(MASTER!$I$4:$I$1463,MATCH("LEGENDS"&amp;"|"&amp;MAX(1,ROUND(COUNTIFS(MASTER!$B$4:$B$1463,"LEGENDS",MASTER!$I$4:$I$1463,"&lt;&gt;")*$A66*100/100,0)),MASTER!$Y$4:$Y$1463,0))),NA()),IF($B$4="COMBAT RATING",IFERROR(IF(INDEX(MASTER!$G$4:$G$1463,MATCH("LEGENDS"&amp;"|"&amp;MAX(1,ROUND(COUNTIFS(MASTER!$B$4:$B$1463,"LEGENDS",MASTER!$G$4:$G$1463,"&lt;&gt;")*$A66*100/100,0)),MASTER!$AH$4:$AH$1463,0))="",NA(),INDEX(MASTER!$G$4:$G$1463,MATCH("LEGENDS"&amp;"|"&amp;MAX(1,ROUND(COUNTIFS(MASTER!$B$4:$B$1463,"LEGENDS",MASTER!$G$4:$G$1463,"&lt;&gt;")*$A66*100/100,0)),MASTER!$AH$4:$AH$1463,0))),NA()),IF($B$4="SECONDARY",IFERROR(IF(INDEX(MASTER!$L$4:$L$1463,MATCH("LEGENDS"&amp;"|"&amp;MAX(1,ROUND(COUNTIFS(MASTER!$B$4:$B$1463,"LEGENDS",MASTER!$L$4:$L$1463,"&lt;&gt;")*$A66*100/100,0)),MASTER!$AI$4:$AI$1463,0))="",NA(),INDEX(MASTER!$L$4:$L$1463,MATCH("LEGENDS"&amp;"|"&amp;MAX(1,ROUND(COUNTIFS(MASTER!$B$4:$B$1463,"LEGENDS",MASTER!$L$4:$L$1463,"&lt;&gt;")*$A66*100/100,0)),MASTER!$AI$4:$AI$1463,0))),NA()))))</f>
        <v>8191</v>
      </c>
      <c r="D66" s="37">
        <f>IF($B$4="RESONANCE",IFERROR(IF(INDEX(MASTER!$I$4:$I$1463,MATCH("VANGUARD"&amp;"|"&amp;MAX(1,ROUND(COUNTIFS(MASTER!$B$4:$B$1463,"VANGUARD",MASTER!$I$4:$I$1463,"&lt;&gt;")*$A66*100/100,0)),MASTER!$Y$4:$Y$1463,0))="",NA(),INDEX(MASTER!$I$4:$I$1463,MATCH("VANGUARD"&amp;"|"&amp;MAX(1,ROUND(COUNTIFS(MASTER!$B$4:$B$1463,"VANGUARD",MASTER!$I$4:$I$1463,"&lt;&gt;")*$A66*100/100,0)),MASTER!$Y$4:$Y$1463,0))),NA()),IF($B$4="COMBAT RATING",IFERROR(IF(INDEX(MASTER!$G$4:$G$1463,MATCH("VANGUARD"&amp;"|"&amp;MAX(1,ROUND(COUNTIFS(MASTER!$B$4:$B$1463,"VANGUARD",MASTER!$G$4:$G$1463,"&lt;&gt;")*$A66*100/100,0)),MASTER!$AH$4:$AH$1463,0))="",NA(),INDEX(MASTER!$G$4:$G$1463,MATCH("VANGUARD"&amp;"|"&amp;MAX(1,ROUND(COUNTIFS(MASTER!$B$4:$B$1463,"VANGUARD",MASTER!$G$4:$G$1463,"&lt;&gt;")*$A66*100/100,0)),MASTER!$AH$4:$AH$1463,0))),NA()),IF($B$4="SECONDARY",IFERROR(IF(INDEX(MASTER!$L$4:$L$1463,MATCH("VANGUARD"&amp;"|"&amp;MAX(1,ROUND(COUNTIFS(MASTER!$B$4:$B$1463,"VANGUARD",MASTER!$L$4:$L$1463,"&lt;&gt;")*$A66*100/100,0)),MASTER!$AI$4:$AI$1463,0))="",NA(),INDEX(MASTER!$L$4:$L$1463,MATCH("VANGUARD"&amp;"|"&amp;MAX(1,ROUND(COUNTIFS(MASTER!$B$4:$B$1463,"VANGUARD",MASTER!$L$4:$L$1463,"&lt;&gt;")*$A66*100/100,0)),MASTER!$AI$4:$AI$1463,0))),NA()))))</f>
        <v>10023</v>
      </c>
      <c r="E66" s="37">
        <f>IF($B$4="RESONANCE",IFERROR(IF(INDEX(MASTER!$I$4:$I$1463,MATCH("UNDYING"&amp;"|"&amp;MAX(1,ROUND(COUNTIFS(MASTER!$B$4:$B$1463,"UNDYING",MASTER!$I$4:$I$1463,"&lt;&gt;")*$A66*100/100,0)),MASTER!$Y$4:$Y$1463,0))="",NA(),INDEX(MASTER!$I$4:$I$1463,MATCH("UNDYING"&amp;"|"&amp;MAX(1,ROUND(COUNTIFS(MASTER!$B$4:$B$1463,"UNDYING",MASTER!$I$4:$I$1463,"&lt;&gt;")*$A66*100/100,0)),MASTER!$Y$4:$Y$1463,0))),NA()),IF($B$4="COMBAT RATING",IFERROR(IF(INDEX(MASTER!$G$4:$G$1463,MATCH("UNDYING"&amp;"|"&amp;MAX(1,ROUND(COUNTIFS(MASTER!$B$4:$B$1463,"UNDYING",MASTER!$G$4:$G$1463,"&lt;&gt;")*$A66*100/100,0)),MASTER!$AH$4:$AH$1463,0))="",NA(),INDEX(MASTER!$G$4:$G$1463,MATCH("UNDYING"&amp;"|"&amp;MAX(1,ROUND(COUNTIFS(MASTER!$B$4:$B$1463,"UNDYING",MASTER!$G$4:$G$1463,"&lt;&gt;")*$A66*100/100,0)),MASTER!$AH$4:$AH$1463,0))),NA()),IF($B$4="SECONDARY",IFERROR(IF(INDEX(MASTER!$L$4:$L$1463,MATCH("UNDYING"&amp;"|"&amp;MAX(1,ROUND(COUNTIFS(MASTER!$B$4:$B$1463,"UNDYING",MASTER!$L$4:$L$1463,"&lt;&gt;")*$A66*100/100,0)),MASTER!$AI$4:$AI$1463,0))="",NA(),INDEX(MASTER!$L$4:$L$1463,MATCH("UNDYING"&amp;"|"&amp;MAX(1,ROUND(COUNTIFS(MASTER!$B$4:$B$1463,"UNDYING",MASTER!$L$4:$L$1463,"&lt;&gt;")*$A66*100/100,0)),MASTER!$AI$4:$AI$1463,0))),NA()))))</f>
        <v>7258</v>
      </c>
      <c r="F66" s="37">
        <f>IF($B$4="RESONANCE",IFERROR(IF(INDEX(MASTER!$I$4:$I$1463,MATCH("SBG"&amp;"|"&amp;MAX(1,ROUND(COUNTIFS(MASTER!$B$4:$B$1463,"SBG",MASTER!$I$4:$I$1463,"&lt;&gt;")*$A66*100/100,0)),MASTER!$Y$4:$Y$1463,0))="",NA(),INDEX(MASTER!$I$4:$I$1463,MATCH("SBG"&amp;"|"&amp;MAX(1,ROUND(COUNTIFS(MASTER!$B$4:$B$1463,"SBG",MASTER!$I$4:$I$1463,"&lt;&gt;")*$A66*100/100,0)),MASTER!$Y$4:$Y$1463,0))),NA()),IF($B$4="COMBAT RATING",IFERROR(IF(INDEX(MASTER!$G$4:$G$1463,MATCH("SBG"&amp;"|"&amp;MAX(1,ROUND(COUNTIFS(MASTER!$B$4:$B$1463,"SBG",MASTER!$G$4:$G$1463,"&lt;&gt;")*$A66*100/100,0)),MASTER!$AH$4:$AH$1463,0))="",NA(),INDEX(MASTER!$G$4:$G$1463,MATCH("SBG"&amp;"|"&amp;MAX(1,ROUND(COUNTIFS(MASTER!$B$4:$B$1463,"SBG",MASTER!$G$4:$G$1463,"&lt;&gt;")*$A66*100/100,0)),MASTER!$AH$4:$AH$1463,0))),NA()),IF($B$4="SECONDARY",IFERROR(IF(INDEX(MASTER!$L$4:$L$1463,MATCH("SBG"&amp;"|"&amp;MAX(1,ROUND(COUNTIFS(MASTER!$B$4:$B$1463,"SBG",MASTER!$L$4:$L$1463,"&lt;&gt;")*$A66*100/100,0)),MASTER!$AI$4:$AI$1463,0))="",NA(),INDEX(MASTER!$L$4:$L$1463,MATCH("SBG"&amp;"|"&amp;MAX(1,ROUND(COUNTIFS(MASTER!$B$4:$B$1463,"SBG",MASTER!$L$4:$L$1463,"&lt;&gt;")*$A66*100/100,0)),MASTER!$AI$4:$AI$1463,0))),NA()))))</f>
        <v>9255</v>
      </c>
      <c r="G66" s="37">
        <f>IF($B$4="RESONANCE",IFERROR(IF(INDEX(MASTER!$I$4:$I$1463,MATCH("AZUKI"&amp;"|"&amp;MAX(1,ROUND(COUNTIFS(MASTER!$B$4:$B$1463,"AZUKI",MASTER!$I$4:$I$1463,"&lt;&gt;")*$A66*100/100,0)),MASTER!$Y$4:$Y$1463,0))="",NA(),INDEX(MASTER!$I$4:$I$1463,MATCH("AZUKI"&amp;"|"&amp;MAX(1,ROUND(COUNTIFS(MASTER!$B$4:$B$1463,"AZUKI",MASTER!$I$4:$I$1463,"&lt;&gt;")*$A66*100/100,0)),MASTER!$Y$4:$Y$1463,0))),NA()),IF($B$4="COMBAT RATING",IFERROR(IF(INDEX(MASTER!$G$4:$G$1463,MATCH("AZUKI"&amp;"|"&amp;MAX(1,ROUND(COUNTIFS(MASTER!$B$4:$B$1463,"AZUKI",MASTER!$G$4:$G$1463,"&lt;&gt;")*$A66*100/100,0)),MASTER!$AH$4:$AH$1463,0))="",NA(),INDEX(MASTER!$G$4:$G$1463,MATCH("AZUKI"&amp;"|"&amp;MAX(1,ROUND(COUNTIFS(MASTER!$B$4:$B$1463,"AZUKI",MASTER!$G$4:$G$1463,"&lt;&gt;")*$A66*100/100,0)),MASTER!$AH$4:$AH$1463,0))),NA()),IF($B$4="SECONDARY",IFERROR(IF(INDEX(MASTER!$L$4:$L$1463,MATCH("AZUKI"&amp;"|"&amp;MAX(1,ROUND(COUNTIFS(MASTER!$B$4:$B$1463,"AZUKI",MASTER!$L$4:$L$1463,"&lt;&gt;")*$A66*100/100,0)),MASTER!$AI$4:$AI$1463,0))="",NA(),INDEX(MASTER!$L$4:$L$1463,MATCH("AZUKI"&amp;"|"&amp;MAX(1,ROUND(COUNTIFS(MASTER!$B$4:$B$1463,"AZUKI",MASTER!$L$4:$L$1463,"&lt;&gt;")*$A66*100/100,0)),MASTER!$AI$4:$AI$1463,0))),NA()))))</f>
        <v>10045</v>
      </c>
      <c r="H66" s="37">
        <f>IF($B$4="RESONANCE",IFERROR(IF(INDEX(MASTER!$I$4:$I$1463,MATCH("RECKONING"&amp;"|"&amp;MAX(1,ROUND(COUNTIFS(MASTER!$B$4:$B$1463,"RECKONING",MASTER!$I$4:$I$1463,"&lt;&gt;")*$A66*100/100,0)),MASTER!$Y$4:$Y$1463,0))="",NA(),INDEX(MASTER!$I$4:$I$1463,MATCH("RECKONING"&amp;"|"&amp;MAX(1,ROUND(COUNTIFS(MASTER!$B$4:$B$1463,"RECKONING",MASTER!$I$4:$I$1463,"&lt;&gt;")*$A66*100/100,0)),MASTER!$Y$4:$Y$1463,0))),NA()),IF($B$4="COMBAT RATING",IFERROR(IF(INDEX(MASTER!$G$4:$G$1463,MATCH("RECKONING"&amp;"|"&amp;MAX(1,ROUND(COUNTIFS(MASTER!$B$4:$B$1463,"RECKONING",MASTER!$G$4:$G$1463,"&lt;&gt;")*$A66*100/100,0)),MASTER!$AH$4:$AH$1463,0))="",NA(),INDEX(MASTER!$G$4:$G$1463,MATCH("RECKONING"&amp;"|"&amp;MAX(1,ROUND(COUNTIFS(MASTER!$B$4:$B$1463,"RECKONING",MASTER!$G$4:$G$1463,"&lt;&gt;")*$A66*100/100,0)),MASTER!$AH$4:$AH$1463,0))),NA()),IF($B$4="SECONDARY",IFERROR(IF(INDEX(MASTER!$L$4:$L$1463,MATCH("RECKONING"&amp;"|"&amp;MAX(1,ROUND(COUNTIFS(MASTER!$B$4:$B$1463,"RECKONING",MASTER!$L$4:$L$1463,"&lt;&gt;")*$A66*100/100,0)),MASTER!$AI$4:$AI$1463,0))="",NA(),INDEX(MASTER!$L$4:$L$1463,MATCH("RECKONING"&amp;"|"&amp;MAX(1,ROUND(COUNTIFS(MASTER!$B$4:$B$1463,"RECKONING",MASTER!$L$4:$L$1463,"&lt;&gt;")*$A66*100/100,0)),MASTER!$AI$4:$AI$1463,0))),NA()))))</f>
        <v>9414</v>
      </c>
      <c r="I66" s="37">
        <f>IF($B$4="RESONANCE",IFERROR(IF(INDEX(MASTER!$I$4:$I$1463,MATCH("ACHERON"&amp;"|"&amp;MAX(1,ROUND(COUNTIFS(MASTER!$B$4:$B$1463,"ACHERON",MASTER!$I$4:$I$1463,"&lt;&gt;")*$A66*100/100,0)),MASTER!$Y$4:$Y$1463,0))="",NA(),INDEX(MASTER!$I$4:$I$1463,MATCH("ACHERON"&amp;"|"&amp;MAX(1,ROUND(COUNTIFS(MASTER!$B$4:$B$1463,"ACHERON",MASTER!$I$4:$I$1463,"&lt;&gt;")*$A66*100/100,0)),MASTER!$Y$4:$Y$1463,0))),NA()),IF($B$4="COMBAT RATING",IFERROR(IF(INDEX(MASTER!$G$4:$G$1463,MATCH("ACHERON"&amp;"|"&amp;MAX(1,ROUND(COUNTIFS(MASTER!$B$4:$B$1463,"ACHERON",MASTER!$G$4:$G$1463,"&lt;&gt;")*$A66*100/100,0)),MASTER!$AH$4:$AH$1463,0))="",NA(),INDEX(MASTER!$G$4:$G$1463,MATCH("ACHERON"&amp;"|"&amp;MAX(1,ROUND(COUNTIFS(MASTER!$B$4:$B$1463,"ACHERON",MASTER!$G$4:$G$1463,"&lt;&gt;")*$A66*100/100,0)),MASTER!$AH$4:$AH$1463,0))),NA()),IF($B$4="SECONDARY",IFERROR(IF(INDEX(MASTER!$L$4:$L$1463,MATCH("ACHERON"&amp;"|"&amp;MAX(1,ROUND(COUNTIFS(MASTER!$B$4:$B$1463,"ACHERON",MASTER!$L$4:$L$1463,"&lt;&gt;")*$A66*100/100,0)),MASTER!$AI$4:$AI$1463,0))="",NA(),INDEX(MASTER!$L$4:$L$1463,MATCH("ACHERON"&amp;"|"&amp;MAX(1,ROUND(COUNTIFS(MASTER!$B$4:$B$1463,"ACHERON",MASTER!$L$4:$L$1463,"&lt;&gt;")*$A66*100/100,0)),MASTER!$AI$4:$AI$1463,0))),NA()))))</f>
        <v>7214</v>
      </c>
      <c r="J66" s="37">
        <f>IF($B$4="RESONANCE",IFERROR(IF(INDEX(MASTER!$I$4:$I$1463,MATCH("INVICTUS"&amp;"|"&amp;MAX(1,ROUND(COUNTIFS(MASTER!$B$4:$B$1463,"INVICTUS",MASTER!$I$4:$I$1463,"&lt;&gt;")*$A66*100/100,0)),MASTER!$Y$4:$Y$1463,0))="",NA(),INDEX(MASTER!$I$4:$I$1463,MATCH("INVICTUS"&amp;"|"&amp;MAX(1,ROUND(COUNTIFS(MASTER!$B$4:$B$1463,"INVICTUS",MASTER!$I$4:$I$1463,"&lt;&gt;")*$A66*100/100,0)),MASTER!$Y$4:$Y$1463,0))),NA()),IF($B$4="COMBAT RATING",IFERROR(IF(INDEX(MASTER!$G$4:$G$1463,MATCH("INVICTUS"&amp;"|"&amp;MAX(1,ROUND(COUNTIFS(MASTER!$B$4:$B$1463,"INVICTUS",MASTER!$G$4:$G$1463,"&lt;&gt;")*$A66*100/100,0)),MASTER!$AH$4:$AH$1463,0))="",NA(),INDEX(MASTER!$G$4:$G$1463,MATCH("INVICTUS"&amp;"|"&amp;MAX(1,ROUND(COUNTIFS(MASTER!$B$4:$B$1463,"INVICTUS",MASTER!$G$4:$G$1463,"&lt;&gt;")*$A66*100/100,0)),MASTER!$AH$4:$AH$1463,0))),NA()),IF($B$4="SECONDARY",IFERROR(IF(INDEX(MASTER!$L$4:$L$1463,MATCH("INVICTUS"&amp;"|"&amp;MAX(1,ROUND(COUNTIFS(MASTER!$B$4:$B$1463,"INVICTUS",MASTER!$L$4:$L$1463,"&lt;&gt;")*$A66*100/100,0)),MASTER!$AI$4:$AI$1463,0))="",NA(),INDEX(MASTER!$L$4:$L$1463,MATCH("INVICTUS"&amp;"|"&amp;MAX(1,ROUND(COUNTIFS(MASTER!$B$4:$B$1463,"INVICTUS",MASTER!$L$4:$L$1463,"&lt;&gt;")*$A66*100/100,0)),MASTER!$AI$4:$AI$1463,0))),NA()))))</f>
        <v>5528</v>
      </c>
      <c r="K66" s="37">
        <f>IF($B$4="RESONANCE",IFERROR(IF(INDEX(MASTER!$I$4:$I$1463,MATCH("EMERALD LEAF TRIBE"&amp;"|"&amp;MAX(1,ROUND(COUNTIFS(MASTER!$B$4:$B$1463,"EMERALD LEAF TRIBE",MASTER!$I$4:$I$1463,"&lt;&gt;")*$A66*100/100,0)),MASTER!$Y$4:$Y$1463,0))="",NA(),INDEX(MASTER!$I$4:$I$1463,MATCH("EMERALD LEAF TRIBE"&amp;"|"&amp;MAX(1,ROUND(COUNTIFS(MASTER!$B$4:$B$1463,"EMERALD LEAF TRIBE",MASTER!$I$4:$I$1463,"&lt;&gt;")*$A66*100/100,0)),MASTER!$Y$4:$Y$1463,0))),NA()),IF($B$4="COMBAT RATING",IFERROR(IF(INDEX(MASTER!$G$4:$G$1463,MATCH("EMERALD LEAF TRIBE"&amp;"|"&amp;MAX(1,ROUND(COUNTIFS(MASTER!$B$4:$B$1463,"EMERALD LEAF TRIBE",MASTER!$G$4:$G$1463,"&lt;&gt;")*$A66*100/100,0)),MASTER!$AH$4:$AH$1463,0))="",NA(),INDEX(MASTER!$G$4:$G$1463,MATCH("EMERALD LEAF TRIBE"&amp;"|"&amp;MAX(1,ROUND(COUNTIFS(MASTER!$B$4:$B$1463,"EMERALD LEAF TRIBE",MASTER!$G$4:$G$1463,"&lt;&gt;")*$A66*100/100,0)),MASTER!$AH$4:$AH$1463,0))),NA()),IF($B$4="SECONDARY",IFERROR(IF(INDEX(MASTER!$L$4:$L$1463,MATCH("EMERALD LEAF TRIBE"&amp;"|"&amp;MAX(1,ROUND(COUNTIFS(MASTER!$B$4:$B$1463,"EMERALD LEAF TRIBE",MASTER!$L$4:$L$1463,"&lt;&gt;")*$A66*100/100,0)),MASTER!$AI$4:$AI$1463,0))="",NA(),INDEX(MASTER!$L$4:$L$1463,MATCH("EMERALD LEAF TRIBE"&amp;"|"&amp;MAX(1,ROUND(COUNTIFS(MASTER!$B$4:$B$1463,"EMERALD LEAF TRIBE",MASTER!$L$4:$L$1463,"&lt;&gt;")*$A66*100/100,0)),MASTER!$AI$4:$AI$1463,0))),NA()))))</f>
        <v>4229</v>
      </c>
      <c r="L66" s="37">
        <f>IF($B$4="RESONANCE",IFERROR(IF(INDEX(MASTER!$I$4:$I$1463,MATCH("SUB ROSA"&amp;"|"&amp;MAX(1,ROUND(COUNTIFS(MASTER!$B$4:$B$1463,"SUB ROSA",MASTER!$I$4:$I$1463,"&lt;&gt;")*$A66*100/100,0)),MASTER!$Y$4:$Y$1463,0))="",NA(),INDEX(MASTER!$I$4:$I$1463,MATCH("SUB ROSA"&amp;"|"&amp;MAX(1,ROUND(COUNTIFS(MASTER!$B$4:$B$1463,"SUB ROSA",MASTER!$I$4:$I$1463,"&lt;&gt;")*$A66*100/100,0)),MASTER!$Y$4:$Y$1463,0))),NA()),IF($B$4="COMBAT RATING",IFERROR(IF(INDEX(MASTER!$G$4:$G$1463,MATCH("SUB ROSA"&amp;"|"&amp;MAX(1,ROUND(COUNTIFS(MASTER!$B$4:$B$1463,"SUB ROSA",MASTER!$G$4:$G$1463,"&lt;&gt;")*$A66*100/100,0)),MASTER!$AH$4:$AH$1463,0))="",NA(),INDEX(MASTER!$G$4:$G$1463,MATCH("SUB ROSA"&amp;"|"&amp;MAX(1,ROUND(COUNTIFS(MASTER!$B$4:$B$1463,"SUB ROSA",MASTER!$G$4:$G$1463,"&lt;&gt;")*$A66*100/100,0)),MASTER!$AH$4:$AH$1463,0))),NA()),IF($B$4="SECONDARY",IFERROR(IF(INDEX(MASTER!$L$4:$L$1463,MATCH("SUB ROSA"&amp;"|"&amp;MAX(1,ROUND(COUNTIFS(MASTER!$B$4:$B$1463,"SUB ROSA",MASTER!$L$4:$L$1463,"&lt;&gt;")*$A66*100/100,0)),MASTER!$AI$4:$AI$1463,0))="",NA(),INDEX(MASTER!$L$4:$L$1463,MATCH("SUB ROSA"&amp;"|"&amp;MAX(1,ROUND(COUNTIFS(MASTER!$B$4:$B$1463,"SUB ROSA",MASTER!$L$4:$L$1463,"&lt;&gt;")*$A66*100/100,0)),MASTER!$AI$4:$AI$1463,0))),NA()))))</f>
        <v>6165</v>
      </c>
      <c r="M66" s="37">
        <f>IF($B$4="RESONANCE",IFERROR(IF(INDEX(MASTER!$I$4:$I$1463,MATCH("VENGEANCE"&amp;"|"&amp;MAX(1,ROUND(COUNTIFS(MASTER!$B$4:$B$1463,"VENGEANCE",MASTER!$I$4:$I$1463,"&lt;&gt;")*$A66*100/100,0)),MASTER!$Y$4:$Y$1463,0))="",NA(),INDEX(MASTER!$I$4:$I$1463,MATCH("VENGEANCE"&amp;"|"&amp;MAX(1,ROUND(COUNTIFS(MASTER!$B$4:$B$1463,"VENGEANCE",MASTER!$I$4:$I$1463,"&lt;&gt;")*$A66*100/100,0)),MASTER!$Y$4:$Y$1463,0))),NA()),IF($B$4="COMBAT RATING",IFERROR(IF(INDEX(MASTER!$G$4:$G$1463,MATCH("VENGEANCE"&amp;"|"&amp;MAX(1,ROUND(COUNTIFS(MASTER!$B$4:$B$1463,"VENGEANCE",MASTER!$G$4:$G$1463,"&lt;&gt;")*$A66*100/100,0)),MASTER!$AH$4:$AH$1463,0))="",NA(),INDEX(MASTER!$G$4:$G$1463,MATCH("VENGEANCE"&amp;"|"&amp;MAX(1,ROUND(COUNTIFS(MASTER!$B$4:$B$1463,"VENGEANCE",MASTER!$G$4:$G$1463,"&lt;&gt;")*$A66*100/100,0)),MASTER!$AH$4:$AH$1463,0))),NA()),IF($B$4="SECONDARY",IFERROR(IF(INDEX(MASTER!$L$4:$L$1463,MATCH("VENGEANCE"&amp;"|"&amp;MAX(1,ROUND(COUNTIFS(MASTER!$B$4:$B$1463,"VENGEANCE",MASTER!$L$4:$L$1463,"&lt;&gt;")*$A66*100/100,0)),MASTER!$AI$4:$AI$1463,0))="",NA(),INDEX(MASTER!$L$4:$L$1463,MATCH("VENGEANCE"&amp;"|"&amp;MAX(1,ROUND(COUNTIFS(MASTER!$B$4:$B$1463,"VENGEANCE",MASTER!$L$4:$L$1463,"&lt;&gt;")*$A66*100/100,0)),MASTER!$AI$4:$AI$1463,0))),NA()))))</f>
        <v>5626</v>
      </c>
      <c r="N66" s="37">
        <f>IF($B$4="RESONANCE",IFERROR(IF(INDEX(MASTER!$I$4:$I$1463,MATCH("VENDETTA"&amp;"|"&amp;MAX(1,ROUND(COUNTIFS(MASTER!$B$4:$B$1463,"VENDETTA",MASTER!$I$4:$I$1463,"&lt;&gt;")*$A66*100/100,0)),MASTER!$Y$4:$Y$1463,0))="",NA(),INDEX(MASTER!$I$4:$I$1463,MATCH("VENDETTA"&amp;"|"&amp;MAX(1,ROUND(COUNTIFS(MASTER!$B$4:$B$1463,"VENDETTA",MASTER!$I$4:$I$1463,"&lt;&gt;")*$A66*100/100,0)),MASTER!$Y$4:$Y$1463,0))),NA()),IF($B$4="COMBAT RATING",IFERROR(IF(INDEX(MASTER!$G$4:$G$1463,MATCH("VENDETTA"&amp;"|"&amp;MAX(1,ROUND(COUNTIFS(MASTER!$B$4:$B$1463,"VENDETTA",MASTER!$G$4:$G$1463,"&lt;&gt;")*$A66*100/100,0)),MASTER!$AH$4:$AH$1463,0))="",NA(),INDEX(MASTER!$G$4:$G$1463,MATCH("VENDETTA"&amp;"|"&amp;MAX(1,ROUND(COUNTIFS(MASTER!$B$4:$B$1463,"VENDETTA",MASTER!$G$4:$G$1463,"&lt;&gt;")*$A66*100/100,0)),MASTER!$AH$4:$AH$1463,0))),NA()),IF($B$4="SECONDARY",IFERROR(IF(INDEX(MASTER!$L$4:$L$1463,MATCH("VENDETTA"&amp;"|"&amp;MAX(1,ROUND(COUNTIFS(MASTER!$B$4:$B$1463,"VENDETTA",MASTER!$L$4:$L$1463,"&lt;&gt;")*$A66*100/100,0)),MASTER!$AI$4:$AI$1463,0))="",NA(),INDEX(MASTER!$L$4:$L$1463,MATCH("VENDETTA"&amp;"|"&amp;MAX(1,ROUND(COUNTIFS(MASTER!$B$4:$B$1463,"VENDETTA",MASTER!$L$4:$L$1463,"&lt;&gt;")*$A66*100/100,0)),MASTER!$AI$4:$AI$1463,0))),NA()))))</f>
        <v>3238</v>
      </c>
      <c r="O66" s="37">
        <f>IF($B$4="RESONANCE",IFERROR(IF(INDEX(MASTER!$I$4:$I$1463,MATCH("ZOMBIES"&amp;"|"&amp;MAX(1,ROUND(COUNTIFS(MASTER!$B$4:$B$1463,"ZOMBIES",MASTER!$I$4:$I$1463,"&lt;&gt;")*$A66*100/100,0)),MASTER!$Y$4:$Y$1463,0))="",NA(),INDEX(MASTER!$I$4:$I$1463,MATCH("ZOMBIES"&amp;"|"&amp;MAX(1,ROUND(COUNTIFS(MASTER!$B$4:$B$1463,"ZOMBIES",MASTER!$I$4:$I$1463,"&lt;&gt;")*$A66*100/100,0)),MASTER!$Y$4:$Y$1463,0))),NA()),IF($B$4="COMBAT RATING",IFERROR(IF(INDEX(MASTER!$G$4:$G$1463,MATCH("ZOMBIES"&amp;"|"&amp;MAX(1,ROUND(COUNTIFS(MASTER!$B$4:$B$1463,"ZOMBIES",MASTER!$G$4:$G$1463,"&lt;&gt;")*$A66*100/100,0)),MASTER!$AH$4:$AH$1463,0))="",NA(),INDEX(MASTER!$G$4:$G$1463,MATCH("ZOMBIES"&amp;"|"&amp;MAX(1,ROUND(COUNTIFS(MASTER!$B$4:$B$1463,"ZOMBIES",MASTER!$G$4:$G$1463,"&lt;&gt;")*$A66*100/100,0)),MASTER!$AH$4:$AH$1463,0))),NA()),IF($B$4="SECONDARY",IFERROR(IF(INDEX(MASTER!$L$4:$L$1463,MATCH("ZOMBIES"&amp;"|"&amp;MAX(1,ROUND(COUNTIFS(MASTER!$B$4:$B$1463,"ZOMBIES",MASTER!$L$4:$L$1463,"&lt;&gt;")*$A66*100/100,0)),MASTER!$AI$4:$AI$1463,0))="",NA(),INDEX(MASTER!$L$4:$L$1463,MATCH("ZOMBIES"&amp;"|"&amp;MAX(1,ROUND(COUNTIFS(MASTER!$B$4:$B$1463,"ZOMBIES",MASTER!$L$4:$L$1463,"&lt;&gt;")*$A66*100/100,0)),MASTER!$AI$4:$AI$1463,0))),NA()))))</f>
        <v>3455</v>
      </c>
      <c r="P66" s="37">
        <f>IF($B$4="RESONANCE",IFERROR(IF(INDEX(MASTER!$I$4:$I$1463,MATCH("FUCT"&amp;"|"&amp;MAX(1,ROUND(COUNTIFS(MASTER!$B$4:$B$1463,"FUCT",MASTER!$I$4:$I$1463,"&lt;&gt;")*$A66*100/100,0)),MASTER!$Y$4:$Y$1463,0))="",NA(),INDEX(MASTER!$I$4:$I$1463,MATCH("FUCT"&amp;"|"&amp;MAX(1,ROUND(COUNTIFS(MASTER!$B$4:$B$1463,"FUCT",MASTER!$I$4:$I$1463,"&lt;&gt;")*$A66*100/100,0)),MASTER!$Y$4:$Y$1463,0))),NA()),IF($B$4="COMBAT RATING",IFERROR(IF(INDEX(MASTER!$G$4:$G$1463,MATCH("FUCT"&amp;"|"&amp;MAX(1,ROUND(COUNTIFS(MASTER!$B$4:$B$1463,"FUCT",MASTER!$G$4:$G$1463,"&lt;&gt;")*$A66*100/100,0)),MASTER!$AH$4:$AH$1463,0))="",NA(),INDEX(MASTER!$G$4:$G$1463,MATCH("FUCT"&amp;"|"&amp;MAX(1,ROUND(COUNTIFS(MASTER!$B$4:$B$1463,"FUCT",MASTER!$G$4:$G$1463,"&lt;&gt;")*$A66*100/100,0)),MASTER!$AH$4:$AH$1463,0))),NA()),IF($B$4="SECONDARY",IFERROR(IF(INDEX(MASTER!$L$4:$L$1463,MATCH("FUCT"&amp;"|"&amp;MAX(1,ROUND(COUNTIFS(MASTER!$B$4:$B$1463,"FUCT",MASTER!$L$4:$L$1463,"&lt;&gt;")*$A66*100/100,0)),MASTER!$AI$4:$AI$1463,0))="",NA(),INDEX(MASTER!$L$4:$L$1463,MATCH("FUCT"&amp;"|"&amp;MAX(1,ROUND(COUNTIFS(MASTER!$B$4:$B$1463,"FUCT",MASTER!$L$4:$L$1463,"&lt;&gt;")*$A66*100/100,0)),MASTER!$AI$4:$AI$1463,0))),NA()))))</f>
        <v>8503</v>
      </c>
      <c r="Q66" s="37">
        <f>IF($B$4="RESONANCE",IFERROR(IF(INDEX(MASTER!$I$4:$I$1463,MATCH($E$4&amp;"|"&amp;MAX(1,ROUND(COUNTIFS(MASTER!$B$4:$B$1463,$E$4,MASTER!$I$4:$I$1463,"&lt;&gt;")*$A66*100/100,0)),MASTER!$Y$4:$Y$1463,0))="",NA(),INDEX(MASTER!$I$4:$I$1463,MATCH($E$4&amp;"|"&amp;MAX(1,ROUND(COUNTIFS(MASTER!$B$4:$B$1463,$E$4,MASTER!$I$4:$I$1463,"&lt;&gt;")*$A66*100/100,0)),MASTER!$Y$4:$Y$1463,0))),NA()),IF($B$4="COMBAT RATING",IFERROR(IF(INDEX(MASTER!$G$4:$G$1463,MATCH($E$4&amp;"|"&amp;MAX(1,ROUND(COUNTIFS(MASTER!$B$4:$B$1463,$E$4,MASTER!$G$4:$G$1463,"&lt;&gt;")*$A66*100/100,0)),MASTER!$AH$4:$AH$1463,0))="",NA(),INDEX(MASTER!$G$4:$G$1463,MATCH($E$4&amp;"|"&amp;MAX(1,ROUND(COUNTIFS(MASTER!$B$4:$B$1463,$E$4,MASTER!$G$4:$G$1463,"&lt;&gt;")*$A66*100/100,0)),MASTER!$AH$4:$AH$1463,0))),NA()),IF($B$4="SECONDARY",IFERROR(IF(INDEX(MASTER!$L$4:$L$1463,MATCH($E$4&amp;"|"&amp;MAX(1,ROUND(COUNTIFS(MASTER!$B$4:$B$1463,$E$4,MASTER!$L$4:$L$1463,"&lt;&gt;")*$A66*100/100,0)),MASTER!$AI$4:$AI$1463,0))="",NA(),INDEX(MASTER!$L$4:$L$1463,MATCH($E$4&amp;"|"&amp;MAX(1,ROUND(COUNTIFS(MASTER!$B$4:$B$1463,$E$4,MASTER!$L$4:$L$1463,"&lt;&gt;")*$A66*100/100,0)),MASTER!$AI$4:$AI$1463,0))),NA()))))</f>
        <v>7258</v>
      </c>
    </row>
    <row r="67" spans="1:17" hidden="1">
      <c r="A67" s="36">
        <v>0.12</v>
      </c>
      <c r="B67" s="37">
        <f>IF($B$4="RESONANCE",IFERROR(IF(INDEX(MASTER!$I$4:$I$1463,MATCH("FUCT"&amp;"|"&amp;MAX(1,ROUND(COUNTIFS(MASTER!$B$4:$B$1463,"FUCT",MASTER!$I$4:$I$1463,"&lt;&gt;")*$A67*100/100,0)),MASTER!$Y$4:$Y$1463,0))="",NA(),INDEX(MASTER!$I$4:$I$1463,MATCH("FUCT"&amp;"|"&amp;MAX(1,ROUND(COUNTIFS(MASTER!$B$4:$B$1463,"FUCT",MASTER!$I$4:$I$1463,"&lt;&gt;")*$A67*100/100,0)),MASTER!$Y$4:$Y$1463,0))),NA()),IF($B$4="COMBAT RATING",IFERROR(IF(INDEX(MASTER!$G$4:$G$1463,MATCH("FUCT"&amp;"|"&amp;MAX(1,ROUND(COUNTIFS(MASTER!$B$4:$B$1463,"FUCT",MASTER!$G$4:$G$1463,"&lt;&gt;")*$A67*100/100,0)),MASTER!$AH$4:$AH$1463,0))="",NA(),INDEX(MASTER!$G$4:$G$1463,MATCH("FUCT"&amp;"|"&amp;MAX(1,ROUND(COUNTIFS(MASTER!$B$4:$B$1463,"FUCT",MASTER!$G$4:$G$1463,"&lt;&gt;")*$A67*100/100,0)),MASTER!$AH$4:$AH$1463,0))),NA()),IF($B$4="SECONDARY",IFERROR(IF(INDEX(MASTER!$L$4:$L$1463,MATCH("FUCT"&amp;"|"&amp;MAX(1,ROUND(COUNTIFS(MASTER!$B$4:$B$1463,"FUCT",MASTER!$L$4:$L$1463,"&lt;&gt;")*$A67*100/100,0)),MASTER!$AI$4:$AI$1463,0))="",NA(),INDEX(MASTER!$L$4:$L$1463,MATCH("FUCT"&amp;"|"&amp;MAX(1,ROUND(COUNTIFS(MASTER!$B$4:$B$1463,"FUCT",MASTER!$L$4:$L$1463,"&lt;&gt;")*$A67*100/100,0)),MASTER!$AI$4:$AI$1463,0))),NA()))))</f>
        <v>8394</v>
      </c>
      <c r="C67" s="37">
        <f>IF($B$4="RESONANCE",IFERROR(IF(INDEX(MASTER!$I$4:$I$1463,MATCH("LEGENDS"&amp;"|"&amp;MAX(1,ROUND(COUNTIFS(MASTER!$B$4:$B$1463,"LEGENDS",MASTER!$I$4:$I$1463,"&lt;&gt;")*$A67*100/100,0)),MASTER!$Y$4:$Y$1463,0))="",NA(),INDEX(MASTER!$I$4:$I$1463,MATCH("LEGENDS"&amp;"|"&amp;MAX(1,ROUND(COUNTIFS(MASTER!$B$4:$B$1463,"LEGENDS",MASTER!$I$4:$I$1463,"&lt;&gt;")*$A67*100/100,0)),MASTER!$Y$4:$Y$1463,0))),NA()),IF($B$4="COMBAT RATING",IFERROR(IF(INDEX(MASTER!$G$4:$G$1463,MATCH("LEGENDS"&amp;"|"&amp;MAX(1,ROUND(COUNTIFS(MASTER!$B$4:$B$1463,"LEGENDS",MASTER!$G$4:$G$1463,"&lt;&gt;")*$A67*100/100,0)),MASTER!$AH$4:$AH$1463,0))="",NA(),INDEX(MASTER!$G$4:$G$1463,MATCH("LEGENDS"&amp;"|"&amp;MAX(1,ROUND(COUNTIFS(MASTER!$B$4:$B$1463,"LEGENDS",MASTER!$G$4:$G$1463,"&lt;&gt;")*$A67*100/100,0)),MASTER!$AH$4:$AH$1463,0))),NA()),IF($B$4="SECONDARY",IFERROR(IF(INDEX(MASTER!$L$4:$L$1463,MATCH("LEGENDS"&amp;"|"&amp;MAX(1,ROUND(COUNTIFS(MASTER!$B$4:$B$1463,"LEGENDS",MASTER!$L$4:$L$1463,"&lt;&gt;")*$A67*100/100,0)),MASTER!$AI$4:$AI$1463,0))="",NA(),INDEX(MASTER!$L$4:$L$1463,MATCH("LEGENDS"&amp;"|"&amp;MAX(1,ROUND(COUNTIFS(MASTER!$B$4:$B$1463,"LEGENDS",MASTER!$L$4:$L$1463,"&lt;&gt;")*$A67*100/100,0)),MASTER!$AI$4:$AI$1463,0))),NA()))))</f>
        <v>8102</v>
      </c>
      <c r="D67" s="37">
        <f>IF($B$4="RESONANCE",IFERROR(IF(INDEX(MASTER!$I$4:$I$1463,MATCH("VANGUARD"&amp;"|"&amp;MAX(1,ROUND(COUNTIFS(MASTER!$B$4:$B$1463,"VANGUARD",MASTER!$I$4:$I$1463,"&lt;&gt;")*$A67*100/100,0)),MASTER!$Y$4:$Y$1463,0))="",NA(),INDEX(MASTER!$I$4:$I$1463,MATCH("VANGUARD"&amp;"|"&amp;MAX(1,ROUND(COUNTIFS(MASTER!$B$4:$B$1463,"VANGUARD",MASTER!$I$4:$I$1463,"&lt;&gt;")*$A67*100/100,0)),MASTER!$Y$4:$Y$1463,0))),NA()),IF($B$4="COMBAT RATING",IFERROR(IF(INDEX(MASTER!$G$4:$G$1463,MATCH("VANGUARD"&amp;"|"&amp;MAX(1,ROUND(COUNTIFS(MASTER!$B$4:$B$1463,"VANGUARD",MASTER!$G$4:$G$1463,"&lt;&gt;")*$A67*100/100,0)),MASTER!$AH$4:$AH$1463,0))="",NA(),INDEX(MASTER!$G$4:$G$1463,MATCH("VANGUARD"&amp;"|"&amp;MAX(1,ROUND(COUNTIFS(MASTER!$B$4:$B$1463,"VANGUARD",MASTER!$G$4:$G$1463,"&lt;&gt;")*$A67*100/100,0)),MASTER!$AH$4:$AH$1463,0))),NA()),IF($B$4="SECONDARY",IFERROR(IF(INDEX(MASTER!$L$4:$L$1463,MATCH("VANGUARD"&amp;"|"&amp;MAX(1,ROUND(COUNTIFS(MASTER!$B$4:$B$1463,"VANGUARD",MASTER!$L$4:$L$1463,"&lt;&gt;")*$A67*100/100,0)),MASTER!$AI$4:$AI$1463,0))="",NA(),INDEX(MASTER!$L$4:$L$1463,MATCH("VANGUARD"&amp;"|"&amp;MAX(1,ROUND(COUNTIFS(MASTER!$B$4:$B$1463,"VANGUARD",MASTER!$L$4:$L$1463,"&lt;&gt;")*$A67*100/100,0)),MASTER!$AI$4:$AI$1463,0))),NA()))))</f>
        <v>9953</v>
      </c>
      <c r="E67" s="37">
        <f>IF($B$4="RESONANCE",IFERROR(IF(INDEX(MASTER!$I$4:$I$1463,MATCH("UNDYING"&amp;"|"&amp;MAX(1,ROUND(COUNTIFS(MASTER!$B$4:$B$1463,"UNDYING",MASTER!$I$4:$I$1463,"&lt;&gt;")*$A67*100/100,0)),MASTER!$Y$4:$Y$1463,0))="",NA(),INDEX(MASTER!$I$4:$I$1463,MATCH("UNDYING"&amp;"|"&amp;MAX(1,ROUND(COUNTIFS(MASTER!$B$4:$B$1463,"UNDYING",MASTER!$I$4:$I$1463,"&lt;&gt;")*$A67*100/100,0)),MASTER!$Y$4:$Y$1463,0))),NA()),IF($B$4="COMBAT RATING",IFERROR(IF(INDEX(MASTER!$G$4:$G$1463,MATCH("UNDYING"&amp;"|"&amp;MAX(1,ROUND(COUNTIFS(MASTER!$B$4:$B$1463,"UNDYING",MASTER!$G$4:$G$1463,"&lt;&gt;")*$A67*100/100,0)),MASTER!$AH$4:$AH$1463,0))="",NA(),INDEX(MASTER!$G$4:$G$1463,MATCH("UNDYING"&amp;"|"&amp;MAX(1,ROUND(COUNTIFS(MASTER!$B$4:$B$1463,"UNDYING",MASTER!$G$4:$G$1463,"&lt;&gt;")*$A67*100/100,0)),MASTER!$AH$4:$AH$1463,0))),NA()),IF($B$4="SECONDARY",IFERROR(IF(INDEX(MASTER!$L$4:$L$1463,MATCH("UNDYING"&amp;"|"&amp;MAX(1,ROUND(COUNTIFS(MASTER!$B$4:$B$1463,"UNDYING",MASTER!$L$4:$L$1463,"&lt;&gt;")*$A67*100/100,0)),MASTER!$AI$4:$AI$1463,0))="",NA(),INDEX(MASTER!$L$4:$L$1463,MATCH("UNDYING"&amp;"|"&amp;MAX(1,ROUND(COUNTIFS(MASTER!$B$4:$B$1463,"UNDYING",MASTER!$L$4:$L$1463,"&lt;&gt;")*$A67*100/100,0)),MASTER!$AI$4:$AI$1463,0))),NA()))))</f>
        <v>7230</v>
      </c>
      <c r="F67" s="37">
        <f>IF($B$4="RESONANCE",IFERROR(IF(INDEX(MASTER!$I$4:$I$1463,MATCH("SBG"&amp;"|"&amp;MAX(1,ROUND(COUNTIFS(MASTER!$B$4:$B$1463,"SBG",MASTER!$I$4:$I$1463,"&lt;&gt;")*$A67*100/100,0)),MASTER!$Y$4:$Y$1463,0))="",NA(),INDEX(MASTER!$I$4:$I$1463,MATCH("SBG"&amp;"|"&amp;MAX(1,ROUND(COUNTIFS(MASTER!$B$4:$B$1463,"SBG",MASTER!$I$4:$I$1463,"&lt;&gt;")*$A67*100/100,0)),MASTER!$Y$4:$Y$1463,0))),NA()),IF($B$4="COMBAT RATING",IFERROR(IF(INDEX(MASTER!$G$4:$G$1463,MATCH("SBG"&amp;"|"&amp;MAX(1,ROUND(COUNTIFS(MASTER!$B$4:$B$1463,"SBG",MASTER!$G$4:$G$1463,"&lt;&gt;")*$A67*100/100,0)),MASTER!$AH$4:$AH$1463,0))="",NA(),INDEX(MASTER!$G$4:$G$1463,MATCH("SBG"&amp;"|"&amp;MAX(1,ROUND(COUNTIFS(MASTER!$B$4:$B$1463,"SBG",MASTER!$G$4:$G$1463,"&lt;&gt;")*$A67*100/100,0)),MASTER!$AH$4:$AH$1463,0))),NA()),IF($B$4="SECONDARY",IFERROR(IF(INDEX(MASTER!$L$4:$L$1463,MATCH("SBG"&amp;"|"&amp;MAX(1,ROUND(COUNTIFS(MASTER!$B$4:$B$1463,"SBG",MASTER!$L$4:$L$1463,"&lt;&gt;")*$A67*100/100,0)),MASTER!$AI$4:$AI$1463,0))="",NA(),INDEX(MASTER!$L$4:$L$1463,MATCH("SBG"&amp;"|"&amp;MAX(1,ROUND(COUNTIFS(MASTER!$B$4:$B$1463,"SBG",MASTER!$L$4:$L$1463,"&lt;&gt;")*$A67*100/100,0)),MASTER!$AI$4:$AI$1463,0))),NA()))))</f>
        <v>9008</v>
      </c>
      <c r="G67" s="37">
        <f>IF($B$4="RESONANCE",IFERROR(IF(INDEX(MASTER!$I$4:$I$1463,MATCH("AZUKI"&amp;"|"&amp;MAX(1,ROUND(COUNTIFS(MASTER!$B$4:$B$1463,"AZUKI",MASTER!$I$4:$I$1463,"&lt;&gt;")*$A67*100/100,0)),MASTER!$Y$4:$Y$1463,0))="",NA(),INDEX(MASTER!$I$4:$I$1463,MATCH("AZUKI"&amp;"|"&amp;MAX(1,ROUND(COUNTIFS(MASTER!$B$4:$B$1463,"AZUKI",MASTER!$I$4:$I$1463,"&lt;&gt;")*$A67*100/100,0)),MASTER!$Y$4:$Y$1463,0))),NA()),IF($B$4="COMBAT RATING",IFERROR(IF(INDEX(MASTER!$G$4:$G$1463,MATCH("AZUKI"&amp;"|"&amp;MAX(1,ROUND(COUNTIFS(MASTER!$B$4:$B$1463,"AZUKI",MASTER!$G$4:$G$1463,"&lt;&gt;")*$A67*100/100,0)),MASTER!$AH$4:$AH$1463,0))="",NA(),INDEX(MASTER!$G$4:$G$1463,MATCH("AZUKI"&amp;"|"&amp;MAX(1,ROUND(COUNTIFS(MASTER!$B$4:$B$1463,"AZUKI",MASTER!$G$4:$G$1463,"&lt;&gt;")*$A67*100/100,0)),MASTER!$AH$4:$AH$1463,0))),NA()),IF($B$4="SECONDARY",IFERROR(IF(INDEX(MASTER!$L$4:$L$1463,MATCH("AZUKI"&amp;"|"&amp;MAX(1,ROUND(COUNTIFS(MASTER!$B$4:$B$1463,"AZUKI",MASTER!$L$4:$L$1463,"&lt;&gt;")*$A67*100/100,0)),MASTER!$AI$4:$AI$1463,0))="",NA(),INDEX(MASTER!$L$4:$L$1463,MATCH("AZUKI"&amp;"|"&amp;MAX(1,ROUND(COUNTIFS(MASTER!$B$4:$B$1463,"AZUKI",MASTER!$L$4:$L$1463,"&lt;&gt;")*$A67*100/100,0)),MASTER!$AI$4:$AI$1463,0))),NA()))))</f>
        <v>10007</v>
      </c>
      <c r="H67" s="37">
        <f>IF($B$4="RESONANCE",IFERROR(IF(INDEX(MASTER!$I$4:$I$1463,MATCH("RECKONING"&amp;"|"&amp;MAX(1,ROUND(COUNTIFS(MASTER!$B$4:$B$1463,"RECKONING",MASTER!$I$4:$I$1463,"&lt;&gt;")*$A67*100/100,0)),MASTER!$Y$4:$Y$1463,0))="",NA(),INDEX(MASTER!$I$4:$I$1463,MATCH("RECKONING"&amp;"|"&amp;MAX(1,ROUND(COUNTIFS(MASTER!$B$4:$B$1463,"RECKONING",MASTER!$I$4:$I$1463,"&lt;&gt;")*$A67*100/100,0)),MASTER!$Y$4:$Y$1463,0))),NA()),IF($B$4="COMBAT RATING",IFERROR(IF(INDEX(MASTER!$G$4:$G$1463,MATCH("RECKONING"&amp;"|"&amp;MAX(1,ROUND(COUNTIFS(MASTER!$B$4:$B$1463,"RECKONING",MASTER!$G$4:$G$1463,"&lt;&gt;")*$A67*100/100,0)),MASTER!$AH$4:$AH$1463,0))="",NA(),INDEX(MASTER!$G$4:$G$1463,MATCH("RECKONING"&amp;"|"&amp;MAX(1,ROUND(COUNTIFS(MASTER!$B$4:$B$1463,"RECKONING",MASTER!$G$4:$G$1463,"&lt;&gt;")*$A67*100/100,0)),MASTER!$AH$4:$AH$1463,0))),NA()),IF($B$4="SECONDARY",IFERROR(IF(INDEX(MASTER!$L$4:$L$1463,MATCH("RECKONING"&amp;"|"&amp;MAX(1,ROUND(COUNTIFS(MASTER!$B$4:$B$1463,"RECKONING",MASTER!$L$4:$L$1463,"&lt;&gt;")*$A67*100/100,0)),MASTER!$AI$4:$AI$1463,0))="",NA(),INDEX(MASTER!$L$4:$L$1463,MATCH("RECKONING"&amp;"|"&amp;MAX(1,ROUND(COUNTIFS(MASTER!$B$4:$B$1463,"RECKONING",MASTER!$L$4:$L$1463,"&lt;&gt;")*$A67*100/100,0)),MASTER!$AI$4:$AI$1463,0))),NA()))))</f>
        <v>9398</v>
      </c>
      <c r="I67" s="37">
        <f>IF($B$4="RESONANCE",IFERROR(IF(INDEX(MASTER!$I$4:$I$1463,MATCH("ACHERON"&amp;"|"&amp;MAX(1,ROUND(COUNTIFS(MASTER!$B$4:$B$1463,"ACHERON",MASTER!$I$4:$I$1463,"&lt;&gt;")*$A67*100/100,0)),MASTER!$Y$4:$Y$1463,0))="",NA(),INDEX(MASTER!$I$4:$I$1463,MATCH("ACHERON"&amp;"|"&amp;MAX(1,ROUND(COUNTIFS(MASTER!$B$4:$B$1463,"ACHERON",MASTER!$I$4:$I$1463,"&lt;&gt;")*$A67*100/100,0)),MASTER!$Y$4:$Y$1463,0))),NA()),IF($B$4="COMBAT RATING",IFERROR(IF(INDEX(MASTER!$G$4:$G$1463,MATCH("ACHERON"&amp;"|"&amp;MAX(1,ROUND(COUNTIFS(MASTER!$B$4:$B$1463,"ACHERON",MASTER!$G$4:$G$1463,"&lt;&gt;")*$A67*100/100,0)),MASTER!$AH$4:$AH$1463,0))="",NA(),INDEX(MASTER!$G$4:$G$1463,MATCH("ACHERON"&amp;"|"&amp;MAX(1,ROUND(COUNTIFS(MASTER!$B$4:$B$1463,"ACHERON",MASTER!$G$4:$G$1463,"&lt;&gt;")*$A67*100/100,0)),MASTER!$AH$4:$AH$1463,0))),NA()),IF($B$4="SECONDARY",IFERROR(IF(INDEX(MASTER!$L$4:$L$1463,MATCH("ACHERON"&amp;"|"&amp;MAX(1,ROUND(COUNTIFS(MASTER!$B$4:$B$1463,"ACHERON",MASTER!$L$4:$L$1463,"&lt;&gt;")*$A67*100/100,0)),MASTER!$AI$4:$AI$1463,0))="",NA(),INDEX(MASTER!$L$4:$L$1463,MATCH("ACHERON"&amp;"|"&amp;MAX(1,ROUND(COUNTIFS(MASTER!$B$4:$B$1463,"ACHERON",MASTER!$L$4:$L$1463,"&lt;&gt;")*$A67*100/100,0)),MASTER!$AI$4:$AI$1463,0))),NA()))))</f>
        <v>6428</v>
      </c>
      <c r="J67" s="37">
        <f>IF($B$4="RESONANCE",IFERROR(IF(INDEX(MASTER!$I$4:$I$1463,MATCH("INVICTUS"&amp;"|"&amp;MAX(1,ROUND(COUNTIFS(MASTER!$B$4:$B$1463,"INVICTUS",MASTER!$I$4:$I$1463,"&lt;&gt;")*$A67*100/100,0)),MASTER!$Y$4:$Y$1463,0))="",NA(),INDEX(MASTER!$I$4:$I$1463,MATCH("INVICTUS"&amp;"|"&amp;MAX(1,ROUND(COUNTIFS(MASTER!$B$4:$B$1463,"INVICTUS",MASTER!$I$4:$I$1463,"&lt;&gt;")*$A67*100/100,0)),MASTER!$Y$4:$Y$1463,0))),NA()),IF($B$4="COMBAT RATING",IFERROR(IF(INDEX(MASTER!$G$4:$G$1463,MATCH("INVICTUS"&amp;"|"&amp;MAX(1,ROUND(COUNTIFS(MASTER!$B$4:$B$1463,"INVICTUS",MASTER!$G$4:$G$1463,"&lt;&gt;")*$A67*100/100,0)),MASTER!$AH$4:$AH$1463,0))="",NA(),INDEX(MASTER!$G$4:$G$1463,MATCH("INVICTUS"&amp;"|"&amp;MAX(1,ROUND(COUNTIFS(MASTER!$B$4:$B$1463,"INVICTUS",MASTER!$G$4:$G$1463,"&lt;&gt;")*$A67*100/100,0)),MASTER!$AH$4:$AH$1463,0))),NA()),IF($B$4="SECONDARY",IFERROR(IF(INDEX(MASTER!$L$4:$L$1463,MATCH("INVICTUS"&amp;"|"&amp;MAX(1,ROUND(COUNTIFS(MASTER!$B$4:$B$1463,"INVICTUS",MASTER!$L$4:$L$1463,"&lt;&gt;")*$A67*100/100,0)),MASTER!$AI$4:$AI$1463,0))="",NA(),INDEX(MASTER!$L$4:$L$1463,MATCH("INVICTUS"&amp;"|"&amp;MAX(1,ROUND(COUNTIFS(MASTER!$B$4:$B$1463,"INVICTUS",MASTER!$L$4:$L$1463,"&lt;&gt;")*$A67*100/100,0)),MASTER!$AI$4:$AI$1463,0))),NA()))))</f>
        <v>5468</v>
      </c>
      <c r="K67" s="37">
        <f>IF($B$4="RESONANCE",IFERROR(IF(INDEX(MASTER!$I$4:$I$1463,MATCH("EMERALD LEAF TRIBE"&amp;"|"&amp;MAX(1,ROUND(COUNTIFS(MASTER!$B$4:$B$1463,"EMERALD LEAF TRIBE",MASTER!$I$4:$I$1463,"&lt;&gt;")*$A67*100/100,0)),MASTER!$Y$4:$Y$1463,0))="",NA(),INDEX(MASTER!$I$4:$I$1463,MATCH("EMERALD LEAF TRIBE"&amp;"|"&amp;MAX(1,ROUND(COUNTIFS(MASTER!$B$4:$B$1463,"EMERALD LEAF TRIBE",MASTER!$I$4:$I$1463,"&lt;&gt;")*$A67*100/100,0)),MASTER!$Y$4:$Y$1463,0))),NA()),IF($B$4="COMBAT RATING",IFERROR(IF(INDEX(MASTER!$G$4:$G$1463,MATCH("EMERALD LEAF TRIBE"&amp;"|"&amp;MAX(1,ROUND(COUNTIFS(MASTER!$B$4:$B$1463,"EMERALD LEAF TRIBE",MASTER!$G$4:$G$1463,"&lt;&gt;")*$A67*100/100,0)),MASTER!$AH$4:$AH$1463,0))="",NA(),INDEX(MASTER!$G$4:$G$1463,MATCH("EMERALD LEAF TRIBE"&amp;"|"&amp;MAX(1,ROUND(COUNTIFS(MASTER!$B$4:$B$1463,"EMERALD LEAF TRIBE",MASTER!$G$4:$G$1463,"&lt;&gt;")*$A67*100/100,0)),MASTER!$AH$4:$AH$1463,0))),NA()),IF($B$4="SECONDARY",IFERROR(IF(INDEX(MASTER!$L$4:$L$1463,MATCH("EMERALD LEAF TRIBE"&amp;"|"&amp;MAX(1,ROUND(COUNTIFS(MASTER!$B$4:$B$1463,"EMERALD LEAF TRIBE",MASTER!$L$4:$L$1463,"&lt;&gt;")*$A67*100/100,0)),MASTER!$AI$4:$AI$1463,0))="",NA(),INDEX(MASTER!$L$4:$L$1463,MATCH("EMERALD LEAF TRIBE"&amp;"|"&amp;MAX(1,ROUND(COUNTIFS(MASTER!$B$4:$B$1463,"EMERALD LEAF TRIBE",MASTER!$L$4:$L$1463,"&lt;&gt;")*$A67*100/100,0)),MASTER!$AI$4:$AI$1463,0))),NA()))))</f>
        <v>4165</v>
      </c>
      <c r="L67" s="37">
        <f>IF($B$4="RESONANCE",IFERROR(IF(INDEX(MASTER!$I$4:$I$1463,MATCH("SUB ROSA"&amp;"|"&amp;MAX(1,ROUND(COUNTIFS(MASTER!$B$4:$B$1463,"SUB ROSA",MASTER!$I$4:$I$1463,"&lt;&gt;")*$A67*100/100,0)),MASTER!$Y$4:$Y$1463,0))="",NA(),INDEX(MASTER!$I$4:$I$1463,MATCH("SUB ROSA"&amp;"|"&amp;MAX(1,ROUND(COUNTIFS(MASTER!$B$4:$B$1463,"SUB ROSA",MASTER!$I$4:$I$1463,"&lt;&gt;")*$A67*100/100,0)),MASTER!$Y$4:$Y$1463,0))),NA()),IF($B$4="COMBAT RATING",IFERROR(IF(INDEX(MASTER!$G$4:$G$1463,MATCH("SUB ROSA"&amp;"|"&amp;MAX(1,ROUND(COUNTIFS(MASTER!$B$4:$B$1463,"SUB ROSA",MASTER!$G$4:$G$1463,"&lt;&gt;")*$A67*100/100,0)),MASTER!$AH$4:$AH$1463,0))="",NA(),INDEX(MASTER!$G$4:$G$1463,MATCH("SUB ROSA"&amp;"|"&amp;MAX(1,ROUND(COUNTIFS(MASTER!$B$4:$B$1463,"SUB ROSA",MASTER!$G$4:$G$1463,"&lt;&gt;")*$A67*100/100,0)),MASTER!$AH$4:$AH$1463,0))),NA()),IF($B$4="SECONDARY",IFERROR(IF(INDEX(MASTER!$L$4:$L$1463,MATCH("SUB ROSA"&amp;"|"&amp;MAX(1,ROUND(COUNTIFS(MASTER!$B$4:$B$1463,"SUB ROSA",MASTER!$L$4:$L$1463,"&lt;&gt;")*$A67*100/100,0)),MASTER!$AI$4:$AI$1463,0))="",NA(),INDEX(MASTER!$L$4:$L$1463,MATCH("SUB ROSA"&amp;"|"&amp;MAX(1,ROUND(COUNTIFS(MASTER!$B$4:$B$1463,"SUB ROSA",MASTER!$L$4:$L$1463,"&lt;&gt;")*$A67*100/100,0)),MASTER!$AI$4:$AI$1463,0))),NA()))))</f>
        <v>6013</v>
      </c>
      <c r="M67" s="37">
        <f>IF($B$4="RESONANCE",IFERROR(IF(INDEX(MASTER!$I$4:$I$1463,MATCH("VENGEANCE"&amp;"|"&amp;MAX(1,ROUND(COUNTIFS(MASTER!$B$4:$B$1463,"VENGEANCE",MASTER!$I$4:$I$1463,"&lt;&gt;")*$A67*100/100,0)),MASTER!$Y$4:$Y$1463,0))="",NA(),INDEX(MASTER!$I$4:$I$1463,MATCH("VENGEANCE"&amp;"|"&amp;MAX(1,ROUND(COUNTIFS(MASTER!$B$4:$B$1463,"VENGEANCE",MASTER!$I$4:$I$1463,"&lt;&gt;")*$A67*100/100,0)),MASTER!$Y$4:$Y$1463,0))),NA()),IF($B$4="COMBAT RATING",IFERROR(IF(INDEX(MASTER!$G$4:$G$1463,MATCH("VENGEANCE"&amp;"|"&amp;MAX(1,ROUND(COUNTIFS(MASTER!$B$4:$B$1463,"VENGEANCE",MASTER!$G$4:$G$1463,"&lt;&gt;")*$A67*100/100,0)),MASTER!$AH$4:$AH$1463,0))="",NA(),INDEX(MASTER!$G$4:$G$1463,MATCH("VENGEANCE"&amp;"|"&amp;MAX(1,ROUND(COUNTIFS(MASTER!$B$4:$B$1463,"VENGEANCE",MASTER!$G$4:$G$1463,"&lt;&gt;")*$A67*100/100,0)),MASTER!$AH$4:$AH$1463,0))),NA()),IF($B$4="SECONDARY",IFERROR(IF(INDEX(MASTER!$L$4:$L$1463,MATCH("VENGEANCE"&amp;"|"&amp;MAX(1,ROUND(COUNTIFS(MASTER!$B$4:$B$1463,"VENGEANCE",MASTER!$L$4:$L$1463,"&lt;&gt;")*$A67*100/100,0)),MASTER!$AI$4:$AI$1463,0))="",NA(),INDEX(MASTER!$L$4:$L$1463,MATCH("VENGEANCE"&amp;"|"&amp;MAX(1,ROUND(COUNTIFS(MASTER!$B$4:$B$1463,"VENGEANCE",MASTER!$L$4:$L$1463,"&lt;&gt;")*$A67*100/100,0)),MASTER!$AI$4:$AI$1463,0))),NA()))))</f>
        <v>5330</v>
      </c>
      <c r="N67" s="37">
        <f>IF($B$4="RESONANCE",IFERROR(IF(INDEX(MASTER!$I$4:$I$1463,MATCH("VENDETTA"&amp;"|"&amp;MAX(1,ROUND(COUNTIFS(MASTER!$B$4:$B$1463,"VENDETTA",MASTER!$I$4:$I$1463,"&lt;&gt;")*$A67*100/100,0)),MASTER!$Y$4:$Y$1463,0))="",NA(),INDEX(MASTER!$I$4:$I$1463,MATCH("VENDETTA"&amp;"|"&amp;MAX(1,ROUND(COUNTIFS(MASTER!$B$4:$B$1463,"VENDETTA",MASTER!$I$4:$I$1463,"&lt;&gt;")*$A67*100/100,0)),MASTER!$Y$4:$Y$1463,0))),NA()),IF($B$4="COMBAT RATING",IFERROR(IF(INDEX(MASTER!$G$4:$G$1463,MATCH("VENDETTA"&amp;"|"&amp;MAX(1,ROUND(COUNTIFS(MASTER!$B$4:$B$1463,"VENDETTA",MASTER!$G$4:$G$1463,"&lt;&gt;")*$A67*100/100,0)),MASTER!$AH$4:$AH$1463,0))="",NA(),INDEX(MASTER!$G$4:$G$1463,MATCH("VENDETTA"&amp;"|"&amp;MAX(1,ROUND(COUNTIFS(MASTER!$B$4:$B$1463,"VENDETTA",MASTER!$G$4:$G$1463,"&lt;&gt;")*$A67*100/100,0)),MASTER!$AH$4:$AH$1463,0))),NA()),IF($B$4="SECONDARY",IFERROR(IF(INDEX(MASTER!$L$4:$L$1463,MATCH("VENDETTA"&amp;"|"&amp;MAX(1,ROUND(COUNTIFS(MASTER!$B$4:$B$1463,"VENDETTA",MASTER!$L$4:$L$1463,"&lt;&gt;")*$A67*100/100,0)),MASTER!$AI$4:$AI$1463,0))="",NA(),INDEX(MASTER!$L$4:$L$1463,MATCH("VENDETTA"&amp;"|"&amp;MAX(1,ROUND(COUNTIFS(MASTER!$B$4:$B$1463,"VENDETTA",MASTER!$L$4:$L$1463,"&lt;&gt;")*$A67*100/100,0)),MASTER!$AI$4:$AI$1463,0))),NA()))))</f>
        <v>3219</v>
      </c>
      <c r="O67" s="37">
        <f>IF($B$4="RESONANCE",IFERROR(IF(INDEX(MASTER!$I$4:$I$1463,MATCH("ZOMBIES"&amp;"|"&amp;MAX(1,ROUND(COUNTIFS(MASTER!$B$4:$B$1463,"ZOMBIES",MASTER!$I$4:$I$1463,"&lt;&gt;")*$A67*100/100,0)),MASTER!$Y$4:$Y$1463,0))="",NA(),INDEX(MASTER!$I$4:$I$1463,MATCH("ZOMBIES"&amp;"|"&amp;MAX(1,ROUND(COUNTIFS(MASTER!$B$4:$B$1463,"ZOMBIES",MASTER!$I$4:$I$1463,"&lt;&gt;")*$A67*100/100,0)),MASTER!$Y$4:$Y$1463,0))),NA()),IF($B$4="COMBAT RATING",IFERROR(IF(INDEX(MASTER!$G$4:$G$1463,MATCH("ZOMBIES"&amp;"|"&amp;MAX(1,ROUND(COUNTIFS(MASTER!$B$4:$B$1463,"ZOMBIES",MASTER!$G$4:$G$1463,"&lt;&gt;")*$A67*100/100,0)),MASTER!$AH$4:$AH$1463,0))="",NA(),INDEX(MASTER!$G$4:$G$1463,MATCH("ZOMBIES"&amp;"|"&amp;MAX(1,ROUND(COUNTIFS(MASTER!$B$4:$B$1463,"ZOMBIES",MASTER!$G$4:$G$1463,"&lt;&gt;")*$A67*100/100,0)),MASTER!$AH$4:$AH$1463,0))),NA()),IF($B$4="SECONDARY",IFERROR(IF(INDEX(MASTER!$L$4:$L$1463,MATCH("ZOMBIES"&amp;"|"&amp;MAX(1,ROUND(COUNTIFS(MASTER!$B$4:$B$1463,"ZOMBIES",MASTER!$L$4:$L$1463,"&lt;&gt;")*$A67*100/100,0)),MASTER!$AI$4:$AI$1463,0))="",NA(),INDEX(MASTER!$L$4:$L$1463,MATCH("ZOMBIES"&amp;"|"&amp;MAX(1,ROUND(COUNTIFS(MASTER!$B$4:$B$1463,"ZOMBIES",MASTER!$L$4:$L$1463,"&lt;&gt;")*$A67*100/100,0)),MASTER!$AI$4:$AI$1463,0))),NA()))))</f>
        <v>3353</v>
      </c>
      <c r="P67" s="37">
        <f>IF($B$4="RESONANCE",IFERROR(IF(INDEX(MASTER!$I$4:$I$1463,MATCH("FUCT"&amp;"|"&amp;MAX(1,ROUND(COUNTIFS(MASTER!$B$4:$B$1463,"FUCT",MASTER!$I$4:$I$1463,"&lt;&gt;")*$A67*100/100,0)),MASTER!$Y$4:$Y$1463,0))="",NA(),INDEX(MASTER!$I$4:$I$1463,MATCH("FUCT"&amp;"|"&amp;MAX(1,ROUND(COUNTIFS(MASTER!$B$4:$B$1463,"FUCT",MASTER!$I$4:$I$1463,"&lt;&gt;")*$A67*100/100,0)),MASTER!$Y$4:$Y$1463,0))),NA()),IF($B$4="COMBAT RATING",IFERROR(IF(INDEX(MASTER!$G$4:$G$1463,MATCH("FUCT"&amp;"|"&amp;MAX(1,ROUND(COUNTIFS(MASTER!$B$4:$B$1463,"FUCT",MASTER!$G$4:$G$1463,"&lt;&gt;")*$A67*100/100,0)),MASTER!$AH$4:$AH$1463,0))="",NA(),INDEX(MASTER!$G$4:$G$1463,MATCH("FUCT"&amp;"|"&amp;MAX(1,ROUND(COUNTIFS(MASTER!$B$4:$B$1463,"FUCT",MASTER!$G$4:$G$1463,"&lt;&gt;")*$A67*100/100,0)),MASTER!$AH$4:$AH$1463,0))),NA()),IF($B$4="SECONDARY",IFERROR(IF(INDEX(MASTER!$L$4:$L$1463,MATCH("FUCT"&amp;"|"&amp;MAX(1,ROUND(COUNTIFS(MASTER!$B$4:$B$1463,"FUCT",MASTER!$L$4:$L$1463,"&lt;&gt;")*$A67*100/100,0)),MASTER!$AI$4:$AI$1463,0))="",NA(),INDEX(MASTER!$L$4:$L$1463,MATCH("FUCT"&amp;"|"&amp;MAX(1,ROUND(COUNTIFS(MASTER!$B$4:$B$1463,"FUCT",MASTER!$L$4:$L$1463,"&lt;&gt;")*$A67*100/100,0)),MASTER!$AI$4:$AI$1463,0))),NA()))))</f>
        <v>8394</v>
      </c>
      <c r="Q67" s="37">
        <f>IF($B$4="RESONANCE",IFERROR(IF(INDEX(MASTER!$I$4:$I$1463,MATCH($E$4&amp;"|"&amp;MAX(1,ROUND(COUNTIFS(MASTER!$B$4:$B$1463,$E$4,MASTER!$I$4:$I$1463,"&lt;&gt;")*$A67*100/100,0)),MASTER!$Y$4:$Y$1463,0))="",NA(),INDEX(MASTER!$I$4:$I$1463,MATCH($E$4&amp;"|"&amp;MAX(1,ROUND(COUNTIFS(MASTER!$B$4:$B$1463,$E$4,MASTER!$I$4:$I$1463,"&lt;&gt;")*$A67*100/100,0)),MASTER!$Y$4:$Y$1463,0))),NA()),IF($B$4="COMBAT RATING",IFERROR(IF(INDEX(MASTER!$G$4:$G$1463,MATCH($E$4&amp;"|"&amp;MAX(1,ROUND(COUNTIFS(MASTER!$B$4:$B$1463,$E$4,MASTER!$G$4:$G$1463,"&lt;&gt;")*$A67*100/100,0)),MASTER!$AH$4:$AH$1463,0))="",NA(),INDEX(MASTER!$G$4:$G$1463,MATCH($E$4&amp;"|"&amp;MAX(1,ROUND(COUNTIFS(MASTER!$B$4:$B$1463,$E$4,MASTER!$G$4:$G$1463,"&lt;&gt;")*$A67*100/100,0)),MASTER!$AH$4:$AH$1463,0))),NA()),IF($B$4="SECONDARY",IFERROR(IF(INDEX(MASTER!$L$4:$L$1463,MATCH($E$4&amp;"|"&amp;MAX(1,ROUND(COUNTIFS(MASTER!$B$4:$B$1463,$E$4,MASTER!$L$4:$L$1463,"&lt;&gt;")*$A67*100/100,0)),MASTER!$AI$4:$AI$1463,0))="",NA(),INDEX(MASTER!$L$4:$L$1463,MATCH($E$4&amp;"|"&amp;MAX(1,ROUND(COUNTIFS(MASTER!$B$4:$B$1463,$E$4,MASTER!$L$4:$L$1463,"&lt;&gt;")*$A67*100/100,0)),MASTER!$AI$4:$AI$1463,0))),NA()))))</f>
        <v>7230</v>
      </c>
    </row>
    <row r="68" spans="1:17" hidden="1">
      <c r="A68" s="36">
        <v>0.13</v>
      </c>
      <c r="B68" s="37">
        <f>IF($B$4="RESONANCE",IFERROR(IF(INDEX(MASTER!$I$4:$I$1463,MATCH("FUCT"&amp;"|"&amp;MAX(1,ROUND(COUNTIFS(MASTER!$B$4:$B$1463,"FUCT",MASTER!$I$4:$I$1463,"&lt;&gt;")*$A68*100/100,0)),MASTER!$Y$4:$Y$1463,0))="",NA(),INDEX(MASTER!$I$4:$I$1463,MATCH("FUCT"&amp;"|"&amp;MAX(1,ROUND(COUNTIFS(MASTER!$B$4:$B$1463,"FUCT",MASTER!$I$4:$I$1463,"&lt;&gt;")*$A68*100/100,0)),MASTER!$Y$4:$Y$1463,0))),NA()),IF($B$4="COMBAT RATING",IFERROR(IF(INDEX(MASTER!$G$4:$G$1463,MATCH("FUCT"&amp;"|"&amp;MAX(1,ROUND(COUNTIFS(MASTER!$B$4:$B$1463,"FUCT",MASTER!$G$4:$G$1463,"&lt;&gt;")*$A68*100/100,0)),MASTER!$AH$4:$AH$1463,0))="",NA(),INDEX(MASTER!$G$4:$G$1463,MATCH("FUCT"&amp;"|"&amp;MAX(1,ROUND(COUNTIFS(MASTER!$B$4:$B$1463,"FUCT",MASTER!$G$4:$G$1463,"&lt;&gt;")*$A68*100/100,0)),MASTER!$AH$4:$AH$1463,0))),NA()),IF($B$4="SECONDARY",IFERROR(IF(INDEX(MASTER!$L$4:$L$1463,MATCH("FUCT"&amp;"|"&amp;MAX(1,ROUND(COUNTIFS(MASTER!$B$4:$B$1463,"FUCT",MASTER!$L$4:$L$1463,"&lt;&gt;")*$A68*100/100,0)),MASTER!$AI$4:$AI$1463,0))="",NA(),INDEX(MASTER!$L$4:$L$1463,MATCH("FUCT"&amp;"|"&amp;MAX(1,ROUND(COUNTIFS(MASTER!$B$4:$B$1463,"FUCT",MASTER!$L$4:$L$1463,"&lt;&gt;")*$A68*100/100,0)),MASTER!$AI$4:$AI$1463,0))),NA()))))</f>
        <v>8277</v>
      </c>
      <c r="C68" s="37">
        <f>IF($B$4="RESONANCE",IFERROR(IF(INDEX(MASTER!$I$4:$I$1463,MATCH("LEGENDS"&amp;"|"&amp;MAX(1,ROUND(COUNTIFS(MASTER!$B$4:$B$1463,"LEGENDS",MASTER!$I$4:$I$1463,"&lt;&gt;")*$A68*100/100,0)),MASTER!$Y$4:$Y$1463,0))="",NA(),INDEX(MASTER!$I$4:$I$1463,MATCH("LEGENDS"&amp;"|"&amp;MAX(1,ROUND(COUNTIFS(MASTER!$B$4:$B$1463,"LEGENDS",MASTER!$I$4:$I$1463,"&lt;&gt;")*$A68*100/100,0)),MASTER!$Y$4:$Y$1463,0))),NA()),IF($B$4="COMBAT RATING",IFERROR(IF(INDEX(MASTER!$G$4:$G$1463,MATCH("LEGENDS"&amp;"|"&amp;MAX(1,ROUND(COUNTIFS(MASTER!$B$4:$B$1463,"LEGENDS",MASTER!$G$4:$G$1463,"&lt;&gt;")*$A68*100/100,0)),MASTER!$AH$4:$AH$1463,0))="",NA(),INDEX(MASTER!$G$4:$G$1463,MATCH("LEGENDS"&amp;"|"&amp;MAX(1,ROUND(COUNTIFS(MASTER!$B$4:$B$1463,"LEGENDS",MASTER!$G$4:$G$1463,"&lt;&gt;")*$A68*100/100,0)),MASTER!$AH$4:$AH$1463,0))),NA()),IF($B$4="SECONDARY",IFERROR(IF(INDEX(MASTER!$L$4:$L$1463,MATCH("LEGENDS"&amp;"|"&amp;MAX(1,ROUND(COUNTIFS(MASTER!$B$4:$B$1463,"LEGENDS",MASTER!$L$4:$L$1463,"&lt;&gt;")*$A68*100/100,0)),MASTER!$AI$4:$AI$1463,0))="",NA(),INDEX(MASTER!$L$4:$L$1463,MATCH("LEGENDS"&amp;"|"&amp;MAX(1,ROUND(COUNTIFS(MASTER!$B$4:$B$1463,"LEGENDS",MASTER!$L$4:$L$1463,"&lt;&gt;")*$A68*100/100,0)),MASTER!$AI$4:$AI$1463,0))),NA()))))</f>
        <v>7917</v>
      </c>
      <c r="D68" s="37">
        <f>IF($B$4="RESONANCE",IFERROR(IF(INDEX(MASTER!$I$4:$I$1463,MATCH("VANGUARD"&amp;"|"&amp;MAX(1,ROUND(COUNTIFS(MASTER!$B$4:$B$1463,"VANGUARD",MASTER!$I$4:$I$1463,"&lt;&gt;")*$A68*100/100,0)),MASTER!$Y$4:$Y$1463,0))="",NA(),INDEX(MASTER!$I$4:$I$1463,MATCH("VANGUARD"&amp;"|"&amp;MAX(1,ROUND(COUNTIFS(MASTER!$B$4:$B$1463,"VANGUARD",MASTER!$I$4:$I$1463,"&lt;&gt;")*$A68*100/100,0)),MASTER!$Y$4:$Y$1463,0))),NA()),IF($B$4="COMBAT RATING",IFERROR(IF(INDEX(MASTER!$G$4:$G$1463,MATCH("VANGUARD"&amp;"|"&amp;MAX(1,ROUND(COUNTIFS(MASTER!$B$4:$B$1463,"VANGUARD",MASTER!$G$4:$G$1463,"&lt;&gt;")*$A68*100/100,0)),MASTER!$AH$4:$AH$1463,0))="",NA(),INDEX(MASTER!$G$4:$G$1463,MATCH("VANGUARD"&amp;"|"&amp;MAX(1,ROUND(COUNTIFS(MASTER!$B$4:$B$1463,"VANGUARD",MASTER!$G$4:$G$1463,"&lt;&gt;")*$A68*100/100,0)),MASTER!$AH$4:$AH$1463,0))),NA()),IF($B$4="SECONDARY",IFERROR(IF(INDEX(MASTER!$L$4:$L$1463,MATCH("VANGUARD"&amp;"|"&amp;MAX(1,ROUND(COUNTIFS(MASTER!$B$4:$B$1463,"VANGUARD",MASTER!$L$4:$L$1463,"&lt;&gt;")*$A68*100/100,0)),MASTER!$AI$4:$AI$1463,0))="",NA(),INDEX(MASTER!$L$4:$L$1463,MATCH("VANGUARD"&amp;"|"&amp;MAX(1,ROUND(COUNTIFS(MASTER!$B$4:$B$1463,"VANGUARD",MASTER!$L$4:$L$1463,"&lt;&gt;")*$A68*100/100,0)),MASTER!$AI$4:$AI$1463,0))),NA()))))</f>
        <v>9889</v>
      </c>
      <c r="E68" s="37">
        <f>IF($B$4="RESONANCE",IFERROR(IF(INDEX(MASTER!$I$4:$I$1463,MATCH("UNDYING"&amp;"|"&amp;MAX(1,ROUND(COUNTIFS(MASTER!$B$4:$B$1463,"UNDYING",MASTER!$I$4:$I$1463,"&lt;&gt;")*$A68*100/100,0)),MASTER!$Y$4:$Y$1463,0))="",NA(),INDEX(MASTER!$I$4:$I$1463,MATCH("UNDYING"&amp;"|"&amp;MAX(1,ROUND(COUNTIFS(MASTER!$B$4:$B$1463,"UNDYING",MASTER!$I$4:$I$1463,"&lt;&gt;")*$A68*100/100,0)),MASTER!$Y$4:$Y$1463,0))),NA()),IF($B$4="COMBAT RATING",IFERROR(IF(INDEX(MASTER!$G$4:$G$1463,MATCH("UNDYING"&amp;"|"&amp;MAX(1,ROUND(COUNTIFS(MASTER!$B$4:$B$1463,"UNDYING",MASTER!$G$4:$G$1463,"&lt;&gt;")*$A68*100/100,0)),MASTER!$AH$4:$AH$1463,0))="",NA(),INDEX(MASTER!$G$4:$G$1463,MATCH("UNDYING"&amp;"|"&amp;MAX(1,ROUND(COUNTIFS(MASTER!$B$4:$B$1463,"UNDYING",MASTER!$G$4:$G$1463,"&lt;&gt;")*$A68*100/100,0)),MASTER!$AH$4:$AH$1463,0))),NA()),IF($B$4="SECONDARY",IFERROR(IF(INDEX(MASTER!$L$4:$L$1463,MATCH("UNDYING"&amp;"|"&amp;MAX(1,ROUND(COUNTIFS(MASTER!$B$4:$B$1463,"UNDYING",MASTER!$L$4:$L$1463,"&lt;&gt;")*$A68*100/100,0)),MASTER!$AI$4:$AI$1463,0))="",NA(),INDEX(MASTER!$L$4:$L$1463,MATCH("UNDYING"&amp;"|"&amp;MAX(1,ROUND(COUNTIFS(MASTER!$B$4:$B$1463,"UNDYING",MASTER!$L$4:$L$1463,"&lt;&gt;")*$A68*100/100,0)),MASTER!$AI$4:$AI$1463,0))),NA()))))</f>
        <v>7230</v>
      </c>
      <c r="F68" s="37">
        <f>IF($B$4="RESONANCE",IFERROR(IF(INDEX(MASTER!$I$4:$I$1463,MATCH("SBG"&amp;"|"&amp;MAX(1,ROUND(COUNTIFS(MASTER!$B$4:$B$1463,"SBG",MASTER!$I$4:$I$1463,"&lt;&gt;")*$A68*100/100,0)),MASTER!$Y$4:$Y$1463,0))="",NA(),INDEX(MASTER!$I$4:$I$1463,MATCH("SBG"&amp;"|"&amp;MAX(1,ROUND(COUNTIFS(MASTER!$B$4:$B$1463,"SBG",MASTER!$I$4:$I$1463,"&lt;&gt;")*$A68*100/100,0)),MASTER!$Y$4:$Y$1463,0))),NA()),IF($B$4="COMBAT RATING",IFERROR(IF(INDEX(MASTER!$G$4:$G$1463,MATCH("SBG"&amp;"|"&amp;MAX(1,ROUND(COUNTIFS(MASTER!$B$4:$B$1463,"SBG",MASTER!$G$4:$G$1463,"&lt;&gt;")*$A68*100/100,0)),MASTER!$AH$4:$AH$1463,0))="",NA(),INDEX(MASTER!$G$4:$G$1463,MATCH("SBG"&amp;"|"&amp;MAX(1,ROUND(COUNTIFS(MASTER!$B$4:$B$1463,"SBG",MASTER!$G$4:$G$1463,"&lt;&gt;")*$A68*100/100,0)),MASTER!$AH$4:$AH$1463,0))),NA()),IF($B$4="SECONDARY",IFERROR(IF(INDEX(MASTER!$L$4:$L$1463,MATCH("SBG"&amp;"|"&amp;MAX(1,ROUND(COUNTIFS(MASTER!$B$4:$B$1463,"SBG",MASTER!$L$4:$L$1463,"&lt;&gt;")*$A68*100/100,0)),MASTER!$AI$4:$AI$1463,0))="",NA(),INDEX(MASTER!$L$4:$L$1463,MATCH("SBG"&amp;"|"&amp;MAX(1,ROUND(COUNTIFS(MASTER!$B$4:$B$1463,"SBG",MASTER!$L$4:$L$1463,"&lt;&gt;")*$A68*100/100,0)),MASTER!$AI$4:$AI$1463,0))),NA()))))</f>
        <v>9003</v>
      </c>
      <c r="G68" s="37">
        <f>IF($B$4="RESONANCE",IFERROR(IF(INDEX(MASTER!$I$4:$I$1463,MATCH("AZUKI"&amp;"|"&amp;MAX(1,ROUND(COUNTIFS(MASTER!$B$4:$B$1463,"AZUKI",MASTER!$I$4:$I$1463,"&lt;&gt;")*$A68*100/100,0)),MASTER!$Y$4:$Y$1463,0))="",NA(),INDEX(MASTER!$I$4:$I$1463,MATCH("AZUKI"&amp;"|"&amp;MAX(1,ROUND(COUNTIFS(MASTER!$B$4:$B$1463,"AZUKI",MASTER!$I$4:$I$1463,"&lt;&gt;")*$A68*100/100,0)),MASTER!$Y$4:$Y$1463,0))),NA()),IF($B$4="COMBAT RATING",IFERROR(IF(INDEX(MASTER!$G$4:$G$1463,MATCH("AZUKI"&amp;"|"&amp;MAX(1,ROUND(COUNTIFS(MASTER!$B$4:$B$1463,"AZUKI",MASTER!$G$4:$G$1463,"&lt;&gt;")*$A68*100/100,0)),MASTER!$AH$4:$AH$1463,0))="",NA(),INDEX(MASTER!$G$4:$G$1463,MATCH("AZUKI"&amp;"|"&amp;MAX(1,ROUND(COUNTIFS(MASTER!$B$4:$B$1463,"AZUKI",MASTER!$G$4:$G$1463,"&lt;&gt;")*$A68*100/100,0)),MASTER!$AH$4:$AH$1463,0))),NA()),IF($B$4="SECONDARY",IFERROR(IF(INDEX(MASTER!$L$4:$L$1463,MATCH("AZUKI"&amp;"|"&amp;MAX(1,ROUND(COUNTIFS(MASTER!$B$4:$B$1463,"AZUKI",MASTER!$L$4:$L$1463,"&lt;&gt;")*$A68*100/100,0)),MASTER!$AI$4:$AI$1463,0))="",NA(),INDEX(MASTER!$L$4:$L$1463,MATCH("AZUKI"&amp;"|"&amp;MAX(1,ROUND(COUNTIFS(MASTER!$B$4:$B$1463,"AZUKI",MASTER!$L$4:$L$1463,"&lt;&gt;")*$A68*100/100,0)),MASTER!$AI$4:$AI$1463,0))),NA()))))</f>
        <v>9912</v>
      </c>
      <c r="H68" s="37">
        <f>IF($B$4="RESONANCE",IFERROR(IF(INDEX(MASTER!$I$4:$I$1463,MATCH("RECKONING"&amp;"|"&amp;MAX(1,ROUND(COUNTIFS(MASTER!$B$4:$B$1463,"RECKONING",MASTER!$I$4:$I$1463,"&lt;&gt;")*$A68*100/100,0)),MASTER!$Y$4:$Y$1463,0))="",NA(),INDEX(MASTER!$I$4:$I$1463,MATCH("RECKONING"&amp;"|"&amp;MAX(1,ROUND(COUNTIFS(MASTER!$B$4:$B$1463,"RECKONING",MASTER!$I$4:$I$1463,"&lt;&gt;")*$A68*100/100,0)),MASTER!$Y$4:$Y$1463,0))),NA()),IF($B$4="COMBAT RATING",IFERROR(IF(INDEX(MASTER!$G$4:$G$1463,MATCH("RECKONING"&amp;"|"&amp;MAX(1,ROUND(COUNTIFS(MASTER!$B$4:$B$1463,"RECKONING",MASTER!$G$4:$G$1463,"&lt;&gt;")*$A68*100/100,0)),MASTER!$AH$4:$AH$1463,0))="",NA(),INDEX(MASTER!$G$4:$G$1463,MATCH("RECKONING"&amp;"|"&amp;MAX(1,ROUND(COUNTIFS(MASTER!$B$4:$B$1463,"RECKONING",MASTER!$G$4:$G$1463,"&lt;&gt;")*$A68*100/100,0)),MASTER!$AH$4:$AH$1463,0))),NA()),IF($B$4="SECONDARY",IFERROR(IF(INDEX(MASTER!$L$4:$L$1463,MATCH("RECKONING"&amp;"|"&amp;MAX(1,ROUND(COUNTIFS(MASTER!$B$4:$B$1463,"RECKONING",MASTER!$L$4:$L$1463,"&lt;&gt;")*$A68*100/100,0)),MASTER!$AI$4:$AI$1463,0))="",NA(),INDEX(MASTER!$L$4:$L$1463,MATCH("RECKONING"&amp;"|"&amp;MAX(1,ROUND(COUNTIFS(MASTER!$B$4:$B$1463,"RECKONING",MASTER!$L$4:$L$1463,"&lt;&gt;")*$A68*100/100,0)),MASTER!$AI$4:$AI$1463,0))),NA()))))</f>
        <v>9229</v>
      </c>
      <c r="I68" s="37">
        <f>IF($B$4="RESONANCE",IFERROR(IF(INDEX(MASTER!$I$4:$I$1463,MATCH("ACHERON"&amp;"|"&amp;MAX(1,ROUND(COUNTIFS(MASTER!$B$4:$B$1463,"ACHERON",MASTER!$I$4:$I$1463,"&lt;&gt;")*$A68*100/100,0)),MASTER!$Y$4:$Y$1463,0))="",NA(),INDEX(MASTER!$I$4:$I$1463,MATCH("ACHERON"&amp;"|"&amp;MAX(1,ROUND(COUNTIFS(MASTER!$B$4:$B$1463,"ACHERON",MASTER!$I$4:$I$1463,"&lt;&gt;")*$A68*100/100,0)),MASTER!$Y$4:$Y$1463,0))),NA()),IF($B$4="COMBAT RATING",IFERROR(IF(INDEX(MASTER!$G$4:$G$1463,MATCH("ACHERON"&amp;"|"&amp;MAX(1,ROUND(COUNTIFS(MASTER!$B$4:$B$1463,"ACHERON",MASTER!$G$4:$G$1463,"&lt;&gt;")*$A68*100/100,0)),MASTER!$AH$4:$AH$1463,0))="",NA(),INDEX(MASTER!$G$4:$G$1463,MATCH("ACHERON"&amp;"|"&amp;MAX(1,ROUND(COUNTIFS(MASTER!$B$4:$B$1463,"ACHERON",MASTER!$G$4:$G$1463,"&lt;&gt;")*$A68*100/100,0)),MASTER!$AH$4:$AH$1463,0))),NA()),IF($B$4="SECONDARY",IFERROR(IF(INDEX(MASTER!$L$4:$L$1463,MATCH("ACHERON"&amp;"|"&amp;MAX(1,ROUND(COUNTIFS(MASTER!$B$4:$B$1463,"ACHERON",MASTER!$L$4:$L$1463,"&lt;&gt;")*$A68*100/100,0)),MASTER!$AI$4:$AI$1463,0))="",NA(),INDEX(MASTER!$L$4:$L$1463,MATCH("ACHERON"&amp;"|"&amp;MAX(1,ROUND(COUNTIFS(MASTER!$B$4:$B$1463,"ACHERON",MASTER!$L$4:$L$1463,"&lt;&gt;")*$A68*100/100,0)),MASTER!$AI$4:$AI$1463,0))),NA()))))</f>
        <v>6285</v>
      </c>
      <c r="J68" s="37">
        <f>IF($B$4="RESONANCE",IFERROR(IF(INDEX(MASTER!$I$4:$I$1463,MATCH("INVICTUS"&amp;"|"&amp;MAX(1,ROUND(COUNTIFS(MASTER!$B$4:$B$1463,"INVICTUS",MASTER!$I$4:$I$1463,"&lt;&gt;")*$A68*100/100,0)),MASTER!$Y$4:$Y$1463,0))="",NA(),INDEX(MASTER!$I$4:$I$1463,MATCH("INVICTUS"&amp;"|"&amp;MAX(1,ROUND(COUNTIFS(MASTER!$B$4:$B$1463,"INVICTUS",MASTER!$I$4:$I$1463,"&lt;&gt;")*$A68*100/100,0)),MASTER!$Y$4:$Y$1463,0))),NA()),IF($B$4="COMBAT RATING",IFERROR(IF(INDEX(MASTER!$G$4:$G$1463,MATCH("INVICTUS"&amp;"|"&amp;MAX(1,ROUND(COUNTIFS(MASTER!$B$4:$B$1463,"INVICTUS",MASTER!$G$4:$G$1463,"&lt;&gt;")*$A68*100/100,0)),MASTER!$AH$4:$AH$1463,0))="",NA(),INDEX(MASTER!$G$4:$G$1463,MATCH("INVICTUS"&amp;"|"&amp;MAX(1,ROUND(COUNTIFS(MASTER!$B$4:$B$1463,"INVICTUS",MASTER!$G$4:$G$1463,"&lt;&gt;")*$A68*100/100,0)),MASTER!$AH$4:$AH$1463,0))),NA()),IF($B$4="SECONDARY",IFERROR(IF(INDEX(MASTER!$L$4:$L$1463,MATCH("INVICTUS"&amp;"|"&amp;MAX(1,ROUND(COUNTIFS(MASTER!$B$4:$B$1463,"INVICTUS",MASTER!$L$4:$L$1463,"&lt;&gt;")*$A68*100/100,0)),MASTER!$AI$4:$AI$1463,0))="",NA(),INDEX(MASTER!$L$4:$L$1463,MATCH("INVICTUS"&amp;"|"&amp;MAX(1,ROUND(COUNTIFS(MASTER!$B$4:$B$1463,"INVICTUS",MASTER!$L$4:$L$1463,"&lt;&gt;")*$A68*100/100,0)),MASTER!$AI$4:$AI$1463,0))),NA()))))</f>
        <v>5467</v>
      </c>
      <c r="K68" s="37">
        <f>IF($B$4="RESONANCE",IFERROR(IF(INDEX(MASTER!$I$4:$I$1463,MATCH("EMERALD LEAF TRIBE"&amp;"|"&amp;MAX(1,ROUND(COUNTIFS(MASTER!$B$4:$B$1463,"EMERALD LEAF TRIBE",MASTER!$I$4:$I$1463,"&lt;&gt;")*$A68*100/100,0)),MASTER!$Y$4:$Y$1463,0))="",NA(),INDEX(MASTER!$I$4:$I$1463,MATCH("EMERALD LEAF TRIBE"&amp;"|"&amp;MAX(1,ROUND(COUNTIFS(MASTER!$B$4:$B$1463,"EMERALD LEAF TRIBE",MASTER!$I$4:$I$1463,"&lt;&gt;")*$A68*100/100,0)),MASTER!$Y$4:$Y$1463,0))),NA()),IF($B$4="COMBAT RATING",IFERROR(IF(INDEX(MASTER!$G$4:$G$1463,MATCH("EMERALD LEAF TRIBE"&amp;"|"&amp;MAX(1,ROUND(COUNTIFS(MASTER!$B$4:$B$1463,"EMERALD LEAF TRIBE",MASTER!$G$4:$G$1463,"&lt;&gt;")*$A68*100/100,0)),MASTER!$AH$4:$AH$1463,0))="",NA(),INDEX(MASTER!$G$4:$G$1463,MATCH("EMERALD LEAF TRIBE"&amp;"|"&amp;MAX(1,ROUND(COUNTIFS(MASTER!$B$4:$B$1463,"EMERALD LEAF TRIBE",MASTER!$G$4:$G$1463,"&lt;&gt;")*$A68*100/100,0)),MASTER!$AH$4:$AH$1463,0))),NA()),IF($B$4="SECONDARY",IFERROR(IF(INDEX(MASTER!$L$4:$L$1463,MATCH("EMERALD LEAF TRIBE"&amp;"|"&amp;MAX(1,ROUND(COUNTIFS(MASTER!$B$4:$B$1463,"EMERALD LEAF TRIBE",MASTER!$L$4:$L$1463,"&lt;&gt;")*$A68*100/100,0)),MASTER!$AI$4:$AI$1463,0))="",NA(),INDEX(MASTER!$L$4:$L$1463,MATCH("EMERALD LEAF TRIBE"&amp;"|"&amp;MAX(1,ROUND(COUNTIFS(MASTER!$B$4:$B$1463,"EMERALD LEAF TRIBE",MASTER!$L$4:$L$1463,"&lt;&gt;")*$A68*100/100,0)),MASTER!$AI$4:$AI$1463,0))),NA()))))</f>
        <v>3849</v>
      </c>
      <c r="L68" s="37">
        <f>IF($B$4="RESONANCE",IFERROR(IF(INDEX(MASTER!$I$4:$I$1463,MATCH("SUB ROSA"&amp;"|"&amp;MAX(1,ROUND(COUNTIFS(MASTER!$B$4:$B$1463,"SUB ROSA",MASTER!$I$4:$I$1463,"&lt;&gt;")*$A68*100/100,0)),MASTER!$Y$4:$Y$1463,0))="",NA(),INDEX(MASTER!$I$4:$I$1463,MATCH("SUB ROSA"&amp;"|"&amp;MAX(1,ROUND(COUNTIFS(MASTER!$B$4:$B$1463,"SUB ROSA",MASTER!$I$4:$I$1463,"&lt;&gt;")*$A68*100/100,0)),MASTER!$Y$4:$Y$1463,0))),NA()),IF($B$4="COMBAT RATING",IFERROR(IF(INDEX(MASTER!$G$4:$G$1463,MATCH("SUB ROSA"&amp;"|"&amp;MAX(1,ROUND(COUNTIFS(MASTER!$B$4:$B$1463,"SUB ROSA",MASTER!$G$4:$G$1463,"&lt;&gt;")*$A68*100/100,0)),MASTER!$AH$4:$AH$1463,0))="",NA(),INDEX(MASTER!$G$4:$G$1463,MATCH("SUB ROSA"&amp;"|"&amp;MAX(1,ROUND(COUNTIFS(MASTER!$B$4:$B$1463,"SUB ROSA",MASTER!$G$4:$G$1463,"&lt;&gt;")*$A68*100/100,0)),MASTER!$AH$4:$AH$1463,0))),NA()),IF($B$4="SECONDARY",IFERROR(IF(INDEX(MASTER!$L$4:$L$1463,MATCH("SUB ROSA"&amp;"|"&amp;MAX(1,ROUND(COUNTIFS(MASTER!$B$4:$B$1463,"SUB ROSA",MASTER!$L$4:$L$1463,"&lt;&gt;")*$A68*100/100,0)),MASTER!$AI$4:$AI$1463,0))="",NA(),INDEX(MASTER!$L$4:$L$1463,MATCH("SUB ROSA"&amp;"|"&amp;MAX(1,ROUND(COUNTIFS(MASTER!$B$4:$B$1463,"SUB ROSA",MASTER!$L$4:$L$1463,"&lt;&gt;")*$A68*100/100,0)),MASTER!$AI$4:$AI$1463,0))),NA()))))</f>
        <v>5117</v>
      </c>
      <c r="M68" s="37">
        <f>IF($B$4="RESONANCE",IFERROR(IF(INDEX(MASTER!$I$4:$I$1463,MATCH("VENGEANCE"&amp;"|"&amp;MAX(1,ROUND(COUNTIFS(MASTER!$B$4:$B$1463,"VENGEANCE",MASTER!$I$4:$I$1463,"&lt;&gt;")*$A68*100/100,0)),MASTER!$Y$4:$Y$1463,0))="",NA(),INDEX(MASTER!$I$4:$I$1463,MATCH("VENGEANCE"&amp;"|"&amp;MAX(1,ROUND(COUNTIFS(MASTER!$B$4:$B$1463,"VENGEANCE",MASTER!$I$4:$I$1463,"&lt;&gt;")*$A68*100/100,0)),MASTER!$Y$4:$Y$1463,0))),NA()),IF($B$4="COMBAT RATING",IFERROR(IF(INDEX(MASTER!$G$4:$G$1463,MATCH("VENGEANCE"&amp;"|"&amp;MAX(1,ROUND(COUNTIFS(MASTER!$B$4:$B$1463,"VENGEANCE",MASTER!$G$4:$G$1463,"&lt;&gt;")*$A68*100/100,0)),MASTER!$AH$4:$AH$1463,0))="",NA(),INDEX(MASTER!$G$4:$G$1463,MATCH("VENGEANCE"&amp;"|"&amp;MAX(1,ROUND(COUNTIFS(MASTER!$B$4:$B$1463,"VENGEANCE",MASTER!$G$4:$G$1463,"&lt;&gt;")*$A68*100/100,0)),MASTER!$AH$4:$AH$1463,0))),NA()),IF($B$4="SECONDARY",IFERROR(IF(INDEX(MASTER!$L$4:$L$1463,MATCH("VENGEANCE"&amp;"|"&amp;MAX(1,ROUND(COUNTIFS(MASTER!$B$4:$B$1463,"VENGEANCE",MASTER!$L$4:$L$1463,"&lt;&gt;")*$A68*100/100,0)),MASTER!$AI$4:$AI$1463,0))="",NA(),INDEX(MASTER!$L$4:$L$1463,MATCH("VENGEANCE"&amp;"|"&amp;MAX(1,ROUND(COUNTIFS(MASTER!$B$4:$B$1463,"VENGEANCE",MASTER!$L$4:$L$1463,"&lt;&gt;")*$A68*100/100,0)),MASTER!$AI$4:$AI$1463,0))),NA()))))</f>
        <v>5268</v>
      </c>
      <c r="N68" s="37">
        <f>IF($B$4="RESONANCE",IFERROR(IF(INDEX(MASTER!$I$4:$I$1463,MATCH("VENDETTA"&amp;"|"&amp;MAX(1,ROUND(COUNTIFS(MASTER!$B$4:$B$1463,"VENDETTA",MASTER!$I$4:$I$1463,"&lt;&gt;")*$A68*100/100,0)),MASTER!$Y$4:$Y$1463,0))="",NA(),INDEX(MASTER!$I$4:$I$1463,MATCH("VENDETTA"&amp;"|"&amp;MAX(1,ROUND(COUNTIFS(MASTER!$B$4:$B$1463,"VENDETTA",MASTER!$I$4:$I$1463,"&lt;&gt;")*$A68*100/100,0)),MASTER!$Y$4:$Y$1463,0))),NA()),IF($B$4="COMBAT RATING",IFERROR(IF(INDEX(MASTER!$G$4:$G$1463,MATCH("VENDETTA"&amp;"|"&amp;MAX(1,ROUND(COUNTIFS(MASTER!$B$4:$B$1463,"VENDETTA",MASTER!$G$4:$G$1463,"&lt;&gt;")*$A68*100/100,0)),MASTER!$AH$4:$AH$1463,0))="",NA(),INDEX(MASTER!$G$4:$G$1463,MATCH("VENDETTA"&amp;"|"&amp;MAX(1,ROUND(COUNTIFS(MASTER!$B$4:$B$1463,"VENDETTA",MASTER!$G$4:$G$1463,"&lt;&gt;")*$A68*100/100,0)),MASTER!$AH$4:$AH$1463,0))),NA()),IF($B$4="SECONDARY",IFERROR(IF(INDEX(MASTER!$L$4:$L$1463,MATCH("VENDETTA"&amp;"|"&amp;MAX(1,ROUND(COUNTIFS(MASTER!$B$4:$B$1463,"VENDETTA",MASTER!$L$4:$L$1463,"&lt;&gt;")*$A68*100/100,0)),MASTER!$AI$4:$AI$1463,0))="",NA(),INDEX(MASTER!$L$4:$L$1463,MATCH("VENDETTA"&amp;"|"&amp;MAX(1,ROUND(COUNTIFS(MASTER!$B$4:$B$1463,"VENDETTA",MASTER!$L$4:$L$1463,"&lt;&gt;")*$A68*100/100,0)),MASTER!$AI$4:$AI$1463,0))),NA()))))</f>
        <v>3130</v>
      </c>
      <c r="O68" s="37">
        <f>IF($B$4="RESONANCE",IFERROR(IF(INDEX(MASTER!$I$4:$I$1463,MATCH("ZOMBIES"&amp;"|"&amp;MAX(1,ROUND(COUNTIFS(MASTER!$B$4:$B$1463,"ZOMBIES",MASTER!$I$4:$I$1463,"&lt;&gt;")*$A68*100/100,0)),MASTER!$Y$4:$Y$1463,0))="",NA(),INDEX(MASTER!$I$4:$I$1463,MATCH("ZOMBIES"&amp;"|"&amp;MAX(1,ROUND(COUNTIFS(MASTER!$B$4:$B$1463,"ZOMBIES",MASTER!$I$4:$I$1463,"&lt;&gt;")*$A68*100/100,0)),MASTER!$Y$4:$Y$1463,0))),NA()),IF($B$4="COMBAT RATING",IFERROR(IF(INDEX(MASTER!$G$4:$G$1463,MATCH("ZOMBIES"&amp;"|"&amp;MAX(1,ROUND(COUNTIFS(MASTER!$B$4:$B$1463,"ZOMBIES",MASTER!$G$4:$G$1463,"&lt;&gt;")*$A68*100/100,0)),MASTER!$AH$4:$AH$1463,0))="",NA(),INDEX(MASTER!$G$4:$G$1463,MATCH("ZOMBIES"&amp;"|"&amp;MAX(1,ROUND(COUNTIFS(MASTER!$B$4:$B$1463,"ZOMBIES",MASTER!$G$4:$G$1463,"&lt;&gt;")*$A68*100/100,0)),MASTER!$AH$4:$AH$1463,0))),NA()),IF($B$4="SECONDARY",IFERROR(IF(INDEX(MASTER!$L$4:$L$1463,MATCH("ZOMBIES"&amp;"|"&amp;MAX(1,ROUND(COUNTIFS(MASTER!$B$4:$B$1463,"ZOMBIES",MASTER!$L$4:$L$1463,"&lt;&gt;")*$A68*100/100,0)),MASTER!$AI$4:$AI$1463,0))="",NA(),INDEX(MASTER!$L$4:$L$1463,MATCH("ZOMBIES"&amp;"|"&amp;MAX(1,ROUND(COUNTIFS(MASTER!$B$4:$B$1463,"ZOMBIES",MASTER!$L$4:$L$1463,"&lt;&gt;")*$A68*100/100,0)),MASTER!$AI$4:$AI$1463,0))),NA()))))</f>
        <v>3338</v>
      </c>
      <c r="P68" s="37">
        <f>IF($B$4="RESONANCE",IFERROR(IF(INDEX(MASTER!$I$4:$I$1463,MATCH("FUCT"&amp;"|"&amp;MAX(1,ROUND(COUNTIFS(MASTER!$B$4:$B$1463,"FUCT",MASTER!$I$4:$I$1463,"&lt;&gt;")*$A68*100/100,0)),MASTER!$Y$4:$Y$1463,0))="",NA(),INDEX(MASTER!$I$4:$I$1463,MATCH("FUCT"&amp;"|"&amp;MAX(1,ROUND(COUNTIFS(MASTER!$B$4:$B$1463,"FUCT",MASTER!$I$4:$I$1463,"&lt;&gt;")*$A68*100/100,0)),MASTER!$Y$4:$Y$1463,0))),NA()),IF($B$4="COMBAT RATING",IFERROR(IF(INDEX(MASTER!$G$4:$G$1463,MATCH("FUCT"&amp;"|"&amp;MAX(1,ROUND(COUNTIFS(MASTER!$B$4:$B$1463,"FUCT",MASTER!$G$4:$G$1463,"&lt;&gt;")*$A68*100/100,0)),MASTER!$AH$4:$AH$1463,0))="",NA(),INDEX(MASTER!$G$4:$G$1463,MATCH("FUCT"&amp;"|"&amp;MAX(1,ROUND(COUNTIFS(MASTER!$B$4:$B$1463,"FUCT",MASTER!$G$4:$G$1463,"&lt;&gt;")*$A68*100/100,0)),MASTER!$AH$4:$AH$1463,0))),NA()),IF($B$4="SECONDARY",IFERROR(IF(INDEX(MASTER!$L$4:$L$1463,MATCH("FUCT"&amp;"|"&amp;MAX(1,ROUND(COUNTIFS(MASTER!$B$4:$B$1463,"FUCT",MASTER!$L$4:$L$1463,"&lt;&gt;")*$A68*100/100,0)),MASTER!$AI$4:$AI$1463,0))="",NA(),INDEX(MASTER!$L$4:$L$1463,MATCH("FUCT"&amp;"|"&amp;MAX(1,ROUND(COUNTIFS(MASTER!$B$4:$B$1463,"FUCT",MASTER!$L$4:$L$1463,"&lt;&gt;")*$A68*100/100,0)),MASTER!$AI$4:$AI$1463,0))),NA()))))</f>
        <v>8277</v>
      </c>
      <c r="Q68" s="37">
        <f>IF($B$4="RESONANCE",IFERROR(IF(INDEX(MASTER!$I$4:$I$1463,MATCH($E$4&amp;"|"&amp;MAX(1,ROUND(COUNTIFS(MASTER!$B$4:$B$1463,$E$4,MASTER!$I$4:$I$1463,"&lt;&gt;")*$A68*100/100,0)),MASTER!$Y$4:$Y$1463,0))="",NA(),INDEX(MASTER!$I$4:$I$1463,MATCH($E$4&amp;"|"&amp;MAX(1,ROUND(COUNTIFS(MASTER!$B$4:$B$1463,$E$4,MASTER!$I$4:$I$1463,"&lt;&gt;")*$A68*100/100,0)),MASTER!$Y$4:$Y$1463,0))),NA()),IF($B$4="COMBAT RATING",IFERROR(IF(INDEX(MASTER!$G$4:$G$1463,MATCH($E$4&amp;"|"&amp;MAX(1,ROUND(COUNTIFS(MASTER!$B$4:$B$1463,$E$4,MASTER!$G$4:$G$1463,"&lt;&gt;")*$A68*100/100,0)),MASTER!$AH$4:$AH$1463,0))="",NA(),INDEX(MASTER!$G$4:$G$1463,MATCH($E$4&amp;"|"&amp;MAX(1,ROUND(COUNTIFS(MASTER!$B$4:$B$1463,$E$4,MASTER!$G$4:$G$1463,"&lt;&gt;")*$A68*100/100,0)),MASTER!$AH$4:$AH$1463,0))),NA()),IF($B$4="SECONDARY",IFERROR(IF(INDEX(MASTER!$L$4:$L$1463,MATCH($E$4&amp;"|"&amp;MAX(1,ROUND(COUNTIFS(MASTER!$B$4:$B$1463,$E$4,MASTER!$L$4:$L$1463,"&lt;&gt;")*$A68*100/100,0)),MASTER!$AI$4:$AI$1463,0))="",NA(),INDEX(MASTER!$L$4:$L$1463,MATCH($E$4&amp;"|"&amp;MAX(1,ROUND(COUNTIFS(MASTER!$B$4:$B$1463,$E$4,MASTER!$L$4:$L$1463,"&lt;&gt;")*$A68*100/100,0)),MASTER!$AI$4:$AI$1463,0))),NA()))))</f>
        <v>7230</v>
      </c>
    </row>
    <row r="69" spans="1:17" hidden="1">
      <c r="A69" s="36">
        <v>0.14000000000000001</v>
      </c>
      <c r="B69" s="37">
        <f>IF($B$4="RESONANCE",IFERROR(IF(INDEX(MASTER!$I$4:$I$1463,MATCH("FUCT"&amp;"|"&amp;MAX(1,ROUND(COUNTIFS(MASTER!$B$4:$B$1463,"FUCT",MASTER!$I$4:$I$1463,"&lt;&gt;")*$A69*100/100,0)),MASTER!$Y$4:$Y$1463,0))="",NA(),INDEX(MASTER!$I$4:$I$1463,MATCH("FUCT"&amp;"|"&amp;MAX(1,ROUND(COUNTIFS(MASTER!$B$4:$B$1463,"FUCT",MASTER!$I$4:$I$1463,"&lt;&gt;")*$A69*100/100,0)),MASTER!$Y$4:$Y$1463,0))),NA()),IF($B$4="COMBAT RATING",IFERROR(IF(INDEX(MASTER!$G$4:$G$1463,MATCH("FUCT"&amp;"|"&amp;MAX(1,ROUND(COUNTIFS(MASTER!$B$4:$B$1463,"FUCT",MASTER!$G$4:$G$1463,"&lt;&gt;")*$A69*100/100,0)),MASTER!$AH$4:$AH$1463,0))="",NA(),INDEX(MASTER!$G$4:$G$1463,MATCH("FUCT"&amp;"|"&amp;MAX(1,ROUND(COUNTIFS(MASTER!$B$4:$B$1463,"FUCT",MASTER!$G$4:$G$1463,"&lt;&gt;")*$A69*100/100,0)),MASTER!$AH$4:$AH$1463,0))),NA()),IF($B$4="SECONDARY",IFERROR(IF(INDEX(MASTER!$L$4:$L$1463,MATCH("FUCT"&amp;"|"&amp;MAX(1,ROUND(COUNTIFS(MASTER!$B$4:$B$1463,"FUCT",MASTER!$L$4:$L$1463,"&lt;&gt;")*$A69*100/100,0)),MASTER!$AI$4:$AI$1463,0))="",NA(),INDEX(MASTER!$L$4:$L$1463,MATCH("FUCT"&amp;"|"&amp;MAX(1,ROUND(COUNTIFS(MASTER!$B$4:$B$1463,"FUCT",MASTER!$L$4:$L$1463,"&lt;&gt;")*$A69*100/100,0)),MASTER!$AI$4:$AI$1463,0))),NA()))))</f>
        <v>8011</v>
      </c>
      <c r="C69" s="37">
        <f>IF($B$4="RESONANCE",IFERROR(IF(INDEX(MASTER!$I$4:$I$1463,MATCH("LEGENDS"&amp;"|"&amp;MAX(1,ROUND(COUNTIFS(MASTER!$B$4:$B$1463,"LEGENDS",MASTER!$I$4:$I$1463,"&lt;&gt;")*$A69*100/100,0)),MASTER!$Y$4:$Y$1463,0))="",NA(),INDEX(MASTER!$I$4:$I$1463,MATCH("LEGENDS"&amp;"|"&amp;MAX(1,ROUND(COUNTIFS(MASTER!$B$4:$B$1463,"LEGENDS",MASTER!$I$4:$I$1463,"&lt;&gt;")*$A69*100/100,0)),MASTER!$Y$4:$Y$1463,0))),NA()),IF($B$4="COMBAT RATING",IFERROR(IF(INDEX(MASTER!$G$4:$G$1463,MATCH("LEGENDS"&amp;"|"&amp;MAX(1,ROUND(COUNTIFS(MASTER!$B$4:$B$1463,"LEGENDS",MASTER!$G$4:$G$1463,"&lt;&gt;")*$A69*100/100,0)),MASTER!$AH$4:$AH$1463,0))="",NA(),INDEX(MASTER!$G$4:$G$1463,MATCH("LEGENDS"&amp;"|"&amp;MAX(1,ROUND(COUNTIFS(MASTER!$B$4:$B$1463,"LEGENDS",MASTER!$G$4:$G$1463,"&lt;&gt;")*$A69*100/100,0)),MASTER!$AH$4:$AH$1463,0))),NA()),IF($B$4="SECONDARY",IFERROR(IF(INDEX(MASTER!$L$4:$L$1463,MATCH("LEGENDS"&amp;"|"&amp;MAX(1,ROUND(COUNTIFS(MASTER!$B$4:$B$1463,"LEGENDS",MASTER!$L$4:$L$1463,"&lt;&gt;")*$A69*100/100,0)),MASTER!$AI$4:$AI$1463,0))="",NA(),INDEX(MASTER!$L$4:$L$1463,MATCH("LEGENDS"&amp;"|"&amp;MAX(1,ROUND(COUNTIFS(MASTER!$B$4:$B$1463,"LEGENDS",MASTER!$L$4:$L$1463,"&lt;&gt;")*$A69*100/100,0)),MASTER!$AI$4:$AI$1463,0))),NA()))))</f>
        <v>7812</v>
      </c>
      <c r="D69" s="37">
        <f>IF($B$4="RESONANCE",IFERROR(IF(INDEX(MASTER!$I$4:$I$1463,MATCH("VANGUARD"&amp;"|"&amp;MAX(1,ROUND(COUNTIFS(MASTER!$B$4:$B$1463,"VANGUARD",MASTER!$I$4:$I$1463,"&lt;&gt;")*$A69*100/100,0)),MASTER!$Y$4:$Y$1463,0))="",NA(),INDEX(MASTER!$I$4:$I$1463,MATCH("VANGUARD"&amp;"|"&amp;MAX(1,ROUND(COUNTIFS(MASTER!$B$4:$B$1463,"VANGUARD",MASTER!$I$4:$I$1463,"&lt;&gt;")*$A69*100/100,0)),MASTER!$Y$4:$Y$1463,0))),NA()),IF($B$4="COMBAT RATING",IFERROR(IF(INDEX(MASTER!$G$4:$G$1463,MATCH("VANGUARD"&amp;"|"&amp;MAX(1,ROUND(COUNTIFS(MASTER!$B$4:$B$1463,"VANGUARD",MASTER!$G$4:$G$1463,"&lt;&gt;")*$A69*100/100,0)),MASTER!$AH$4:$AH$1463,0))="",NA(),INDEX(MASTER!$G$4:$G$1463,MATCH("VANGUARD"&amp;"|"&amp;MAX(1,ROUND(COUNTIFS(MASTER!$B$4:$B$1463,"VANGUARD",MASTER!$G$4:$G$1463,"&lt;&gt;")*$A69*100/100,0)),MASTER!$AH$4:$AH$1463,0))),NA()),IF($B$4="SECONDARY",IFERROR(IF(INDEX(MASTER!$L$4:$L$1463,MATCH("VANGUARD"&amp;"|"&amp;MAX(1,ROUND(COUNTIFS(MASTER!$B$4:$B$1463,"VANGUARD",MASTER!$L$4:$L$1463,"&lt;&gt;")*$A69*100/100,0)),MASTER!$AI$4:$AI$1463,0))="",NA(),INDEX(MASTER!$L$4:$L$1463,MATCH("VANGUARD"&amp;"|"&amp;MAX(1,ROUND(COUNTIFS(MASTER!$B$4:$B$1463,"VANGUARD",MASTER!$L$4:$L$1463,"&lt;&gt;")*$A69*100/100,0)),MASTER!$AI$4:$AI$1463,0))),NA()))))</f>
        <v>9870</v>
      </c>
      <c r="E69" s="37">
        <f>IF($B$4="RESONANCE",IFERROR(IF(INDEX(MASTER!$I$4:$I$1463,MATCH("UNDYING"&amp;"|"&amp;MAX(1,ROUND(COUNTIFS(MASTER!$B$4:$B$1463,"UNDYING",MASTER!$I$4:$I$1463,"&lt;&gt;")*$A69*100/100,0)),MASTER!$Y$4:$Y$1463,0))="",NA(),INDEX(MASTER!$I$4:$I$1463,MATCH("UNDYING"&amp;"|"&amp;MAX(1,ROUND(COUNTIFS(MASTER!$B$4:$B$1463,"UNDYING",MASTER!$I$4:$I$1463,"&lt;&gt;")*$A69*100/100,0)),MASTER!$Y$4:$Y$1463,0))),NA()),IF($B$4="COMBAT RATING",IFERROR(IF(INDEX(MASTER!$G$4:$G$1463,MATCH("UNDYING"&amp;"|"&amp;MAX(1,ROUND(COUNTIFS(MASTER!$B$4:$B$1463,"UNDYING",MASTER!$G$4:$G$1463,"&lt;&gt;")*$A69*100/100,0)),MASTER!$AH$4:$AH$1463,0))="",NA(),INDEX(MASTER!$G$4:$G$1463,MATCH("UNDYING"&amp;"|"&amp;MAX(1,ROUND(COUNTIFS(MASTER!$B$4:$B$1463,"UNDYING",MASTER!$G$4:$G$1463,"&lt;&gt;")*$A69*100/100,0)),MASTER!$AH$4:$AH$1463,0))),NA()),IF($B$4="SECONDARY",IFERROR(IF(INDEX(MASTER!$L$4:$L$1463,MATCH("UNDYING"&amp;"|"&amp;MAX(1,ROUND(COUNTIFS(MASTER!$B$4:$B$1463,"UNDYING",MASTER!$L$4:$L$1463,"&lt;&gt;")*$A69*100/100,0)),MASTER!$AI$4:$AI$1463,0))="",NA(),INDEX(MASTER!$L$4:$L$1463,MATCH("UNDYING"&amp;"|"&amp;MAX(1,ROUND(COUNTIFS(MASTER!$B$4:$B$1463,"UNDYING",MASTER!$L$4:$L$1463,"&lt;&gt;")*$A69*100/100,0)),MASTER!$AI$4:$AI$1463,0))),NA()))))</f>
        <v>7171</v>
      </c>
      <c r="F69" s="37">
        <f>IF($B$4="RESONANCE",IFERROR(IF(INDEX(MASTER!$I$4:$I$1463,MATCH("SBG"&amp;"|"&amp;MAX(1,ROUND(COUNTIFS(MASTER!$B$4:$B$1463,"SBG",MASTER!$I$4:$I$1463,"&lt;&gt;")*$A69*100/100,0)),MASTER!$Y$4:$Y$1463,0))="",NA(),INDEX(MASTER!$I$4:$I$1463,MATCH("SBG"&amp;"|"&amp;MAX(1,ROUND(COUNTIFS(MASTER!$B$4:$B$1463,"SBG",MASTER!$I$4:$I$1463,"&lt;&gt;")*$A69*100/100,0)),MASTER!$Y$4:$Y$1463,0))),NA()),IF($B$4="COMBAT RATING",IFERROR(IF(INDEX(MASTER!$G$4:$G$1463,MATCH("SBG"&amp;"|"&amp;MAX(1,ROUND(COUNTIFS(MASTER!$B$4:$B$1463,"SBG",MASTER!$G$4:$G$1463,"&lt;&gt;")*$A69*100/100,0)),MASTER!$AH$4:$AH$1463,0))="",NA(),INDEX(MASTER!$G$4:$G$1463,MATCH("SBG"&amp;"|"&amp;MAX(1,ROUND(COUNTIFS(MASTER!$B$4:$B$1463,"SBG",MASTER!$G$4:$G$1463,"&lt;&gt;")*$A69*100/100,0)),MASTER!$AH$4:$AH$1463,0))),NA()),IF($B$4="SECONDARY",IFERROR(IF(INDEX(MASTER!$L$4:$L$1463,MATCH("SBG"&amp;"|"&amp;MAX(1,ROUND(COUNTIFS(MASTER!$B$4:$B$1463,"SBG",MASTER!$L$4:$L$1463,"&lt;&gt;")*$A69*100/100,0)),MASTER!$AI$4:$AI$1463,0))="",NA(),INDEX(MASTER!$L$4:$L$1463,MATCH("SBG"&amp;"|"&amp;MAX(1,ROUND(COUNTIFS(MASTER!$B$4:$B$1463,"SBG",MASTER!$L$4:$L$1463,"&lt;&gt;")*$A69*100/100,0)),MASTER!$AI$4:$AI$1463,0))),NA()))))</f>
        <v>8727</v>
      </c>
      <c r="G69" s="37">
        <f>IF($B$4="RESONANCE",IFERROR(IF(INDEX(MASTER!$I$4:$I$1463,MATCH("AZUKI"&amp;"|"&amp;MAX(1,ROUND(COUNTIFS(MASTER!$B$4:$B$1463,"AZUKI",MASTER!$I$4:$I$1463,"&lt;&gt;")*$A69*100/100,0)),MASTER!$Y$4:$Y$1463,0))="",NA(),INDEX(MASTER!$I$4:$I$1463,MATCH("AZUKI"&amp;"|"&amp;MAX(1,ROUND(COUNTIFS(MASTER!$B$4:$B$1463,"AZUKI",MASTER!$I$4:$I$1463,"&lt;&gt;")*$A69*100/100,0)),MASTER!$Y$4:$Y$1463,0))),NA()),IF($B$4="COMBAT RATING",IFERROR(IF(INDEX(MASTER!$G$4:$G$1463,MATCH("AZUKI"&amp;"|"&amp;MAX(1,ROUND(COUNTIFS(MASTER!$B$4:$B$1463,"AZUKI",MASTER!$G$4:$G$1463,"&lt;&gt;")*$A69*100/100,0)),MASTER!$AH$4:$AH$1463,0))="",NA(),INDEX(MASTER!$G$4:$G$1463,MATCH("AZUKI"&amp;"|"&amp;MAX(1,ROUND(COUNTIFS(MASTER!$B$4:$B$1463,"AZUKI",MASTER!$G$4:$G$1463,"&lt;&gt;")*$A69*100/100,0)),MASTER!$AH$4:$AH$1463,0))),NA()),IF($B$4="SECONDARY",IFERROR(IF(INDEX(MASTER!$L$4:$L$1463,MATCH("AZUKI"&amp;"|"&amp;MAX(1,ROUND(COUNTIFS(MASTER!$B$4:$B$1463,"AZUKI",MASTER!$L$4:$L$1463,"&lt;&gt;")*$A69*100/100,0)),MASTER!$AI$4:$AI$1463,0))="",NA(),INDEX(MASTER!$L$4:$L$1463,MATCH("AZUKI"&amp;"|"&amp;MAX(1,ROUND(COUNTIFS(MASTER!$B$4:$B$1463,"AZUKI",MASTER!$L$4:$L$1463,"&lt;&gt;")*$A69*100/100,0)),MASTER!$AI$4:$AI$1463,0))),NA()))))</f>
        <v>9796</v>
      </c>
      <c r="H69" s="37">
        <f>IF($B$4="RESONANCE",IFERROR(IF(INDEX(MASTER!$I$4:$I$1463,MATCH("RECKONING"&amp;"|"&amp;MAX(1,ROUND(COUNTIFS(MASTER!$B$4:$B$1463,"RECKONING",MASTER!$I$4:$I$1463,"&lt;&gt;")*$A69*100/100,0)),MASTER!$Y$4:$Y$1463,0))="",NA(),INDEX(MASTER!$I$4:$I$1463,MATCH("RECKONING"&amp;"|"&amp;MAX(1,ROUND(COUNTIFS(MASTER!$B$4:$B$1463,"RECKONING",MASTER!$I$4:$I$1463,"&lt;&gt;")*$A69*100/100,0)),MASTER!$Y$4:$Y$1463,0))),NA()),IF($B$4="COMBAT RATING",IFERROR(IF(INDEX(MASTER!$G$4:$G$1463,MATCH("RECKONING"&amp;"|"&amp;MAX(1,ROUND(COUNTIFS(MASTER!$B$4:$B$1463,"RECKONING",MASTER!$G$4:$G$1463,"&lt;&gt;")*$A69*100/100,0)),MASTER!$AH$4:$AH$1463,0))="",NA(),INDEX(MASTER!$G$4:$G$1463,MATCH("RECKONING"&amp;"|"&amp;MAX(1,ROUND(COUNTIFS(MASTER!$B$4:$B$1463,"RECKONING",MASTER!$G$4:$G$1463,"&lt;&gt;")*$A69*100/100,0)),MASTER!$AH$4:$AH$1463,0))),NA()),IF($B$4="SECONDARY",IFERROR(IF(INDEX(MASTER!$L$4:$L$1463,MATCH("RECKONING"&amp;"|"&amp;MAX(1,ROUND(COUNTIFS(MASTER!$B$4:$B$1463,"RECKONING",MASTER!$L$4:$L$1463,"&lt;&gt;")*$A69*100/100,0)),MASTER!$AI$4:$AI$1463,0))="",NA(),INDEX(MASTER!$L$4:$L$1463,MATCH("RECKONING"&amp;"|"&amp;MAX(1,ROUND(COUNTIFS(MASTER!$B$4:$B$1463,"RECKONING",MASTER!$L$4:$L$1463,"&lt;&gt;")*$A69*100/100,0)),MASTER!$AI$4:$AI$1463,0))),NA()))))</f>
        <v>9033</v>
      </c>
      <c r="I69" s="37">
        <f>IF($B$4="RESONANCE",IFERROR(IF(INDEX(MASTER!$I$4:$I$1463,MATCH("ACHERON"&amp;"|"&amp;MAX(1,ROUND(COUNTIFS(MASTER!$B$4:$B$1463,"ACHERON",MASTER!$I$4:$I$1463,"&lt;&gt;")*$A69*100/100,0)),MASTER!$Y$4:$Y$1463,0))="",NA(),INDEX(MASTER!$I$4:$I$1463,MATCH("ACHERON"&amp;"|"&amp;MAX(1,ROUND(COUNTIFS(MASTER!$B$4:$B$1463,"ACHERON",MASTER!$I$4:$I$1463,"&lt;&gt;")*$A69*100/100,0)),MASTER!$Y$4:$Y$1463,0))),NA()),IF($B$4="COMBAT RATING",IFERROR(IF(INDEX(MASTER!$G$4:$G$1463,MATCH("ACHERON"&amp;"|"&amp;MAX(1,ROUND(COUNTIFS(MASTER!$B$4:$B$1463,"ACHERON",MASTER!$G$4:$G$1463,"&lt;&gt;")*$A69*100/100,0)),MASTER!$AH$4:$AH$1463,0))="",NA(),INDEX(MASTER!$G$4:$G$1463,MATCH("ACHERON"&amp;"|"&amp;MAX(1,ROUND(COUNTIFS(MASTER!$B$4:$B$1463,"ACHERON",MASTER!$G$4:$G$1463,"&lt;&gt;")*$A69*100/100,0)),MASTER!$AH$4:$AH$1463,0))),NA()),IF($B$4="SECONDARY",IFERROR(IF(INDEX(MASTER!$L$4:$L$1463,MATCH("ACHERON"&amp;"|"&amp;MAX(1,ROUND(COUNTIFS(MASTER!$B$4:$B$1463,"ACHERON",MASTER!$L$4:$L$1463,"&lt;&gt;")*$A69*100/100,0)),MASTER!$AI$4:$AI$1463,0))="",NA(),INDEX(MASTER!$L$4:$L$1463,MATCH("ACHERON"&amp;"|"&amp;MAX(1,ROUND(COUNTIFS(MASTER!$B$4:$B$1463,"ACHERON",MASTER!$L$4:$L$1463,"&lt;&gt;")*$A69*100/100,0)),MASTER!$AI$4:$AI$1463,0))),NA()))))</f>
        <v>6089</v>
      </c>
      <c r="J69" s="37">
        <f>IF($B$4="RESONANCE",IFERROR(IF(INDEX(MASTER!$I$4:$I$1463,MATCH("INVICTUS"&amp;"|"&amp;MAX(1,ROUND(COUNTIFS(MASTER!$B$4:$B$1463,"INVICTUS",MASTER!$I$4:$I$1463,"&lt;&gt;")*$A69*100/100,0)),MASTER!$Y$4:$Y$1463,0))="",NA(),INDEX(MASTER!$I$4:$I$1463,MATCH("INVICTUS"&amp;"|"&amp;MAX(1,ROUND(COUNTIFS(MASTER!$B$4:$B$1463,"INVICTUS",MASTER!$I$4:$I$1463,"&lt;&gt;")*$A69*100/100,0)),MASTER!$Y$4:$Y$1463,0))),NA()),IF($B$4="COMBAT RATING",IFERROR(IF(INDEX(MASTER!$G$4:$G$1463,MATCH("INVICTUS"&amp;"|"&amp;MAX(1,ROUND(COUNTIFS(MASTER!$B$4:$B$1463,"INVICTUS",MASTER!$G$4:$G$1463,"&lt;&gt;")*$A69*100/100,0)),MASTER!$AH$4:$AH$1463,0))="",NA(),INDEX(MASTER!$G$4:$G$1463,MATCH("INVICTUS"&amp;"|"&amp;MAX(1,ROUND(COUNTIFS(MASTER!$B$4:$B$1463,"INVICTUS",MASTER!$G$4:$G$1463,"&lt;&gt;")*$A69*100/100,0)),MASTER!$AH$4:$AH$1463,0))),NA()),IF($B$4="SECONDARY",IFERROR(IF(INDEX(MASTER!$L$4:$L$1463,MATCH("INVICTUS"&amp;"|"&amp;MAX(1,ROUND(COUNTIFS(MASTER!$B$4:$B$1463,"INVICTUS",MASTER!$L$4:$L$1463,"&lt;&gt;")*$A69*100/100,0)),MASTER!$AI$4:$AI$1463,0))="",NA(),INDEX(MASTER!$L$4:$L$1463,MATCH("INVICTUS"&amp;"|"&amp;MAX(1,ROUND(COUNTIFS(MASTER!$B$4:$B$1463,"INVICTUS",MASTER!$L$4:$L$1463,"&lt;&gt;")*$A69*100/100,0)),MASTER!$AI$4:$AI$1463,0))),NA()))))</f>
        <v>5274</v>
      </c>
      <c r="K69" s="37">
        <f>IF($B$4="RESONANCE",IFERROR(IF(INDEX(MASTER!$I$4:$I$1463,MATCH("EMERALD LEAF TRIBE"&amp;"|"&amp;MAX(1,ROUND(COUNTIFS(MASTER!$B$4:$B$1463,"EMERALD LEAF TRIBE",MASTER!$I$4:$I$1463,"&lt;&gt;")*$A69*100/100,0)),MASTER!$Y$4:$Y$1463,0))="",NA(),INDEX(MASTER!$I$4:$I$1463,MATCH("EMERALD LEAF TRIBE"&amp;"|"&amp;MAX(1,ROUND(COUNTIFS(MASTER!$B$4:$B$1463,"EMERALD LEAF TRIBE",MASTER!$I$4:$I$1463,"&lt;&gt;")*$A69*100/100,0)),MASTER!$Y$4:$Y$1463,0))),NA()),IF($B$4="COMBAT RATING",IFERROR(IF(INDEX(MASTER!$G$4:$G$1463,MATCH("EMERALD LEAF TRIBE"&amp;"|"&amp;MAX(1,ROUND(COUNTIFS(MASTER!$B$4:$B$1463,"EMERALD LEAF TRIBE",MASTER!$G$4:$G$1463,"&lt;&gt;")*$A69*100/100,0)),MASTER!$AH$4:$AH$1463,0))="",NA(),INDEX(MASTER!$G$4:$G$1463,MATCH("EMERALD LEAF TRIBE"&amp;"|"&amp;MAX(1,ROUND(COUNTIFS(MASTER!$B$4:$B$1463,"EMERALD LEAF TRIBE",MASTER!$G$4:$G$1463,"&lt;&gt;")*$A69*100/100,0)),MASTER!$AH$4:$AH$1463,0))),NA()),IF($B$4="SECONDARY",IFERROR(IF(INDEX(MASTER!$L$4:$L$1463,MATCH("EMERALD LEAF TRIBE"&amp;"|"&amp;MAX(1,ROUND(COUNTIFS(MASTER!$B$4:$B$1463,"EMERALD LEAF TRIBE",MASTER!$L$4:$L$1463,"&lt;&gt;")*$A69*100/100,0)),MASTER!$AI$4:$AI$1463,0))="",NA(),INDEX(MASTER!$L$4:$L$1463,MATCH("EMERALD LEAF TRIBE"&amp;"|"&amp;MAX(1,ROUND(COUNTIFS(MASTER!$B$4:$B$1463,"EMERALD LEAF TRIBE",MASTER!$L$4:$L$1463,"&lt;&gt;")*$A69*100/100,0)),MASTER!$AI$4:$AI$1463,0))),NA()))))</f>
        <v>3795</v>
      </c>
      <c r="L69" s="37">
        <f>IF($B$4="RESONANCE",IFERROR(IF(INDEX(MASTER!$I$4:$I$1463,MATCH("SUB ROSA"&amp;"|"&amp;MAX(1,ROUND(COUNTIFS(MASTER!$B$4:$B$1463,"SUB ROSA",MASTER!$I$4:$I$1463,"&lt;&gt;")*$A69*100/100,0)),MASTER!$Y$4:$Y$1463,0))="",NA(),INDEX(MASTER!$I$4:$I$1463,MATCH("SUB ROSA"&amp;"|"&amp;MAX(1,ROUND(COUNTIFS(MASTER!$B$4:$B$1463,"SUB ROSA",MASTER!$I$4:$I$1463,"&lt;&gt;")*$A69*100/100,0)),MASTER!$Y$4:$Y$1463,0))),NA()),IF($B$4="COMBAT RATING",IFERROR(IF(INDEX(MASTER!$G$4:$G$1463,MATCH("SUB ROSA"&amp;"|"&amp;MAX(1,ROUND(COUNTIFS(MASTER!$B$4:$B$1463,"SUB ROSA",MASTER!$G$4:$G$1463,"&lt;&gt;")*$A69*100/100,0)),MASTER!$AH$4:$AH$1463,0))="",NA(),INDEX(MASTER!$G$4:$G$1463,MATCH("SUB ROSA"&amp;"|"&amp;MAX(1,ROUND(COUNTIFS(MASTER!$B$4:$B$1463,"SUB ROSA",MASTER!$G$4:$G$1463,"&lt;&gt;")*$A69*100/100,0)),MASTER!$AH$4:$AH$1463,0))),NA()),IF($B$4="SECONDARY",IFERROR(IF(INDEX(MASTER!$L$4:$L$1463,MATCH("SUB ROSA"&amp;"|"&amp;MAX(1,ROUND(COUNTIFS(MASTER!$B$4:$B$1463,"SUB ROSA",MASTER!$L$4:$L$1463,"&lt;&gt;")*$A69*100/100,0)),MASTER!$AI$4:$AI$1463,0))="",NA(),INDEX(MASTER!$L$4:$L$1463,MATCH("SUB ROSA"&amp;"|"&amp;MAX(1,ROUND(COUNTIFS(MASTER!$B$4:$B$1463,"SUB ROSA",MASTER!$L$4:$L$1463,"&lt;&gt;")*$A69*100/100,0)),MASTER!$AI$4:$AI$1463,0))),NA()))))</f>
        <v>4711</v>
      </c>
      <c r="M69" s="37">
        <f>IF($B$4="RESONANCE",IFERROR(IF(INDEX(MASTER!$I$4:$I$1463,MATCH("VENGEANCE"&amp;"|"&amp;MAX(1,ROUND(COUNTIFS(MASTER!$B$4:$B$1463,"VENGEANCE",MASTER!$I$4:$I$1463,"&lt;&gt;")*$A69*100/100,0)),MASTER!$Y$4:$Y$1463,0))="",NA(),INDEX(MASTER!$I$4:$I$1463,MATCH("VENGEANCE"&amp;"|"&amp;MAX(1,ROUND(COUNTIFS(MASTER!$B$4:$B$1463,"VENGEANCE",MASTER!$I$4:$I$1463,"&lt;&gt;")*$A69*100/100,0)),MASTER!$Y$4:$Y$1463,0))),NA()),IF($B$4="COMBAT RATING",IFERROR(IF(INDEX(MASTER!$G$4:$G$1463,MATCH("VENGEANCE"&amp;"|"&amp;MAX(1,ROUND(COUNTIFS(MASTER!$B$4:$B$1463,"VENGEANCE",MASTER!$G$4:$G$1463,"&lt;&gt;")*$A69*100/100,0)),MASTER!$AH$4:$AH$1463,0))="",NA(),INDEX(MASTER!$G$4:$G$1463,MATCH("VENGEANCE"&amp;"|"&amp;MAX(1,ROUND(COUNTIFS(MASTER!$B$4:$B$1463,"VENGEANCE",MASTER!$G$4:$G$1463,"&lt;&gt;")*$A69*100/100,0)),MASTER!$AH$4:$AH$1463,0))),NA()),IF($B$4="SECONDARY",IFERROR(IF(INDEX(MASTER!$L$4:$L$1463,MATCH("VENGEANCE"&amp;"|"&amp;MAX(1,ROUND(COUNTIFS(MASTER!$B$4:$B$1463,"VENGEANCE",MASTER!$L$4:$L$1463,"&lt;&gt;")*$A69*100/100,0)),MASTER!$AI$4:$AI$1463,0))="",NA(),INDEX(MASTER!$L$4:$L$1463,MATCH("VENGEANCE"&amp;"|"&amp;MAX(1,ROUND(COUNTIFS(MASTER!$B$4:$B$1463,"VENGEANCE",MASTER!$L$4:$L$1463,"&lt;&gt;")*$A69*100/100,0)),MASTER!$AI$4:$AI$1463,0))),NA()))))</f>
        <v>5185</v>
      </c>
      <c r="N69" s="37">
        <f>IF($B$4="RESONANCE",IFERROR(IF(INDEX(MASTER!$I$4:$I$1463,MATCH("VENDETTA"&amp;"|"&amp;MAX(1,ROUND(COUNTIFS(MASTER!$B$4:$B$1463,"VENDETTA",MASTER!$I$4:$I$1463,"&lt;&gt;")*$A69*100/100,0)),MASTER!$Y$4:$Y$1463,0))="",NA(),INDEX(MASTER!$I$4:$I$1463,MATCH("VENDETTA"&amp;"|"&amp;MAX(1,ROUND(COUNTIFS(MASTER!$B$4:$B$1463,"VENDETTA",MASTER!$I$4:$I$1463,"&lt;&gt;")*$A69*100/100,0)),MASTER!$Y$4:$Y$1463,0))),NA()),IF($B$4="COMBAT RATING",IFERROR(IF(INDEX(MASTER!$G$4:$G$1463,MATCH("VENDETTA"&amp;"|"&amp;MAX(1,ROUND(COUNTIFS(MASTER!$B$4:$B$1463,"VENDETTA",MASTER!$G$4:$G$1463,"&lt;&gt;")*$A69*100/100,0)),MASTER!$AH$4:$AH$1463,0))="",NA(),INDEX(MASTER!$G$4:$G$1463,MATCH("VENDETTA"&amp;"|"&amp;MAX(1,ROUND(COUNTIFS(MASTER!$B$4:$B$1463,"VENDETTA",MASTER!$G$4:$G$1463,"&lt;&gt;")*$A69*100/100,0)),MASTER!$AH$4:$AH$1463,0))),NA()),IF($B$4="SECONDARY",IFERROR(IF(INDEX(MASTER!$L$4:$L$1463,MATCH("VENDETTA"&amp;"|"&amp;MAX(1,ROUND(COUNTIFS(MASTER!$B$4:$B$1463,"VENDETTA",MASTER!$L$4:$L$1463,"&lt;&gt;")*$A69*100/100,0)),MASTER!$AI$4:$AI$1463,0))="",NA(),INDEX(MASTER!$L$4:$L$1463,MATCH("VENDETTA"&amp;"|"&amp;MAX(1,ROUND(COUNTIFS(MASTER!$B$4:$B$1463,"VENDETTA",MASTER!$L$4:$L$1463,"&lt;&gt;")*$A69*100/100,0)),MASTER!$AI$4:$AI$1463,0))),NA()))))</f>
        <v>3109</v>
      </c>
      <c r="O69" s="37">
        <f>IF($B$4="RESONANCE",IFERROR(IF(INDEX(MASTER!$I$4:$I$1463,MATCH("ZOMBIES"&amp;"|"&amp;MAX(1,ROUND(COUNTIFS(MASTER!$B$4:$B$1463,"ZOMBIES",MASTER!$I$4:$I$1463,"&lt;&gt;")*$A69*100/100,0)),MASTER!$Y$4:$Y$1463,0))="",NA(),INDEX(MASTER!$I$4:$I$1463,MATCH("ZOMBIES"&amp;"|"&amp;MAX(1,ROUND(COUNTIFS(MASTER!$B$4:$B$1463,"ZOMBIES",MASTER!$I$4:$I$1463,"&lt;&gt;")*$A69*100/100,0)),MASTER!$Y$4:$Y$1463,0))),NA()),IF($B$4="COMBAT RATING",IFERROR(IF(INDEX(MASTER!$G$4:$G$1463,MATCH("ZOMBIES"&amp;"|"&amp;MAX(1,ROUND(COUNTIFS(MASTER!$B$4:$B$1463,"ZOMBIES",MASTER!$G$4:$G$1463,"&lt;&gt;")*$A69*100/100,0)),MASTER!$AH$4:$AH$1463,0))="",NA(),INDEX(MASTER!$G$4:$G$1463,MATCH("ZOMBIES"&amp;"|"&amp;MAX(1,ROUND(COUNTIFS(MASTER!$B$4:$B$1463,"ZOMBIES",MASTER!$G$4:$G$1463,"&lt;&gt;")*$A69*100/100,0)),MASTER!$AH$4:$AH$1463,0))),NA()),IF($B$4="SECONDARY",IFERROR(IF(INDEX(MASTER!$L$4:$L$1463,MATCH("ZOMBIES"&amp;"|"&amp;MAX(1,ROUND(COUNTIFS(MASTER!$B$4:$B$1463,"ZOMBIES",MASTER!$L$4:$L$1463,"&lt;&gt;")*$A69*100/100,0)),MASTER!$AI$4:$AI$1463,0))="",NA(),INDEX(MASTER!$L$4:$L$1463,MATCH("ZOMBIES"&amp;"|"&amp;MAX(1,ROUND(COUNTIFS(MASTER!$B$4:$B$1463,"ZOMBIES",MASTER!$L$4:$L$1463,"&lt;&gt;")*$A69*100/100,0)),MASTER!$AI$4:$AI$1463,0))),NA()))))</f>
        <v>3200</v>
      </c>
      <c r="P69" s="37">
        <f>IF($B$4="RESONANCE",IFERROR(IF(INDEX(MASTER!$I$4:$I$1463,MATCH("FUCT"&amp;"|"&amp;MAX(1,ROUND(COUNTIFS(MASTER!$B$4:$B$1463,"FUCT",MASTER!$I$4:$I$1463,"&lt;&gt;")*$A69*100/100,0)),MASTER!$Y$4:$Y$1463,0))="",NA(),INDEX(MASTER!$I$4:$I$1463,MATCH("FUCT"&amp;"|"&amp;MAX(1,ROUND(COUNTIFS(MASTER!$B$4:$B$1463,"FUCT",MASTER!$I$4:$I$1463,"&lt;&gt;")*$A69*100/100,0)),MASTER!$Y$4:$Y$1463,0))),NA()),IF($B$4="COMBAT RATING",IFERROR(IF(INDEX(MASTER!$G$4:$G$1463,MATCH("FUCT"&amp;"|"&amp;MAX(1,ROUND(COUNTIFS(MASTER!$B$4:$B$1463,"FUCT",MASTER!$G$4:$G$1463,"&lt;&gt;")*$A69*100/100,0)),MASTER!$AH$4:$AH$1463,0))="",NA(),INDEX(MASTER!$G$4:$G$1463,MATCH("FUCT"&amp;"|"&amp;MAX(1,ROUND(COUNTIFS(MASTER!$B$4:$B$1463,"FUCT",MASTER!$G$4:$G$1463,"&lt;&gt;")*$A69*100/100,0)),MASTER!$AH$4:$AH$1463,0))),NA()),IF($B$4="SECONDARY",IFERROR(IF(INDEX(MASTER!$L$4:$L$1463,MATCH("FUCT"&amp;"|"&amp;MAX(1,ROUND(COUNTIFS(MASTER!$B$4:$B$1463,"FUCT",MASTER!$L$4:$L$1463,"&lt;&gt;")*$A69*100/100,0)),MASTER!$AI$4:$AI$1463,0))="",NA(),INDEX(MASTER!$L$4:$L$1463,MATCH("FUCT"&amp;"|"&amp;MAX(1,ROUND(COUNTIFS(MASTER!$B$4:$B$1463,"FUCT",MASTER!$L$4:$L$1463,"&lt;&gt;")*$A69*100/100,0)),MASTER!$AI$4:$AI$1463,0))),NA()))))</f>
        <v>8011</v>
      </c>
      <c r="Q69" s="37">
        <f>IF($B$4="RESONANCE",IFERROR(IF(INDEX(MASTER!$I$4:$I$1463,MATCH($E$4&amp;"|"&amp;MAX(1,ROUND(COUNTIFS(MASTER!$B$4:$B$1463,$E$4,MASTER!$I$4:$I$1463,"&lt;&gt;")*$A69*100/100,0)),MASTER!$Y$4:$Y$1463,0))="",NA(),INDEX(MASTER!$I$4:$I$1463,MATCH($E$4&amp;"|"&amp;MAX(1,ROUND(COUNTIFS(MASTER!$B$4:$B$1463,$E$4,MASTER!$I$4:$I$1463,"&lt;&gt;")*$A69*100/100,0)),MASTER!$Y$4:$Y$1463,0))),NA()),IF($B$4="COMBAT RATING",IFERROR(IF(INDEX(MASTER!$G$4:$G$1463,MATCH($E$4&amp;"|"&amp;MAX(1,ROUND(COUNTIFS(MASTER!$B$4:$B$1463,$E$4,MASTER!$G$4:$G$1463,"&lt;&gt;")*$A69*100/100,0)),MASTER!$AH$4:$AH$1463,0))="",NA(),INDEX(MASTER!$G$4:$G$1463,MATCH($E$4&amp;"|"&amp;MAX(1,ROUND(COUNTIFS(MASTER!$B$4:$B$1463,$E$4,MASTER!$G$4:$G$1463,"&lt;&gt;")*$A69*100/100,0)),MASTER!$AH$4:$AH$1463,0))),NA()),IF($B$4="SECONDARY",IFERROR(IF(INDEX(MASTER!$L$4:$L$1463,MATCH($E$4&amp;"|"&amp;MAX(1,ROUND(COUNTIFS(MASTER!$B$4:$B$1463,$E$4,MASTER!$L$4:$L$1463,"&lt;&gt;")*$A69*100/100,0)),MASTER!$AI$4:$AI$1463,0))="",NA(),INDEX(MASTER!$L$4:$L$1463,MATCH($E$4&amp;"|"&amp;MAX(1,ROUND(COUNTIFS(MASTER!$B$4:$B$1463,$E$4,MASTER!$L$4:$L$1463,"&lt;&gt;")*$A69*100/100,0)),MASTER!$AI$4:$AI$1463,0))),NA()))))</f>
        <v>7171</v>
      </c>
    </row>
    <row r="70" spans="1:17" hidden="1">
      <c r="A70" s="36">
        <v>0.15</v>
      </c>
      <c r="B70" s="37">
        <f>IF($B$4="RESONANCE",IFERROR(IF(INDEX(MASTER!$I$4:$I$1463,MATCH("FUCT"&amp;"|"&amp;MAX(1,ROUND(COUNTIFS(MASTER!$B$4:$B$1463,"FUCT",MASTER!$I$4:$I$1463,"&lt;&gt;")*$A70*100/100,0)),MASTER!$Y$4:$Y$1463,0))="",NA(),INDEX(MASTER!$I$4:$I$1463,MATCH("FUCT"&amp;"|"&amp;MAX(1,ROUND(COUNTIFS(MASTER!$B$4:$B$1463,"FUCT",MASTER!$I$4:$I$1463,"&lt;&gt;")*$A70*100/100,0)),MASTER!$Y$4:$Y$1463,0))),NA()),IF($B$4="COMBAT RATING",IFERROR(IF(INDEX(MASTER!$G$4:$G$1463,MATCH("FUCT"&amp;"|"&amp;MAX(1,ROUND(COUNTIFS(MASTER!$B$4:$B$1463,"FUCT",MASTER!$G$4:$G$1463,"&lt;&gt;")*$A70*100/100,0)),MASTER!$AH$4:$AH$1463,0))="",NA(),INDEX(MASTER!$G$4:$G$1463,MATCH("FUCT"&amp;"|"&amp;MAX(1,ROUND(COUNTIFS(MASTER!$B$4:$B$1463,"FUCT",MASTER!$G$4:$G$1463,"&lt;&gt;")*$A70*100/100,0)),MASTER!$AH$4:$AH$1463,0))),NA()),IF($B$4="SECONDARY",IFERROR(IF(INDEX(MASTER!$L$4:$L$1463,MATCH("FUCT"&amp;"|"&amp;MAX(1,ROUND(COUNTIFS(MASTER!$B$4:$B$1463,"FUCT",MASTER!$L$4:$L$1463,"&lt;&gt;")*$A70*100/100,0)),MASTER!$AI$4:$AI$1463,0))="",NA(),INDEX(MASTER!$L$4:$L$1463,MATCH("FUCT"&amp;"|"&amp;MAX(1,ROUND(COUNTIFS(MASTER!$B$4:$B$1463,"FUCT",MASTER!$L$4:$L$1463,"&lt;&gt;")*$A70*100/100,0)),MASTER!$AI$4:$AI$1463,0))),NA()))))</f>
        <v>7946</v>
      </c>
      <c r="C70" s="37">
        <f>IF($B$4="RESONANCE",IFERROR(IF(INDEX(MASTER!$I$4:$I$1463,MATCH("LEGENDS"&amp;"|"&amp;MAX(1,ROUND(COUNTIFS(MASTER!$B$4:$B$1463,"LEGENDS",MASTER!$I$4:$I$1463,"&lt;&gt;")*$A70*100/100,0)),MASTER!$Y$4:$Y$1463,0))="",NA(),INDEX(MASTER!$I$4:$I$1463,MATCH("LEGENDS"&amp;"|"&amp;MAX(1,ROUND(COUNTIFS(MASTER!$B$4:$B$1463,"LEGENDS",MASTER!$I$4:$I$1463,"&lt;&gt;")*$A70*100/100,0)),MASTER!$Y$4:$Y$1463,0))),NA()),IF($B$4="COMBAT RATING",IFERROR(IF(INDEX(MASTER!$G$4:$G$1463,MATCH("LEGENDS"&amp;"|"&amp;MAX(1,ROUND(COUNTIFS(MASTER!$B$4:$B$1463,"LEGENDS",MASTER!$G$4:$G$1463,"&lt;&gt;")*$A70*100/100,0)),MASTER!$AH$4:$AH$1463,0))="",NA(),INDEX(MASTER!$G$4:$G$1463,MATCH("LEGENDS"&amp;"|"&amp;MAX(1,ROUND(COUNTIFS(MASTER!$B$4:$B$1463,"LEGENDS",MASTER!$G$4:$G$1463,"&lt;&gt;")*$A70*100/100,0)),MASTER!$AH$4:$AH$1463,0))),NA()),IF($B$4="SECONDARY",IFERROR(IF(INDEX(MASTER!$L$4:$L$1463,MATCH("LEGENDS"&amp;"|"&amp;MAX(1,ROUND(COUNTIFS(MASTER!$B$4:$B$1463,"LEGENDS",MASTER!$L$4:$L$1463,"&lt;&gt;")*$A70*100/100,0)),MASTER!$AI$4:$AI$1463,0))="",NA(),INDEX(MASTER!$L$4:$L$1463,MATCH("LEGENDS"&amp;"|"&amp;MAX(1,ROUND(COUNTIFS(MASTER!$B$4:$B$1463,"LEGENDS",MASTER!$L$4:$L$1463,"&lt;&gt;")*$A70*100/100,0)),MASTER!$AI$4:$AI$1463,0))),NA()))))</f>
        <v>7701</v>
      </c>
      <c r="D70" s="37">
        <f>IF($B$4="RESONANCE",IFERROR(IF(INDEX(MASTER!$I$4:$I$1463,MATCH("VANGUARD"&amp;"|"&amp;MAX(1,ROUND(COUNTIFS(MASTER!$B$4:$B$1463,"VANGUARD",MASTER!$I$4:$I$1463,"&lt;&gt;")*$A70*100/100,0)),MASTER!$Y$4:$Y$1463,0))="",NA(),INDEX(MASTER!$I$4:$I$1463,MATCH("VANGUARD"&amp;"|"&amp;MAX(1,ROUND(COUNTIFS(MASTER!$B$4:$B$1463,"VANGUARD",MASTER!$I$4:$I$1463,"&lt;&gt;")*$A70*100/100,0)),MASTER!$Y$4:$Y$1463,0))),NA()),IF($B$4="COMBAT RATING",IFERROR(IF(INDEX(MASTER!$G$4:$G$1463,MATCH("VANGUARD"&amp;"|"&amp;MAX(1,ROUND(COUNTIFS(MASTER!$B$4:$B$1463,"VANGUARD",MASTER!$G$4:$G$1463,"&lt;&gt;")*$A70*100/100,0)),MASTER!$AH$4:$AH$1463,0))="",NA(),INDEX(MASTER!$G$4:$G$1463,MATCH("VANGUARD"&amp;"|"&amp;MAX(1,ROUND(COUNTIFS(MASTER!$B$4:$B$1463,"VANGUARD",MASTER!$G$4:$G$1463,"&lt;&gt;")*$A70*100/100,0)),MASTER!$AH$4:$AH$1463,0))),NA()),IF($B$4="SECONDARY",IFERROR(IF(INDEX(MASTER!$L$4:$L$1463,MATCH("VANGUARD"&amp;"|"&amp;MAX(1,ROUND(COUNTIFS(MASTER!$B$4:$B$1463,"VANGUARD",MASTER!$L$4:$L$1463,"&lt;&gt;")*$A70*100/100,0)),MASTER!$AI$4:$AI$1463,0))="",NA(),INDEX(MASTER!$L$4:$L$1463,MATCH("VANGUARD"&amp;"|"&amp;MAX(1,ROUND(COUNTIFS(MASTER!$B$4:$B$1463,"VANGUARD",MASTER!$L$4:$L$1463,"&lt;&gt;")*$A70*100/100,0)),MASTER!$AI$4:$AI$1463,0))),NA()))))</f>
        <v>9724</v>
      </c>
      <c r="E70" s="37">
        <f>IF($B$4="RESONANCE",IFERROR(IF(INDEX(MASTER!$I$4:$I$1463,MATCH("UNDYING"&amp;"|"&amp;MAX(1,ROUND(COUNTIFS(MASTER!$B$4:$B$1463,"UNDYING",MASTER!$I$4:$I$1463,"&lt;&gt;")*$A70*100/100,0)),MASTER!$Y$4:$Y$1463,0))="",NA(),INDEX(MASTER!$I$4:$I$1463,MATCH("UNDYING"&amp;"|"&amp;MAX(1,ROUND(COUNTIFS(MASTER!$B$4:$B$1463,"UNDYING",MASTER!$I$4:$I$1463,"&lt;&gt;")*$A70*100/100,0)),MASTER!$Y$4:$Y$1463,0))),NA()),IF($B$4="COMBAT RATING",IFERROR(IF(INDEX(MASTER!$G$4:$G$1463,MATCH("UNDYING"&amp;"|"&amp;MAX(1,ROUND(COUNTIFS(MASTER!$B$4:$B$1463,"UNDYING",MASTER!$G$4:$G$1463,"&lt;&gt;")*$A70*100/100,0)),MASTER!$AH$4:$AH$1463,0))="",NA(),INDEX(MASTER!$G$4:$G$1463,MATCH("UNDYING"&amp;"|"&amp;MAX(1,ROUND(COUNTIFS(MASTER!$B$4:$B$1463,"UNDYING",MASTER!$G$4:$G$1463,"&lt;&gt;")*$A70*100/100,0)),MASTER!$AH$4:$AH$1463,0))),NA()),IF($B$4="SECONDARY",IFERROR(IF(INDEX(MASTER!$L$4:$L$1463,MATCH("UNDYING"&amp;"|"&amp;MAX(1,ROUND(COUNTIFS(MASTER!$B$4:$B$1463,"UNDYING",MASTER!$L$4:$L$1463,"&lt;&gt;")*$A70*100/100,0)),MASTER!$AI$4:$AI$1463,0))="",NA(),INDEX(MASTER!$L$4:$L$1463,MATCH("UNDYING"&amp;"|"&amp;MAX(1,ROUND(COUNTIFS(MASTER!$B$4:$B$1463,"UNDYING",MASTER!$L$4:$L$1463,"&lt;&gt;")*$A70*100/100,0)),MASTER!$AI$4:$AI$1463,0))),NA()))))</f>
        <v>7122</v>
      </c>
      <c r="F70" s="37">
        <f>IF($B$4="RESONANCE",IFERROR(IF(INDEX(MASTER!$I$4:$I$1463,MATCH("SBG"&amp;"|"&amp;MAX(1,ROUND(COUNTIFS(MASTER!$B$4:$B$1463,"SBG",MASTER!$I$4:$I$1463,"&lt;&gt;")*$A70*100/100,0)),MASTER!$Y$4:$Y$1463,0))="",NA(),INDEX(MASTER!$I$4:$I$1463,MATCH("SBG"&amp;"|"&amp;MAX(1,ROUND(COUNTIFS(MASTER!$B$4:$B$1463,"SBG",MASTER!$I$4:$I$1463,"&lt;&gt;")*$A70*100/100,0)),MASTER!$Y$4:$Y$1463,0))),NA()),IF($B$4="COMBAT RATING",IFERROR(IF(INDEX(MASTER!$G$4:$G$1463,MATCH("SBG"&amp;"|"&amp;MAX(1,ROUND(COUNTIFS(MASTER!$B$4:$B$1463,"SBG",MASTER!$G$4:$G$1463,"&lt;&gt;")*$A70*100/100,0)),MASTER!$AH$4:$AH$1463,0))="",NA(),INDEX(MASTER!$G$4:$G$1463,MATCH("SBG"&amp;"|"&amp;MAX(1,ROUND(COUNTIFS(MASTER!$B$4:$B$1463,"SBG",MASTER!$G$4:$G$1463,"&lt;&gt;")*$A70*100/100,0)),MASTER!$AH$4:$AH$1463,0))),NA()),IF($B$4="SECONDARY",IFERROR(IF(INDEX(MASTER!$L$4:$L$1463,MATCH("SBG"&amp;"|"&amp;MAX(1,ROUND(COUNTIFS(MASTER!$B$4:$B$1463,"SBG",MASTER!$L$4:$L$1463,"&lt;&gt;")*$A70*100/100,0)),MASTER!$AI$4:$AI$1463,0))="",NA(),INDEX(MASTER!$L$4:$L$1463,MATCH("SBG"&amp;"|"&amp;MAX(1,ROUND(COUNTIFS(MASTER!$B$4:$B$1463,"SBG",MASTER!$L$4:$L$1463,"&lt;&gt;")*$A70*100/100,0)),MASTER!$AI$4:$AI$1463,0))),NA()))))</f>
        <v>8721</v>
      </c>
      <c r="G70" s="37">
        <f>IF($B$4="RESONANCE",IFERROR(IF(INDEX(MASTER!$I$4:$I$1463,MATCH("AZUKI"&amp;"|"&amp;MAX(1,ROUND(COUNTIFS(MASTER!$B$4:$B$1463,"AZUKI",MASTER!$I$4:$I$1463,"&lt;&gt;")*$A70*100/100,0)),MASTER!$Y$4:$Y$1463,0))="",NA(),INDEX(MASTER!$I$4:$I$1463,MATCH("AZUKI"&amp;"|"&amp;MAX(1,ROUND(COUNTIFS(MASTER!$B$4:$B$1463,"AZUKI",MASTER!$I$4:$I$1463,"&lt;&gt;")*$A70*100/100,0)),MASTER!$Y$4:$Y$1463,0))),NA()),IF($B$4="COMBAT RATING",IFERROR(IF(INDEX(MASTER!$G$4:$G$1463,MATCH("AZUKI"&amp;"|"&amp;MAX(1,ROUND(COUNTIFS(MASTER!$B$4:$B$1463,"AZUKI",MASTER!$G$4:$G$1463,"&lt;&gt;")*$A70*100/100,0)),MASTER!$AH$4:$AH$1463,0))="",NA(),INDEX(MASTER!$G$4:$G$1463,MATCH("AZUKI"&amp;"|"&amp;MAX(1,ROUND(COUNTIFS(MASTER!$B$4:$B$1463,"AZUKI",MASTER!$G$4:$G$1463,"&lt;&gt;")*$A70*100/100,0)),MASTER!$AH$4:$AH$1463,0))),NA()),IF($B$4="SECONDARY",IFERROR(IF(INDEX(MASTER!$L$4:$L$1463,MATCH("AZUKI"&amp;"|"&amp;MAX(1,ROUND(COUNTIFS(MASTER!$B$4:$B$1463,"AZUKI",MASTER!$L$4:$L$1463,"&lt;&gt;")*$A70*100/100,0)),MASTER!$AI$4:$AI$1463,0))="",NA(),INDEX(MASTER!$L$4:$L$1463,MATCH("AZUKI"&amp;"|"&amp;MAX(1,ROUND(COUNTIFS(MASTER!$B$4:$B$1463,"AZUKI",MASTER!$L$4:$L$1463,"&lt;&gt;")*$A70*100/100,0)),MASTER!$AI$4:$AI$1463,0))),NA()))))</f>
        <v>9701</v>
      </c>
      <c r="H70" s="37">
        <f>IF($B$4="RESONANCE",IFERROR(IF(INDEX(MASTER!$I$4:$I$1463,MATCH("RECKONING"&amp;"|"&amp;MAX(1,ROUND(COUNTIFS(MASTER!$B$4:$B$1463,"RECKONING",MASTER!$I$4:$I$1463,"&lt;&gt;")*$A70*100/100,0)),MASTER!$Y$4:$Y$1463,0))="",NA(),INDEX(MASTER!$I$4:$I$1463,MATCH("RECKONING"&amp;"|"&amp;MAX(1,ROUND(COUNTIFS(MASTER!$B$4:$B$1463,"RECKONING",MASTER!$I$4:$I$1463,"&lt;&gt;")*$A70*100/100,0)),MASTER!$Y$4:$Y$1463,0))),NA()),IF($B$4="COMBAT RATING",IFERROR(IF(INDEX(MASTER!$G$4:$G$1463,MATCH("RECKONING"&amp;"|"&amp;MAX(1,ROUND(COUNTIFS(MASTER!$B$4:$B$1463,"RECKONING",MASTER!$G$4:$G$1463,"&lt;&gt;")*$A70*100/100,0)),MASTER!$AH$4:$AH$1463,0))="",NA(),INDEX(MASTER!$G$4:$G$1463,MATCH("RECKONING"&amp;"|"&amp;MAX(1,ROUND(COUNTIFS(MASTER!$B$4:$B$1463,"RECKONING",MASTER!$G$4:$G$1463,"&lt;&gt;")*$A70*100/100,0)),MASTER!$AH$4:$AH$1463,0))),NA()),IF($B$4="SECONDARY",IFERROR(IF(INDEX(MASTER!$L$4:$L$1463,MATCH("RECKONING"&amp;"|"&amp;MAX(1,ROUND(COUNTIFS(MASTER!$B$4:$B$1463,"RECKONING",MASTER!$L$4:$L$1463,"&lt;&gt;")*$A70*100/100,0)),MASTER!$AI$4:$AI$1463,0))="",NA(),INDEX(MASTER!$L$4:$L$1463,MATCH("RECKONING"&amp;"|"&amp;MAX(1,ROUND(COUNTIFS(MASTER!$B$4:$B$1463,"RECKONING",MASTER!$L$4:$L$1463,"&lt;&gt;")*$A70*100/100,0)),MASTER!$AI$4:$AI$1463,0))),NA()))))</f>
        <v>8970</v>
      </c>
      <c r="I70" s="37">
        <f>IF($B$4="RESONANCE",IFERROR(IF(INDEX(MASTER!$I$4:$I$1463,MATCH("ACHERON"&amp;"|"&amp;MAX(1,ROUND(COUNTIFS(MASTER!$B$4:$B$1463,"ACHERON",MASTER!$I$4:$I$1463,"&lt;&gt;")*$A70*100/100,0)),MASTER!$Y$4:$Y$1463,0))="",NA(),INDEX(MASTER!$I$4:$I$1463,MATCH("ACHERON"&amp;"|"&amp;MAX(1,ROUND(COUNTIFS(MASTER!$B$4:$B$1463,"ACHERON",MASTER!$I$4:$I$1463,"&lt;&gt;")*$A70*100/100,0)),MASTER!$Y$4:$Y$1463,0))),NA()),IF($B$4="COMBAT RATING",IFERROR(IF(INDEX(MASTER!$G$4:$G$1463,MATCH("ACHERON"&amp;"|"&amp;MAX(1,ROUND(COUNTIFS(MASTER!$B$4:$B$1463,"ACHERON",MASTER!$G$4:$G$1463,"&lt;&gt;")*$A70*100/100,0)),MASTER!$AH$4:$AH$1463,0))="",NA(),INDEX(MASTER!$G$4:$G$1463,MATCH("ACHERON"&amp;"|"&amp;MAX(1,ROUND(COUNTIFS(MASTER!$B$4:$B$1463,"ACHERON",MASTER!$G$4:$G$1463,"&lt;&gt;")*$A70*100/100,0)),MASTER!$AH$4:$AH$1463,0))),NA()),IF($B$4="SECONDARY",IFERROR(IF(INDEX(MASTER!$L$4:$L$1463,MATCH("ACHERON"&amp;"|"&amp;MAX(1,ROUND(COUNTIFS(MASTER!$B$4:$B$1463,"ACHERON",MASTER!$L$4:$L$1463,"&lt;&gt;")*$A70*100/100,0)),MASTER!$AI$4:$AI$1463,0))="",NA(),INDEX(MASTER!$L$4:$L$1463,MATCH("ACHERON"&amp;"|"&amp;MAX(1,ROUND(COUNTIFS(MASTER!$B$4:$B$1463,"ACHERON",MASTER!$L$4:$L$1463,"&lt;&gt;")*$A70*100/100,0)),MASTER!$AI$4:$AI$1463,0))),NA()))))</f>
        <v>5988</v>
      </c>
      <c r="J70" s="37">
        <f>IF($B$4="RESONANCE",IFERROR(IF(INDEX(MASTER!$I$4:$I$1463,MATCH("INVICTUS"&amp;"|"&amp;MAX(1,ROUND(COUNTIFS(MASTER!$B$4:$B$1463,"INVICTUS",MASTER!$I$4:$I$1463,"&lt;&gt;")*$A70*100/100,0)),MASTER!$Y$4:$Y$1463,0))="",NA(),INDEX(MASTER!$I$4:$I$1463,MATCH("INVICTUS"&amp;"|"&amp;MAX(1,ROUND(COUNTIFS(MASTER!$B$4:$B$1463,"INVICTUS",MASTER!$I$4:$I$1463,"&lt;&gt;")*$A70*100/100,0)),MASTER!$Y$4:$Y$1463,0))),NA()),IF($B$4="COMBAT RATING",IFERROR(IF(INDEX(MASTER!$G$4:$G$1463,MATCH("INVICTUS"&amp;"|"&amp;MAX(1,ROUND(COUNTIFS(MASTER!$B$4:$B$1463,"INVICTUS",MASTER!$G$4:$G$1463,"&lt;&gt;")*$A70*100/100,0)),MASTER!$AH$4:$AH$1463,0))="",NA(),INDEX(MASTER!$G$4:$G$1463,MATCH("INVICTUS"&amp;"|"&amp;MAX(1,ROUND(COUNTIFS(MASTER!$B$4:$B$1463,"INVICTUS",MASTER!$G$4:$G$1463,"&lt;&gt;")*$A70*100/100,0)),MASTER!$AH$4:$AH$1463,0))),NA()),IF($B$4="SECONDARY",IFERROR(IF(INDEX(MASTER!$L$4:$L$1463,MATCH("INVICTUS"&amp;"|"&amp;MAX(1,ROUND(COUNTIFS(MASTER!$B$4:$B$1463,"INVICTUS",MASTER!$L$4:$L$1463,"&lt;&gt;")*$A70*100/100,0)),MASTER!$AI$4:$AI$1463,0))="",NA(),INDEX(MASTER!$L$4:$L$1463,MATCH("INVICTUS"&amp;"|"&amp;MAX(1,ROUND(COUNTIFS(MASTER!$B$4:$B$1463,"INVICTUS",MASTER!$L$4:$L$1463,"&lt;&gt;")*$A70*100/100,0)),MASTER!$AI$4:$AI$1463,0))),NA()))))</f>
        <v>5062</v>
      </c>
      <c r="K70" s="37">
        <f>IF($B$4="RESONANCE",IFERROR(IF(INDEX(MASTER!$I$4:$I$1463,MATCH("EMERALD LEAF TRIBE"&amp;"|"&amp;MAX(1,ROUND(COUNTIFS(MASTER!$B$4:$B$1463,"EMERALD LEAF TRIBE",MASTER!$I$4:$I$1463,"&lt;&gt;")*$A70*100/100,0)),MASTER!$Y$4:$Y$1463,0))="",NA(),INDEX(MASTER!$I$4:$I$1463,MATCH("EMERALD LEAF TRIBE"&amp;"|"&amp;MAX(1,ROUND(COUNTIFS(MASTER!$B$4:$B$1463,"EMERALD LEAF TRIBE",MASTER!$I$4:$I$1463,"&lt;&gt;")*$A70*100/100,0)),MASTER!$Y$4:$Y$1463,0))),NA()),IF($B$4="COMBAT RATING",IFERROR(IF(INDEX(MASTER!$G$4:$G$1463,MATCH("EMERALD LEAF TRIBE"&amp;"|"&amp;MAX(1,ROUND(COUNTIFS(MASTER!$B$4:$B$1463,"EMERALD LEAF TRIBE",MASTER!$G$4:$G$1463,"&lt;&gt;")*$A70*100/100,0)),MASTER!$AH$4:$AH$1463,0))="",NA(),INDEX(MASTER!$G$4:$G$1463,MATCH("EMERALD LEAF TRIBE"&amp;"|"&amp;MAX(1,ROUND(COUNTIFS(MASTER!$B$4:$B$1463,"EMERALD LEAF TRIBE",MASTER!$G$4:$G$1463,"&lt;&gt;")*$A70*100/100,0)),MASTER!$AH$4:$AH$1463,0))),NA()),IF($B$4="SECONDARY",IFERROR(IF(INDEX(MASTER!$L$4:$L$1463,MATCH("EMERALD LEAF TRIBE"&amp;"|"&amp;MAX(1,ROUND(COUNTIFS(MASTER!$B$4:$B$1463,"EMERALD LEAF TRIBE",MASTER!$L$4:$L$1463,"&lt;&gt;")*$A70*100/100,0)),MASTER!$AI$4:$AI$1463,0))="",NA(),INDEX(MASTER!$L$4:$L$1463,MATCH("EMERALD LEAF TRIBE"&amp;"|"&amp;MAX(1,ROUND(COUNTIFS(MASTER!$B$4:$B$1463,"EMERALD LEAF TRIBE",MASTER!$L$4:$L$1463,"&lt;&gt;")*$A70*100/100,0)),MASTER!$AI$4:$AI$1463,0))),NA()))))</f>
        <v>3733</v>
      </c>
      <c r="L70" s="37">
        <f>IF($B$4="RESONANCE",IFERROR(IF(INDEX(MASTER!$I$4:$I$1463,MATCH("SUB ROSA"&amp;"|"&amp;MAX(1,ROUND(COUNTIFS(MASTER!$B$4:$B$1463,"SUB ROSA",MASTER!$I$4:$I$1463,"&lt;&gt;")*$A70*100/100,0)),MASTER!$Y$4:$Y$1463,0))="",NA(),INDEX(MASTER!$I$4:$I$1463,MATCH("SUB ROSA"&amp;"|"&amp;MAX(1,ROUND(COUNTIFS(MASTER!$B$4:$B$1463,"SUB ROSA",MASTER!$I$4:$I$1463,"&lt;&gt;")*$A70*100/100,0)),MASTER!$Y$4:$Y$1463,0))),NA()),IF($B$4="COMBAT RATING",IFERROR(IF(INDEX(MASTER!$G$4:$G$1463,MATCH("SUB ROSA"&amp;"|"&amp;MAX(1,ROUND(COUNTIFS(MASTER!$B$4:$B$1463,"SUB ROSA",MASTER!$G$4:$G$1463,"&lt;&gt;")*$A70*100/100,0)),MASTER!$AH$4:$AH$1463,0))="",NA(),INDEX(MASTER!$G$4:$G$1463,MATCH("SUB ROSA"&amp;"|"&amp;MAX(1,ROUND(COUNTIFS(MASTER!$B$4:$B$1463,"SUB ROSA",MASTER!$G$4:$G$1463,"&lt;&gt;")*$A70*100/100,0)),MASTER!$AH$4:$AH$1463,0))),NA()),IF($B$4="SECONDARY",IFERROR(IF(INDEX(MASTER!$L$4:$L$1463,MATCH("SUB ROSA"&amp;"|"&amp;MAX(1,ROUND(COUNTIFS(MASTER!$B$4:$B$1463,"SUB ROSA",MASTER!$L$4:$L$1463,"&lt;&gt;")*$A70*100/100,0)),MASTER!$AI$4:$AI$1463,0))="",NA(),INDEX(MASTER!$L$4:$L$1463,MATCH("SUB ROSA"&amp;"|"&amp;MAX(1,ROUND(COUNTIFS(MASTER!$B$4:$B$1463,"SUB ROSA",MASTER!$L$4:$L$1463,"&lt;&gt;")*$A70*100/100,0)),MASTER!$AI$4:$AI$1463,0))),NA()))))</f>
        <v>4711</v>
      </c>
      <c r="M70" s="37">
        <f>IF($B$4="RESONANCE",IFERROR(IF(INDEX(MASTER!$I$4:$I$1463,MATCH("VENGEANCE"&amp;"|"&amp;MAX(1,ROUND(COUNTIFS(MASTER!$B$4:$B$1463,"VENGEANCE",MASTER!$I$4:$I$1463,"&lt;&gt;")*$A70*100/100,0)),MASTER!$Y$4:$Y$1463,0))="",NA(),INDEX(MASTER!$I$4:$I$1463,MATCH("VENGEANCE"&amp;"|"&amp;MAX(1,ROUND(COUNTIFS(MASTER!$B$4:$B$1463,"VENGEANCE",MASTER!$I$4:$I$1463,"&lt;&gt;")*$A70*100/100,0)),MASTER!$Y$4:$Y$1463,0))),NA()),IF($B$4="COMBAT RATING",IFERROR(IF(INDEX(MASTER!$G$4:$G$1463,MATCH("VENGEANCE"&amp;"|"&amp;MAX(1,ROUND(COUNTIFS(MASTER!$B$4:$B$1463,"VENGEANCE",MASTER!$G$4:$G$1463,"&lt;&gt;")*$A70*100/100,0)),MASTER!$AH$4:$AH$1463,0))="",NA(),INDEX(MASTER!$G$4:$G$1463,MATCH("VENGEANCE"&amp;"|"&amp;MAX(1,ROUND(COUNTIFS(MASTER!$B$4:$B$1463,"VENGEANCE",MASTER!$G$4:$G$1463,"&lt;&gt;")*$A70*100/100,0)),MASTER!$AH$4:$AH$1463,0))),NA()),IF($B$4="SECONDARY",IFERROR(IF(INDEX(MASTER!$L$4:$L$1463,MATCH("VENGEANCE"&amp;"|"&amp;MAX(1,ROUND(COUNTIFS(MASTER!$B$4:$B$1463,"VENGEANCE",MASTER!$L$4:$L$1463,"&lt;&gt;")*$A70*100/100,0)),MASTER!$AI$4:$AI$1463,0))="",NA(),INDEX(MASTER!$L$4:$L$1463,MATCH("VENGEANCE"&amp;"|"&amp;MAX(1,ROUND(COUNTIFS(MASTER!$B$4:$B$1463,"VENGEANCE",MASTER!$L$4:$L$1463,"&lt;&gt;")*$A70*100/100,0)),MASTER!$AI$4:$AI$1463,0))),NA()))))</f>
        <v>5177</v>
      </c>
      <c r="N70" s="37">
        <f>IF($B$4="RESONANCE",IFERROR(IF(INDEX(MASTER!$I$4:$I$1463,MATCH("VENDETTA"&amp;"|"&amp;MAX(1,ROUND(COUNTIFS(MASTER!$B$4:$B$1463,"VENDETTA",MASTER!$I$4:$I$1463,"&lt;&gt;")*$A70*100/100,0)),MASTER!$Y$4:$Y$1463,0))="",NA(),INDEX(MASTER!$I$4:$I$1463,MATCH("VENDETTA"&amp;"|"&amp;MAX(1,ROUND(COUNTIFS(MASTER!$B$4:$B$1463,"VENDETTA",MASTER!$I$4:$I$1463,"&lt;&gt;")*$A70*100/100,0)),MASTER!$Y$4:$Y$1463,0))),NA()),IF($B$4="COMBAT RATING",IFERROR(IF(INDEX(MASTER!$G$4:$G$1463,MATCH("VENDETTA"&amp;"|"&amp;MAX(1,ROUND(COUNTIFS(MASTER!$B$4:$B$1463,"VENDETTA",MASTER!$G$4:$G$1463,"&lt;&gt;")*$A70*100/100,0)),MASTER!$AH$4:$AH$1463,0))="",NA(),INDEX(MASTER!$G$4:$G$1463,MATCH("VENDETTA"&amp;"|"&amp;MAX(1,ROUND(COUNTIFS(MASTER!$B$4:$B$1463,"VENDETTA",MASTER!$G$4:$G$1463,"&lt;&gt;")*$A70*100/100,0)),MASTER!$AH$4:$AH$1463,0))),NA()),IF($B$4="SECONDARY",IFERROR(IF(INDEX(MASTER!$L$4:$L$1463,MATCH("VENDETTA"&amp;"|"&amp;MAX(1,ROUND(COUNTIFS(MASTER!$B$4:$B$1463,"VENDETTA",MASTER!$L$4:$L$1463,"&lt;&gt;")*$A70*100/100,0)),MASTER!$AI$4:$AI$1463,0))="",NA(),INDEX(MASTER!$L$4:$L$1463,MATCH("VENDETTA"&amp;"|"&amp;MAX(1,ROUND(COUNTIFS(MASTER!$B$4:$B$1463,"VENDETTA",MASTER!$L$4:$L$1463,"&lt;&gt;")*$A70*100/100,0)),MASTER!$AI$4:$AI$1463,0))),NA()))))</f>
        <v>3024</v>
      </c>
      <c r="O70" s="37">
        <f>IF($B$4="RESONANCE",IFERROR(IF(INDEX(MASTER!$I$4:$I$1463,MATCH("ZOMBIES"&amp;"|"&amp;MAX(1,ROUND(COUNTIFS(MASTER!$B$4:$B$1463,"ZOMBIES",MASTER!$I$4:$I$1463,"&lt;&gt;")*$A70*100/100,0)),MASTER!$Y$4:$Y$1463,0))="",NA(),INDEX(MASTER!$I$4:$I$1463,MATCH("ZOMBIES"&amp;"|"&amp;MAX(1,ROUND(COUNTIFS(MASTER!$B$4:$B$1463,"ZOMBIES",MASTER!$I$4:$I$1463,"&lt;&gt;")*$A70*100/100,0)),MASTER!$Y$4:$Y$1463,0))),NA()),IF($B$4="COMBAT RATING",IFERROR(IF(INDEX(MASTER!$G$4:$G$1463,MATCH("ZOMBIES"&amp;"|"&amp;MAX(1,ROUND(COUNTIFS(MASTER!$B$4:$B$1463,"ZOMBIES",MASTER!$G$4:$G$1463,"&lt;&gt;")*$A70*100/100,0)),MASTER!$AH$4:$AH$1463,0))="",NA(),INDEX(MASTER!$G$4:$G$1463,MATCH("ZOMBIES"&amp;"|"&amp;MAX(1,ROUND(COUNTIFS(MASTER!$B$4:$B$1463,"ZOMBIES",MASTER!$G$4:$G$1463,"&lt;&gt;")*$A70*100/100,0)),MASTER!$AH$4:$AH$1463,0))),NA()),IF($B$4="SECONDARY",IFERROR(IF(INDEX(MASTER!$L$4:$L$1463,MATCH("ZOMBIES"&amp;"|"&amp;MAX(1,ROUND(COUNTIFS(MASTER!$B$4:$B$1463,"ZOMBIES",MASTER!$L$4:$L$1463,"&lt;&gt;")*$A70*100/100,0)),MASTER!$AI$4:$AI$1463,0))="",NA(),INDEX(MASTER!$L$4:$L$1463,MATCH("ZOMBIES"&amp;"|"&amp;MAX(1,ROUND(COUNTIFS(MASTER!$B$4:$B$1463,"ZOMBIES",MASTER!$L$4:$L$1463,"&lt;&gt;")*$A70*100/100,0)),MASTER!$AI$4:$AI$1463,0))),NA()))))</f>
        <v>3172</v>
      </c>
      <c r="P70" s="37">
        <f>IF($B$4="RESONANCE",IFERROR(IF(INDEX(MASTER!$I$4:$I$1463,MATCH("FUCT"&amp;"|"&amp;MAX(1,ROUND(COUNTIFS(MASTER!$B$4:$B$1463,"FUCT",MASTER!$I$4:$I$1463,"&lt;&gt;")*$A70*100/100,0)),MASTER!$Y$4:$Y$1463,0))="",NA(),INDEX(MASTER!$I$4:$I$1463,MATCH("FUCT"&amp;"|"&amp;MAX(1,ROUND(COUNTIFS(MASTER!$B$4:$B$1463,"FUCT",MASTER!$I$4:$I$1463,"&lt;&gt;")*$A70*100/100,0)),MASTER!$Y$4:$Y$1463,0))),NA()),IF($B$4="COMBAT RATING",IFERROR(IF(INDEX(MASTER!$G$4:$G$1463,MATCH("FUCT"&amp;"|"&amp;MAX(1,ROUND(COUNTIFS(MASTER!$B$4:$B$1463,"FUCT",MASTER!$G$4:$G$1463,"&lt;&gt;")*$A70*100/100,0)),MASTER!$AH$4:$AH$1463,0))="",NA(),INDEX(MASTER!$G$4:$G$1463,MATCH("FUCT"&amp;"|"&amp;MAX(1,ROUND(COUNTIFS(MASTER!$B$4:$B$1463,"FUCT",MASTER!$G$4:$G$1463,"&lt;&gt;")*$A70*100/100,0)),MASTER!$AH$4:$AH$1463,0))),NA()),IF($B$4="SECONDARY",IFERROR(IF(INDEX(MASTER!$L$4:$L$1463,MATCH("FUCT"&amp;"|"&amp;MAX(1,ROUND(COUNTIFS(MASTER!$B$4:$B$1463,"FUCT",MASTER!$L$4:$L$1463,"&lt;&gt;")*$A70*100/100,0)),MASTER!$AI$4:$AI$1463,0))="",NA(),INDEX(MASTER!$L$4:$L$1463,MATCH("FUCT"&amp;"|"&amp;MAX(1,ROUND(COUNTIFS(MASTER!$B$4:$B$1463,"FUCT",MASTER!$L$4:$L$1463,"&lt;&gt;")*$A70*100/100,0)),MASTER!$AI$4:$AI$1463,0))),NA()))))</f>
        <v>7946</v>
      </c>
      <c r="Q70" s="37">
        <f>IF($B$4="RESONANCE",IFERROR(IF(INDEX(MASTER!$I$4:$I$1463,MATCH($E$4&amp;"|"&amp;MAX(1,ROUND(COUNTIFS(MASTER!$B$4:$B$1463,$E$4,MASTER!$I$4:$I$1463,"&lt;&gt;")*$A70*100/100,0)),MASTER!$Y$4:$Y$1463,0))="",NA(),INDEX(MASTER!$I$4:$I$1463,MATCH($E$4&amp;"|"&amp;MAX(1,ROUND(COUNTIFS(MASTER!$B$4:$B$1463,$E$4,MASTER!$I$4:$I$1463,"&lt;&gt;")*$A70*100/100,0)),MASTER!$Y$4:$Y$1463,0))),NA()),IF($B$4="COMBAT RATING",IFERROR(IF(INDEX(MASTER!$G$4:$G$1463,MATCH($E$4&amp;"|"&amp;MAX(1,ROUND(COUNTIFS(MASTER!$B$4:$B$1463,$E$4,MASTER!$G$4:$G$1463,"&lt;&gt;")*$A70*100/100,0)),MASTER!$AH$4:$AH$1463,0))="",NA(),INDEX(MASTER!$G$4:$G$1463,MATCH($E$4&amp;"|"&amp;MAX(1,ROUND(COUNTIFS(MASTER!$B$4:$B$1463,$E$4,MASTER!$G$4:$G$1463,"&lt;&gt;")*$A70*100/100,0)),MASTER!$AH$4:$AH$1463,0))),NA()),IF($B$4="SECONDARY",IFERROR(IF(INDEX(MASTER!$L$4:$L$1463,MATCH($E$4&amp;"|"&amp;MAX(1,ROUND(COUNTIFS(MASTER!$B$4:$B$1463,$E$4,MASTER!$L$4:$L$1463,"&lt;&gt;")*$A70*100/100,0)),MASTER!$AI$4:$AI$1463,0))="",NA(),INDEX(MASTER!$L$4:$L$1463,MATCH($E$4&amp;"|"&amp;MAX(1,ROUND(COUNTIFS(MASTER!$B$4:$B$1463,$E$4,MASTER!$L$4:$L$1463,"&lt;&gt;")*$A70*100/100,0)),MASTER!$AI$4:$AI$1463,0))),NA()))))</f>
        <v>7122</v>
      </c>
    </row>
    <row r="71" spans="1:17" hidden="1">
      <c r="A71" s="36">
        <v>0.16</v>
      </c>
      <c r="B71" s="37">
        <f>IF($B$4="RESONANCE",IFERROR(IF(INDEX(MASTER!$I$4:$I$1463,MATCH("FUCT"&amp;"|"&amp;MAX(1,ROUND(COUNTIFS(MASTER!$B$4:$B$1463,"FUCT",MASTER!$I$4:$I$1463,"&lt;&gt;")*$A71*100/100,0)),MASTER!$Y$4:$Y$1463,0))="",NA(),INDEX(MASTER!$I$4:$I$1463,MATCH("FUCT"&amp;"|"&amp;MAX(1,ROUND(COUNTIFS(MASTER!$B$4:$B$1463,"FUCT",MASTER!$I$4:$I$1463,"&lt;&gt;")*$A71*100/100,0)),MASTER!$Y$4:$Y$1463,0))),NA()),IF($B$4="COMBAT RATING",IFERROR(IF(INDEX(MASTER!$G$4:$G$1463,MATCH("FUCT"&amp;"|"&amp;MAX(1,ROUND(COUNTIFS(MASTER!$B$4:$B$1463,"FUCT",MASTER!$G$4:$G$1463,"&lt;&gt;")*$A71*100/100,0)),MASTER!$AH$4:$AH$1463,0))="",NA(),INDEX(MASTER!$G$4:$G$1463,MATCH("FUCT"&amp;"|"&amp;MAX(1,ROUND(COUNTIFS(MASTER!$B$4:$B$1463,"FUCT",MASTER!$G$4:$G$1463,"&lt;&gt;")*$A71*100/100,0)),MASTER!$AH$4:$AH$1463,0))),NA()),IF($B$4="SECONDARY",IFERROR(IF(INDEX(MASTER!$L$4:$L$1463,MATCH("FUCT"&amp;"|"&amp;MAX(1,ROUND(COUNTIFS(MASTER!$B$4:$B$1463,"FUCT",MASTER!$L$4:$L$1463,"&lt;&gt;")*$A71*100/100,0)),MASTER!$AI$4:$AI$1463,0))="",NA(),INDEX(MASTER!$L$4:$L$1463,MATCH("FUCT"&amp;"|"&amp;MAX(1,ROUND(COUNTIFS(MASTER!$B$4:$B$1463,"FUCT",MASTER!$L$4:$L$1463,"&lt;&gt;")*$A71*100/100,0)),MASTER!$AI$4:$AI$1463,0))),NA()))))</f>
        <v>7793</v>
      </c>
      <c r="C71" s="37">
        <f>IF($B$4="RESONANCE",IFERROR(IF(INDEX(MASTER!$I$4:$I$1463,MATCH("LEGENDS"&amp;"|"&amp;MAX(1,ROUND(COUNTIFS(MASTER!$B$4:$B$1463,"LEGENDS",MASTER!$I$4:$I$1463,"&lt;&gt;")*$A71*100/100,0)),MASTER!$Y$4:$Y$1463,0))="",NA(),INDEX(MASTER!$I$4:$I$1463,MATCH("LEGENDS"&amp;"|"&amp;MAX(1,ROUND(COUNTIFS(MASTER!$B$4:$B$1463,"LEGENDS",MASTER!$I$4:$I$1463,"&lt;&gt;")*$A71*100/100,0)),MASTER!$Y$4:$Y$1463,0))),NA()),IF($B$4="COMBAT RATING",IFERROR(IF(INDEX(MASTER!$G$4:$G$1463,MATCH("LEGENDS"&amp;"|"&amp;MAX(1,ROUND(COUNTIFS(MASTER!$B$4:$B$1463,"LEGENDS",MASTER!$G$4:$G$1463,"&lt;&gt;")*$A71*100/100,0)),MASTER!$AH$4:$AH$1463,0))="",NA(),INDEX(MASTER!$G$4:$G$1463,MATCH("LEGENDS"&amp;"|"&amp;MAX(1,ROUND(COUNTIFS(MASTER!$B$4:$B$1463,"LEGENDS",MASTER!$G$4:$G$1463,"&lt;&gt;")*$A71*100/100,0)),MASTER!$AH$4:$AH$1463,0))),NA()),IF($B$4="SECONDARY",IFERROR(IF(INDEX(MASTER!$L$4:$L$1463,MATCH("LEGENDS"&amp;"|"&amp;MAX(1,ROUND(COUNTIFS(MASTER!$B$4:$B$1463,"LEGENDS",MASTER!$L$4:$L$1463,"&lt;&gt;")*$A71*100/100,0)),MASTER!$AI$4:$AI$1463,0))="",NA(),INDEX(MASTER!$L$4:$L$1463,MATCH("LEGENDS"&amp;"|"&amp;MAX(1,ROUND(COUNTIFS(MASTER!$B$4:$B$1463,"LEGENDS",MASTER!$L$4:$L$1463,"&lt;&gt;")*$A71*100/100,0)),MASTER!$AI$4:$AI$1463,0))),NA()))))</f>
        <v>7629</v>
      </c>
      <c r="D71" s="37">
        <f>IF($B$4="RESONANCE",IFERROR(IF(INDEX(MASTER!$I$4:$I$1463,MATCH("VANGUARD"&amp;"|"&amp;MAX(1,ROUND(COUNTIFS(MASTER!$B$4:$B$1463,"VANGUARD",MASTER!$I$4:$I$1463,"&lt;&gt;")*$A71*100/100,0)),MASTER!$Y$4:$Y$1463,0))="",NA(),INDEX(MASTER!$I$4:$I$1463,MATCH("VANGUARD"&amp;"|"&amp;MAX(1,ROUND(COUNTIFS(MASTER!$B$4:$B$1463,"VANGUARD",MASTER!$I$4:$I$1463,"&lt;&gt;")*$A71*100/100,0)),MASTER!$Y$4:$Y$1463,0))),NA()),IF($B$4="COMBAT RATING",IFERROR(IF(INDEX(MASTER!$G$4:$G$1463,MATCH("VANGUARD"&amp;"|"&amp;MAX(1,ROUND(COUNTIFS(MASTER!$B$4:$B$1463,"VANGUARD",MASTER!$G$4:$G$1463,"&lt;&gt;")*$A71*100/100,0)),MASTER!$AH$4:$AH$1463,0))="",NA(),INDEX(MASTER!$G$4:$G$1463,MATCH("VANGUARD"&amp;"|"&amp;MAX(1,ROUND(COUNTIFS(MASTER!$B$4:$B$1463,"VANGUARD",MASTER!$G$4:$G$1463,"&lt;&gt;")*$A71*100/100,0)),MASTER!$AH$4:$AH$1463,0))),NA()),IF($B$4="SECONDARY",IFERROR(IF(INDEX(MASTER!$L$4:$L$1463,MATCH("VANGUARD"&amp;"|"&amp;MAX(1,ROUND(COUNTIFS(MASTER!$B$4:$B$1463,"VANGUARD",MASTER!$L$4:$L$1463,"&lt;&gt;")*$A71*100/100,0)),MASTER!$AI$4:$AI$1463,0))="",NA(),INDEX(MASTER!$L$4:$L$1463,MATCH("VANGUARD"&amp;"|"&amp;MAX(1,ROUND(COUNTIFS(MASTER!$B$4:$B$1463,"VANGUARD",MASTER!$L$4:$L$1463,"&lt;&gt;")*$A71*100/100,0)),MASTER!$AI$4:$AI$1463,0))),NA()))))</f>
        <v>9535</v>
      </c>
      <c r="E71" s="37">
        <f>IF($B$4="RESONANCE",IFERROR(IF(INDEX(MASTER!$I$4:$I$1463,MATCH("UNDYING"&amp;"|"&amp;MAX(1,ROUND(COUNTIFS(MASTER!$B$4:$B$1463,"UNDYING",MASTER!$I$4:$I$1463,"&lt;&gt;")*$A71*100/100,0)),MASTER!$Y$4:$Y$1463,0))="",NA(),INDEX(MASTER!$I$4:$I$1463,MATCH("UNDYING"&amp;"|"&amp;MAX(1,ROUND(COUNTIFS(MASTER!$B$4:$B$1463,"UNDYING",MASTER!$I$4:$I$1463,"&lt;&gt;")*$A71*100/100,0)),MASTER!$Y$4:$Y$1463,0))),NA()),IF($B$4="COMBAT RATING",IFERROR(IF(INDEX(MASTER!$G$4:$G$1463,MATCH("UNDYING"&amp;"|"&amp;MAX(1,ROUND(COUNTIFS(MASTER!$B$4:$B$1463,"UNDYING",MASTER!$G$4:$G$1463,"&lt;&gt;")*$A71*100/100,0)),MASTER!$AH$4:$AH$1463,0))="",NA(),INDEX(MASTER!$G$4:$G$1463,MATCH("UNDYING"&amp;"|"&amp;MAX(1,ROUND(COUNTIFS(MASTER!$B$4:$B$1463,"UNDYING",MASTER!$G$4:$G$1463,"&lt;&gt;")*$A71*100/100,0)),MASTER!$AH$4:$AH$1463,0))),NA()),IF($B$4="SECONDARY",IFERROR(IF(INDEX(MASTER!$L$4:$L$1463,MATCH("UNDYING"&amp;"|"&amp;MAX(1,ROUND(COUNTIFS(MASTER!$B$4:$B$1463,"UNDYING",MASTER!$L$4:$L$1463,"&lt;&gt;")*$A71*100/100,0)),MASTER!$AI$4:$AI$1463,0))="",NA(),INDEX(MASTER!$L$4:$L$1463,MATCH("UNDYING"&amp;"|"&amp;MAX(1,ROUND(COUNTIFS(MASTER!$B$4:$B$1463,"UNDYING",MASTER!$L$4:$L$1463,"&lt;&gt;")*$A71*100/100,0)),MASTER!$AI$4:$AI$1463,0))),NA()))))</f>
        <v>7102</v>
      </c>
      <c r="F71" s="37">
        <f>IF($B$4="RESONANCE",IFERROR(IF(INDEX(MASTER!$I$4:$I$1463,MATCH("SBG"&amp;"|"&amp;MAX(1,ROUND(COUNTIFS(MASTER!$B$4:$B$1463,"SBG",MASTER!$I$4:$I$1463,"&lt;&gt;")*$A71*100/100,0)),MASTER!$Y$4:$Y$1463,0))="",NA(),INDEX(MASTER!$I$4:$I$1463,MATCH("SBG"&amp;"|"&amp;MAX(1,ROUND(COUNTIFS(MASTER!$B$4:$B$1463,"SBG",MASTER!$I$4:$I$1463,"&lt;&gt;")*$A71*100/100,0)),MASTER!$Y$4:$Y$1463,0))),NA()),IF($B$4="COMBAT RATING",IFERROR(IF(INDEX(MASTER!$G$4:$G$1463,MATCH("SBG"&amp;"|"&amp;MAX(1,ROUND(COUNTIFS(MASTER!$B$4:$B$1463,"SBG",MASTER!$G$4:$G$1463,"&lt;&gt;")*$A71*100/100,0)),MASTER!$AH$4:$AH$1463,0))="",NA(),INDEX(MASTER!$G$4:$G$1463,MATCH("SBG"&amp;"|"&amp;MAX(1,ROUND(COUNTIFS(MASTER!$B$4:$B$1463,"SBG",MASTER!$G$4:$G$1463,"&lt;&gt;")*$A71*100/100,0)),MASTER!$AH$4:$AH$1463,0))),NA()),IF($B$4="SECONDARY",IFERROR(IF(INDEX(MASTER!$L$4:$L$1463,MATCH("SBG"&amp;"|"&amp;MAX(1,ROUND(COUNTIFS(MASTER!$B$4:$B$1463,"SBG",MASTER!$L$4:$L$1463,"&lt;&gt;")*$A71*100/100,0)),MASTER!$AI$4:$AI$1463,0))="",NA(),INDEX(MASTER!$L$4:$L$1463,MATCH("SBG"&amp;"|"&amp;MAX(1,ROUND(COUNTIFS(MASTER!$B$4:$B$1463,"SBG",MASTER!$L$4:$L$1463,"&lt;&gt;")*$A71*100/100,0)),MASTER!$AI$4:$AI$1463,0))),NA()))))</f>
        <v>8709</v>
      </c>
      <c r="G71" s="37">
        <f>IF($B$4="RESONANCE",IFERROR(IF(INDEX(MASTER!$I$4:$I$1463,MATCH("AZUKI"&amp;"|"&amp;MAX(1,ROUND(COUNTIFS(MASTER!$B$4:$B$1463,"AZUKI",MASTER!$I$4:$I$1463,"&lt;&gt;")*$A71*100/100,0)),MASTER!$Y$4:$Y$1463,0))="",NA(),INDEX(MASTER!$I$4:$I$1463,MATCH("AZUKI"&amp;"|"&amp;MAX(1,ROUND(COUNTIFS(MASTER!$B$4:$B$1463,"AZUKI",MASTER!$I$4:$I$1463,"&lt;&gt;")*$A71*100/100,0)),MASTER!$Y$4:$Y$1463,0))),NA()),IF($B$4="COMBAT RATING",IFERROR(IF(INDEX(MASTER!$G$4:$G$1463,MATCH("AZUKI"&amp;"|"&amp;MAX(1,ROUND(COUNTIFS(MASTER!$B$4:$B$1463,"AZUKI",MASTER!$G$4:$G$1463,"&lt;&gt;")*$A71*100/100,0)),MASTER!$AH$4:$AH$1463,0))="",NA(),INDEX(MASTER!$G$4:$G$1463,MATCH("AZUKI"&amp;"|"&amp;MAX(1,ROUND(COUNTIFS(MASTER!$B$4:$B$1463,"AZUKI",MASTER!$G$4:$G$1463,"&lt;&gt;")*$A71*100/100,0)),MASTER!$AH$4:$AH$1463,0))),NA()),IF($B$4="SECONDARY",IFERROR(IF(INDEX(MASTER!$L$4:$L$1463,MATCH("AZUKI"&amp;"|"&amp;MAX(1,ROUND(COUNTIFS(MASTER!$B$4:$B$1463,"AZUKI",MASTER!$L$4:$L$1463,"&lt;&gt;")*$A71*100/100,0)),MASTER!$AI$4:$AI$1463,0))="",NA(),INDEX(MASTER!$L$4:$L$1463,MATCH("AZUKI"&amp;"|"&amp;MAX(1,ROUND(COUNTIFS(MASTER!$B$4:$B$1463,"AZUKI",MASTER!$L$4:$L$1463,"&lt;&gt;")*$A71*100/100,0)),MASTER!$AI$4:$AI$1463,0))),NA()))))</f>
        <v>9434</v>
      </c>
      <c r="H71" s="37">
        <f>IF($B$4="RESONANCE",IFERROR(IF(INDEX(MASTER!$I$4:$I$1463,MATCH("RECKONING"&amp;"|"&amp;MAX(1,ROUND(COUNTIFS(MASTER!$B$4:$B$1463,"RECKONING",MASTER!$I$4:$I$1463,"&lt;&gt;")*$A71*100/100,0)),MASTER!$Y$4:$Y$1463,0))="",NA(),INDEX(MASTER!$I$4:$I$1463,MATCH("RECKONING"&amp;"|"&amp;MAX(1,ROUND(COUNTIFS(MASTER!$B$4:$B$1463,"RECKONING",MASTER!$I$4:$I$1463,"&lt;&gt;")*$A71*100/100,0)),MASTER!$Y$4:$Y$1463,0))),NA()),IF($B$4="COMBAT RATING",IFERROR(IF(INDEX(MASTER!$G$4:$G$1463,MATCH("RECKONING"&amp;"|"&amp;MAX(1,ROUND(COUNTIFS(MASTER!$B$4:$B$1463,"RECKONING",MASTER!$G$4:$G$1463,"&lt;&gt;")*$A71*100/100,0)),MASTER!$AH$4:$AH$1463,0))="",NA(),INDEX(MASTER!$G$4:$G$1463,MATCH("RECKONING"&amp;"|"&amp;MAX(1,ROUND(COUNTIFS(MASTER!$B$4:$B$1463,"RECKONING",MASTER!$G$4:$G$1463,"&lt;&gt;")*$A71*100/100,0)),MASTER!$AH$4:$AH$1463,0))),NA()),IF($B$4="SECONDARY",IFERROR(IF(INDEX(MASTER!$L$4:$L$1463,MATCH("RECKONING"&amp;"|"&amp;MAX(1,ROUND(COUNTIFS(MASTER!$B$4:$B$1463,"RECKONING",MASTER!$L$4:$L$1463,"&lt;&gt;")*$A71*100/100,0)),MASTER!$AI$4:$AI$1463,0))="",NA(),INDEX(MASTER!$L$4:$L$1463,MATCH("RECKONING"&amp;"|"&amp;MAX(1,ROUND(COUNTIFS(MASTER!$B$4:$B$1463,"RECKONING",MASTER!$L$4:$L$1463,"&lt;&gt;")*$A71*100/100,0)),MASTER!$AI$4:$AI$1463,0))),NA()))))</f>
        <v>8751</v>
      </c>
      <c r="I71" s="37">
        <f>IF($B$4="RESONANCE",IFERROR(IF(INDEX(MASTER!$I$4:$I$1463,MATCH("ACHERON"&amp;"|"&amp;MAX(1,ROUND(COUNTIFS(MASTER!$B$4:$B$1463,"ACHERON",MASTER!$I$4:$I$1463,"&lt;&gt;")*$A71*100/100,0)),MASTER!$Y$4:$Y$1463,0))="",NA(),INDEX(MASTER!$I$4:$I$1463,MATCH("ACHERON"&amp;"|"&amp;MAX(1,ROUND(COUNTIFS(MASTER!$B$4:$B$1463,"ACHERON",MASTER!$I$4:$I$1463,"&lt;&gt;")*$A71*100/100,0)),MASTER!$Y$4:$Y$1463,0))),NA()),IF($B$4="COMBAT RATING",IFERROR(IF(INDEX(MASTER!$G$4:$G$1463,MATCH("ACHERON"&amp;"|"&amp;MAX(1,ROUND(COUNTIFS(MASTER!$B$4:$B$1463,"ACHERON",MASTER!$G$4:$G$1463,"&lt;&gt;")*$A71*100/100,0)),MASTER!$AH$4:$AH$1463,0))="",NA(),INDEX(MASTER!$G$4:$G$1463,MATCH("ACHERON"&amp;"|"&amp;MAX(1,ROUND(COUNTIFS(MASTER!$B$4:$B$1463,"ACHERON",MASTER!$G$4:$G$1463,"&lt;&gt;")*$A71*100/100,0)),MASTER!$AH$4:$AH$1463,0))),NA()),IF($B$4="SECONDARY",IFERROR(IF(INDEX(MASTER!$L$4:$L$1463,MATCH("ACHERON"&amp;"|"&amp;MAX(1,ROUND(COUNTIFS(MASTER!$B$4:$B$1463,"ACHERON",MASTER!$L$4:$L$1463,"&lt;&gt;")*$A71*100/100,0)),MASTER!$AI$4:$AI$1463,0))="",NA(),INDEX(MASTER!$L$4:$L$1463,MATCH("ACHERON"&amp;"|"&amp;MAX(1,ROUND(COUNTIFS(MASTER!$B$4:$B$1463,"ACHERON",MASTER!$L$4:$L$1463,"&lt;&gt;")*$A71*100/100,0)),MASTER!$AI$4:$AI$1463,0))),NA()))))</f>
        <v>5821</v>
      </c>
      <c r="J71" s="37">
        <f>IF($B$4="RESONANCE",IFERROR(IF(INDEX(MASTER!$I$4:$I$1463,MATCH("INVICTUS"&amp;"|"&amp;MAX(1,ROUND(COUNTIFS(MASTER!$B$4:$B$1463,"INVICTUS",MASTER!$I$4:$I$1463,"&lt;&gt;")*$A71*100/100,0)),MASTER!$Y$4:$Y$1463,0))="",NA(),INDEX(MASTER!$I$4:$I$1463,MATCH("INVICTUS"&amp;"|"&amp;MAX(1,ROUND(COUNTIFS(MASTER!$B$4:$B$1463,"INVICTUS",MASTER!$I$4:$I$1463,"&lt;&gt;")*$A71*100/100,0)),MASTER!$Y$4:$Y$1463,0))),NA()),IF($B$4="COMBAT RATING",IFERROR(IF(INDEX(MASTER!$G$4:$G$1463,MATCH("INVICTUS"&amp;"|"&amp;MAX(1,ROUND(COUNTIFS(MASTER!$B$4:$B$1463,"INVICTUS",MASTER!$G$4:$G$1463,"&lt;&gt;")*$A71*100/100,0)),MASTER!$AH$4:$AH$1463,0))="",NA(),INDEX(MASTER!$G$4:$G$1463,MATCH("INVICTUS"&amp;"|"&amp;MAX(1,ROUND(COUNTIFS(MASTER!$B$4:$B$1463,"INVICTUS",MASTER!$G$4:$G$1463,"&lt;&gt;")*$A71*100/100,0)),MASTER!$AH$4:$AH$1463,0))),NA()),IF($B$4="SECONDARY",IFERROR(IF(INDEX(MASTER!$L$4:$L$1463,MATCH("INVICTUS"&amp;"|"&amp;MAX(1,ROUND(COUNTIFS(MASTER!$B$4:$B$1463,"INVICTUS",MASTER!$L$4:$L$1463,"&lt;&gt;")*$A71*100/100,0)),MASTER!$AI$4:$AI$1463,0))="",NA(),INDEX(MASTER!$L$4:$L$1463,MATCH("INVICTUS"&amp;"|"&amp;MAX(1,ROUND(COUNTIFS(MASTER!$B$4:$B$1463,"INVICTUS",MASTER!$L$4:$L$1463,"&lt;&gt;")*$A71*100/100,0)),MASTER!$AI$4:$AI$1463,0))),NA()))))</f>
        <v>4978</v>
      </c>
      <c r="K71" s="37">
        <f>IF($B$4="RESONANCE",IFERROR(IF(INDEX(MASTER!$I$4:$I$1463,MATCH("EMERALD LEAF TRIBE"&amp;"|"&amp;MAX(1,ROUND(COUNTIFS(MASTER!$B$4:$B$1463,"EMERALD LEAF TRIBE",MASTER!$I$4:$I$1463,"&lt;&gt;")*$A71*100/100,0)),MASTER!$Y$4:$Y$1463,0))="",NA(),INDEX(MASTER!$I$4:$I$1463,MATCH("EMERALD LEAF TRIBE"&amp;"|"&amp;MAX(1,ROUND(COUNTIFS(MASTER!$B$4:$B$1463,"EMERALD LEAF TRIBE",MASTER!$I$4:$I$1463,"&lt;&gt;")*$A71*100/100,0)),MASTER!$Y$4:$Y$1463,0))),NA()),IF($B$4="COMBAT RATING",IFERROR(IF(INDEX(MASTER!$G$4:$G$1463,MATCH("EMERALD LEAF TRIBE"&amp;"|"&amp;MAX(1,ROUND(COUNTIFS(MASTER!$B$4:$B$1463,"EMERALD LEAF TRIBE",MASTER!$G$4:$G$1463,"&lt;&gt;")*$A71*100/100,0)),MASTER!$AH$4:$AH$1463,0))="",NA(),INDEX(MASTER!$G$4:$G$1463,MATCH("EMERALD LEAF TRIBE"&amp;"|"&amp;MAX(1,ROUND(COUNTIFS(MASTER!$B$4:$B$1463,"EMERALD LEAF TRIBE",MASTER!$G$4:$G$1463,"&lt;&gt;")*$A71*100/100,0)),MASTER!$AH$4:$AH$1463,0))),NA()),IF($B$4="SECONDARY",IFERROR(IF(INDEX(MASTER!$L$4:$L$1463,MATCH("EMERALD LEAF TRIBE"&amp;"|"&amp;MAX(1,ROUND(COUNTIFS(MASTER!$B$4:$B$1463,"EMERALD LEAF TRIBE",MASTER!$L$4:$L$1463,"&lt;&gt;")*$A71*100/100,0)),MASTER!$AI$4:$AI$1463,0))="",NA(),INDEX(MASTER!$L$4:$L$1463,MATCH("EMERALD LEAF TRIBE"&amp;"|"&amp;MAX(1,ROUND(COUNTIFS(MASTER!$B$4:$B$1463,"EMERALD LEAF TRIBE",MASTER!$L$4:$L$1463,"&lt;&gt;")*$A71*100/100,0)),MASTER!$AI$4:$AI$1463,0))),NA()))))</f>
        <v>3604</v>
      </c>
      <c r="L71" s="37">
        <f>IF($B$4="RESONANCE",IFERROR(IF(INDEX(MASTER!$I$4:$I$1463,MATCH("SUB ROSA"&amp;"|"&amp;MAX(1,ROUND(COUNTIFS(MASTER!$B$4:$B$1463,"SUB ROSA",MASTER!$I$4:$I$1463,"&lt;&gt;")*$A71*100/100,0)),MASTER!$Y$4:$Y$1463,0))="",NA(),INDEX(MASTER!$I$4:$I$1463,MATCH("SUB ROSA"&amp;"|"&amp;MAX(1,ROUND(COUNTIFS(MASTER!$B$4:$B$1463,"SUB ROSA",MASTER!$I$4:$I$1463,"&lt;&gt;")*$A71*100/100,0)),MASTER!$Y$4:$Y$1463,0))),NA()),IF($B$4="COMBAT RATING",IFERROR(IF(INDEX(MASTER!$G$4:$G$1463,MATCH("SUB ROSA"&amp;"|"&amp;MAX(1,ROUND(COUNTIFS(MASTER!$B$4:$B$1463,"SUB ROSA",MASTER!$G$4:$G$1463,"&lt;&gt;")*$A71*100/100,0)),MASTER!$AH$4:$AH$1463,0))="",NA(),INDEX(MASTER!$G$4:$G$1463,MATCH("SUB ROSA"&amp;"|"&amp;MAX(1,ROUND(COUNTIFS(MASTER!$B$4:$B$1463,"SUB ROSA",MASTER!$G$4:$G$1463,"&lt;&gt;")*$A71*100/100,0)),MASTER!$AH$4:$AH$1463,0))),NA()),IF($B$4="SECONDARY",IFERROR(IF(INDEX(MASTER!$L$4:$L$1463,MATCH("SUB ROSA"&amp;"|"&amp;MAX(1,ROUND(COUNTIFS(MASTER!$B$4:$B$1463,"SUB ROSA",MASTER!$L$4:$L$1463,"&lt;&gt;")*$A71*100/100,0)),MASTER!$AI$4:$AI$1463,0))="",NA(),INDEX(MASTER!$L$4:$L$1463,MATCH("SUB ROSA"&amp;"|"&amp;MAX(1,ROUND(COUNTIFS(MASTER!$B$4:$B$1463,"SUB ROSA",MASTER!$L$4:$L$1463,"&lt;&gt;")*$A71*100/100,0)),MASTER!$AI$4:$AI$1463,0))),NA()))))</f>
        <v>4690</v>
      </c>
      <c r="M71" s="37">
        <f>IF($B$4="RESONANCE",IFERROR(IF(INDEX(MASTER!$I$4:$I$1463,MATCH("VENGEANCE"&amp;"|"&amp;MAX(1,ROUND(COUNTIFS(MASTER!$B$4:$B$1463,"VENGEANCE",MASTER!$I$4:$I$1463,"&lt;&gt;")*$A71*100/100,0)),MASTER!$Y$4:$Y$1463,0))="",NA(),INDEX(MASTER!$I$4:$I$1463,MATCH("VENGEANCE"&amp;"|"&amp;MAX(1,ROUND(COUNTIFS(MASTER!$B$4:$B$1463,"VENGEANCE",MASTER!$I$4:$I$1463,"&lt;&gt;")*$A71*100/100,0)),MASTER!$Y$4:$Y$1463,0))),NA()),IF($B$4="COMBAT RATING",IFERROR(IF(INDEX(MASTER!$G$4:$G$1463,MATCH("VENGEANCE"&amp;"|"&amp;MAX(1,ROUND(COUNTIFS(MASTER!$B$4:$B$1463,"VENGEANCE",MASTER!$G$4:$G$1463,"&lt;&gt;")*$A71*100/100,0)),MASTER!$AH$4:$AH$1463,0))="",NA(),INDEX(MASTER!$G$4:$G$1463,MATCH("VENGEANCE"&amp;"|"&amp;MAX(1,ROUND(COUNTIFS(MASTER!$B$4:$B$1463,"VENGEANCE",MASTER!$G$4:$G$1463,"&lt;&gt;")*$A71*100/100,0)),MASTER!$AH$4:$AH$1463,0))),NA()),IF($B$4="SECONDARY",IFERROR(IF(INDEX(MASTER!$L$4:$L$1463,MATCH("VENGEANCE"&amp;"|"&amp;MAX(1,ROUND(COUNTIFS(MASTER!$B$4:$B$1463,"VENGEANCE",MASTER!$L$4:$L$1463,"&lt;&gt;")*$A71*100/100,0)),MASTER!$AI$4:$AI$1463,0))="",NA(),INDEX(MASTER!$L$4:$L$1463,MATCH("VENGEANCE"&amp;"|"&amp;MAX(1,ROUND(COUNTIFS(MASTER!$B$4:$B$1463,"VENGEANCE",MASTER!$L$4:$L$1463,"&lt;&gt;")*$A71*100/100,0)),MASTER!$AI$4:$AI$1463,0))),NA()))))</f>
        <v>5114</v>
      </c>
      <c r="N71" s="37">
        <f>IF($B$4="RESONANCE",IFERROR(IF(INDEX(MASTER!$I$4:$I$1463,MATCH("VENDETTA"&amp;"|"&amp;MAX(1,ROUND(COUNTIFS(MASTER!$B$4:$B$1463,"VENDETTA",MASTER!$I$4:$I$1463,"&lt;&gt;")*$A71*100/100,0)),MASTER!$Y$4:$Y$1463,0))="",NA(),INDEX(MASTER!$I$4:$I$1463,MATCH("VENDETTA"&amp;"|"&amp;MAX(1,ROUND(COUNTIFS(MASTER!$B$4:$B$1463,"VENDETTA",MASTER!$I$4:$I$1463,"&lt;&gt;")*$A71*100/100,0)),MASTER!$Y$4:$Y$1463,0))),NA()),IF($B$4="COMBAT RATING",IFERROR(IF(INDEX(MASTER!$G$4:$G$1463,MATCH("VENDETTA"&amp;"|"&amp;MAX(1,ROUND(COUNTIFS(MASTER!$B$4:$B$1463,"VENDETTA",MASTER!$G$4:$G$1463,"&lt;&gt;")*$A71*100/100,0)),MASTER!$AH$4:$AH$1463,0))="",NA(),INDEX(MASTER!$G$4:$G$1463,MATCH("VENDETTA"&amp;"|"&amp;MAX(1,ROUND(COUNTIFS(MASTER!$B$4:$B$1463,"VENDETTA",MASTER!$G$4:$G$1463,"&lt;&gt;")*$A71*100/100,0)),MASTER!$AH$4:$AH$1463,0))),NA()),IF($B$4="SECONDARY",IFERROR(IF(INDEX(MASTER!$L$4:$L$1463,MATCH("VENDETTA"&amp;"|"&amp;MAX(1,ROUND(COUNTIFS(MASTER!$B$4:$B$1463,"VENDETTA",MASTER!$L$4:$L$1463,"&lt;&gt;")*$A71*100/100,0)),MASTER!$AI$4:$AI$1463,0))="",NA(),INDEX(MASTER!$L$4:$L$1463,MATCH("VENDETTA"&amp;"|"&amp;MAX(1,ROUND(COUNTIFS(MASTER!$B$4:$B$1463,"VENDETTA",MASTER!$L$4:$L$1463,"&lt;&gt;")*$A71*100/100,0)),MASTER!$AI$4:$AI$1463,0))),NA()))))</f>
        <v>2998</v>
      </c>
      <c r="O71" s="37">
        <f>IF($B$4="RESONANCE",IFERROR(IF(INDEX(MASTER!$I$4:$I$1463,MATCH("ZOMBIES"&amp;"|"&amp;MAX(1,ROUND(COUNTIFS(MASTER!$B$4:$B$1463,"ZOMBIES",MASTER!$I$4:$I$1463,"&lt;&gt;")*$A71*100/100,0)),MASTER!$Y$4:$Y$1463,0))="",NA(),INDEX(MASTER!$I$4:$I$1463,MATCH("ZOMBIES"&amp;"|"&amp;MAX(1,ROUND(COUNTIFS(MASTER!$B$4:$B$1463,"ZOMBIES",MASTER!$I$4:$I$1463,"&lt;&gt;")*$A71*100/100,0)),MASTER!$Y$4:$Y$1463,0))),NA()),IF($B$4="COMBAT RATING",IFERROR(IF(INDEX(MASTER!$G$4:$G$1463,MATCH("ZOMBIES"&amp;"|"&amp;MAX(1,ROUND(COUNTIFS(MASTER!$B$4:$B$1463,"ZOMBIES",MASTER!$G$4:$G$1463,"&lt;&gt;")*$A71*100/100,0)),MASTER!$AH$4:$AH$1463,0))="",NA(),INDEX(MASTER!$G$4:$G$1463,MATCH("ZOMBIES"&amp;"|"&amp;MAX(1,ROUND(COUNTIFS(MASTER!$B$4:$B$1463,"ZOMBIES",MASTER!$G$4:$G$1463,"&lt;&gt;")*$A71*100/100,0)),MASTER!$AH$4:$AH$1463,0))),NA()),IF($B$4="SECONDARY",IFERROR(IF(INDEX(MASTER!$L$4:$L$1463,MATCH("ZOMBIES"&amp;"|"&amp;MAX(1,ROUND(COUNTIFS(MASTER!$B$4:$B$1463,"ZOMBIES",MASTER!$L$4:$L$1463,"&lt;&gt;")*$A71*100/100,0)),MASTER!$AI$4:$AI$1463,0))="",NA(),INDEX(MASTER!$L$4:$L$1463,MATCH("ZOMBIES"&amp;"|"&amp;MAX(1,ROUND(COUNTIFS(MASTER!$B$4:$B$1463,"ZOMBIES",MASTER!$L$4:$L$1463,"&lt;&gt;")*$A71*100/100,0)),MASTER!$AI$4:$AI$1463,0))),NA()))))</f>
        <v>3147</v>
      </c>
      <c r="P71" s="37">
        <f>IF($B$4="RESONANCE",IFERROR(IF(INDEX(MASTER!$I$4:$I$1463,MATCH("FUCT"&amp;"|"&amp;MAX(1,ROUND(COUNTIFS(MASTER!$B$4:$B$1463,"FUCT",MASTER!$I$4:$I$1463,"&lt;&gt;")*$A71*100/100,0)),MASTER!$Y$4:$Y$1463,0))="",NA(),INDEX(MASTER!$I$4:$I$1463,MATCH("FUCT"&amp;"|"&amp;MAX(1,ROUND(COUNTIFS(MASTER!$B$4:$B$1463,"FUCT",MASTER!$I$4:$I$1463,"&lt;&gt;")*$A71*100/100,0)),MASTER!$Y$4:$Y$1463,0))),NA()),IF($B$4="COMBAT RATING",IFERROR(IF(INDEX(MASTER!$G$4:$G$1463,MATCH("FUCT"&amp;"|"&amp;MAX(1,ROUND(COUNTIFS(MASTER!$B$4:$B$1463,"FUCT",MASTER!$G$4:$G$1463,"&lt;&gt;")*$A71*100/100,0)),MASTER!$AH$4:$AH$1463,0))="",NA(),INDEX(MASTER!$G$4:$G$1463,MATCH("FUCT"&amp;"|"&amp;MAX(1,ROUND(COUNTIFS(MASTER!$B$4:$B$1463,"FUCT",MASTER!$G$4:$G$1463,"&lt;&gt;")*$A71*100/100,0)),MASTER!$AH$4:$AH$1463,0))),NA()),IF($B$4="SECONDARY",IFERROR(IF(INDEX(MASTER!$L$4:$L$1463,MATCH("FUCT"&amp;"|"&amp;MAX(1,ROUND(COUNTIFS(MASTER!$B$4:$B$1463,"FUCT",MASTER!$L$4:$L$1463,"&lt;&gt;")*$A71*100/100,0)),MASTER!$AI$4:$AI$1463,0))="",NA(),INDEX(MASTER!$L$4:$L$1463,MATCH("FUCT"&amp;"|"&amp;MAX(1,ROUND(COUNTIFS(MASTER!$B$4:$B$1463,"FUCT",MASTER!$L$4:$L$1463,"&lt;&gt;")*$A71*100/100,0)),MASTER!$AI$4:$AI$1463,0))),NA()))))</f>
        <v>7793</v>
      </c>
      <c r="Q71" s="37">
        <f>IF($B$4="RESONANCE",IFERROR(IF(INDEX(MASTER!$I$4:$I$1463,MATCH($E$4&amp;"|"&amp;MAX(1,ROUND(COUNTIFS(MASTER!$B$4:$B$1463,$E$4,MASTER!$I$4:$I$1463,"&lt;&gt;")*$A71*100/100,0)),MASTER!$Y$4:$Y$1463,0))="",NA(),INDEX(MASTER!$I$4:$I$1463,MATCH($E$4&amp;"|"&amp;MAX(1,ROUND(COUNTIFS(MASTER!$B$4:$B$1463,$E$4,MASTER!$I$4:$I$1463,"&lt;&gt;")*$A71*100/100,0)),MASTER!$Y$4:$Y$1463,0))),NA()),IF($B$4="COMBAT RATING",IFERROR(IF(INDEX(MASTER!$G$4:$G$1463,MATCH($E$4&amp;"|"&amp;MAX(1,ROUND(COUNTIFS(MASTER!$B$4:$B$1463,$E$4,MASTER!$G$4:$G$1463,"&lt;&gt;")*$A71*100/100,0)),MASTER!$AH$4:$AH$1463,0))="",NA(),INDEX(MASTER!$G$4:$G$1463,MATCH($E$4&amp;"|"&amp;MAX(1,ROUND(COUNTIFS(MASTER!$B$4:$B$1463,$E$4,MASTER!$G$4:$G$1463,"&lt;&gt;")*$A71*100/100,0)),MASTER!$AH$4:$AH$1463,0))),NA()),IF($B$4="SECONDARY",IFERROR(IF(INDEX(MASTER!$L$4:$L$1463,MATCH($E$4&amp;"|"&amp;MAX(1,ROUND(COUNTIFS(MASTER!$B$4:$B$1463,$E$4,MASTER!$L$4:$L$1463,"&lt;&gt;")*$A71*100/100,0)),MASTER!$AI$4:$AI$1463,0))="",NA(),INDEX(MASTER!$L$4:$L$1463,MATCH($E$4&amp;"|"&amp;MAX(1,ROUND(COUNTIFS(MASTER!$B$4:$B$1463,$E$4,MASTER!$L$4:$L$1463,"&lt;&gt;")*$A71*100/100,0)),MASTER!$AI$4:$AI$1463,0))),NA()))))</f>
        <v>7102</v>
      </c>
    </row>
    <row r="72" spans="1:17" hidden="1">
      <c r="A72" s="36">
        <v>0.17</v>
      </c>
      <c r="B72" s="37">
        <f>IF($B$4="RESONANCE",IFERROR(IF(INDEX(MASTER!$I$4:$I$1463,MATCH("FUCT"&amp;"|"&amp;MAX(1,ROUND(COUNTIFS(MASTER!$B$4:$B$1463,"FUCT",MASTER!$I$4:$I$1463,"&lt;&gt;")*$A72*100/100,0)),MASTER!$Y$4:$Y$1463,0))="",NA(),INDEX(MASTER!$I$4:$I$1463,MATCH("FUCT"&amp;"|"&amp;MAX(1,ROUND(COUNTIFS(MASTER!$B$4:$B$1463,"FUCT",MASTER!$I$4:$I$1463,"&lt;&gt;")*$A72*100/100,0)),MASTER!$Y$4:$Y$1463,0))),NA()),IF($B$4="COMBAT RATING",IFERROR(IF(INDEX(MASTER!$G$4:$G$1463,MATCH("FUCT"&amp;"|"&amp;MAX(1,ROUND(COUNTIFS(MASTER!$B$4:$B$1463,"FUCT",MASTER!$G$4:$G$1463,"&lt;&gt;")*$A72*100/100,0)),MASTER!$AH$4:$AH$1463,0))="",NA(),INDEX(MASTER!$G$4:$G$1463,MATCH("FUCT"&amp;"|"&amp;MAX(1,ROUND(COUNTIFS(MASTER!$B$4:$B$1463,"FUCT",MASTER!$G$4:$G$1463,"&lt;&gt;")*$A72*100/100,0)),MASTER!$AH$4:$AH$1463,0))),NA()),IF($B$4="SECONDARY",IFERROR(IF(INDEX(MASTER!$L$4:$L$1463,MATCH("FUCT"&amp;"|"&amp;MAX(1,ROUND(COUNTIFS(MASTER!$B$4:$B$1463,"FUCT",MASTER!$L$4:$L$1463,"&lt;&gt;")*$A72*100/100,0)),MASTER!$AI$4:$AI$1463,0))="",NA(),INDEX(MASTER!$L$4:$L$1463,MATCH("FUCT"&amp;"|"&amp;MAX(1,ROUND(COUNTIFS(MASTER!$B$4:$B$1463,"FUCT",MASTER!$L$4:$L$1463,"&lt;&gt;")*$A72*100/100,0)),MASTER!$AI$4:$AI$1463,0))),NA()))))</f>
        <v>7500</v>
      </c>
      <c r="C72" s="37">
        <f>IF($B$4="RESONANCE",IFERROR(IF(INDEX(MASTER!$I$4:$I$1463,MATCH("LEGENDS"&amp;"|"&amp;MAX(1,ROUND(COUNTIFS(MASTER!$B$4:$B$1463,"LEGENDS",MASTER!$I$4:$I$1463,"&lt;&gt;")*$A72*100/100,0)),MASTER!$Y$4:$Y$1463,0))="",NA(),INDEX(MASTER!$I$4:$I$1463,MATCH("LEGENDS"&amp;"|"&amp;MAX(1,ROUND(COUNTIFS(MASTER!$B$4:$B$1463,"LEGENDS",MASTER!$I$4:$I$1463,"&lt;&gt;")*$A72*100/100,0)),MASTER!$Y$4:$Y$1463,0))),NA()),IF($B$4="COMBAT RATING",IFERROR(IF(INDEX(MASTER!$G$4:$G$1463,MATCH("LEGENDS"&amp;"|"&amp;MAX(1,ROUND(COUNTIFS(MASTER!$B$4:$B$1463,"LEGENDS",MASTER!$G$4:$G$1463,"&lt;&gt;")*$A72*100/100,0)),MASTER!$AH$4:$AH$1463,0))="",NA(),INDEX(MASTER!$G$4:$G$1463,MATCH("LEGENDS"&amp;"|"&amp;MAX(1,ROUND(COUNTIFS(MASTER!$B$4:$B$1463,"LEGENDS",MASTER!$G$4:$G$1463,"&lt;&gt;")*$A72*100/100,0)),MASTER!$AH$4:$AH$1463,0))),NA()),IF($B$4="SECONDARY",IFERROR(IF(INDEX(MASTER!$L$4:$L$1463,MATCH("LEGENDS"&amp;"|"&amp;MAX(1,ROUND(COUNTIFS(MASTER!$B$4:$B$1463,"LEGENDS",MASTER!$L$4:$L$1463,"&lt;&gt;")*$A72*100/100,0)),MASTER!$AI$4:$AI$1463,0))="",NA(),INDEX(MASTER!$L$4:$L$1463,MATCH("LEGENDS"&amp;"|"&amp;MAX(1,ROUND(COUNTIFS(MASTER!$B$4:$B$1463,"LEGENDS",MASTER!$L$4:$L$1463,"&lt;&gt;")*$A72*100/100,0)),MASTER!$AI$4:$AI$1463,0))),NA()))))</f>
        <v>7629</v>
      </c>
      <c r="D72" s="37">
        <f>IF($B$4="RESONANCE",IFERROR(IF(INDEX(MASTER!$I$4:$I$1463,MATCH("VANGUARD"&amp;"|"&amp;MAX(1,ROUND(COUNTIFS(MASTER!$B$4:$B$1463,"VANGUARD",MASTER!$I$4:$I$1463,"&lt;&gt;")*$A72*100/100,0)),MASTER!$Y$4:$Y$1463,0))="",NA(),INDEX(MASTER!$I$4:$I$1463,MATCH("VANGUARD"&amp;"|"&amp;MAX(1,ROUND(COUNTIFS(MASTER!$B$4:$B$1463,"VANGUARD",MASTER!$I$4:$I$1463,"&lt;&gt;")*$A72*100/100,0)),MASTER!$Y$4:$Y$1463,0))),NA()),IF($B$4="COMBAT RATING",IFERROR(IF(INDEX(MASTER!$G$4:$G$1463,MATCH("VANGUARD"&amp;"|"&amp;MAX(1,ROUND(COUNTIFS(MASTER!$B$4:$B$1463,"VANGUARD",MASTER!$G$4:$G$1463,"&lt;&gt;")*$A72*100/100,0)),MASTER!$AH$4:$AH$1463,0))="",NA(),INDEX(MASTER!$G$4:$G$1463,MATCH("VANGUARD"&amp;"|"&amp;MAX(1,ROUND(COUNTIFS(MASTER!$B$4:$B$1463,"VANGUARD",MASTER!$G$4:$G$1463,"&lt;&gt;")*$A72*100/100,0)),MASTER!$AH$4:$AH$1463,0))),NA()),IF($B$4="SECONDARY",IFERROR(IF(INDEX(MASTER!$L$4:$L$1463,MATCH("VANGUARD"&amp;"|"&amp;MAX(1,ROUND(COUNTIFS(MASTER!$B$4:$B$1463,"VANGUARD",MASTER!$L$4:$L$1463,"&lt;&gt;")*$A72*100/100,0)),MASTER!$AI$4:$AI$1463,0))="",NA(),INDEX(MASTER!$L$4:$L$1463,MATCH("VANGUARD"&amp;"|"&amp;MAX(1,ROUND(COUNTIFS(MASTER!$B$4:$B$1463,"VANGUARD",MASTER!$L$4:$L$1463,"&lt;&gt;")*$A72*100/100,0)),MASTER!$AI$4:$AI$1463,0))),NA()))))</f>
        <v>9441</v>
      </c>
      <c r="E72" s="37">
        <f>IF($B$4="RESONANCE",IFERROR(IF(INDEX(MASTER!$I$4:$I$1463,MATCH("UNDYING"&amp;"|"&amp;MAX(1,ROUND(COUNTIFS(MASTER!$B$4:$B$1463,"UNDYING",MASTER!$I$4:$I$1463,"&lt;&gt;")*$A72*100/100,0)),MASTER!$Y$4:$Y$1463,0))="",NA(),INDEX(MASTER!$I$4:$I$1463,MATCH("UNDYING"&amp;"|"&amp;MAX(1,ROUND(COUNTIFS(MASTER!$B$4:$B$1463,"UNDYING",MASTER!$I$4:$I$1463,"&lt;&gt;")*$A72*100/100,0)),MASTER!$Y$4:$Y$1463,0))),NA()),IF($B$4="COMBAT RATING",IFERROR(IF(INDEX(MASTER!$G$4:$G$1463,MATCH("UNDYING"&amp;"|"&amp;MAX(1,ROUND(COUNTIFS(MASTER!$B$4:$B$1463,"UNDYING",MASTER!$G$4:$G$1463,"&lt;&gt;")*$A72*100/100,0)),MASTER!$AH$4:$AH$1463,0))="",NA(),INDEX(MASTER!$G$4:$G$1463,MATCH("UNDYING"&amp;"|"&amp;MAX(1,ROUND(COUNTIFS(MASTER!$B$4:$B$1463,"UNDYING",MASTER!$G$4:$G$1463,"&lt;&gt;")*$A72*100/100,0)),MASTER!$AH$4:$AH$1463,0))),NA()),IF($B$4="SECONDARY",IFERROR(IF(INDEX(MASTER!$L$4:$L$1463,MATCH("UNDYING"&amp;"|"&amp;MAX(1,ROUND(COUNTIFS(MASTER!$B$4:$B$1463,"UNDYING",MASTER!$L$4:$L$1463,"&lt;&gt;")*$A72*100/100,0)),MASTER!$AI$4:$AI$1463,0))="",NA(),INDEX(MASTER!$L$4:$L$1463,MATCH("UNDYING"&amp;"|"&amp;MAX(1,ROUND(COUNTIFS(MASTER!$B$4:$B$1463,"UNDYING",MASTER!$L$4:$L$1463,"&lt;&gt;")*$A72*100/100,0)),MASTER!$AI$4:$AI$1463,0))),NA()))))</f>
        <v>6930</v>
      </c>
      <c r="F72" s="37">
        <f>IF($B$4="RESONANCE",IFERROR(IF(INDEX(MASTER!$I$4:$I$1463,MATCH("SBG"&amp;"|"&amp;MAX(1,ROUND(COUNTIFS(MASTER!$B$4:$B$1463,"SBG",MASTER!$I$4:$I$1463,"&lt;&gt;")*$A72*100/100,0)),MASTER!$Y$4:$Y$1463,0))="",NA(),INDEX(MASTER!$I$4:$I$1463,MATCH("SBG"&amp;"|"&amp;MAX(1,ROUND(COUNTIFS(MASTER!$B$4:$B$1463,"SBG",MASTER!$I$4:$I$1463,"&lt;&gt;")*$A72*100/100,0)),MASTER!$Y$4:$Y$1463,0))),NA()),IF($B$4="COMBAT RATING",IFERROR(IF(INDEX(MASTER!$G$4:$G$1463,MATCH("SBG"&amp;"|"&amp;MAX(1,ROUND(COUNTIFS(MASTER!$B$4:$B$1463,"SBG",MASTER!$G$4:$G$1463,"&lt;&gt;")*$A72*100/100,0)),MASTER!$AH$4:$AH$1463,0))="",NA(),INDEX(MASTER!$G$4:$G$1463,MATCH("SBG"&amp;"|"&amp;MAX(1,ROUND(COUNTIFS(MASTER!$B$4:$B$1463,"SBG",MASTER!$G$4:$G$1463,"&lt;&gt;")*$A72*100/100,0)),MASTER!$AH$4:$AH$1463,0))),NA()),IF($B$4="SECONDARY",IFERROR(IF(INDEX(MASTER!$L$4:$L$1463,MATCH("SBG"&amp;"|"&amp;MAX(1,ROUND(COUNTIFS(MASTER!$B$4:$B$1463,"SBG",MASTER!$L$4:$L$1463,"&lt;&gt;")*$A72*100/100,0)),MASTER!$AI$4:$AI$1463,0))="",NA(),INDEX(MASTER!$L$4:$L$1463,MATCH("SBG"&amp;"|"&amp;MAX(1,ROUND(COUNTIFS(MASTER!$B$4:$B$1463,"SBG",MASTER!$L$4:$L$1463,"&lt;&gt;")*$A72*100/100,0)),MASTER!$AI$4:$AI$1463,0))),NA()))))</f>
        <v>8709</v>
      </c>
      <c r="G72" s="37">
        <f>IF($B$4="RESONANCE",IFERROR(IF(INDEX(MASTER!$I$4:$I$1463,MATCH("AZUKI"&amp;"|"&amp;MAX(1,ROUND(COUNTIFS(MASTER!$B$4:$B$1463,"AZUKI",MASTER!$I$4:$I$1463,"&lt;&gt;")*$A72*100/100,0)),MASTER!$Y$4:$Y$1463,0))="",NA(),INDEX(MASTER!$I$4:$I$1463,MATCH("AZUKI"&amp;"|"&amp;MAX(1,ROUND(COUNTIFS(MASTER!$B$4:$B$1463,"AZUKI",MASTER!$I$4:$I$1463,"&lt;&gt;")*$A72*100/100,0)),MASTER!$Y$4:$Y$1463,0))),NA()),IF($B$4="COMBAT RATING",IFERROR(IF(INDEX(MASTER!$G$4:$G$1463,MATCH("AZUKI"&amp;"|"&amp;MAX(1,ROUND(COUNTIFS(MASTER!$B$4:$B$1463,"AZUKI",MASTER!$G$4:$G$1463,"&lt;&gt;")*$A72*100/100,0)),MASTER!$AH$4:$AH$1463,0))="",NA(),INDEX(MASTER!$G$4:$G$1463,MATCH("AZUKI"&amp;"|"&amp;MAX(1,ROUND(COUNTIFS(MASTER!$B$4:$B$1463,"AZUKI",MASTER!$G$4:$G$1463,"&lt;&gt;")*$A72*100/100,0)),MASTER!$AH$4:$AH$1463,0))),NA()),IF($B$4="SECONDARY",IFERROR(IF(INDEX(MASTER!$L$4:$L$1463,MATCH("AZUKI"&amp;"|"&amp;MAX(1,ROUND(COUNTIFS(MASTER!$B$4:$B$1463,"AZUKI",MASTER!$L$4:$L$1463,"&lt;&gt;")*$A72*100/100,0)),MASTER!$AI$4:$AI$1463,0))="",NA(),INDEX(MASTER!$L$4:$L$1463,MATCH("AZUKI"&amp;"|"&amp;MAX(1,ROUND(COUNTIFS(MASTER!$B$4:$B$1463,"AZUKI",MASTER!$L$4:$L$1463,"&lt;&gt;")*$A72*100/100,0)),MASTER!$AI$4:$AI$1463,0))),NA()))))</f>
        <v>9398</v>
      </c>
      <c r="H72" s="37">
        <f>IF($B$4="RESONANCE",IFERROR(IF(INDEX(MASTER!$I$4:$I$1463,MATCH("RECKONING"&amp;"|"&amp;MAX(1,ROUND(COUNTIFS(MASTER!$B$4:$B$1463,"RECKONING",MASTER!$I$4:$I$1463,"&lt;&gt;")*$A72*100/100,0)),MASTER!$Y$4:$Y$1463,0))="",NA(),INDEX(MASTER!$I$4:$I$1463,MATCH("RECKONING"&amp;"|"&amp;MAX(1,ROUND(COUNTIFS(MASTER!$B$4:$B$1463,"RECKONING",MASTER!$I$4:$I$1463,"&lt;&gt;")*$A72*100/100,0)),MASTER!$Y$4:$Y$1463,0))),NA()),IF($B$4="COMBAT RATING",IFERROR(IF(INDEX(MASTER!$G$4:$G$1463,MATCH("RECKONING"&amp;"|"&amp;MAX(1,ROUND(COUNTIFS(MASTER!$B$4:$B$1463,"RECKONING",MASTER!$G$4:$G$1463,"&lt;&gt;")*$A72*100/100,0)),MASTER!$AH$4:$AH$1463,0))="",NA(),INDEX(MASTER!$G$4:$G$1463,MATCH("RECKONING"&amp;"|"&amp;MAX(1,ROUND(COUNTIFS(MASTER!$B$4:$B$1463,"RECKONING",MASTER!$G$4:$G$1463,"&lt;&gt;")*$A72*100/100,0)),MASTER!$AH$4:$AH$1463,0))),NA()),IF($B$4="SECONDARY",IFERROR(IF(INDEX(MASTER!$L$4:$L$1463,MATCH("RECKONING"&amp;"|"&amp;MAX(1,ROUND(COUNTIFS(MASTER!$B$4:$B$1463,"RECKONING",MASTER!$L$4:$L$1463,"&lt;&gt;")*$A72*100/100,0)),MASTER!$AI$4:$AI$1463,0))="",NA(),INDEX(MASTER!$L$4:$L$1463,MATCH("RECKONING"&amp;"|"&amp;MAX(1,ROUND(COUNTIFS(MASTER!$B$4:$B$1463,"RECKONING",MASTER!$L$4:$L$1463,"&lt;&gt;")*$A72*100/100,0)),MASTER!$AI$4:$AI$1463,0))),NA()))))</f>
        <v>8751</v>
      </c>
      <c r="I72" s="37">
        <f>IF($B$4="RESONANCE",IFERROR(IF(INDEX(MASTER!$I$4:$I$1463,MATCH("ACHERON"&amp;"|"&amp;MAX(1,ROUND(COUNTIFS(MASTER!$B$4:$B$1463,"ACHERON",MASTER!$I$4:$I$1463,"&lt;&gt;")*$A72*100/100,0)),MASTER!$Y$4:$Y$1463,0))="",NA(),INDEX(MASTER!$I$4:$I$1463,MATCH("ACHERON"&amp;"|"&amp;MAX(1,ROUND(COUNTIFS(MASTER!$B$4:$B$1463,"ACHERON",MASTER!$I$4:$I$1463,"&lt;&gt;")*$A72*100/100,0)),MASTER!$Y$4:$Y$1463,0))),NA()),IF($B$4="COMBAT RATING",IFERROR(IF(INDEX(MASTER!$G$4:$G$1463,MATCH("ACHERON"&amp;"|"&amp;MAX(1,ROUND(COUNTIFS(MASTER!$B$4:$B$1463,"ACHERON",MASTER!$G$4:$G$1463,"&lt;&gt;")*$A72*100/100,0)),MASTER!$AH$4:$AH$1463,0))="",NA(),INDEX(MASTER!$G$4:$G$1463,MATCH("ACHERON"&amp;"|"&amp;MAX(1,ROUND(COUNTIFS(MASTER!$B$4:$B$1463,"ACHERON",MASTER!$G$4:$G$1463,"&lt;&gt;")*$A72*100/100,0)),MASTER!$AH$4:$AH$1463,0))),NA()),IF($B$4="SECONDARY",IFERROR(IF(INDEX(MASTER!$L$4:$L$1463,MATCH("ACHERON"&amp;"|"&amp;MAX(1,ROUND(COUNTIFS(MASTER!$B$4:$B$1463,"ACHERON",MASTER!$L$4:$L$1463,"&lt;&gt;")*$A72*100/100,0)),MASTER!$AI$4:$AI$1463,0))="",NA(),INDEX(MASTER!$L$4:$L$1463,MATCH("ACHERON"&amp;"|"&amp;MAX(1,ROUND(COUNTIFS(MASTER!$B$4:$B$1463,"ACHERON",MASTER!$L$4:$L$1463,"&lt;&gt;")*$A72*100/100,0)),MASTER!$AI$4:$AI$1463,0))),NA()))))</f>
        <v>5699</v>
      </c>
      <c r="J72" s="37">
        <f>IF($B$4="RESONANCE",IFERROR(IF(INDEX(MASTER!$I$4:$I$1463,MATCH("INVICTUS"&amp;"|"&amp;MAX(1,ROUND(COUNTIFS(MASTER!$B$4:$B$1463,"INVICTUS",MASTER!$I$4:$I$1463,"&lt;&gt;")*$A72*100/100,0)),MASTER!$Y$4:$Y$1463,0))="",NA(),INDEX(MASTER!$I$4:$I$1463,MATCH("INVICTUS"&amp;"|"&amp;MAX(1,ROUND(COUNTIFS(MASTER!$B$4:$B$1463,"INVICTUS",MASTER!$I$4:$I$1463,"&lt;&gt;")*$A72*100/100,0)),MASTER!$Y$4:$Y$1463,0))),NA()),IF($B$4="COMBAT RATING",IFERROR(IF(INDEX(MASTER!$G$4:$G$1463,MATCH("INVICTUS"&amp;"|"&amp;MAX(1,ROUND(COUNTIFS(MASTER!$B$4:$B$1463,"INVICTUS",MASTER!$G$4:$G$1463,"&lt;&gt;")*$A72*100/100,0)),MASTER!$AH$4:$AH$1463,0))="",NA(),INDEX(MASTER!$G$4:$G$1463,MATCH("INVICTUS"&amp;"|"&amp;MAX(1,ROUND(COUNTIFS(MASTER!$B$4:$B$1463,"INVICTUS",MASTER!$G$4:$G$1463,"&lt;&gt;")*$A72*100/100,0)),MASTER!$AH$4:$AH$1463,0))),NA()),IF($B$4="SECONDARY",IFERROR(IF(INDEX(MASTER!$L$4:$L$1463,MATCH("INVICTUS"&amp;"|"&amp;MAX(1,ROUND(COUNTIFS(MASTER!$B$4:$B$1463,"INVICTUS",MASTER!$L$4:$L$1463,"&lt;&gt;")*$A72*100/100,0)),MASTER!$AI$4:$AI$1463,0))="",NA(),INDEX(MASTER!$L$4:$L$1463,MATCH("INVICTUS"&amp;"|"&amp;MAX(1,ROUND(COUNTIFS(MASTER!$B$4:$B$1463,"INVICTUS",MASTER!$L$4:$L$1463,"&lt;&gt;")*$A72*100/100,0)),MASTER!$AI$4:$AI$1463,0))),NA()))))</f>
        <v>4970</v>
      </c>
      <c r="K72" s="37">
        <f>IF($B$4="RESONANCE",IFERROR(IF(INDEX(MASTER!$I$4:$I$1463,MATCH("EMERALD LEAF TRIBE"&amp;"|"&amp;MAX(1,ROUND(COUNTIFS(MASTER!$B$4:$B$1463,"EMERALD LEAF TRIBE",MASTER!$I$4:$I$1463,"&lt;&gt;")*$A72*100/100,0)),MASTER!$Y$4:$Y$1463,0))="",NA(),INDEX(MASTER!$I$4:$I$1463,MATCH("EMERALD LEAF TRIBE"&amp;"|"&amp;MAX(1,ROUND(COUNTIFS(MASTER!$B$4:$B$1463,"EMERALD LEAF TRIBE",MASTER!$I$4:$I$1463,"&lt;&gt;")*$A72*100/100,0)),MASTER!$Y$4:$Y$1463,0))),NA()),IF($B$4="COMBAT RATING",IFERROR(IF(INDEX(MASTER!$G$4:$G$1463,MATCH("EMERALD LEAF TRIBE"&amp;"|"&amp;MAX(1,ROUND(COUNTIFS(MASTER!$B$4:$B$1463,"EMERALD LEAF TRIBE",MASTER!$G$4:$G$1463,"&lt;&gt;")*$A72*100/100,0)),MASTER!$AH$4:$AH$1463,0))="",NA(),INDEX(MASTER!$G$4:$G$1463,MATCH("EMERALD LEAF TRIBE"&amp;"|"&amp;MAX(1,ROUND(COUNTIFS(MASTER!$B$4:$B$1463,"EMERALD LEAF TRIBE",MASTER!$G$4:$G$1463,"&lt;&gt;")*$A72*100/100,0)),MASTER!$AH$4:$AH$1463,0))),NA()),IF($B$4="SECONDARY",IFERROR(IF(INDEX(MASTER!$L$4:$L$1463,MATCH("EMERALD LEAF TRIBE"&amp;"|"&amp;MAX(1,ROUND(COUNTIFS(MASTER!$B$4:$B$1463,"EMERALD LEAF TRIBE",MASTER!$L$4:$L$1463,"&lt;&gt;")*$A72*100/100,0)),MASTER!$AI$4:$AI$1463,0))="",NA(),INDEX(MASTER!$L$4:$L$1463,MATCH("EMERALD LEAF TRIBE"&amp;"|"&amp;MAX(1,ROUND(COUNTIFS(MASTER!$B$4:$B$1463,"EMERALD LEAF TRIBE",MASTER!$L$4:$L$1463,"&lt;&gt;")*$A72*100/100,0)),MASTER!$AI$4:$AI$1463,0))),NA()))))</f>
        <v>3604</v>
      </c>
      <c r="L72" s="37">
        <f>IF($B$4="RESONANCE",IFERROR(IF(INDEX(MASTER!$I$4:$I$1463,MATCH("SUB ROSA"&amp;"|"&amp;MAX(1,ROUND(COUNTIFS(MASTER!$B$4:$B$1463,"SUB ROSA",MASTER!$I$4:$I$1463,"&lt;&gt;")*$A72*100/100,0)),MASTER!$Y$4:$Y$1463,0))="",NA(),INDEX(MASTER!$I$4:$I$1463,MATCH("SUB ROSA"&amp;"|"&amp;MAX(1,ROUND(COUNTIFS(MASTER!$B$4:$B$1463,"SUB ROSA",MASTER!$I$4:$I$1463,"&lt;&gt;")*$A72*100/100,0)),MASTER!$Y$4:$Y$1463,0))),NA()),IF($B$4="COMBAT RATING",IFERROR(IF(INDEX(MASTER!$G$4:$G$1463,MATCH("SUB ROSA"&amp;"|"&amp;MAX(1,ROUND(COUNTIFS(MASTER!$B$4:$B$1463,"SUB ROSA",MASTER!$G$4:$G$1463,"&lt;&gt;")*$A72*100/100,0)),MASTER!$AH$4:$AH$1463,0))="",NA(),INDEX(MASTER!$G$4:$G$1463,MATCH("SUB ROSA"&amp;"|"&amp;MAX(1,ROUND(COUNTIFS(MASTER!$B$4:$B$1463,"SUB ROSA",MASTER!$G$4:$G$1463,"&lt;&gt;")*$A72*100/100,0)),MASTER!$AH$4:$AH$1463,0))),NA()),IF($B$4="SECONDARY",IFERROR(IF(INDEX(MASTER!$L$4:$L$1463,MATCH("SUB ROSA"&amp;"|"&amp;MAX(1,ROUND(COUNTIFS(MASTER!$B$4:$B$1463,"SUB ROSA",MASTER!$L$4:$L$1463,"&lt;&gt;")*$A72*100/100,0)),MASTER!$AI$4:$AI$1463,0))="",NA(),INDEX(MASTER!$L$4:$L$1463,MATCH("SUB ROSA"&amp;"|"&amp;MAX(1,ROUND(COUNTIFS(MASTER!$B$4:$B$1463,"SUB ROSA",MASTER!$L$4:$L$1463,"&lt;&gt;")*$A72*100/100,0)),MASTER!$AI$4:$AI$1463,0))),NA()))))</f>
        <v>4581</v>
      </c>
      <c r="M72" s="37">
        <f>IF($B$4="RESONANCE",IFERROR(IF(INDEX(MASTER!$I$4:$I$1463,MATCH("VENGEANCE"&amp;"|"&amp;MAX(1,ROUND(COUNTIFS(MASTER!$B$4:$B$1463,"VENGEANCE",MASTER!$I$4:$I$1463,"&lt;&gt;")*$A72*100/100,0)),MASTER!$Y$4:$Y$1463,0))="",NA(),INDEX(MASTER!$I$4:$I$1463,MATCH("VENGEANCE"&amp;"|"&amp;MAX(1,ROUND(COUNTIFS(MASTER!$B$4:$B$1463,"VENGEANCE",MASTER!$I$4:$I$1463,"&lt;&gt;")*$A72*100/100,0)),MASTER!$Y$4:$Y$1463,0))),NA()),IF($B$4="COMBAT RATING",IFERROR(IF(INDEX(MASTER!$G$4:$G$1463,MATCH("VENGEANCE"&amp;"|"&amp;MAX(1,ROUND(COUNTIFS(MASTER!$B$4:$B$1463,"VENGEANCE",MASTER!$G$4:$G$1463,"&lt;&gt;")*$A72*100/100,0)),MASTER!$AH$4:$AH$1463,0))="",NA(),INDEX(MASTER!$G$4:$G$1463,MATCH("VENGEANCE"&amp;"|"&amp;MAX(1,ROUND(COUNTIFS(MASTER!$B$4:$B$1463,"VENGEANCE",MASTER!$G$4:$G$1463,"&lt;&gt;")*$A72*100/100,0)),MASTER!$AH$4:$AH$1463,0))),NA()),IF($B$4="SECONDARY",IFERROR(IF(INDEX(MASTER!$L$4:$L$1463,MATCH("VENGEANCE"&amp;"|"&amp;MAX(1,ROUND(COUNTIFS(MASTER!$B$4:$B$1463,"VENGEANCE",MASTER!$L$4:$L$1463,"&lt;&gt;")*$A72*100/100,0)),MASTER!$AI$4:$AI$1463,0))="",NA(),INDEX(MASTER!$L$4:$L$1463,MATCH("VENGEANCE"&amp;"|"&amp;MAX(1,ROUND(COUNTIFS(MASTER!$B$4:$B$1463,"VENGEANCE",MASTER!$L$4:$L$1463,"&lt;&gt;")*$A72*100/100,0)),MASTER!$AI$4:$AI$1463,0))),NA()))))</f>
        <v>4911</v>
      </c>
      <c r="N72" s="37">
        <f>IF($B$4="RESONANCE",IFERROR(IF(INDEX(MASTER!$I$4:$I$1463,MATCH("VENDETTA"&amp;"|"&amp;MAX(1,ROUND(COUNTIFS(MASTER!$B$4:$B$1463,"VENDETTA",MASTER!$I$4:$I$1463,"&lt;&gt;")*$A72*100/100,0)),MASTER!$Y$4:$Y$1463,0))="",NA(),INDEX(MASTER!$I$4:$I$1463,MATCH("VENDETTA"&amp;"|"&amp;MAX(1,ROUND(COUNTIFS(MASTER!$B$4:$B$1463,"VENDETTA",MASTER!$I$4:$I$1463,"&lt;&gt;")*$A72*100/100,0)),MASTER!$Y$4:$Y$1463,0))),NA()),IF($B$4="COMBAT RATING",IFERROR(IF(INDEX(MASTER!$G$4:$G$1463,MATCH("VENDETTA"&amp;"|"&amp;MAX(1,ROUND(COUNTIFS(MASTER!$B$4:$B$1463,"VENDETTA",MASTER!$G$4:$G$1463,"&lt;&gt;")*$A72*100/100,0)),MASTER!$AH$4:$AH$1463,0))="",NA(),INDEX(MASTER!$G$4:$G$1463,MATCH("VENDETTA"&amp;"|"&amp;MAX(1,ROUND(COUNTIFS(MASTER!$B$4:$B$1463,"VENDETTA",MASTER!$G$4:$G$1463,"&lt;&gt;")*$A72*100/100,0)),MASTER!$AH$4:$AH$1463,0))),NA()),IF($B$4="SECONDARY",IFERROR(IF(INDEX(MASTER!$L$4:$L$1463,MATCH("VENDETTA"&amp;"|"&amp;MAX(1,ROUND(COUNTIFS(MASTER!$B$4:$B$1463,"VENDETTA",MASTER!$L$4:$L$1463,"&lt;&gt;")*$A72*100/100,0)),MASTER!$AI$4:$AI$1463,0))="",NA(),INDEX(MASTER!$L$4:$L$1463,MATCH("VENDETTA"&amp;"|"&amp;MAX(1,ROUND(COUNTIFS(MASTER!$B$4:$B$1463,"VENDETTA",MASTER!$L$4:$L$1463,"&lt;&gt;")*$A72*100/100,0)),MASTER!$AI$4:$AI$1463,0))),NA()))))</f>
        <v>2980</v>
      </c>
      <c r="O72" s="37">
        <f>IF($B$4="RESONANCE",IFERROR(IF(INDEX(MASTER!$I$4:$I$1463,MATCH("ZOMBIES"&amp;"|"&amp;MAX(1,ROUND(COUNTIFS(MASTER!$B$4:$B$1463,"ZOMBIES",MASTER!$I$4:$I$1463,"&lt;&gt;")*$A72*100/100,0)),MASTER!$Y$4:$Y$1463,0))="",NA(),INDEX(MASTER!$I$4:$I$1463,MATCH("ZOMBIES"&amp;"|"&amp;MAX(1,ROUND(COUNTIFS(MASTER!$B$4:$B$1463,"ZOMBIES",MASTER!$I$4:$I$1463,"&lt;&gt;")*$A72*100/100,0)),MASTER!$Y$4:$Y$1463,0))),NA()),IF($B$4="COMBAT RATING",IFERROR(IF(INDEX(MASTER!$G$4:$G$1463,MATCH("ZOMBIES"&amp;"|"&amp;MAX(1,ROUND(COUNTIFS(MASTER!$B$4:$B$1463,"ZOMBIES",MASTER!$G$4:$G$1463,"&lt;&gt;")*$A72*100/100,0)),MASTER!$AH$4:$AH$1463,0))="",NA(),INDEX(MASTER!$G$4:$G$1463,MATCH("ZOMBIES"&amp;"|"&amp;MAX(1,ROUND(COUNTIFS(MASTER!$B$4:$B$1463,"ZOMBIES",MASTER!$G$4:$G$1463,"&lt;&gt;")*$A72*100/100,0)),MASTER!$AH$4:$AH$1463,0))),NA()),IF($B$4="SECONDARY",IFERROR(IF(INDEX(MASTER!$L$4:$L$1463,MATCH("ZOMBIES"&amp;"|"&amp;MAX(1,ROUND(COUNTIFS(MASTER!$B$4:$B$1463,"ZOMBIES",MASTER!$L$4:$L$1463,"&lt;&gt;")*$A72*100/100,0)),MASTER!$AI$4:$AI$1463,0))="",NA(),INDEX(MASTER!$L$4:$L$1463,MATCH("ZOMBIES"&amp;"|"&amp;MAX(1,ROUND(COUNTIFS(MASTER!$B$4:$B$1463,"ZOMBIES",MASTER!$L$4:$L$1463,"&lt;&gt;")*$A72*100/100,0)),MASTER!$AI$4:$AI$1463,0))),NA()))))</f>
        <v>3128</v>
      </c>
      <c r="P72" s="37">
        <f>IF($B$4="RESONANCE",IFERROR(IF(INDEX(MASTER!$I$4:$I$1463,MATCH("FUCT"&amp;"|"&amp;MAX(1,ROUND(COUNTIFS(MASTER!$B$4:$B$1463,"FUCT",MASTER!$I$4:$I$1463,"&lt;&gt;")*$A72*100/100,0)),MASTER!$Y$4:$Y$1463,0))="",NA(),INDEX(MASTER!$I$4:$I$1463,MATCH("FUCT"&amp;"|"&amp;MAX(1,ROUND(COUNTIFS(MASTER!$B$4:$B$1463,"FUCT",MASTER!$I$4:$I$1463,"&lt;&gt;")*$A72*100/100,0)),MASTER!$Y$4:$Y$1463,0))),NA()),IF($B$4="COMBAT RATING",IFERROR(IF(INDEX(MASTER!$G$4:$G$1463,MATCH("FUCT"&amp;"|"&amp;MAX(1,ROUND(COUNTIFS(MASTER!$B$4:$B$1463,"FUCT",MASTER!$G$4:$G$1463,"&lt;&gt;")*$A72*100/100,0)),MASTER!$AH$4:$AH$1463,0))="",NA(),INDEX(MASTER!$G$4:$G$1463,MATCH("FUCT"&amp;"|"&amp;MAX(1,ROUND(COUNTIFS(MASTER!$B$4:$B$1463,"FUCT",MASTER!$G$4:$G$1463,"&lt;&gt;")*$A72*100/100,0)),MASTER!$AH$4:$AH$1463,0))),NA()),IF($B$4="SECONDARY",IFERROR(IF(INDEX(MASTER!$L$4:$L$1463,MATCH("FUCT"&amp;"|"&amp;MAX(1,ROUND(COUNTIFS(MASTER!$B$4:$B$1463,"FUCT",MASTER!$L$4:$L$1463,"&lt;&gt;")*$A72*100/100,0)),MASTER!$AI$4:$AI$1463,0))="",NA(),INDEX(MASTER!$L$4:$L$1463,MATCH("FUCT"&amp;"|"&amp;MAX(1,ROUND(COUNTIFS(MASTER!$B$4:$B$1463,"FUCT",MASTER!$L$4:$L$1463,"&lt;&gt;")*$A72*100/100,0)),MASTER!$AI$4:$AI$1463,0))),NA()))))</f>
        <v>7500</v>
      </c>
      <c r="Q72" s="37">
        <f>IF($B$4="RESONANCE",IFERROR(IF(INDEX(MASTER!$I$4:$I$1463,MATCH($E$4&amp;"|"&amp;MAX(1,ROUND(COUNTIFS(MASTER!$B$4:$B$1463,$E$4,MASTER!$I$4:$I$1463,"&lt;&gt;")*$A72*100/100,0)),MASTER!$Y$4:$Y$1463,0))="",NA(),INDEX(MASTER!$I$4:$I$1463,MATCH($E$4&amp;"|"&amp;MAX(1,ROUND(COUNTIFS(MASTER!$B$4:$B$1463,$E$4,MASTER!$I$4:$I$1463,"&lt;&gt;")*$A72*100/100,0)),MASTER!$Y$4:$Y$1463,0))),NA()),IF($B$4="COMBAT RATING",IFERROR(IF(INDEX(MASTER!$G$4:$G$1463,MATCH($E$4&amp;"|"&amp;MAX(1,ROUND(COUNTIFS(MASTER!$B$4:$B$1463,$E$4,MASTER!$G$4:$G$1463,"&lt;&gt;")*$A72*100/100,0)),MASTER!$AH$4:$AH$1463,0))="",NA(),INDEX(MASTER!$G$4:$G$1463,MATCH($E$4&amp;"|"&amp;MAX(1,ROUND(COUNTIFS(MASTER!$B$4:$B$1463,$E$4,MASTER!$G$4:$G$1463,"&lt;&gt;")*$A72*100/100,0)),MASTER!$AH$4:$AH$1463,0))),NA()),IF($B$4="SECONDARY",IFERROR(IF(INDEX(MASTER!$L$4:$L$1463,MATCH($E$4&amp;"|"&amp;MAX(1,ROUND(COUNTIFS(MASTER!$B$4:$B$1463,$E$4,MASTER!$L$4:$L$1463,"&lt;&gt;")*$A72*100/100,0)),MASTER!$AI$4:$AI$1463,0))="",NA(),INDEX(MASTER!$L$4:$L$1463,MATCH($E$4&amp;"|"&amp;MAX(1,ROUND(COUNTIFS(MASTER!$B$4:$B$1463,$E$4,MASTER!$L$4:$L$1463,"&lt;&gt;")*$A72*100/100,0)),MASTER!$AI$4:$AI$1463,0))),NA()))))</f>
        <v>6930</v>
      </c>
    </row>
    <row r="73" spans="1:17" hidden="1">
      <c r="A73" s="36">
        <v>0.18</v>
      </c>
      <c r="B73" s="37">
        <f>IF($B$4="RESONANCE",IFERROR(IF(INDEX(MASTER!$I$4:$I$1463,MATCH("FUCT"&amp;"|"&amp;MAX(1,ROUND(COUNTIFS(MASTER!$B$4:$B$1463,"FUCT",MASTER!$I$4:$I$1463,"&lt;&gt;")*$A73*100/100,0)),MASTER!$Y$4:$Y$1463,0))="",NA(),INDEX(MASTER!$I$4:$I$1463,MATCH("FUCT"&amp;"|"&amp;MAX(1,ROUND(COUNTIFS(MASTER!$B$4:$B$1463,"FUCT",MASTER!$I$4:$I$1463,"&lt;&gt;")*$A73*100/100,0)),MASTER!$Y$4:$Y$1463,0))),NA()),IF($B$4="COMBAT RATING",IFERROR(IF(INDEX(MASTER!$G$4:$G$1463,MATCH("FUCT"&amp;"|"&amp;MAX(1,ROUND(COUNTIFS(MASTER!$B$4:$B$1463,"FUCT",MASTER!$G$4:$G$1463,"&lt;&gt;")*$A73*100/100,0)),MASTER!$AH$4:$AH$1463,0))="",NA(),INDEX(MASTER!$G$4:$G$1463,MATCH("FUCT"&amp;"|"&amp;MAX(1,ROUND(COUNTIFS(MASTER!$B$4:$B$1463,"FUCT",MASTER!$G$4:$G$1463,"&lt;&gt;")*$A73*100/100,0)),MASTER!$AH$4:$AH$1463,0))),NA()),IF($B$4="SECONDARY",IFERROR(IF(INDEX(MASTER!$L$4:$L$1463,MATCH("FUCT"&amp;"|"&amp;MAX(1,ROUND(COUNTIFS(MASTER!$B$4:$B$1463,"FUCT",MASTER!$L$4:$L$1463,"&lt;&gt;")*$A73*100/100,0)),MASTER!$AI$4:$AI$1463,0))="",NA(),INDEX(MASTER!$L$4:$L$1463,MATCH("FUCT"&amp;"|"&amp;MAX(1,ROUND(COUNTIFS(MASTER!$B$4:$B$1463,"FUCT",MASTER!$L$4:$L$1463,"&lt;&gt;")*$A73*100/100,0)),MASTER!$AI$4:$AI$1463,0))),NA()))))</f>
        <v>7436</v>
      </c>
      <c r="C73" s="37">
        <f>IF($B$4="RESONANCE",IFERROR(IF(INDEX(MASTER!$I$4:$I$1463,MATCH("LEGENDS"&amp;"|"&amp;MAX(1,ROUND(COUNTIFS(MASTER!$B$4:$B$1463,"LEGENDS",MASTER!$I$4:$I$1463,"&lt;&gt;")*$A73*100/100,0)),MASTER!$Y$4:$Y$1463,0))="",NA(),INDEX(MASTER!$I$4:$I$1463,MATCH("LEGENDS"&amp;"|"&amp;MAX(1,ROUND(COUNTIFS(MASTER!$B$4:$B$1463,"LEGENDS",MASTER!$I$4:$I$1463,"&lt;&gt;")*$A73*100/100,0)),MASTER!$Y$4:$Y$1463,0))),NA()),IF($B$4="COMBAT RATING",IFERROR(IF(INDEX(MASTER!$G$4:$G$1463,MATCH("LEGENDS"&amp;"|"&amp;MAX(1,ROUND(COUNTIFS(MASTER!$B$4:$B$1463,"LEGENDS",MASTER!$G$4:$G$1463,"&lt;&gt;")*$A73*100/100,0)),MASTER!$AH$4:$AH$1463,0))="",NA(),INDEX(MASTER!$G$4:$G$1463,MATCH("LEGENDS"&amp;"|"&amp;MAX(1,ROUND(COUNTIFS(MASTER!$B$4:$B$1463,"LEGENDS",MASTER!$G$4:$G$1463,"&lt;&gt;")*$A73*100/100,0)),MASTER!$AH$4:$AH$1463,0))),NA()),IF($B$4="SECONDARY",IFERROR(IF(INDEX(MASTER!$L$4:$L$1463,MATCH("LEGENDS"&amp;"|"&amp;MAX(1,ROUND(COUNTIFS(MASTER!$B$4:$B$1463,"LEGENDS",MASTER!$L$4:$L$1463,"&lt;&gt;")*$A73*100/100,0)),MASTER!$AI$4:$AI$1463,0))="",NA(),INDEX(MASTER!$L$4:$L$1463,MATCH("LEGENDS"&amp;"|"&amp;MAX(1,ROUND(COUNTIFS(MASTER!$B$4:$B$1463,"LEGENDS",MASTER!$L$4:$L$1463,"&lt;&gt;")*$A73*100/100,0)),MASTER!$AI$4:$AI$1463,0))),NA()))))</f>
        <v>7447</v>
      </c>
      <c r="D73" s="37">
        <f>IF($B$4="RESONANCE",IFERROR(IF(INDEX(MASTER!$I$4:$I$1463,MATCH("VANGUARD"&amp;"|"&amp;MAX(1,ROUND(COUNTIFS(MASTER!$B$4:$B$1463,"VANGUARD",MASTER!$I$4:$I$1463,"&lt;&gt;")*$A73*100/100,0)),MASTER!$Y$4:$Y$1463,0))="",NA(),INDEX(MASTER!$I$4:$I$1463,MATCH("VANGUARD"&amp;"|"&amp;MAX(1,ROUND(COUNTIFS(MASTER!$B$4:$B$1463,"VANGUARD",MASTER!$I$4:$I$1463,"&lt;&gt;")*$A73*100/100,0)),MASTER!$Y$4:$Y$1463,0))),NA()),IF($B$4="COMBAT RATING",IFERROR(IF(INDEX(MASTER!$G$4:$G$1463,MATCH("VANGUARD"&amp;"|"&amp;MAX(1,ROUND(COUNTIFS(MASTER!$B$4:$B$1463,"VANGUARD",MASTER!$G$4:$G$1463,"&lt;&gt;")*$A73*100/100,0)),MASTER!$AH$4:$AH$1463,0))="",NA(),INDEX(MASTER!$G$4:$G$1463,MATCH("VANGUARD"&amp;"|"&amp;MAX(1,ROUND(COUNTIFS(MASTER!$B$4:$B$1463,"VANGUARD",MASTER!$G$4:$G$1463,"&lt;&gt;")*$A73*100/100,0)),MASTER!$AH$4:$AH$1463,0))),NA()),IF($B$4="SECONDARY",IFERROR(IF(INDEX(MASTER!$L$4:$L$1463,MATCH("VANGUARD"&amp;"|"&amp;MAX(1,ROUND(COUNTIFS(MASTER!$B$4:$B$1463,"VANGUARD",MASTER!$L$4:$L$1463,"&lt;&gt;")*$A73*100/100,0)),MASTER!$AI$4:$AI$1463,0))="",NA(),INDEX(MASTER!$L$4:$L$1463,MATCH("VANGUARD"&amp;"|"&amp;MAX(1,ROUND(COUNTIFS(MASTER!$B$4:$B$1463,"VANGUARD",MASTER!$L$4:$L$1463,"&lt;&gt;")*$A73*100/100,0)),MASTER!$AI$4:$AI$1463,0))),NA()))))</f>
        <v>9437</v>
      </c>
      <c r="E73" s="37">
        <f>IF($B$4="RESONANCE",IFERROR(IF(INDEX(MASTER!$I$4:$I$1463,MATCH("UNDYING"&amp;"|"&amp;MAX(1,ROUND(COUNTIFS(MASTER!$B$4:$B$1463,"UNDYING",MASTER!$I$4:$I$1463,"&lt;&gt;")*$A73*100/100,0)),MASTER!$Y$4:$Y$1463,0))="",NA(),INDEX(MASTER!$I$4:$I$1463,MATCH("UNDYING"&amp;"|"&amp;MAX(1,ROUND(COUNTIFS(MASTER!$B$4:$B$1463,"UNDYING",MASTER!$I$4:$I$1463,"&lt;&gt;")*$A73*100/100,0)),MASTER!$Y$4:$Y$1463,0))),NA()),IF($B$4="COMBAT RATING",IFERROR(IF(INDEX(MASTER!$G$4:$G$1463,MATCH("UNDYING"&amp;"|"&amp;MAX(1,ROUND(COUNTIFS(MASTER!$B$4:$B$1463,"UNDYING",MASTER!$G$4:$G$1463,"&lt;&gt;")*$A73*100/100,0)),MASTER!$AH$4:$AH$1463,0))="",NA(),INDEX(MASTER!$G$4:$G$1463,MATCH("UNDYING"&amp;"|"&amp;MAX(1,ROUND(COUNTIFS(MASTER!$B$4:$B$1463,"UNDYING",MASTER!$G$4:$G$1463,"&lt;&gt;")*$A73*100/100,0)),MASTER!$AH$4:$AH$1463,0))),NA()),IF($B$4="SECONDARY",IFERROR(IF(INDEX(MASTER!$L$4:$L$1463,MATCH("UNDYING"&amp;"|"&amp;MAX(1,ROUND(COUNTIFS(MASTER!$B$4:$B$1463,"UNDYING",MASTER!$L$4:$L$1463,"&lt;&gt;")*$A73*100/100,0)),MASTER!$AI$4:$AI$1463,0))="",NA(),INDEX(MASTER!$L$4:$L$1463,MATCH("UNDYING"&amp;"|"&amp;MAX(1,ROUND(COUNTIFS(MASTER!$B$4:$B$1463,"UNDYING",MASTER!$L$4:$L$1463,"&lt;&gt;")*$A73*100/100,0)),MASTER!$AI$4:$AI$1463,0))),NA()))))</f>
        <v>6226</v>
      </c>
      <c r="F73" s="37">
        <f>IF($B$4="RESONANCE",IFERROR(IF(INDEX(MASTER!$I$4:$I$1463,MATCH("SBG"&amp;"|"&amp;MAX(1,ROUND(COUNTIFS(MASTER!$B$4:$B$1463,"SBG",MASTER!$I$4:$I$1463,"&lt;&gt;")*$A73*100/100,0)),MASTER!$Y$4:$Y$1463,0))="",NA(),INDEX(MASTER!$I$4:$I$1463,MATCH("SBG"&amp;"|"&amp;MAX(1,ROUND(COUNTIFS(MASTER!$B$4:$B$1463,"SBG",MASTER!$I$4:$I$1463,"&lt;&gt;")*$A73*100/100,0)),MASTER!$Y$4:$Y$1463,0))),NA()),IF($B$4="COMBAT RATING",IFERROR(IF(INDEX(MASTER!$G$4:$G$1463,MATCH("SBG"&amp;"|"&amp;MAX(1,ROUND(COUNTIFS(MASTER!$B$4:$B$1463,"SBG",MASTER!$G$4:$G$1463,"&lt;&gt;")*$A73*100/100,0)),MASTER!$AH$4:$AH$1463,0))="",NA(),INDEX(MASTER!$G$4:$G$1463,MATCH("SBG"&amp;"|"&amp;MAX(1,ROUND(COUNTIFS(MASTER!$B$4:$B$1463,"SBG",MASTER!$G$4:$G$1463,"&lt;&gt;")*$A73*100/100,0)),MASTER!$AH$4:$AH$1463,0))),NA()),IF($B$4="SECONDARY",IFERROR(IF(INDEX(MASTER!$L$4:$L$1463,MATCH("SBG"&amp;"|"&amp;MAX(1,ROUND(COUNTIFS(MASTER!$B$4:$B$1463,"SBG",MASTER!$L$4:$L$1463,"&lt;&gt;")*$A73*100/100,0)),MASTER!$AI$4:$AI$1463,0))="",NA(),INDEX(MASTER!$L$4:$L$1463,MATCH("SBG"&amp;"|"&amp;MAX(1,ROUND(COUNTIFS(MASTER!$B$4:$B$1463,"SBG",MASTER!$L$4:$L$1463,"&lt;&gt;")*$A73*100/100,0)),MASTER!$AI$4:$AI$1463,0))),NA()))))</f>
        <v>8652</v>
      </c>
      <c r="G73" s="37">
        <f>IF($B$4="RESONANCE",IFERROR(IF(INDEX(MASTER!$I$4:$I$1463,MATCH("AZUKI"&amp;"|"&amp;MAX(1,ROUND(COUNTIFS(MASTER!$B$4:$B$1463,"AZUKI",MASTER!$I$4:$I$1463,"&lt;&gt;")*$A73*100/100,0)),MASTER!$Y$4:$Y$1463,0))="",NA(),INDEX(MASTER!$I$4:$I$1463,MATCH("AZUKI"&amp;"|"&amp;MAX(1,ROUND(COUNTIFS(MASTER!$B$4:$B$1463,"AZUKI",MASTER!$I$4:$I$1463,"&lt;&gt;")*$A73*100/100,0)),MASTER!$Y$4:$Y$1463,0))),NA()),IF($B$4="COMBAT RATING",IFERROR(IF(INDEX(MASTER!$G$4:$G$1463,MATCH("AZUKI"&amp;"|"&amp;MAX(1,ROUND(COUNTIFS(MASTER!$B$4:$B$1463,"AZUKI",MASTER!$G$4:$G$1463,"&lt;&gt;")*$A73*100/100,0)),MASTER!$AH$4:$AH$1463,0))="",NA(),INDEX(MASTER!$G$4:$G$1463,MATCH("AZUKI"&amp;"|"&amp;MAX(1,ROUND(COUNTIFS(MASTER!$B$4:$B$1463,"AZUKI",MASTER!$G$4:$G$1463,"&lt;&gt;")*$A73*100/100,0)),MASTER!$AH$4:$AH$1463,0))),NA()),IF($B$4="SECONDARY",IFERROR(IF(INDEX(MASTER!$L$4:$L$1463,MATCH("AZUKI"&amp;"|"&amp;MAX(1,ROUND(COUNTIFS(MASTER!$B$4:$B$1463,"AZUKI",MASTER!$L$4:$L$1463,"&lt;&gt;")*$A73*100/100,0)),MASTER!$AI$4:$AI$1463,0))="",NA(),INDEX(MASTER!$L$4:$L$1463,MATCH("AZUKI"&amp;"|"&amp;MAX(1,ROUND(COUNTIFS(MASTER!$B$4:$B$1463,"AZUKI",MASTER!$L$4:$L$1463,"&lt;&gt;")*$A73*100/100,0)),MASTER!$AI$4:$AI$1463,0))),NA()))))</f>
        <v>9381</v>
      </c>
      <c r="H73" s="37">
        <f>IF($B$4="RESONANCE",IFERROR(IF(INDEX(MASTER!$I$4:$I$1463,MATCH("RECKONING"&amp;"|"&amp;MAX(1,ROUND(COUNTIFS(MASTER!$B$4:$B$1463,"RECKONING",MASTER!$I$4:$I$1463,"&lt;&gt;")*$A73*100/100,0)),MASTER!$Y$4:$Y$1463,0))="",NA(),INDEX(MASTER!$I$4:$I$1463,MATCH("RECKONING"&amp;"|"&amp;MAX(1,ROUND(COUNTIFS(MASTER!$B$4:$B$1463,"RECKONING",MASTER!$I$4:$I$1463,"&lt;&gt;")*$A73*100/100,0)),MASTER!$Y$4:$Y$1463,0))),NA()),IF($B$4="COMBAT RATING",IFERROR(IF(INDEX(MASTER!$G$4:$G$1463,MATCH("RECKONING"&amp;"|"&amp;MAX(1,ROUND(COUNTIFS(MASTER!$B$4:$B$1463,"RECKONING",MASTER!$G$4:$G$1463,"&lt;&gt;")*$A73*100/100,0)),MASTER!$AH$4:$AH$1463,0))="",NA(),INDEX(MASTER!$G$4:$G$1463,MATCH("RECKONING"&amp;"|"&amp;MAX(1,ROUND(COUNTIFS(MASTER!$B$4:$B$1463,"RECKONING",MASTER!$G$4:$G$1463,"&lt;&gt;")*$A73*100/100,0)),MASTER!$AH$4:$AH$1463,0))),NA()),IF($B$4="SECONDARY",IFERROR(IF(INDEX(MASTER!$L$4:$L$1463,MATCH("RECKONING"&amp;"|"&amp;MAX(1,ROUND(COUNTIFS(MASTER!$B$4:$B$1463,"RECKONING",MASTER!$L$4:$L$1463,"&lt;&gt;")*$A73*100/100,0)),MASTER!$AI$4:$AI$1463,0))="",NA(),INDEX(MASTER!$L$4:$L$1463,MATCH("RECKONING"&amp;"|"&amp;MAX(1,ROUND(COUNTIFS(MASTER!$B$4:$B$1463,"RECKONING",MASTER!$L$4:$L$1463,"&lt;&gt;")*$A73*100/100,0)),MASTER!$AI$4:$AI$1463,0))),NA()))))</f>
        <v>8685</v>
      </c>
      <c r="I73" s="37">
        <f>IF($B$4="RESONANCE",IFERROR(IF(INDEX(MASTER!$I$4:$I$1463,MATCH("ACHERON"&amp;"|"&amp;MAX(1,ROUND(COUNTIFS(MASTER!$B$4:$B$1463,"ACHERON",MASTER!$I$4:$I$1463,"&lt;&gt;")*$A73*100/100,0)),MASTER!$Y$4:$Y$1463,0))="",NA(),INDEX(MASTER!$I$4:$I$1463,MATCH("ACHERON"&amp;"|"&amp;MAX(1,ROUND(COUNTIFS(MASTER!$B$4:$B$1463,"ACHERON",MASTER!$I$4:$I$1463,"&lt;&gt;")*$A73*100/100,0)),MASTER!$Y$4:$Y$1463,0))),NA()),IF($B$4="COMBAT RATING",IFERROR(IF(INDEX(MASTER!$G$4:$G$1463,MATCH("ACHERON"&amp;"|"&amp;MAX(1,ROUND(COUNTIFS(MASTER!$B$4:$B$1463,"ACHERON",MASTER!$G$4:$G$1463,"&lt;&gt;")*$A73*100/100,0)),MASTER!$AH$4:$AH$1463,0))="",NA(),INDEX(MASTER!$G$4:$G$1463,MATCH("ACHERON"&amp;"|"&amp;MAX(1,ROUND(COUNTIFS(MASTER!$B$4:$B$1463,"ACHERON",MASTER!$G$4:$G$1463,"&lt;&gt;")*$A73*100/100,0)),MASTER!$AH$4:$AH$1463,0))),NA()),IF($B$4="SECONDARY",IFERROR(IF(INDEX(MASTER!$L$4:$L$1463,MATCH("ACHERON"&amp;"|"&amp;MAX(1,ROUND(COUNTIFS(MASTER!$B$4:$B$1463,"ACHERON",MASTER!$L$4:$L$1463,"&lt;&gt;")*$A73*100/100,0)),MASTER!$AI$4:$AI$1463,0))="",NA(),INDEX(MASTER!$L$4:$L$1463,MATCH("ACHERON"&amp;"|"&amp;MAX(1,ROUND(COUNTIFS(MASTER!$B$4:$B$1463,"ACHERON",MASTER!$L$4:$L$1463,"&lt;&gt;")*$A73*100/100,0)),MASTER!$AI$4:$AI$1463,0))),NA()))))</f>
        <v>5631</v>
      </c>
      <c r="J73" s="37">
        <f>IF($B$4="RESONANCE",IFERROR(IF(INDEX(MASTER!$I$4:$I$1463,MATCH("INVICTUS"&amp;"|"&amp;MAX(1,ROUND(COUNTIFS(MASTER!$B$4:$B$1463,"INVICTUS",MASTER!$I$4:$I$1463,"&lt;&gt;")*$A73*100/100,0)),MASTER!$Y$4:$Y$1463,0))="",NA(),INDEX(MASTER!$I$4:$I$1463,MATCH("INVICTUS"&amp;"|"&amp;MAX(1,ROUND(COUNTIFS(MASTER!$B$4:$B$1463,"INVICTUS",MASTER!$I$4:$I$1463,"&lt;&gt;")*$A73*100/100,0)),MASTER!$Y$4:$Y$1463,0))),NA()),IF($B$4="COMBAT RATING",IFERROR(IF(INDEX(MASTER!$G$4:$G$1463,MATCH("INVICTUS"&amp;"|"&amp;MAX(1,ROUND(COUNTIFS(MASTER!$B$4:$B$1463,"INVICTUS",MASTER!$G$4:$G$1463,"&lt;&gt;")*$A73*100/100,0)),MASTER!$AH$4:$AH$1463,0))="",NA(),INDEX(MASTER!$G$4:$G$1463,MATCH("INVICTUS"&amp;"|"&amp;MAX(1,ROUND(COUNTIFS(MASTER!$B$4:$B$1463,"INVICTUS",MASTER!$G$4:$G$1463,"&lt;&gt;")*$A73*100/100,0)),MASTER!$AH$4:$AH$1463,0))),NA()),IF($B$4="SECONDARY",IFERROR(IF(INDEX(MASTER!$L$4:$L$1463,MATCH("INVICTUS"&amp;"|"&amp;MAX(1,ROUND(COUNTIFS(MASTER!$B$4:$B$1463,"INVICTUS",MASTER!$L$4:$L$1463,"&lt;&gt;")*$A73*100/100,0)),MASTER!$AI$4:$AI$1463,0))="",NA(),INDEX(MASTER!$L$4:$L$1463,MATCH("INVICTUS"&amp;"|"&amp;MAX(1,ROUND(COUNTIFS(MASTER!$B$4:$B$1463,"INVICTUS",MASTER!$L$4:$L$1463,"&lt;&gt;")*$A73*100/100,0)),MASTER!$AI$4:$AI$1463,0))),NA()))))</f>
        <v>4950</v>
      </c>
      <c r="K73" s="37">
        <f>IF($B$4="RESONANCE",IFERROR(IF(INDEX(MASTER!$I$4:$I$1463,MATCH("EMERALD LEAF TRIBE"&amp;"|"&amp;MAX(1,ROUND(COUNTIFS(MASTER!$B$4:$B$1463,"EMERALD LEAF TRIBE",MASTER!$I$4:$I$1463,"&lt;&gt;")*$A73*100/100,0)),MASTER!$Y$4:$Y$1463,0))="",NA(),INDEX(MASTER!$I$4:$I$1463,MATCH("EMERALD LEAF TRIBE"&amp;"|"&amp;MAX(1,ROUND(COUNTIFS(MASTER!$B$4:$B$1463,"EMERALD LEAF TRIBE",MASTER!$I$4:$I$1463,"&lt;&gt;")*$A73*100/100,0)),MASTER!$Y$4:$Y$1463,0))),NA()),IF($B$4="COMBAT RATING",IFERROR(IF(INDEX(MASTER!$G$4:$G$1463,MATCH("EMERALD LEAF TRIBE"&amp;"|"&amp;MAX(1,ROUND(COUNTIFS(MASTER!$B$4:$B$1463,"EMERALD LEAF TRIBE",MASTER!$G$4:$G$1463,"&lt;&gt;")*$A73*100/100,0)),MASTER!$AH$4:$AH$1463,0))="",NA(),INDEX(MASTER!$G$4:$G$1463,MATCH("EMERALD LEAF TRIBE"&amp;"|"&amp;MAX(1,ROUND(COUNTIFS(MASTER!$B$4:$B$1463,"EMERALD LEAF TRIBE",MASTER!$G$4:$G$1463,"&lt;&gt;")*$A73*100/100,0)),MASTER!$AH$4:$AH$1463,0))),NA()),IF($B$4="SECONDARY",IFERROR(IF(INDEX(MASTER!$L$4:$L$1463,MATCH("EMERALD LEAF TRIBE"&amp;"|"&amp;MAX(1,ROUND(COUNTIFS(MASTER!$B$4:$B$1463,"EMERALD LEAF TRIBE",MASTER!$L$4:$L$1463,"&lt;&gt;")*$A73*100/100,0)),MASTER!$AI$4:$AI$1463,0))="",NA(),INDEX(MASTER!$L$4:$L$1463,MATCH("EMERALD LEAF TRIBE"&amp;"|"&amp;MAX(1,ROUND(COUNTIFS(MASTER!$B$4:$B$1463,"EMERALD LEAF TRIBE",MASTER!$L$4:$L$1463,"&lt;&gt;")*$A73*100/100,0)),MASTER!$AI$4:$AI$1463,0))),NA()))))</f>
        <v>3559</v>
      </c>
      <c r="L73" s="37">
        <f>IF($B$4="RESONANCE",IFERROR(IF(INDEX(MASTER!$I$4:$I$1463,MATCH("SUB ROSA"&amp;"|"&amp;MAX(1,ROUND(COUNTIFS(MASTER!$B$4:$B$1463,"SUB ROSA",MASTER!$I$4:$I$1463,"&lt;&gt;")*$A73*100/100,0)),MASTER!$Y$4:$Y$1463,0))="",NA(),INDEX(MASTER!$I$4:$I$1463,MATCH("SUB ROSA"&amp;"|"&amp;MAX(1,ROUND(COUNTIFS(MASTER!$B$4:$B$1463,"SUB ROSA",MASTER!$I$4:$I$1463,"&lt;&gt;")*$A73*100/100,0)),MASTER!$Y$4:$Y$1463,0))),NA()),IF($B$4="COMBAT RATING",IFERROR(IF(INDEX(MASTER!$G$4:$G$1463,MATCH("SUB ROSA"&amp;"|"&amp;MAX(1,ROUND(COUNTIFS(MASTER!$B$4:$B$1463,"SUB ROSA",MASTER!$G$4:$G$1463,"&lt;&gt;")*$A73*100/100,0)),MASTER!$AH$4:$AH$1463,0))="",NA(),INDEX(MASTER!$G$4:$G$1463,MATCH("SUB ROSA"&amp;"|"&amp;MAX(1,ROUND(COUNTIFS(MASTER!$B$4:$B$1463,"SUB ROSA",MASTER!$G$4:$G$1463,"&lt;&gt;")*$A73*100/100,0)),MASTER!$AH$4:$AH$1463,0))),NA()),IF($B$4="SECONDARY",IFERROR(IF(INDEX(MASTER!$L$4:$L$1463,MATCH("SUB ROSA"&amp;"|"&amp;MAX(1,ROUND(COUNTIFS(MASTER!$B$4:$B$1463,"SUB ROSA",MASTER!$L$4:$L$1463,"&lt;&gt;")*$A73*100/100,0)),MASTER!$AI$4:$AI$1463,0))="",NA(),INDEX(MASTER!$L$4:$L$1463,MATCH("SUB ROSA"&amp;"|"&amp;MAX(1,ROUND(COUNTIFS(MASTER!$B$4:$B$1463,"SUB ROSA",MASTER!$L$4:$L$1463,"&lt;&gt;")*$A73*100/100,0)),MASTER!$AI$4:$AI$1463,0))),NA()))))</f>
        <v>4581</v>
      </c>
      <c r="M73" s="37">
        <f>IF($B$4="RESONANCE",IFERROR(IF(INDEX(MASTER!$I$4:$I$1463,MATCH("VENGEANCE"&amp;"|"&amp;MAX(1,ROUND(COUNTIFS(MASTER!$B$4:$B$1463,"VENGEANCE",MASTER!$I$4:$I$1463,"&lt;&gt;")*$A73*100/100,0)),MASTER!$Y$4:$Y$1463,0))="",NA(),INDEX(MASTER!$I$4:$I$1463,MATCH("VENGEANCE"&amp;"|"&amp;MAX(1,ROUND(COUNTIFS(MASTER!$B$4:$B$1463,"VENGEANCE",MASTER!$I$4:$I$1463,"&lt;&gt;")*$A73*100/100,0)),MASTER!$Y$4:$Y$1463,0))),NA()),IF($B$4="COMBAT RATING",IFERROR(IF(INDEX(MASTER!$G$4:$G$1463,MATCH("VENGEANCE"&amp;"|"&amp;MAX(1,ROUND(COUNTIFS(MASTER!$B$4:$B$1463,"VENGEANCE",MASTER!$G$4:$G$1463,"&lt;&gt;")*$A73*100/100,0)),MASTER!$AH$4:$AH$1463,0))="",NA(),INDEX(MASTER!$G$4:$G$1463,MATCH("VENGEANCE"&amp;"|"&amp;MAX(1,ROUND(COUNTIFS(MASTER!$B$4:$B$1463,"VENGEANCE",MASTER!$G$4:$G$1463,"&lt;&gt;")*$A73*100/100,0)),MASTER!$AH$4:$AH$1463,0))),NA()),IF($B$4="SECONDARY",IFERROR(IF(INDEX(MASTER!$L$4:$L$1463,MATCH("VENGEANCE"&amp;"|"&amp;MAX(1,ROUND(COUNTIFS(MASTER!$B$4:$B$1463,"VENGEANCE",MASTER!$L$4:$L$1463,"&lt;&gt;")*$A73*100/100,0)),MASTER!$AI$4:$AI$1463,0))="",NA(),INDEX(MASTER!$L$4:$L$1463,MATCH("VENGEANCE"&amp;"|"&amp;MAX(1,ROUND(COUNTIFS(MASTER!$B$4:$B$1463,"VENGEANCE",MASTER!$L$4:$L$1463,"&lt;&gt;")*$A73*100/100,0)),MASTER!$AI$4:$AI$1463,0))),NA()))))</f>
        <v>4900</v>
      </c>
      <c r="N73" s="37">
        <f>IF($B$4="RESONANCE",IFERROR(IF(INDEX(MASTER!$I$4:$I$1463,MATCH("VENDETTA"&amp;"|"&amp;MAX(1,ROUND(COUNTIFS(MASTER!$B$4:$B$1463,"VENDETTA",MASTER!$I$4:$I$1463,"&lt;&gt;")*$A73*100/100,0)),MASTER!$Y$4:$Y$1463,0))="",NA(),INDEX(MASTER!$I$4:$I$1463,MATCH("VENDETTA"&amp;"|"&amp;MAX(1,ROUND(COUNTIFS(MASTER!$B$4:$B$1463,"VENDETTA",MASTER!$I$4:$I$1463,"&lt;&gt;")*$A73*100/100,0)),MASTER!$Y$4:$Y$1463,0))),NA()),IF($B$4="COMBAT RATING",IFERROR(IF(INDEX(MASTER!$G$4:$G$1463,MATCH("VENDETTA"&amp;"|"&amp;MAX(1,ROUND(COUNTIFS(MASTER!$B$4:$B$1463,"VENDETTA",MASTER!$G$4:$G$1463,"&lt;&gt;")*$A73*100/100,0)),MASTER!$AH$4:$AH$1463,0))="",NA(),INDEX(MASTER!$G$4:$G$1463,MATCH("VENDETTA"&amp;"|"&amp;MAX(1,ROUND(COUNTIFS(MASTER!$B$4:$B$1463,"VENDETTA",MASTER!$G$4:$G$1463,"&lt;&gt;")*$A73*100/100,0)),MASTER!$AH$4:$AH$1463,0))),NA()),IF($B$4="SECONDARY",IFERROR(IF(INDEX(MASTER!$L$4:$L$1463,MATCH("VENDETTA"&amp;"|"&amp;MAX(1,ROUND(COUNTIFS(MASTER!$B$4:$B$1463,"VENDETTA",MASTER!$L$4:$L$1463,"&lt;&gt;")*$A73*100/100,0)),MASTER!$AI$4:$AI$1463,0))="",NA(),INDEX(MASTER!$L$4:$L$1463,MATCH("VENDETTA"&amp;"|"&amp;MAX(1,ROUND(COUNTIFS(MASTER!$B$4:$B$1463,"VENDETTA",MASTER!$L$4:$L$1463,"&lt;&gt;")*$A73*100/100,0)),MASTER!$AI$4:$AI$1463,0))),NA()))))</f>
        <v>2932</v>
      </c>
      <c r="O73" s="37">
        <f>IF($B$4="RESONANCE",IFERROR(IF(INDEX(MASTER!$I$4:$I$1463,MATCH("ZOMBIES"&amp;"|"&amp;MAX(1,ROUND(COUNTIFS(MASTER!$B$4:$B$1463,"ZOMBIES",MASTER!$I$4:$I$1463,"&lt;&gt;")*$A73*100/100,0)),MASTER!$Y$4:$Y$1463,0))="",NA(),INDEX(MASTER!$I$4:$I$1463,MATCH("ZOMBIES"&amp;"|"&amp;MAX(1,ROUND(COUNTIFS(MASTER!$B$4:$B$1463,"ZOMBIES",MASTER!$I$4:$I$1463,"&lt;&gt;")*$A73*100/100,0)),MASTER!$Y$4:$Y$1463,0))),NA()),IF($B$4="COMBAT RATING",IFERROR(IF(INDEX(MASTER!$G$4:$G$1463,MATCH("ZOMBIES"&amp;"|"&amp;MAX(1,ROUND(COUNTIFS(MASTER!$B$4:$B$1463,"ZOMBIES",MASTER!$G$4:$G$1463,"&lt;&gt;")*$A73*100/100,0)),MASTER!$AH$4:$AH$1463,0))="",NA(),INDEX(MASTER!$G$4:$G$1463,MATCH("ZOMBIES"&amp;"|"&amp;MAX(1,ROUND(COUNTIFS(MASTER!$B$4:$B$1463,"ZOMBIES",MASTER!$G$4:$G$1463,"&lt;&gt;")*$A73*100/100,0)),MASTER!$AH$4:$AH$1463,0))),NA()),IF($B$4="SECONDARY",IFERROR(IF(INDEX(MASTER!$L$4:$L$1463,MATCH("ZOMBIES"&amp;"|"&amp;MAX(1,ROUND(COUNTIFS(MASTER!$B$4:$B$1463,"ZOMBIES",MASTER!$L$4:$L$1463,"&lt;&gt;")*$A73*100/100,0)),MASTER!$AI$4:$AI$1463,0))="",NA(),INDEX(MASTER!$L$4:$L$1463,MATCH("ZOMBIES"&amp;"|"&amp;MAX(1,ROUND(COUNTIFS(MASTER!$B$4:$B$1463,"ZOMBIES",MASTER!$L$4:$L$1463,"&lt;&gt;")*$A73*100/100,0)),MASTER!$AI$4:$AI$1463,0))),NA()))))</f>
        <v>2830</v>
      </c>
      <c r="P73" s="37">
        <f>IF($B$4="RESONANCE",IFERROR(IF(INDEX(MASTER!$I$4:$I$1463,MATCH("FUCT"&amp;"|"&amp;MAX(1,ROUND(COUNTIFS(MASTER!$B$4:$B$1463,"FUCT",MASTER!$I$4:$I$1463,"&lt;&gt;")*$A73*100/100,0)),MASTER!$Y$4:$Y$1463,0))="",NA(),INDEX(MASTER!$I$4:$I$1463,MATCH("FUCT"&amp;"|"&amp;MAX(1,ROUND(COUNTIFS(MASTER!$B$4:$B$1463,"FUCT",MASTER!$I$4:$I$1463,"&lt;&gt;")*$A73*100/100,0)),MASTER!$Y$4:$Y$1463,0))),NA()),IF($B$4="COMBAT RATING",IFERROR(IF(INDEX(MASTER!$G$4:$G$1463,MATCH("FUCT"&amp;"|"&amp;MAX(1,ROUND(COUNTIFS(MASTER!$B$4:$B$1463,"FUCT",MASTER!$G$4:$G$1463,"&lt;&gt;")*$A73*100/100,0)),MASTER!$AH$4:$AH$1463,0))="",NA(),INDEX(MASTER!$G$4:$G$1463,MATCH("FUCT"&amp;"|"&amp;MAX(1,ROUND(COUNTIFS(MASTER!$B$4:$B$1463,"FUCT",MASTER!$G$4:$G$1463,"&lt;&gt;")*$A73*100/100,0)),MASTER!$AH$4:$AH$1463,0))),NA()),IF($B$4="SECONDARY",IFERROR(IF(INDEX(MASTER!$L$4:$L$1463,MATCH("FUCT"&amp;"|"&amp;MAX(1,ROUND(COUNTIFS(MASTER!$B$4:$B$1463,"FUCT",MASTER!$L$4:$L$1463,"&lt;&gt;")*$A73*100/100,0)),MASTER!$AI$4:$AI$1463,0))="",NA(),INDEX(MASTER!$L$4:$L$1463,MATCH("FUCT"&amp;"|"&amp;MAX(1,ROUND(COUNTIFS(MASTER!$B$4:$B$1463,"FUCT",MASTER!$L$4:$L$1463,"&lt;&gt;")*$A73*100/100,0)),MASTER!$AI$4:$AI$1463,0))),NA()))))</f>
        <v>7436</v>
      </c>
      <c r="Q73" s="37">
        <f>IF($B$4="RESONANCE",IFERROR(IF(INDEX(MASTER!$I$4:$I$1463,MATCH($E$4&amp;"|"&amp;MAX(1,ROUND(COUNTIFS(MASTER!$B$4:$B$1463,$E$4,MASTER!$I$4:$I$1463,"&lt;&gt;")*$A73*100/100,0)),MASTER!$Y$4:$Y$1463,0))="",NA(),INDEX(MASTER!$I$4:$I$1463,MATCH($E$4&amp;"|"&amp;MAX(1,ROUND(COUNTIFS(MASTER!$B$4:$B$1463,$E$4,MASTER!$I$4:$I$1463,"&lt;&gt;")*$A73*100/100,0)),MASTER!$Y$4:$Y$1463,0))),NA()),IF($B$4="COMBAT RATING",IFERROR(IF(INDEX(MASTER!$G$4:$G$1463,MATCH($E$4&amp;"|"&amp;MAX(1,ROUND(COUNTIFS(MASTER!$B$4:$B$1463,$E$4,MASTER!$G$4:$G$1463,"&lt;&gt;")*$A73*100/100,0)),MASTER!$AH$4:$AH$1463,0))="",NA(),INDEX(MASTER!$G$4:$G$1463,MATCH($E$4&amp;"|"&amp;MAX(1,ROUND(COUNTIFS(MASTER!$B$4:$B$1463,$E$4,MASTER!$G$4:$G$1463,"&lt;&gt;")*$A73*100/100,0)),MASTER!$AH$4:$AH$1463,0))),NA()),IF($B$4="SECONDARY",IFERROR(IF(INDEX(MASTER!$L$4:$L$1463,MATCH($E$4&amp;"|"&amp;MAX(1,ROUND(COUNTIFS(MASTER!$B$4:$B$1463,$E$4,MASTER!$L$4:$L$1463,"&lt;&gt;")*$A73*100/100,0)),MASTER!$AI$4:$AI$1463,0))="",NA(),INDEX(MASTER!$L$4:$L$1463,MATCH($E$4&amp;"|"&amp;MAX(1,ROUND(COUNTIFS(MASTER!$B$4:$B$1463,$E$4,MASTER!$L$4:$L$1463,"&lt;&gt;")*$A73*100/100,0)),MASTER!$AI$4:$AI$1463,0))),NA()))))</f>
        <v>6226</v>
      </c>
    </row>
    <row r="74" spans="1:17" hidden="1">
      <c r="A74" s="36">
        <v>0.19</v>
      </c>
      <c r="B74" s="37">
        <f>IF($B$4="RESONANCE",IFERROR(IF(INDEX(MASTER!$I$4:$I$1463,MATCH("FUCT"&amp;"|"&amp;MAX(1,ROUND(COUNTIFS(MASTER!$B$4:$B$1463,"FUCT",MASTER!$I$4:$I$1463,"&lt;&gt;")*$A74*100/100,0)),MASTER!$Y$4:$Y$1463,0))="",NA(),INDEX(MASTER!$I$4:$I$1463,MATCH("FUCT"&amp;"|"&amp;MAX(1,ROUND(COUNTIFS(MASTER!$B$4:$B$1463,"FUCT",MASTER!$I$4:$I$1463,"&lt;&gt;")*$A74*100/100,0)),MASTER!$Y$4:$Y$1463,0))),NA()),IF($B$4="COMBAT RATING",IFERROR(IF(INDEX(MASTER!$G$4:$G$1463,MATCH("FUCT"&amp;"|"&amp;MAX(1,ROUND(COUNTIFS(MASTER!$B$4:$B$1463,"FUCT",MASTER!$G$4:$G$1463,"&lt;&gt;")*$A74*100/100,0)),MASTER!$AH$4:$AH$1463,0))="",NA(),INDEX(MASTER!$G$4:$G$1463,MATCH("FUCT"&amp;"|"&amp;MAX(1,ROUND(COUNTIFS(MASTER!$B$4:$B$1463,"FUCT",MASTER!$G$4:$G$1463,"&lt;&gt;")*$A74*100/100,0)),MASTER!$AH$4:$AH$1463,0))),NA()),IF($B$4="SECONDARY",IFERROR(IF(INDEX(MASTER!$L$4:$L$1463,MATCH("FUCT"&amp;"|"&amp;MAX(1,ROUND(COUNTIFS(MASTER!$B$4:$B$1463,"FUCT",MASTER!$L$4:$L$1463,"&lt;&gt;")*$A74*100/100,0)),MASTER!$AI$4:$AI$1463,0))="",NA(),INDEX(MASTER!$L$4:$L$1463,MATCH("FUCT"&amp;"|"&amp;MAX(1,ROUND(COUNTIFS(MASTER!$B$4:$B$1463,"FUCT",MASTER!$L$4:$L$1463,"&lt;&gt;")*$A74*100/100,0)),MASTER!$AI$4:$AI$1463,0))),NA()))))</f>
        <v>7419</v>
      </c>
      <c r="C74" s="37">
        <f>IF($B$4="RESONANCE",IFERROR(IF(INDEX(MASTER!$I$4:$I$1463,MATCH("LEGENDS"&amp;"|"&amp;MAX(1,ROUND(COUNTIFS(MASTER!$B$4:$B$1463,"LEGENDS",MASTER!$I$4:$I$1463,"&lt;&gt;")*$A74*100/100,0)),MASTER!$Y$4:$Y$1463,0))="",NA(),INDEX(MASTER!$I$4:$I$1463,MATCH("LEGENDS"&amp;"|"&amp;MAX(1,ROUND(COUNTIFS(MASTER!$B$4:$B$1463,"LEGENDS",MASTER!$I$4:$I$1463,"&lt;&gt;")*$A74*100/100,0)),MASTER!$Y$4:$Y$1463,0))),NA()),IF($B$4="COMBAT RATING",IFERROR(IF(INDEX(MASTER!$G$4:$G$1463,MATCH("LEGENDS"&amp;"|"&amp;MAX(1,ROUND(COUNTIFS(MASTER!$B$4:$B$1463,"LEGENDS",MASTER!$G$4:$G$1463,"&lt;&gt;")*$A74*100/100,0)),MASTER!$AH$4:$AH$1463,0))="",NA(),INDEX(MASTER!$G$4:$G$1463,MATCH("LEGENDS"&amp;"|"&amp;MAX(1,ROUND(COUNTIFS(MASTER!$B$4:$B$1463,"LEGENDS",MASTER!$G$4:$G$1463,"&lt;&gt;")*$A74*100/100,0)),MASTER!$AH$4:$AH$1463,0))),NA()),IF($B$4="SECONDARY",IFERROR(IF(INDEX(MASTER!$L$4:$L$1463,MATCH("LEGENDS"&amp;"|"&amp;MAX(1,ROUND(COUNTIFS(MASTER!$B$4:$B$1463,"LEGENDS",MASTER!$L$4:$L$1463,"&lt;&gt;")*$A74*100/100,0)),MASTER!$AI$4:$AI$1463,0))="",NA(),INDEX(MASTER!$L$4:$L$1463,MATCH("LEGENDS"&amp;"|"&amp;MAX(1,ROUND(COUNTIFS(MASTER!$B$4:$B$1463,"LEGENDS",MASTER!$L$4:$L$1463,"&lt;&gt;")*$A74*100/100,0)),MASTER!$AI$4:$AI$1463,0))),NA()))))</f>
        <v>7433</v>
      </c>
      <c r="D74" s="37">
        <f>IF($B$4="RESONANCE",IFERROR(IF(INDEX(MASTER!$I$4:$I$1463,MATCH("VANGUARD"&amp;"|"&amp;MAX(1,ROUND(COUNTIFS(MASTER!$B$4:$B$1463,"VANGUARD",MASTER!$I$4:$I$1463,"&lt;&gt;")*$A74*100/100,0)),MASTER!$Y$4:$Y$1463,0))="",NA(),INDEX(MASTER!$I$4:$I$1463,MATCH("VANGUARD"&amp;"|"&amp;MAX(1,ROUND(COUNTIFS(MASTER!$B$4:$B$1463,"VANGUARD",MASTER!$I$4:$I$1463,"&lt;&gt;")*$A74*100/100,0)),MASTER!$Y$4:$Y$1463,0))),NA()),IF($B$4="COMBAT RATING",IFERROR(IF(INDEX(MASTER!$G$4:$G$1463,MATCH("VANGUARD"&amp;"|"&amp;MAX(1,ROUND(COUNTIFS(MASTER!$B$4:$B$1463,"VANGUARD",MASTER!$G$4:$G$1463,"&lt;&gt;")*$A74*100/100,0)),MASTER!$AH$4:$AH$1463,0))="",NA(),INDEX(MASTER!$G$4:$G$1463,MATCH("VANGUARD"&amp;"|"&amp;MAX(1,ROUND(COUNTIFS(MASTER!$B$4:$B$1463,"VANGUARD",MASTER!$G$4:$G$1463,"&lt;&gt;")*$A74*100/100,0)),MASTER!$AH$4:$AH$1463,0))),NA()),IF($B$4="SECONDARY",IFERROR(IF(INDEX(MASTER!$L$4:$L$1463,MATCH("VANGUARD"&amp;"|"&amp;MAX(1,ROUND(COUNTIFS(MASTER!$B$4:$B$1463,"VANGUARD",MASTER!$L$4:$L$1463,"&lt;&gt;")*$A74*100/100,0)),MASTER!$AI$4:$AI$1463,0))="",NA(),INDEX(MASTER!$L$4:$L$1463,MATCH("VANGUARD"&amp;"|"&amp;MAX(1,ROUND(COUNTIFS(MASTER!$B$4:$B$1463,"VANGUARD",MASTER!$L$4:$L$1463,"&lt;&gt;")*$A74*100/100,0)),MASTER!$AI$4:$AI$1463,0))),NA()))))</f>
        <v>9403</v>
      </c>
      <c r="E74" s="37">
        <f>IF($B$4="RESONANCE",IFERROR(IF(INDEX(MASTER!$I$4:$I$1463,MATCH("UNDYING"&amp;"|"&amp;MAX(1,ROUND(COUNTIFS(MASTER!$B$4:$B$1463,"UNDYING",MASTER!$I$4:$I$1463,"&lt;&gt;")*$A74*100/100,0)),MASTER!$Y$4:$Y$1463,0))="",NA(),INDEX(MASTER!$I$4:$I$1463,MATCH("UNDYING"&amp;"|"&amp;MAX(1,ROUND(COUNTIFS(MASTER!$B$4:$B$1463,"UNDYING",MASTER!$I$4:$I$1463,"&lt;&gt;")*$A74*100/100,0)),MASTER!$Y$4:$Y$1463,0))),NA()),IF($B$4="COMBAT RATING",IFERROR(IF(INDEX(MASTER!$G$4:$G$1463,MATCH("UNDYING"&amp;"|"&amp;MAX(1,ROUND(COUNTIFS(MASTER!$B$4:$B$1463,"UNDYING",MASTER!$G$4:$G$1463,"&lt;&gt;")*$A74*100/100,0)),MASTER!$AH$4:$AH$1463,0))="",NA(),INDEX(MASTER!$G$4:$G$1463,MATCH("UNDYING"&amp;"|"&amp;MAX(1,ROUND(COUNTIFS(MASTER!$B$4:$B$1463,"UNDYING",MASTER!$G$4:$G$1463,"&lt;&gt;")*$A74*100/100,0)),MASTER!$AH$4:$AH$1463,0))),NA()),IF($B$4="SECONDARY",IFERROR(IF(INDEX(MASTER!$L$4:$L$1463,MATCH("UNDYING"&amp;"|"&amp;MAX(1,ROUND(COUNTIFS(MASTER!$B$4:$B$1463,"UNDYING",MASTER!$L$4:$L$1463,"&lt;&gt;")*$A74*100/100,0)),MASTER!$AI$4:$AI$1463,0))="",NA(),INDEX(MASTER!$L$4:$L$1463,MATCH("UNDYING"&amp;"|"&amp;MAX(1,ROUND(COUNTIFS(MASTER!$B$4:$B$1463,"UNDYING",MASTER!$L$4:$L$1463,"&lt;&gt;")*$A74*100/100,0)),MASTER!$AI$4:$AI$1463,0))),NA()))))</f>
        <v>6226</v>
      </c>
      <c r="F74" s="37">
        <f>IF($B$4="RESONANCE",IFERROR(IF(INDEX(MASTER!$I$4:$I$1463,MATCH("SBG"&amp;"|"&amp;MAX(1,ROUND(COUNTIFS(MASTER!$B$4:$B$1463,"SBG",MASTER!$I$4:$I$1463,"&lt;&gt;")*$A74*100/100,0)),MASTER!$Y$4:$Y$1463,0))="",NA(),INDEX(MASTER!$I$4:$I$1463,MATCH("SBG"&amp;"|"&amp;MAX(1,ROUND(COUNTIFS(MASTER!$B$4:$B$1463,"SBG",MASTER!$I$4:$I$1463,"&lt;&gt;")*$A74*100/100,0)),MASTER!$Y$4:$Y$1463,0))),NA()),IF($B$4="COMBAT RATING",IFERROR(IF(INDEX(MASTER!$G$4:$G$1463,MATCH("SBG"&amp;"|"&amp;MAX(1,ROUND(COUNTIFS(MASTER!$B$4:$B$1463,"SBG",MASTER!$G$4:$G$1463,"&lt;&gt;")*$A74*100/100,0)),MASTER!$AH$4:$AH$1463,0))="",NA(),INDEX(MASTER!$G$4:$G$1463,MATCH("SBG"&amp;"|"&amp;MAX(1,ROUND(COUNTIFS(MASTER!$B$4:$B$1463,"SBG",MASTER!$G$4:$G$1463,"&lt;&gt;")*$A74*100/100,0)),MASTER!$AH$4:$AH$1463,0))),NA()),IF($B$4="SECONDARY",IFERROR(IF(INDEX(MASTER!$L$4:$L$1463,MATCH("SBG"&amp;"|"&amp;MAX(1,ROUND(COUNTIFS(MASTER!$B$4:$B$1463,"SBG",MASTER!$L$4:$L$1463,"&lt;&gt;")*$A74*100/100,0)),MASTER!$AI$4:$AI$1463,0))="",NA(),INDEX(MASTER!$L$4:$L$1463,MATCH("SBG"&amp;"|"&amp;MAX(1,ROUND(COUNTIFS(MASTER!$B$4:$B$1463,"SBG",MASTER!$L$4:$L$1463,"&lt;&gt;")*$A74*100/100,0)),MASTER!$AI$4:$AI$1463,0))),NA()))))</f>
        <v>8618</v>
      </c>
      <c r="G74" s="37">
        <f>IF($B$4="RESONANCE",IFERROR(IF(INDEX(MASTER!$I$4:$I$1463,MATCH("AZUKI"&amp;"|"&amp;MAX(1,ROUND(COUNTIFS(MASTER!$B$4:$B$1463,"AZUKI",MASTER!$I$4:$I$1463,"&lt;&gt;")*$A74*100/100,0)),MASTER!$Y$4:$Y$1463,0))="",NA(),INDEX(MASTER!$I$4:$I$1463,MATCH("AZUKI"&amp;"|"&amp;MAX(1,ROUND(COUNTIFS(MASTER!$B$4:$B$1463,"AZUKI",MASTER!$I$4:$I$1463,"&lt;&gt;")*$A74*100/100,0)),MASTER!$Y$4:$Y$1463,0))),NA()),IF($B$4="COMBAT RATING",IFERROR(IF(INDEX(MASTER!$G$4:$G$1463,MATCH("AZUKI"&amp;"|"&amp;MAX(1,ROUND(COUNTIFS(MASTER!$B$4:$B$1463,"AZUKI",MASTER!$G$4:$G$1463,"&lt;&gt;")*$A74*100/100,0)),MASTER!$AH$4:$AH$1463,0))="",NA(),INDEX(MASTER!$G$4:$G$1463,MATCH("AZUKI"&amp;"|"&amp;MAX(1,ROUND(COUNTIFS(MASTER!$B$4:$B$1463,"AZUKI",MASTER!$G$4:$G$1463,"&lt;&gt;")*$A74*100/100,0)),MASTER!$AH$4:$AH$1463,0))),NA()),IF($B$4="SECONDARY",IFERROR(IF(INDEX(MASTER!$L$4:$L$1463,MATCH("AZUKI"&amp;"|"&amp;MAX(1,ROUND(COUNTIFS(MASTER!$B$4:$B$1463,"AZUKI",MASTER!$L$4:$L$1463,"&lt;&gt;")*$A74*100/100,0)),MASTER!$AI$4:$AI$1463,0))="",NA(),INDEX(MASTER!$L$4:$L$1463,MATCH("AZUKI"&amp;"|"&amp;MAX(1,ROUND(COUNTIFS(MASTER!$B$4:$B$1463,"AZUKI",MASTER!$L$4:$L$1463,"&lt;&gt;")*$A74*100/100,0)),MASTER!$AI$4:$AI$1463,0))),NA()))))</f>
        <v>9302</v>
      </c>
      <c r="H74" s="37">
        <f>IF($B$4="RESONANCE",IFERROR(IF(INDEX(MASTER!$I$4:$I$1463,MATCH("RECKONING"&amp;"|"&amp;MAX(1,ROUND(COUNTIFS(MASTER!$B$4:$B$1463,"RECKONING",MASTER!$I$4:$I$1463,"&lt;&gt;")*$A74*100/100,0)),MASTER!$Y$4:$Y$1463,0))="",NA(),INDEX(MASTER!$I$4:$I$1463,MATCH("RECKONING"&amp;"|"&amp;MAX(1,ROUND(COUNTIFS(MASTER!$B$4:$B$1463,"RECKONING",MASTER!$I$4:$I$1463,"&lt;&gt;")*$A74*100/100,0)),MASTER!$Y$4:$Y$1463,0))),NA()),IF($B$4="COMBAT RATING",IFERROR(IF(INDEX(MASTER!$G$4:$G$1463,MATCH("RECKONING"&amp;"|"&amp;MAX(1,ROUND(COUNTIFS(MASTER!$B$4:$B$1463,"RECKONING",MASTER!$G$4:$G$1463,"&lt;&gt;")*$A74*100/100,0)),MASTER!$AH$4:$AH$1463,0))="",NA(),INDEX(MASTER!$G$4:$G$1463,MATCH("RECKONING"&amp;"|"&amp;MAX(1,ROUND(COUNTIFS(MASTER!$B$4:$B$1463,"RECKONING",MASTER!$G$4:$G$1463,"&lt;&gt;")*$A74*100/100,0)),MASTER!$AH$4:$AH$1463,0))),NA()),IF($B$4="SECONDARY",IFERROR(IF(INDEX(MASTER!$L$4:$L$1463,MATCH("RECKONING"&amp;"|"&amp;MAX(1,ROUND(COUNTIFS(MASTER!$B$4:$B$1463,"RECKONING",MASTER!$L$4:$L$1463,"&lt;&gt;")*$A74*100/100,0)),MASTER!$AI$4:$AI$1463,0))="",NA(),INDEX(MASTER!$L$4:$L$1463,MATCH("RECKONING"&amp;"|"&amp;MAX(1,ROUND(COUNTIFS(MASTER!$B$4:$B$1463,"RECKONING",MASTER!$L$4:$L$1463,"&lt;&gt;")*$A74*100/100,0)),MASTER!$AI$4:$AI$1463,0))),NA()))))</f>
        <v>8627</v>
      </c>
      <c r="I74" s="37">
        <f>IF($B$4="RESONANCE",IFERROR(IF(INDEX(MASTER!$I$4:$I$1463,MATCH("ACHERON"&amp;"|"&amp;MAX(1,ROUND(COUNTIFS(MASTER!$B$4:$B$1463,"ACHERON",MASTER!$I$4:$I$1463,"&lt;&gt;")*$A74*100/100,0)),MASTER!$Y$4:$Y$1463,0))="",NA(),INDEX(MASTER!$I$4:$I$1463,MATCH("ACHERON"&amp;"|"&amp;MAX(1,ROUND(COUNTIFS(MASTER!$B$4:$B$1463,"ACHERON",MASTER!$I$4:$I$1463,"&lt;&gt;")*$A74*100/100,0)),MASTER!$Y$4:$Y$1463,0))),NA()),IF($B$4="COMBAT RATING",IFERROR(IF(INDEX(MASTER!$G$4:$G$1463,MATCH("ACHERON"&amp;"|"&amp;MAX(1,ROUND(COUNTIFS(MASTER!$B$4:$B$1463,"ACHERON",MASTER!$G$4:$G$1463,"&lt;&gt;")*$A74*100/100,0)),MASTER!$AH$4:$AH$1463,0))="",NA(),INDEX(MASTER!$G$4:$G$1463,MATCH("ACHERON"&amp;"|"&amp;MAX(1,ROUND(COUNTIFS(MASTER!$B$4:$B$1463,"ACHERON",MASTER!$G$4:$G$1463,"&lt;&gt;")*$A74*100/100,0)),MASTER!$AH$4:$AH$1463,0))),NA()),IF($B$4="SECONDARY",IFERROR(IF(INDEX(MASTER!$L$4:$L$1463,MATCH("ACHERON"&amp;"|"&amp;MAX(1,ROUND(COUNTIFS(MASTER!$B$4:$B$1463,"ACHERON",MASTER!$L$4:$L$1463,"&lt;&gt;")*$A74*100/100,0)),MASTER!$AI$4:$AI$1463,0))="",NA(),INDEX(MASTER!$L$4:$L$1463,MATCH("ACHERON"&amp;"|"&amp;MAX(1,ROUND(COUNTIFS(MASTER!$B$4:$B$1463,"ACHERON",MASTER!$L$4:$L$1463,"&lt;&gt;")*$A74*100/100,0)),MASTER!$AI$4:$AI$1463,0))),NA()))))</f>
        <v>5504</v>
      </c>
      <c r="J74" s="37">
        <f>IF($B$4="RESONANCE",IFERROR(IF(INDEX(MASTER!$I$4:$I$1463,MATCH("INVICTUS"&amp;"|"&amp;MAX(1,ROUND(COUNTIFS(MASTER!$B$4:$B$1463,"INVICTUS",MASTER!$I$4:$I$1463,"&lt;&gt;")*$A74*100/100,0)),MASTER!$Y$4:$Y$1463,0))="",NA(),INDEX(MASTER!$I$4:$I$1463,MATCH("INVICTUS"&amp;"|"&amp;MAX(1,ROUND(COUNTIFS(MASTER!$B$4:$B$1463,"INVICTUS",MASTER!$I$4:$I$1463,"&lt;&gt;")*$A74*100/100,0)),MASTER!$Y$4:$Y$1463,0))),NA()),IF($B$4="COMBAT RATING",IFERROR(IF(INDEX(MASTER!$G$4:$G$1463,MATCH("INVICTUS"&amp;"|"&amp;MAX(1,ROUND(COUNTIFS(MASTER!$B$4:$B$1463,"INVICTUS",MASTER!$G$4:$G$1463,"&lt;&gt;")*$A74*100/100,0)),MASTER!$AH$4:$AH$1463,0))="",NA(),INDEX(MASTER!$G$4:$G$1463,MATCH("INVICTUS"&amp;"|"&amp;MAX(1,ROUND(COUNTIFS(MASTER!$B$4:$B$1463,"INVICTUS",MASTER!$G$4:$G$1463,"&lt;&gt;")*$A74*100/100,0)),MASTER!$AH$4:$AH$1463,0))),NA()),IF($B$4="SECONDARY",IFERROR(IF(INDEX(MASTER!$L$4:$L$1463,MATCH("INVICTUS"&amp;"|"&amp;MAX(1,ROUND(COUNTIFS(MASTER!$B$4:$B$1463,"INVICTUS",MASTER!$L$4:$L$1463,"&lt;&gt;")*$A74*100/100,0)),MASTER!$AI$4:$AI$1463,0))="",NA(),INDEX(MASTER!$L$4:$L$1463,MATCH("INVICTUS"&amp;"|"&amp;MAX(1,ROUND(COUNTIFS(MASTER!$B$4:$B$1463,"INVICTUS",MASTER!$L$4:$L$1463,"&lt;&gt;")*$A74*100/100,0)),MASTER!$AI$4:$AI$1463,0))),NA()))))</f>
        <v>4802</v>
      </c>
      <c r="K74" s="37">
        <f>IF($B$4="RESONANCE",IFERROR(IF(INDEX(MASTER!$I$4:$I$1463,MATCH("EMERALD LEAF TRIBE"&amp;"|"&amp;MAX(1,ROUND(COUNTIFS(MASTER!$B$4:$B$1463,"EMERALD LEAF TRIBE",MASTER!$I$4:$I$1463,"&lt;&gt;")*$A74*100/100,0)),MASTER!$Y$4:$Y$1463,0))="",NA(),INDEX(MASTER!$I$4:$I$1463,MATCH("EMERALD LEAF TRIBE"&amp;"|"&amp;MAX(1,ROUND(COUNTIFS(MASTER!$B$4:$B$1463,"EMERALD LEAF TRIBE",MASTER!$I$4:$I$1463,"&lt;&gt;")*$A74*100/100,0)),MASTER!$Y$4:$Y$1463,0))),NA()),IF($B$4="COMBAT RATING",IFERROR(IF(INDEX(MASTER!$G$4:$G$1463,MATCH("EMERALD LEAF TRIBE"&amp;"|"&amp;MAX(1,ROUND(COUNTIFS(MASTER!$B$4:$B$1463,"EMERALD LEAF TRIBE",MASTER!$G$4:$G$1463,"&lt;&gt;")*$A74*100/100,0)),MASTER!$AH$4:$AH$1463,0))="",NA(),INDEX(MASTER!$G$4:$G$1463,MATCH("EMERALD LEAF TRIBE"&amp;"|"&amp;MAX(1,ROUND(COUNTIFS(MASTER!$B$4:$B$1463,"EMERALD LEAF TRIBE",MASTER!$G$4:$G$1463,"&lt;&gt;")*$A74*100/100,0)),MASTER!$AH$4:$AH$1463,0))),NA()),IF($B$4="SECONDARY",IFERROR(IF(INDEX(MASTER!$L$4:$L$1463,MATCH("EMERALD LEAF TRIBE"&amp;"|"&amp;MAX(1,ROUND(COUNTIFS(MASTER!$B$4:$B$1463,"EMERALD LEAF TRIBE",MASTER!$L$4:$L$1463,"&lt;&gt;")*$A74*100/100,0)),MASTER!$AI$4:$AI$1463,0))="",NA(),INDEX(MASTER!$L$4:$L$1463,MATCH("EMERALD LEAF TRIBE"&amp;"|"&amp;MAX(1,ROUND(COUNTIFS(MASTER!$B$4:$B$1463,"EMERALD LEAF TRIBE",MASTER!$L$4:$L$1463,"&lt;&gt;")*$A74*100/100,0)),MASTER!$AI$4:$AI$1463,0))),NA()))))</f>
        <v>3380</v>
      </c>
      <c r="L74" s="37">
        <f>IF($B$4="RESONANCE",IFERROR(IF(INDEX(MASTER!$I$4:$I$1463,MATCH("SUB ROSA"&amp;"|"&amp;MAX(1,ROUND(COUNTIFS(MASTER!$B$4:$B$1463,"SUB ROSA",MASTER!$I$4:$I$1463,"&lt;&gt;")*$A74*100/100,0)),MASTER!$Y$4:$Y$1463,0))="",NA(),INDEX(MASTER!$I$4:$I$1463,MATCH("SUB ROSA"&amp;"|"&amp;MAX(1,ROUND(COUNTIFS(MASTER!$B$4:$B$1463,"SUB ROSA",MASTER!$I$4:$I$1463,"&lt;&gt;")*$A74*100/100,0)),MASTER!$Y$4:$Y$1463,0))),NA()),IF($B$4="COMBAT RATING",IFERROR(IF(INDEX(MASTER!$G$4:$G$1463,MATCH("SUB ROSA"&amp;"|"&amp;MAX(1,ROUND(COUNTIFS(MASTER!$B$4:$B$1463,"SUB ROSA",MASTER!$G$4:$G$1463,"&lt;&gt;")*$A74*100/100,0)),MASTER!$AH$4:$AH$1463,0))="",NA(),INDEX(MASTER!$G$4:$G$1463,MATCH("SUB ROSA"&amp;"|"&amp;MAX(1,ROUND(COUNTIFS(MASTER!$B$4:$B$1463,"SUB ROSA",MASTER!$G$4:$G$1463,"&lt;&gt;")*$A74*100/100,0)),MASTER!$AH$4:$AH$1463,0))),NA()),IF($B$4="SECONDARY",IFERROR(IF(INDEX(MASTER!$L$4:$L$1463,MATCH("SUB ROSA"&amp;"|"&amp;MAX(1,ROUND(COUNTIFS(MASTER!$B$4:$B$1463,"SUB ROSA",MASTER!$L$4:$L$1463,"&lt;&gt;")*$A74*100/100,0)),MASTER!$AI$4:$AI$1463,0))="",NA(),INDEX(MASTER!$L$4:$L$1463,MATCH("SUB ROSA"&amp;"|"&amp;MAX(1,ROUND(COUNTIFS(MASTER!$B$4:$B$1463,"SUB ROSA",MASTER!$L$4:$L$1463,"&lt;&gt;")*$A74*100/100,0)),MASTER!$AI$4:$AI$1463,0))),NA()))))</f>
        <v>4476</v>
      </c>
      <c r="M74" s="37">
        <f>IF($B$4="RESONANCE",IFERROR(IF(INDEX(MASTER!$I$4:$I$1463,MATCH("VENGEANCE"&amp;"|"&amp;MAX(1,ROUND(COUNTIFS(MASTER!$B$4:$B$1463,"VENGEANCE",MASTER!$I$4:$I$1463,"&lt;&gt;")*$A74*100/100,0)),MASTER!$Y$4:$Y$1463,0))="",NA(),INDEX(MASTER!$I$4:$I$1463,MATCH("VENGEANCE"&amp;"|"&amp;MAX(1,ROUND(COUNTIFS(MASTER!$B$4:$B$1463,"VENGEANCE",MASTER!$I$4:$I$1463,"&lt;&gt;")*$A74*100/100,0)),MASTER!$Y$4:$Y$1463,0))),NA()),IF($B$4="COMBAT RATING",IFERROR(IF(INDEX(MASTER!$G$4:$G$1463,MATCH("VENGEANCE"&amp;"|"&amp;MAX(1,ROUND(COUNTIFS(MASTER!$B$4:$B$1463,"VENGEANCE",MASTER!$G$4:$G$1463,"&lt;&gt;")*$A74*100/100,0)),MASTER!$AH$4:$AH$1463,0))="",NA(),INDEX(MASTER!$G$4:$G$1463,MATCH("VENGEANCE"&amp;"|"&amp;MAX(1,ROUND(COUNTIFS(MASTER!$B$4:$B$1463,"VENGEANCE",MASTER!$G$4:$G$1463,"&lt;&gt;")*$A74*100/100,0)),MASTER!$AH$4:$AH$1463,0))),NA()),IF($B$4="SECONDARY",IFERROR(IF(INDEX(MASTER!$L$4:$L$1463,MATCH("VENGEANCE"&amp;"|"&amp;MAX(1,ROUND(COUNTIFS(MASTER!$B$4:$B$1463,"VENGEANCE",MASTER!$L$4:$L$1463,"&lt;&gt;")*$A74*100/100,0)),MASTER!$AI$4:$AI$1463,0))="",NA(),INDEX(MASTER!$L$4:$L$1463,MATCH("VENGEANCE"&amp;"|"&amp;MAX(1,ROUND(COUNTIFS(MASTER!$B$4:$B$1463,"VENGEANCE",MASTER!$L$4:$L$1463,"&lt;&gt;")*$A74*100/100,0)),MASTER!$AI$4:$AI$1463,0))),NA()))))</f>
        <v>4884</v>
      </c>
      <c r="N74" s="37">
        <f>IF($B$4="RESONANCE",IFERROR(IF(INDEX(MASTER!$I$4:$I$1463,MATCH("VENDETTA"&amp;"|"&amp;MAX(1,ROUND(COUNTIFS(MASTER!$B$4:$B$1463,"VENDETTA",MASTER!$I$4:$I$1463,"&lt;&gt;")*$A74*100/100,0)),MASTER!$Y$4:$Y$1463,0))="",NA(),INDEX(MASTER!$I$4:$I$1463,MATCH("VENDETTA"&amp;"|"&amp;MAX(1,ROUND(COUNTIFS(MASTER!$B$4:$B$1463,"VENDETTA",MASTER!$I$4:$I$1463,"&lt;&gt;")*$A74*100/100,0)),MASTER!$Y$4:$Y$1463,0))),NA()),IF($B$4="COMBAT RATING",IFERROR(IF(INDEX(MASTER!$G$4:$G$1463,MATCH("VENDETTA"&amp;"|"&amp;MAX(1,ROUND(COUNTIFS(MASTER!$B$4:$B$1463,"VENDETTA",MASTER!$G$4:$G$1463,"&lt;&gt;")*$A74*100/100,0)),MASTER!$AH$4:$AH$1463,0))="",NA(),INDEX(MASTER!$G$4:$G$1463,MATCH("VENDETTA"&amp;"|"&amp;MAX(1,ROUND(COUNTIFS(MASTER!$B$4:$B$1463,"VENDETTA",MASTER!$G$4:$G$1463,"&lt;&gt;")*$A74*100/100,0)),MASTER!$AH$4:$AH$1463,0))),NA()),IF($B$4="SECONDARY",IFERROR(IF(INDEX(MASTER!$L$4:$L$1463,MATCH("VENDETTA"&amp;"|"&amp;MAX(1,ROUND(COUNTIFS(MASTER!$B$4:$B$1463,"VENDETTA",MASTER!$L$4:$L$1463,"&lt;&gt;")*$A74*100/100,0)),MASTER!$AI$4:$AI$1463,0))="",NA(),INDEX(MASTER!$L$4:$L$1463,MATCH("VENDETTA"&amp;"|"&amp;MAX(1,ROUND(COUNTIFS(MASTER!$B$4:$B$1463,"VENDETTA",MASTER!$L$4:$L$1463,"&lt;&gt;")*$A74*100/100,0)),MASTER!$AI$4:$AI$1463,0))),NA()))))</f>
        <v>2920</v>
      </c>
      <c r="O74" s="37">
        <f>IF($B$4="RESONANCE",IFERROR(IF(INDEX(MASTER!$I$4:$I$1463,MATCH("ZOMBIES"&amp;"|"&amp;MAX(1,ROUND(COUNTIFS(MASTER!$B$4:$B$1463,"ZOMBIES",MASTER!$I$4:$I$1463,"&lt;&gt;")*$A74*100/100,0)),MASTER!$Y$4:$Y$1463,0))="",NA(),INDEX(MASTER!$I$4:$I$1463,MATCH("ZOMBIES"&amp;"|"&amp;MAX(1,ROUND(COUNTIFS(MASTER!$B$4:$B$1463,"ZOMBIES",MASTER!$I$4:$I$1463,"&lt;&gt;")*$A74*100/100,0)),MASTER!$Y$4:$Y$1463,0))),NA()),IF($B$4="COMBAT RATING",IFERROR(IF(INDEX(MASTER!$G$4:$G$1463,MATCH("ZOMBIES"&amp;"|"&amp;MAX(1,ROUND(COUNTIFS(MASTER!$B$4:$B$1463,"ZOMBIES",MASTER!$G$4:$G$1463,"&lt;&gt;")*$A74*100/100,0)),MASTER!$AH$4:$AH$1463,0))="",NA(),INDEX(MASTER!$G$4:$G$1463,MATCH("ZOMBIES"&amp;"|"&amp;MAX(1,ROUND(COUNTIFS(MASTER!$B$4:$B$1463,"ZOMBIES",MASTER!$G$4:$G$1463,"&lt;&gt;")*$A74*100/100,0)),MASTER!$AH$4:$AH$1463,0))),NA()),IF($B$4="SECONDARY",IFERROR(IF(INDEX(MASTER!$L$4:$L$1463,MATCH("ZOMBIES"&amp;"|"&amp;MAX(1,ROUND(COUNTIFS(MASTER!$B$4:$B$1463,"ZOMBIES",MASTER!$L$4:$L$1463,"&lt;&gt;")*$A74*100/100,0)),MASTER!$AI$4:$AI$1463,0))="",NA(),INDEX(MASTER!$L$4:$L$1463,MATCH("ZOMBIES"&amp;"|"&amp;MAX(1,ROUND(COUNTIFS(MASTER!$B$4:$B$1463,"ZOMBIES",MASTER!$L$4:$L$1463,"&lt;&gt;")*$A74*100/100,0)),MASTER!$AI$4:$AI$1463,0))),NA()))))</f>
        <v>2804</v>
      </c>
      <c r="P74" s="37">
        <f>IF($B$4="RESONANCE",IFERROR(IF(INDEX(MASTER!$I$4:$I$1463,MATCH("FUCT"&amp;"|"&amp;MAX(1,ROUND(COUNTIFS(MASTER!$B$4:$B$1463,"FUCT",MASTER!$I$4:$I$1463,"&lt;&gt;")*$A74*100/100,0)),MASTER!$Y$4:$Y$1463,0))="",NA(),INDEX(MASTER!$I$4:$I$1463,MATCH("FUCT"&amp;"|"&amp;MAX(1,ROUND(COUNTIFS(MASTER!$B$4:$B$1463,"FUCT",MASTER!$I$4:$I$1463,"&lt;&gt;")*$A74*100/100,0)),MASTER!$Y$4:$Y$1463,0))),NA()),IF($B$4="COMBAT RATING",IFERROR(IF(INDEX(MASTER!$G$4:$G$1463,MATCH("FUCT"&amp;"|"&amp;MAX(1,ROUND(COUNTIFS(MASTER!$B$4:$B$1463,"FUCT",MASTER!$G$4:$G$1463,"&lt;&gt;")*$A74*100/100,0)),MASTER!$AH$4:$AH$1463,0))="",NA(),INDEX(MASTER!$G$4:$G$1463,MATCH("FUCT"&amp;"|"&amp;MAX(1,ROUND(COUNTIFS(MASTER!$B$4:$B$1463,"FUCT",MASTER!$G$4:$G$1463,"&lt;&gt;")*$A74*100/100,0)),MASTER!$AH$4:$AH$1463,0))),NA()),IF($B$4="SECONDARY",IFERROR(IF(INDEX(MASTER!$L$4:$L$1463,MATCH("FUCT"&amp;"|"&amp;MAX(1,ROUND(COUNTIFS(MASTER!$B$4:$B$1463,"FUCT",MASTER!$L$4:$L$1463,"&lt;&gt;")*$A74*100/100,0)),MASTER!$AI$4:$AI$1463,0))="",NA(),INDEX(MASTER!$L$4:$L$1463,MATCH("FUCT"&amp;"|"&amp;MAX(1,ROUND(COUNTIFS(MASTER!$B$4:$B$1463,"FUCT",MASTER!$L$4:$L$1463,"&lt;&gt;")*$A74*100/100,0)),MASTER!$AI$4:$AI$1463,0))),NA()))))</f>
        <v>7419</v>
      </c>
      <c r="Q74" s="37">
        <f>IF($B$4="RESONANCE",IFERROR(IF(INDEX(MASTER!$I$4:$I$1463,MATCH($E$4&amp;"|"&amp;MAX(1,ROUND(COUNTIFS(MASTER!$B$4:$B$1463,$E$4,MASTER!$I$4:$I$1463,"&lt;&gt;")*$A74*100/100,0)),MASTER!$Y$4:$Y$1463,0))="",NA(),INDEX(MASTER!$I$4:$I$1463,MATCH($E$4&amp;"|"&amp;MAX(1,ROUND(COUNTIFS(MASTER!$B$4:$B$1463,$E$4,MASTER!$I$4:$I$1463,"&lt;&gt;")*$A74*100/100,0)),MASTER!$Y$4:$Y$1463,0))),NA()),IF($B$4="COMBAT RATING",IFERROR(IF(INDEX(MASTER!$G$4:$G$1463,MATCH($E$4&amp;"|"&amp;MAX(1,ROUND(COUNTIFS(MASTER!$B$4:$B$1463,$E$4,MASTER!$G$4:$G$1463,"&lt;&gt;")*$A74*100/100,0)),MASTER!$AH$4:$AH$1463,0))="",NA(),INDEX(MASTER!$G$4:$G$1463,MATCH($E$4&amp;"|"&amp;MAX(1,ROUND(COUNTIFS(MASTER!$B$4:$B$1463,$E$4,MASTER!$G$4:$G$1463,"&lt;&gt;")*$A74*100/100,0)),MASTER!$AH$4:$AH$1463,0))),NA()),IF($B$4="SECONDARY",IFERROR(IF(INDEX(MASTER!$L$4:$L$1463,MATCH($E$4&amp;"|"&amp;MAX(1,ROUND(COUNTIFS(MASTER!$B$4:$B$1463,$E$4,MASTER!$L$4:$L$1463,"&lt;&gt;")*$A74*100/100,0)),MASTER!$AI$4:$AI$1463,0))="",NA(),INDEX(MASTER!$L$4:$L$1463,MATCH($E$4&amp;"|"&amp;MAX(1,ROUND(COUNTIFS(MASTER!$B$4:$B$1463,$E$4,MASTER!$L$4:$L$1463,"&lt;&gt;")*$A74*100/100,0)),MASTER!$AI$4:$AI$1463,0))),NA()))))</f>
        <v>6226</v>
      </c>
    </row>
    <row r="75" spans="1:17" hidden="1">
      <c r="A75" s="36">
        <v>0.2</v>
      </c>
      <c r="B75" s="37">
        <f>IF($B$4="RESONANCE",IFERROR(IF(INDEX(MASTER!$I$4:$I$1463,MATCH("FUCT"&amp;"|"&amp;MAX(1,ROUND(COUNTIFS(MASTER!$B$4:$B$1463,"FUCT",MASTER!$I$4:$I$1463,"&lt;&gt;")*$A75*100/100,0)),MASTER!$Y$4:$Y$1463,0))="",NA(),INDEX(MASTER!$I$4:$I$1463,MATCH("FUCT"&amp;"|"&amp;MAX(1,ROUND(COUNTIFS(MASTER!$B$4:$B$1463,"FUCT",MASTER!$I$4:$I$1463,"&lt;&gt;")*$A75*100/100,0)),MASTER!$Y$4:$Y$1463,0))),NA()),IF($B$4="COMBAT RATING",IFERROR(IF(INDEX(MASTER!$G$4:$G$1463,MATCH("FUCT"&amp;"|"&amp;MAX(1,ROUND(COUNTIFS(MASTER!$B$4:$B$1463,"FUCT",MASTER!$G$4:$G$1463,"&lt;&gt;")*$A75*100/100,0)),MASTER!$AH$4:$AH$1463,0))="",NA(),INDEX(MASTER!$G$4:$G$1463,MATCH("FUCT"&amp;"|"&amp;MAX(1,ROUND(COUNTIFS(MASTER!$B$4:$B$1463,"FUCT",MASTER!$G$4:$G$1463,"&lt;&gt;")*$A75*100/100,0)),MASTER!$AH$4:$AH$1463,0))),NA()),IF($B$4="SECONDARY",IFERROR(IF(INDEX(MASTER!$L$4:$L$1463,MATCH("FUCT"&amp;"|"&amp;MAX(1,ROUND(COUNTIFS(MASTER!$B$4:$B$1463,"FUCT",MASTER!$L$4:$L$1463,"&lt;&gt;")*$A75*100/100,0)),MASTER!$AI$4:$AI$1463,0))="",NA(),INDEX(MASTER!$L$4:$L$1463,MATCH("FUCT"&amp;"|"&amp;MAX(1,ROUND(COUNTIFS(MASTER!$B$4:$B$1463,"FUCT",MASTER!$L$4:$L$1463,"&lt;&gt;")*$A75*100/100,0)),MASTER!$AI$4:$AI$1463,0))),NA()))))</f>
        <v>7364</v>
      </c>
      <c r="C75" s="37">
        <f>IF($B$4="RESONANCE",IFERROR(IF(INDEX(MASTER!$I$4:$I$1463,MATCH("LEGENDS"&amp;"|"&amp;MAX(1,ROUND(COUNTIFS(MASTER!$B$4:$B$1463,"LEGENDS",MASTER!$I$4:$I$1463,"&lt;&gt;")*$A75*100/100,0)),MASTER!$Y$4:$Y$1463,0))="",NA(),INDEX(MASTER!$I$4:$I$1463,MATCH("LEGENDS"&amp;"|"&amp;MAX(1,ROUND(COUNTIFS(MASTER!$B$4:$B$1463,"LEGENDS",MASTER!$I$4:$I$1463,"&lt;&gt;")*$A75*100/100,0)),MASTER!$Y$4:$Y$1463,0))),NA()),IF($B$4="COMBAT RATING",IFERROR(IF(INDEX(MASTER!$G$4:$G$1463,MATCH("LEGENDS"&amp;"|"&amp;MAX(1,ROUND(COUNTIFS(MASTER!$B$4:$B$1463,"LEGENDS",MASTER!$G$4:$G$1463,"&lt;&gt;")*$A75*100/100,0)),MASTER!$AH$4:$AH$1463,0))="",NA(),INDEX(MASTER!$G$4:$G$1463,MATCH("LEGENDS"&amp;"|"&amp;MAX(1,ROUND(COUNTIFS(MASTER!$B$4:$B$1463,"LEGENDS",MASTER!$G$4:$G$1463,"&lt;&gt;")*$A75*100/100,0)),MASTER!$AH$4:$AH$1463,0))),NA()),IF($B$4="SECONDARY",IFERROR(IF(INDEX(MASTER!$L$4:$L$1463,MATCH("LEGENDS"&amp;"|"&amp;MAX(1,ROUND(COUNTIFS(MASTER!$B$4:$B$1463,"LEGENDS",MASTER!$L$4:$L$1463,"&lt;&gt;")*$A75*100/100,0)),MASTER!$AI$4:$AI$1463,0))="",NA(),INDEX(MASTER!$L$4:$L$1463,MATCH("LEGENDS"&amp;"|"&amp;MAX(1,ROUND(COUNTIFS(MASTER!$B$4:$B$1463,"LEGENDS",MASTER!$L$4:$L$1463,"&lt;&gt;")*$A75*100/100,0)),MASTER!$AI$4:$AI$1463,0))),NA()))))</f>
        <v>7372</v>
      </c>
      <c r="D75" s="37">
        <f>IF($B$4="RESONANCE",IFERROR(IF(INDEX(MASTER!$I$4:$I$1463,MATCH("VANGUARD"&amp;"|"&amp;MAX(1,ROUND(COUNTIFS(MASTER!$B$4:$B$1463,"VANGUARD",MASTER!$I$4:$I$1463,"&lt;&gt;")*$A75*100/100,0)),MASTER!$Y$4:$Y$1463,0))="",NA(),INDEX(MASTER!$I$4:$I$1463,MATCH("VANGUARD"&amp;"|"&amp;MAX(1,ROUND(COUNTIFS(MASTER!$B$4:$B$1463,"VANGUARD",MASTER!$I$4:$I$1463,"&lt;&gt;")*$A75*100/100,0)),MASTER!$Y$4:$Y$1463,0))),NA()),IF($B$4="COMBAT RATING",IFERROR(IF(INDEX(MASTER!$G$4:$G$1463,MATCH("VANGUARD"&amp;"|"&amp;MAX(1,ROUND(COUNTIFS(MASTER!$B$4:$B$1463,"VANGUARD",MASTER!$G$4:$G$1463,"&lt;&gt;")*$A75*100/100,0)),MASTER!$AH$4:$AH$1463,0))="",NA(),INDEX(MASTER!$G$4:$G$1463,MATCH("VANGUARD"&amp;"|"&amp;MAX(1,ROUND(COUNTIFS(MASTER!$B$4:$B$1463,"VANGUARD",MASTER!$G$4:$G$1463,"&lt;&gt;")*$A75*100/100,0)),MASTER!$AH$4:$AH$1463,0))),NA()),IF($B$4="SECONDARY",IFERROR(IF(INDEX(MASTER!$L$4:$L$1463,MATCH("VANGUARD"&amp;"|"&amp;MAX(1,ROUND(COUNTIFS(MASTER!$B$4:$B$1463,"VANGUARD",MASTER!$L$4:$L$1463,"&lt;&gt;")*$A75*100/100,0)),MASTER!$AI$4:$AI$1463,0))="",NA(),INDEX(MASTER!$L$4:$L$1463,MATCH("VANGUARD"&amp;"|"&amp;MAX(1,ROUND(COUNTIFS(MASTER!$B$4:$B$1463,"VANGUARD",MASTER!$L$4:$L$1463,"&lt;&gt;")*$A75*100/100,0)),MASTER!$AI$4:$AI$1463,0))),NA()))))</f>
        <v>9269</v>
      </c>
      <c r="E75" s="37">
        <f>IF($B$4="RESONANCE",IFERROR(IF(INDEX(MASTER!$I$4:$I$1463,MATCH("UNDYING"&amp;"|"&amp;MAX(1,ROUND(COUNTIFS(MASTER!$B$4:$B$1463,"UNDYING",MASTER!$I$4:$I$1463,"&lt;&gt;")*$A75*100/100,0)),MASTER!$Y$4:$Y$1463,0))="",NA(),INDEX(MASTER!$I$4:$I$1463,MATCH("UNDYING"&amp;"|"&amp;MAX(1,ROUND(COUNTIFS(MASTER!$B$4:$B$1463,"UNDYING",MASTER!$I$4:$I$1463,"&lt;&gt;")*$A75*100/100,0)),MASTER!$Y$4:$Y$1463,0))),NA()),IF($B$4="COMBAT RATING",IFERROR(IF(INDEX(MASTER!$G$4:$G$1463,MATCH("UNDYING"&amp;"|"&amp;MAX(1,ROUND(COUNTIFS(MASTER!$B$4:$B$1463,"UNDYING",MASTER!$G$4:$G$1463,"&lt;&gt;")*$A75*100/100,0)),MASTER!$AH$4:$AH$1463,0))="",NA(),INDEX(MASTER!$G$4:$G$1463,MATCH("UNDYING"&amp;"|"&amp;MAX(1,ROUND(COUNTIFS(MASTER!$B$4:$B$1463,"UNDYING",MASTER!$G$4:$G$1463,"&lt;&gt;")*$A75*100/100,0)),MASTER!$AH$4:$AH$1463,0))),NA()),IF($B$4="SECONDARY",IFERROR(IF(INDEX(MASTER!$L$4:$L$1463,MATCH("UNDYING"&amp;"|"&amp;MAX(1,ROUND(COUNTIFS(MASTER!$B$4:$B$1463,"UNDYING",MASTER!$L$4:$L$1463,"&lt;&gt;")*$A75*100/100,0)),MASTER!$AI$4:$AI$1463,0))="",NA(),INDEX(MASTER!$L$4:$L$1463,MATCH("UNDYING"&amp;"|"&amp;MAX(1,ROUND(COUNTIFS(MASTER!$B$4:$B$1463,"UNDYING",MASTER!$L$4:$L$1463,"&lt;&gt;")*$A75*100/100,0)),MASTER!$AI$4:$AI$1463,0))),NA()))))</f>
        <v>6165</v>
      </c>
      <c r="F75" s="37">
        <f>IF($B$4="RESONANCE",IFERROR(IF(INDEX(MASTER!$I$4:$I$1463,MATCH("SBG"&amp;"|"&amp;MAX(1,ROUND(COUNTIFS(MASTER!$B$4:$B$1463,"SBG",MASTER!$I$4:$I$1463,"&lt;&gt;")*$A75*100/100,0)),MASTER!$Y$4:$Y$1463,0))="",NA(),INDEX(MASTER!$I$4:$I$1463,MATCH("SBG"&amp;"|"&amp;MAX(1,ROUND(COUNTIFS(MASTER!$B$4:$B$1463,"SBG",MASTER!$I$4:$I$1463,"&lt;&gt;")*$A75*100/100,0)),MASTER!$Y$4:$Y$1463,0))),NA()),IF($B$4="COMBAT RATING",IFERROR(IF(INDEX(MASTER!$G$4:$G$1463,MATCH("SBG"&amp;"|"&amp;MAX(1,ROUND(COUNTIFS(MASTER!$B$4:$B$1463,"SBG",MASTER!$G$4:$G$1463,"&lt;&gt;")*$A75*100/100,0)),MASTER!$AH$4:$AH$1463,0))="",NA(),INDEX(MASTER!$G$4:$G$1463,MATCH("SBG"&amp;"|"&amp;MAX(1,ROUND(COUNTIFS(MASTER!$B$4:$B$1463,"SBG",MASTER!$G$4:$G$1463,"&lt;&gt;")*$A75*100/100,0)),MASTER!$AH$4:$AH$1463,0))),NA()),IF($B$4="SECONDARY",IFERROR(IF(INDEX(MASTER!$L$4:$L$1463,MATCH("SBG"&amp;"|"&amp;MAX(1,ROUND(COUNTIFS(MASTER!$B$4:$B$1463,"SBG",MASTER!$L$4:$L$1463,"&lt;&gt;")*$A75*100/100,0)),MASTER!$AI$4:$AI$1463,0))="",NA(),INDEX(MASTER!$L$4:$L$1463,MATCH("SBG"&amp;"|"&amp;MAX(1,ROUND(COUNTIFS(MASTER!$B$4:$B$1463,"SBG",MASTER!$L$4:$L$1463,"&lt;&gt;")*$A75*100/100,0)),MASTER!$AI$4:$AI$1463,0))),NA()))))</f>
        <v>8496</v>
      </c>
      <c r="G75" s="37">
        <f>IF($B$4="RESONANCE",IFERROR(IF(INDEX(MASTER!$I$4:$I$1463,MATCH("AZUKI"&amp;"|"&amp;MAX(1,ROUND(COUNTIFS(MASTER!$B$4:$B$1463,"AZUKI",MASTER!$I$4:$I$1463,"&lt;&gt;")*$A75*100/100,0)),MASTER!$Y$4:$Y$1463,0))="",NA(),INDEX(MASTER!$I$4:$I$1463,MATCH("AZUKI"&amp;"|"&amp;MAX(1,ROUND(COUNTIFS(MASTER!$B$4:$B$1463,"AZUKI",MASTER!$I$4:$I$1463,"&lt;&gt;")*$A75*100/100,0)),MASTER!$Y$4:$Y$1463,0))),NA()),IF($B$4="COMBAT RATING",IFERROR(IF(INDEX(MASTER!$G$4:$G$1463,MATCH("AZUKI"&amp;"|"&amp;MAX(1,ROUND(COUNTIFS(MASTER!$B$4:$B$1463,"AZUKI",MASTER!$G$4:$G$1463,"&lt;&gt;")*$A75*100/100,0)),MASTER!$AH$4:$AH$1463,0))="",NA(),INDEX(MASTER!$G$4:$G$1463,MATCH("AZUKI"&amp;"|"&amp;MAX(1,ROUND(COUNTIFS(MASTER!$B$4:$B$1463,"AZUKI",MASTER!$G$4:$G$1463,"&lt;&gt;")*$A75*100/100,0)),MASTER!$AH$4:$AH$1463,0))),NA()),IF($B$4="SECONDARY",IFERROR(IF(INDEX(MASTER!$L$4:$L$1463,MATCH("AZUKI"&amp;"|"&amp;MAX(1,ROUND(COUNTIFS(MASTER!$B$4:$B$1463,"AZUKI",MASTER!$L$4:$L$1463,"&lt;&gt;")*$A75*100/100,0)),MASTER!$AI$4:$AI$1463,0))="",NA(),INDEX(MASTER!$L$4:$L$1463,MATCH("AZUKI"&amp;"|"&amp;MAX(1,ROUND(COUNTIFS(MASTER!$B$4:$B$1463,"AZUKI",MASTER!$L$4:$L$1463,"&lt;&gt;")*$A75*100/100,0)),MASTER!$AI$4:$AI$1463,0))),NA()))))</f>
        <v>9175</v>
      </c>
      <c r="H75" s="37">
        <f>IF($B$4="RESONANCE",IFERROR(IF(INDEX(MASTER!$I$4:$I$1463,MATCH("RECKONING"&amp;"|"&amp;MAX(1,ROUND(COUNTIFS(MASTER!$B$4:$B$1463,"RECKONING",MASTER!$I$4:$I$1463,"&lt;&gt;")*$A75*100/100,0)),MASTER!$Y$4:$Y$1463,0))="",NA(),INDEX(MASTER!$I$4:$I$1463,MATCH("RECKONING"&amp;"|"&amp;MAX(1,ROUND(COUNTIFS(MASTER!$B$4:$B$1463,"RECKONING",MASTER!$I$4:$I$1463,"&lt;&gt;")*$A75*100/100,0)),MASTER!$Y$4:$Y$1463,0))),NA()),IF($B$4="COMBAT RATING",IFERROR(IF(INDEX(MASTER!$G$4:$G$1463,MATCH("RECKONING"&amp;"|"&amp;MAX(1,ROUND(COUNTIFS(MASTER!$B$4:$B$1463,"RECKONING",MASTER!$G$4:$G$1463,"&lt;&gt;")*$A75*100/100,0)),MASTER!$AH$4:$AH$1463,0))="",NA(),INDEX(MASTER!$G$4:$G$1463,MATCH("RECKONING"&amp;"|"&amp;MAX(1,ROUND(COUNTIFS(MASTER!$B$4:$B$1463,"RECKONING",MASTER!$G$4:$G$1463,"&lt;&gt;")*$A75*100/100,0)),MASTER!$AH$4:$AH$1463,0))),NA()),IF($B$4="SECONDARY",IFERROR(IF(INDEX(MASTER!$L$4:$L$1463,MATCH("RECKONING"&amp;"|"&amp;MAX(1,ROUND(COUNTIFS(MASTER!$B$4:$B$1463,"RECKONING",MASTER!$L$4:$L$1463,"&lt;&gt;")*$A75*100/100,0)),MASTER!$AI$4:$AI$1463,0))="",NA(),INDEX(MASTER!$L$4:$L$1463,MATCH("RECKONING"&amp;"|"&amp;MAX(1,ROUND(COUNTIFS(MASTER!$B$4:$B$1463,"RECKONING",MASTER!$L$4:$L$1463,"&lt;&gt;")*$A75*100/100,0)),MASTER!$AI$4:$AI$1463,0))),NA()))))</f>
        <v>8529</v>
      </c>
      <c r="I75" s="37">
        <f>IF($B$4="RESONANCE",IFERROR(IF(INDEX(MASTER!$I$4:$I$1463,MATCH("ACHERON"&amp;"|"&amp;MAX(1,ROUND(COUNTIFS(MASTER!$B$4:$B$1463,"ACHERON",MASTER!$I$4:$I$1463,"&lt;&gt;")*$A75*100/100,0)),MASTER!$Y$4:$Y$1463,0))="",NA(),INDEX(MASTER!$I$4:$I$1463,MATCH("ACHERON"&amp;"|"&amp;MAX(1,ROUND(COUNTIFS(MASTER!$B$4:$B$1463,"ACHERON",MASTER!$I$4:$I$1463,"&lt;&gt;")*$A75*100/100,0)),MASTER!$Y$4:$Y$1463,0))),NA()),IF($B$4="COMBAT RATING",IFERROR(IF(INDEX(MASTER!$G$4:$G$1463,MATCH("ACHERON"&amp;"|"&amp;MAX(1,ROUND(COUNTIFS(MASTER!$B$4:$B$1463,"ACHERON",MASTER!$G$4:$G$1463,"&lt;&gt;")*$A75*100/100,0)),MASTER!$AH$4:$AH$1463,0))="",NA(),INDEX(MASTER!$G$4:$G$1463,MATCH("ACHERON"&amp;"|"&amp;MAX(1,ROUND(COUNTIFS(MASTER!$B$4:$B$1463,"ACHERON",MASTER!$G$4:$G$1463,"&lt;&gt;")*$A75*100/100,0)),MASTER!$AH$4:$AH$1463,0))),NA()),IF($B$4="SECONDARY",IFERROR(IF(INDEX(MASTER!$L$4:$L$1463,MATCH("ACHERON"&amp;"|"&amp;MAX(1,ROUND(COUNTIFS(MASTER!$B$4:$B$1463,"ACHERON",MASTER!$L$4:$L$1463,"&lt;&gt;")*$A75*100/100,0)),MASTER!$AI$4:$AI$1463,0))="",NA(),INDEX(MASTER!$L$4:$L$1463,MATCH("ACHERON"&amp;"|"&amp;MAX(1,ROUND(COUNTIFS(MASTER!$B$4:$B$1463,"ACHERON",MASTER!$L$4:$L$1463,"&lt;&gt;")*$A75*100/100,0)),MASTER!$AI$4:$AI$1463,0))),NA()))))</f>
        <v>5483</v>
      </c>
      <c r="J75" s="37">
        <f>IF($B$4="RESONANCE",IFERROR(IF(INDEX(MASTER!$I$4:$I$1463,MATCH("INVICTUS"&amp;"|"&amp;MAX(1,ROUND(COUNTIFS(MASTER!$B$4:$B$1463,"INVICTUS",MASTER!$I$4:$I$1463,"&lt;&gt;")*$A75*100/100,0)),MASTER!$Y$4:$Y$1463,0))="",NA(),INDEX(MASTER!$I$4:$I$1463,MATCH("INVICTUS"&amp;"|"&amp;MAX(1,ROUND(COUNTIFS(MASTER!$B$4:$B$1463,"INVICTUS",MASTER!$I$4:$I$1463,"&lt;&gt;")*$A75*100/100,0)),MASTER!$Y$4:$Y$1463,0))),NA()),IF($B$4="COMBAT RATING",IFERROR(IF(INDEX(MASTER!$G$4:$G$1463,MATCH("INVICTUS"&amp;"|"&amp;MAX(1,ROUND(COUNTIFS(MASTER!$B$4:$B$1463,"INVICTUS",MASTER!$G$4:$G$1463,"&lt;&gt;")*$A75*100/100,0)),MASTER!$AH$4:$AH$1463,0))="",NA(),INDEX(MASTER!$G$4:$G$1463,MATCH("INVICTUS"&amp;"|"&amp;MAX(1,ROUND(COUNTIFS(MASTER!$B$4:$B$1463,"INVICTUS",MASTER!$G$4:$G$1463,"&lt;&gt;")*$A75*100/100,0)),MASTER!$AH$4:$AH$1463,0))),NA()),IF($B$4="SECONDARY",IFERROR(IF(INDEX(MASTER!$L$4:$L$1463,MATCH("INVICTUS"&amp;"|"&amp;MAX(1,ROUND(COUNTIFS(MASTER!$B$4:$B$1463,"INVICTUS",MASTER!$L$4:$L$1463,"&lt;&gt;")*$A75*100/100,0)),MASTER!$AI$4:$AI$1463,0))="",NA(),INDEX(MASTER!$L$4:$L$1463,MATCH("INVICTUS"&amp;"|"&amp;MAX(1,ROUND(COUNTIFS(MASTER!$B$4:$B$1463,"INVICTUS",MASTER!$L$4:$L$1463,"&lt;&gt;")*$A75*100/100,0)),MASTER!$AI$4:$AI$1463,0))),NA()))))</f>
        <v>4714</v>
      </c>
      <c r="K75" s="37">
        <f>IF($B$4="RESONANCE",IFERROR(IF(INDEX(MASTER!$I$4:$I$1463,MATCH("EMERALD LEAF TRIBE"&amp;"|"&amp;MAX(1,ROUND(COUNTIFS(MASTER!$B$4:$B$1463,"EMERALD LEAF TRIBE",MASTER!$I$4:$I$1463,"&lt;&gt;")*$A75*100/100,0)),MASTER!$Y$4:$Y$1463,0))="",NA(),INDEX(MASTER!$I$4:$I$1463,MATCH("EMERALD LEAF TRIBE"&amp;"|"&amp;MAX(1,ROUND(COUNTIFS(MASTER!$B$4:$B$1463,"EMERALD LEAF TRIBE",MASTER!$I$4:$I$1463,"&lt;&gt;")*$A75*100/100,0)),MASTER!$Y$4:$Y$1463,0))),NA()),IF($B$4="COMBAT RATING",IFERROR(IF(INDEX(MASTER!$G$4:$G$1463,MATCH("EMERALD LEAF TRIBE"&amp;"|"&amp;MAX(1,ROUND(COUNTIFS(MASTER!$B$4:$B$1463,"EMERALD LEAF TRIBE",MASTER!$G$4:$G$1463,"&lt;&gt;")*$A75*100/100,0)),MASTER!$AH$4:$AH$1463,0))="",NA(),INDEX(MASTER!$G$4:$G$1463,MATCH("EMERALD LEAF TRIBE"&amp;"|"&amp;MAX(1,ROUND(COUNTIFS(MASTER!$B$4:$B$1463,"EMERALD LEAF TRIBE",MASTER!$G$4:$G$1463,"&lt;&gt;")*$A75*100/100,0)),MASTER!$AH$4:$AH$1463,0))),NA()),IF($B$4="SECONDARY",IFERROR(IF(INDEX(MASTER!$L$4:$L$1463,MATCH("EMERALD LEAF TRIBE"&amp;"|"&amp;MAX(1,ROUND(COUNTIFS(MASTER!$B$4:$B$1463,"EMERALD LEAF TRIBE",MASTER!$L$4:$L$1463,"&lt;&gt;")*$A75*100/100,0)),MASTER!$AI$4:$AI$1463,0))="",NA(),INDEX(MASTER!$L$4:$L$1463,MATCH("EMERALD LEAF TRIBE"&amp;"|"&amp;MAX(1,ROUND(COUNTIFS(MASTER!$B$4:$B$1463,"EMERALD LEAF TRIBE",MASTER!$L$4:$L$1463,"&lt;&gt;")*$A75*100/100,0)),MASTER!$AI$4:$AI$1463,0))),NA()))))</f>
        <v>3352</v>
      </c>
      <c r="L75" s="37">
        <f>IF($B$4="RESONANCE",IFERROR(IF(INDEX(MASTER!$I$4:$I$1463,MATCH("SUB ROSA"&amp;"|"&amp;MAX(1,ROUND(COUNTIFS(MASTER!$B$4:$B$1463,"SUB ROSA",MASTER!$I$4:$I$1463,"&lt;&gt;")*$A75*100/100,0)),MASTER!$Y$4:$Y$1463,0))="",NA(),INDEX(MASTER!$I$4:$I$1463,MATCH("SUB ROSA"&amp;"|"&amp;MAX(1,ROUND(COUNTIFS(MASTER!$B$4:$B$1463,"SUB ROSA",MASTER!$I$4:$I$1463,"&lt;&gt;")*$A75*100/100,0)),MASTER!$Y$4:$Y$1463,0))),NA()),IF($B$4="COMBAT RATING",IFERROR(IF(INDEX(MASTER!$G$4:$G$1463,MATCH("SUB ROSA"&amp;"|"&amp;MAX(1,ROUND(COUNTIFS(MASTER!$B$4:$B$1463,"SUB ROSA",MASTER!$G$4:$G$1463,"&lt;&gt;")*$A75*100/100,0)),MASTER!$AH$4:$AH$1463,0))="",NA(),INDEX(MASTER!$G$4:$G$1463,MATCH("SUB ROSA"&amp;"|"&amp;MAX(1,ROUND(COUNTIFS(MASTER!$B$4:$B$1463,"SUB ROSA",MASTER!$G$4:$G$1463,"&lt;&gt;")*$A75*100/100,0)),MASTER!$AH$4:$AH$1463,0))),NA()),IF($B$4="SECONDARY",IFERROR(IF(INDEX(MASTER!$L$4:$L$1463,MATCH("SUB ROSA"&amp;"|"&amp;MAX(1,ROUND(COUNTIFS(MASTER!$B$4:$B$1463,"SUB ROSA",MASTER!$L$4:$L$1463,"&lt;&gt;")*$A75*100/100,0)),MASTER!$AI$4:$AI$1463,0))="",NA(),INDEX(MASTER!$L$4:$L$1463,MATCH("SUB ROSA"&amp;"|"&amp;MAX(1,ROUND(COUNTIFS(MASTER!$B$4:$B$1463,"SUB ROSA",MASTER!$L$4:$L$1463,"&lt;&gt;")*$A75*100/100,0)),MASTER!$AI$4:$AI$1463,0))),NA()))))</f>
        <v>4404</v>
      </c>
      <c r="M75" s="37">
        <f>IF($B$4="RESONANCE",IFERROR(IF(INDEX(MASTER!$I$4:$I$1463,MATCH("VENGEANCE"&amp;"|"&amp;MAX(1,ROUND(COUNTIFS(MASTER!$B$4:$B$1463,"VENGEANCE",MASTER!$I$4:$I$1463,"&lt;&gt;")*$A75*100/100,0)),MASTER!$Y$4:$Y$1463,0))="",NA(),INDEX(MASTER!$I$4:$I$1463,MATCH("VENGEANCE"&amp;"|"&amp;MAX(1,ROUND(COUNTIFS(MASTER!$B$4:$B$1463,"VENGEANCE",MASTER!$I$4:$I$1463,"&lt;&gt;")*$A75*100/100,0)),MASTER!$Y$4:$Y$1463,0))),NA()),IF($B$4="COMBAT RATING",IFERROR(IF(INDEX(MASTER!$G$4:$G$1463,MATCH("VENGEANCE"&amp;"|"&amp;MAX(1,ROUND(COUNTIFS(MASTER!$B$4:$B$1463,"VENGEANCE",MASTER!$G$4:$G$1463,"&lt;&gt;")*$A75*100/100,0)),MASTER!$AH$4:$AH$1463,0))="",NA(),INDEX(MASTER!$G$4:$G$1463,MATCH("VENGEANCE"&amp;"|"&amp;MAX(1,ROUND(COUNTIFS(MASTER!$B$4:$B$1463,"VENGEANCE",MASTER!$G$4:$G$1463,"&lt;&gt;")*$A75*100/100,0)),MASTER!$AH$4:$AH$1463,0))),NA()),IF($B$4="SECONDARY",IFERROR(IF(INDEX(MASTER!$L$4:$L$1463,MATCH("VENGEANCE"&amp;"|"&amp;MAX(1,ROUND(COUNTIFS(MASTER!$B$4:$B$1463,"VENGEANCE",MASTER!$L$4:$L$1463,"&lt;&gt;")*$A75*100/100,0)),MASTER!$AI$4:$AI$1463,0))="",NA(),INDEX(MASTER!$L$4:$L$1463,MATCH("VENGEANCE"&amp;"|"&amp;MAX(1,ROUND(COUNTIFS(MASTER!$B$4:$B$1463,"VENGEANCE",MASTER!$L$4:$L$1463,"&lt;&gt;")*$A75*100/100,0)),MASTER!$AI$4:$AI$1463,0))),NA()))))</f>
        <v>4744</v>
      </c>
      <c r="N75" s="37">
        <f>IF($B$4="RESONANCE",IFERROR(IF(INDEX(MASTER!$I$4:$I$1463,MATCH("VENDETTA"&amp;"|"&amp;MAX(1,ROUND(COUNTIFS(MASTER!$B$4:$B$1463,"VENDETTA",MASTER!$I$4:$I$1463,"&lt;&gt;")*$A75*100/100,0)),MASTER!$Y$4:$Y$1463,0))="",NA(),INDEX(MASTER!$I$4:$I$1463,MATCH("VENDETTA"&amp;"|"&amp;MAX(1,ROUND(COUNTIFS(MASTER!$B$4:$B$1463,"VENDETTA",MASTER!$I$4:$I$1463,"&lt;&gt;")*$A75*100/100,0)),MASTER!$Y$4:$Y$1463,0))),NA()),IF($B$4="COMBAT RATING",IFERROR(IF(INDEX(MASTER!$G$4:$G$1463,MATCH("VENDETTA"&amp;"|"&amp;MAX(1,ROUND(COUNTIFS(MASTER!$B$4:$B$1463,"VENDETTA",MASTER!$G$4:$G$1463,"&lt;&gt;")*$A75*100/100,0)),MASTER!$AH$4:$AH$1463,0))="",NA(),INDEX(MASTER!$G$4:$G$1463,MATCH("VENDETTA"&amp;"|"&amp;MAX(1,ROUND(COUNTIFS(MASTER!$B$4:$B$1463,"VENDETTA",MASTER!$G$4:$G$1463,"&lt;&gt;")*$A75*100/100,0)),MASTER!$AH$4:$AH$1463,0))),NA()),IF($B$4="SECONDARY",IFERROR(IF(INDEX(MASTER!$L$4:$L$1463,MATCH("VENDETTA"&amp;"|"&amp;MAX(1,ROUND(COUNTIFS(MASTER!$B$4:$B$1463,"VENDETTA",MASTER!$L$4:$L$1463,"&lt;&gt;")*$A75*100/100,0)),MASTER!$AI$4:$AI$1463,0))="",NA(),INDEX(MASTER!$L$4:$L$1463,MATCH("VENDETTA"&amp;"|"&amp;MAX(1,ROUND(COUNTIFS(MASTER!$B$4:$B$1463,"VENDETTA",MASTER!$L$4:$L$1463,"&lt;&gt;")*$A75*100/100,0)),MASTER!$AI$4:$AI$1463,0))),NA()))))</f>
        <v>2897</v>
      </c>
      <c r="O75" s="37">
        <f>IF($B$4="RESONANCE",IFERROR(IF(INDEX(MASTER!$I$4:$I$1463,MATCH("ZOMBIES"&amp;"|"&amp;MAX(1,ROUND(COUNTIFS(MASTER!$B$4:$B$1463,"ZOMBIES",MASTER!$I$4:$I$1463,"&lt;&gt;")*$A75*100/100,0)),MASTER!$Y$4:$Y$1463,0))="",NA(),INDEX(MASTER!$I$4:$I$1463,MATCH("ZOMBIES"&amp;"|"&amp;MAX(1,ROUND(COUNTIFS(MASTER!$B$4:$B$1463,"ZOMBIES",MASTER!$I$4:$I$1463,"&lt;&gt;")*$A75*100/100,0)),MASTER!$Y$4:$Y$1463,0))),NA()),IF($B$4="COMBAT RATING",IFERROR(IF(INDEX(MASTER!$G$4:$G$1463,MATCH("ZOMBIES"&amp;"|"&amp;MAX(1,ROUND(COUNTIFS(MASTER!$B$4:$B$1463,"ZOMBIES",MASTER!$G$4:$G$1463,"&lt;&gt;")*$A75*100/100,0)),MASTER!$AH$4:$AH$1463,0))="",NA(),INDEX(MASTER!$G$4:$G$1463,MATCH("ZOMBIES"&amp;"|"&amp;MAX(1,ROUND(COUNTIFS(MASTER!$B$4:$B$1463,"ZOMBIES",MASTER!$G$4:$G$1463,"&lt;&gt;")*$A75*100/100,0)),MASTER!$AH$4:$AH$1463,0))),NA()),IF($B$4="SECONDARY",IFERROR(IF(INDEX(MASTER!$L$4:$L$1463,MATCH("ZOMBIES"&amp;"|"&amp;MAX(1,ROUND(COUNTIFS(MASTER!$B$4:$B$1463,"ZOMBIES",MASTER!$L$4:$L$1463,"&lt;&gt;")*$A75*100/100,0)),MASTER!$AI$4:$AI$1463,0))="",NA(),INDEX(MASTER!$L$4:$L$1463,MATCH("ZOMBIES"&amp;"|"&amp;MAX(1,ROUND(COUNTIFS(MASTER!$B$4:$B$1463,"ZOMBIES",MASTER!$L$4:$L$1463,"&lt;&gt;")*$A75*100/100,0)),MASTER!$AI$4:$AI$1463,0))),NA()))))</f>
        <v>2687</v>
      </c>
      <c r="P75" s="37">
        <f>IF($B$4="RESONANCE",IFERROR(IF(INDEX(MASTER!$I$4:$I$1463,MATCH("FUCT"&amp;"|"&amp;MAX(1,ROUND(COUNTIFS(MASTER!$B$4:$B$1463,"FUCT",MASTER!$I$4:$I$1463,"&lt;&gt;")*$A75*100/100,0)),MASTER!$Y$4:$Y$1463,0))="",NA(),INDEX(MASTER!$I$4:$I$1463,MATCH("FUCT"&amp;"|"&amp;MAX(1,ROUND(COUNTIFS(MASTER!$B$4:$B$1463,"FUCT",MASTER!$I$4:$I$1463,"&lt;&gt;")*$A75*100/100,0)),MASTER!$Y$4:$Y$1463,0))),NA()),IF($B$4="COMBAT RATING",IFERROR(IF(INDEX(MASTER!$G$4:$G$1463,MATCH("FUCT"&amp;"|"&amp;MAX(1,ROUND(COUNTIFS(MASTER!$B$4:$B$1463,"FUCT",MASTER!$G$4:$G$1463,"&lt;&gt;")*$A75*100/100,0)),MASTER!$AH$4:$AH$1463,0))="",NA(),INDEX(MASTER!$G$4:$G$1463,MATCH("FUCT"&amp;"|"&amp;MAX(1,ROUND(COUNTIFS(MASTER!$B$4:$B$1463,"FUCT",MASTER!$G$4:$G$1463,"&lt;&gt;")*$A75*100/100,0)),MASTER!$AH$4:$AH$1463,0))),NA()),IF($B$4="SECONDARY",IFERROR(IF(INDEX(MASTER!$L$4:$L$1463,MATCH("FUCT"&amp;"|"&amp;MAX(1,ROUND(COUNTIFS(MASTER!$B$4:$B$1463,"FUCT",MASTER!$L$4:$L$1463,"&lt;&gt;")*$A75*100/100,0)),MASTER!$AI$4:$AI$1463,0))="",NA(),INDEX(MASTER!$L$4:$L$1463,MATCH("FUCT"&amp;"|"&amp;MAX(1,ROUND(COUNTIFS(MASTER!$B$4:$B$1463,"FUCT",MASTER!$L$4:$L$1463,"&lt;&gt;")*$A75*100/100,0)),MASTER!$AI$4:$AI$1463,0))),NA()))))</f>
        <v>7364</v>
      </c>
      <c r="Q75" s="37">
        <f>IF($B$4="RESONANCE",IFERROR(IF(INDEX(MASTER!$I$4:$I$1463,MATCH($E$4&amp;"|"&amp;MAX(1,ROUND(COUNTIFS(MASTER!$B$4:$B$1463,$E$4,MASTER!$I$4:$I$1463,"&lt;&gt;")*$A75*100/100,0)),MASTER!$Y$4:$Y$1463,0))="",NA(),INDEX(MASTER!$I$4:$I$1463,MATCH($E$4&amp;"|"&amp;MAX(1,ROUND(COUNTIFS(MASTER!$B$4:$B$1463,$E$4,MASTER!$I$4:$I$1463,"&lt;&gt;")*$A75*100/100,0)),MASTER!$Y$4:$Y$1463,0))),NA()),IF($B$4="COMBAT RATING",IFERROR(IF(INDEX(MASTER!$G$4:$G$1463,MATCH($E$4&amp;"|"&amp;MAX(1,ROUND(COUNTIFS(MASTER!$B$4:$B$1463,$E$4,MASTER!$G$4:$G$1463,"&lt;&gt;")*$A75*100/100,0)),MASTER!$AH$4:$AH$1463,0))="",NA(),INDEX(MASTER!$G$4:$G$1463,MATCH($E$4&amp;"|"&amp;MAX(1,ROUND(COUNTIFS(MASTER!$B$4:$B$1463,$E$4,MASTER!$G$4:$G$1463,"&lt;&gt;")*$A75*100/100,0)),MASTER!$AH$4:$AH$1463,0))),NA()),IF($B$4="SECONDARY",IFERROR(IF(INDEX(MASTER!$L$4:$L$1463,MATCH($E$4&amp;"|"&amp;MAX(1,ROUND(COUNTIFS(MASTER!$B$4:$B$1463,$E$4,MASTER!$L$4:$L$1463,"&lt;&gt;")*$A75*100/100,0)),MASTER!$AI$4:$AI$1463,0))="",NA(),INDEX(MASTER!$L$4:$L$1463,MATCH($E$4&amp;"|"&amp;MAX(1,ROUND(COUNTIFS(MASTER!$B$4:$B$1463,$E$4,MASTER!$L$4:$L$1463,"&lt;&gt;")*$A75*100/100,0)),MASTER!$AI$4:$AI$1463,0))),NA()))))</f>
        <v>6165</v>
      </c>
    </row>
    <row r="76" spans="1:17" hidden="1">
      <c r="A76" s="36">
        <v>0.21</v>
      </c>
      <c r="B76" s="37">
        <f>IF($B$4="RESONANCE",IFERROR(IF(INDEX(MASTER!$I$4:$I$1463,MATCH("FUCT"&amp;"|"&amp;MAX(1,ROUND(COUNTIFS(MASTER!$B$4:$B$1463,"FUCT",MASTER!$I$4:$I$1463,"&lt;&gt;")*$A76*100/100,0)),MASTER!$Y$4:$Y$1463,0))="",NA(),INDEX(MASTER!$I$4:$I$1463,MATCH("FUCT"&amp;"|"&amp;MAX(1,ROUND(COUNTIFS(MASTER!$B$4:$B$1463,"FUCT",MASTER!$I$4:$I$1463,"&lt;&gt;")*$A76*100/100,0)),MASTER!$Y$4:$Y$1463,0))),NA()),IF($B$4="COMBAT RATING",IFERROR(IF(INDEX(MASTER!$G$4:$G$1463,MATCH("FUCT"&amp;"|"&amp;MAX(1,ROUND(COUNTIFS(MASTER!$B$4:$B$1463,"FUCT",MASTER!$G$4:$G$1463,"&lt;&gt;")*$A76*100/100,0)),MASTER!$AH$4:$AH$1463,0))="",NA(),INDEX(MASTER!$G$4:$G$1463,MATCH("FUCT"&amp;"|"&amp;MAX(1,ROUND(COUNTIFS(MASTER!$B$4:$B$1463,"FUCT",MASTER!$G$4:$G$1463,"&lt;&gt;")*$A76*100/100,0)),MASTER!$AH$4:$AH$1463,0))),NA()),IF($B$4="SECONDARY",IFERROR(IF(INDEX(MASTER!$L$4:$L$1463,MATCH("FUCT"&amp;"|"&amp;MAX(1,ROUND(COUNTIFS(MASTER!$B$4:$B$1463,"FUCT",MASTER!$L$4:$L$1463,"&lt;&gt;")*$A76*100/100,0)),MASTER!$AI$4:$AI$1463,0))="",NA(),INDEX(MASTER!$L$4:$L$1463,MATCH("FUCT"&amp;"|"&amp;MAX(1,ROUND(COUNTIFS(MASTER!$B$4:$B$1463,"FUCT",MASTER!$L$4:$L$1463,"&lt;&gt;")*$A76*100/100,0)),MASTER!$AI$4:$AI$1463,0))),NA()))))</f>
        <v>7355</v>
      </c>
      <c r="C76" s="37">
        <f>IF($B$4="RESONANCE",IFERROR(IF(INDEX(MASTER!$I$4:$I$1463,MATCH("LEGENDS"&amp;"|"&amp;MAX(1,ROUND(COUNTIFS(MASTER!$B$4:$B$1463,"LEGENDS",MASTER!$I$4:$I$1463,"&lt;&gt;")*$A76*100/100,0)),MASTER!$Y$4:$Y$1463,0))="",NA(),INDEX(MASTER!$I$4:$I$1463,MATCH("LEGENDS"&amp;"|"&amp;MAX(1,ROUND(COUNTIFS(MASTER!$B$4:$B$1463,"LEGENDS",MASTER!$I$4:$I$1463,"&lt;&gt;")*$A76*100/100,0)),MASTER!$Y$4:$Y$1463,0))),NA()),IF($B$4="COMBAT RATING",IFERROR(IF(INDEX(MASTER!$G$4:$G$1463,MATCH("LEGENDS"&amp;"|"&amp;MAX(1,ROUND(COUNTIFS(MASTER!$B$4:$B$1463,"LEGENDS",MASTER!$G$4:$G$1463,"&lt;&gt;")*$A76*100/100,0)),MASTER!$AH$4:$AH$1463,0))="",NA(),INDEX(MASTER!$G$4:$G$1463,MATCH("LEGENDS"&amp;"|"&amp;MAX(1,ROUND(COUNTIFS(MASTER!$B$4:$B$1463,"LEGENDS",MASTER!$G$4:$G$1463,"&lt;&gt;")*$A76*100/100,0)),MASTER!$AH$4:$AH$1463,0))),NA()),IF($B$4="SECONDARY",IFERROR(IF(INDEX(MASTER!$L$4:$L$1463,MATCH("LEGENDS"&amp;"|"&amp;MAX(1,ROUND(COUNTIFS(MASTER!$B$4:$B$1463,"LEGENDS",MASTER!$L$4:$L$1463,"&lt;&gt;")*$A76*100/100,0)),MASTER!$AI$4:$AI$1463,0))="",NA(),INDEX(MASTER!$L$4:$L$1463,MATCH("LEGENDS"&amp;"|"&amp;MAX(1,ROUND(COUNTIFS(MASTER!$B$4:$B$1463,"LEGENDS",MASTER!$L$4:$L$1463,"&lt;&gt;")*$A76*100/100,0)),MASTER!$AI$4:$AI$1463,0))),NA()))))</f>
        <v>7112</v>
      </c>
      <c r="D76" s="37">
        <f>IF($B$4="RESONANCE",IFERROR(IF(INDEX(MASTER!$I$4:$I$1463,MATCH("VANGUARD"&amp;"|"&amp;MAX(1,ROUND(COUNTIFS(MASTER!$B$4:$B$1463,"VANGUARD",MASTER!$I$4:$I$1463,"&lt;&gt;")*$A76*100/100,0)),MASTER!$Y$4:$Y$1463,0))="",NA(),INDEX(MASTER!$I$4:$I$1463,MATCH("VANGUARD"&amp;"|"&amp;MAX(1,ROUND(COUNTIFS(MASTER!$B$4:$B$1463,"VANGUARD",MASTER!$I$4:$I$1463,"&lt;&gt;")*$A76*100/100,0)),MASTER!$Y$4:$Y$1463,0))),NA()),IF($B$4="COMBAT RATING",IFERROR(IF(INDEX(MASTER!$G$4:$G$1463,MATCH("VANGUARD"&amp;"|"&amp;MAX(1,ROUND(COUNTIFS(MASTER!$B$4:$B$1463,"VANGUARD",MASTER!$G$4:$G$1463,"&lt;&gt;")*$A76*100/100,0)),MASTER!$AH$4:$AH$1463,0))="",NA(),INDEX(MASTER!$G$4:$G$1463,MATCH("VANGUARD"&amp;"|"&amp;MAX(1,ROUND(COUNTIFS(MASTER!$B$4:$B$1463,"VANGUARD",MASTER!$G$4:$G$1463,"&lt;&gt;")*$A76*100/100,0)),MASTER!$AH$4:$AH$1463,0))),NA()),IF($B$4="SECONDARY",IFERROR(IF(INDEX(MASTER!$L$4:$L$1463,MATCH("VANGUARD"&amp;"|"&amp;MAX(1,ROUND(COUNTIFS(MASTER!$B$4:$B$1463,"VANGUARD",MASTER!$L$4:$L$1463,"&lt;&gt;")*$A76*100/100,0)),MASTER!$AI$4:$AI$1463,0))="",NA(),INDEX(MASTER!$L$4:$L$1463,MATCH("VANGUARD"&amp;"|"&amp;MAX(1,ROUND(COUNTIFS(MASTER!$B$4:$B$1463,"VANGUARD",MASTER!$L$4:$L$1463,"&lt;&gt;")*$A76*100/100,0)),MASTER!$AI$4:$AI$1463,0))),NA()))))</f>
        <v>9120</v>
      </c>
      <c r="E76" s="37">
        <f>IF($B$4="RESONANCE",IFERROR(IF(INDEX(MASTER!$I$4:$I$1463,MATCH("UNDYING"&amp;"|"&amp;MAX(1,ROUND(COUNTIFS(MASTER!$B$4:$B$1463,"UNDYING",MASTER!$I$4:$I$1463,"&lt;&gt;")*$A76*100/100,0)),MASTER!$Y$4:$Y$1463,0))="",NA(),INDEX(MASTER!$I$4:$I$1463,MATCH("UNDYING"&amp;"|"&amp;MAX(1,ROUND(COUNTIFS(MASTER!$B$4:$B$1463,"UNDYING",MASTER!$I$4:$I$1463,"&lt;&gt;")*$A76*100/100,0)),MASTER!$Y$4:$Y$1463,0))),NA()),IF($B$4="COMBAT RATING",IFERROR(IF(INDEX(MASTER!$G$4:$G$1463,MATCH("UNDYING"&amp;"|"&amp;MAX(1,ROUND(COUNTIFS(MASTER!$B$4:$B$1463,"UNDYING",MASTER!$G$4:$G$1463,"&lt;&gt;")*$A76*100/100,0)),MASTER!$AH$4:$AH$1463,0))="",NA(),INDEX(MASTER!$G$4:$G$1463,MATCH("UNDYING"&amp;"|"&amp;MAX(1,ROUND(COUNTIFS(MASTER!$B$4:$B$1463,"UNDYING",MASTER!$G$4:$G$1463,"&lt;&gt;")*$A76*100/100,0)),MASTER!$AH$4:$AH$1463,0))),NA()),IF($B$4="SECONDARY",IFERROR(IF(INDEX(MASTER!$L$4:$L$1463,MATCH("UNDYING"&amp;"|"&amp;MAX(1,ROUND(COUNTIFS(MASTER!$B$4:$B$1463,"UNDYING",MASTER!$L$4:$L$1463,"&lt;&gt;")*$A76*100/100,0)),MASTER!$AI$4:$AI$1463,0))="",NA(),INDEX(MASTER!$L$4:$L$1463,MATCH("UNDYING"&amp;"|"&amp;MAX(1,ROUND(COUNTIFS(MASTER!$B$4:$B$1463,"UNDYING",MASTER!$L$4:$L$1463,"&lt;&gt;")*$A76*100/100,0)),MASTER!$AI$4:$AI$1463,0))),NA()))))</f>
        <v>6048</v>
      </c>
      <c r="F76" s="37">
        <f>IF($B$4="RESONANCE",IFERROR(IF(INDEX(MASTER!$I$4:$I$1463,MATCH("SBG"&amp;"|"&amp;MAX(1,ROUND(COUNTIFS(MASTER!$B$4:$B$1463,"SBG",MASTER!$I$4:$I$1463,"&lt;&gt;")*$A76*100/100,0)),MASTER!$Y$4:$Y$1463,0))="",NA(),INDEX(MASTER!$I$4:$I$1463,MATCH("SBG"&amp;"|"&amp;MAX(1,ROUND(COUNTIFS(MASTER!$B$4:$B$1463,"SBG",MASTER!$I$4:$I$1463,"&lt;&gt;")*$A76*100/100,0)),MASTER!$Y$4:$Y$1463,0))),NA()),IF($B$4="COMBAT RATING",IFERROR(IF(INDEX(MASTER!$G$4:$G$1463,MATCH("SBG"&amp;"|"&amp;MAX(1,ROUND(COUNTIFS(MASTER!$B$4:$B$1463,"SBG",MASTER!$G$4:$G$1463,"&lt;&gt;")*$A76*100/100,0)),MASTER!$AH$4:$AH$1463,0))="",NA(),INDEX(MASTER!$G$4:$G$1463,MATCH("SBG"&amp;"|"&amp;MAX(1,ROUND(COUNTIFS(MASTER!$B$4:$B$1463,"SBG",MASTER!$G$4:$G$1463,"&lt;&gt;")*$A76*100/100,0)),MASTER!$AH$4:$AH$1463,0))),NA()),IF($B$4="SECONDARY",IFERROR(IF(INDEX(MASTER!$L$4:$L$1463,MATCH("SBG"&amp;"|"&amp;MAX(1,ROUND(COUNTIFS(MASTER!$B$4:$B$1463,"SBG",MASTER!$L$4:$L$1463,"&lt;&gt;")*$A76*100/100,0)),MASTER!$AI$4:$AI$1463,0))="",NA(),INDEX(MASTER!$L$4:$L$1463,MATCH("SBG"&amp;"|"&amp;MAX(1,ROUND(COUNTIFS(MASTER!$B$4:$B$1463,"SBG",MASTER!$L$4:$L$1463,"&lt;&gt;")*$A76*100/100,0)),MASTER!$AI$4:$AI$1463,0))),NA()))))</f>
        <v>8417</v>
      </c>
      <c r="G76" s="37">
        <f>IF($B$4="RESONANCE",IFERROR(IF(INDEX(MASTER!$I$4:$I$1463,MATCH("AZUKI"&amp;"|"&amp;MAX(1,ROUND(COUNTIFS(MASTER!$B$4:$B$1463,"AZUKI",MASTER!$I$4:$I$1463,"&lt;&gt;")*$A76*100/100,0)),MASTER!$Y$4:$Y$1463,0))="",NA(),INDEX(MASTER!$I$4:$I$1463,MATCH("AZUKI"&amp;"|"&amp;MAX(1,ROUND(COUNTIFS(MASTER!$B$4:$B$1463,"AZUKI",MASTER!$I$4:$I$1463,"&lt;&gt;")*$A76*100/100,0)),MASTER!$Y$4:$Y$1463,0))),NA()),IF($B$4="COMBAT RATING",IFERROR(IF(INDEX(MASTER!$G$4:$G$1463,MATCH("AZUKI"&amp;"|"&amp;MAX(1,ROUND(COUNTIFS(MASTER!$B$4:$B$1463,"AZUKI",MASTER!$G$4:$G$1463,"&lt;&gt;")*$A76*100/100,0)),MASTER!$AH$4:$AH$1463,0))="",NA(),INDEX(MASTER!$G$4:$G$1463,MATCH("AZUKI"&amp;"|"&amp;MAX(1,ROUND(COUNTIFS(MASTER!$B$4:$B$1463,"AZUKI",MASTER!$G$4:$G$1463,"&lt;&gt;")*$A76*100/100,0)),MASTER!$AH$4:$AH$1463,0))),NA()),IF($B$4="SECONDARY",IFERROR(IF(INDEX(MASTER!$L$4:$L$1463,MATCH("AZUKI"&amp;"|"&amp;MAX(1,ROUND(COUNTIFS(MASTER!$B$4:$B$1463,"AZUKI",MASTER!$L$4:$L$1463,"&lt;&gt;")*$A76*100/100,0)),MASTER!$AI$4:$AI$1463,0))="",NA(),INDEX(MASTER!$L$4:$L$1463,MATCH("AZUKI"&amp;"|"&amp;MAX(1,ROUND(COUNTIFS(MASTER!$B$4:$B$1463,"AZUKI",MASTER!$L$4:$L$1463,"&lt;&gt;")*$A76*100/100,0)),MASTER!$AI$4:$AI$1463,0))),NA()))))</f>
        <v>8685</v>
      </c>
      <c r="H76" s="37">
        <f>IF($B$4="RESONANCE",IFERROR(IF(INDEX(MASTER!$I$4:$I$1463,MATCH("RECKONING"&amp;"|"&amp;MAX(1,ROUND(COUNTIFS(MASTER!$B$4:$B$1463,"RECKONING",MASTER!$I$4:$I$1463,"&lt;&gt;")*$A76*100/100,0)),MASTER!$Y$4:$Y$1463,0))="",NA(),INDEX(MASTER!$I$4:$I$1463,MATCH("RECKONING"&amp;"|"&amp;MAX(1,ROUND(COUNTIFS(MASTER!$B$4:$B$1463,"RECKONING",MASTER!$I$4:$I$1463,"&lt;&gt;")*$A76*100/100,0)),MASTER!$Y$4:$Y$1463,0))),NA()),IF($B$4="COMBAT RATING",IFERROR(IF(INDEX(MASTER!$G$4:$G$1463,MATCH("RECKONING"&amp;"|"&amp;MAX(1,ROUND(COUNTIFS(MASTER!$B$4:$B$1463,"RECKONING",MASTER!$G$4:$G$1463,"&lt;&gt;")*$A76*100/100,0)),MASTER!$AH$4:$AH$1463,0))="",NA(),INDEX(MASTER!$G$4:$G$1463,MATCH("RECKONING"&amp;"|"&amp;MAX(1,ROUND(COUNTIFS(MASTER!$B$4:$B$1463,"RECKONING",MASTER!$G$4:$G$1463,"&lt;&gt;")*$A76*100/100,0)),MASTER!$AH$4:$AH$1463,0))),NA()),IF($B$4="SECONDARY",IFERROR(IF(INDEX(MASTER!$L$4:$L$1463,MATCH("RECKONING"&amp;"|"&amp;MAX(1,ROUND(COUNTIFS(MASTER!$B$4:$B$1463,"RECKONING",MASTER!$L$4:$L$1463,"&lt;&gt;")*$A76*100/100,0)),MASTER!$AI$4:$AI$1463,0))="",NA(),INDEX(MASTER!$L$4:$L$1463,MATCH("RECKONING"&amp;"|"&amp;MAX(1,ROUND(COUNTIFS(MASTER!$B$4:$B$1463,"RECKONING",MASTER!$L$4:$L$1463,"&lt;&gt;")*$A76*100/100,0)),MASTER!$AI$4:$AI$1463,0))),NA()))))</f>
        <v>8316</v>
      </c>
      <c r="I76" s="37">
        <f>IF($B$4="RESONANCE",IFERROR(IF(INDEX(MASTER!$I$4:$I$1463,MATCH("ACHERON"&amp;"|"&amp;MAX(1,ROUND(COUNTIFS(MASTER!$B$4:$B$1463,"ACHERON",MASTER!$I$4:$I$1463,"&lt;&gt;")*$A76*100/100,0)),MASTER!$Y$4:$Y$1463,0))="",NA(),INDEX(MASTER!$I$4:$I$1463,MATCH("ACHERON"&amp;"|"&amp;MAX(1,ROUND(COUNTIFS(MASTER!$B$4:$B$1463,"ACHERON",MASTER!$I$4:$I$1463,"&lt;&gt;")*$A76*100/100,0)),MASTER!$Y$4:$Y$1463,0))),NA()),IF($B$4="COMBAT RATING",IFERROR(IF(INDEX(MASTER!$G$4:$G$1463,MATCH("ACHERON"&amp;"|"&amp;MAX(1,ROUND(COUNTIFS(MASTER!$B$4:$B$1463,"ACHERON",MASTER!$G$4:$G$1463,"&lt;&gt;")*$A76*100/100,0)),MASTER!$AH$4:$AH$1463,0))="",NA(),INDEX(MASTER!$G$4:$G$1463,MATCH("ACHERON"&amp;"|"&amp;MAX(1,ROUND(COUNTIFS(MASTER!$B$4:$B$1463,"ACHERON",MASTER!$G$4:$G$1463,"&lt;&gt;")*$A76*100/100,0)),MASTER!$AH$4:$AH$1463,0))),NA()),IF($B$4="SECONDARY",IFERROR(IF(INDEX(MASTER!$L$4:$L$1463,MATCH("ACHERON"&amp;"|"&amp;MAX(1,ROUND(COUNTIFS(MASTER!$B$4:$B$1463,"ACHERON",MASTER!$L$4:$L$1463,"&lt;&gt;")*$A76*100/100,0)),MASTER!$AI$4:$AI$1463,0))="",NA(),INDEX(MASTER!$L$4:$L$1463,MATCH("ACHERON"&amp;"|"&amp;MAX(1,ROUND(COUNTIFS(MASTER!$B$4:$B$1463,"ACHERON",MASTER!$L$4:$L$1463,"&lt;&gt;")*$A76*100/100,0)),MASTER!$AI$4:$AI$1463,0))),NA()))))</f>
        <v>5432</v>
      </c>
      <c r="J76" s="37">
        <f>IF($B$4="RESONANCE",IFERROR(IF(INDEX(MASTER!$I$4:$I$1463,MATCH("INVICTUS"&amp;"|"&amp;MAX(1,ROUND(COUNTIFS(MASTER!$B$4:$B$1463,"INVICTUS",MASTER!$I$4:$I$1463,"&lt;&gt;")*$A76*100/100,0)),MASTER!$Y$4:$Y$1463,0))="",NA(),INDEX(MASTER!$I$4:$I$1463,MATCH("INVICTUS"&amp;"|"&amp;MAX(1,ROUND(COUNTIFS(MASTER!$B$4:$B$1463,"INVICTUS",MASTER!$I$4:$I$1463,"&lt;&gt;")*$A76*100/100,0)),MASTER!$Y$4:$Y$1463,0))),NA()),IF($B$4="COMBAT RATING",IFERROR(IF(INDEX(MASTER!$G$4:$G$1463,MATCH("INVICTUS"&amp;"|"&amp;MAX(1,ROUND(COUNTIFS(MASTER!$B$4:$B$1463,"INVICTUS",MASTER!$G$4:$G$1463,"&lt;&gt;")*$A76*100/100,0)),MASTER!$AH$4:$AH$1463,0))="",NA(),INDEX(MASTER!$G$4:$G$1463,MATCH("INVICTUS"&amp;"|"&amp;MAX(1,ROUND(COUNTIFS(MASTER!$B$4:$B$1463,"INVICTUS",MASTER!$G$4:$G$1463,"&lt;&gt;")*$A76*100/100,0)),MASTER!$AH$4:$AH$1463,0))),NA()),IF($B$4="SECONDARY",IFERROR(IF(INDEX(MASTER!$L$4:$L$1463,MATCH("INVICTUS"&amp;"|"&amp;MAX(1,ROUND(COUNTIFS(MASTER!$B$4:$B$1463,"INVICTUS",MASTER!$L$4:$L$1463,"&lt;&gt;")*$A76*100/100,0)),MASTER!$AI$4:$AI$1463,0))="",NA(),INDEX(MASTER!$L$4:$L$1463,MATCH("INVICTUS"&amp;"|"&amp;MAX(1,ROUND(COUNTIFS(MASTER!$B$4:$B$1463,"INVICTUS",MASTER!$L$4:$L$1463,"&lt;&gt;")*$A76*100/100,0)),MASTER!$AI$4:$AI$1463,0))),NA()))))</f>
        <v>4607</v>
      </c>
      <c r="K76" s="37">
        <f>IF($B$4="RESONANCE",IFERROR(IF(INDEX(MASTER!$I$4:$I$1463,MATCH("EMERALD LEAF TRIBE"&amp;"|"&amp;MAX(1,ROUND(COUNTIFS(MASTER!$B$4:$B$1463,"EMERALD LEAF TRIBE",MASTER!$I$4:$I$1463,"&lt;&gt;")*$A76*100/100,0)),MASTER!$Y$4:$Y$1463,0))="",NA(),INDEX(MASTER!$I$4:$I$1463,MATCH("EMERALD LEAF TRIBE"&amp;"|"&amp;MAX(1,ROUND(COUNTIFS(MASTER!$B$4:$B$1463,"EMERALD LEAF TRIBE",MASTER!$I$4:$I$1463,"&lt;&gt;")*$A76*100/100,0)),MASTER!$Y$4:$Y$1463,0))),NA()),IF($B$4="COMBAT RATING",IFERROR(IF(INDEX(MASTER!$G$4:$G$1463,MATCH("EMERALD LEAF TRIBE"&amp;"|"&amp;MAX(1,ROUND(COUNTIFS(MASTER!$B$4:$B$1463,"EMERALD LEAF TRIBE",MASTER!$G$4:$G$1463,"&lt;&gt;")*$A76*100/100,0)),MASTER!$AH$4:$AH$1463,0))="",NA(),INDEX(MASTER!$G$4:$G$1463,MATCH("EMERALD LEAF TRIBE"&amp;"|"&amp;MAX(1,ROUND(COUNTIFS(MASTER!$B$4:$B$1463,"EMERALD LEAF TRIBE",MASTER!$G$4:$G$1463,"&lt;&gt;")*$A76*100/100,0)),MASTER!$AH$4:$AH$1463,0))),NA()),IF($B$4="SECONDARY",IFERROR(IF(INDEX(MASTER!$L$4:$L$1463,MATCH("EMERALD LEAF TRIBE"&amp;"|"&amp;MAX(1,ROUND(COUNTIFS(MASTER!$B$4:$B$1463,"EMERALD LEAF TRIBE",MASTER!$L$4:$L$1463,"&lt;&gt;")*$A76*100/100,0)),MASTER!$AI$4:$AI$1463,0))="",NA(),INDEX(MASTER!$L$4:$L$1463,MATCH("EMERALD LEAF TRIBE"&amp;"|"&amp;MAX(1,ROUND(COUNTIFS(MASTER!$B$4:$B$1463,"EMERALD LEAF TRIBE",MASTER!$L$4:$L$1463,"&lt;&gt;")*$A76*100/100,0)),MASTER!$AI$4:$AI$1463,0))),NA()))))</f>
        <v>3310</v>
      </c>
      <c r="L76" s="37">
        <f>IF($B$4="RESONANCE",IFERROR(IF(INDEX(MASTER!$I$4:$I$1463,MATCH("SUB ROSA"&amp;"|"&amp;MAX(1,ROUND(COUNTIFS(MASTER!$B$4:$B$1463,"SUB ROSA",MASTER!$I$4:$I$1463,"&lt;&gt;")*$A76*100/100,0)),MASTER!$Y$4:$Y$1463,0))="",NA(),INDEX(MASTER!$I$4:$I$1463,MATCH("SUB ROSA"&amp;"|"&amp;MAX(1,ROUND(COUNTIFS(MASTER!$B$4:$B$1463,"SUB ROSA",MASTER!$I$4:$I$1463,"&lt;&gt;")*$A76*100/100,0)),MASTER!$Y$4:$Y$1463,0))),NA()),IF($B$4="COMBAT RATING",IFERROR(IF(INDEX(MASTER!$G$4:$G$1463,MATCH("SUB ROSA"&amp;"|"&amp;MAX(1,ROUND(COUNTIFS(MASTER!$B$4:$B$1463,"SUB ROSA",MASTER!$G$4:$G$1463,"&lt;&gt;")*$A76*100/100,0)),MASTER!$AH$4:$AH$1463,0))="",NA(),INDEX(MASTER!$G$4:$G$1463,MATCH("SUB ROSA"&amp;"|"&amp;MAX(1,ROUND(COUNTIFS(MASTER!$B$4:$B$1463,"SUB ROSA",MASTER!$G$4:$G$1463,"&lt;&gt;")*$A76*100/100,0)),MASTER!$AH$4:$AH$1463,0))),NA()),IF($B$4="SECONDARY",IFERROR(IF(INDEX(MASTER!$L$4:$L$1463,MATCH("SUB ROSA"&amp;"|"&amp;MAX(1,ROUND(COUNTIFS(MASTER!$B$4:$B$1463,"SUB ROSA",MASTER!$L$4:$L$1463,"&lt;&gt;")*$A76*100/100,0)),MASTER!$AI$4:$AI$1463,0))="",NA(),INDEX(MASTER!$L$4:$L$1463,MATCH("SUB ROSA"&amp;"|"&amp;MAX(1,ROUND(COUNTIFS(MASTER!$B$4:$B$1463,"SUB ROSA",MASTER!$L$4:$L$1463,"&lt;&gt;")*$A76*100/100,0)),MASTER!$AI$4:$AI$1463,0))),NA()))))</f>
        <v>4404</v>
      </c>
      <c r="M76" s="37">
        <f>IF($B$4="RESONANCE",IFERROR(IF(INDEX(MASTER!$I$4:$I$1463,MATCH("VENGEANCE"&amp;"|"&amp;MAX(1,ROUND(COUNTIFS(MASTER!$B$4:$B$1463,"VENGEANCE",MASTER!$I$4:$I$1463,"&lt;&gt;")*$A76*100/100,0)),MASTER!$Y$4:$Y$1463,0))="",NA(),INDEX(MASTER!$I$4:$I$1463,MATCH("VENGEANCE"&amp;"|"&amp;MAX(1,ROUND(COUNTIFS(MASTER!$B$4:$B$1463,"VENGEANCE",MASTER!$I$4:$I$1463,"&lt;&gt;")*$A76*100/100,0)),MASTER!$Y$4:$Y$1463,0))),NA()),IF($B$4="COMBAT RATING",IFERROR(IF(INDEX(MASTER!$G$4:$G$1463,MATCH("VENGEANCE"&amp;"|"&amp;MAX(1,ROUND(COUNTIFS(MASTER!$B$4:$B$1463,"VENGEANCE",MASTER!$G$4:$G$1463,"&lt;&gt;")*$A76*100/100,0)),MASTER!$AH$4:$AH$1463,0))="",NA(),INDEX(MASTER!$G$4:$G$1463,MATCH("VENGEANCE"&amp;"|"&amp;MAX(1,ROUND(COUNTIFS(MASTER!$B$4:$B$1463,"VENGEANCE",MASTER!$G$4:$G$1463,"&lt;&gt;")*$A76*100/100,0)),MASTER!$AH$4:$AH$1463,0))),NA()),IF($B$4="SECONDARY",IFERROR(IF(INDEX(MASTER!$L$4:$L$1463,MATCH("VENGEANCE"&amp;"|"&amp;MAX(1,ROUND(COUNTIFS(MASTER!$B$4:$B$1463,"VENGEANCE",MASTER!$L$4:$L$1463,"&lt;&gt;")*$A76*100/100,0)),MASTER!$AI$4:$AI$1463,0))="",NA(),INDEX(MASTER!$L$4:$L$1463,MATCH("VENGEANCE"&amp;"|"&amp;MAX(1,ROUND(COUNTIFS(MASTER!$B$4:$B$1463,"VENGEANCE",MASTER!$L$4:$L$1463,"&lt;&gt;")*$A76*100/100,0)),MASTER!$AI$4:$AI$1463,0))),NA()))))</f>
        <v>4695</v>
      </c>
      <c r="N76" s="37">
        <f>IF($B$4="RESONANCE",IFERROR(IF(INDEX(MASTER!$I$4:$I$1463,MATCH("VENDETTA"&amp;"|"&amp;MAX(1,ROUND(COUNTIFS(MASTER!$B$4:$B$1463,"VENDETTA",MASTER!$I$4:$I$1463,"&lt;&gt;")*$A76*100/100,0)),MASTER!$Y$4:$Y$1463,0))="",NA(),INDEX(MASTER!$I$4:$I$1463,MATCH("VENDETTA"&amp;"|"&amp;MAX(1,ROUND(COUNTIFS(MASTER!$B$4:$B$1463,"VENDETTA",MASTER!$I$4:$I$1463,"&lt;&gt;")*$A76*100/100,0)),MASTER!$Y$4:$Y$1463,0))),NA()),IF($B$4="COMBAT RATING",IFERROR(IF(INDEX(MASTER!$G$4:$G$1463,MATCH("VENDETTA"&amp;"|"&amp;MAX(1,ROUND(COUNTIFS(MASTER!$B$4:$B$1463,"VENDETTA",MASTER!$G$4:$G$1463,"&lt;&gt;")*$A76*100/100,0)),MASTER!$AH$4:$AH$1463,0))="",NA(),INDEX(MASTER!$G$4:$G$1463,MATCH("VENDETTA"&amp;"|"&amp;MAX(1,ROUND(COUNTIFS(MASTER!$B$4:$B$1463,"VENDETTA",MASTER!$G$4:$G$1463,"&lt;&gt;")*$A76*100/100,0)),MASTER!$AH$4:$AH$1463,0))),NA()),IF($B$4="SECONDARY",IFERROR(IF(INDEX(MASTER!$L$4:$L$1463,MATCH("VENDETTA"&amp;"|"&amp;MAX(1,ROUND(COUNTIFS(MASTER!$B$4:$B$1463,"VENDETTA",MASTER!$L$4:$L$1463,"&lt;&gt;")*$A76*100/100,0)),MASTER!$AI$4:$AI$1463,0))="",NA(),INDEX(MASTER!$L$4:$L$1463,MATCH("VENDETTA"&amp;"|"&amp;MAX(1,ROUND(COUNTIFS(MASTER!$B$4:$B$1463,"VENDETTA",MASTER!$L$4:$L$1463,"&lt;&gt;")*$A76*100/100,0)),MASTER!$AI$4:$AI$1463,0))),NA()))))</f>
        <v>2872</v>
      </c>
      <c r="O76" s="37">
        <f>IF($B$4="RESONANCE",IFERROR(IF(INDEX(MASTER!$I$4:$I$1463,MATCH("ZOMBIES"&amp;"|"&amp;MAX(1,ROUND(COUNTIFS(MASTER!$B$4:$B$1463,"ZOMBIES",MASTER!$I$4:$I$1463,"&lt;&gt;")*$A76*100/100,0)),MASTER!$Y$4:$Y$1463,0))="",NA(),INDEX(MASTER!$I$4:$I$1463,MATCH("ZOMBIES"&amp;"|"&amp;MAX(1,ROUND(COUNTIFS(MASTER!$B$4:$B$1463,"ZOMBIES",MASTER!$I$4:$I$1463,"&lt;&gt;")*$A76*100/100,0)),MASTER!$Y$4:$Y$1463,0))),NA()),IF($B$4="COMBAT RATING",IFERROR(IF(INDEX(MASTER!$G$4:$G$1463,MATCH("ZOMBIES"&amp;"|"&amp;MAX(1,ROUND(COUNTIFS(MASTER!$B$4:$B$1463,"ZOMBIES",MASTER!$G$4:$G$1463,"&lt;&gt;")*$A76*100/100,0)),MASTER!$AH$4:$AH$1463,0))="",NA(),INDEX(MASTER!$G$4:$G$1463,MATCH("ZOMBIES"&amp;"|"&amp;MAX(1,ROUND(COUNTIFS(MASTER!$B$4:$B$1463,"ZOMBIES",MASTER!$G$4:$G$1463,"&lt;&gt;")*$A76*100/100,0)),MASTER!$AH$4:$AH$1463,0))),NA()),IF($B$4="SECONDARY",IFERROR(IF(INDEX(MASTER!$L$4:$L$1463,MATCH("ZOMBIES"&amp;"|"&amp;MAX(1,ROUND(COUNTIFS(MASTER!$B$4:$B$1463,"ZOMBIES",MASTER!$L$4:$L$1463,"&lt;&gt;")*$A76*100/100,0)),MASTER!$AI$4:$AI$1463,0))="",NA(),INDEX(MASTER!$L$4:$L$1463,MATCH("ZOMBIES"&amp;"|"&amp;MAX(1,ROUND(COUNTIFS(MASTER!$B$4:$B$1463,"ZOMBIES",MASTER!$L$4:$L$1463,"&lt;&gt;")*$A76*100/100,0)),MASTER!$AI$4:$AI$1463,0))),NA()))))</f>
        <v>2630</v>
      </c>
      <c r="P76" s="37">
        <f>IF($B$4="RESONANCE",IFERROR(IF(INDEX(MASTER!$I$4:$I$1463,MATCH("FUCT"&amp;"|"&amp;MAX(1,ROUND(COUNTIFS(MASTER!$B$4:$B$1463,"FUCT",MASTER!$I$4:$I$1463,"&lt;&gt;")*$A76*100/100,0)),MASTER!$Y$4:$Y$1463,0))="",NA(),INDEX(MASTER!$I$4:$I$1463,MATCH("FUCT"&amp;"|"&amp;MAX(1,ROUND(COUNTIFS(MASTER!$B$4:$B$1463,"FUCT",MASTER!$I$4:$I$1463,"&lt;&gt;")*$A76*100/100,0)),MASTER!$Y$4:$Y$1463,0))),NA()),IF($B$4="COMBAT RATING",IFERROR(IF(INDEX(MASTER!$G$4:$G$1463,MATCH("FUCT"&amp;"|"&amp;MAX(1,ROUND(COUNTIFS(MASTER!$B$4:$B$1463,"FUCT",MASTER!$G$4:$G$1463,"&lt;&gt;")*$A76*100/100,0)),MASTER!$AH$4:$AH$1463,0))="",NA(),INDEX(MASTER!$G$4:$G$1463,MATCH("FUCT"&amp;"|"&amp;MAX(1,ROUND(COUNTIFS(MASTER!$B$4:$B$1463,"FUCT",MASTER!$G$4:$G$1463,"&lt;&gt;")*$A76*100/100,0)),MASTER!$AH$4:$AH$1463,0))),NA()),IF($B$4="SECONDARY",IFERROR(IF(INDEX(MASTER!$L$4:$L$1463,MATCH("FUCT"&amp;"|"&amp;MAX(1,ROUND(COUNTIFS(MASTER!$B$4:$B$1463,"FUCT",MASTER!$L$4:$L$1463,"&lt;&gt;")*$A76*100/100,0)),MASTER!$AI$4:$AI$1463,0))="",NA(),INDEX(MASTER!$L$4:$L$1463,MATCH("FUCT"&amp;"|"&amp;MAX(1,ROUND(COUNTIFS(MASTER!$B$4:$B$1463,"FUCT",MASTER!$L$4:$L$1463,"&lt;&gt;")*$A76*100/100,0)),MASTER!$AI$4:$AI$1463,0))),NA()))))</f>
        <v>7355</v>
      </c>
      <c r="Q76" s="37">
        <f>IF($B$4="RESONANCE",IFERROR(IF(INDEX(MASTER!$I$4:$I$1463,MATCH($E$4&amp;"|"&amp;MAX(1,ROUND(COUNTIFS(MASTER!$B$4:$B$1463,$E$4,MASTER!$I$4:$I$1463,"&lt;&gt;")*$A76*100/100,0)),MASTER!$Y$4:$Y$1463,0))="",NA(),INDEX(MASTER!$I$4:$I$1463,MATCH($E$4&amp;"|"&amp;MAX(1,ROUND(COUNTIFS(MASTER!$B$4:$B$1463,$E$4,MASTER!$I$4:$I$1463,"&lt;&gt;")*$A76*100/100,0)),MASTER!$Y$4:$Y$1463,0))),NA()),IF($B$4="COMBAT RATING",IFERROR(IF(INDEX(MASTER!$G$4:$G$1463,MATCH($E$4&amp;"|"&amp;MAX(1,ROUND(COUNTIFS(MASTER!$B$4:$B$1463,$E$4,MASTER!$G$4:$G$1463,"&lt;&gt;")*$A76*100/100,0)),MASTER!$AH$4:$AH$1463,0))="",NA(),INDEX(MASTER!$G$4:$G$1463,MATCH($E$4&amp;"|"&amp;MAX(1,ROUND(COUNTIFS(MASTER!$B$4:$B$1463,$E$4,MASTER!$G$4:$G$1463,"&lt;&gt;")*$A76*100/100,0)),MASTER!$AH$4:$AH$1463,0))),NA()),IF($B$4="SECONDARY",IFERROR(IF(INDEX(MASTER!$L$4:$L$1463,MATCH($E$4&amp;"|"&amp;MAX(1,ROUND(COUNTIFS(MASTER!$B$4:$B$1463,$E$4,MASTER!$L$4:$L$1463,"&lt;&gt;")*$A76*100/100,0)),MASTER!$AI$4:$AI$1463,0))="",NA(),INDEX(MASTER!$L$4:$L$1463,MATCH($E$4&amp;"|"&amp;MAX(1,ROUND(COUNTIFS(MASTER!$B$4:$B$1463,$E$4,MASTER!$L$4:$L$1463,"&lt;&gt;")*$A76*100/100,0)),MASTER!$AI$4:$AI$1463,0))),NA()))))</f>
        <v>6048</v>
      </c>
    </row>
    <row r="77" spans="1:17" hidden="1">
      <c r="A77" s="36">
        <v>0.22</v>
      </c>
      <c r="B77" s="37">
        <f>IF($B$4="RESONANCE",IFERROR(IF(INDEX(MASTER!$I$4:$I$1463,MATCH("FUCT"&amp;"|"&amp;MAX(1,ROUND(COUNTIFS(MASTER!$B$4:$B$1463,"FUCT",MASTER!$I$4:$I$1463,"&lt;&gt;")*$A77*100/100,0)),MASTER!$Y$4:$Y$1463,0))="",NA(),INDEX(MASTER!$I$4:$I$1463,MATCH("FUCT"&amp;"|"&amp;MAX(1,ROUND(COUNTIFS(MASTER!$B$4:$B$1463,"FUCT",MASTER!$I$4:$I$1463,"&lt;&gt;")*$A77*100/100,0)),MASTER!$Y$4:$Y$1463,0))),NA()),IF($B$4="COMBAT RATING",IFERROR(IF(INDEX(MASTER!$G$4:$G$1463,MATCH("FUCT"&amp;"|"&amp;MAX(1,ROUND(COUNTIFS(MASTER!$B$4:$B$1463,"FUCT",MASTER!$G$4:$G$1463,"&lt;&gt;")*$A77*100/100,0)),MASTER!$AH$4:$AH$1463,0))="",NA(),INDEX(MASTER!$G$4:$G$1463,MATCH("FUCT"&amp;"|"&amp;MAX(1,ROUND(COUNTIFS(MASTER!$B$4:$B$1463,"FUCT",MASTER!$G$4:$G$1463,"&lt;&gt;")*$A77*100/100,0)),MASTER!$AH$4:$AH$1463,0))),NA()),IF($B$4="SECONDARY",IFERROR(IF(INDEX(MASTER!$L$4:$L$1463,MATCH("FUCT"&amp;"|"&amp;MAX(1,ROUND(COUNTIFS(MASTER!$B$4:$B$1463,"FUCT",MASTER!$L$4:$L$1463,"&lt;&gt;")*$A77*100/100,0)),MASTER!$AI$4:$AI$1463,0))="",NA(),INDEX(MASTER!$L$4:$L$1463,MATCH("FUCT"&amp;"|"&amp;MAX(1,ROUND(COUNTIFS(MASTER!$B$4:$B$1463,"FUCT",MASTER!$L$4:$L$1463,"&lt;&gt;")*$A77*100/100,0)),MASTER!$AI$4:$AI$1463,0))),NA()))))</f>
        <v>7300</v>
      </c>
      <c r="C77" s="37">
        <f>IF($B$4="RESONANCE",IFERROR(IF(INDEX(MASTER!$I$4:$I$1463,MATCH("LEGENDS"&amp;"|"&amp;MAX(1,ROUND(COUNTIFS(MASTER!$B$4:$B$1463,"LEGENDS",MASTER!$I$4:$I$1463,"&lt;&gt;")*$A77*100/100,0)),MASTER!$Y$4:$Y$1463,0))="",NA(),INDEX(MASTER!$I$4:$I$1463,MATCH("LEGENDS"&amp;"|"&amp;MAX(1,ROUND(COUNTIFS(MASTER!$B$4:$B$1463,"LEGENDS",MASTER!$I$4:$I$1463,"&lt;&gt;")*$A77*100/100,0)),MASTER!$Y$4:$Y$1463,0))),NA()),IF($B$4="COMBAT RATING",IFERROR(IF(INDEX(MASTER!$G$4:$G$1463,MATCH("LEGENDS"&amp;"|"&amp;MAX(1,ROUND(COUNTIFS(MASTER!$B$4:$B$1463,"LEGENDS",MASTER!$G$4:$G$1463,"&lt;&gt;")*$A77*100/100,0)),MASTER!$AH$4:$AH$1463,0))="",NA(),INDEX(MASTER!$G$4:$G$1463,MATCH("LEGENDS"&amp;"|"&amp;MAX(1,ROUND(COUNTIFS(MASTER!$B$4:$B$1463,"LEGENDS",MASTER!$G$4:$G$1463,"&lt;&gt;")*$A77*100/100,0)),MASTER!$AH$4:$AH$1463,0))),NA()),IF($B$4="SECONDARY",IFERROR(IF(INDEX(MASTER!$L$4:$L$1463,MATCH("LEGENDS"&amp;"|"&amp;MAX(1,ROUND(COUNTIFS(MASTER!$B$4:$B$1463,"LEGENDS",MASTER!$L$4:$L$1463,"&lt;&gt;")*$A77*100/100,0)),MASTER!$AI$4:$AI$1463,0))="",NA(),INDEX(MASTER!$L$4:$L$1463,MATCH("LEGENDS"&amp;"|"&amp;MAX(1,ROUND(COUNTIFS(MASTER!$B$4:$B$1463,"LEGENDS",MASTER!$L$4:$L$1463,"&lt;&gt;")*$A77*100/100,0)),MASTER!$AI$4:$AI$1463,0))),NA()))))</f>
        <v>7080</v>
      </c>
      <c r="D77" s="37">
        <f>IF($B$4="RESONANCE",IFERROR(IF(INDEX(MASTER!$I$4:$I$1463,MATCH("VANGUARD"&amp;"|"&amp;MAX(1,ROUND(COUNTIFS(MASTER!$B$4:$B$1463,"VANGUARD",MASTER!$I$4:$I$1463,"&lt;&gt;")*$A77*100/100,0)),MASTER!$Y$4:$Y$1463,0))="",NA(),INDEX(MASTER!$I$4:$I$1463,MATCH("VANGUARD"&amp;"|"&amp;MAX(1,ROUND(COUNTIFS(MASTER!$B$4:$B$1463,"VANGUARD",MASTER!$I$4:$I$1463,"&lt;&gt;")*$A77*100/100,0)),MASTER!$Y$4:$Y$1463,0))),NA()),IF($B$4="COMBAT RATING",IFERROR(IF(INDEX(MASTER!$G$4:$G$1463,MATCH("VANGUARD"&amp;"|"&amp;MAX(1,ROUND(COUNTIFS(MASTER!$B$4:$B$1463,"VANGUARD",MASTER!$G$4:$G$1463,"&lt;&gt;")*$A77*100/100,0)),MASTER!$AH$4:$AH$1463,0))="",NA(),INDEX(MASTER!$G$4:$G$1463,MATCH("VANGUARD"&amp;"|"&amp;MAX(1,ROUND(COUNTIFS(MASTER!$B$4:$B$1463,"VANGUARD",MASTER!$G$4:$G$1463,"&lt;&gt;")*$A77*100/100,0)),MASTER!$AH$4:$AH$1463,0))),NA()),IF($B$4="SECONDARY",IFERROR(IF(INDEX(MASTER!$L$4:$L$1463,MATCH("VANGUARD"&amp;"|"&amp;MAX(1,ROUND(COUNTIFS(MASTER!$B$4:$B$1463,"VANGUARD",MASTER!$L$4:$L$1463,"&lt;&gt;")*$A77*100/100,0)),MASTER!$AI$4:$AI$1463,0))="",NA(),INDEX(MASTER!$L$4:$L$1463,MATCH("VANGUARD"&amp;"|"&amp;MAX(1,ROUND(COUNTIFS(MASTER!$B$4:$B$1463,"VANGUARD",MASTER!$L$4:$L$1463,"&lt;&gt;")*$A77*100/100,0)),MASTER!$AI$4:$AI$1463,0))),NA()))))</f>
        <v>9097</v>
      </c>
      <c r="E77" s="37">
        <f>IF($B$4="RESONANCE",IFERROR(IF(INDEX(MASTER!$I$4:$I$1463,MATCH("UNDYING"&amp;"|"&amp;MAX(1,ROUND(COUNTIFS(MASTER!$B$4:$B$1463,"UNDYING",MASTER!$I$4:$I$1463,"&lt;&gt;")*$A77*100/100,0)),MASTER!$Y$4:$Y$1463,0))="",NA(),INDEX(MASTER!$I$4:$I$1463,MATCH("UNDYING"&amp;"|"&amp;MAX(1,ROUND(COUNTIFS(MASTER!$B$4:$B$1463,"UNDYING",MASTER!$I$4:$I$1463,"&lt;&gt;")*$A77*100/100,0)),MASTER!$Y$4:$Y$1463,0))),NA()),IF($B$4="COMBAT RATING",IFERROR(IF(INDEX(MASTER!$G$4:$G$1463,MATCH("UNDYING"&amp;"|"&amp;MAX(1,ROUND(COUNTIFS(MASTER!$B$4:$B$1463,"UNDYING",MASTER!$G$4:$G$1463,"&lt;&gt;")*$A77*100/100,0)),MASTER!$AH$4:$AH$1463,0))="",NA(),INDEX(MASTER!$G$4:$G$1463,MATCH("UNDYING"&amp;"|"&amp;MAX(1,ROUND(COUNTIFS(MASTER!$B$4:$B$1463,"UNDYING",MASTER!$G$4:$G$1463,"&lt;&gt;")*$A77*100/100,0)),MASTER!$AH$4:$AH$1463,0))),NA()),IF($B$4="SECONDARY",IFERROR(IF(INDEX(MASTER!$L$4:$L$1463,MATCH("UNDYING"&amp;"|"&amp;MAX(1,ROUND(COUNTIFS(MASTER!$B$4:$B$1463,"UNDYING",MASTER!$L$4:$L$1463,"&lt;&gt;")*$A77*100/100,0)),MASTER!$AI$4:$AI$1463,0))="",NA(),INDEX(MASTER!$L$4:$L$1463,MATCH("UNDYING"&amp;"|"&amp;MAX(1,ROUND(COUNTIFS(MASTER!$B$4:$B$1463,"UNDYING",MASTER!$L$4:$L$1463,"&lt;&gt;")*$A77*100/100,0)),MASTER!$AI$4:$AI$1463,0))),NA()))))</f>
        <v>5831</v>
      </c>
      <c r="F77" s="37">
        <f>IF($B$4="RESONANCE",IFERROR(IF(INDEX(MASTER!$I$4:$I$1463,MATCH("SBG"&amp;"|"&amp;MAX(1,ROUND(COUNTIFS(MASTER!$B$4:$B$1463,"SBG",MASTER!$I$4:$I$1463,"&lt;&gt;")*$A77*100/100,0)),MASTER!$Y$4:$Y$1463,0))="",NA(),INDEX(MASTER!$I$4:$I$1463,MATCH("SBG"&amp;"|"&amp;MAX(1,ROUND(COUNTIFS(MASTER!$B$4:$B$1463,"SBG",MASTER!$I$4:$I$1463,"&lt;&gt;")*$A77*100/100,0)),MASTER!$Y$4:$Y$1463,0))),NA()),IF($B$4="COMBAT RATING",IFERROR(IF(INDEX(MASTER!$G$4:$G$1463,MATCH("SBG"&amp;"|"&amp;MAX(1,ROUND(COUNTIFS(MASTER!$B$4:$B$1463,"SBG",MASTER!$G$4:$G$1463,"&lt;&gt;")*$A77*100/100,0)),MASTER!$AH$4:$AH$1463,0))="",NA(),INDEX(MASTER!$G$4:$G$1463,MATCH("SBG"&amp;"|"&amp;MAX(1,ROUND(COUNTIFS(MASTER!$B$4:$B$1463,"SBG",MASTER!$G$4:$G$1463,"&lt;&gt;")*$A77*100/100,0)),MASTER!$AH$4:$AH$1463,0))),NA()),IF($B$4="SECONDARY",IFERROR(IF(INDEX(MASTER!$L$4:$L$1463,MATCH("SBG"&amp;"|"&amp;MAX(1,ROUND(COUNTIFS(MASTER!$B$4:$B$1463,"SBG",MASTER!$L$4:$L$1463,"&lt;&gt;")*$A77*100/100,0)),MASTER!$AI$4:$AI$1463,0))="",NA(),INDEX(MASTER!$L$4:$L$1463,MATCH("SBG"&amp;"|"&amp;MAX(1,ROUND(COUNTIFS(MASTER!$B$4:$B$1463,"SBG",MASTER!$L$4:$L$1463,"&lt;&gt;")*$A77*100/100,0)),MASTER!$AI$4:$AI$1463,0))),NA()))))</f>
        <v>8329</v>
      </c>
      <c r="G77" s="37">
        <f>IF($B$4="RESONANCE",IFERROR(IF(INDEX(MASTER!$I$4:$I$1463,MATCH("AZUKI"&amp;"|"&amp;MAX(1,ROUND(COUNTIFS(MASTER!$B$4:$B$1463,"AZUKI",MASTER!$I$4:$I$1463,"&lt;&gt;")*$A77*100/100,0)),MASTER!$Y$4:$Y$1463,0))="",NA(),INDEX(MASTER!$I$4:$I$1463,MATCH("AZUKI"&amp;"|"&amp;MAX(1,ROUND(COUNTIFS(MASTER!$B$4:$B$1463,"AZUKI",MASTER!$I$4:$I$1463,"&lt;&gt;")*$A77*100/100,0)),MASTER!$Y$4:$Y$1463,0))),NA()),IF($B$4="COMBAT RATING",IFERROR(IF(INDEX(MASTER!$G$4:$G$1463,MATCH("AZUKI"&amp;"|"&amp;MAX(1,ROUND(COUNTIFS(MASTER!$B$4:$B$1463,"AZUKI",MASTER!$G$4:$G$1463,"&lt;&gt;")*$A77*100/100,0)),MASTER!$AH$4:$AH$1463,0))="",NA(),INDEX(MASTER!$G$4:$G$1463,MATCH("AZUKI"&amp;"|"&amp;MAX(1,ROUND(COUNTIFS(MASTER!$B$4:$B$1463,"AZUKI",MASTER!$G$4:$G$1463,"&lt;&gt;")*$A77*100/100,0)),MASTER!$AH$4:$AH$1463,0))),NA()),IF($B$4="SECONDARY",IFERROR(IF(INDEX(MASTER!$L$4:$L$1463,MATCH("AZUKI"&amp;"|"&amp;MAX(1,ROUND(COUNTIFS(MASTER!$B$4:$B$1463,"AZUKI",MASTER!$L$4:$L$1463,"&lt;&gt;")*$A77*100/100,0)),MASTER!$AI$4:$AI$1463,0))="",NA(),INDEX(MASTER!$L$4:$L$1463,MATCH("AZUKI"&amp;"|"&amp;MAX(1,ROUND(COUNTIFS(MASTER!$B$4:$B$1463,"AZUKI",MASTER!$L$4:$L$1463,"&lt;&gt;")*$A77*100/100,0)),MASTER!$AI$4:$AI$1463,0))),NA()))))</f>
        <v>8169</v>
      </c>
      <c r="H77" s="37">
        <f>IF($B$4="RESONANCE",IFERROR(IF(INDEX(MASTER!$I$4:$I$1463,MATCH("RECKONING"&amp;"|"&amp;MAX(1,ROUND(COUNTIFS(MASTER!$B$4:$B$1463,"RECKONING",MASTER!$I$4:$I$1463,"&lt;&gt;")*$A77*100/100,0)),MASTER!$Y$4:$Y$1463,0))="",NA(),INDEX(MASTER!$I$4:$I$1463,MATCH("RECKONING"&amp;"|"&amp;MAX(1,ROUND(COUNTIFS(MASTER!$B$4:$B$1463,"RECKONING",MASTER!$I$4:$I$1463,"&lt;&gt;")*$A77*100/100,0)),MASTER!$Y$4:$Y$1463,0))),NA()),IF($B$4="COMBAT RATING",IFERROR(IF(INDEX(MASTER!$G$4:$G$1463,MATCH("RECKONING"&amp;"|"&amp;MAX(1,ROUND(COUNTIFS(MASTER!$B$4:$B$1463,"RECKONING",MASTER!$G$4:$G$1463,"&lt;&gt;")*$A77*100/100,0)),MASTER!$AH$4:$AH$1463,0))="",NA(),INDEX(MASTER!$G$4:$G$1463,MATCH("RECKONING"&amp;"|"&amp;MAX(1,ROUND(COUNTIFS(MASTER!$B$4:$B$1463,"RECKONING",MASTER!$G$4:$G$1463,"&lt;&gt;")*$A77*100/100,0)),MASTER!$AH$4:$AH$1463,0))),NA()),IF($B$4="SECONDARY",IFERROR(IF(INDEX(MASTER!$L$4:$L$1463,MATCH("RECKONING"&amp;"|"&amp;MAX(1,ROUND(COUNTIFS(MASTER!$B$4:$B$1463,"RECKONING",MASTER!$L$4:$L$1463,"&lt;&gt;")*$A77*100/100,0)),MASTER!$AI$4:$AI$1463,0))="",NA(),INDEX(MASTER!$L$4:$L$1463,MATCH("RECKONING"&amp;"|"&amp;MAX(1,ROUND(COUNTIFS(MASTER!$B$4:$B$1463,"RECKONING",MASTER!$L$4:$L$1463,"&lt;&gt;")*$A77*100/100,0)),MASTER!$AI$4:$AI$1463,0))),NA()))))</f>
        <v>8218</v>
      </c>
      <c r="I77" s="37">
        <f>IF($B$4="RESONANCE",IFERROR(IF(INDEX(MASTER!$I$4:$I$1463,MATCH("ACHERON"&amp;"|"&amp;MAX(1,ROUND(COUNTIFS(MASTER!$B$4:$B$1463,"ACHERON",MASTER!$I$4:$I$1463,"&lt;&gt;")*$A77*100/100,0)),MASTER!$Y$4:$Y$1463,0))="",NA(),INDEX(MASTER!$I$4:$I$1463,MATCH("ACHERON"&amp;"|"&amp;MAX(1,ROUND(COUNTIFS(MASTER!$B$4:$B$1463,"ACHERON",MASTER!$I$4:$I$1463,"&lt;&gt;")*$A77*100/100,0)),MASTER!$Y$4:$Y$1463,0))),NA()),IF($B$4="COMBAT RATING",IFERROR(IF(INDEX(MASTER!$G$4:$G$1463,MATCH("ACHERON"&amp;"|"&amp;MAX(1,ROUND(COUNTIFS(MASTER!$B$4:$B$1463,"ACHERON",MASTER!$G$4:$G$1463,"&lt;&gt;")*$A77*100/100,0)),MASTER!$AH$4:$AH$1463,0))="",NA(),INDEX(MASTER!$G$4:$G$1463,MATCH("ACHERON"&amp;"|"&amp;MAX(1,ROUND(COUNTIFS(MASTER!$B$4:$B$1463,"ACHERON",MASTER!$G$4:$G$1463,"&lt;&gt;")*$A77*100/100,0)),MASTER!$AH$4:$AH$1463,0))),NA()),IF($B$4="SECONDARY",IFERROR(IF(INDEX(MASTER!$L$4:$L$1463,MATCH("ACHERON"&amp;"|"&amp;MAX(1,ROUND(COUNTIFS(MASTER!$B$4:$B$1463,"ACHERON",MASTER!$L$4:$L$1463,"&lt;&gt;")*$A77*100/100,0)),MASTER!$AI$4:$AI$1463,0))="",NA(),INDEX(MASTER!$L$4:$L$1463,MATCH("ACHERON"&amp;"|"&amp;MAX(1,ROUND(COUNTIFS(MASTER!$B$4:$B$1463,"ACHERON",MASTER!$L$4:$L$1463,"&lt;&gt;")*$A77*100/100,0)),MASTER!$AI$4:$AI$1463,0))),NA()))))</f>
        <v>5345</v>
      </c>
      <c r="J77" s="37">
        <f>IF($B$4="RESONANCE",IFERROR(IF(INDEX(MASTER!$I$4:$I$1463,MATCH("INVICTUS"&amp;"|"&amp;MAX(1,ROUND(COUNTIFS(MASTER!$B$4:$B$1463,"INVICTUS",MASTER!$I$4:$I$1463,"&lt;&gt;")*$A77*100/100,0)),MASTER!$Y$4:$Y$1463,0))="",NA(),INDEX(MASTER!$I$4:$I$1463,MATCH("INVICTUS"&amp;"|"&amp;MAX(1,ROUND(COUNTIFS(MASTER!$B$4:$B$1463,"INVICTUS",MASTER!$I$4:$I$1463,"&lt;&gt;")*$A77*100/100,0)),MASTER!$Y$4:$Y$1463,0))),NA()),IF($B$4="COMBAT RATING",IFERROR(IF(INDEX(MASTER!$G$4:$G$1463,MATCH("INVICTUS"&amp;"|"&amp;MAX(1,ROUND(COUNTIFS(MASTER!$B$4:$B$1463,"INVICTUS",MASTER!$G$4:$G$1463,"&lt;&gt;")*$A77*100/100,0)),MASTER!$AH$4:$AH$1463,0))="",NA(),INDEX(MASTER!$G$4:$G$1463,MATCH("INVICTUS"&amp;"|"&amp;MAX(1,ROUND(COUNTIFS(MASTER!$B$4:$B$1463,"INVICTUS",MASTER!$G$4:$G$1463,"&lt;&gt;")*$A77*100/100,0)),MASTER!$AH$4:$AH$1463,0))),NA()),IF($B$4="SECONDARY",IFERROR(IF(INDEX(MASTER!$L$4:$L$1463,MATCH("INVICTUS"&amp;"|"&amp;MAX(1,ROUND(COUNTIFS(MASTER!$B$4:$B$1463,"INVICTUS",MASTER!$L$4:$L$1463,"&lt;&gt;")*$A77*100/100,0)),MASTER!$AI$4:$AI$1463,0))="",NA(),INDEX(MASTER!$L$4:$L$1463,MATCH("INVICTUS"&amp;"|"&amp;MAX(1,ROUND(COUNTIFS(MASTER!$B$4:$B$1463,"INVICTUS",MASTER!$L$4:$L$1463,"&lt;&gt;")*$A77*100/100,0)),MASTER!$AI$4:$AI$1463,0))),NA()))))</f>
        <v>4398</v>
      </c>
      <c r="K77" s="37">
        <f>IF($B$4="RESONANCE",IFERROR(IF(INDEX(MASTER!$I$4:$I$1463,MATCH("EMERALD LEAF TRIBE"&amp;"|"&amp;MAX(1,ROUND(COUNTIFS(MASTER!$B$4:$B$1463,"EMERALD LEAF TRIBE",MASTER!$I$4:$I$1463,"&lt;&gt;")*$A77*100/100,0)),MASTER!$Y$4:$Y$1463,0))="",NA(),INDEX(MASTER!$I$4:$I$1463,MATCH("EMERALD LEAF TRIBE"&amp;"|"&amp;MAX(1,ROUND(COUNTIFS(MASTER!$B$4:$B$1463,"EMERALD LEAF TRIBE",MASTER!$I$4:$I$1463,"&lt;&gt;")*$A77*100/100,0)),MASTER!$Y$4:$Y$1463,0))),NA()),IF($B$4="COMBAT RATING",IFERROR(IF(INDEX(MASTER!$G$4:$G$1463,MATCH("EMERALD LEAF TRIBE"&amp;"|"&amp;MAX(1,ROUND(COUNTIFS(MASTER!$B$4:$B$1463,"EMERALD LEAF TRIBE",MASTER!$G$4:$G$1463,"&lt;&gt;")*$A77*100/100,0)),MASTER!$AH$4:$AH$1463,0))="",NA(),INDEX(MASTER!$G$4:$G$1463,MATCH("EMERALD LEAF TRIBE"&amp;"|"&amp;MAX(1,ROUND(COUNTIFS(MASTER!$B$4:$B$1463,"EMERALD LEAF TRIBE",MASTER!$G$4:$G$1463,"&lt;&gt;")*$A77*100/100,0)),MASTER!$AH$4:$AH$1463,0))),NA()),IF($B$4="SECONDARY",IFERROR(IF(INDEX(MASTER!$L$4:$L$1463,MATCH("EMERALD LEAF TRIBE"&amp;"|"&amp;MAX(1,ROUND(COUNTIFS(MASTER!$B$4:$B$1463,"EMERALD LEAF TRIBE",MASTER!$L$4:$L$1463,"&lt;&gt;")*$A77*100/100,0)),MASTER!$AI$4:$AI$1463,0))="",NA(),INDEX(MASTER!$L$4:$L$1463,MATCH("EMERALD LEAF TRIBE"&amp;"|"&amp;MAX(1,ROUND(COUNTIFS(MASTER!$B$4:$B$1463,"EMERALD LEAF TRIBE",MASTER!$L$4:$L$1463,"&lt;&gt;")*$A77*100/100,0)),MASTER!$AI$4:$AI$1463,0))),NA()))))</f>
        <v>3302</v>
      </c>
      <c r="L77" s="37">
        <f>IF($B$4="RESONANCE",IFERROR(IF(INDEX(MASTER!$I$4:$I$1463,MATCH("SUB ROSA"&amp;"|"&amp;MAX(1,ROUND(COUNTIFS(MASTER!$B$4:$B$1463,"SUB ROSA",MASTER!$I$4:$I$1463,"&lt;&gt;")*$A77*100/100,0)),MASTER!$Y$4:$Y$1463,0))="",NA(),INDEX(MASTER!$I$4:$I$1463,MATCH("SUB ROSA"&amp;"|"&amp;MAX(1,ROUND(COUNTIFS(MASTER!$B$4:$B$1463,"SUB ROSA",MASTER!$I$4:$I$1463,"&lt;&gt;")*$A77*100/100,0)),MASTER!$Y$4:$Y$1463,0))),NA()),IF($B$4="COMBAT RATING",IFERROR(IF(INDEX(MASTER!$G$4:$G$1463,MATCH("SUB ROSA"&amp;"|"&amp;MAX(1,ROUND(COUNTIFS(MASTER!$B$4:$B$1463,"SUB ROSA",MASTER!$G$4:$G$1463,"&lt;&gt;")*$A77*100/100,0)),MASTER!$AH$4:$AH$1463,0))="",NA(),INDEX(MASTER!$G$4:$G$1463,MATCH("SUB ROSA"&amp;"|"&amp;MAX(1,ROUND(COUNTIFS(MASTER!$B$4:$B$1463,"SUB ROSA",MASTER!$G$4:$G$1463,"&lt;&gt;")*$A77*100/100,0)),MASTER!$AH$4:$AH$1463,0))),NA()),IF($B$4="SECONDARY",IFERROR(IF(INDEX(MASTER!$L$4:$L$1463,MATCH("SUB ROSA"&amp;"|"&amp;MAX(1,ROUND(COUNTIFS(MASTER!$B$4:$B$1463,"SUB ROSA",MASTER!$L$4:$L$1463,"&lt;&gt;")*$A77*100/100,0)),MASTER!$AI$4:$AI$1463,0))="",NA(),INDEX(MASTER!$L$4:$L$1463,MATCH("SUB ROSA"&amp;"|"&amp;MAX(1,ROUND(COUNTIFS(MASTER!$B$4:$B$1463,"SUB ROSA",MASTER!$L$4:$L$1463,"&lt;&gt;")*$A77*100/100,0)),MASTER!$AI$4:$AI$1463,0))),NA()))))</f>
        <v>4110</v>
      </c>
      <c r="M77" s="37">
        <f>IF($B$4="RESONANCE",IFERROR(IF(INDEX(MASTER!$I$4:$I$1463,MATCH("VENGEANCE"&amp;"|"&amp;MAX(1,ROUND(COUNTIFS(MASTER!$B$4:$B$1463,"VENGEANCE",MASTER!$I$4:$I$1463,"&lt;&gt;")*$A77*100/100,0)),MASTER!$Y$4:$Y$1463,0))="",NA(),INDEX(MASTER!$I$4:$I$1463,MATCH("VENGEANCE"&amp;"|"&amp;MAX(1,ROUND(COUNTIFS(MASTER!$B$4:$B$1463,"VENGEANCE",MASTER!$I$4:$I$1463,"&lt;&gt;")*$A77*100/100,0)),MASTER!$Y$4:$Y$1463,0))),NA()),IF($B$4="COMBAT RATING",IFERROR(IF(INDEX(MASTER!$G$4:$G$1463,MATCH("VENGEANCE"&amp;"|"&amp;MAX(1,ROUND(COUNTIFS(MASTER!$B$4:$B$1463,"VENGEANCE",MASTER!$G$4:$G$1463,"&lt;&gt;")*$A77*100/100,0)),MASTER!$AH$4:$AH$1463,0))="",NA(),INDEX(MASTER!$G$4:$G$1463,MATCH("VENGEANCE"&amp;"|"&amp;MAX(1,ROUND(COUNTIFS(MASTER!$B$4:$B$1463,"VENGEANCE",MASTER!$G$4:$G$1463,"&lt;&gt;")*$A77*100/100,0)),MASTER!$AH$4:$AH$1463,0))),NA()),IF($B$4="SECONDARY",IFERROR(IF(INDEX(MASTER!$L$4:$L$1463,MATCH("VENGEANCE"&amp;"|"&amp;MAX(1,ROUND(COUNTIFS(MASTER!$B$4:$B$1463,"VENGEANCE",MASTER!$L$4:$L$1463,"&lt;&gt;")*$A77*100/100,0)),MASTER!$AI$4:$AI$1463,0))="",NA(),INDEX(MASTER!$L$4:$L$1463,MATCH("VENGEANCE"&amp;"|"&amp;MAX(1,ROUND(COUNTIFS(MASTER!$B$4:$B$1463,"VENGEANCE",MASTER!$L$4:$L$1463,"&lt;&gt;")*$A77*100/100,0)),MASTER!$AI$4:$AI$1463,0))),NA()))))</f>
        <v>4661</v>
      </c>
      <c r="N77" s="37">
        <f>IF($B$4="RESONANCE",IFERROR(IF(INDEX(MASTER!$I$4:$I$1463,MATCH("VENDETTA"&amp;"|"&amp;MAX(1,ROUND(COUNTIFS(MASTER!$B$4:$B$1463,"VENDETTA",MASTER!$I$4:$I$1463,"&lt;&gt;")*$A77*100/100,0)),MASTER!$Y$4:$Y$1463,0))="",NA(),INDEX(MASTER!$I$4:$I$1463,MATCH("VENDETTA"&amp;"|"&amp;MAX(1,ROUND(COUNTIFS(MASTER!$B$4:$B$1463,"VENDETTA",MASTER!$I$4:$I$1463,"&lt;&gt;")*$A77*100/100,0)),MASTER!$Y$4:$Y$1463,0))),NA()),IF($B$4="COMBAT RATING",IFERROR(IF(INDEX(MASTER!$G$4:$G$1463,MATCH("VENDETTA"&amp;"|"&amp;MAX(1,ROUND(COUNTIFS(MASTER!$B$4:$B$1463,"VENDETTA",MASTER!$G$4:$G$1463,"&lt;&gt;")*$A77*100/100,0)),MASTER!$AH$4:$AH$1463,0))="",NA(),INDEX(MASTER!$G$4:$G$1463,MATCH("VENDETTA"&amp;"|"&amp;MAX(1,ROUND(COUNTIFS(MASTER!$B$4:$B$1463,"VENDETTA",MASTER!$G$4:$G$1463,"&lt;&gt;")*$A77*100/100,0)),MASTER!$AH$4:$AH$1463,0))),NA()),IF($B$4="SECONDARY",IFERROR(IF(INDEX(MASTER!$L$4:$L$1463,MATCH("VENDETTA"&amp;"|"&amp;MAX(1,ROUND(COUNTIFS(MASTER!$B$4:$B$1463,"VENDETTA",MASTER!$L$4:$L$1463,"&lt;&gt;")*$A77*100/100,0)),MASTER!$AI$4:$AI$1463,0))="",NA(),INDEX(MASTER!$L$4:$L$1463,MATCH("VENDETTA"&amp;"|"&amp;MAX(1,ROUND(COUNTIFS(MASTER!$B$4:$B$1463,"VENDETTA",MASTER!$L$4:$L$1463,"&lt;&gt;")*$A77*100/100,0)),MASTER!$AI$4:$AI$1463,0))),NA()))))</f>
        <v>2872</v>
      </c>
      <c r="O77" s="37">
        <f>IF($B$4="RESONANCE",IFERROR(IF(INDEX(MASTER!$I$4:$I$1463,MATCH("ZOMBIES"&amp;"|"&amp;MAX(1,ROUND(COUNTIFS(MASTER!$B$4:$B$1463,"ZOMBIES",MASTER!$I$4:$I$1463,"&lt;&gt;")*$A77*100/100,0)),MASTER!$Y$4:$Y$1463,0))="",NA(),INDEX(MASTER!$I$4:$I$1463,MATCH("ZOMBIES"&amp;"|"&amp;MAX(1,ROUND(COUNTIFS(MASTER!$B$4:$B$1463,"ZOMBIES",MASTER!$I$4:$I$1463,"&lt;&gt;")*$A77*100/100,0)),MASTER!$Y$4:$Y$1463,0))),NA()),IF($B$4="COMBAT RATING",IFERROR(IF(INDEX(MASTER!$G$4:$G$1463,MATCH("ZOMBIES"&amp;"|"&amp;MAX(1,ROUND(COUNTIFS(MASTER!$B$4:$B$1463,"ZOMBIES",MASTER!$G$4:$G$1463,"&lt;&gt;")*$A77*100/100,0)),MASTER!$AH$4:$AH$1463,0))="",NA(),INDEX(MASTER!$G$4:$G$1463,MATCH("ZOMBIES"&amp;"|"&amp;MAX(1,ROUND(COUNTIFS(MASTER!$B$4:$B$1463,"ZOMBIES",MASTER!$G$4:$G$1463,"&lt;&gt;")*$A77*100/100,0)),MASTER!$AH$4:$AH$1463,0))),NA()),IF($B$4="SECONDARY",IFERROR(IF(INDEX(MASTER!$L$4:$L$1463,MATCH("ZOMBIES"&amp;"|"&amp;MAX(1,ROUND(COUNTIFS(MASTER!$B$4:$B$1463,"ZOMBIES",MASTER!$L$4:$L$1463,"&lt;&gt;")*$A77*100/100,0)),MASTER!$AI$4:$AI$1463,0))="",NA(),INDEX(MASTER!$L$4:$L$1463,MATCH("ZOMBIES"&amp;"|"&amp;MAX(1,ROUND(COUNTIFS(MASTER!$B$4:$B$1463,"ZOMBIES",MASTER!$L$4:$L$1463,"&lt;&gt;")*$A77*100/100,0)),MASTER!$AI$4:$AI$1463,0))),NA()))))</f>
        <v>2580</v>
      </c>
      <c r="P77" s="37">
        <f>IF($B$4="RESONANCE",IFERROR(IF(INDEX(MASTER!$I$4:$I$1463,MATCH("FUCT"&amp;"|"&amp;MAX(1,ROUND(COUNTIFS(MASTER!$B$4:$B$1463,"FUCT",MASTER!$I$4:$I$1463,"&lt;&gt;")*$A77*100/100,0)),MASTER!$Y$4:$Y$1463,0))="",NA(),INDEX(MASTER!$I$4:$I$1463,MATCH("FUCT"&amp;"|"&amp;MAX(1,ROUND(COUNTIFS(MASTER!$B$4:$B$1463,"FUCT",MASTER!$I$4:$I$1463,"&lt;&gt;")*$A77*100/100,0)),MASTER!$Y$4:$Y$1463,0))),NA()),IF($B$4="COMBAT RATING",IFERROR(IF(INDEX(MASTER!$G$4:$G$1463,MATCH("FUCT"&amp;"|"&amp;MAX(1,ROUND(COUNTIFS(MASTER!$B$4:$B$1463,"FUCT",MASTER!$G$4:$G$1463,"&lt;&gt;")*$A77*100/100,0)),MASTER!$AH$4:$AH$1463,0))="",NA(),INDEX(MASTER!$G$4:$G$1463,MATCH("FUCT"&amp;"|"&amp;MAX(1,ROUND(COUNTIFS(MASTER!$B$4:$B$1463,"FUCT",MASTER!$G$4:$G$1463,"&lt;&gt;")*$A77*100/100,0)),MASTER!$AH$4:$AH$1463,0))),NA()),IF($B$4="SECONDARY",IFERROR(IF(INDEX(MASTER!$L$4:$L$1463,MATCH("FUCT"&amp;"|"&amp;MAX(1,ROUND(COUNTIFS(MASTER!$B$4:$B$1463,"FUCT",MASTER!$L$4:$L$1463,"&lt;&gt;")*$A77*100/100,0)),MASTER!$AI$4:$AI$1463,0))="",NA(),INDEX(MASTER!$L$4:$L$1463,MATCH("FUCT"&amp;"|"&amp;MAX(1,ROUND(COUNTIFS(MASTER!$B$4:$B$1463,"FUCT",MASTER!$L$4:$L$1463,"&lt;&gt;")*$A77*100/100,0)),MASTER!$AI$4:$AI$1463,0))),NA()))))</f>
        <v>7300</v>
      </c>
      <c r="Q77" s="37">
        <f>IF($B$4="RESONANCE",IFERROR(IF(INDEX(MASTER!$I$4:$I$1463,MATCH($E$4&amp;"|"&amp;MAX(1,ROUND(COUNTIFS(MASTER!$B$4:$B$1463,$E$4,MASTER!$I$4:$I$1463,"&lt;&gt;")*$A77*100/100,0)),MASTER!$Y$4:$Y$1463,0))="",NA(),INDEX(MASTER!$I$4:$I$1463,MATCH($E$4&amp;"|"&amp;MAX(1,ROUND(COUNTIFS(MASTER!$B$4:$B$1463,$E$4,MASTER!$I$4:$I$1463,"&lt;&gt;")*$A77*100/100,0)),MASTER!$Y$4:$Y$1463,0))),NA()),IF($B$4="COMBAT RATING",IFERROR(IF(INDEX(MASTER!$G$4:$G$1463,MATCH($E$4&amp;"|"&amp;MAX(1,ROUND(COUNTIFS(MASTER!$B$4:$B$1463,$E$4,MASTER!$G$4:$G$1463,"&lt;&gt;")*$A77*100/100,0)),MASTER!$AH$4:$AH$1463,0))="",NA(),INDEX(MASTER!$G$4:$G$1463,MATCH($E$4&amp;"|"&amp;MAX(1,ROUND(COUNTIFS(MASTER!$B$4:$B$1463,$E$4,MASTER!$G$4:$G$1463,"&lt;&gt;")*$A77*100/100,0)),MASTER!$AH$4:$AH$1463,0))),NA()),IF($B$4="SECONDARY",IFERROR(IF(INDEX(MASTER!$L$4:$L$1463,MATCH($E$4&amp;"|"&amp;MAX(1,ROUND(COUNTIFS(MASTER!$B$4:$B$1463,$E$4,MASTER!$L$4:$L$1463,"&lt;&gt;")*$A77*100/100,0)),MASTER!$AI$4:$AI$1463,0))="",NA(),INDEX(MASTER!$L$4:$L$1463,MATCH($E$4&amp;"|"&amp;MAX(1,ROUND(COUNTIFS(MASTER!$B$4:$B$1463,$E$4,MASTER!$L$4:$L$1463,"&lt;&gt;")*$A77*100/100,0)),MASTER!$AI$4:$AI$1463,0))),NA()))))</f>
        <v>5831</v>
      </c>
    </row>
    <row r="78" spans="1:17" hidden="1">
      <c r="A78" s="36">
        <v>0.23</v>
      </c>
      <c r="B78" s="37">
        <f>IF($B$4="RESONANCE",IFERROR(IF(INDEX(MASTER!$I$4:$I$1463,MATCH("FUCT"&amp;"|"&amp;MAX(1,ROUND(COUNTIFS(MASTER!$B$4:$B$1463,"FUCT",MASTER!$I$4:$I$1463,"&lt;&gt;")*$A78*100/100,0)),MASTER!$Y$4:$Y$1463,0))="",NA(),INDEX(MASTER!$I$4:$I$1463,MATCH("FUCT"&amp;"|"&amp;MAX(1,ROUND(COUNTIFS(MASTER!$B$4:$B$1463,"FUCT",MASTER!$I$4:$I$1463,"&lt;&gt;")*$A78*100/100,0)),MASTER!$Y$4:$Y$1463,0))),NA()),IF($B$4="COMBAT RATING",IFERROR(IF(INDEX(MASTER!$G$4:$G$1463,MATCH("FUCT"&amp;"|"&amp;MAX(1,ROUND(COUNTIFS(MASTER!$B$4:$B$1463,"FUCT",MASTER!$G$4:$G$1463,"&lt;&gt;")*$A78*100/100,0)),MASTER!$AH$4:$AH$1463,0))="",NA(),INDEX(MASTER!$G$4:$G$1463,MATCH("FUCT"&amp;"|"&amp;MAX(1,ROUND(COUNTIFS(MASTER!$B$4:$B$1463,"FUCT",MASTER!$G$4:$G$1463,"&lt;&gt;")*$A78*100/100,0)),MASTER!$AH$4:$AH$1463,0))),NA()),IF($B$4="SECONDARY",IFERROR(IF(INDEX(MASTER!$L$4:$L$1463,MATCH("FUCT"&amp;"|"&amp;MAX(1,ROUND(COUNTIFS(MASTER!$B$4:$B$1463,"FUCT",MASTER!$L$4:$L$1463,"&lt;&gt;")*$A78*100/100,0)),MASTER!$AI$4:$AI$1463,0))="",NA(),INDEX(MASTER!$L$4:$L$1463,MATCH("FUCT"&amp;"|"&amp;MAX(1,ROUND(COUNTIFS(MASTER!$B$4:$B$1463,"FUCT",MASTER!$L$4:$L$1463,"&lt;&gt;")*$A78*100/100,0)),MASTER!$AI$4:$AI$1463,0))),NA()))))</f>
        <v>7134</v>
      </c>
      <c r="C78" s="37">
        <f>IF($B$4="RESONANCE",IFERROR(IF(INDEX(MASTER!$I$4:$I$1463,MATCH("LEGENDS"&amp;"|"&amp;MAX(1,ROUND(COUNTIFS(MASTER!$B$4:$B$1463,"LEGENDS",MASTER!$I$4:$I$1463,"&lt;&gt;")*$A78*100/100,0)),MASTER!$Y$4:$Y$1463,0))="",NA(),INDEX(MASTER!$I$4:$I$1463,MATCH("LEGENDS"&amp;"|"&amp;MAX(1,ROUND(COUNTIFS(MASTER!$B$4:$B$1463,"LEGENDS",MASTER!$I$4:$I$1463,"&lt;&gt;")*$A78*100/100,0)),MASTER!$Y$4:$Y$1463,0))),NA()),IF($B$4="COMBAT RATING",IFERROR(IF(INDEX(MASTER!$G$4:$G$1463,MATCH("LEGENDS"&amp;"|"&amp;MAX(1,ROUND(COUNTIFS(MASTER!$B$4:$B$1463,"LEGENDS",MASTER!$G$4:$G$1463,"&lt;&gt;")*$A78*100/100,0)),MASTER!$AH$4:$AH$1463,0))="",NA(),INDEX(MASTER!$G$4:$G$1463,MATCH("LEGENDS"&amp;"|"&amp;MAX(1,ROUND(COUNTIFS(MASTER!$B$4:$B$1463,"LEGENDS",MASTER!$G$4:$G$1463,"&lt;&gt;")*$A78*100/100,0)),MASTER!$AH$4:$AH$1463,0))),NA()),IF($B$4="SECONDARY",IFERROR(IF(INDEX(MASTER!$L$4:$L$1463,MATCH("LEGENDS"&amp;"|"&amp;MAX(1,ROUND(COUNTIFS(MASTER!$B$4:$B$1463,"LEGENDS",MASTER!$L$4:$L$1463,"&lt;&gt;")*$A78*100/100,0)),MASTER!$AI$4:$AI$1463,0))="",NA(),INDEX(MASTER!$L$4:$L$1463,MATCH("LEGENDS"&amp;"|"&amp;MAX(1,ROUND(COUNTIFS(MASTER!$B$4:$B$1463,"LEGENDS",MASTER!$L$4:$L$1463,"&lt;&gt;")*$A78*100/100,0)),MASTER!$AI$4:$AI$1463,0))),NA()))))</f>
        <v>6920</v>
      </c>
      <c r="D78" s="37">
        <f>IF($B$4="RESONANCE",IFERROR(IF(INDEX(MASTER!$I$4:$I$1463,MATCH("VANGUARD"&amp;"|"&amp;MAX(1,ROUND(COUNTIFS(MASTER!$B$4:$B$1463,"VANGUARD",MASTER!$I$4:$I$1463,"&lt;&gt;")*$A78*100/100,0)),MASTER!$Y$4:$Y$1463,0))="",NA(),INDEX(MASTER!$I$4:$I$1463,MATCH("VANGUARD"&amp;"|"&amp;MAX(1,ROUND(COUNTIFS(MASTER!$B$4:$B$1463,"VANGUARD",MASTER!$I$4:$I$1463,"&lt;&gt;")*$A78*100/100,0)),MASTER!$Y$4:$Y$1463,0))),NA()),IF($B$4="COMBAT RATING",IFERROR(IF(INDEX(MASTER!$G$4:$G$1463,MATCH("VANGUARD"&amp;"|"&amp;MAX(1,ROUND(COUNTIFS(MASTER!$B$4:$B$1463,"VANGUARD",MASTER!$G$4:$G$1463,"&lt;&gt;")*$A78*100/100,0)),MASTER!$AH$4:$AH$1463,0))="",NA(),INDEX(MASTER!$G$4:$G$1463,MATCH("VANGUARD"&amp;"|"&amp;MAX(1,ROUND(COUNTIFS(MASTER!$B$4:$B$1463,"VANGUARD",MASTER!$G$4:$G$1463,"&lt;&gt;")*$A78*100/100,0)),MASTER!$AH$4:$AH$1463,0))),NA()),IF($B$4="SECONDARY",IFERROR(IF(INDEX(MASTER!$L$4:$L$1463,MATCH("VANGUARD"&amp;"|"&amp;MAX(1,ROUND(COUNTIFS(MASTER!$B$4:$B$1463,"VANGUARD",MASTER!$L$4:$L$1463,"&lt;&gt;")*$A78*100/100,0)),MASTER!$AI$4:$AI$1463,0))="",NA(),INDEX(MASTER!$L$4:$L$1463,MATCH("VANGUARD"&amp;"|"&amp;MAX(1,ROUND(COUNTIFS(MASTER!$B$4:$B$1463,"VANGUARD",MASTER!$L$4:$L$1463,"&lt;&gt;")*$A78*100/100,0)),MASTER!$AI$4:$AI$1463,0))),NA()))))</f>
        <v>9093</v>
      </c>
      <c r="E78" s="37">
        <f>IF($B$4="RESONANCE",IFERROR(IF(INDEX(MASTER!$I$4:$I$1463,MATCH("UNDYING"&amp;"|"&amp;MAX(1,ROUND(COUNTIFS(MASTER!$B$4:$B$1463,"UNDYING",MASTER!$I$4:$I$1463,"&lt;&gt;")*$A78*100/100,0)),MASTER!$Y$4:$Y$1463,0))="",NA(),INDEX(MASTER!$I$4:$I$1463,MATCH("UNDYING"&amp;"|"&amp;MAX(1,ROUND(COUNTIFS(MASTER!$B$4:$B$1463,"UNDYING",MASTER!$I$4:$I$1463,"&lt;&gt;")*$A78*100/100,0)),MASTER!$Y$4:$Y$1463,0))),NA()),IF($B$4="COMBAT RATING",IFERROR(IF(INDEX(MASTER!$G$4:$G$1463,MATCH("UNDYING"&amp;"|"&amp;MAX(1,ROUND(COUNTIFS(MASTER!$B$4:$B$1463,"UNDYING",MASTER!$G$4:$G$1463,"&lt;&gt;")*$A78*100/100,0)),MASTER!$AH$4:$AH$1463,0))="",NA(),INDEX(MASTER!$G$4:$G$1463,MATCH("UNDYING"&amp;"|"&amp;MAX(1,ROUND(COUNTIFS(MASTER!$B$4:$B$1463,"UNDYING",MASTER!$G$4:$G$1463,"&lt;&gt;")*$A78*100/100,0)),MASTER!$AH$4:$AH$1463,0))),NA()),IF($B$4="SECONDARY",IFERROR(IF(INDEX(MASTER!$L$4:$L$1463,MATCH("UNDYING"&amp;"|"&amp;MAX(1,ROUND(COUNTIFS(MASTER!$B$4:$B$1463,"UNDYING",MASTER!$L$4:$L$1463,"&lt;&gt;")*$A78*100/100,0)),MASTER!$AI$4:$AI$1463,0))="",NA(),INDEX(MASTER!$L$4:$L$1463,MATCH("UNDYING"&amp;"|"&amp;MAX(1,ROUND(COUNTIFS(MASTER!$B$4:$B$1463,"UNDYING",MASTER!$L$4:$L$1463,"&lt;&gt;")*$A78*100/100,0)),MASTER!$AI$4:$AI$1463,0))),NA()))))</f>
        <v>5620</v>
      </c>
      <c r="F78" s="37">
        <f>IF($B$4="RESONANCE",IFERROR(IF(INDEX(MASTER!$I$4:$I$1463,MATCH("SBG"&amp;"|"&amp;MAX(1,ROUND(COUNTIFS(MASTER!$B$4:$B$1463,"SBG",MASTER!$I$4:$I$1463,"&lt;&gt;")*$A78*100/100,0)),MASTER!$Y$4:$Y$1463,0))="",NA(),INDEX(MASTER!$I$4:$I$1463,MATCH("SBG"&amp;"|"&amp;MAX(1,ROUND(COUNTIFS(MASTER!$B$4:$B$1463,"SBG",MASTER!$I$4:$I$1463,"&lt;&gt;")*$A78*100/100,0)),MASTER!$Y$4:$Y$1463,0))),NA()),IF($B$4="COMBAT RATING",IFERROR(IF(INDEX(MASTER!$G$4:$G$1463,MATCH("SBG"&amp;"|"&amp;MAX(1,ROUND(COUNTIFS(MASTER!$B$4:$B$1463,"SBG",MASTER!$G$4:$G$1463,"&lt;&gt;")*$A78*100/100,0)),MASTER!$AH$4:$AH$1463,0))="",NA(),INDEX(MASTER!$G$4:$G$1463,MATCH("SBG"&amp;"|"&amp;MAX(1,ROUND(COUNTIFS(MASTER!$B$4:$B$1463,"SBG",MASTER!$G$4:$G$1463,"&lt;&gt;")*$A78*100/100,0)),MASTER!$AH$4:$AH$1463,0))),NA()),IF($B$4="SECONDARY",IFERROR(IF(INDEX(MASTER!$L$4:$L$1463,MATCH("SBG"&amp;"|"&amp;MAX(1,ROUND(COUNTIFS(MASTER!$B$4:$B$1463,"SBG",MASTER!$L$4:$L$1463,"&lt;&gt;")*$A78*100/100,0)),MASTER!$AI$4:$AI$1463,0))="",NA(),INDEX(MASTER!$L$4:$L$1463,MATCH("SBG"&amp;"|"&amp;MAX(1,ROUND(COUNTIFS(MASTER!$B$4:$B$1463,"SBG",MASTER!$L$4:$L$1463,"&lt;&gt;")*$A78*100/100,0)),MASTER!$AI$4:$AI$1463,0))),NA()))))</f>
        <v>8144</v>
      </c>
      <c r="G78" s="37">
        <f>IF($B$4="RESONANCE",IFERROR(IF(INDEX(MASTER!$I$4:$I$1463,MATCH("AZUKI"&amp;"|"&amp;MAX(1,ROUND(COUNTIFS(MASTER!$B$4:$B$1463,"AZUKI",MASTER!$I$4:$I$1463,"&lt;&gt;")*$A78*100/100,0)),MASTER!$Y$4:$Y$1463,0))="",NA(),INDEX(MASTER!$I$4:$I$1463,MATCH("AZUKI"&amp;"|"&amp;MAX(1,ROUND(COUNTIFS(MASTER!$B$4:$B$1463,"AZUKI",MASTER!$I$4:$I$1463,"&lt;&gt;")*$A78*100/100,0)),MASTER!$Y$4:$Y$1463,0))),NA()),IF($B$4="COMBAT RATING",IFERROR(IF(INDEX(MASTER!$G$4:$G$1463,MATCH("AZUKI"&amp;"|"&amp;MAX(1,ROUND(COUNTIFS(MASTER!$B$4:$B$1463,"AZUKI",MASTER!$G$4:$G$1463,"&lt;&gt;")*$A78*100/100,0)),MASTER!$AH$4:$AH$1463,0))="",NA(),INDEX(MASTER!$G$4:$G$1463,MATCH("AZUKI"&amp;"|"&amp;MAX(1,ROUND(COUNTIFS(MASTER!$B$4:$B$1463,"AZUKI",MASTER!$G$4:$G$1463,"&lt;&gt;")*$A78*100/100,0)),MASTER!$AH$4:$AH$1463,0))),NA()),IF($B$4="SECONDARY",IFERROR(IF(INDEX(MASTER!$L$4:$L$1463,MATCH("AZUKI"&amp;"|"&amp;MAX(1,ROUND(COUNTIFS(MASTER!$B$4:$B$1463,"AZUKI",MASTER!$L$4:$L$1463,"&lt;&gt;")*$A78*100/100,0)),MASTER!$AI$4:$AI$1463,0))="",NA(),INDEX(MASTER!$L$4:$L$1463,MATCH("AZUKI"&amp;"|"&amp;MAX(1,ROUND(COUNTIFS(MASTER!$B$4:$B$1463,"AZUKI",MASTER!$L$4:$L$1463,"&lt;&gt;")*$A78*100/100,0)),MASTER!$AI$4:$AI$1463,0))),NA()))))</f>
        <v>8160</v>
      </c>
      <c r="H78" s="37">
        <f>IF($B$4="RESONANCE",IFERROR(IF(INDEX(MASTER!$I$4:$I$1463,MATCH("RECKONING"&amp;"|"&amp;MAX(1,ROUND(COUNTIFS(MASTER!$B$4:$B$1463,"RECKONING",MASTER!$I$4:$I$1463,"&lt;&gt;")*$A78*100/100,0)),MASTER!$Y$4:$Y$1463,0))="",NA(),INDEX(MASTER!$I$4:$I$1463,MATCH("RECKONING"&amp;"|"&amp;MAX(1,ROUND(COUNTIFS(MASTER!$B$4:$B$1463,"RECKONING",MASTER!$I$4:$I$1463,"&lt;&gt;")*$A78*100/100,0)),MASTER!$Y$4:$Y$1463,0))),NA()),IF($B$4="COMBAT RATING",IFERROR(IF(INDEX(MASTER!$G$4:$G$1463,MATCH("RECKONING"&amp;"|"&amp;MAX(1,ROUND(COUNTIFS(MASTER!$B$4:$B$1463,"RECKONING",MASTER!$G$4:$G$1463,"&lt;&gt;")*$A78*100/100,0)),MASTER!$AH$4:$AH$1463,0))="",NA(),INDEX(MASTER!$G$4:$G$1463,MATCH("RECKONING"&amp;"|"&amp;MAX(1,ROUND(COUNTIFS(MASTER!$B$4:$B$1463,"RECKONING",MASTER!$G$4:$G$1463,"&lt;&gt;")*$A78*100/100,0)),MASTER!$AH$4:$AH$1463,0))),NA()),IF($B$4="SECONDARY",IFERROR(IF(INDEX(MASTER!$L$4:$L$1463,MATCH("RECKONING"&amp;"|"&amp;MAX(1,ROUND(COUNTIFS(MASTER!$B$4:$B$1463,"RECKONING",MASTER!$L$4:$L$1463,"&lt;&gt;")*$A78*100/100,0)),MASTER!$AI$4:$AI$1463,0))="",NA(),INDEX(MASTER!$L$4:$L$1463,MATCH("RECKONING"&amp;"|"&amp;MAX(1,ROUND(COUNTIFS(MASTER!$B$4:$B$1463,"RECKONING",MASTER!$L$4:$L$1463,"&lt;&gt;")*$A78*100/100,0)),MASTER!$AI$4:$AI$1463,0))),NA()))))</f>
        <v>7475</v>
      </c>
      <c r="I78" s="37">
        <f>IF($B$4="RESONANCE",IFERROR(IF(INDEX(MASTER!$I$4:$I$1463,MATCH("ACHERON"&amp;"|"&amp;MAX(1,ROUND(COUNTIFS(MASTER!$B$4:$B$1463,"ACHERON",MASTER!$I$4:$I$1463,"&lt;&gt;")*$A78*100/100,0)),MASTER!$Y$4:$Y$1463,0))="",NA(),INDEX(MASTER!$I$4:$I$1463,MATCH("ACHERON"&amp;"|"&amp;MAX(1,ROUND(COUNTIFS(MASTER!$B$4:$B$1463,"ACHERON",MASTER!$I$4:$I$1463,"&lt;&gt;")*$A78*100/100,0)),MASTER!$Y$4:$Y$1463,0))),NA()),IF($B$4="COMBAT RATING",IFERROR(IF(INDEX(MASTER!$G$4:$G$1463,MATCH("ACHERON"&amp;"|"&amp;MAX(1,ROUND(COUNTIFS(MASTER!$B$4:$B$1463,"ACHERON",MASTER!$G$4:$G$1463,"&lt;&gt;")*$A78*100/100,0)),MASTER!$AH$4:$AH$1463,0))="",NA(),INDEX(MASTER!$G$4:$G$1463,MATCH("ACHERON"&amp;"|"&amp;MAX(1,ROUND(COUNTIFS(MASTER!$B$4:$B$1463,"ACHERON",MASTER!$G$4:$G$1463,"&lt;&gt;")*$A78*100/100,0)),MASTER!$AH$4:$AH$1463,0))),NA()),IF($B$4="SECONDARY",IFERROR(IF(INDEX(MASTER!$L$4:$L$1463,MATCH("ACHERON"&amp;"|"&amp;MAX(1,ROUND(COUNTIFS(MASTER!$B$4:$B$1463,"ACHERON",MASTER!$L$4:$L$1463,"&lt;&gt;")*$A78*100/100,0)),MASTER!$AI$4:$AI$1463,0))="",NA(),INDEX(MASTER!$L$4:$L$1463,MATCH("ACHERON"&amp;"|"&amp;MAX(1,ROUND(COUNTIFS(MASTER!$B$4:$B$1463,"ACHERON",MASTER!$L$4:$L$1463,"&lt;&gt;")*$A78*100/100,0)),MASTER!$AI$4:$AI$1463,0))),NA()))))</f>
        <v>5283</v>
      </c>
      <c r="J78" s="37">
        <f>IF($B$4="RESONANCE",IFERROR(IF(INDEX(MASTER!$I$4:$I$1463,MATCH("INVICTUS"&amp;"|"&amp;MAX(1,ROUND(COUNTIFS(MASTER!$B$4:$B$1463,"INVICTUS",MASTER!$I$4:$I$1463,"&lt;&gt;")*$A78*100/100,0)),MASTER!$Y$4:$Y$1463,0))="",NA(),INDEX(MASTER!$I$4:$I$1463,MATCH("INVICTUS"&amp;"|"&amp;MAX(1,ROUND(COUNTIFS(MASTER!$B$4:$B$1463,"INVICTUS",MASTER!$I$4:$I$1463,"&lt;&gt;")*$A78*100/100,0)),MASTER!$Y$4:$Y$1463,0))),NA()),IF($B$4="COMBAT RATING",IFERROR(IF(INDEX(MASTER!$G$4:$G$1463,MATCH("INVICTUS"&amp;"|"&amp;MAX(1,ROUND(COUNTIFS(MASTER!$B$4:$B$1463,"INVICTUS",MASTER!$G$4:$G$1463,"&lt;&gt;")*$A78*100/100,0)),MASTER!$AH$4:$AH$1463,0))="",NA(),INDEX(MASTER!$G$4:$G$1463,MATCH("INVICTUS"&amp;"|"&amp;MAX(1,ROUND(COUNTIFS(MASTER!$B$4:$B$1463,"INVICTUS",MASTER!$G$4:$G$1463,"&lt;&gt;")*$A78*100/100,0)),MASTER!$AH$4:$AH$1463,0))),NA()),IF($B$4="SECONDARY",IFERROR(IF(INDEX(MASTER!$L$4:$L$1463,MATCH("INVICTUS"&amp;"|"&amp;MAX(1,ROUND(COUNTIFS(MASTER!$B$4:$B$1463,"INVICTUS",MASTER!$L$4:$L$1463,"&lt;&gt;")*$A78*100/100,0)),MASTER!$AI$4:$AI$1463,0))="",NA(),INDEX(MASTER!$L$4:$L$1463,MATCH("INVICTUS"&amp;"|"&amp;MAX(1,ROUND(COUNTIFS(MASTER!$B$4:$B$1463,"INVICTUS",MASTER!$L$4:$L$1463,"&lt;&gt;")*$A78*100/100,0)),MASTER!$AI$4:$AI$1463,0))),NA()))))</f>
        <v>4315</v>
      </c>
      <c r="K78" s="37">
        <f>IF($B$4="RESONANCE",IFERROR(IF(INDEX(MASTER!$I$4:$I$1463,MATCH("EMERALD LEAF TRIBE"&amp;"|"&amp;MAX(1,ROUND(COUNTIFS(MASTER!$B$4:$B$1463,"EMERALD LEAF TRIBE",MASTER!$I$4:$I$1463,"&lt;&gt;")*$A78*100/100,0)),MASTER!$Y$4:$Y$1463,0))="",NA(),INDEX(MASTER!$I$4:$I$1463,MATCH("EMERALD LEAF TRIBE"&amp;"|"&amp;MAX(1,ROUND(COUNTIFS(MASTER!$B$4:$B$1463,"EMERALD LEAF TRIBE",MASTER!$I$4:$I$1463,"&lt;&gt;")*$A78*100/100,0)),MASTER!$Y$4:$Y$1463,0))),NA()),IF($B$4="COMBAT RATING",IFERROR(IF(INDEX(MASTER!$G$4:$G$1463,MATCH("EMERALD LEAF TRIBE"&amp;"|"&amp;MAX(1,ROUND(COUNTIFS(MASTER!$B$4:$B$1463,"EMERALD LEAF TRIBE",MASTER!$G$4:$G$1463,"&lt;&gt;")*$A78*100/100,0)),MASTER!$AH$4:$AH$1463,0))="",NA(),INDEX(MASTER!$G$4:$G$1463,MATCH("EMERALD LEAF TRIBE"&amp;"|"&amp;MAX(1,ROUND(COUNTIFS(MASTER!$B$4:$B$1463,"EMERALD LEAF TRIBE",MASTER!$G$4:$G$1463,"&lt;&gt;")*$A78*100/100,0)),MASTER!$AH$4:$AH$1463,0))),NA()),IF($B$4="SECONDARY",IFERROR(IF(INDEX(MASTER!$L$4:$L$1463,MATCH("EMERALD LEAF TRIBE"&amp;"|"&amp;MAX(1,ROUND(COUNTIFS(MASTER!$B$4:$B$1463,"EMERALD LEAF TRIBE",MASTER!$L$4:$L$1463,"&lt;&gt;")*$A78*100/100,0)),MASTER!$AI$4:$AI$1463,0))="",NA(),INDEX(MASTER!$L$4:$L$1463,MATCH("EMERALD LEAF TRIBE"&amp;"|"&amp;MAX(1,ROUND(COUNTIFS(MASTER!$B$4:$B$1463,"EMERALD LEAF TRIBE",MASTER!$L$4:$L$1463,"&lt;&gt;")*$A78*100/100,0)),MASTER!$AI$4:$AI$1463,0))),NA()))))</f>
        <v>3295</v>
      </c>
      <c r="L78" s="37">
        <f>IF($B$4="RESONANCE",IFERROR(IF(INDEX(MASTER!$I$4:$I$1463,MATCH("SUB ROSA"&amp;"|"&amp;MAX(1,ROUND(COUNTIFS(MASTER!$B$4:$B$1463,"SUB ROSA",MASTER!$I$4:$I$1463,"&lt;&gt;")*$A78*100/100,0)),MASTER!$Y$4:$Y$1463,0))="",NA(),INDEX(MASTER!$I$4:$I$1463,MATCH("SUB ROSA"&amp;"|"&amp;MAX(1,ROUND(COUNTIFS(MASTER!$B$4:$B$1463,"SUB ROSA",MASTER!$I$4:$I$1463,"&lt;&gt;")*$A78*100/100,0)),MASTER!$Y$4:$Y$1463,0))),NA()),IF($B$4="COMBAT RATING",IFERROR(IF(INDEX(MASTER!$G$4:$G$1463,MATCH("SUB ROSA"&amp;"|"&amp;MAX(1,ROUND(COUNTIFS(MASTER!$B$4:$B$1463,"SUB ROSA",MASTER!$G$4:$G$1463,"&lt;&gt;")*$A78*100/100,0)),MASTER!$AH$4:$AH$1463,0))="",NA(),INDEX(MASTER!$G$4:$G$1463,MATCH("SUB ROSA"&amp;"|"&amp;MAX(1,ROUND(COUNTIFS(MASTER!$B$4:$B$1463,"SUB ROSA",MASTER!$G$4:$G$1463,"&lt;&gt;")*$A78*100/100,0)),MASTER!$AH$4:$AH$1463,0))),NA()),IF($B$4="SECONDARY",IFERROR(IF(INDEX(MASTER!$L$4:$L$1463,MATCH("SUB ROSA"&amp;"|"&amp;MAX(1,ROUND(COUNTIFS(MASTER!$B$4:$B$1463,"SUB ROSA",MASTER!$L$4:$L$1463,"&lt;&gt;")*$A78*100/100,0)),MASTER!$AI$4:$AI$1463,0))="",NA(),INDEX(MASTER!$L$4:$L$1463,MATCH("SUB ROSA"&amp;"|"&amp;MAX(1,ROUND(COUNTIFS(MASTER!$B$4:$B$1463,"SUB ROSA",MASTER!$L$4:$L$1463,"&lt;&gt;")*$A78*100/100,0)),MASTER!$AI$4:$AI$1463,0))),NA()))))</f>
        <v>3932</v>
      </c>
      <c r="M78" s="37">
        <f>IF($B$4="RESONANCE",IFERROR(IF(INDEX(MASTER!$I$4:$I$1463,MATCH("VENGEANCE"&amp;"|"&amp;MAX(1,ROUND(COUNTIFS(MASTER!$B$4:$B$1463,"VENGEANCE",MASTER!$I$4:$I$1463,"&lt;&gt;")*$A78*100/100,0)),MASTER!$Y$4:$Y$1463,0))="",NA(),INDEX(MASTER!$I$4:$I$1463,MATCH("VENGEANCE"&amp;"|"&amp;MAX(1,ROUND(COUNTIFS(MASTER!$B$4:$B$1463,"VENGEANCE",MASTER!$I$4:$I$1463,"&lt;&gt;")*$A78*100/100,0)),MASTER!$Y$4:$Y$1463,0))),NA()),IF($B$4="COMBAT RATING",IFERROR(IF(INDEX(MASTER!$G$4:$G$1463,MATCH("VENGEANCE"&amp;"|"&amp;MAX(1,ROUND(COUNTIFS(MASTER!$B$4:$B$1463,"VENGEANCE",MASTER!$G$4:$G$1463,"&lt;&gt;")*$A78*100/100,0)),MASTER!$AH$4:$AH$1463,0))="",NA(),INDEX(MASTER!$G$4:$G$1463,MATCH("VENGEANCE"&amp;"|"&amp;MAX(1,ROUND(COUNTIFS(MASTER!$B$4:$B$1463,"VENGEANCE",MASTER!$G$4:$G$1463,"&lt;&gt;")*$A78*100/100,0)),MASTER!$AH$4:$AH$1463,0))),NA()),IF($B$4="SECONDARY",IFERROR(IF(INDEX(MASTER!$L$4:$L$1463,MATCH("VENGEANCE"&amp;"|"&amp;MAX(1,ROUND(COUNTIFS(MASTER!$B$4:$B$1463,"VENGEANCE",MASTER!$L$4:$L$1463,"&lt;&gt;")*$A78*100/100,0)),MASTER!$AI$4:$AI$1463,0))="",NA(),INDEX(MASTER!$L$4:$L$1463,MATCH("VENGEANCE"&amp;"|"&amp;MAX(1,ROUND(COUNTIFS(MASTER!$B$4:$B$1463,"VENGEANCE",MASTER!$L$4:$L$1463,"&lt;&gt;")*$A78*100/100,0)),MASTER!$AI$4:$AI$1463,0))),NA()))))</f>
        <v>4629</v>
      </c>
      <c r="N78" s="37">
        <f>IF($B$4="RESONANCE",IFERROR(IF(INDEX(MASTER!$I$4:$I$1463,MATCH("VENDETTA"&amp;"|"&amp;MAX(1,ROUND(COUNTIFS(MASTER!$B$4:$B$1463,"VENDETTA",MASTER!$I$4:$I$1463,"&lt;&gt;")*$A78*100/100,0)),MASTER!$Y$4:$Y$1463,0))="",NA(),INDEX(MASTER!$I$4:$I$1463,MATCH("VENDETTA"&amp;"|"&amp;MAX(1,ROUND(COUNTIFS(MASTER!$B$4:$B$1463,"VENDETTA",MASTER!$I$4:$I$1463,"&lt;&gt;")*$A78*100/100,0)),MASTER!$Y$4:$Y$1463,0))),NA()),IF($B$4="COMBAT RATING",IFERROR(IF(INDEX(MASTER!$G$4:$G$1463,MATCH("VENDETTA"&amp;"|"&amp;MAX(1,ROUND(COUNTIFS(MASTER!$B$4:$B$1463,"VENDETTA",MASTER!$G$4:$G$1463,"&lt;&gt;")*$A78*100/100,0)),MASTER!$AH$4:$AH$1463,0))="",NA(),INDEX(MASTER!$G$4:$G$1463,MATCH("VENDETTA"&amp;"|"&amp;MAX(1,ROUND(COUNTIFS(MASTER!$B$4:$B$1463,"VENDETTA",MASTER!$G$4:$G$1463,"&lt;&gt;")*$A78*100/100,0)),MASTER!$AH$4:$AH$1463,0))),NA()),IF($B$4="SECONDARY",IFERROR(IF(INDEX(MASTER!$L$4:$L$1463,MATCH("VENDETTA"&amp;"|"&amp;MAX(1,ROUND(COUNTIFS(MASTER!$B$4:$B$1463,"VENDETTA",MASTER!$L$4:$L$1463,"&lt;&gt;")*$A78*100/100,0)),MASTER!$AI$4:$AI$1463,0))="",NA(),INDEX(MASTER!$L$4:$L$1463,MATCH("VENDETTA"&amp;"|"&amp;MAX(1,ROUND(COUNTIFS(MASTER!$B$4:$B$1463,"VENDETTA",MASTER!$L$4:$L$1463,"&lt;&gt;")*$A78*100/100,0)),MASTER!$AI$4:$AI$1463,0))),NA()))))</f>
        <v>2847</v>
      </c>
      <c r="O78" s="37">
        <f>IF($B$4="RESONANCE",IFERROR(IF(INDEX(MASTER!$I$4:$I$1463,MATCH("ZOMBIES"&amp;"|"&amp;MAX(1,ROUND(COUNTIFS(MASTER!$B$4:$B$1463,"ZOMBIES",MASTER!$I$4:$I$1463,"&lt;&gt;")*$A78*100/100,0)),MASTER!$Y$4:$Y$1463,0))="",NA(),INDEX(MASTER!$I$4:$I$1463,MATCH("ZOMBIES"&amp;"|"&amp;MAX(1,ROUND(COUNTIFS(MASTER!$B$4:$B$1463,"ZOMBIES",MASTER!$I$4:$I$1463,"&lt;&gt;")*$A78*100/100,0)),MASTER!$Y$4:$Y$1463,0))),NA()),IF($B$4="COMBAT RATING",IFERROR(IF(INDEX(MASTER!$G$4:$G$1463,MATCH("ZOMBIES"&amp;"|"&amp;MAX(1,ROUND(COUNTIFS(MASTER!$B$4:$B$1463,"ZOMBIES",MASTER!$G$4:$G$1463,"&lt;&gt;")*$A78*100/100,0)),MASTER!$AH$4:$AH$1463,0))="",NA(),INDEX(MASTER!$G$4:$G$1463,MATCH("ZOMBIES"&amp;"|"&amp;MAX(1,ROUND(COUNTIFS(MASTER!$B$4:$B$1463,"ZOMBIES",MASTER!$G$4:$G$1463,"&lt;&gt;")*$A78*100/100,0)),MASTER!$AH$4:$AH$1463,0))),NA()),IF($B$4="SECONDARY",IFERROR(IF(INDEX(MASTER!$L$4:$L$1463,MATCH("ZOMBIES"&amp;"|"&amp;MAX(1,ROUND(COUNTIFS(MASTER!$B$4:$B$1463,"ZOMBIES",MASTER!$L$4:$L$1463,"&lt;&gt;")*$A78*100/100,0)),MASTER!$AI$4:$AI$1463,0))="",NA(),INDEX(MASTER!$L$4:$L$1463,MATCH("ZOMBIES"&amp;"|"&amp;MAX(1,ROUND(COUNTIFS(MASTER!$B$4:$B$1463,"ZOMBIES",MASTER!$L$4:$L$1463,"&lt;&gt;")*$A78*100/100,0)),MASTER!$AI$4:$AI$1463,0))),NA()))))</f>
        <v>2529</v>
      </c>
      <c r="P78" s="37">
        <f>IF($B$4="RESONANCE",IFERROR(IF(INDEX(MASTER!$I$4:$I$1463,MATCH("FUCT"&amp;"|"&amp;MAX(1,ROUND(COUNTIFS(MASTER!$B$4:$B$1463,"FUCT",MASTER!$I$4:$I$1463,"&lt;&gt;")*$A78*100/100,0)),MASTER!$Y$4:$Y$1463,0))="",NA(),INDEX(MASTER!$I$4:$I$1463,MATCH("FUCT"&amp;"|"&amp;MAX(1,ROUND(COUNTIFS(MASTER!$B$4:$B$1463,"FUCT",MASTER!$I$4:$I$1463,"&lt;&gt;")*$A78*100/100,0)),MASTER!$Y$4:$Y$1463,0))),NA()),IF($B$4="COMBAT RATING",IFERROR(IF(INDEX(MASTER!$G$4:$G$1463,MATCH("FUCT"&amp;"|"&amp;MAX(1,ROUND(COUNTIFS(MASTER!$B$4:$B$1463,"FUCT",MASTER!$G$4:$G$1463,"&lt;&gt;")*$A78*100/100,0)),MASTER!$AH$4:$AH$1463,0))="",NA(),INDEX(MASTER!$G$4:$G$1463,MATCH("FUCT"&amp;"|"&amp;MAX(1,ROUND(COUNTIFS(MASTER!$B$4:$B$1463,"FUCT",MASTER!$G$4:$G$1463,"&lt;&gt;")*$A78*100/100,0)),MASTER!$AH$4:$AH$1463,0))),NA()),IF($B$4="SECONDARY",IFERROR(IF(INDEX(MASTER!$L$4:$L$1463,MATCH("FUCT"&amp;"|"&amp;MAX(1,ROUND(COUNTIFS(MASTER!$B$4:$B$1463,"FUCT",MASTER!$L$4:$L$1463,"&lt;&gt;")*$A78*100/100,0)),MASTER!$AI$4:$AI$1463,0))="",NA(),INDEX(MASTER!$L$4:$L$1463,MATCH("FUCT"&amp;"|"&amp;MAX(1,ROUND(COUNTIFS(MASTER!$B$4:$B$1463,"FUCT",MASTER!$L$4:$L$1463,"&lt;&gt;")*$A78*100/100,0)),MASTER!$AI$4:$AI$1463,0))),NA()))))</f>
        <v>7134</v>
      </c>
      <c r="Q78" s="37">
        <f>IF($B$4="RESONANCE",IFERROR(IF(INDEX(MASTER!$I$4:$I$1463,MATCH($E$4&amp;"|"&amp;MAX(1,ROUND(COUNTIFS(MASTER!$B$4:$B$1463,$E$4,MASTER!$I$4:$I$1463,"&lt;&gt;")*$A78*100/100,0)),MASTER!$Y$4:$Y$1463,0))="",NA(),INDEX(MASTER!$I$4:$I$1463,MATCH($E$4&amp;"|"&amp;MAX(1,ROUND(COUNTIFS(MASTER!$B$4:$B$1463,$E$4,MASTER!$I$4:$I$1463,"&lt;&gt;")*$A78*100/100,0)),MASTER!$Y$4:$Y$1463,0))),NA()),IF($B$4="COMBAT RATING",IFERROR(IF(INDEX(MASTER!$G$4:$G$1463,MATCH($E$4&amp;"|"&amp;MAX(1,ROUND(COUNTIFS(MASTER!$B$4:$B$1463,$E$4,MASTER!$G$4:$G$1463,"&lt;&gt;")*$A78*100/100,0)),MASTER!$AH$4:$AH$1463,0))="",NA(),INDEX(MASTER!$G$4:$G$1463,MATCH($E$4&amp;"|"&amp;MAX(1,ROUND(COUNTIFS(MASTER!$B$4:$B$1463,$E$4,MASTER!$G$4:$G$1463,"&lt;&gt;")*$A78*100/100,0)),MASTER!$AH$4:$AH$1463,0))),NA()),IF($B$4="SECONDARY",IFERROR(IF(INDEX(MASTER!$L$4:$L$1463,MATCH($E$4&amp;"|"&amp;MAX(1,ROUND(COUNTIFS(MASTER!$B$4:$B$1463,$E$4,MASTER!$L$4:$L$1463,"&lt;&gt;")*$A78*100/100,0)),MASTER!$AI$4:$AI$1463,0))="",NA(),INDEX(MASTER!$L$4:$L$1463,MATCH($E$4&amp;"|"&amp;MAX(1,ROUND(COUNTIFS(MASTER!$B$4:$B$1463,$E$4,MASTER!$L$4:$L$1463,"&lt;&gt;")*$A78*100/100,0)),MASTER!$AI$4:$AI$1463,0))),NA()))))</f>
        <v>5620</v>
      </c>
    </row>
    <row r="79" spans="1:17" hidden="1">
      <c r="A79" s="36">
        <v>0.24</v>
      </c>
      <c r="B79" s="37">
        <f>IF($B$4="RESONANCE",IFERROR(IF(INDEX(MASTER!$I$4:$I$1463,MATCH("FUCT"&amp;"|"&amp;MAX(1,ROUND(COUNTIFS(MASTER!$B$4:$B$1463,"FUCT",MASTER!$I$4:$I$1463,"&lt;&gt;")*$A79*100/100,0)),MASTER!$Y$4:$Y$1463,0))="",NA(),INDEX(MASTER!$I$4:$I$1463,MATCH("FUCT"&amp;"|"&amp;MAX(1,ROUND(COUNTIFS(MASTER!$B$4:$B$1463,"FUCT",MASTER!$I$4:$I$1463,"&lt;&gt;")*$A79*100/100,0)),MASTER!$Y$4:$Y$1463,0))),NA()),IF($B$4="COMBAT RATING",IFERROR(IF(INDEX(MASTER!$G$4:$G$1463,MATCH("FUCT"&amp;"|"&amp;MAX(1,ROUND(COUNTIFS(MASTER!$B$4:$B$1463,"FUCT",MASTER!$G$4:$G$1463,"&lt;&gt;")*$A79*100/100,0)),MASTER!$AH$4:$AH$1463,0))="",NA(),INDEX(MASTER!$G$4:$G$1463,MATCH("FUCT"&amp;"|"&amp;MAX(1,ROUND(COUNTIFS(MASTER!$B$4:$B$1463,"FUCT",MASTER!$G$4:$G$1463,"&lt;&gt;")*$A79*100/100,0)),MASTER!$AH$4:$AH$1463,0))),NA()),IF($B$4="SECONDARY",IFERROR(IF(INDEX(MASTER!$L$4:$L$1463,MATCH("FUCT"&amp;"|"&amp;MAX(1,ROUND(COUNTIFS(MASTER!$B$4:$B$1463,"FUCT",MASTER!$L$4:$L$1463,"&lt;&gt;")*$A79*100/100,0)),MASTER!$AI$4:$AI$1463,0))="",NA(),INDEX(MASTER!$L$4:$L$1463,MATCH("FUCT"&amp;"|"&amp;MAX(1,ROUND(COUNTIFS(MASTER!$B$4:$B$1463,"FUCT",MASTER!$L$4:$L$1463,"&lt;&gt;")*$A79*100/100,0)),MASTER!$AI$4:$AI$1463,0))),NA()))))</f>
        <v>6734</v>
      </c>
      <c r="C79" s="37">
        <f>IF($B$4="RESONANCE",IFERROR(IF(INDEX(MASTER!$I$4:$I$1463,MATCH("LEGENDS"&amp;"|"&amp;MAX(1,ROUND(COUNTIFS(MASTER!$B$4:$B$1463,"LEGENDS",MASTER!$I$4:$I$1463,"&lt;&gt;")*$A79*100/100,0)),MASTER!$Y$4:$Y$1463,0))="",NA(),INDEX(MASTER!$I$4:$I$1463,MATCH("LEGENDS"&amp;"|"&amp;MAX(1,ROUND(COUNTIFS(MASTER!$B$4:$B$1463,"LEGENDS",MASTER!$I$4:$I$1463,"&lt;&gt;")*$A79*100/100,0)),MASTER!$Y$4:$Y$1463,0))),NA()),IF($B$4="COMBAT RATING",IFERROR(IF(INDEX(MASTER!$G$4:$G$1463,MATCH("LEGENDS"&amp;"|"&amp;MAX(1,ROUND(COUNTIFS(MASTER!$B$4:$B$1463,"LEGENDS",MASTER!$G$4:$G$1463,"&lt;&gt;")*$A79*100/100,0)),MASTER!$AH$4:$AH$1463,0))="",NA(),INDEX(MASTER!$G$4:$G$1463,MATCH("LEGENDS"&amp;"|"&amp;MAX(1,ROUND(COUNTIFS(MASTER!$B$4:$B$1463,"LEGENDS",MASTER!$G$4:$G$1463,"&lt;&gt;")*$A79*100/100,0)),MASTER!$AH$4:$AH$1463,0))),NA()),IF($B$4="SECONDARY",IFERROR(IF(INDEX(MASTER!$L$4:$L$1463,MATCH("LEGENDS"&amp;"|"&amp;MAX(1,ROUND(COUNTIFS(MASTER!$B$4:$B$1463,"LEGENDS",MASTER!$L$4:$L$1463,"&lt;&gt;")*$A79*100/100,0)),MASTER!$AI$4:$AI$1463,0))="",NA(),INDEX(MASTER!$L$4:$L$1463,MATCH("LEGENDS"&amp;"|"&amp;MAX(1,ROUND(COUNTIFS(MASTER!$B$4:$B$1463,"LEGENDS",MASTER!$L$4:$L$1463,"&lt;&gt;")*$A79*100/100,0)),MASTER!$AI$4:$AI$1463,0))),NA()))))</f>
        <v>6777</v>
      </c>
      <c r="D79" s="37">
        <f>IF($B$4="RESONANCE",IFERROR(IF(INDEX(MASTER!$I$4:$I$1463,MATCH("VANGUARD"&amp;"|"&amp;MAX(1,ROUND(COUNTIFS(MASTER!$B$4:$B$1463,"VANGUARD",MASTER!$I$4:$I$1463,"&lt;&gt;")*$A79*100/100,0)),MASTER!$Y$4:$Y$1463,0))="",NA(),INDEX(MASTER!$I$4:$I$1463,MATCH("VANGUARD"&amp;"|"&amp;MAX(1,ROUND(COUNTIFS(MASTER!$B$4:$B$1463,"VANGUARD",MASTER!$I$4:$I$1463,"&lt;&gt;")*$A79*100/100,0)),MASTER!$Y$4:$Y$1463,0))),NA()),IF($B$4="COMBAT RATING",IFERROR(IF(INDEX(MASTER!$G$4:$G$1463,MATCH("VANGUARD"&amp;"|"&amp;MAX(1,ROUND(COUNTIFS(MASTER!$B$4:$B$1463,"VANGUARD",MASTER!$G$4:$G$1463,"&lt;&gt;")*$A79*100/100,0)),MASTER!$AH$4:$AH$1463,0))="",NA(),INDEX(MASTER!$G$4:$G$1463,MATCH("VANGUARD"&amp;"|"&amp;MAX(1,ROUND(COUNTIFS(MASTER!$B$4:$B$1463,"VANGUARD",MASTER!$G$4:$G$1463,"&lt;&gt;")*$A79*100/100,0)),MASTER!$AH$4:$AH$1463,0))),NA()),IF($B$4="SECONDARY",IFERROR(IF(INDEX(MASTER!$L$4:$L$1463,MATCH("VANGUARD"&amp;"|"&amp;MAX(1,ROUND(COUNTIFS(MASTER!$B$4:$B$1463,"VANGUARD",MASTER!$L$4:$L$1463,"&lt;&gt;")*$A79*100/100,0)),MASTER!$AI$4:$AI$1463,0))="",NA(),INDEX(MASTER!$L$4:$L$1463,MATCH("VANGUARD"&amp;"|"&amp;MAX(1,ROUND(COUNTIFS(MASTER!$B$4:$B$1463,"VANGUARD",MASTER!$L$4:$L$1463,"&lt;&gt;")*$A79*100/100,0)),MASTER!$AI$4:$AI$1463,0))),NA()))))</f>
        <v>9037</v>
      </c>
      <c r="E79" s="37">
        <f>IF($B$4="RESONANCE",IFERROR(IF(INDEX(MASTER!$I$4:$I$1463,MATCH("UNDYING"&amp;"|"&amp;MAX(1,ROUND(COUNTIFS(MASTER!$B$4:$B$1463,"UNDYING",MASTER!$I$4:$I$1463,"&lt;&gt;")*$A79*100/100,0)),MASTER!$Y$4:$Y$1463,0))="",NA(),INDEX(MASTER!$I$4:$I$1463,MATCH("UNDYING"&amp;"|"&amp;MAX(1,ROUND(COUNTIFS(MASTER!$B$4:$B$1463,"UNDYING",MASTER!$I$4:$I$1463,"&lt;&gt;")*$A79*100/100,0)),MASTER!$Y$4:$Y$1463,0))),NA()),IF($B$4="COMBAT RATING",IFERROR(IF(INDEX(MASTER!$G$4:$G$1463,MATCH("UNDYING"&amp;"|"&amp;MAX(1,ROUND(COUNTIFS(MASTER!$B$4:$B$1463,"UNDYING",MASTER!$G$4:$G$1463,"&lt;&gt;")*$A79*100/100,0)),MASTER!$AH$4:$AH$1463,0))="",NA(),INDEX(MASTER!$G$4:$G$1463,MATCH("UNDYING"&amp;"|"&amp;MAX(1,ROUND(COUNTIFS(MASTER!$B$4:$B$1463,"UNDYING",MASTER!$G$4:$G$1463,"&lt;&gt;")*$A79*100/100,0)),MASTER!$AH$4:$AH$1463,0))),NA()),IF($B$4="SECONDARY",IFERROR(IF(INDEX(MASTER!$L$4:$L$1463,MATCH("UNDYING"&amp;"|"&amp;MAX(1,ROUND(COUNTIFS(MASTER!$B$4:$B$1463,"UNDYING",MASTER!$L$4:$L$1463,"&lt;&gt;")*$A79*100/100,0)),MASTER!$AI$4:$AI$1463,0))="",NA(),INDEX(MASTER!$L$4:$L$1463,MATCH("UNDYING"&amp;"|"&amp;MAX(1,ROUND(COUNTIFS(MASTER!$B$4:$B$1463,"UNDYING",MASTER!$L$4:$L$1463,"&lt;&gt;")*$A79*100/100,0)),MASTER!$AI$4:$AI$1463,0))),NA()))))</f>
        <v>5519</v>
      </c>
      <c r="F79" s="37">
        <f>IF($B$4="RESONANCE",IFERROR(IF(INDEX(MASTER!$I$4:$I$1463,MATCH("SBG"&amp;"|"&amp;MAX(1,ROUND(COUNTIFS(MASTER!$B$4:$B$1463,"SBG",MASTER!$I$4:$I$1463,"&lt;&gt;")*$A79*100/100,0)),MASTER!$Y$4:$Y$1463,0))="",NA(),INDEX(MASTER!$I$4:$I$1463,MATCH("SBG"&amp;"|"&amp;MAX(1,ROUND(COUNTIFS(MASTER!$B$4:$B$1463,"SBG",MASTER!$I$4:$I$1463,"&lt;&gt;")*$A79*100/100,0)),MASTER!$Y$4:$Y$1463,0))),NA()),IF($B$4="COMBAT RATING",IFERROR(IF(INDEX(MASTER!$G$4:$G$1463,MATCH("SBG"&amp;"|"&amp;MAX(1,ROUND(COUNTIFS(MASTER!$B$4:$B$1463,"SBG",MASTER!$G$4:$G$1463,"&lt;&gt;")*$A79*100/100,0)),MASTER!$AH$4:$AH$1463,0))="",NA(),INDEX(MASTER!$G$4:$G$1463,MATCH("SBG"&amp;"|"&amp;MAX(1,ROUND(COUNTIFS(MASTER!$B$4:$B$1463,"SBG",MASTER!$G$4:$G$1463,"&lt;&gt;")*$A79*100/100,0)),MASTER!$AH$4:$AH$1463,0))),NA()),IF($B$4="SECONDARY",IFERROR(IF(INDEX(MASTER!$L$4:$L$1463,MATCH("SBG"&amp;"|"&amp;MAX(1,ROUND(COUNTIFS(MASTER!$B$4:$B$1463,"SBG",MASTER!$L$4:$L$1463,"&lt;&gt;")*$A79*100/100,0)),MASTER!$AI$4:$AI$1463,0))="",NA(),INDEX(MASTER!$L$4:$L$1463,MATCH("SBG"&amp;"|"&amp;MAX(1,ROUND(COUNTIFS(MASTER!$B$4:$B$1463,"SBG",MASTER!$L$4:$L$1463,"&lt;&gt;")*$A79*100/100,0)),MASTER!$AI$4:$AI$1463,0))),NA()))))</f>
        <v>8070</v>
      </c>
      <c r="G79" s="37">
        <f>IF($B$4="RESONANCE",IFERROR(IF(INDEX(MASTER!$I$4:$I$1463,MATCH("AZUKI"&amp;"|"&amp;MAX(1,ROUND(COUNTIFS(MASTER!$B$4:$B$1463,"AZUKI",MASTER!$I$4:$I$1463,"&lt;&gt;")*$A79*100/100,0)),MASTER!$Y$4:$Y$1463,0))="",NA(),INDEX(MASTER!$I$4:$I$1463,MATCH("AZUKI"&amp;"|"&amp;MAX(1,ROUND(COUNTIFS(MASTER!$B$4:$B$1463,"AZUKI",MASTER!$I$4:$I$1463,"&lt;&gt;")*$A79*100/100,0)),MASTER!$Y$4:$Y$1463,0))),NA()),IF($B$4="COMBAT RATING",IFERROR(IF(INDEX(MASTER!$G$4:$G$1463,MATCH("AZUKI"&amp;"|"&amp;MAX(1,ROUND(COUNTIFS(MASTER!$B$4:$B$1463,"AZUKI",MASTER!$G$4:$G$1463,"&lt;&gt;")*$A79*100/100,0)),MASTER!$AH$4:$AH$1463,0))="",NA(),INDEX(MASTER!$G$4:$G$1463,MATCH("AZUKI"&amp;"|"&amp;MAX(1,ROUND(COUNTIFS(MASTER!$B$4:$B$1463,"AZUKI",MASTER!$G$4:$G$1463,"&lt;&gt;")*$A79*100/100,0)),MASTER!$AH$4:$AH$1463,0))),NA()),IF($B$4="SECONDARY",IFERROR(IF(INDEX(MASTER!$L$4:$L$1463,MATCH("AZUKI"&amp;"|"&amp;MAX(1,ROUND(COUNTIFS(MASTER!$B$4:$B$1463,"AZUKI",MASTER!$L$4:$L$1463,"&lt;&gt;")*$A79*100/100,0)),MASTER!$AI$4:$AI$1463,0))="",NA(),INDEX(MASTER!$L$4:$L$1463,MATCH("AZUKI"&amp;"|"&amp;MAX(1,ROUND(COUNTIFS(MASTER!$B$4:$B$1463,"AZUKI",MASTER!$L$4:$L$1463,"&lt;&gt;")*$A79*100/100,0)),MASTER!$AI$4:$AI$1463,0))),NA()))))</f>
        <v>7914</v>
      </c>
      <c r="H79" s="37">
        <f>IF($B$4="RESONANCE",IFERROR(IF(INDEX(MASTER!$I$4:$I$1463,MATCH("RECKONING"&amp;"|"&amp;MAX(1,ROUND(COUNTIFS(MASTER!$B$4:$B$1463,"RECKONING",MASTER!$I$4:$I$1463,"&lt;&gt;")*$A79*100/100,0)),MASTER!$Y$4:$Y$1463,0))="",NA(),INDEX(MASTER!$I$4:$I$1463,MATCH("RECKONING"&amp;"|"&amp;MAX(1,ROUND(COUNTIFS(MASTER!$B$4:$B$1463,"RECKONING",MASTER!$I$4:$I$1463,"&lt;&gt;")*$A79*100/100,0)),MASTER!$Y$4:$Y$1463,0))),NA()),IF($B$4="COMBAT RATING",IFERROR(IF(INDEX(MASTER!$G$4:$G$1463,MATCH("RECKONING"&amp;"|"&amp;MAX(1,ROUND(COUNTIFS(MASTER!$B$4:$B$1463,"RECKONING",MASTER!$G$4:$G$1463,"&lt;&gt;")*$A79*100/100,0)),MASTER!$AH$4:$AH$1463,0))="",NA(),INDEX(MASTER!$G$4:$G$1463,MATCH("RECKONING"&amp;"|"&amp;MAX(1,ROUND(COUNTIFS(MASTER!$B$4:$B$1463,"RECKONING",MASTER!$G$4:$G$1463,"&lt;&gt;")*$A79*100/100,0)),MASTER!$AH$4:$AH$1463,0))),NA()),IF($B$4="SECONDARY",IFERROR(IF(INDEX(MASTER!$L$4:$L$1463,MATCH("RECKONING"&amp;"|"&amp;MAX(1,ROUND(COUNTIFS(MASTER!$B$4:$B$1463,"RECKONING",MASTER!$L$4:$L$1463,"&lt;&gt;")*$A79*100/100,0)),MASTER!$AI$4:$AI$1463,0))="",NA(),INDEX(MASTER!$L$4:$L$1463,MATCH("RECKONING"&amp;"|"&amp;MAX(1,ROUND(COUNTIFS(MASTER!$B$4:$B$1463,"RECKONING",MASTER!$L$4:$L$1463,"&lt;&gt;")*$A79*100/100,0)),MASTER!$AI$4:$AI$1463,0))),NA()))))</f>
        <v>7367</v>
      </c>
      <c r="I79" s="37">
        <f>IF($B$4="RESONANCE",IFERROR(IF(INDEX(MASTER!$I$4:$I$1463,MATCH("ACHERON"&amp;"|"&amp;MAX(1,ROUND(COUNTIFS(MASTER!$B$4:$B$1463,"ACHERON",MASTER!$I$4:$I$1463,"&lt;&gt;")*$A79*100/100,0)),MASTER!$Y$4:$Y$1463,0))="",NA(),INDEX(MASTER!$I$4:$I$1463,MATCH("ACHERON"&amp;"|"&amp;MAX(1,ROUND(COUNTIFS(MASTER!$B$4:$B$1463,"ACHERON",MASTER!$I$4:$I$1463,"&lt;&gt;")*$A79*100/100,0)),MASTER!$Y$4:$Y$1463,0))),NA()),IF($B$4="COMBAT RATING",IFERROR(IF(INDEX(MASTER!$G$4:$G$1463,MATCH("ACHERON"&amp;"|"&amp;MAX(1,ROUND(COUNTIFS(MASTER!$B$4:$B$1463,"ACHERON",MASTER!$G$4:$G$1463,"&lt;&gt;")*$A79*100/100,0)),MASTER!$AH$4:$AH$1463,0))="",NA(),INDEX(MASTER!$G$4:$G$1463,MATCH("ACHERON"&amp;"|"&amp;MAX(1,ROUND(COUNTIFS(MASTER!$B$4:$B$1463,"ACHERON",MASTER!$G$4:$G$1463,"&lt;&gt;")*$A79*100/100,0)),MASTER!$AH$4:$AH$1463,0))),NA()),IF($B$4="SECONDARY",IFERROR(IF(INDEX(MASTER!$L$4:$L$1463,MATCH("ACHERON"&amp;"|"&amp;MAX(1,ROUND(COUNTIFS(MASTER!$B$4:$B$1463,"ACHERON",MASTER!$L$4:$L$1463,"&lt;&gt;")*$A79*100/100,0)),MASTER!$AI$4:$AI$1463,0))="",NA(),INDEX(MASTER!$L$4:$L$1463,MATCH("ACHERON"&amp;"|"&amp;MAX(1,ROUND(COUNTIFS(MASTER!$B$4:$B$1463,"ACHERON",MASTER!$L$4:$L$1463,"&lt;&gt;")*$A79*100/100,0)),MASTER!$AI$4:$AI$1463,0))),NA()))))</f>
        <v>5232</v>
      </c>
      <c r="J79" s="37">
        <f>IF($B$4="RESONANCE",IFERROR(IF(INDEX(MASTER!$I$4:$I$1463,MATCH("INVICTUS"&amp;"|"&amp;MAX(1,ROUND(COUNTIFS(MASTER!$B$4:$B$1463,"INVICTUS",MASTER!$I$4:$I$1463,"&lt;&gt;")*$A79*100/100,0)),MASTER!$Y$4:$Y$1463,0))="",NA(),INDEX(MASTER!$I$4:$I$1463,MATCH("INVICTUS"&amp;"|"&amp;MAX(1,ROUND(COUNTIFS(MASTER!$B$4:$B$1463,"INVICTUS",MASTER!$I$4:$I$1463,"&lt;&gt;")*$A79*100/100,0)),MASTER!$Y$4:$Y$1463,0))),NA()),IF($B$4="COMBAT RATING",IFERROR(IF(INDEX(MASTER!$G$4:$G$1463,MATCH("INVICTUS"&amp;"|"&amp;MAX(1,ROUND(COUNTIFS(MASTER!$B$4:$B$1463,"INVICTUS",MASTER!$G$4:$G$1463,"&lt;&gt;")*$A79*100/100,0)),MASTER!$AH$4:$AH$1463,0))="",NA(),INDEX(MASTER!$G$4:$G$1463,MATCH("INVICTUS"&amp;"|"&amp;MAX(1,ROUND(COUNTIFS(MASTER!$B$4:$B$1463,"INVICTUS",MASTER!$G$4:$G$1463,"&lt;&gt;")*$A79*100/100,0)),MASTER!$AH$4:$AH$1463,0))),NA()),IF($B$4="SECONDARY",IFERROR(IF(INDEX(MASTER!$L$4:$L$1463,MATCH("INVICTUS"&amp;"|"&amp;MAX(1,ROUND(COUNTIFS(MASTER!$B$4:$B$1463,"INVICTUS",MASTER!$L$4:$L$1463,"&lt;&gt;")*$A79*100/100,0)),MASTER!$AI$4:$AI$1463,0))="",NA(),INDEX(MASTER!$L$4:$L$1463,MATCH("INVICTUS"&amp;"|"&amp;MAX(1,ROUND(COUNTIFS(MASTER!$B$4:$B$1463,"INVICTUS",MASTER!$L$4:$L$1463,"&lt;&gt;")*$A79*100/100,0)),MASTER!$AI$4:$AI$1463,0))),NA()))))</f>
        <v>4290</v>
      </c>
      <c r="K79" s="37">
        <f>IF($B$4="RESONANCE",IFERROR(IF(INDEX(MASTER!$I$4:$I$1463,MATCH("EMERALD LEAF TRIBE"&amp;"|"&amp;MAX(1,ROUND(COUNTIFS(MASTER!$B$4:$B$1463,"EMERALD LEAF TRIBE",MASTER!$I$4:$I$1463,"&lt;&gt;")*$A79*100/100,0)),MASTER!$Y$4:$Y$1463,0))="",NA(),INDEX(MASTER!$I$4:$I$1463,MATCH("EMERALD LEAF TRIBE"&amp;"|"&amp;MAX(1,ROUND(COUNTIFS(MASTER!$B$4:$B$1463,"EMERALD LEAF TRIBE",MASTER!$I$4:$I$1463,"&lt;&gt;")*$A79*100/100,0)),MASTER!$Y$4:$Y$1463,0))),NA()),IF($B$4="COMBAT RATING",IFERROR(IF(INDEX(MASTER!$G$4:$G$1463,MATCH("EMERALD LEAF TRIBE"&amp;"|"&amp;MAX(1,ROUND(COUNTIFS(MASTER!$B$4:$B$1463,"EMERALD LEAF TRIBE",MASTER!$G$4:$G$1463,"&lt;&gt;")*$A79*100/100,0)),MASTER!$AH$4:$AH$1463,0))="",NA(),INDEX(MASTER!$G$4:$G$1463,MATCH("EMERALD LEAF TRIBE"&amp;"|"&amp;MAX(1,ROUND(COUNTIFS(MASTER!$B$4:$B$1463,"EMERALD LEAF TRIBE",MASTER!$G$4:$G$1463,"&lt;&gt;")*$A79*100/100,0)),MASTER!$AH$4:$AH$1463,0))),NA()),IF($B$4="SECONDARY",IFERROR(IF(INDEX(MASTER!$L$4:$L$1463,MATCH("EMERALD LEAF TRIBE"&amp;"|"&amp;MAX(1,ROUND(COUNTIFS(MASTER!$B$4:$B$1463,"EMERALD LEAF TRIBE",MASTER!$L$4:$L$1463,"&lt;&gt;")*$A79*100/100,0)),MASTER!$AI$4:$AI$1463,0))="",NA(),INDEX(MASTER!$L$4:$L$1463,MATCH("EMERALD LEAF TRIBE"&amp;"|"&amp;MAX(1,ROUND(COUNTIFS(MASTER!$B$4:$B$1463,"EMERALD LEAF TRIBE",MASTER!$L$4:$L$1463,"&lt;&gt;")*$A79*100/100,0)),MASTER!$AI$4:$AI$1463,0))),NA()))))</f>
        <v>3112</v>
      </c>
      <c r="L79" s="37">
        <f>IF($B$4="RESONANCE",IFERROR(IF(INDEX(MASTER!$I$4:$I$1463,MATCH("SUB ROSA"&amp;"|"&amp;MAX(1,ROUND(COUNTIFS(MASTER!$B$4:$B$1463,"SUB ROSA",MASTER!$I$4:$I$1463,"&lt;&gt;")*$A79*100/100,0)),MASTER!$Y$4:$Y$1463,0))="",NA(),INDEX(MASTER!$I$4:$I$1463,MATCH("SUB ROSA"&amp;"|"&amp;MAX(1,ROUND(COUNTIFS(MASTER!$B$4:$B$1463,"SUB ROSA",MASTER!$I$4:$I$1463,"&lt;&gt;")*$A79*100/100,0)),MASTER!$Y$4:$Y$1463,0))),NA()),IF($B$4="COMBAT RATING",IFERROR(IF(INDEX(MASTER!$G$4:$G$1463,MATCH("SUB ROSA"&amp;"|"&amp;MAX(1,ROUND(COUNTIFS(MASTER!$B$4:$B$1463,"SUB ROSA",MASTER!$G$4:$G$1463,"&lt;&gt;")*$A79*100/100,0)),MASTER!$AH$4:$AH$1463,0))="",NA(),INDEX(MASTER!$G$4:$G$1463,MATCH("SUB ROSA"&amp;"|"&amp;MAX(1,ROUND(COUNTIFS(MASTER!$B$4:$B$1463,"SUB ROSA",MASTER!$G$4:$G$1463,"&lt;&gt;")*$A79*100/100,0)),MASTER!$AH$4:$AH$1463,0))),NA()),IF($B$4="SECONDARY",IFERROR(IF(INDEX(MASTER!$L$4:$L$1463,MATCH("SUB ROSA"&amp;"|"&amp;MAX(1,ROUND(COUNTIFS(MASTER!$B$4:$B$1463,"SUB ROSA",MASTER!$L$4:$L$1463,"&lt;&gt;")*$A79*100/100,0)),MASTER!$AI$4:$AI$1463,0))="",NA(),INDEX(MASTER!$L$4:$L$1463,MATCH("SUB ROSA"&amp;"|"&amp;MAX(1,ROUND(COUNTIFS(MASTER!$B$4:$B$1463,"SUB ROSA",MASTER!$L$4:$L$1463,"&lt;&gt;")*$A79*100/100,0)),MASTER!$AI$4:$AI$1463,0))),NA()))))</f>
        <v>3932</v>
      </c>
      <c r="M79" s="37">
        <f>IF($B$4="RESONANCE",IFERROR(IF(INDEX(MASTER!$I$4:$I$1463,MATCH("VENGEANCE"&amp;"|"&amp;MAX(1,ROUND(COUNTIFS(MASTER!$B$4:$B$1463,"VENGEANCE",MASTER!$I$4:$I$1463,"&lt;&gt;")*$A79*100/100,0)),MASTER!$Y$4:$Y$1463,0))="",NA(),INDEX(MASTER!$I$4:$I$1463,MATCH("VENGEANCE"&amp;"|"&amp;MAX(1,ROUND(COUNTIFS(MASTER!$B$4:$B$1463,"VENGEANCE",MASTER!$I$4:$I$1463,"&lt;&gt;")*$A79*100/100,0)),MASTER!$Y$4:$Y$1463,0))),NA()),IF($B$4="COMBAT RATING",IFERROR(IF(INDEX(MASTER!$G$4:$G$1463,MATCH("VENGEANCE"&amp;"|"&amp;MAX(1,ROUND(COUNTIFS(MASTER!$B$4:$B$1463,"VENGEANCE",MASTER!$G$4:$G$1463,"&lt;&gt;")*$A79*100/100,0)),MASTER!$AH$4:$AH$1463,0))="",NA(),INDEX(MASTER!$G$4:$G$1463,MATCH("VENGEANCE"&amp;"|"&amp;MAX(1,ROUND(COUNTIFS(MASTER!$B$4:$B$1463,"VENGEANCE",MASTER!$G$4:$G$1463,"&lt;&gt;")*$A79*100/100,0)),MASTER!$AH$4:$AH$1463,0))),NA()),IF($B$4="SECONDARY",IFERROR(IF(INDEX(MASTER!$L$4:$L$1463,MATCH("VENGEANCE"&amp;"|"&amp;MAX(1,ROUND(COUNTIFS(MASTER!$B$4:$B$1463,"VENGEANCE",MASTER!$L$4:$L$1463,"&lt;&gt;")*$A79*100/100,0)),MASTER!$AI$4:$AI$1463,0))="",NA(),INDEX(MASTER!$L$4:$L$1463,MATCH("VENGEANCE"&amp;"|"&amp;MAX(1,ROUND(COUNTIFS(MASTER!$B$4:$B$1463,"VENGEANCE",MASTER!$L$4:$L$1463,"&lt;&gt;")*$A79*100/100,0)),MASTER!$AI$4:$AI$1463,0))),NA()))))</f>
        <v>4517</v>
      </c>
      <c r="N79" s="37">
        <f>IF($B$4="RESONANCE",IFERROR(IF(INDEX(MASTER!$I$4:$I$1463,MATCH("VENDETTA"&amp;"|"&amp;MAX(1,ROUND(COUNTIFS(MASTER!$B$4:$B$1463,"VENDETTA",MASTER!$I$4:$I$1463,"&lt;&gt;")*$A79*100/100,0)),MASTER!$Y$4:$Y$1463,0))="",NA(),INDEX(MASTER!$I$4:$I$1463,MATCH("VENDETTA"&amp;"|"&amp;MAX(1,ROUND(COUNTIFS(MASTER!$B$4:$B$1463,"VENDETTA",MASTER!$I$4:$I$1463,"&lt;&gt;")*$A79*100/100,0)),MASTER!$Y$4:$Y$1463,0))),NA()),IF($B$4="COMBAT RATING",IFERROR(IF(INDEX(MASTER!$G$4:$G$1463,MATCH("VENDETTA"&amp;"|"&amp;MAX(1,ROUND(COUNTIFS(MASTER!$B$4:$B$1463,"VENDETTA",MASTER!$G$4:$G$1463,"&lt;&gt;")*$A79*100/100,0)),MASTER!$AH$4:$AH$1463,0))="",NA(),INDEX(MASTER!$G$4:$G$1463,MATCH("VENDETTA"&amp;"|"&amp;MAX(1,ROUND(COUNTIFS(MASTER!$B$4:$B$1463,"VENDETTA",MASTER!$G$4:$G$1463,"&lt;&gt;")*$A79*100/100,0)),MASTER!$AH$4:$AH$1463,0))),NA()),IF($B$4="SECONDARY",IFERROR(IF(INDEX(MASTER!$L$4:$L$1463,MATCH("VENDETTA"&amp;"|"&amp;MAX(1,ROUND(COUNTIFS(MASTER!$B$4:$B$1463,"VENDETTA",MASTER!$L$4:$L$1463,"&lt;&gt;")*$A79*100/100,0)),MASTER!$AI$4:$AI$1463,0))="",NA(),INDEX(MASTER!$L$4:$L$1463,MATCH("VENDETTA"&amp;"|"&amp;MAX(1,ROUND(COUNTIFS(MASTER!$B$4:$B$1463,"VENDETTA",MASTER!$L$4:$L$1463,"&lt;&gt;")*$A79*100/100,0)),MASTER!$AI$4:$AI$1463,0))),NA()))))</f>
        <v>2833</v>
      </c>
      <c r="O79" s="37">
        <f>IF($B$4="RESONANCE",IFERROR(IF(INDEX(MASTER!$I$4:$I$1463,MATCH("ZOMBIES"&amp;"|"&amp;MAX(1,ROUND(COUNTIFS(MASTER!$B$4:$B$1463,"ZOMBIES",MASTER!$I$4:$I$1463,"&lt;&gt;")*$A79*100/100,0)),MASTER!$Y$4:$Y$1463,0))="",NA(),INDEX(MASTER!$I$4:$I$1463,MATCH("ZOMBIES"&amp;"|"&amp;MAX(1,ROUND(COUNTIFS(MASTER!$B$4:$B$1463,"ZOMBIES",MASTER!$I$4:$I$1463,"&lt;&gt;")*$A79*100/100,0)),MASTER!$Y$4:$Y$1463,0))),NA()),IF($B$4="COMBAT RATING",IFERROR(IF(INDEX(MASTER!$G$4:$G$1463,MATCH("ZOMBIES"&amp;"|"&amp;MAX(1,ROUND(COUNTIFS(MASTER!$B$4:$B$1463,"ZOMBIES",MASTER!$G$4:$G$1463,"&lt;&gt;")*$A79*100/100,0)),MASTER!$AH$4:$AH$1463,0))="",NA(),INDEX(MASTER!$G$4:$G$1463,MATCH("ZOMBIES"&amp;"|"&amp;MAX(1,ROUND(COUNTIFS(MASTER!$B$4:$B$1463,"ZOMBIES",MASTER!$G$4:$G$1463,"&lt;&gt;")*$A79*100/100,0)),MASTER!$AH$4:$AH$1463,0))),NA()),IF($B$4="SECONDARY",IFERROR(IF(INDEX(MASTER!$L$4:$L$1463,MATCH("ZOMBIES"&amp;"|"&amp;MAX(1,ROUND(COUNTIFS(MASTER!$B$4:$B$1463,"ZOMBIES",MASTER!$L$4:$L$1463,"&lt;&gt;")*$A79*100/100,0)),MASTER!$AI$4:$AI$1463,0))="",NA(),INDEX(MASTER!$L$4:$L$1463,MATCH("ZOMBIES"&amp;"|"&amp;MAX(1,ROUND(COUNTIFS(MASTER!$B$4:$B$1463,"ZOMBIES",MASTER!$L$4:$L$1463,"&lt;&gt;")*$A79*100/100,0)),MASTER!$AI$4:$AI$1463,0))),NA()))))</f>
        <v>2500</v>
      </c>
      <c r="P79" s="37">
        <f>IF($B$4="RESONANCE",IFERROR(IF(INDEX(MASTER!$I$4:$I$1463,MATCH("FUCT"&amp;"|"&amp;MAX(1,ROUND(COUNTIFS(MASTER!$B$4:$B$1463,"FUCT",MASTER!$I$4:$I$1463,"&lt;&gt;")*$A79*100/100,0)),MASTER!$Y$4:$Y$1463,0))="",NA(),INDEX(MASTER!$I$4:$I$1463,MATCH("FUCT"&amp;"|"&amp;MAX(1,ROUND(COUNTIFS(MASTER!$B$4:$B$1463,"FUCT",MASTER!$I$4:$I$1463,"&lt;&gt;")*$A79*100/100,0)),MASTER!$Y$4:$Y$1463,0))),NA()),IF($B$4="COMBAT RATING",IFERROR(IF(INDEX(MASTER!$G$4:$G$1463,MATCH("FUCT"&amp;"|"&amp;MAX(1,ROUND(COUNTIFS(MASTER!$B$4:$B$1463,"FUCT",MASTER!$G$4:$G$1463,"&lt;&gt;")*$A79*100/100,0)),MASTER!$AH$4:$AH$1463,0))="",NA(),INDEX(MASTER!$G$4:$G$1463,MATCH("FUCT"&amp;"|"&amp;MAX(1,ROUND(COUNTIFS(MASTER!$B$4:$B$1463,"FUCT",MASTER!$G$4:$G$1463,"&lt;&gt;")*$A79*100/100,0)),MASTER!$AH$4:$AH$1463,0))),NA()),IF($B$4="SECONDARY",IFERROR(IF(INDEX(MASTER!$L$4:$L$1463,MATCH("FUCT"&amp;"|"&amp;MAX(1,ROUND(COUNTIFS(MASTER!$B$4:$B$1463,"FUCT",MASTER!$L$4:$L$1463,"&lt;&gt;")*$A79*100/100,0)),MASTER!$AI$4:$AI$1463,0))="",NA(),INDEX(MASTER!$L$4:$L$1463,MATCH("FUCT"&amp;"|"&amp;MAX(1,ROUND(COUNTIFS(MASTER!$B$4:$B$1463,"FUCT",MASTER!$L$4:$L$1463,"&lt;&gt;")*$A79*100/100,0)),MASTER!$AI$4:$AI$1463,0))),NA()))))</f>
        <v>6734</v>
      </c>
      <c r="Q79" s="37">
        <f>IF($B$4="RESONANCE",IFERROR(IF(INDEX(MASTER!$I$4:$I$1463,MATCH($E$4&amp;"|"&amp;MAX(1,ROUND(COUNTIFS(MASTER!$B$4:$B$1463,$E$4,MASTER!$I$4:$I$1463,"&lt;&gt;")*$A79*100/100,0)),MASTER!$Y$4:$Y$1463,0))="",NA(),INDEX(MASTER!$I$4:$I$1463,MATCH($E$4&amp;"|"&amp;MAX(1,ROUND(COUNTIFS(MASTER!$B$4:$B$1463,$E$4,MASTER!$I$4:$I$1463,"&lt;&gt;")*$A79*100/100,0)),MASTER!$Y$4:$Y$1463,0))),NA()),IF($B$4="COMBAT RATING",IFERROR(IF(INDEX(MASTER!$G$4:$G$1463,MATCH($E$4&amp;"|"&amp;MAX(1,ROUND(COUNTIFS(MASTER!$B$4:$B$1463,$E$4,MASTER!$G$4:$G$1463,"&lt;&gt;")*$A79*100/100,0)),MASTER!$AH$4:$AH$1463,0))="",NA(),INDEX(MASTER!$G$4:$G$1463,MATCH($E$4&amp;"|"&amp;MAX(1,ROUND(COUNTIFS(MASTER!$B$4:$B$1463,$E$4,MASTER!$G$4:$G$1463,"&lt;&gt;")*$A79*100/100,0)),MASTER!$AH$4:$AH$1463,0))),NA()),IF($B$4="SECONDARY",IFERROR(IF(INDEX(MASTER!$L$4:$L$1463,MATCH($E$4&amp;"|"&amp;MAX(1,ROUND(COUNTIFS(MASTER!$B$4:$B$1463,$E$4,MASTER!$L$4:$L$1463,"&lt;&gt;")*$A79*100/100,0)),MASTER!$AI$4:$AI$1463,0))="",NA(),INDEX(MASTER!$L$4:$L$1463,MATCH($E$4&amp;"|"&amp;MAX(1,ROUND(COUNTIFS(MASTER!$B$4:$B$1463,$E$4,MASTER!$L$4:$L$1463,"&lt;&gt;")*$A79*100/100,0)),MASTER!$AI$4:$AI$1463,0))),NA()))))</f>
        <v>5519</v>
      </c>
    </row>
    <row r="80" spans="1:17" hidden="1">
      <c r="A80" s="36">
        <v>0.25</v>
      </c>
      <c r="B80" s="37">
        <f>IF($B$4="RESONANCE",IFERROR(IF(INDEX(MASTER!$I$4:$I$1463,MATCH("FUCT"&amp;"|"&amp;MAX(1,ROUND(COUNTIFS(MASTER!$B$4:$B$1463,"FUCT",MASTER!$I$4:$I$1463,"&lt;&gt;")*$A80*100/100,0)),MASTER!$Y$4:$Y$1463,0))="",NA(),INDEX(MASTER!$I$4:$I$1463,MATCH("FUCT"&amp;"|"&amp;MAX(1,ROUND(COUNTIFS(MASTER!$B$4:$B$1463,"FUCT",MASTER!$I$4:$I$1463,"&lt;&gt;")*$A80*100/100,0)),MASTER!$Y$4:$Y$1463,0))),NA()),IF($B$4="COMBAT RATING",IFERROR(IF(INDEX(MASTER!$G$4:$G$1463,MATCH("FUCT"&amp;"|"&amp;MAX(1,ROUND(COUNTIFS(MASTER!$B$4:$B$1463,"FUCT",MASTER!$G$4:$G$1463,"&lt;&gt;")*$A80*100/100,0)),MASTER!$AH$4:$AH$1463,0))="",NA(),INDEX(MASTER!$G$4:$G$1463,MATCH("FUCT"&amp;"|"&amp;MAX(1,ROUND(COUNTIFS(MASTER!$B$4:$B$1463,"FUCT",MASTER!$G$4:$G$1463,"&lt;&gt;")*$A80*100/100,0)),MASTER!$AH$4:$AH$1463,0))),NA()),IF($B$4="SECONDARY",IFERROR(IF(INDEX(MASTER!$L$4:$L$1463,MATCH("FUCT"&amp;"|"&amp;MAX(1,ROUND(COUNTIFS(MASTER!$B$4:$B$1463,"FUCT",MASTER!$L$4:$L$1463,"&lt;&gt;")*$A80*100/100,0)),MASTER!$AI$4:$AI$1463,0))="",NA(),INDEX(MASTER!$L$4:$L$1463,MATCH("FUCT"&amp;"|"&amp;MAX(1,ROUND(COUNTIFS(MASTER!$B$4:$B$1463,"FUCT",MASTER!$L$4:$L$1463,"&lt;&gt;")*$A80*100/100,0)),MASTER!$AI$4:$AI$1463,0))),NA()))))</f>
        <v>6573</v>
      </c>
      <c r="C80" s="37">
        <f>IF($B$4="RESONANCE",IFERROR(IF(INDEX(MASTER!$I$4:$I$1463,MATCH("LEGENDS"&amp;"|"&amp;MAX(1,ROUND(COUNTIFS(MASTER!$B$4:$B$1463,"LEGENDS",MASTER!$I$4:$I$1463,"&lt;&gt;")*$A80*100/100,0)),MASTER!$Y$4:$Y$1463,0))="",NA(),INDEX(MASTER!$I$4:$I$1463,MATCH("LEGENDS"&amp;"|"&amp;MAX(1,ROUND(COUNTIFS(MASTER!$B$4:$B$1463,"LEGENDS",MASTER!$I$4:$I$1463,"&lt;&gt;")*$A80*100/100,0)),MASTER!$Y$4:$Y$1463,0))),NA()),IF($B$4="COMBAT RATING",IFERROR(IF(INDEX(MASTER!$G$4:$G$1463,MATCH("LEGENDS"&amp;"|"&amp;MAX(1,ROUND(COUNTIFS(MASTER!$B$4:$B$1463,"LEGENDS",MASTER!$G$4:$G$1463,"&lt;&gt;")*$A80*100/100,0)),MASTER!$AH$4:$AH$1463,0))="",NA(),INDEX(MASTER!$G$4:$G$1463,MATCH("LEGENDS"&amp;"|"&amp;MAX(1,ROUND(COUNTIFS(MASTER!$B$4:$B$1463,"LEGENDS",MASTER!$G$4:$G$1463,"&lt;&gt;")*$A80*100/100,0)),MASTER!$AH$4:$AH$1463,0))),NA()),IF($B$4="SECONDARY",IFERROR(IF(INDEX(MASTER!$L$4:$L$1463,MATCH("LEGENDS"&amp;"|"&amp;MAX(1,ROUND(COUNTIFS(MASTER!$B$4:$B$1463,"LEGENDS",MASTER!$L$4:$L$1463,"&lt;&gt;")*$A80*100/100,0)),MASTER!$AI$4:$AI$1463,0))="",NA(),INDEX(MASTER!$L$4:$L$1463,MATCH("LEGENDS"&amp;"|"&amp;MAX(1,ROUND(COUNTIFS(MASTER!$B$4:$B$1463,"LEGENDS",MASTER!$L$4:$L$1463,"&lt;&gt;")*$A80*100/100,0)),MASTER!$AI$4:$AI$1463,0))),NA()))))</f>
        <v>6768</v>
      </c>
      <c r="D80" s="37">
        <f>IF($B$4="RESONANCE",IFERROR(IF(INDEX(MASTER!$I$4:$I$1463,MATCH("VANGUARD"&amp;"|"&amp;MAX(1,ROUND(COUNTIFS(MASTER!$B$4:$B$1463,"VANGUARD",MASTER!$I$4:$I$1463,"&lt;&gt;")*$A80*100/100,0)),MASTER!$Y$4:$Y$1463,0))="",NA(),INDEX(MASTER!$I$4:$I$1463,MATCH("VANGUARD"&amp;"|"&amp;MAX(1,ROUND(COUNTIFS(MASTER!$B$4:$B$1463,"VANGUARD",MASTER!$I$4:$I$1463,"&lt;&gt;")*$A80*100/100,0)),MASTER!$Y$4:$Y$1463,0))),NA()),IF($B$4="COMBAT RATING",IFERROR(IF(INDEX(MASTER!$G$4:$G$1463,MATCH("VANGUARD"&amp;"|"&amp;MAX(1,ROUND(COUNTIFS(MASTER!$B$4:$B$1463,"VANGUARD",MASTER!$G$4:$G$1463,"&lt;&gt;")*$A80*100/100,0)),MASTER!$AH$4:$AH$1463,0))="",NA(),INDEX(MASTER!$G$4:$G$1463,MATCH("VANGUARD"&amp;"|"&amp;MAX(1,ROUND(COUNTIFS(MASTER!$B$4:$B$1463,"VANGUARD",MASTER!$G$4:$G$1463,"&lt;&gt;")*$A80*100/100,0)),MASTER!$AH$4:$AH$1463,0))),NA()),IF($B$4="SECONDARY",IFERROR(IF(INDEX(MASTER!$L$4:$L$1463,MATCH("VANGUARD"&amp;"|"&amp;MAX(1,ROUND(COUNTIFS(MASTER!$B$4:$B$1463,"VANGUARD",MASTER!$L$4:$L$1463,"&lt;&gt;")*$A80*100/100,0)),MASTER!$AI$4:$AI$1463,0))="",NA(),INDEX(MASTER!$L$4:$L$1463,MATCH("VANGUARD"&amp;"|"&amp;MAX(1,ROUND(COUNTIFS(MASTER!$B$4:$B$1463,"VANGUARD",MASTER!$L$4:$L$1463,"&lt;&gt;")*$A80*100/100,0)),MASTER!$AI$4:$AI$1463,0))),NA()))))</f>
        <v>8923</v>
      </c>
      <c r="E80" s="37">
        <f>IF($B$4="RESONANCE",IFERROR(IF(INDEX(MASTER!$I$4:$I$1463,MATCH("UNDYING"&amp;"|"&amp;MAX(1,ROUND(COUNTIFS(MASTER!$B$4:$B$1463,"UNDYING",MASTER!$I$4:$I$1463,"&lt;&gt;")*$A80*100/100,0)),MASTER!$Y$4:$Y$1463,0))="",NA(),INDEX(MASTER!$I$4:$I$1463,MATCH("UNDYING"&amp;"|"&amp;MAX(1,ROUND(COUNTIFS(MASTER!$B$4:$B$1463,"UNDYING",MASTER!$I$4:$I$1463,"&lt;&gt;")*$A80*100/100,0)),MASTER!$Y$4:$Y$1463,0))),NA()),IF($B$4="COMBAT RATING",IFERROR(IF(INDEX(MASTER!$G$4:$G$1463,MATCH("UNDYING"&amp;"|"&amp;MAX(1,ROUND(COUNTIFS(MASTER!$B$4:$B$1463,"UNDYING",MASTER!$G$4:$G$1463,"&lt;&gt;")*$A80*100/100,0)),MASTER!$AH$4:$AH$1463,0))="",NA(),INDEX(MASTER!$G$4:$G$1463,MATCH("UNDYING"&amp;"|"&amp;MAX(1,ROUND(COUNTIFS(MASTER!$B$4:$B$1463,"UNDYING",MASTER!$G$4:$G$1463,"&lt;&gt;")*$A80*100/100,0)),MASTER!$AH$4:$AH$1463,0))),NA()),IF($B$4="SECONDARY",IFERROR(IF(INDEX(MASTER!$L$4:$L$1463,MATCH("UNDYING"&amp;"|"&amp;MAX(1,ROUND(COUNTIFS(MASTER!$B$4:$B$1463,"UNDYING",MASTER!$L$4:$L$1463,"&lt;&gt;")*$A80*100/100,0)),MASTER!$AI$4:$AI$1463,0))="",NA(),INDEX(MASTER!$L$4:$L$1463,MATCH("UNDYING"&amp;"|"&amp;MAX(1,ROUND(COUNTIFS(MASTER!$B$4:$B$1463,"UNDYING",MASTER!$L$4:$L$1463,"&lt;&gt;")*$A80*100/100,0)),MASTER!$AI$4:$AI$1463,0))),NA()))))</f>
        <v>5400</v>
      </c>
      <c r="F80" s="37">
        <f>IF($B$4="RESONANCE",IFERROR(IF(INDEX(MASTER!$I$4:$I$1463,MATCH("SBG"&amp;"|"&amp;MAX(1,ROUND(COUNTIFS(MASTER!$B$4:$B$1463,"SBG",MASTER!$I$4:$I$1463,"&lt;&gt;")*$A80*100/100,0)),MASTER!$Y$4:$Y$1463,0))="",NA(),INDEX(MASTER!$I$4:$I$1463,MATCH("SBG"&amp;"|"&amp;MAX(1,ROUND(COUNTIFS(MASTER!$B$4:$B$1463,"SBG",MASTER!$I$4:$I$1463,"&lt;&gt;")*$A80*100/100,0)),MASTER!$Y$4:$Y$1463,0))),NA()),IF($B$4="COMBAT RATING",IFERROR(IF(INDEX(MASTER!$G$4:$G$1463,MATCH("SBG"&amp;"|"&amp;MAX(1,ROUND(COUNTIFS(MASTER!$B$4:$B$1463,"SBG",MASTER!$G$4:$G$1463,"&lt;&gt;")*$A80*100/100,0)),MASTER!$AH$4:$AH$1463,0))="",NA(),INDEX(MASTER!$G$4:$G$1463,MATCH("SBG"&amp;"|"&amp;MAX(1,ROUND(COUNTIFS(MASTER!$B$4:$B$1463,"SBG",MASTER!$G$4:$G$1463,"&lt;&gt;")*$A80*100/100,0)),MASTER!$AH$4:$AH$1463,0))),NA()),IF($B$4="SECONDARY",IFERROR(IF(INDEX(MASTER!$L$4:$L$1463,MATCH("SBG"&amp;"|"&amp;MAX(1,ROUND(COUNTIFS(MASTER!$B$4:$B$1463,"SBG",MASTER!$L$4:$L$1463,"&lt;&gt;")*$A80*100/100,0)),MASTER!$AI$4:$AI$1463,0))="",NA(),INDEX(MASTER!$L$4:$L$1463,MATCH("SBG"&amp;"|"&amp;MAX(1,ROUND(COUNTIFS(MASTER!$B$4:$B$1463,"SBG",MASTER!$L$4:$L$1463,"&lt;&gt;")*$A80*100/100,0)),MASTER!$AI$4:$AI$1463,0))),NA()))))</f>
        <v>8023</v>
      </c>
      <c r="G80" s="37">
        <f>IF($B$4="RESONANCE",IFERROR(IF(INDEX(MASTER!$I$4:$I$1463,MATCH("AZUKI"&amp;"|"&amp;MAX(1,ROUND(COUNTIFS(MASTER!$B$4:$B$1463,"AZUKI",MASTER!$I$4:$I$1463,"&lt;&gt;")*$A80*100/100,0)),MASTER!$Y$4:$Y$1463,0))="",NA(),INDEX(MASTER!$I$4:$I$1463,MATCH("AZUKI"&amp;"|"&amp;MAX(1,ROUND(COUNTIFS(MASTER!$B$4:$B$1463,"AZUKI",MASTER!$I$4:$I$1463,"&lt;&gt;")*$A80*100/100,0)),MASTER!$Y$4:$Y$1463,0))),NA()),IF($B$4="COMBAT RATING",IFERROR(IF(INDEX(MASTER!$G$4:$G$1463,MATCH("AZUKI"&amp;"|"&amp;MAX(1,ROUND(COUNTIFS(MASTER!$B$4:$B$1463,"AZUKI",MASTER!$G$4:$G$1463,"&lt;&gt;")*$A80*100/100,0)),MASTER!$AH$4:$AH$1463,0))="",NA(),INDEX(MASTER!$G$4:$G$1463,MATCH("AZUKI"&amp;"|"&amp;MAX(1,ROUND(COUNTIFS(MASTER!$B$4:$B$1463,"AZUKI",MASTER!$G$4:$G$1463,"&lt;&gt;")*$A80*100/100,0)),MASTER!$AH$4:$AH$1463,0))),NA()),IF($B$4="SECONDARY",IFERROR(IF(INDEX(MASTER!$L$4:$L$1463,MATCH("AZUKI"&amp;"|"&amp;MAX(1,ROUND(COUNTIFS(MASTER!$B$4:$B$1463,"AZUKI",MASTER!$L$4:$L$1463,"&lt;&gt;")*$A80*100/100,0)),MASTER!$AI$4:$AI$1463,0))="",NA(),INDEX(MASTER!$L$4:$L$1463,MATCH("AZUKI"&amp;"|"&amp;MAX(1,ROUND(COUNTIFS(MASTER!$B$4:$B$1463,"AZUKI",MASTER!$L$4:$L$1463,"&lt;&gt;")*$A80*100/100,0)),MASTER!$AI$4:$AI$1463,0))),NA()))))</f>
        <v>7741</v>
      </c>
      <c r="H80" s="37">
        <f>IF($B$4="RESONANCE",IFERROR(IF(INDEX(MASTER!$I$4:$I$1463,MATCH("RECKONING"&amp;"|"&amp;MAX(1,ROUND(COUNTIFS(MASTER!$B$4:$B$1463,"RECKONING",MASTER!$I$4:$I$1463,"&lt;&gt;")*$A80*100/100,0)),MASTER!$Y$4:$Y$1463,0))="",NA(),INDEX(MASTER!$I$4:$I$1463,MATCH("RECKONING"&amp;"|"&amp;MAX(1,ROUND(COUNTIFS(MASTER!$B$4:$B$1463,"RECKONING",MASTER!$I$4:$I$1463,"&lt;&gt;")*$A80*100/100,0)),MASTER!$Y$4:$Y$1463,0))),NA()),IF($B$4="COMBAT RATING",IFERROR(IF(INDEX(MASTER!$G$4:$G$1463,MATCH("RECKONING"&amp;"|"&amp;MAX(1,ROUND(COUNTIFS(MASTER!$B$4:$B$1463,"RECKONING",MASTER!$G$4:$G$1463,"&lt;&gt;")*$A80*100/100,0)),MASTER!$AH$4:$AH$1463,0))="",NA(),INDEX(MASTER!$G$4:$G$1463,MATCH("RECKONING"&amp;"|"&amp;MAX(1,ROUND(COUNTIFS(MASTER!$B$4:$B$1463,"RECKONING",MASTER!$G$4:$G$1463,"&lt;&gt;")*$A80*100/100,0)),MASTER!$AH$4:$AH$1463,0))),NA()),IF($B$4="SECONDARY",IFERROR(IF(INDEX(MASTER!$L$4:$L$1463,MATCH("RECKONING"&amp;"|"&amp;MAX(1,ROUND(COUNTIFS(MASTER!$B$4:$B$1463,"RECKONING",MASTER!$L$4:$L$1463,"&lt;&gt;")*$A80*100/100,0)),MASTER!$AI$4:$AI$1463,0))="",NA(),INDEX(MASTER!$L$4:$L$1463,MATCH("RECKONING"&amp;"|"&amp;MAX(1,ROUND(COUNTIFS(MASTER!$B$4:$B$1463,"RECKONING",MASTER!$L$4:$L$1463,"&lt;&gt;")*$A80*100/100,0)),MASTER!$AI$4:$AI$1463,0))),NA()))))</f>
        <v>7352</v>
      </c>
      <c r="I80" s="37">
        <f>IF($B$4="RESONANCE",IFERROR(IF(INDEX(MASTER!$I$4:$I$1463,MATCH("ACHERON"&amp;"|"&amp;MAX(1,ROUND(COUNTIFS(MASTER!$B$4:$B$1463,"ACHERON",MASTER!$I$4:$I$1463,"&lt;&gt;")*$A80*100/100,0)),MASTER!$Y$4:$Y$1463,0))="",NA(),INDEX(MASTER!$I$4:$I$1463,MATCH("ACHERON"&amp;"|"&amp;MAX(1,ROUND(COUNTIFS(MASTER!$B$4:$B$1463,"ACHERON",MASTER!$I$4:$I$1463,"&lt;&gt;")*$A80*100/100,0)),MASTER!$Y$4:$Y$1463,0))),NA()),IF($B$4="COMBAT RATING",IFERROR(IF(INDEX(MASTER!$G$4:$G$1463,MATCH("ACHERON"&amp;"|"&amp;MAX(1,ROUND(COUNTIFS(MASTER!$B$4:$B$1463,"ACHERON",MASTER!$G$4:$G$1463,"&lt;&gt;")*$A80*100/100,0)),MASTER!$AH$4:$AH$1463,0))="",NA(),INDEX(MASTER!$G$4:$G$1463,MATCH("ACHERON"&amp;"|"&amp;MAX(1,ROUND(COUNTIFS(MASTER!$B$4:$B$1463,"ACHERON",MASTER!$G$4:$G$1463,"&lt;&gt;")*$A80*100/100,0)),MASTER!$AH$4:$AH$1463,0))),NA()),IF($B$4="SECONDARY",IFERROR(IF(INDEX(MASTER!$L$4:$L$1463,MATCH("ACHERON"&amp;"|"&amp;MAX(1,ROUND(COUNTIFS(MASTER!$B$4:$B$1463,"ACHERON",MASTER!$L$4:$L$1463,"&lt;&gt;")*$A80*100/100,0)),MASTER!$AI$4:$AI$1463,0))="",NA(),INDEX(MASTER!$L$4:$L$1463,MATCH("ACHERON"&amp;"|"&amp;MAX(1,ROUND(COUNTIFS(MASTER!$B$4:$B$1463,"ACHERON",MASTER!$L$4:$L$1463,"&lt;&gt;")*$A80*100/100,0)),MASTER!$AI$4:$AI$1463,0))),NA()))))</f>
        <v>5096</v>
      </c>
      <c r="J80" s="37">
        <f>IF($B$4="RESONANCE",IFERROR(IF(INDEX(MASTER!$I$4:$I$1463,MATCH("INVICTUS"&amp;"|"&amp;MAX(1,ROUND(COUNTIFS(MASTER!$B$4:$B$1463,"INVICTUS",MASTER!$I$4:$I$1463,"&lt;&gt;")*$A80*100/100,0)),MASTER!$Y$4:$Y$1463,0))="",NA(),INDEX(MASTER!$I$4:$I$1463,MATCH("INVICTUS"&amp;"|"&amp;MAX(1,ROUND(COUNTIFS(MASTER!$B$4:$B$1463,"INVICTUS",MASTER!$I$4:$I$1463,"&lt;&gt;")*$A80*100/100,0)),MASTER!$Y$4:$Y$1463,0))),NA()),IF($B$4="COMBAT RATING",IFERROR(IF(INDEX(MASTER!$G$4:$G$1463,MATCH("INVICTUS"&amp;"|"&amp;MAX(1,ROUND(COUNTIFS(MASTER!$B$4:$B$1463,"INVICTUS",MASTER!$G$4:$G$1463,"&lt;&gt;")*$A80*100/100,0)),MASTER!$AH$4:$AH$1463,0))="",NA(),INDEX(MASTER!$G$4:$G$1463,MATCH("INVICTUS"&amp;"|"&amp;MAX(1,ROUND(COUNTIFS(MASTER!$B$4:$B$1463,"INVICTUS",MASTER!$G$4:$G$1463,"&lt;&gt;")*$A80*100/100,0)),MASTER!$AH$4:$AH$1463,0))),NA()),IF($B$4="SECONDARY",IFERROR(IF(INDEX(MASTER!$L$4:$L$1463,MATCH("INVICTUS"&amp;"|"&amp;MAX(1,ROUND(COUNTIFS(MASTER!$B$4:$B$1463,"INVICTUS",MASTER!$L$4:$L$1463,"&lt;&gt;")*$A80*100/100,0)),MASTER!$AI$4:$AI$1463,0))="",NA(),INDEX(MASTER!$L$4:$L$1463,MATCH("INVICTUS"&amp;"|"&amp;MAX(1,ROUND(COUNTIFS(MASTER!$B$4:$B$1463,"INVICTUS",MASTER!$L$4:$L$1463,"&lt;&gt;")*$A80*100/100,0)),MASTER!$AI$4:$AI$1463,0))),NA()))))</f>
        <v>4113</v>
      </c>
      <c r="K80" s="37">
        <f>IF($B$4="RESONANCE",IFERROR(IF(INDEX(MASTER!$I$4:$I$1463,MATCH("EMERALD LEAF TRIBE"&amp;"|"&amp;MAX(1,ROUND(COUNTIFS(MASTER!$B$4:$B$1463,"EMERALD LEAF TRIBE",MASTER!$I$4:$I$1463,"&lt;&gt;")*$A80*100/100,0)),MASTER!$Y$4:$Y$1463,0))="",NA(),INDEX(MASTER!$I$4:$I$1463,MATCH("EMERALD LEAF TRIBE"&amp;"|"&amp;MAX(1,ROUND(COUNTIFS(MASTER!$B$4:$B$1463,"EMERALD LEAF TRIBE",MASTER!$I$4:$I$1463,"&lt;&gt;")*$A80*100/100,0)),MASTER!$Y$4:$Y$1463,0))),NA()),IF($B$4="COMBAT RATING",IFERROR(IF(INDEX(MASTER!$G$4:$G$1463,MATCH("EMERALD LEAF TRIBE"&amp;"|"&amp;MAX(1,ROUND(COUNTIFS(MASTER!$B$4:$B$1463,"EMERALD LEAF TRIBE",MASTER!$G$4:$G$1463,"&lt;&gt;")*$A80*100/100,0)),MASTER!$AH$4:$AH$1463,0))="",NA(),INDEX(MASTER!$G$4:$G$1463,MATCH("EMERALD LEAF TRIBE"&amp;"|"&amp;MAX(1,ROUND(COUNTIFS(MASTER!$B$4:$B$1463,"EMERALD LEAF TRIBE",MASTER!$G$4:$G$1463,"&lt;&gt;")*$A80*100/100,0)),MASTER!$AH$4:$AH$1463,0))),NA()),IF($B$4="SECONDARY",IFERROR(IF(INDEX(MASTER!$L$4:$L$1463,MATCH("EMERALD LEAF TRIBE"&amp;"|"&amp;MAX(1,ROUND(COUNTIFS(MASTER!$B$4:$B$1463,"EMERALD LEAF TRIBE",MASTER!$L$4:$L$1463,"&lt;&gt;")*$A80*100/100,0)),MASTER!$AI$4:$AI$1463,0))="",NA(),INDEX(MASTER!$L$4:$L$1463,MATCH("EMERALD LEAF TRIBE"&amp;"|"&amp;MAX(1,ROUND(COUNTIFS(MASTER!$B$4:$B$1463,"EMERALD LEAF TRIBE",MASTER!$L$4:$L$1463,"&lt;&gt;")*$A80*100/100,0)),MASTER!$AI$4:$AI$1463,0))),NA()))))</f>
        <v>3019</v>
      </c>
      <c r="L80" s="37">
        <f>IF($B$4="RESONANCE",IFERROR(IF(INDEX(MASTER!$I$4:$I$1463,MATCH("SUB ROSA"&amp;"|"&amp;MAX(1,ROUND(COUNTIFS(MASTER!$B$4:$B$1463,"SUB ROSA",MASTER!$I$4:$I$1463,"&lt;&gt;")*$A80*100/100,0)),MASTER!$Y$4:$Y$1463,0))="",NA(),INDEX(MASTER!$I$4:$I$1463,MATCH("SUB ROSA"&amp;"|"&amp;MAX(1,ROUND(COUNTIFS(MASTER!$B$4:$B$1463,"SUB ROSA",MASTER!$I$4:$I$1463,"&lt;&gt;")*$A80*100/100,0)),MASTER!$Y$4:$Y$1463,0))),NA()),IF($B$4="COMBAT RATING",IFERROR(IF(INDEX(MASTER!$G$4:$G$1463,MATCH("SUB ROSA"&amp;"|"&amp;MAX(1,ROUND(COUNTIFS(MASTER!$B$4:$B$1463,"SUB ROSA",MASTER!$G$4:$G$1463,"&lt;&gt;")*$A80*100/100,0)),MASTER!$AH$4:$AH$1463,0))="",NA(),INDEX(MASTER!$G$4:$G$1463,MATCH("SUB ROSA"&amp;"|"&amp;MAX(1,ROUND(COUNTIFS(MASTER!$B$4:$B$1463,"SUB ROSA",MASTER!$G$4:$G$1463,"&lt;&gt;")*$A80*100/100,0)),MASTER!$AH$4:$AH$1463,0))),NA()),IF($B$4="SECONDARY",IFERROR(IF(INDEX(MASTER!$L$4:$L$1463,MATCH("SUB ROSA"&amp;"|"&amp;MAX(1,ROUND(COUNTIFS(MASTER!$B$4:$B$1463,"SUB ROSA",MASTER!$L$4:$L$1463,"&lt;&gt;")*$A80*100/100,0)),MASTER!$AI$4:$AI$1463,0))="",NA(),INDEX(MASTER!$L$4:$L$1463,MATCH("SUB ROSA"&amp;"|"&amp;MAX(1,ROUND(COUNTIFS(MASTER!$B$4:$B$1463,"SUB ROSA",MASTER!$L$4:$L$1463,"&lt;&gt;")*$A80*100/100,0)),MASTER!$AI$4:$AI$1463,0))),NA()))))</f>
        <v>3924</v>
      </c>
      <c r="M80" s="37">
        <f>IF($B$4="RESONANCE",IFERROR(IF(INDEX(MASTER!$I$4:$I$1463,MATCH("VENGEANCE"&amp;"|"&amp;MAX(1,ROUND(COUNTIFS(MASTER!$B$4:$B$1463,"VENGEANCE",MASTER!$I$4:$I$1463,"&lt;&gt;")*$A80*100/100,0)),MASTER!$Y$4:$Y$1463,0))="",NA(),INDEX(MASTER!$I$4:$I$1463,MATCH("VENGEANCE"&amp;"|"&amp;MAX(1,ROUND(COUNTIFS(MASTER!$B$4:$B$1463,"VENGEANCE",MASTER!$I$4:$I$1463,"&lt;&gt;")*$A80*100/100,0)),MASTER!$Y$4:$Y$1463,0))),NA()),IF($B$4="COMBAT RATING",IFERROR(IF(INDEX(MASTER!$G$4:$G$1463,MATCH("VENGEANCE"&amp;"|"&amp;MAX(1,ROUND(COUNTIFS(MASTER!$B$4:$B$1463,"VENGEANCE",MASTER!$G$4:$G$1463,"&lt;&gt;")*$A80*100/100,0)),MASTER!$AH$4:$AH$1463,0))="",NA(),INDEX(MASTER!$G$4:$G$1463,MATCH("VENGEANCE"&amp;"|"&amp;MAX(1,ROUND(COUNTIFS(MASTER!$B$4:$B$1463,"VENGEANCE",MASTER!$G$4:$G$1463,"&lt;&gt;")*$A80*100/100,0)),MASTER!$AH$4:$AH$1463,0))),NA()),IF($B$4="SECONDARY",IFERROR(IF(INDEX(MASTER!$L$4:$L$1463,MATCH("VENGEANCE"&amp;"|"&amp;MAX(1,ROUND(COUNTIFS(MASTER!$B$4:$B$1463,"VENGEANCE",MASTER!$L$4:$L$1463,"&lt;&gt;")*$A80*100/100,0)),MASTER!$AI$4:$AI$1463,0))="",NA(),INDEX(MASTER!$L$4:$L$1463,MATCH("VENGEANCE"&amp;"|"&amp;MAX(1,ROUND(COUNTIFS(MASTER!$B$4:$B$1463,"VENGEANCE",MASTER!$L$4:$L$1463,"&lt;&gt;")*$A80*100/100,0)),MASTER!$AI$4:$AI$1463,0))),NA()))))</f>
        <v>4410</v>
      </c>
      <c r="N80" s="37">
        <f>IF($B$4="RESONANCE",IFERROR(IF(INDEX(MASTER!$I$4:$I$1463,MATCH("VENDETTA"&amp;"|"&amp;MAX(1,ROUND(COUNTIFS(MASTER!$B$4:$B$1463,"VENDETTA",MASTER!$I$4:$I$1463,"&lt;&gt;")*$A80*100/100,0)),MASTER!$Y$4:$Y$1463,0))="",NA(),INDEX(MASTER!$I$4:$I$1463,MATCH("VENDETTA"&amp;"|"&amp;MAX(1,ROUND(COUNTIFS(MASTER!$B$4:$B$1463,"VENDETTA",MASTER!$I$4:$I$1463,"&lt;&gt;")*$A80*100/100,0)),MASTER!$Y$4:$Y$1463,0))),NA()),IF($B$4="COMBAT RATING",IFERROR(IF(INDEX(MASTER!$G$4:$G$1463,MATCH("VENDETTA"&amp;"|"&amp;MAX(1,ROUND(COUNTIFS(MASTER!$B$4:$B$1463,"VENDETTA",MASTER!$G$4:$G$1463,"&lt;&gt;")*$A80*100/100,0)),MASTER!$AH$4:$AH$1463,0))="",NA(),INDEX(MASTER!$G$4:$G$1463,MATCH("VENDETTA"&amp;"|"&amp;MAX(1,ROUND(COUNTIFS(MASTER!$B$4:$B$1463,"VENDETTA",MASTER!$G$4:$G$1463,"&lt;&gt;")*$A80*100/100,0)),MASTER!$AH$4:$AH$1463,0))),NA()),IF($B$4="SECONDARY",IFERROR(IF(INDEX(MASTER!$L$4:$L$1463,MATCH("VENDETTA"&amp;"|"&amp;MAX(1,ROUND(COUNTIFS(MASTER!$B$4:$B$1463,"VENDETTA",MASTER!$L$4:$L$1463,"&lt;&gt;")*$A80*100/100,0)),MASTER!$AI$4:$AI$1463,0))="",NA(),INDEX(MASTER!$L$4:$L$1463,MATCH("VENDETTA"&amp;"|"&amp;MAX(1,ROUND(COUNTIFS(MASTER!$B$4:$B$1463,"VENDETTA",MASTER!$L$4:$L$1463,"&lt;&gt;")*$A80*100/100,0)),MASTER!$AI$4:$AI$1463,0))),NA()))))</f>
        <v>2734</v>
      </c>
      <c r="O80" s="37">
        <f>IF($B$4="RESONANCE",IFERROR(IF(INDEX(MASTER!$I$4:$I$1463,MATCH("ZOMBIES"&amp;"|"&amp;MAX(1,ROUND(COUNTIFS(MASTER!$B$4:$B$1463,"ZOMBIES",MASTER!$I$4:$I$1463,"&lt;&gt;")*$A80*100/100,0)),MASTER!$Y$4:$Y$1463,0))="",NA(),INDEX(MASTER!$I$4:$I$1463,MATCH("ZOMBIES"&amp;"|"&amp;MAX(1,ROUND(COUNTIFS(MASTER!$B$4:$B$1463,"ZOMBIES",MASTER!$I$4:$I$1463,"&lt;&gt;")*$A80*100/100,0)),MASTER!$Y$4:$Y$1463,0))),NA()),IF($B$4="COMBAT RATING",IFERROR(IF(INDEX(MASTER!$G$4:$G$1463,MATCH("ZOMBIES"&amp;"|"&amp;MAX(1,ROUND(COUNTIFS(MASTER!$B$4:$B$1463,"ZOMBIES",MASTER!$G$4:$G$1463,"&lt;&gt;")*$A80*100/100,0)),MASTER!$AH$4:$AH$1463,0))="",NA(),INDEX(MASTER!$G$4:$G$1463,MATCH("ZOMBIES"&amp;"|"&amp;MAX(1,ROUND(COUNTIFS(MASTER!$B$4:$B$1463,"ZOMBIES",MASTER!$G$4:$G$1463,"&lt;&gt;")*$A80*100/100,0)),MASTER!$AH$4:$AH$1463,0))),NA()),IF($B$4="SECONDARY",IFERROR(IF(INDEX(MASTER!$L$4:$L$1463,MATCH("ZOMBIES"&amp;"|"&amp;MAX(1,ROUND(COUNTIFS(MASTER!$B$4:$B$1463,"ZOMBIES",MASTER!$L$4:$L$1463,"&lt;&gt;")*$A80*100/100,0)),MASTER!$AI$4:$AI$1463,0))="",NA(),INDEX(MASTER!$L$4:$L$1463,MATCH("ZOMBIES"&amp;"|"&amp;MAX(1,ROUND(COUNTIFS(MASTER!$B$4:$B$1463,"ZOMBIES",MASTER!$L$4:$L$1463,"&lt;&gt;")*$A80*100/100,0)),MASTER!$AI$4:$AI$1463,0))),NA()))))</f>
        <v>2496</v>
      </c>
      <c r="P80" s="37">
        <f>IF($B$4="RESONANCE",IFERROR(IF(INDEX(MASTER!$I$4:$I$1463,MATCH("FUCT"&amp;"|"&amp;MAX(1,ROUND(COUNTIFS(MASTER!$B$4:$B$1463,"FUCT",MASTER!$I$4:$I$1463,"&lt;&gt;")*$A80*100/100,0)),MASTER!$Y$4:$Y$1463,0))="",NA(),INDEX(MASTER!$I$4:$I$1463,MATCH("FUCT"&amp;"|"&amp;MAX(1,ROUND(COUNTIFS(MASTER!$B$4:$B$1463,"FUCT",MASTER!$I$4:$I$1463,"&lt;&gt;")*$A80*100/100,0)),MASTER!$Y$4:$Y$1463,0))),NA()),IF($B$4="COMBAT RATING",IFERROR(IF(INDEX(MASTER!$G$4:$G$1463,MATCH("FUCT"&amp;"|"&amp;MAX(1,ROUND(COUNTIFS(MASTER!$B$4:$B$1463,"FUCT",MASTER!$G$4:$G$1463,"&lt;&gt;")*$A80*100/100,0)),MASTER!$AH$4:$AH$1463,0))="",NA(),INDEX(MASTER!$G$4:$G$1463,MATCH("FUCT"&amp;"|"&amp;MAX(1,ROUND(COUNTIFS(MASTER!$B$4:$B$1463,"FUCT",MASTER!$G$4:$G$1463,"&lt;&gt;")*$A80*100/100,0)),MASTER!$AH$4:$AH$1463,0))),NA()),IF($B$4="SECONDARY",IFERROR(IF(INDEX(MASTER!$L$4:$L$1463,MATCH("FUCT"&amp;"|"&amp;MAX(1,ROUND(COUNTIFS(MASTER!$B$4:$B$1463,"FUCT",MASTER!$L$4:$L$1463,"&lt;&gt;")*$A80*100/100,0)),MASTER!$AI$4:$AI$1463,0))="",NA(),INDEX(MASTER!$L$4:$L$1463,MATCH("FUCT"&amp;"|"&amp;MAX(1,ROUND(COUNTIFS(MASTER!$B$4:$B$1463,"FUCT",MASTER!$L$4:$L$1463,"&lt;&gt;")*$A80*100/100,0)),MASTER!$AI$4:$AI$1463,0))),NA()))))</f>
        <v>6573</v>
      </c>
      <c r="Q80" s="37">
        <f>IF($B$4="RESONANCE",IFERROR(IF(INDEX(MASTER!$I$4:$I$1463,MATCH($E$4&amp;"|"&amp;MAX(1,ROUND(COUNTIFS(MASTER!$B$4:$B$1463,$E$4,MASTER!$I$4:$I$1463,"&lt;&gt;")*$A80*100/100,0)),MASTER!$Y$4:$Y$1463,0))="",NA(),INDEX(MASTER!$I$4:$I$1463,MATCH($E$4&amp;"|"&amp;MAX(1,ROUND(COUNTIFS(MASTER!$B$4:$B$1463,$E$4,MASTER!$I$4:$I$1463,"&lt;&gt;")*$A80*100/100,0)),MASTER!$Y$4:$Y$1463,0))),NA()),IF($B$4="COMBAT RATING",IFERROR(IF(INDEX(MASTER!$G$4:$G$1463,MATCH($E$4&amp;"|"&amp;MAX(1,ROUND(COUNTIFS(MASTER!$B$4:$B$1463,$E$4,MASTER!$G$4:$G$1463,"&lt;&gt;")*$A80*100/100,0)),MASTER!$AH$4:$AH$1463,0))="",NA(),INDEX(MASTER!$G$4:$G$1463,MATCH($E$4&amp;"|"&amp;MAX(1,ROUND(COUNTIFS(MASTER!$B$4:$B$1463,$E$4,MASTER!$G$4:$G$1463,"&lt;&gt;")*$A80*100/100,0)),MASTER!$AH$4:$AH$1463,0))),NA()),IF($B$4="SECONDARY",IFERROR(IF(INDEX(MASTER!$L$4:$L$1463,MATCH($E$4&amp;"|"&amp;MAX(1,ROUND(COUNTIFS(MASTER!$B$4:$B$1463,$E$4,MASTER!$L$4:$L$1463,"&lt;&gt;")*$A80*100/100,0)),MASTER!$AI$4:$AI$1463,0))="",NA(),INDEX(MASTER!$L$4:$L$1463,MATCH($E$4&amp;"|"&amp;MAX(1,ROUND(COUNTIFS(MASTER!$B$4:$B$1463,$E$4,MASTER!$L$4:$L$1463,"&lt;&gt;")*$A80*100/100,0)),MASTER!$AI$4:$AI$1463,0))),NA()))))</f>
        <v>5400</v>
      </c>
    </row>
    <row r="81" spans="1:17" hidden="1">
      <c r="A81" s="36">
        <v>0.26</v>
      </c>
      <c r="B81" s="37">
        <f>IF($B$4="RESONANCE",IFERROR(IF(INDEX(MASTER!$I$4:$I$1463,MATCH("FUCT"&amp;"|"&amp;MAX(1,ROUND(COUNTIFS(MASTER!$B$4:$B$1463,"FUCT",MASTER!$I$4:$I$1463,"&lt;&gt;")*$A81*100/100,0)),MASTER!$Y$4:$Y$1463,0))="",NA(),INDEX(MASTER!$I$4:$I$1463,MATCH("FUCT"&amp;"|"&amp;MAX(1,ROUND(COUNTIFS(MASTER!$B$4:$B$1463,"FUCT",MASTER!$I$4:$I$1463,"&lt;&gt;")*$A81*100/100,0)),MASTER!$Y$4:$Y$1463,0))),NA()),IF($B$4="COMBAT RATING",IFERROR(IF(INDEX(MASTER!$G$4:$G$1463,MATCH("FUCT"&amp;"|"&amp;MAX(1,ROUND(COUNTIFS(MASTER!$B$4:$B$1463,"FUCT",MASTER!$G$4:$G$1463,"&lt;&gt;")*$A81*100/100,0)),MASTER!$AH$4:$AH$1463,0))="",NA(),INDEX(MASTER!$G$4:$G$1463,MATCH("FUCT"&amp;"|"&amp;MAX(1,ROUND(COUNTIFS(MASTER!$B$4:$B$1463,"FUCT",MASTER!$G$4:$G$1463,"&lt;&gt;")*$A81*100/100,0)),MASTER!$AH$4:$AH$1463,0))),NA()),IF($B$4="SECONDARY",IFERROR(IF(INDEX(MASTER!$L$4:$L$1463,MATCH("FUCT"&amp;"|"&amp;MAX(1,ROUND(COUNTIFS(MASTER!$B$4:$B$1463,"FUCT",MASTER!$L$4:$L$1463,"&lt;&gt;")*$A81*100/100,0)),MASTER!$AI$4:$AI$1463,0))="",NA(),INDEX(MASTER!$L$4:$L$1463,MATCH("FUCT"&amp;"|"&amp;MAX(1,ROUND(COUNTIFS(MASTER!$B$4:$B$1463,"FUCT",MASTER!$L$4:$L$1463,"&lt;&gt;")*$A81*100/100,0)),MASTER!$AI$4:$AI$1463,0))),NA()))))</f>
        <v>6522</v>
      </c>
      <c r="C81" s="37">
        <f>IF($B$4="RESONANCE",IFERROR(IF(INDEX(MASTER!$I$4:$I$1463,MATCH("LEGENDS"&amp;"|"&amp;MAX(1,ROUND(COUNTIFS(MASTER!$B$4:$B$1463,"LEGENDS",MASTER!$I$4:$I$1463,"&lt;&gt;")*$A81*100/100,0)),MASTER!$Y$4:$Y$1463,0))="",NA(),INDEX(MASTER!$I$4:$I$1463,MATCH("LEGENDS"&amp;"|"&amp;MAX(1,ROUND(COUNTIFS(MASTER!$B$4:$B$1463,"LEGENDS",MASTER!$I$4:$I$1463,"&lt;&gt;")*$A81*100/100,0)),MASTER!$Y$4:$Y$1463,0))),NA()),IF($B$4="COMBAT RATING",IFERROR(IF(INDEX(MASTER!$G$4:$G$1463,MATCH("LEGENDS"&amp;"|"&amp;MAX(1,ROUND(COUNTIFS(MASTER!$B$4:$B$1463,"LEGENDS",MASTER!$G$4:$G$1463,"&lt;&gt;")*$A81*100/100,0)),MASTER!$AH$4:$AH$1463,0))="",NA(),INDEX(MASTER!$G$4:$G$1463,MATCH("LEGENDS"&amp;"|"&amp;MAX(1,ROUND(COUNTIFS(MASTER!$B$4:$B$1463,"LEGENDS",MASTER!$G$4:$G$1463,"&lt;&gt;")*$A81*100/100,0)),MASTER!$AH$4:$AH$1463,0))),NA()),IF($B$4="SECONDARY",IFERROR(IF(INDEX(MASTER!$L$4:$L$1463,MATCH("LEGENDS"&amp;"|"&amp;MAX(1,ROUND(COUNTIFS(MASTER!$B$4:$B$1463,"LEGENDS",MASTER!$L$4:$L$1463,"&lt;&gt;")*$A81*100/100,0)),MASTER!$AI$4:$AI$1463,0))="",NA(),INDEX(MASTER!$L$4:$L$1463,MATCH("LEGENDS"&amp;"|"&amp;MAX(1,ROUND(COUNTIFS(MASTER!$B$4:$B$1463,"LEGENDS",MASTER!$L$4:$L$1463,"&lt;&gt;")*$A81*100/100,0)),MASTER!$AI$4:$AI$1463,0))),NA()))))</f>
        <v>6730</v>
      </c>
      <c r="D81" s="37">
        <f>IF($B$4="RESONANCE",IFERROR(IF(INDEX(MASTER!$I$4:$I$1463,MATCH("VANGUARD"&amp;"|"&amp;MAX(1,ROUND(COUNTIFS(MASTER!$B$4:$B$1463,"VANGUARD",MASTER!$I$4:$I$1463,"&lt;&gt;")*$A81*100/100,0)),MASTER!$Y$4:$Y$1463,0))="",NA(),INDEX(MASTER!$I$4:$I$1463,MATCH("VANGUARD"&amp;"|"&amp;MAX(1,ROUND(COUNTIFS(MASTER!$B$4:$B$1463,"VANGUARD",MASTER!$I$4:$I$1463,"&lt;&gt;")*$A81*100/100,0)),MASTER!$Y$4:$Y$1463,0))),NA()),IF($B$4="COMBAT RATING",IFERROR(IF(INDEX(MASTER!$G$4:$G$1463,MATCH("VANGUARD"&amp;"|"&amp;MAX(1,ROUND(COUNTIFS(MASTER!$B$4:$B$1463,"VANGUARD",MASTER!$G$4:$G$1463,"&lt;&gt;")*$A81*100/100,0)),MASTER!$AH$4:$AH$1463,0))="",NA(),INDEX(MASTER!$G$4:$G$1463,MATCH("VANGUARD"&amp;"|"&amp;MAX(1,ROUND(COUNTIFS(MASTER!$B$4:$B$1463,"VANGUARD",MASTER!$G$4:$G$1463,"&lt;&gt;")*$A81*100/100,0)),MASTER!$AH$4:$AH$1463,0))),NA()),IF($B$4="SECONDARY",IFERROR(IF(INDEX(MASTER!$L$4:$L$1463,MATCH("VANGUARD"&amp;"|"&amp;MAX(1,ROUND(COUNTIFS(MASTER!$B$4:$B$1463,"VANGUARD",MASTER!$L$4:$L$1463,"&lt;&gt;")*$A81*100/100,0)),MASTER!$AI$4:$AI$1463,0))="",NA(),INDEX(MASTER!$L$4:$L$1463,MATCH("VANGUARD"&amp;"|"&amp;MAX(1,ROUND(COUNTIFS(MASTER!$B$4:$B$1463,"VANGUARD",MASTER!$L$4:$L$1463,"&lt;&gt;")*$A81*100/100,0)),MASTER!$AI$4:$AI$1463,0))),NA()))))</f>
        <v>8916</v>
      </c>
      <c r="E81" s="37">
        <f>IF($B$4="RESONANCE",IFERROR(IF(INDEX(MASTER!$I$4:$I$1463,MATCH("UNDYING"&amp;"|"&amp;MAX(1,ROUND(COUNTIFS(MASTER!$B$4:$B$1463,"UNDYING",MASTER!$I$4:$I$1463,"&lt;&gt;")*$A81*100/100,0)),MASTER!$Y$4:$Y$1463,0))="",NA(),INDEX(MASTER!$I$4:$I$1463,MATCH("UNDYING"&amp;"|"&amp;MAX(1,ROUND(COUNTIFS(MASTER!$B$4:$B$1463,"UNDYING",MASTER!$I$4:$I$1463,"&lt;&gt;")*$A81*100/100,0)),MASTER!$Y$4:$Y$1463,0))),NA()),IF($B$4="COMBAT RATING",IFERROR(IF(INDEX(MASTER!$G$4:$G$1463,MATCH("UNDYING"&amp;"|"&amp;MAX(1,ROUND(COUNTIFS(MASTER!$B$4:$B$1463,"UNDYING",MASTER!$G$4:$G$1463,"&lt;&gt;")*$A81*100/100,0)),MASTER!$AH$4:$AH$1463,0))="",NA(),INDEX(MASTER!$G$4:$G$1463,MATCH("UNDYING"&amp;"|"&amp;MAX(1,ROUND(COUNTIFS(MASTER!$B$4:$B$1463,"UNDYING",MASTER!$G$4:$G$1463,"&lt;&gt;")*$A81*100/100,0)),MASTER!$AH$4:$AH$1463,0))),NA()),IF($B$4="SECONDARY",IFERROR(IF(INDEX(MASTER!$L$4:$L$1463,MATCH("UNDYING"&amp;"|"&amp;MAX(1,ROUND(COUNTIFS(MASTER!$B$4:$B$1463,"UNDYING",MASTER!$L$4:$L$1463,"&lt;&gt;")*$A81*100/100,0)),MASTER!$AI$4:$AI$1463,0))="",NA(),INDEX(MASTER!$L$4:$L$1463,MATCH("UNDYING"&amp;"|"&amp;MAX(1,ROUND(COUNTIFS(MASTER!$B$4:$B$1463,"UNDYING",MASTER!$L$4:$L$1463,"&lt;&gt;")*$A81*100/100,0)),MASTER!$AI$4:$AI$1463,0))),NA()))))</f>
        <v>5393</v>
      </c>
      <c r="F81" s="37">
        <f>IF($B$4="RESONANCE",IFERROR(IF(INDEX(MASTER!$I$4:$I$1463,MATCH("SBG"&amp;"|"&amp;MAX(1,ROUND(COUNTIFS(MASTER!$B$4:$B$1463,"SBG",MASTER!$I$4:$I$1463,"&lt;&gt;")*$A81*100/100,0)),MASTER!$Y$4:$Y$1463,0))="",NA(),INDEX(MASTER!$I$4:$I$1463,MATCH("SBG"&amp;"|"&amp;MAX(1,ROUND(COUNTIFS(MASTER!$B$4:$B$1463,"SBG",MASTER!$I$4:$I$1463,"&lt;&gt;")*$A81*100/100,0)),MASTER!$Y$4:$Y$1463,0))),NA()),IF($B$4="COMBAT RATING",IFERROR(IF(INDEX(MASTER!$G$4:$G$1463,MATCH("SBG"&amp;"|"&amp;MAX(1,ROUND(COUNTIFS(MASTER!$B$4:$B$1463,"SBG",MASTER!$G$4:$G$1463,"&lt;&gt;")*$A81*100/100,0)),MASTER!$AH$4:$AH$1463,0))="",NA(),INDEX(MASTER!$G$4:$G$1463,MATCH("SBG"&amp;"|"&amp;MAX(1,ROUND(COUNTIFS(MASTER!$B$4:$B$1463,"SBG",MASTER!$G$4:$G$1463,"&lt;&gt;")*$A81*100/100,0)),MASTER!$AH$4:$AH$1463,0))),NA()),IF($B$4="SECONDARY",IFERROR(IF(INDEX(MASTER!$L$4:$L$1463,MATCH("SBG"&amp;"|"&amp;MAX(1,ROUND(COUNTIFS(MASTER!$B$4:$B$1463,"SBG",MASTER!$L$4:$L$1463,"&lt;&gt;")*$A81*100/100,0)),MASTER!$AI$4:$AI$1463,0))="",NA(),INDEX(MASTER!$L$4:$L$1463,MATCH("SBG"&amp;"|"&amp;MAX(1,ROUND(COUNTIFS(MASTER!$B$4:$B$1463,"SBG",MASTER!$L$4:$L$1463,"&lt;&gt;")*$A81*100/100,0)),MASTER!$AI$4:$AI$1463,0))),NA()))))</f>
        <v>7663</v>
      </c>
      <c r="G81" s="37">
        <f>IF($B$4="RESONANCE",IFERROR(IF(INDEX(MASTER!$I$4:$I$1463,MATCH("AZUKI"&amp;"|"&amp;MAX(1,ROUND(COUNTIFS(MASTER!$B$4:$B$1463,"AZUKI",MASTER!$I$4:$I$1463,"&lt;&gt;")*$A81*100/100,0)),MASTER!$Y$4:$Y$1463,0))="",NA(),INDEX(MASTER!$I$4:$I$1463,MATCH("AZUKI"&amp;"|"&amp;MAX(1,ROUND(COUNTIFS(MASTER!$B$4:$B$1463,"AZUKI",MASTER!$I$4:$I$1463,"&lt;&gt;")*$A81*100/100,0)),MASTER!$Y$4:$Y$1463,0))),NA()),IF($B$4="COMBAT RATING",IFERROR(IF(INDEX(MASTER!$G$4:$G$1463,MATCH("AZUKI"&amp;"|"&amp;MAX(1,ROUND(COUNTIFS(MASTER!$B$4:$B$1463,"AZUKI",MASTER!$G$4:$G$1463,"&lt;&gt;")*$A81*100/100,0)),MASTER!$AH$4:$AH$1463,0))="",NA(),INDEX(MASTER!$G$4:$G$1463,MATCH("AZUKI"&amp;"|"&amp;MAX(1,ROUND(COUNTIFS(MASTER!$B$4:$B$1463,"AZUKI",MASTER!$G$4:$G$1463,"&lt;&gt;")*$A81*100/100,0)),MASTER!$AH$4:$AH$1463,0))),NA()),IF($B$4="SECONDARY",IFERROR(IF(INDEX(MASTER!$L$4:$L$1463,MATCH("AZUKI"&amp;"|"&amp;MAX(1,ROUND(COUNTIFS(MASTER!$B$4:$B$1463,"AZUKI",MASTER!$L$4:$L$1463,"&lt;&gt;")*$A81*100/100,0)),MASTER!$AI$4:$AI$1463,0))="",NA(),INDEX(MASTER!$L$4:$L$1463,MATCH("AZUKI"&amp;"|"&amp;MAX(1,ROUND(COUNTIFS(MASTER!$B$4:$B$1463,"AZUKI",MASTER!$L$4:$L$1463,"&lt;&gt;")*$A81*100/100,0)),MASTER!$AI$4:$AI$1463,0))),NA()))))</f>
        <v>7523</v>
      </c>
      <c r="H81" s="37">
        <f>IF($B$4="RESONANCE",IFERROR(IF(INDEX(MASTER!$I$4:$I$1463,MATCH("RECKONING"&amp;"|"&amp;MAX(1,ROUND(COUNTIFS(MASTER!$B$4:$B$1463,"RECKONING",MASTER!$I$4:$I$1463,"&lt;&gt;")*$A81*100/100,0)),MASTER!$Y$4:$Y$1463,0))="",NA(),INDEX(MASTER!$I$4:$I$1463,MATCH("RECKONING"&amp;"|"&amp;MAX(1,ROUND(COUNTIFS(MASTER!$B$4:$B$1463,"RECKONING",MASTER!$I$4:$I$1463,"&lt;&gt;")*$A81*100/100,0)),MASTER!$Y$4:$Y$1463,0))),NA()),IF($B$4="COMBAT RATING",IFERROR(IF(INDEX(MASTER!$G$4:$G$1463,MATCH("RECKONING"&amp;"|"&amp;MAX(1,ROUND(COUNTIFS(MASTER!$B$4:$B$1463,"RECKONING",MASTER!$G$4:$G$1463,"&lt;&gt;")*$A81*100/100,0)),MASTER!$AH$4:$AH$1463,0))="",NA(),INDEX(MASTER!$G$4:$G$1463,MATCH("RECKONING"&amp;"|"&amp;MAX(1,ROUND(COUNTIFS(MASTER!$B$4:$B$1463,"RECKONING",MASTER!$G$4:$G$1463,"&lt;&gt;")*$A81*100/100,0)),MASTER!$AH$4:$AH$1463,0))),NA()),IF($B$4="SECONDARY",IFERROR(IF(INDEX(MASTER!$L$4:$L$1463,MATCH("RECKONING"&amp;"|"&amp;MAX(1,ROUND(COUNTIFS(MASTER!$B$4:$B$1463,"RECKONING",MASTER!$L$4:$L$1463,"&lt;&gt;")*$A81*100/100,0)),MASTER!$AI$4:$AI$1463,0))="",NA(),INDEX(MASTER!$L$4:$L$1463,MATCH("RECKONING"&amp;"|"&amp;MAX(1,ROUND(COUNTIFS(MASTER!$B$4:$B$1463,"RECKONING",MASTER!$L$4:$L$1463,"&lt;&gt;")*$A81*100/100,0)),MASTER!$AI$4:$AI$1463,0))),NA()))))</f>
        <v>7165</v>
      </c>
      <c r="I81" s="37">
        <f>IF($B$4="RESONANCE",IFERROR(IF(INDEX(MASTER!$I$4:$I$1463,MATCH("ACHERON"&amp;"|"&amp;MAX(1,ROUND(COUNTIFS(MASTER!$B$4:$B$1463,"ACHERON",MASTER!$I$4:$I$1463,"&lt;&gt;")*$A81*100/100,0)),MASTER!$Y$4:$Y$1463,0))="",NA(),INDEX(MASTER!$I$4:$I$1463,MATCH("ACHERON"&amp;"|"&amp;MAX(1,ROUND(COUNTIFS(MASTER!$B$4:$B$1463,"ACHERON",MASTER!$I$4:$I$1463,"&lt;&gt;")*$A81*100/100,0)),MASTER!$Y$4:$Y$1463,0))),NA()),IF($B$4="COMBAT RATING",IFERROR(IF(INDEX(MASTER!$G$4:$G$1463,MATCH("ACHERON"&amp;"|"&amp;MAX(1,ROUND(COUNTIFS(MASTER!$B$4:$B$1463,"ACHERON",MASTER!$G$4:$G$1463,"&lt;&gt;")*$A81*100/100,0)),MASTER!$AH$4:$AH$1463,0))="",NA(),INDEX(MASTER!$G$4:$G$1463,MATCH("ACHERON"&amp;"|"&amp;MAX(1,ROUND(COUNTIFS(MASTER!$B$4:$B$1463,"ACHERON",MASTER!$G$4:$G$1463,"&lt;&gt;")*$A81*100/100,0)),MASTER!$AH$4:$AH$1463,0))),NA()),IF($B$4="SECONDARY",IFERROR(IF(INDEX(MASTER!$L$4:$L$1463,MATCH("ACHERON"&amp;"|"&amp;MAX(1,ROUND(COUNTIFS(MASTER!$B$4:$B$1463,"ACHERON",MASTER!$L$4:$L$1463,"&lt;&gt;")*$A81*100/100,0)),MASTER!$AI$4:$AI$1463,0))="",NA(),INDEX(MASTER!$L$4:$L$1463,MATCH("ACHERON"&amp;"|"&amp;MAX(1,ROUND(COUNTIFS(MASTER!$B$4:$B$1463,"ACHERON",MASTER!$L$4:$L$1463,"&lt;&gt;")*$A81*100/100,0)),MASTER!$AI$4:$AI$1463,0))),NA()))))</f>
        <v>5096</v>
      </c>
      <c r="J81" s="37">
        <f>IF($B$4="RESONANCE",IFERROR(IF(INDEX(MASTER!$I$4:$I$1463,MATCH("INVICTUS"&amp;"|"&amp;MAX(1,ROUND(COUNTIFS(MASTER!$B$4:$B$1463,"INVICTUS",MASTER!$I$4:$I$1463,"&lt;&gt;")*$A81*100/100,0)),MASTER!$Y$4:$Y$1463,0))="",NA(),INDEX(MASTER!$I$4:$I$1463,MATCH("INVICTUS"&amp;"|"&amp;MAX(1,ROUND(COUNTIFS(MASTER!$B$4:$B$1463,"INVICTUS",MASTER!$I$4:$I$1463,"&lt;&gt;")*$A81*100/100,0)),MASTER!$Y$4:$Y$1463,0))),NA()),IF($B$4="COMBAT RATING",IFERROR(IF(INDEX(MASTER!$G$4:$G$1463,MATCH("INVICTUS"&amp;"|"&amp;MAX(1,ROUND(COUNTIFS(MASTER!$B$4:$B$1463,"INVICTUS",MASTER!$G$4:$G$1463,"&lt;&gt;")*$A81*100/100,0)),MASTER!$AH$4:$AH$1463,0))="",NA(),INDEX(MASTER!$G$4:$G$1463,MATCH("INVICTUS"&amp;"|"&amp;MAX(1,ROUND(COUNTIFS(MASTER!$B$4:$B$1463,"INVICTUS",MASTER!$G$4:$G$1463,"&lt;&gt;")*$A81*100/100,0)),MASTER!$AH$4:$AH$1463,0))),NA()),IF($B$4="SECONDARY",IFERROR(IF(INDEX(MASTER!$L$4:$L$1463,MATCH("INVICTUS"&amp;"|"&amp;MAX(1,ROUND(COUNTIFS(MASTER!$B$4:$B$1463,"INVICTUS",MASTER!$L$4:$L$1463,"&lt;&gt;")*$A81*100/100,0)),MASTER!$AI$4:$AI$1463,0))="",NA(),INDEX(MASTER!$L$4:$L$1463,MATCH("INVICTUS"&amp;"|"&amp;MAX(1,ROUND(COUNTIFS(MASTER!$B$4:$B$1463,"INVICTUS",MASTER!$L$4:$L$1463,"&lt;&gt;")*$A81*100/100,0)),MASTER!$AI$4:$AI$1463,0))),NA()))))</f>
        <v>4052</v>
      </c>
      <c r="K81" s="37">
        <f>IF($B$4="RESONANCE",IFERROR(IF(INDEX(MASTER!$I$4:$I$1463,MATCH("EMERALD LEAF TRIBE"&amp;"|"&amp;MAX(1,ROUND(COUNTIFS(MASTER!$B$4:$B$1463,"EMERALD LEAF TRIBE",MASTER!$I$4:$I$1463,"&lt;&gt;")*$A81*100/100,0)),MASTER!$Y$4:$Y$1463,0))="",NA(),INDEX(MASTER!$I$4:$I$1463,MATCH("EMERALD LEAF TRIBE"&amp;"|"&amp;MAX(1,ROUND(COUNTIFS(MASTER!$B$4:$B$1463,"EMERALD LEAF TRIBE",MASTER!$I$4:$I$1463,"&lt;&gt;")*$A81*100/100,0)),MASTER!$Y$4:$Y$1463,0))),NA()),IF($B$4="COMBAT RATING",IFERROR(IF(INDEX(MASTER!$G$4:$G$1463,MATCH("EMERALD LEAF TRIBE"&amp;"|"&amp;MAX(1,ROUND(COUNTIFS(MASTER!$B$4:$B$1463,"EMERALD LEAF TRIBE",MASTER!$G$4:$G$1463,"&lt;&gt;")*$A81*100/100,0)),MASTER!$AH$4:$AH$1463,0))="",NA(),INDEX(MASTER!$G$4:$G$1463,MATCH("EMERALD LEAF TRIBE"&amp;"|"&amp;MAX(1,ROUND(COUNTIFS(MASTER!$B$4:$B$1463,"EMERALD LEAF TRIBE",MASTER!$G$4:$G$1463,"&lt;&gt;")*$A81*100/100,0)),MASTER!$AH$4:$AH$1463,0))),NA()),IF($B$4="SECONDARY",IFERROR(IF(INDEX(MASTER!$L$4:$L$1463,MATCH("EMERALD LEAF TRIBE"&amp;"|"&amp;MAX(1,ROUND(COUNTIFS(MASTER!$B$4:$B$1463,"EMERALD LEAF TRIBE",MASTER!$L$4:$L$1463,"&lt;&gt;")*$A81*100/100,0)),MASTER!$AI$4:$AI$1463,0))="",NA(),INDEX(MASTER!$L$4:$L$1463,MATCH("EMERALD LEAF TRIBE"&amp;"|"&amp;MAX(1,ROUND(COUNTIFS(MASTER!$B$4:$B$1463,"EMERALD LEAF TRIBE",MASTER!$L$4:$L$1463,"&lt;&gt;")*$A81*100/100,0)),MASTER!$AI$4:$AI$1463,0))),NA()))))</f>
        <v>2961</v>
      </c>
      <c r="L81" s="37">
        <f>IF($B$4="RESONANCE",IFERROR(IF(INDEX(MASTER!$I$4:$I$1463,MATCH("SUB ROSA"&amp;"|"&amp;MAX(1,ROUND(COUNTIFS(MASTER!$B$4:$B$1463,"SUB ROSA",MASTER!$I$4:$I$1463,"&lt;&gt;")*$A81*100/100,0)),MASTER!$Y$4:$Y$1463,0))="",NA(),INDEX(MASTER!$I$4:$I$1463,MATCH("SUB ROSA"&amp;"|"&amp;MAX(1,ROUND(COUNTIFS(MASTER!$B$4:$B$1463,"SUB ROSA",MASTER!$I$4:$I$1463,"&lt;&gt;")*$A81*100/100,0)),MASTER!$Y$4:$Y$1463,0))),NA()),IF($B$4="COMBAT RATING",IFERROR(IF(INDEX(MASTER!$G$4:$G$1463,MATCH("SUB ROSA"&amp;"|"&amp;MAX(1,ROUND(COUNTIFS(MASTER!$B$4:$B$1463,"SUB ROSA",MASTER!$G$4:$G$1463,"&lt;&gt;")*$A81*100/100,0)),MASTER!$AH$4:$AH$1463,0))="",NA(),INDEX(MASTER!$G$4:$G$1463,MATCH("SUB ROSA"&amp;"|"&amp;MAX(1,ROUND(COUNTIFS(MASTER!$B$4:$B$1463,"SUB ROSA",MASTER!$G$4:$G$1463,"&lt;&gt;")*$A81*100/100,0)),MASTER!$AH$4:$AH$1463,0))),NA()),IF($B$4="SECONDARY",IFERROR(IF(INDEX(MASTER!$L$4:$L$1463,MATCH("SUB ROSA"&amp;"|"&amp;MAX(1,ROUND(COUNTIFS(MASTER!$B$4:$B$1463,"SUB ROSA",MASTER!$L$4:$L$1463,"&lt;&gt;")*$A81*100/100,0)),MASTER!$AI$4:$AI$1463,0))="",NA(),INDEX(MASTER!$L$4:$L$1463,MATCH("SUB ROSA"&amp;"|"&amp;MAX(1,ROUND(COUNTIFS(MASTER!$B$4:$B$1463,"SUB ROSA",MASTER!$L$4:$L$1463,"&lt;&gt;")*$A81*100/100,0)),MASTER!$AI$4:$AI$1463,0))),NA()))))</f>
        <v>3648</v>
      </c>
      <c r="M81" s="37">
        <f>IF($B$4="RESONANCE",IFERROR(IF(INDEX(MASTER!$I$4:$I$1463,MATCH("VENGEANCE"&amp;"|"&amp;MAX(1,ROUND(COUNTIFS(MASTER!$B$4:$B$1463,"VENGEANCE",MASTER!$I$4:$I$1463,"&lt;&gt;")*$A81*100/100,0)),MASTER!$Y$4:$Y$1463,0))="",NA(),INDEX(MASTER!$I$4:$I$1463,MATCH("VENGEANCE"&amp;"|"&amp;MAX(1,ROUND(COUNTIFS(MASTER!$B$4:$B$1463,"VENGEANCE",MASTER!$I$4:$I$1463,"&lt;&gt;")*$A81*100/100,0)),MASTER!$Y$4:$Y$1463,0))),NA()),IF($B$4="COMBAT RATING",IFERROR(IF(INDEX(MASTER!$G$4:$G$1463,MATCH("VENGEANCE"&amp;"|"&amp;MAX(1,ROUND(COUNTIFS(MASTER!$B$4:$B$1463,"VENGEANCE",MASTER!$G$4:$G$1463,"&lt;&gt;")*$A81*100/100,0)),MASTER!$AH$4:$AH$1463,0))="",NA(),INDEX(MASTER!$G$4:$G$1463,MATCH("VENGEANCE"&amp;"|"&amp;MAX(1,ROUND(COUNTIFS(MASTER!$B$4:$B$1463,"VENGEANCE",MASTER!$G$4:$G$1463,"&lt;&gt;")*$A81*100/100,0)),MASTER!$AH$4:$AH$1463,0))),NA()),IF($B$4="SECONDARY",IFERROR(IF(INDEX(MASTER!$L$4:$L$1463,MATCH("VENGEANCE"&amp;"|"&amp;MAX(1,ROUND(COUNTIFS(MASTER!$B$4:$B$1463,"VENGEANCE",MASTER!$L$4:$L$1463,"&lt;&gt;")*$A81*100/100,0)),MASTER!$AI$4:$AI$1463,0))="",NA(),INDEX(MASTER!$L$4:$L$1463,MATCH("VENGEANCE"&amp;"|"&amp;MAX(1,ROUND(COUNTIFS(MASTER!$B$4:$B$1463,"VENGEANCE",MASTER!$L$4:$L$1463,"&lt;&gt;")*$A81*100/100,0)),MASTER!$AI$4:$AI$1463,0))),NA()))))</f>
        <v>4410</v>
      </c>
      <c r="N81" s="37">
        <f>IF($B$4="RESONANCE",IFERROR(IF(INDEX(MASTER!$I$4:$I$1463,MATCH("VENDETTA"&amp;"|"&amp;MAX(1,ROUND(COUNTIFS(MASTER!$B$4:$B$1463,"VENDETTA",MASTER!$I$4:$I$1463,"&lt;&gt;")*$A81*100/100,0)),MASTER!$Y$4:$Y$1463,0))="",NA(),INDEX(MASTER!$I$4:$I$1463,MATCH("VENDETTA"&amp;"|"&amp;MAX(1,ROUND(COUNTIFS(MASTER!$B$4:$B$1463,"VENDETTA",MASTER!$I$4:$I$1463,"&lt;&gt;")*$A81*100/100,0)),MASTER!$Y$4:$Y$1463,0))),NA()),IF($B$4="COMBAT RATING",IFERROR(IF(INDEX(MASTER!$G$4:$G$1463,MATCH("VENDETTA"&amp;"|"&amp;MAX(1,ROUND(COUNTIFS(MASTER!$B$4:$B$1463,"VENDETTA",MASTER!$G$4:$G$1463,"&lt;&gt;")*$A81*100/100,0)),MASTER!$AH$4:$AH$1463,0))="",NA(),INDEX(MASTER!$G$4:$G$1463,MATCH("VENDETTA"&amp;"|"&amp;MAX(1,ROUND(COUNTIFS(MASTER!$B$4:$B$1463,"VENDETTA",MASTER!$G$4:$G$1463,"&lt;&gt;")*$A81*100/100,0)),MASTER!$AH$4:$AH$1463,0))),NA()),IF($B$4="SECONDARY",IFERROR(IF(INDEX(MASTER!$L$4:$L$1463,MATCH("VENDETTA"&amp;"|"&amp;MAX(1,ROUND(COUNTIFS(MASTER!$B$4:$B$1463,"VENDETTA",MASTER!$L$4:$L$1463,"&lt;&gt;")*$A81*100/100,0)),MASTER!$AI$4:$AI$1463,0))="",NA(),INDEX(MASTER!$L$4:$L$1463,MATCH("VENDETTA"&amp;"|"&amp;MAX(1,ROUND(COUNTIFS(MASTER!$B$4:$B$1463,"VENDETTA",MASTER!$L$4:$L$1463,"&lt;&gt;")*$A81*100/100,0)),MASTER!$AI$4:$AI$1463,0))),NA()))))</f>
        <v>2728</v>
      </c>
      <c r="O81" s="37">
        <f>IF($B$4="RESONANCE",IFERROR(IF(INDEX(MASTER!$I$4:$I$1463,MATCH("ZOMBIES"&amp;"|"&amp;MAX(1,ROUND(COUNTIFS(MASTER!$B$4:$B$1463,"ZOMBIES",MASTER!$I$4:$I$1463,"&lt;&gt;")*$A81*100/100,0)),MASTER!$Y$4:$Y$1463,0))="",NA(),INDEX(MASTER!$I$4:$I$1463,MATCH("ZOMBIES"&amp;"|"&amp;MAX(1,ROUND(COUNTIFS(MASTER!$B$4:$B$1463,"ZOMBIES",MASTER!$I$4:$I$1463,"&lt;&gt;")*$A81*100/100,0)),MASTER!$Y$4:$Y$1463,0))),NA()),IF($B$4="COMBAT RATING",IFERROR(IF(INDEX(MASTER!$G$4:$G$1463,MATCH("ZOMBIES"&amp;"|"&amp;MAX(1,ROUND(COUNTIFS(MASTER!$B$4:$B$1463,"ZOMBIES",MASTER!$G$4:$G$1463,"&lt;&gt;")*$A81*100/100,0)),MASTER!$AH$4:$AH$1463,0))="",NA(),INDEX(MASTER!$G$4:$G$1463,MATCH("ZOMBIES"&amp;"|"&amp;MAX(1,ROUND(COUNTIFS(MASTER!$B$4:$B$1463,"ZOMBIES",MASTER!$G$4:$G$1463,"&lt;&gt;")*$A81*100/100,0)),MASTER!$AH$4:$AH$1463,0))),NA()),IF($B$4="SECONDARY",IFERROR(IF(INDEX(MASTER!$L$4:$L$1463,MATCH("ZOMBIES"&amp;"|"&amp;MAX(1,ROUND(COUNTIFS(MASTER!$B$4:$B$1463,"ZOMBIES",MASTER!$L$4:$L$1463,"&lt;&gt;")*$A81*100/100,0)),MASTER!$AI$4:$AI$1463,0))="",NA(),INDEX(MASTER!$L$4:$L$1463,MATCH("ZOMBIES"&amp;"|"&amp;MAX(1,ROUND(COUNTIFS(MASTER!$B$4:$B$1463,"ZOMBIES",MASTER!$L$4:$L$1463,"&lt;&gt;")*$A81*100/100,0)),MASTER!$AI$4:$AI$1463,0))),NA()))))</f>
        <v>2496</v>
      </c>
      <c r="P81" s="37">
        <f>IF($B$4="RESONANCE",IFERROR(IF(INDEX(MASTER!$I$4:$I$1463,MATCH("FUCT"&amp;"|"&amp;MAX(1,ROUND(COUNTIFS(MASTER!$B$4:$B$1463,"FUCT",MASTER!$I$4:$I$1463,"&lt;&gt;")*$A81*100/100,0)),MASTER!$Y$4:$Y$1463,0))="",NA(),INDEX(MASTER!$I$4:$I$1463,MATCH("FUCT"&amp;"|"&amp;MAX(1,ROUND(COUNTIFS(MASTER!$B$4:$B$1463,"FUCT",MASTER!$I$4:$I$1463,"&lt;&gt;")*$A81*100/100,0)),MASTER!$Y$4:$Y$1463,0))),NA()),IF($B$4="COMBAT RATING",IFERROR(IF(INDEX(MASTER!$G$4:$G$1463,MATCH("FUCT"&amp;"|"&amp;MAX(1,ROUND(COUNTIFS(MASTER!$B$4:$B$1463,"FUCT",MASTER!$G$4:$G$1463,"&lt;&gt;")*$A81*100/100,0)),MASTER!$AH$4:$AH$1463,0))="",NA(),INDEX(MASTER!$G$4:$G$1463,MATCH("FUCT"&amp;"|"&amp;MAX(1,ROUND(COUNTIFS(MASTER!$B$4:$B$1463,"FUCT",MASTER!$G$4:$G$1463,"&lt;&gt;")*$A81*100/100,0)),MASTER!$AH$4:$AH$1463,0))),NA()),IF($B$4="SECONDARY",IFERROR(IF(INDEX(MASTER!$L$4:$L$1463,MATCH("FUCT"&amp;"|"&amp;MAX(1,ROUND(COUNTIFS(MASTER!$B$4:$B$1463,"FUCT",MASTER!$L$4:$L$1463,"&lt;&gt;")*$A81*100/100,0)),MASTER!$AI$4:$AI$1463,0))="",NA(),INDEX(MASTER!$L$4:$L$1463,MATCH("FUCT"&amp;"|"&amp;MAX(1,ROUND(COUNTIFS(MASTER!$B$4:$B$1463,"FUCT",MASTER!$L$4:$L$1463,"&lt;&gt;")*$A81*100/100,0)),MASTER!$AI$4:$AI$1463,0))),NA()))))</f>
        <v>6522</v>
      </c>
      <c r="Q81" s="37">
        <f>IF($B$4="RESONANCE",IFERROR(IF(INDEX(MASTER!$I$4:$I$1463,MATCH($E$4&amp;"|"&amp;MAX(1,ROUND(COUNTIFS(MASTER!$B$4:$B$1463,$E$4,MASTER!$I$4:$I$1463,"&lt;&gt;")*$A81*100/100,0)),MASTER!$Y$4:$Y$1463,0))="",NA(),INDEX(MASTER!$I$4:$I$1463,MATCH($E$4&amp;"|"&amp;MAX(1,ROUND(COUNTIFS(MASTER!$B$4:$B$1463,$E$4,MASTER!$I$4:$I$1463,"&lt;&gt;")*$A81*100/100,0)),MASTER!$Y$4:$Y$1463,0))),NA()),IF($B$4="COMBAT RATING",IFERROR(IF(INDEX(MASTER!$G$4:$G$1463,MATCH($E$4&amp;"|"&amp;MAX(1,ROUND(COUNTIFS(MASTER!$B$4:$B$1463,$E$4,MASTER!$G$4:$G$1463,"&lt;&gt;")*$A81*100/100,0)),MASTER!$AH$4:$AH$1463,0))="",NA(),INDEX(MASTER!$G$4:$G$1463,MATCH($E$4&amp;"|"&amp;MAX(1,ROUND(COUNTIFS(MASTER!$B$4:$B$1463,$E$4,MASTER!$G$4:$G$1463,"&lt;&gt;")*$A81*100/100,0)),MASTER!$AH$4:$AH$1463,0))),NA()),IF($B$4="SECONDARY",IFERROR(IF(INDEX(MASTER!$L$4:$L$1463,MATCH($E$4&amp;"|"&amp;MAX(1,ROUND(COUNTIFS(MASTER!$B$4:$B$1463,$E$4,MASTER!$L$4:$L$1463,"&lt;&gt;")*$A81*100/100,0)),MASTER!$AI$4:$AI$1463,0))="",NA(),INDEX(MASTER!$L$4:$L$1463,MATCH($E$4&amp;"|"&amp;MAX(1,ROUND(COUNTIFS(MASTER!$B$4:$B$1463,$E$4,MASTER!$L$4:$L$1463,"&lt;&gt;")*$A81*100/100,0)),MASTER!$AI$4:$AI$1463,0))),NA()))))</f>
        <v>5393</v>
      </c>
    </row>
    <row r="82" spans="1:17" hidden="1">
      <c r="A82" s="36">
        <v>0.27</v>
      </c>
      <c r="B82" s="37">
        <f>IF($B$4="RESONANCE",IFERROR(IF(INDEX(MASTER!$I$4:$I$1463,MATCH("FUCT"&amp;"|"&amp;MAX(1,ROUND(COUNTIFS(MASTER!$B$4:$B$1463,"FUCT",MASTER!$I$4:$I$1463,"&lt;&gt;")*$A82*100/100,0)),MASTER!$Y$4:$Y$1463,0))="",NA(),INDEX(MASTER!$I$4:$I$1463,MATCH("FUCT"&amp;"|"&amp;MAX(1,ROUND(COUNTIFS(MASTER!$B$4:$B$1463,"FUCT",MASTER!$I$4:$I$1463,"&lt;&gt;")*$A82*100/100,0)),MASTER!$Y$4:$Y$1463,0))),NA()),IF($B$4="COMBAT RATING",IFERROR(IF(INDEX(MASTER!$G$4:$G$1463,MATCH("FUCT"&amp;"|"&amp;MAX(1,ROUND(COUNTIFS(MASTER!$B$4:$B$1463,"FUCT",MASTER!$G$4:$G$1463,"&lt;&gt;")*$A82*100/100,0)),MASTER!$AH$4:$AH$1463,0))="",NA(),INDEX(MASTER!$G$4:$G$1463,MATCH("FUCT"&amp;"|"&amp;MAX(1,ROUND(COUNTIFS(MASTER!$B$4:$B$1463,"FUCT",MASTER!$G$4:$G$1463,"&lt;&gt;")*$A82*100/100,0)),MASTER!$AH$4:$AH$1463,0))),NA()),IF($B$4="SECONDARY",IFERROR(IF(INDEX(MASTER!$L$4:$L$1463,MATCH("FUCT"&amp;"|"&amp;MAX(1,ROUND(COUNTIFS(MASTER!$B$4:$B$1463,"FUCT",MASTER!$L$4:$L$1463,"&lt;&gt;")*$A82*100/100,0)),MASTER!$AI$4:$AI$1463,0))="",NA(),INDEX(MASTER!$L$4:$L$1463,MATCH("FUCT"&amp;"|"&amp;MAX(1,ROUND(COUNTIFS(MASTER!$B$4:$B$1463,"FUCT",MASTER!$L$4:$L$1463,"&lt;&gt;")*$A82*100/100,0)),MASTER!$AI$4:$AI$1463,0))),NA()))))</f>
        <v>6200</v>
      </c>
      <c r="C82" s="37">
        <f>IF($B$4="RESONANCE",IFERROR(IF(INDEX(MASTER!$I$4:$I$1463,MATCH("LEGENDS"&amp;"|"&amp;MAX(1,ROUND(COUNTIFS(MASTER!$B$4:$B$1463,"LEGENDS",MASTER!$I$4:$I$1463,"&lt;&gt;")*$A82*100/100,0)),MASTER!$Y$4:$Y$1463,0))="",NA(),INDEX(MASTER!$I$4:$I$1463,MATCH("LEGENDS"&amp;"|"&amp;MAX(1,ROUND(COUNTIFS(MASTER!$B$4:$B$1463,"LEGENDS",MASTER!$I$4:$I$1463,"&lt;&gt;")*$A82*100/100,0)),MASTER!$Y$4:$Y$1463,0))),NA()),IF($B$4="COMBAT RATING",IFERROR(IF(INDEX(MASTER!$G$4:$G$1463,MATCH("LEGENDS"&amp;"|"&amp;MAX(1,ROUND(COUNTIFS(MASTER!$B$4:$B$1463,"LEGENDS",MASTER!$G$4:$G$1463,"&lt;&gt;")*$A82*100/100,0)),MASTER!$AH$4:$AH$1463,0))="",NA(),INDEX(MASTER!$G$4:$G$1463,MATCH("LEGENDS"&amp;"|"&amp;MAX(1,ROUND(COUNTIFS(MASTER!$B$4:$B$1463,"LEGENDS",MASTER!$G$4:$G$1463,"&lt;&gt;")*$A82*100/100,0)),MASTER!$AH$4:$AH$1463,0))),NA()),IF($B$4="SECONDARY",IFERROR(IF(INDEX(MASTER!$L$4:$L$1463,MATCH("LEGENDS"&amp;"|"&amp;MAX(1,ROUND(COUNTIFS(MASTER!$B$4:$B$1463,"LEGENDS",MASTER!$L$4:$L$1463,"&lt;&gt;")*$A82*100/100,0)),MASTER!$AI$4:$AI$1463,0))="",NA(),INDEX(MASTER!$L$4:$L$1463,MATCH("LEGENDS"&amp;"|"&amp;MAX(1,ROUND(COUNTIFS(MASTER!$B$4:$B$1463,"LEGENDS",MASTER!$L$4:$L$1463,"&lt;&gt;")*$A82*100/100,0)),MASTER!$AI$4:$AI$1463,0))),NA()))))</f>
        <v>6614</v>
      </c>
      <c r="D82" s="37">
        <f>IF($B$4="RESONANCE",IFERROR(IF(INDEX(MASTER!$I$4:$I$1463,MATCH("VANGUARD"&amp;"|"&amp;MAX(1,ROUND(COUNTIFS(MASTER!$B$4:$B$1463,"VANGUARD",MASTER!$I$4:$I$1463,"&lt;&gt;")*$A82*100/100,0)),MASTER!$Y$4:$Y$1463,0))="",NA(),INDEX(MASTER!$I$4:$I$1463,MATCH("VANGUARD"&amp;"|"&amp;MAX(1,ROUND(COUNTIFS(MASTER!$B$4:$B$1463,"VANGUARD",MASTER!$I$4:$I$1463,"&lt;&gt;")*$A82*100/100,0)),MASTER!$Y$4:$Y$1463,0))),NA()),IF($B$4="COMBAT RATING",IFERROR(IF(INDEX(MASTER!$G$4:$G$1463,MATCH("VANGUARD"&amp;"|"&amp;MAX(1,ROUND(COUNTIFS(MASTER!$B$4:$B$1463,"VANGUARD",MASTER!$G$4:$G$1463,"&lt;&gt;")*$A82*100/100,0)),MASTER!$AH$4:$AH$1463,0))="",NA(),INDEX(MASTER!$G$4:$G$1463,MATCH("VANGUARD"&amp;"|"&amp;MAX(1,ROUND(COUNTIFS(MASTER!$B$4:$B$1463,"VANGUARD",MASTER!$G$4:$G$1463,"&lt;&gt;")*$A82*100/100,0)),MASTER!$AH$4:$AH$1463,0))),NA()),IF($B$4="SECONDARY",IFERROR(IF(INDEX(MASTER!$L$4:$L$1463,MATCH("VANGUARD"&amp;"|"&amp;MAX(1,ROUND(COUNTIFS(MASTER!$B$4:$B$1463,"VANGUARD",MASTER!$L$4:$L$1463,"&lt;&gt;")*$A82*100/100,0)),MASTER!$AI$4:$AI$1463,0))="",NA(),INDEX(MASTER!$L$4:$L$1463,MATCH("VANGUARD"&amp;"|"&amp;MAX(1,ROUND(COUNTIFS(MASTER!$B$4:$B$1463,"VANGUARD",MASTER!$L$4:$L$1463,"&lt;&gt;")*$A82*100/100,0)),MASTER!$AI$4:$AI$1463,0))),NA()))))</f>
        <v>8622</v>
      </c>
      <c r="E82" s="37">
        <f>IF($B$4="RESONANCE",IFERROR(IF(INDEX(MASTER!$I$4:$I$1463,MATCH("UNDYING"&amp;"|"&amp;MAX(1,ROUND(COUNTIFS(MASTER!$B$4:$B$1463,"UNDYING",MASTER!$I$4:$I$1463,"&lt;&gt;")*$A82*100/100,0)),MASTER!$Y$4:$Y$1463,0))="",NA(),INDEX(MASTER!$I$4:$I$1463,MATCH("UNDYING"&amp;"|"&amp;MAX(1,ROUND(COUNTIFS(MASTER!$B$4:$B$1463,"UNDYING",MASTER!$I$4:$I$1463,"&lt;&gt;")*$A82*100/100,0)),MASTER!$Y$4:$Y$1463,0))),NA()),IF($B$4="COMBAT RATING",IFERROR(IF(INDEX(MASTER!$G$4:$G$1463,MATCH("UNDYING"&amp;"|"&amp;MAX(1,ROUND(COUNTIFS(MASTER!$B$4:$B$1463,"UNDYING",MASTER!$G$4:$G$1463,"&lt;&gt;")*$A82*100/100,0)),MASTER!$AH$4:$AH$1463,0))="",NA(),INDEX(MASTER!$G$4:$G$1463,MATCH("UNDYING"&amp;"|"&amp;MAX(1,ROUND(COUNTIFS(MASTER!$B$4:$B$1463,"UNDYING",MASTER!$G$4:$G$1463,"&lt;&gt;")*$A82*100/100,0)),MASTER!$AH$4:$AH$1463,0))),NA()),IF($B$4="SECONDARY",IFERROR(IF(INDEX(MASTER!$L$4:$L$1463,MATCH("UNDYING"&amp;"|"&amp;MAX(1,ROUND(COUNTIFS(MASTER!$B$4:$B$1463,"UNDYING",MASTER!$L$4:$L$1463,"&lt;&gt;")*$A82*100/100,0)),MASTER!$AI$4:$AI$1463,0))="",NA(),INDEX(MASTER!$L$4:$L$1463,MATCH("UNDYING"&amp;"|"&amp;MAX(1,ROUND(COUNTIFS(MASTER!$B$4:$B$1463,"UNDYING",MASTER!$L$4:$L$1463,"&lt;&gt;")*$A82*100/100,0)),MASTER!$AI$4:$AI$1463,0))),NA()))))</f>
        <v>5223</v>
      </c>
      <c r="F82" s="37">
        <f>IF($B$4="RESONANCE",IFERROR(IF(INDEX(MASTER!$I$4:$I$1463,MATCH("SBG"&amp;"|"&amp;MAX(1,ROUND(COUNTIFS(MASTER!$B$4:$B$1463,"SBG",MASTER!$I$4:$I$1463,"&lt;&gt;")*$A82*100/100,0)),MASTER!$Y$4:$Y$1463,0))="",NA(),INDEX(MASTER!$I$4:$I$1463,MATCH("SBG"&amp;"|"&amp;MAX(1,ROUND(COUNTIFS(MASTER!$B$4:$B$1463,"SBG",MASTER!$I$4:$I$1463,"&lt;&gt;")*$A82*100/100,0)),MASTER!$Y$4:$Y$1463,0))),NA()),IF($B$4="COMBAT RATING",IFERROR(IF(INDEX(MASTER!$G$4:$G$1463,MATCH("SBG"&amp;"|"&amp;MAX(1,ROUND(COUNTIFS(MASTER!$B$4:$B$1463,"SBG",MASTER!$G$4:$G$1463,"&lt;&gt;")*$A82*100/100,0)),MASTER!$AH$4:$AH$1463,0))="",NA(),INDEX(MASTER!$G$4:$G$1463,MATCH("SBG"&amp;"|"&amp;MAX(1,ROUND(COUNTIFS(MASTER!$B$4:$B$1463,"SBG",MASTER!$G$4:$G$1463,"&lt;&gt;")*$A82*100/100,0)),MASTER!$AH$4:$AH$1463,0))),NA()),IF($B$4="SECONDARY",IFERROR(IF(INDEX(MASTER!$L$4:$L$1463,MATCH("SBG"&amp;"|"&amp;MAX(1,ROUND(COUNTIFS(MASTER!$B$4:$B$1463,"SBG",MASTER!$L$4:$L$1463,"&lt;&gt;")*$A82*100/100,0)),MASTER!$AI$4:$AI$1463,0))="",NA(),INDEX(MASTER!$L$4:$L$1463,MATCH("SBG"&amp;"|"&amp;MAX(1,ROUND(COUNTIFS(MASTER!$B$4:$B$1463,"SBG",MASTER!$L$4:$L$1463,"&lt;&gt;")*$A82*100/100,0)),MASTER!$AI$4:$AI$1463,0))),NA()))))</f>
        <v>7428</v>
      </c>
      <c r="G82" s="37">
        <f>IF($B$4="RESONANCE",IFERROR(IF(INDEX(MASTER!$I$4:$I$1463,MATCH("AZUKI"&amp;"|"&amp;MAX(1,ROUND(COUNTIFS(MASTER!$B$4:$B$1463,"AZUKI",MASTER!$I$4:$I$1463,"&lt;&gt;")*$A82*100/100,0)),MASTER!$Y$4:$Y$1463,0))="",NA(),INDEX(MASTER!$I$4:$I$1463,MATCH("AZUKI"&amp;"|"&amp;MAX(1,ROUND(COUNTIFS(MASTER!$B$4:$B$1463,"AZUKI",MASTER!$I$4:$I$1463,"&lt;&gt;")*$A82*100/100,0)),MASTER!$Y$4:$Y$1463,0))),NA()),IF($B$4="COMBAT RATING",IFERROR(IF(INDEX(MASTER!$G$4:$G$1463,MATCH("AZUKI"&amp;"|"&amp;MAX(1,ROUND(COUNTIFS(MASTER!$B$4:$B$1463,"AZUKI",MASTER!$G$4:$G$1463,"&lt;&gt;")*$A82*100/100,0)),MASTER!$AH$4:$AH$1463,0))="",NA(),INDEX(MASTER!$G$4:$G$1463,MATCH("AZUKI"&amp;"|"&amp;MAX(1,ROUND(COUNTIFS(MASTER!$B$4:$B$1463,"AZUKI",MASTER!$G$4:$G$1463,"&lt;&gt;")*$A82*100/100,0)),MASTER!$AH$4:$AH$1463,0))),NA()),IF($B$4="SECONDARY",IFERROR(IF(INDEX(MASTER!$L$4:$L$1463,MATCH("AZUKI"&amp;"|"&amp;MAX(1,ROUND(COUNTIFS(MASTER!$B$4:$B$1463,"AZUKI",MASTER!$L$4:$L$1463,"&lt;&gt;")*$A82*100/100,0)),MASTER!$AI$4:$AI$1463,0))="",NA(),INDEX(MASTER!$L$4:$L$1463,MATCH("AZUKI"&amp;"|"&amp;MAX(1,ROUND(COUNTIFS(MASTER!$B$4:$B$1463,"AZUKI",MASTER!$L$4:$L$1463,"&lt;&gt;")*$A82*100/100,0)),MASTER!$AI$4:$AI$1463,0))),NA()))))</f>
        <v>7477</v>
      </c>
      <c r="H82" s="37">
        <f>IF($B$4="RESONANCE",IFERROR(IF(INDEX(MASTER!$I$4:$I$1463,MATCH("RECKONING"&amp;"|"&amp;MAX(1,ROUND(COUNTIFS(MASTER!$B$4:$B$1463,"RECKONING",MASTER!$I$4:$I$1463,"&lt;&gt;")*$A82*100/100,0)),MASTER!$Y$4:$Y$1463,0))="",NA(),INDEX(MASTER!$I$4:$I$1463,MATCH("RECKONING"&amp;"|"&amp;MAX(1,ROUND(COUNTIFS(MASTER!$B$4:$B$1463,"RECKONING",MASTER!$I$4:$I$1463,"&lt;&gt;")*$A82*100/100,0)),MASTER!$Y$4:$Y$1463,0))),NA()),IF($B$4="COMBAT RATING",IFERROR(IF(INDEX(MASTER!$G$4:$G$1463,MATCH("RECKONING"&amp;"|"&amp;MAX(1,ROUND(COUNTIFS(MASTER!$B$4:$B$1463,"RECKONING",MASTER!$G$4:$G$1463,"&lt;&gt;")*$A82*100/100,0)),MASTER!$AH$4:$AH$1463,0))="",NA(),INDEX(MASTER!$G$4:$G$1463,MATCH("RECKONING"&amp;"|"&amp;MAX(1,ROUND(COUNTIFS(MASTER!$B$4:$B$1463,"RECKONING",MASTER!$G$4:$G$1463,"&lt;&gt;")*$A82*100/100,0)),MASTER!$AH$4:$AH$1463,0))),NA()),IF($B$4="SECONDARY",IFERROR(IF(INDEX(MASTER!$L$4:$L$1463,MATCH("RECKONING"&amp;"|"&amp;MAX(1,ROUND(COUNTIFS(MASTER!$B$4:$B$1463,"RECKONING",MASTER!$L$4:$L$1463,"&lt;&gt;")*$A82*100/100,0)),MASTER!$AI$4:$AI$1463,0))="",NA(),INDEX(MASTER!$L$4:$L$1463,MATCH("RECKONING"&amp;"|"&amp;MAX(1,ROUND(COUNTIFS(MASTER!$B$4:$B$1463,"RECKONING",MASTER!$L$4:$L$1463,"&lt;&gt;")*$A82*100/100,0)),MASTER!$AI$4:$AI$1463,0))),NA()))))</f>
        <v>7032</v>
      </c>
      <c r="I82" s="37">
        <f>IF($B$4="RESONANCE",IFERROR(IF(INDEX(MASTER!$I$4:$I$1463,MATCH("ACHERON"&amp;"|"&amp;MAX(1,ROUND(COUNTIFS(MASTER!$B$4:$B$1463,"ACHERON",MASTER!$I$4:$I$1463,"&lt;&gt;")*$A82*100/100,0)),MASTER!$Y$4:$Y$1463,0))="",NA(),INDEX(MASTER!$I$4:$I$1463,MATCH("ACHERON"&amp;"|"&amp;MAX(1,ROUND(COUNTIFS(MASTER!$B$4:$B$1463,"ACHERON",MASTER!$I$4:$I$1463,"&lt;&gt;")*$A82*100/100,0)),MASTER!$Y$4:$Y$1463,0))),NA()),IF($B$4="COMBAT RATING",IFERROR(IF(INDEX(MASTER!$G$4:$G$1463,MATCH("ACHERON"&amp;"|"&amp;MAX(1,ROUND(COUNTIFS(MASTER!$B$4:$B$1463,"ACHERON",MASTER!$G$4:$G$1463,"&lt;&gt;")*$A82*100/100,0)),MASTER!$AH$4:$AH$1463,0))="",NA(),INDEX(MASTER!$G$4:$G$1463,MATCH("ACHERON"&amp;"|"&amp;MAX(1,ROUND(COUNTIFS(MASTER!$B$4:$B$1463,"ACHERON",MASTER!$G$4:$G$1463,"&lt;&gt;")*$A82*100/100,0)),MASTER!$AH$4:$AH$1463,0))),NA()),IF($B$4="SECONDARY",IFERROR(IF(INDEX(MASTER!$L$4:$L$1463,MATCH("ACHERON"&amp;"|"&amp;MAX(1,ROUND(COUNTIFS(MASTER!$B$4:$B$1463,"ACHERON",MASTER!$L$4:$L$1463,"&lt;&gt;")*$A82*100/100,0)),MASTER!$AI$4:$AI$1463,0))="",NA(),INDEX(MASTER!$L$4:$L$1463,MATCH("ACHERON"&amp;"|"&amp;MAX(1,ROUND(COUNTIFS(MASTER!$B$4:$B$1463,"ACHERON",MASTER!$L$4:$L$1463,"&lt;&gt;")*$A82*100/100,0)),MASTER!$AI$4:$AI$1463,0))),NA()))))</f>
        <v>5080</v>
      </c>
      <c r="J82" s="37">
        <f>IF($B$4="RESONANCE",IFERROR(IF(INDEX(MASTER!$I$4:$I$1463,MATCH("INVICTUS"&amp;"|"&amp;MAX(1,ROUND(COUNTIFS(MASTER!$B$4:$B$1463,"INVICTUS",MASTER!$I$4:$I$1463,"&lt;&gt;")*$A82*100/100,0)),MASTER!$Y$4:$Y$1463,0))="",NA(),INDEX(MASTER!$I$4:$I$1463,MATCH("INVICTUS"&amp;"|"&amp;MAX(1,ROUND(COUNTIFS(MASTER!$B$4:$B$1463,"INVICTUS",MASTER!$I$4:$I$1463,"&lt;&gt;")*$A82*100/100,0)),MASTER!$Y$4:$Y$1463,0))),NA()),IF($B$4="COMBAT RATING",IFERROR(IF(INDEX(MASTER!$G$4:$G$1463,MATCH("INVICTUS"&amp;"|"&amp;MAX(1,ROUND(COUNTIFS(MASTER!$B$4:$B$1463,"INVICTUS",MASTER!$G$4:$G$1463,"&lt;&gt;")*$A82*100/100,0)),MASTER!$AH$4:$AH$1463,0))="",NA(),INDEX(MASTER!$G$4:$G$1463,MATCH("INVICTUS"&amp;"|"&amp;MAX(1,ROUND(COUNTIFS(MASTER!$B$4:$B$1463,"INVICTUS",MASTER!$G$4:$G$1463,"&lt;&gt;")*$A82*100/100,0)),MASTER!$AH$4:$AH$1463,0))),NA()),IF($B$4="SECONDARY",IFERROR(IF(INDEX(MASTER!$L$4:$L$1463,MATCH("INVICTUS"&amp;"|"&amp;MAX(1,ROUND(COUNTIFS(MASTER!$B$4:$B$1463,"INVICTUS",MASTER!$L$4:$L$1463,"&lt;&gt;")*$A82*100/100,0)),MASTER!$AI$4:$AI$1463,0))="",NA(),INDEX(MASTER!$L$4:$L$1463,MATCH("INVICTUS"&amp;"|"&amp;MAX(1,ROUND(COUNTIFS(MASTER!$B$4:$B$1463,"INVICTUS",MASTER!$L$4:$L$1463,"&lt;&gt;")*$A82*100/100,0)),MASTER!$AI$4:$AI$1463,0))),NA()))))</f>
        <v>4029</v>
      </c>
      <c r="K82" s="37">
        <f>IF($B$4="RESONANCE",IFERROR(IF(INDEX(MASTER!$I$4:$I$1463,MATCH("EMERALD LEAF TRIBE"&amp;"|"&amp;MAX(1,ROUND(COUNTIFS(MASTER!$B$4:$B$1463,"EMERALD LEAF TRIBE",MASTER!$I$4:$I$1463,"&lt;&gt;")*$A82*100/100,0)),MASTER!$Y$4:$Y$1463,0))="",NA(),INDEX(MASTER!$I$4:$I$1463,MATCH("EMERALD LEAF TRIBE"&amp;"|"&amp;MAX(1,ROUND(COUNTIFS(MASTER!$B$4:$B$1463,"EMERALD LEAF TRIBE",MASTER!$I$4:$I$1463,"&lt;&gt;")*$A82*100/100,0)),MASTER!$Y$4:$Y$1463,0))),NA()),IF($B$4="COMBAT RATING",IFERROR(IF(INDEX(MASTER!$G$4:$G$1463,MATCH("EMERALD LEAF TRIBE"&amp;"|"&amp;MAX(1,ROUND(COUNTIFS(MASTER!$B$4:$B$1463,"EMERALD LEAF TRIBE",MASTER!$G$4:$G$1463,"&lt;&gt;")*$A82*100/100,0)),MASTER!$AH$4:$AH$1463,0))="",NA(),INDEX(MASTER!$G$4:$G$1463,MATCH("EMERALD LEAF TRIBE"&amp;"|"&amp;MAX(1,ROUND(COUNTIFS(MASTER!$B$4:$B$1463,"EMERALD LEAF TRIBE",MASTER!$G$4:$G$1463,"&lt;&gt;")*$A82*100/100,0)),MASTER!$AH$4:$AH$1463,0))),NA()),IF($B$4="SECONDARY",IFERROR(IF(INDEX(MASTER!$L$4:$L$1463,MATCH("EMERALD LEAF TRIBE"&amp;"|"&amp;MAX(1,ROUND(COUNTIFS(MASTER!$B$4:$B$1463,"EMERALD LEAF TRIBE",MASTER!$L$4:$L$1463,"&lt;&gt;")*$A82*100/100,0)),MASTER!$AI$4:$AI$1463,0))="",NA(),INDEX(MASTER!$L$4:$L$1463,MATCH("EMERALD LEAF TRIBE"&amp;"|"&amp;MAX(1,ROUND(COUNTIFS(MASTER!$B$4:$B$1463,"EMERALD LEAF TRIBE",MASTER!$L$4:$L$1463,"&lt;&gt;")*$A82*100/100,0)),MASTER!$AI$4:$AI$1463,0))),NA()))))</f>
        <v>2903</v>
      </c>
      <c r="L82" s="37">
        <f>IF($B$4="RESONANCE",IFERROR(IF(INDEX(MASTER!$I$4:$I$1463,MATCH("SUB ROSA"&amp;"|"&amp;MAX(1,ROUND(COUNTIFS(MASTER!$B$4:$B$1463,"SUB ROSA",MASTER!$I$4:$I$1463,"&lt;&gt;")*$A82*100/100,0)),MASTER!$Y$4:$Y$1463,0))="",NA(),INDEX(MASTER!$I$4:$I$1463,MATCH("SUB ROSA"&amp;"|"&amp;MAX(1,ROUND(COUNTIFS(MASTER!$B$4:$B$1463,"SUB ROSA",MASTER!$I$4:$I$1463,"&lt;&gt;")*$A82*100/100,0)),MASTER!$Y$4:$Y$1463,0))),NA()),IF($B$4="COMBAT RATING",IFERROR(IF(INDEX(MASTER!$G$4:$G$1463,MATCH("SUB ROSA"&amp;"|"&amp;MAX(1,ROUND(COUNTIFS(MASTER!$B$4:$B$1463,"SUB ROSA",MASTER!$G$4:$G$1463,"&lt;&gt;")*$A82*100/100,0)),MASTER!$AH$4:$AH$1463,0))="",NA(),INDEX(MASTER!$G$4:$G$1463,MATCH("SUB ROSA"&amp;"|"&amp;MAX(1,ROUND(COUNTIFS(MASTER!$B$4:$B$1463,"SUB ROSA",MASTER!$G$4:$G$1463,"&lt;&gt;")*$A82*100/100,0)),MASTER!$AH$4:$AH$1463,0))),NA()),IF($B$4="SECONDARY",IFERROR(IF(INDEX(MASTER!$L$4:$L$1463,MATCH("SUB ROSA"&amp;"|"&amp;MAX(1,ROUND(COUNTIFS(MASTER!$B$4:$B$1463,"SUB ROSA",MASTER!$L$4:$L$1463,"&lt;&gt;")*$A82*100/100,0)),MASTER!$AI$4:$AI$1463,0))="",NA(),INDEX(MASTER!$L$4:$L$1463,MATCH("SUB ROSA"&amp;"|"&amp;MAX(1,ROUND(COUNTIFS(MASTER!$B$4:$B$1463,"SUB ROSA",MASTER!$L$4:$L$1463,"&lt;&gt;")*$A82*100/100,0)),MASTER!$AI$4:$AI$1463,0))),NA()))))</f>
        <v>3648</v>
      </c>
      <c r="M82" s="37">
        <f>IF($B$4="RESONANCE",IFERROR(IF(INDEX(MASTER!$I$4:$I$1463,MATCH("VENGEANCE"&amp;"|"&amp;MAX(1,ROUND(COUNTIFS(MASTER!$B$4:$B$1463,"VENGEANCE",MASTER!$I$4:$I$1463,"&lt;&gt;")*$A82*100/100,0)),MASTER!$Y$4:$Y$1463,0))="",NA(),INDEX(MASTER!$I$4:$I$1463,MATCH("VENGEANCE"&amp;"|"&amp;MAX(1,ROUND(COUNTIFS(MASTER!$B$4:$B$1463,"VENGEANCE",MASTER!$I$4:$I$1463,"&lt;&gt;")*$A82*100/100,0)),MASTER!$Y$4:$Y$1463,0))),NA()),IF($B$4="COMBAT RATING",IFERROR(IF(INDEX(MASTER!$G$4:$G$1463,MATCH("VENGEANCE"&amp;"|"&amp;MAX(1,ROUND(COUNTIFS(MASTER!$B$4:$B$1463,"VENGEANCE",MASTER!$G$4:$G$1463,"&lt;&gt;")*$A82*100/100,0)),MASTER!$AH$4:$AH$1463,0))="",NA(),INDEX(MASTER!$G$4:$G$1463,MATCH("VENGEANCE"&amp;"|"&amp;MAX(1,ROUND(COUNTIFS(MASTER!$B$4:$B$1463,"VENGEANCE",MASTER!$G$4:$G$1463,"&lt;&gt;")*$A82*100/100,0)),MASTER!$AH$4:$AH$1463,0))),NA()),IF($B$4="SECONDARY",IFERROR(IF(INDEX(MASTER!$L$4:$L$1463,MATCH("VENGEANCE"&amp;"|"&amp;MAX(1,ROUND(COUNTIFS(MASTER!$B$4:$B$1463,"VENGEANCE",MASTER!$L$4:$L$1463,"&lt;&gt;")*$A82*100/100,0)),MASTER!$AI$4:$AI$1463,0))="",NA(),INDEX(MASTER!$L$4:$L$1463,MATCH("VENGEANCE"&amp;"|"&amp;MAX(1,ROUND(COUNTIFS(MASTER!$B$4:$B$1463,"VENGEANCE",MASTER!$L$4:$L$1463,"&lt;&gt;")*$A82*100/100,0)),MASTER!$AI$4:$AI$1463,0))),NA()))))</f>
        <v>4332</v>
      </c>
      <c r="N82" s="37">
        <f>IF($B$4="RESONANCE",IFERROR(IF(INDEX(MASTER!$I$4:$I$1463,MATCH("VENDETTA"&amp;"|"&amp;MAX(1,ROUND(COUNTIFS(MASTER!$B$4:$B$1463,"VENDETTA",MASTER!$I$4:$I$1463,"&lt;&gt;")*$A82*100/100,0)),MASTER!$Y$4:$Y$1463,0))="",NA(),INDEX(MASTER!$I$4:$I$1463,MATCH("VENDETTA"&amp;"|"&amp;MAX(1,ROUND(COUNTIFS(MASTER!$B$4:$B$1463,"VENDETTA",MASTER!$I$4:$I$1463,"&lt;&gt;")*$A82*100/100,0)),MASTER!$Y$4:$Y$1463,0))),NA()),IF($B$4="COMBAT RATING",IFERROR(IF(INDEX(MASTER!$G$4:$G$1463,MATCH("VENDETTA"&amp;"|"&amp;MAX(1,ROUND(COUNTIFS(MASTER!$B$4:$B$1463,"VENDETTA",MASTER!$G$4:$G$1463,"&lt;&gt;")*$A82*100/100,0)),MASTER!$AH$4:$AH$1463,0))="",NA(),INDEX(MASTER!$G$4:$G$1463,MATCH("VENDETTA"&amp;"|"&amp;MAX(1,ROUND(COUNTIFS(MASTER!$B$4:$B$1463,"VENDETTA",MASTER!$G$4:$G$1463,"&lt;&gt;")*$A82*100/100,0)),MASTER!$AH$4:$AH$1463,0))),NA()),IF($B$4="SECONDARY",IFERROR(IF(INDEX(MASTER!$L$4:$L$1463,MATCH("VENDETTA"&amp;"|"&amp;MAX(1,ROUND(COUNTIFS(MASTER!$B$4:$B$1463,"VENDETTA",MASTER!$L$4:$L$1463,"&lt;&gt;")*$A82*100/100,0)),MASTER!$AI$4:$AI$1463,0))="",NA(),INDEX(MASTER!$L$4:$L$1463,MATCH("VENDETTA"&amp;"|"&amp;MAX(1,ROUND(COUNTIFS(MASTER!$B$4:$B$1463,"VENDETTA",MASTER!$L$4:$L$1463,"&lt;&gt;")*$A82*100/100,0)),MASTER!$AI$4:$AI$1463,0))),NA()))))</f>
        <v>2718</v>
      </c>
      <c r="O82" s="37">
        <f>IF($B$4="RESONANCE",IFERROR(IF(INDEX(MASTER!$I$4:$I$1463,MATCH("ZOMBIES"&amp;"|"&amp;MAX(1,ROUND(COUNTIFS(MASTER!$B$4:$B$1463,"ZOMBIES",MASTER!$I$4:$I$1463,"&lt;&gt;")*$A82*100/100,0)),MASTER!$Y$4:$Y$1463,0))="",NA(),INDEX(MASTER!$I$4:$I$1463,MATCH("ZOMBIES"&amp;"|"&amp;MAX(1,ROUND(COUNTIFS(MASTER!$B$4:$B$1463,"ZOMBIES",MASTER!$I$4:$I$1463,"&lt;&gt;")*$A82*100/100,0)),MASTER!$Y$4:$Y$1463,0))),NA()),IF($B$4="COMBAT RATING",IFERROR(IF(INDEX(MASTER!$G$4:$G$1463,MATCH("ZOMBIES"&amp;"|"&amp;MAX(1,ROUND(COUNTIFS(MASTER!$B$4:$B$1463,"ZOMBIES",MASTER!$G$4:$G$1463,"&lt;&gt;")*$A82*100/100,0)),MASTER!$AH$4:$AH$1463,0))="",NA(),INDEX(MASTER!$G$4:$G$1463,MATCH("ZOMBIES"&amp;"|"&amp;MAX(1,ROUND(COUNTIFS(MASTER!$B$4:$B$1463,"ZOMBIES",MASTER!$G$4:$G$1463,"&lt;&gt;")*$A82*100/100,0)),MASTER!$AH$4:$AH$1463,0))),NA()),IF($B$4="SECONDARY",IFERROR(IF(INDEX(MASTER!$L$4:$L$1463,MATCH("ZOMBIES"&amp;"|"&amp;MAX(1,ROUND(COUNTIFS(MASTER!$B$4:$B$1463,"ZOMBIES",MASTER!$L$4:$L$1463,"&lt;&gt;")*$A82*100/100,0)),MASTER!$AI$4:$AI$1463,0))="",NA(),INDEX(MASTER!$L$4:$L$1463,MATCH("ZOMBIES"&amp;"|"&amp;MAX(1,ROUND(COUNTIFS(MASTER!$B$4:$B$1463,"ZOMBIES",MASTER!$L$4:$L$1463,"&lt;&gt;")*$A82*100/100,0)),MASTER!$AI$4:$AI$1463,0))),NA()))))</f>
        <v>2466</v>
      </c>
      <c r="P82" s="37">
        <f>IF($B$4="RESONANCE",IFERROR(IF(INDEX(MASTER!$I$4:$I$1463,MATCH("FUCT"&amp;"|"&amp;MAX(1,ROUND(COUNTIFS(MASTER!$B$4:$B$1463,"FUCT",MASTER!$I$4:$I$1463,"&lt;&gt;")*$A82*100/100,0)),MASTER!$Y$4:$Y$1463,0))="",NA(),INDEX(MASTER!$I$4:$I$1463,MATCH("FUCT"&amp;"|"&amp;MAX(1,ROUND(COUNTIFS(MASTER!$B$4:$B$1463,"FUCT",MASTER!$I$4:$I$1463,"&lt;&gt;")*$A82*100/100,0)),MASTER!$Y$4:$Y$1463,0))),NA()),IF($B$4="COMBAT RATING",IFERROR(IF(INDEX(MASTER!$G$4:$G$1463,MATCH("FUCT"&amp;"|"&amp;MAX(1,ROUND(COUNTIFS(MASTER!$B$4:$B$1463,"FUCT",MASTER!$G$4:$G$1463,"&lt;&gt;")*$A82*100/100,0)),MASTER!$AH$4:$AH$1463,0))="",NA(),INDEX(MASTER!$G$4:$G$1463,MATCH("FUCT"&amp;"|"&amp;MAX(1,ROUND(COUNTIFS(MASTER!$B$4:$B$1463,"FUCT",MASTER!$G$4:$G$1463,"&lt;&gt;")*$A82*100/100,0)),MASTER!$AH$4:$AH$1463,0))),NA()),IF($B$4="SECONDARY",IFERROR(IF(INDEX(MASTER!$L$4:$L$1463,MATCH("FUCT"&amp;"|"&amp;MAX(1,ROUND(COUNTIFS(MASTER!$B$4:$B$1463,"FUCT",MASTER!$L$4:$L$1463,"&lt;&gt;")*$A82*100/100,0)),MASTER!$AI$4:$AI$1463,0))="",NA(),INDEX(MASTER!$L$4:$L$1463,MATCH("FUCT"&amp;"|"&amp;MAX(1,ROUND(COUNTIFS(MASTER!$B$4:$B$1463,"FUCT",MASTER!$L$4:$L$1463,"&lt;&gt;")*$A82*100/100,0)),MASTER!$AI$4:$AI$1463,0))),NA()))))</f>
        <v>6200</v>
      </c>
      <c r="Q82" s="37">
        <f>IF($B$4="RESONANCE",IFERROR(IF(INDEX(MASTER!$I$4:$I$1463,MATCH($E$4&amp;"|"&amp;MAX(1,ROUND(COUNTIFS(MASTER!$B$4:$B$1463,$E$4,MASTER!$I$4:$I$1463,"&lt;&gt;")*$A82*100/100,0)),MASTER!$Y$4:$Y$1463,0))="",NA(),INDEX(MASTER!$I$4:$I$1463,MATCH($E$4&amp;"|"&amp;MAX(1,ROUND(COUNTIFS(MASTER!$B$4:$B$1463,$E$4,MASTER!$I$4:$I$1463,"&lt;&gt;")*$A82*100/100,0)),MASTER!$Y$4:$Y$1463,0))),NA()),IF($B$4="COMBAT RATING",IFERROR(IF(INDEX(MASTER!$G$4:$G$1463,MATCH($E$4&amp;"|"&amp;MAX(1,ROUND(COUNTIFS(MASTER!$B$4:$B$1463,$E$4,MASTER!$G$4:$G$1463,"&lt;&gt;")*$A82*100/100,0)),MASTER!$AH$4:$AH$1463,0))="",NA(),INDEX(MASTER!$G$4:$G$1463,MATCH($E$4&amp;"|"&amp;MAX(1,ROUND(COUNTIFS(MASTER!$B$4:$B$1463,$E$4,MASTER!$G$4:$G$1463,"&lt;&gt;")*$A82*100/100,0)),MASTER!$AH$4:$AH$1463,0))),NA()),IF($B$4="SECONDARY",IFERROR(IF(INDEX(MASTER!$L$4:$L$1463,MATCH($E$4&amp;"|"&amp;MAX(1,ROUND(COUNTIFS(MASTER!$B$4:$B$1463,$E$4,MASTER!$L$4:$L$1463,"&lt;&gt;")*$A82*100/100,0)),MASTER!$AI$4:$AI$1463,0))="",NA(),INDEX(MASTER!$L$4:$L$1463,MATCH($E$4&amp;"|"&amp;MAX(1,ROUND(COUNTIFS(MASTER!$B$4:$B$1463,$E$4,MASTER!$L$4:$L$1463,"&lt;&gt;")*$A82*100/100,0)),MASTER!$AI$4:$AI$1463,0))),NA()))))</f>
        <v>5223</v>
      </c>
    </row>
    <row r="83" spans="1:17" hidden="1">
      <c r="A83" s="36">
        <v>0.28000000000000003</v>
      </c>
      <c r="B83" s="37">
        <f>IF($B$4="RESONANCE",IFERROR(IF(INDEX(MASTER!$I$4:$I$1463,MATCH("FUCT"&amp;"|"&amp;MAX(1,ROUND(COUNTIFS(MASTER!$B$4:$B$1463,"FUCT",MASTER!$I$4:$I$1463,"&lt;&gt;")*$A83*100/100,0)),MASTER!$Y$4:$Y$1463,0))="",NA(),INDEX(MASTER!$I$4:$I$1463,MATCH("FUCT"&amp;"|"&amp;MAX(1,ROUND(COUNTIFS(MASTER!$B$4:$B$1463,"FUCT",MASTER!$I$4:$I$1463,"&lt;&gt;")*$A83*100/100,0)),MASTER!$Y$4:$Y$1463,0))),NA()),IF($B$4="COMBAT RATING",IFERROR(IF(INDEX(MASTER!$G$4:$G$1463,MATCH("FUCT"&amp;"|"&amp;MAX(1,ROUND(COUNTIFS(MASTER!$B$4:$B$1463,"FUCT",MASTER!$G$4:$G$1463,"&lt;&gt;")*$A83*100/100,0)),MASTER!$AH$4:$AH$1463,0))="",NA(),INDEX(MASTER!$G$4:$G$1463,MATCH("FUCT"&amp;"|"&amp;MAX(1,ROUND(COUNTIFS(MASTER!$B$4:$B$1463,"FUCT",MASTER!$G$4:$G$1463,"&lt;&gt;")*$A83*100/100,0)),MASTER!$AH$4:$AH$1463,0))),NA()),IF($B$4="SECONDARY",IFERROR(IF(INDEX(MASTER!$L$4:$L$1463,MATCH("FUCT"&amp;"|"&amp;MAX(1,ROUND(COUNTIFS(MASTER!$B$4:$B$1463,"FUCT",MASTER!$L$4:$L$1463,"&lt;&gt;")*$A83*100/100,0)),MASTER!$AI$4:$AI$1463,0))="",NA(),INDEX(MASTER!$L$4:$L$1463,MATCH("FUCT"&amp;"|"&amp;MAX(1,ROUND(COUNTIFS(MASTER!$B$4:$B$1463,"FUCT",MASTER!$L$4:$L$1463,"&lt;&gt;")*$A83*100/100,0)),MASTER!$AI$4:$AI$1463,0))),NA()))))</f>
        <v>6126</v>
      </c>
      <c r="C83" s="37">
        <f>IF($B$4="RESONANCE",IFERROR(IF(INDEX(MASTER!$I$4:$I$1463,MATCH("LEGENDS"&amp;"|"&amp;MAX(1,ROUND(COUNTIFS(MASTER!$B$4:$B$1463,"LEGENDS",MASTER!$I$4:$I$1463,"&lt;&gt;")*$A83*100/100,0)),MASTER!$Y$4:$Y$1463,0))="",NA(),INDEX(MASTER!$I$4:$I$1463,MATCH("LEGENDS"&amp;"|"&amp;MAX(1,ROUND(COUNTIFS(MASTER!$B$4:$B$1463,"LEGENDS",MASTER!$I$4:$I$1463,"&lt;&gt;")*$A83*100/100,0)),MASTER!$Y$4:$Y$1463,0))),NA()),IF($B$4="COMBAT RATING",IFERROR(IF(INDEX(MASTER!$G$4:$G$1463,MATCH("LEGENDS"&amp;"|"&amp;MAX(1,ROUND(COUNTIFS(MASTER!$B$4:$B$1463,"LEGENDS",MASTER!$G$4:$G$1463,"&lt;&gt;")*$A83*100/100,0)),MASTER!$AH$4:$AH$1463,0))="",NA(),INDEX(MASTER!$G$4:$G$1463,MATCH("LEGENDS"&amp;"|"&amp;MAX(1,ROUND(COUNTIFS(MASTER!$B$4:$B$1463,"LEGENDS",MASTER!$G$4:$G$1463,"&lt;&gt;")*$A83*100/100,0)),MASTER!$AH$4:$AH$1463,0))),NA()),IF($B$4="SECONDARY",IFERROR(IF(INDEX(MASTER!$L$4:$L$1463,MATCH("LEGENDS"&amp;"|"&amp;MAX(1,ROUND(COUNTIFS(MASTER!$B$4:$B$1463,"LEGENDS",MASTER!$L$4:$L$1463,"&lt;&gt;")*$A83*100/100,0)),MASTER!$AI$4:$AI$1463,0))="",NA(),INDEX(MASTER!$L$4:$L$1463,MATCH("LEGENDS"&amp;"|"&amp;MAX(1,ROUND(COUNTIFS(MASTER!$B$4:$B$1463,"LEGENDS",MASTER!$L$4:$L$1463,"&lt;&gt;")*$A83*100/100,0)),MASTER!$AI$4:$AI$1463,0))),NA()))))</f>
        <v>6336</v>
      </c>
      <c r="D83" s="37">
        <f>IF($B$4="RESONANCE",IFERROR(IF(INDEX(MASTER!$I$4:$I$1463,MATCH("VANGUARD"&amp;"|"&amp;MAX(1,ROUND(COUNTIFS(MASTER!$B$4:$B$1463,"VANGUARD",MASTER!$I$4:$I$1463,"&lt;&gt;")*$A83*100/100,0)),MASTER!$Y$4:$Y$1463,0))="",NA(),INDEX(MASTER!$I$4:$I$1463,MATCH("VANGUARD"&amp;"|"&amp;MAX(1,ROUND(COUNTIFS(MASTER!$B$4:$B$1463,"VANGUARD",MASTER!$I$4:$I$1463,"&lt;&gt;")*$A83*100/100,0)),MASTER!$Y$4:$Y$1463,0))),NA()),IF($B$4="COMBAT RATING",IFERROR(IF(INDEX(MASTER!$G$4:$G$1463,MATCH("VANGUARD"&amp;"|"&amp;MAX(1,ROUND(COUNTIFS(MASTER!$B$4:$B$1463,"VANGUARD",MASTER!$G$4:$G$1463,"&lt;&gt;")*$A83*100/100,0)),MASTER!$AH$4:$AH$1463,0))="",NA(),INDEX(MASTER!$G$4:$G$1463,MATCH("VANGUARD"&amp;"|"&amp;MAX(1,ROUND(COUNTIFS(MASTER!$B$4:$B$1463,"VANGUARD",MASTER!$G$4:$G$1463,"&lt;&gt;")*$A83*100/100,0)),MASTER!$AH$4:$AH$1463,0))),NA()),IF($B$4="SECONDARY",IFERROR(IF(INDEX(MASTER!$L$4:$L$1463,MATCH("VANGUARD"&amp;"|"&amp;MAX(1,ROUND(COUNTIFS(MASTER!$B$4:$B$1463,"VANGUARD",MASTER!$L$4:$L$1463,"&lt;&gt;")*$A83*100/100,0)),MASTER!$AI$4:$AI$1463,0))="",NA(),INDEX(MASTER!$L$4:$L$1463,MATCH("VANGUARD"&amp;"|"&amp;MAX(1,ROUND(COUNTIFS(MASTER!$B$4:$B$1463,"VANGUARD",MASTER!$L$4:$L$1463,"&lt;&gt;")*$A83*100/100,0)),MASTER!$AI$4:$AI$1463,0))),NA()))))</f>
        <v>8390</v>
      </c>
      <c r="E83" s="37">
        <f>IF($B$4="RESONANCE",IFERROR(IF(INDEX(MASTER!$I$4:$I$1463,MATCH("UNDYING"&amp;"|"&amp;MAX(1,ROUND(COUNTIFS(MASTER!$B$4:$B$1463,"UNDYING",MASTER!$I$4:$I$1463,"&lt;&gt;")*$A83*100/100,0)),MASTER!$Y$4:$Y$1463,0))="",NA(),INDEX(MASTER!$I$4:$I$1463,MATCH("UNDYING"&amp;"|"&amp;MAX(1,ROUND(COUNTIFS(MASTER!$B$4:$B$1463,"UNDYING",MASTER!$I$4:$I$1463,"&lt;&gt;")*$A83*100/100,0)),MASTER!$Y$4:$Y$1463,0))),NA()),IF($B$4="COMBAT RATING",IFERROR(IF(INDEX(MASTER!$G$4:$G$1463,MATCH("UNDYING"&amp;"|"&amp;MAX(1,ROUND(COUNTIFS(MASTER!$B$4:$B$1463,"UNDYING",MASTER!$G$4:$G$1463,"&lt;&gt;")*$A83*100/100,0)),MASTER!$AH$4:$AH$1463,0))="",NA(),INDEX(MASTER!$G$4:$G$1463,MATCH("UNDYING"&amp;"|"&amp;MAX(1,ROUND(COUNTIFS(MASTER!$B$4:$B$1463,"UNDYING",MASTER!$G$4:$G$1463,"&lt;&gt;")*$A83*100/100,0)),MASTER!$AH$4:$AH$1463,0))),NA()),IF($B$4="SECONDARY",IFERROR(IF(INDEX(MASTER!$L$4:$L$1463,MATCH("UNDYING"&amp;"|"&amp;MAX(1,ROUND(COUNTIFS(MASTER!$B$4:$B$1463,"UNDYING",MASTER!$L$4:$L$1463,"&lt;&gt;")*$A83*100/100,0)),MASTER!$AI$4:$AI$1463,0))="",NA(),INDEX(MASTER!$L$4:$L$1463,MATCH("UNDYING"&amp;"|"&amp;MAX(1,ROUND(COUNTIFS(MASTER!$B$4:$B$1463,"UNDYING",MASTER!$L$4:$L$1463,"&lt;&gt;")*$A83*100/100,0)),MASTER!$AI$4:$AI$1463,0))),NA()))))</f>
        <v>5154</v>
      </c>
      <c r="F83" s="37">
        <f>IF($B$4="RESONANCE",IFERROR(IF(INDEX(MASTER!$I$4:$I$1463,MATCH("SBG"&amp;"|"&amp;MAX(1,ROUND(COUNTIFS(MASTER!$B$4:$B$1463,"SBG",MASTER!$I$4:$I$1463,"&lt;&gt;")*$A83*100/100,0)),MASTER!$Y$4:$Y$1463,0))="",NA(),INDEX(MASTER!$I$4:$I$1463,MATCH("SBG"&amp;"|"&amp;MAX(1,ROUND(COUNTIFS(MASTER!$B$4:$B$1463,"SBG",MASTER!$I$4:$I$1463,"&lt;&gt;")*$A83*100/100,0)),MASTER!$Y$4:$Y$1463,0))),NA()),IF($B$4="COMBAT RATING",IFERROR(IF(INDEX(MASTER!$G$4:$G$1463,MATCH("SBG"&amp;"|"&amp;MAX(1,ROUND(COUNTIFS(MASTER!$B$4:$B$1463,"SBG",MASTER!$G$4:$G$1463,"&lt;&gt;")*$A83*100/100,0)),MASTER!$AH$4:$AH$1463,0))="",NA(),INDEX(MASTER!$G$4:$G$1463,MATCH("SBG"&amp;"|"&amp;MAX(1,ROUND(COUNTIFS(MASTER!$B$4:$B$1463,"SBG",MASTER!$G$4:$G$1463,"&lt;&gt;")*$A83*100/100,0)),MASTER!$AH$4:$AH$1463,0))),NA()),IF($B$4="SECONDARY",IFERROR(IF(INDEX(MASTER!$L$4:$L$1463,MATCH("SBG"&amp;"|"&amp;MAX(1,ROUND(COUNTIFS(MASTER!$B$4:$B$1463,"SBG",MASTER!$L$4:$L$1463,"&lt;&gt;")*$A83*100/100,0)),MASTER!$AI$4:$AI$1463,0))="",NA(),INDEX(MASTER!$L$4:$L$1463,MATCH("SBG"&amp;"|"&amp;MAX(1,ROUND(COUNTIFS(MASTER!$B$4:$B$1463,"SBG",MASTER!$L$4:$L$1463,"&lt;&gt;")*$A83*100/100,0)),MASTER!$AI$4:$AI$1463,0))),NA()))))</f>
        <v>7373</v>
      </c>
      <c r="G83" s="37">
        <f>IF($B$4="RESONANCE",IFERROR(IF(INDEX(MASTER!$I$4:$I$1463,MATCH("AZUKI"&amp;"|"&amp;MAX(1,ROUND(COUNTIFS(MASTER!$B$4:$B$1463,"AZUKI",MASTER!$I$4:$I$1463,"&lt;&gt;")*$A83*100/100,0)),MASTER!$Y$4:$Y$1463,0))="",NA(),INDEX(MASTER!$I$4:$I$1463,MATCH("AZUKI"&amp;"|"&amp;MAX(1,ROUND(COUNTIFS(MASTER!$B$4:$B$1463,"AZUKI",MASTER!$I$4:$I$1463,"&lt;&gt;")*$A83*100/100,0)),MASTER!$Y$4:$Y$1463,0))),NA()),IF($B$4="COMBAT RATING",IFERROR(IF(INDEX(MASTER!$G$4:$G$1463,MATCH("AZUKI"&amp;"|"&amp;MAX(1,ROUND(COUNTIFS(MASTER!$B$4:$B$1463,"AZUKI",MASTER!$G$4:$G$1463,"&lt;&gt;")*$A83*100/100,0)),MASTER!$AH$4:$AH$1463,0))="",NA(),INDEX(MASTER!$G$4:$G$1463,MATCH("AZUKI"&amp;"|"&amp;MAX(1,ROUND(COUNTIFS(MASTER!$B$4:$B$1463,"AZUKI",MASTER!$G$4:$G$1463,"&lt;&gt;")*$A83*100/100,0)),MASTER!$AH$4:$AH$1463,0))),NA()),IF($B$4="SECONDARY",IFERROR(IF(INDEX(MASTER!$L$4:$L$1463,MATCH("AZUKI"&amp;"|"&amp;MAX(1,ROUND(COUNTIFS(MASTER!$B$4:$B$1463,"AZUKI",MASTER!$L$4:$L$1463,"&lt;&gt;")*$A83*100/100,0)),MASTER!$AI$4:$AI$1463,0))="",NA(),INDEX(MASTER!$L$4:$L$1463,MATCH("AZUKI"&amp;"|"&amp;MAX(1,ROUND(COUNTIFS(MASTER!$B$4:$B$1463,"AZUKI",MASTER!$L$4:$L$1463,"&lt;&gt;")*$A83*100/100,0)),MASTER!$AI$4:$AI$1463,0))),NA()))))</f>
        <v>7392</v>
      </c>
      <c r="H83" s="37">
        <f>IF($B$4="RESONANCE",IFERROR(IF(INDEX(MASTER!$I$4:$I$1463,MATCH("RECKONING"&amp;"|"&amp;MAX(1,ROUND(COUNTIFS(MASTER!$B$4:$B$1463,"RECKONING",MASTER!$I$4:$I$1463,"&lt;&gt;")*$A83*100/100,0)),MASTER!$Y$4:$Y$1463,0))="",NA(),INDEX(MASTER!$I$4:$I$1463,MATCH("RECKONING"&amp;"|"&amp;MAX(1,ROUND(COUNTIFS(MASTER!$B$4:$B$1463,"RECKONING",MASTER!$I$4:$I$1463,"&lt;&gt;")*$A83*100/100,0)),MASTER!$Y$4:$Y$1463,0))),NA()),IF($B$4="COMBAT RATING",IFERROR(IF(INDEX(MASTER!$G$4:$G$1463,MATCH("RECKONING"&amp;"|"&amp;MAX(1,ROUND(COUNTIFS(MASTER!$B$4:$B$1463,"RECKONING",MASTER!$G$4:$G$1463,"&lt;&gt;")*$A83*100/100,0)),MASTER!$AH$4:$AH$1463,0))="",NA(),INDEX(MASTER!$G$4:$G$1463,MATCH("RECKONING"&amp;"|"&amp;MAX(1,ROUND(COUNTIFS(MASTER!$B$4:$B$1463,"RECKONING",MASTER!$G$4:$G$1463,"&lt;&gt;")*$A83*100/100,0)),MASTER!$AH$4:$AH$1463,0))),NA()),IF($B$4="SECONDARY",IFERROR(IF(INDEX(MASTER!$L$4:$L$1463,MATCH("RECKONING"&amp;"|"&amp;MAX(1,ROUND(COUNTIFS(MASTER!$B$4:$B$1463,"RECKONING",MASTER!$L$4:$L$1463,"&lt;&gt;")*$A83*100/100,0)),MASTER!$AI$4:$AI$1463,0))="",NA(),INDEX(MASTER!$L$4:$L$1463,MATCH("RECKONING"&amp;"|"&amp;MAX(1,ROUND(COUNTIFS(MASTER!$B$4:$B$1463,"RECKONING",MASTER!$L$4:$L$1463,"&lt;&gt;")*$A83*100/100,0)),MASTER!$AI$4:$AI$1463,0))),NA()))))</f>
        <v>6809</v>
      </c>
      <c r="I83" s="37">
        <f>IF($B$4="RESONANCE",IFERROR(IF(INDEX(MASTER!$I$4:$I$1463,MATCH("ACHERON"&amp;"|"&amp;MAX(1,ROUND(COUNTIFS(MASTER!$B$4:$B$1463,"ACHERON",MASTER!$I$4:$I$1463,"&lt;&gt;")*$A83*100/100,0)),MASTER!$Y$4:$Y$1463,0))="",NA(),INDEX(MASTER!$I$4:$I$1463,MATCH("ACHERON"&amp;"|"&amp;MAX(1,ROUND(COUNTIFS(MASTER!$B$4:$B$1463,"ACHERON",MASTER!$I$4:$I$1463,"&lt;&gt;")*$A83*100/100,0)),MASTER!$Y$4:$Y$1463,0))),NA()),IF($B$4="COMBAT RATING",IFERROR(IF(INDEX(MASTER!$G$4:$G$1463,MATCH("ACHERON"&amp;"|"&amp;MAX(1,ROUND(COUNTIFS(MASTER!$B$4:$B$1463,"ACHERON",MASTER!$G$4:$G$1463,"&lt;&gt;")*$A83*100/100,0)),MASTER!$AH$4:$AH$1463,0))="",NA(),INDEX(MASTER!$G$4:$G$1463,MATCH("ACHERON"&amp;"|"&amp;MAX(1,ROUND(COUNTIFS(MASTER!$B$4:$B$1463,"ACHERON",MASTER!$G$4:$G$1463,"&lt;&gt;")*$A83*100/100,0)),MASTER!$AH$4:$AH$1463,0))),NA()),IF($B$4="SECONDARY",IFERROR(IF(INDEX(MASTER!$L$4:$L$1463,MATCH("ACHERON"&amp;"|"&amp;MAX(1,ROUND(COUNTIFS(MASTER!$B$4:$B$1463,"ACHERON",MASTER!$L$4:$L$1463,"&lt;&gt;")*$A83*100/100,0)),MASTER!$AI$4:$AI$1463,0))="",NA(),INDEX(MASTER!$L$4:$L$1463,MATCH("ACHERON"&amp;"|"&amp;MAX(1,ROUND(COUNTIFS(MASTER!$B$4:$B$1463,"ACHERON",MASTER!$L$4:$L$1463,"&lt;&gt;")*$A83*100/100,0)),MASTER!$AI$4:$AI$1463,0))),NA()))))</f>
        <v>4968</v>
      </c>
      <c r="J83" s="37">
        <f>IF($B$4="RESONANCE",IFERROR(IF(INDEX(MASTER!$I$4:$I$1463,MATCH("INVICTUS"&amp;"|"&amp;MAX(1,ROUND(COUNTIFS(MASTER!$B$4:$B$1463,"INVICTUS",MASTER!$I$4:$I$1463,"&lt;&gt;")*$A83*100/100,0)),MASTER!$Y$4:$Y$1463,0))="",NA(),INDEX(MASTER!$I$4:$I$1463,MATCH("INVICTUS"&amp;"|"&amp;MAX(1,ROUND(COUNTIFS(MASTER!$B$4:$B$1463,"INVICTUS",MASTER!$I$4:$I$1463,"&lt;&gt;")*$A83*100/100,0)),MASTER!$Y$4:$Y$1463,0))),NA()),IF($B$4="COMBAT RATING",IFERROR(IF(INDEX(MASTER!$G$4:$G$1463,MATCH("INVICTUS"&amp;"|"&amp;MAX(1,ROUND(COUNTIFS(MASTER!$B$4:$B$1463,"INVICTUS",MASTER!$G$4:$G$1463,"&lt;&gt;")*$A83*100/100,0)),MASTER!$AH$4:$AH$1463,0))="",NA(),INDEX(MASTER!$G$4:$G$1463,MATCH("INVICTUS"&amp;"|"&amp;MAX(1,ROUND(COUNTIFS(MASTER!$B$4:$B$1463,"INVICTUS",MASTER!$G$4:$G$1463,"&lt;&gt;")*$A83*100/100,0)),MASTER!$AH$4:$AH$1463,0))),NA()),IF($B$4="SECONDARY",IFERROR(IF(INDEX(MASTER!$L$4:$L$1463,MATCH("INVICTUS"&amp;"|"&amp;MAX(1,ROUND(COUNTIFS(MASTER!$B$4:$B$1463,"INVICTUS",MASTER!$L$4:$L$1463,"&lt;&gt;")*$A83*100/100,0)),MASTER!$AI$4:$AI$1463,0))="",NA(),INDEX(MASTER!$L$4:$L$1463,MATCH("INVICTUS"&amp;"|"&amp;MAX(1,ROUND(COUNTIFS(MASTER!$B$4:$B$1463,"INVICTUS",MASTER!$L$4:$L$1463,"&lt;&gt;")*$A83*100/100,0)),MASTER!$AI$4:$AI$1463,0))),NA()))))</f>
        <v>3960</v>
      </c>
      <c r="K83" s="37">
        <f>IF($B$4="RESONANCE",IFERROR(IF(INDEX(MASTER!$I$4:$I$1463,MATCH("EMERALD LEAF TRIBE"&amp;"|"&amp;MAX(1,ROUND(COUNTIFS(MASTER!$B$4:$B$1463,"EMERALD LEAF TRIBE",MASTER!$I$4:$I$1463,"&lt;&gt;")*$A83*100/100,0)),MASTER!$Y$4:$Y$1463,0))="",NA(),INDEX(MASTER!$I$4:$I$1463,MATCH("EMERALD LEAF TRIBE"&amp;"|"&amp;MAX(1,ROUND(COUNTIFS(MASTER!$B$4:$B$1463,"EMERALD LEAF TRIBE",MASTER!$I$4:$I$1463,"&lt;&gt;")*$A83*100/100,0)),MASTER!$Y$4:$Y$1463,0))),NA()),IF($B$4="COMBAT RATING",IFERROR(IF(INDEX(MASTER!$G$4:$G$1463,MATCH("EMERALD LEAF TRIBE"&amp;"|"&amp;MAX(1,ROUND(COUNTIFS(MASTER!$B$4:$B$1463,"EMERALD LEAF TRIBE",MASTER!$G$4:$G$1463,"&lt;&gt;")*$A83*100/100,0)),MASTER!$AH$4:$AH$1463,0))="",NA(),INDEX(MASTER!$G$4:$G$1463,MATCH("EMERALD LEAF TRIBE"&amp;"|"&amp;MAX(1,ROUND(COUNTIFS(MASTER!$B$4:$B$1463,"EMERALD LEAF TRIBE",MASTER!$G$4:$G$1463,"&lt;&gt;")*$A83*100/100,0)),MASTER!$AH$4:$AH$1463,0))),NA()),IF($B$4="SECONDARY",IFERROR(IF(INDEX(MASTER!$L$4:$L$1463,MATCH("EMERALD LEAF TRIBE"&amp;"|"&amp;MAX(1,ROUND(COUNTIFS(MASTER!$B$4:$B$1463,"EMERALD LEAF TRIBE",MASTER!$L$4:$L$1463,"&lt;&gt;")*$A83*100/100,0)),MASTER!$AI$4:$AI$1463,0))="",NA(),INDEX(MASTER!$L$4:$L$1463,MATCH("EMERALD LEAF TRIBE"&amp;"|"&amp;MAX(1,ROUND(COUNTIFS(MASTER!$B$4:$B$1463,"EMERALD LEAF TRIBE",MASTER!$L$4:$L$1463,"&lt;&gt;")*$A83*100/100,0)),MASTER!$AI$4:$AI$1463,0))),NA()))))</f>
        <v>2820</v>
      </c>
      <c r="L83" s="37">
        <f>IF($B$4="RESONANCE",IFERROR(IF(INDEX(MASTER!$I$4:$I$1463,MATCH("SUB ROSA"&amp;"|"&amp;MAX(1,ROUND(COUNTIFS(MASTER!$B$4:$B$1463,"SUB ROSA",MASTER!$I$4:$I$1463,"&lt;&gt;")*$A83*100/100,0)),MASTER!$Y$4:$Y$1463,0))="",NA(),INDEX(MASTER!$I$4:$I$1463,MATCH("SUB ROSA"&amp;"|"&amp;MAX(1,ROUND(COUNTIFS(MASTER!$B$4:$B$1463,"SUB ROSA",MASTER!$I$4:$I$1463,"&lt;&gt;")*$A83*100/100,0)),MASTER!$Y$4:$Y$1463,0))),NA()),IF($B$4="COMBAT RATING",IFERROR(IF(INDEX(MASTER!$G$4:$G$1463,MATCH("SUB ROSA"&amp;"|"&amp;MAX(1,ROUND(COUNTIFS(MASTER!$B$4:$B$1463,"SUB ROSA",MASTER!$G$4:$G$1463,"&lt;&gt;")*$A83*100/100,0)),MASTER!$AH$4:$AH$1463,0))="",NA(),INDEX(MASTER!$G$4:$G$1463,MATCH("SUB ROSA"&amp;"|"&amp;MAX(1,ROUND(COUNTIFS(MASTER!$B$4:$B$1463,"SUB ROSA",MASTER!$G$4:$G$1463,"&lt;&gt;")*$A83*100/100,0)),MASTER!$AH$4:$AH$1463,0))),NA()),IF($B$4="SECONDARY",IFERROR(IF(INDEX(MASTER!$L$4:$L$1463,MATCH("SUB ROSA"&amp;"|"&amp;MAX(1,ROUND(COUNTIFS(MASTER!$B$4:$B$1463,"SUB ROSA",MASTER!$L$4:$L$1463,"&lt;&gt;")*$A83*100/100,0)),MASTER!$AI$4:$AI$1463,0))="",NA(),INDEX(MASTER!$L$4:$L$1463,MATCH("SUB ROSA"&amp;"|"&amp;MAX(1,ROUND(COUNTIFS(MASTER!$B$4:$B$1463,"SUB ROSA",MASTER!$L$4:$L$1463,"&lt;&gt;")*$A83*100/100,0)),MASTER!$AI$4:$AI$1463,0))),NA()))))</f>
        <v>3548</v>
      </c>
      <c r="M83" s="37">
        <f>IF($B$4="RESONANCE",IFERROR(IF(INDEX(MASTER!$I$4:$I$1463,MATCH("VENGEANCE"&amp;"|"&amp;MAX(1,ROUND(COUNTIFS(MASTER!$B$4:$B$1463,"VENGEANCE",MASTER!$I$4:$I$1463,"&lt;&gt;")*$A83*100/100,0)),MASTER!$Y$4:$Y$1463,0))="",NA(),INDEX(MASTER!$I$4:$I$1463,MATCH("VENGEANCE"&amp;"|"&amp;MAX(1,ROUND(COUNTIFS(MASTER!$B$4:$B$1463,"VENGEANCE",MASTER!$I$4:$I$1463,"&lt;&gt;")*$A83*100/100,0)),MASTER!$Y$4:$Y$1463,0))),NA()),IF($B$4="COMBAT RATING",IFERROR(IF(INDEX(MASTER!$G$4:$G$1463,MATCH("VENGEANCE"&amp;"|"&amp;MAX(1,ROUND(COUNTIFS(MASTER!$B$4:$B$1463,"VENGEANCE",MASTER!$G$4:$G$1463,"&lt;&gt;")*$A83*100/100,0)),MASTER!$AH$4:$AH$1463,0))="",NA(),INDEX(MASTER!$G$4:$G$1463,MATCH("VENGEANCE"&amp;"|"&amp;MAX(1,ROUND(COUNTIFS(MASTER!$B$4:$B$1463,"VENGEANCE",MASTER!$G$4:$G$1463,"&lt;&gt;")*$A83*100/100,0)),MASTER!$AH$4:$AH$1463,0))),NA()),IF($B$4="SECONDARY",IFERROR(IF(INDEX(MASTER!$L$4:$L$1463,MATCH("VENGEANCE"&amp;"|"&amp;MAX(1,ROUND(COUNTIFS(MASTER!$B$4:$B$1463,"VENGEANCE",MASTER!$L$4:$L$1463,"&lt;&gt;")*$A83*100/100,0)),MASTER!$AI$4:$AI$1463,0))="",NA(),INDEX(MASTER!$L$4:$L$1463,MATCH("VENGEANCE"&amp;"|"&amp;MAX(1,ROUND(COUNTIFS(MASTER!$B$4:$B$1463,"VENGEANCE",MASTER!$L$4:$L$1463,"&lt;&gt;")*$A83*100/100,0)),MASTER!$AI$4:$AI$1463,0))),NA()))))</f>
        <v>4332</v>
      </c>
      <c r="N83" s="37">
        <f>IF($B$4="RESONANCE",IFERROR(IF(INDEX(MASTER!$I$4:$I$1463,MATCH("VENDETTA"&amp;"|"&amp;MAX(1,ROUND(COUNTIFS(MASTER!$B$4:$B$1463,"VENDETTA",MASTER!$I$4:$I$1463,"&lt;&gt;")*$A83*100/100,0)),MASTER!$Y$4:$Y$1463,0))="",NA(),INDEX(MASTER!$I$4:$I$1463,MATCH("VENDETTA"&amp;"|"&amp;MAX(1,ROUND(COUNTIFS(MASTER!$B$4:$B$1463,"VENDETTA",MASTER!$I$4:$I$1463,"&lt;&gt;")*$A83*100/100,0)),MASTER!$Y$4:$Y$1463,0))),NA()),IF($B$4="COMBAT RATING",IFERROR(IF(INDEX(MASTER!$G$4:$G$1463,MATCH("VENDETTA"&amp;"|"&amp;MAX(1,ROUND(COUNTIFS(MASTER!$B$4:$B$1463,"VENDETTA",MASTER!$G$4:$G$1463,"&lt;&gt;")*$A83*100/100,0)),MASTER!$AH$4:$AH$1463,0))="",NA(),INDEX(MASTER!$G$4:$G$1463,MATCH("VENDETTA"&amp;"|"&amp;MAX(1,ROUND(COUNTIFS(MASTER!$B$4:$B$1463,"VENDETTA",MASTER!$G$4:$G$1463,"&lt;&gt;")*$A83*100/100,0)),MASTER!$AH$4:$AH$1463,0))),NA()),IF($B$4="SECONDARY",IFERROR(IF(INDEX(MASTER!$L$4:$L$1463,MATCH("VENDETTA"&amp;"|"&amp;MAX(1,ROUND(COUNTIFS(MASTER!$B$4:$B$1463,"VENDETTA",MASTER!$L$4:$L$1463,"&lt;&gt;")*$A83*100/100,0)),MASTER!$AI$4:$AI$1463,0))="",NA(),INDEX(MASTER!$L$4:$L$1463,MATCH("VENDETTA"&amp;"|"&amp;MAX(1,ROUND(COUNTIFS(MASTER!$B$4:$B$1463,"VENDETTA",MASTER!$L$4:$L$1463,"&lt;&gt;")*$A83*100/100,0)),MASTER!$AI$4:$AI$1463,0))),NA()))))</f>
        <v>2671</v>
      </c>
      <c r="O83" s="37">
        <f>IF($B$4="RESONANCE",IFERROR(IF(INDEX(MASTER!$I$4:$I$1463,MATCH("ZOMBIES"&amp;"|"&amp;MAX(1,ROUND(COUNTIFS(MASTER!$B$4:$B$1463,"ZOMBIES",MASTER!$I$4:$I$1463,"&lt;&gt;")*$A83*100/100,0)),MASTER!$Y$4:$Y$1463,0))="",NA(),INDEX(MASTER!$I$4:$I$1463,MATCH("ZOMBIES"&amp;"|"&amp;MAX(1,ROUND(COUNTIFS(MASTER!$B$4:$B$1463,"ZOMBIES",MASTER!$I$4:$I$1463,"&lt;&gt;")*$A83*100/100,0)),MASTER!$Y$4:$Y$1463,0))),NA()),IF($B$4="COMBAT RATING",IFERROR(IF(INDEX(MASTER!$G$4:$G$1463,MATCH("ZOMBIES"&amp;"|"&amp;MAX(1,ROUND(COUNTIFS(MASTER!$B$4:$B$1463,"ZOMBIES",MASTER!$G$4:$G$1463,"&lt;&gt;")*$A83*100/100,0)),MASTER!$AH$4:$AH$1463,0))="",NA(),INDEX(MASTER!$G$4:$G$1463,MATCH("ZOMBIES"&amp;"|"&amp;MAX(1,ROUND(COUNTIFS(MASTER!$B$4:$B$1463,"ZOMBIES",MASTER!$G$4:$G$1463,"&lt;&gt;")*$A83*100/100,0)),MASTER!$AH$4:$AH$1463,0))),NA()),IF($B$4="SECONDARY",IFERROR(IF(INDEX(MASTER!$L$4:$L$1463,MATCH("ZOMBIES"&amp;"|"&amp;MAX(1,ROUND(COUNTIFS(MASTER!$B$4:$B$1463,"ZOMBIES",MASTER!$L$4:$L$1463,"&lt;&gt;")*$A83*100/100,0)),MASTER!$AI$4:$AI$1463,0))="",NA(),INDEX(MASTER!$L$4:$L$1463,MATCH("ZOMBIES"&amp;"|"&amp;MAX(1,ROUND(COUNTIFS(MASTER!$B$4:$B$1463,"ZOMBIES",MASTER!$L$4:$L$1463,"&lt;&gt;")*$A83*100/100,0)),MASTER!$AI$4:$AI$1463,0))),NA()))))</f>
        <v>2454</v>
      </c>
      <c r="P83" s="37">
        <f>IF($B$4="RESONANCE",IFERROR(IF(INDEX(MASTER!$I$4:$I$1463,MATCH("FUCT"&amp;"|"&amp;MAX(1,ROUND(COUNTIFS(MASTER!$B$4:$B$1463,"FUCT",MASTER!$I$4:$I$1463,"&lt;&gt;")*$A83*100/100,0)),MASTER!$Y$4:$Y$1463,0))="",NA(),INDEX(MASTER!$I$4:$I$1463,MATCH("FUCT"&amp;"|"&amp;MAX(1,ROUND(COUNTIFS(MASTER!$B$4:$B$1463,"FUCT",MASTER!$I$4:$I$1463,"&lt;&gt;")*$A83*100/100,0)),MASTER!$Y$4:$Y$1463,0))),NA()),IF($B$4="COMBAT RATING",IFERROR(IF(INDEX(MASTER!$G$4:$G$1463,MATCH("FUCT"&amp;"|"&amp;MAX(1,ROUND(COUNTIFS(MASTER!$B$4:$B$1463,"FUCT",MASTER!$G$4:$G$1463,"&lt;&gt;")*$A83*100/100,0)),MASTER!$AH$4:$AH$1463,0))="",NA(),INDEX(MASTER!$G$4:$G$1463,MATCH("FUCT"&amp;"|"&amp;MAX(1,ROUND(COUNTIFS(MASTER!$B$4:$B$1463,"FUCT",MASTER!$G$4:$G$1463,"&lt;&gt;")*$A83*100/100,0)),MASTER!$AH$4:$AH$1463,0))),NA()),IF($B$4="SECONDARY",IFERROR(IF(INDEX(MASTER!$L$4:$L$1463,MATCH("FUCT"&amp;"|"&amp;MAX(1,ROUND(COUNTIFS(MASTER!$B$4:$B$1463,"FUCT",MASTER!$L$4:$L$1463,"&lt;&gt;")*$A83*100/100,0)),MASTER!$AI$4:$AI$1463,0))="",NA(),INDEX(MASTER!$L$4:$L$1463,MATCH("FUCT"&amp;"|"&amp;MAX(1,ROUND(COUNTIFS(MASTER!$B$4:$B$1463,"FUCT",MASTER!$L$4:$L$1463,"&lt;&gt;")*$A83*100/100,0)),MASTER!$AI$4:$AI$1463,0))),NA()))))</f>
        <v>6126</v>
      </c>
      <c r="Q83" s="37">
        <f>IF($B$4="RESONANCE",IFERROR(IF(INDEX(MASTER!$I$4:$I$1463,MATCH($E$4&amp;"|"&amp;MAX(1,ROUND(COUNTIFS(MASTER!$B$4:$B$1463,$E$4,MASTER!$I$4:$I$1463,"&lt;&gt;")*$A83*100/100,0)),MASTER!$Y$4:$Y$1463,0))="",NA(),INDEX(MASTER!$I$4:$I$1463,MATCH($E$4&amp;"|"&amp;MAX(1,ROUND(COUNTIFS(MASTER!$B$4:$B$1463,$E$4,MASTER!$I$4:$I$1463,"&lt;&gt;")*$A83*100/100,0)),MASTER!$Y$4:$Y$1463,0))),NA()),IF($B$4="COMBAT RATING",IFERROR(IF(INDEX(MASTER!$G$4:$G$1463,MATCH($E$4&amp;"|"&amp;MAX(1,ROUND(COUNTIFS(MASTER!$B$4:$B$1463,$E$4,MASTER!$G$4:$G$1463,"&lt;&gt;")*$A83*100/100,0)),MASTER!$AH$4:$AH$1463,0))="",NA(),INDEX(MASTER!$G$4:$G$1463,MATCH($E$4&amp;"|"&amp;MAX(1,ROUND(COUNTIFS(MASTER!$B$4:$B$1463,$E$4,MASTER!$G$4:$G$1463,"&lt;&gt;")*$A83*100/100,0)),MASTER!$AH$4:$AH$1463,0))),NA()),IF($B$4="SECONDARY",IFERROR(IF(INDEX(MASTER!$L$4:$L$1463,MATCH($E$4&amp;"|"&amp;MAX(1,ROUND(COUNTIFS(MASTER!$B$4:$B$1463,$E$4,MASTER!$L$4:$L$1463,"&lt;&gt;")*$A83*100/100,0)),MASTER!$AI$4:$AI$1463,0))="",NA(),INDEX(MASTER!$L$4:$L$1463,MATCH($E$4&amp;"|"&amp;MAX(1,ROUND(COUNTIFS(MASTER!$B$4:$B$1463,$E$4,MASTER!$L$4:$L$1463,"&lt;&gt;")*$A83*100/100,0)),MASTER!$AI$4:$AI$1463,0))),NA()))))</f>
        <v>5154</v>
      </c>
    </row>
    <row r="84" spans="1:17" hidden="1">
      <c r="A84" s="36">
        <v>0.28999999999999998</v>
      </c>
      <c r="B84" s="37">
        <f>IF($B$4="RESONANCE",IFERROR(IF(INDEX(MASTER!$I$4:$I$1463,MATCH("FUCT"&amp;"|"&amp;MAX(1,ROUND(COUNTIFS(MASTER!$B$4:$B$1463,"FUCT",MASTER!$I$4:$I$1463,"&lt;&gt;")*$A84*100/100,0)),MASTER!$Y$4:$Y$1463,0))="",NA(),INDEX(MASTER!$I$4:$I$1463,MATCH("FUCT"&amp;"|"&amp;MAX(1,ROUND(COUNTIFS(MASTER!$B$4:$B$1463,"FUCT",MASTER!$I$4:$I$1463,"&lt;&gt;")*$A84*100/100,0)),MASTER!$Y$4:$Y$1463,0))),NA()),IF($B$4="COMBAT RATING",IFERROR(IF(INDEX(MASTER!$G$4:$G$1463,MATCH("FUCT"&amp;"|"&amp;MAX(1,ROUND(COUNTIFS(MASTER!$B$4:$B$1463,"FUCT",MASTER!$G$4:$G$1463,"&lt;&gt;")*$A84*100/100,0)),MASTER!$AH$4:$AH$1463,0))="",NA(),INDEX(MASTER!$G$4:$G$1463,MATCH("FUCT"&amp;"|"&amp;MAX(1,ROUND(COUNTIFS(MASTER!$B$4:$B$1463,"FUCT",MASTER!$G$4:$G$1463,"&lt;&gt;")*$A84*100/100,0)),MASTER!$AH$4:$AH$1463,0))),NA()),IF($B$4="SECONDARY",IFERROR(IF(INDEX(MASTER!$L$4:$L$1463,MATCH("FUCT"&amp;"|"&amp;MAX(1,ROUND(COUNTIFS(MASTER!$B$4:$B$1463,"FUCT",MASTER!$L$4:$L$1463,"&lt;&gt;")*$A84*100/100,0)),MASTER!$AI$4:$AI$1463,0))="",NA(),INDEX(MASTER!$L$4:$L$1463,MATCH("FUCT"&amp;"|"&amp;MAX(1,ROUND(COUNTIFS(MASTER!$B$4:$B$1463,"FUCT",MASTER!$L$4:$L$1463,"&lt;&gt;")*$A84*100/100,0)),MASTER!$AI$4:$AI$1463,0))),NA()))))</f>
        <v>5971</v>
      </c>
      <c r="C84" s="37">
        <f>IF($B$4="RESONANCE",IFERROR(IF(INDEX(MASTER!$I$4:$I$1463,MATCH("LEGENDS"&amp;"|"&amp;MAX(1,ROUND(COUNTIFS(MASTER!$B$4:$B$1463,"LEGENDS",MASTER!$I$4:$I$1463,"&lt;&gt;")*$A84*100/100,0)),MASTER!$Y$4:$Y$1463,0))="",NA(),INDEX(MASTER!$I$4:$I$1463,MATCH("LEGENDS"&amp;"|"&amp;MAX(1,ROUND(COUNTIFS(MASTER!$B$4:$B$1463,"LEGENDS",MASTER!$I$4:$I$1463,"&lt;&gt;")*$A84*100/100,0)),MASTER!$Y$4:$Y$1463,0))),NA()),IF($B$4="COMBAT RATING",IFERROR(IF(INDEX(MASTER!$G$4:$G$1463,MATCH("LEGENDS"&amp;"|"&amp;MAX(1,ROUND(COUNTIFS(MASTER!$B$4:$B$1463,"LEGENDS",MASTER!$G$4:$G$1463,"&lt;&gt;")*$A84*100/100,0)),MASTER!$AH$4:$AH$1463,0))="",NA(),INDEX(MASTER!$G$4:$G$1463,MATCH("LEGENDS"&amp;"|"&amp;MAX(1,ROUND(COUNTIFS(MASTER!$B$4:$B$1463,"LEGENDS",MASTER!$G$4:$G$1463,"&lt;&gt;")*$A84*100/100,0)),MASTER!$AH$4:$AH$1463,0))),NA()),IF($B$4="SECONDARY",IFERROR(IF(INDEX(MASTER!$L$4:$L$1463,MATCH("LEGENDS"&amp;"|"&amp;MAX(1,ROUND(COUNTIFS(MASTER!$B$4:$B$1463,"LEGENDS",MASTER!$L$4:$L$1463,"&lt;&gt;")*$A84*100/100,0)),MASTER!$AI$4:$AI$1463,0))="",NA(),INDEX(MASTER!$L$4:$L$1463,MATCH("LEGENDS"&amp;"|"&amp;MAX(1,ROUND(COUNTIFS(MASTER!$B$4:$B$1463,"LEGENDS",MASTER!$L$4:$L$1463,"&lt;&gt;")*$A84*100/100,0)),MASTER!$AI$4:$AI$1463,0))),NA()))))</f>
        <v>6218</v>
      </c>
      <c r="D84" s="37">
        <f>IF($B$4="RESONANCE",IFERROR(IF(INDEX(MASTER!$I$4:$I$1463,MATCH("VANGUARD"&amp;"|"&amp;MAX(1,ROUND(COUNTIFS(MASTER!$B$4:$B$1463,"VANGUARD",MASTER!$I$4:$I$1463,"&lt;&gt;")*$A84*100/100,0)),MASTER!$Y$4:$Y$1463,0))="",NA(),INDEX(MASTER!$I$4:$I$1463,MATCH("VANGUARD"&amp;"|"&amp;MAX(1,ROUND(COUNTIFS(MASTER!$B$4:$B$1463,"VANGUARD",MASTER!$I$4:$I$1463,"&lt;&gt;")*$A84*100/100,0)),MASTER!$Y$4:$Y$1463,0))),NA()),IF($B$4="COMBAT RATING",IFERROR(IF(INDEX(MASTER!$G$4:$G$1463,MATCH("VANGUARD"&amp;"|"&amp;MAX(1,ROUND(COUNTIFS(MASTER!$B$4:$B$1463,"VANGUARD",MASTER!$G$4:$G$1463,"&lt;&gt;")*$A84*100/100,0)),MASTER!$AH$4:$AH$1463,0))="",NA(),INDEX(MASTER!$G$4:$G$1463,MATCH("VANGUARD"&amp;"|"&amp;MAX(1,ROUND(COUNTIFS(MASTER!$B$4:$B$1463,"VANGUARD",MASTER!$G$4:$G$1463,"&lt;&gt;")*$A84*100/100,0)),MASTER!$AH$4:$AH$1463,0))),NA()),IF($B$4="SECONDARY",IFERROR(IF(INDEX(MASTER!$L$4:$L$1463,MATCH("VANGUARD"&amp;"|"&amp;MAX(1,ROUND(COUNTIFS(MASTER!$B$4:$B$1463,"VANGUARD",MASTER!$L$4:$L$1463,"&lt;&gt;")*$A84*100/100,0)),MASTER!$AI$4:$AI$1463,0))="",NA(),INDEX(MASTER!$L$4:$L$1463,MATCH("VANGUARD"&amp;"|"&amp;MAX(1,ROUND(COUNTIFS(MASTER!$B$4:$B$1463,"VANGUARD",MASTER!$L$4:$L$1463,"&lt;&gt;")*$A84*100/100,0)),MASTER!$AI$4:$AI$1463,0))),NA()))))</f>
        <v>8377</v>
      </c>
      <c r="E84" s="37">
        <f>IF($B$4="RESONANCE",IFERROR(IF(INDEX(MASTER!$I$4:$I$1463,MATCH("UNDYING"&amp;"|"&amp;MAX(1,ROUND(COUNTIFS(MASTER!$B$4:$B$1463,"UNDYING",MASTER!$I$4:$I$1463,"&lt;&gt;")*$A84*100/100,0)),MASTER!$Y$4:$Y$1463,0))="",NA(),INDEX(MASTER!$I$4:$I$1463,MATCH("UNDYING"&amp;"|"&amp;MAX(1,ROUND(COUNTIFS(MASTER!$B$4:$B$1463,"UNDYING",MASTER!$I$4:$I$1463,"&lt;&gt;")*$A84*100/100,0)),MASTER!$Y$4:$Y$1463,0))),NA()),IF($B$4="COMBAT RATING",IFERROR(IF(INDEX(MASTER!$G$4:$G$1463,MATCH("UNDYING"&amp;"|"&amp;MAX(1,ROUND(COUNTIFS(MASTER!$B$4:$B$1463,"UNDYING",MASTER!$G$4:$G$1463,"&lt;&gt;")*$A84*100/100,0)),MASTER!$AH$4:$AH$1463,0))="",NA(),INDEX(MASTER!$G$4:$G$1463,MATCH("UNDYING"&amp;"|"&amp;MAX(1,ROUND(COUNTIFS(MASTER!$B$4:$B$1463,"UNDYING",MASTER!$G$4:$G$1463,"&lt;&gt;")*$A84*100/100,0)),MASTER!$AH$4:$AH$1463,0))),NA()),IF($B$4="SECONDARY",IFERROR(IF(INDEX(MASTER!$L$4:$L$1463,MATCH("UNDYING"&amp;"|"&amp;MAX(1,ROUND(COUNTIFS(MASTER!$B$4:$B$1463,"UNDYING",MASTER!$L$4:$L$1463,"&lt;&gt;")*$A84*100/100,0)),MASTER!$AI$4:$AI$1463,0))="",NA(),INDEX(MASTER!$L$4:$L$1463,MATCH("UNDYING"&amp;"|"&amp;MAX(1,ROUND(COUNTIFS(MASTER!$B$4:$B$1463,"UNDYING",MASTER!$L$4:$L$1463,"&lt;&gt;")*$A84*100/100,0)),MASTER!$AI$4:$AI$1463,0))),NA()))))</f>
        <v>5030</v>
      </c>
      <c r="F84" s="37">
        <f>IF($B$4="RESONANCE",IFERROR(IF(INDEX(MASTER!$I$4:$I$1463,MATCH("SBG"&amp;"|"&amp;MAX(1,ROUND(COUNTIFS(MASTER!$B$4:$B$1463,"SBG",MASTER!$I$4:$I$1463,"&lt;&gt;")*$A84*100/100,0)),MASTER!$Y$4:$Y$1463,0))="",NA(),INDEX(MASTER!$I$4:$I$1463,MATCH("SBG"&amp;"|"&amp;MAX(1,ROUND(COUNTIFS(MASTER!$B$4:$B$1463,"SBG",MASTER!$I$4:$I$1463,"&lt;&gt;")*$A84*100/100,0)),MASTER!$Y$4:$Y$1463,0))),NA()),IF($B$4="COMBAT RATING",IFERROR(IF(INDEX(MASTER!$G$4:$G$1463,MATCH("SBG"&amp;"|"&amp;MAX(1,ROUND(COUNTIFS(MASTER!$B$4:$B$1463,"SBG",MASTER!$G$4:$G$1463,"&lt;&gt;")*$A84*100/100,0)),MASTER!$AH$4:$AH$1463,0))="",NA(),INDEX(MASTER!$G$4:$G$1463,MATCH("SBG"&amp;"|"&amp;MAX(1,ROUND(COUNTIFS(MASTER!$B$4:$B$1463,"SBG",MASTER!$G$4:$G$1463,"&lt;&gt;")*$A84*100/100,0)),MASTER!$AH$4:$AH$1463,0))),NA()),IF($B$4="SECONDARY",IFERROR(IF(INDEX(MASTER!$L$4:$L$1463,MATCH("SBG"&amp;"|"&amp;MAX(1,ROUND(COUNTIFS(MASTER!$B$4:$B$1463,"SBG",MASTER!$L$4:$L$1463,"&lt;&gt;")*$A84*100/100,0)),MASTER!$AI$4:$AI$1463,0))="",NA(),INDEX(MASTER!$L$4:$L$1463,MATCH("SBG"&amp;"|"&amp;MAX(1,ROUND(COUNTIFS(MASTER!$B$4:$B$1463,"SBG",MASTER!$L$4:$L$1463,"&lt;&gt;")*$A84*100/100,0)),MASTER!$AI$4:$AI$1463,0))),NA()))))</f>
        <v>7289</v>
      </c>
      <c r="G84" s="37">
        <f>IF($B$4="RESONANCE",IFERROR(IF(INDEX(MASTER!$I$4:$I$1463,MATCH("AZUKI"&amp;"|"&amp;MAX(1,ROUND(COUNTIFS(MASTER!$B$4:$B$1463,"AZUKI",MASTER!$I$4:$I$1463,"&lt;&gt;")*$A84*100/100,0)),MASTER!$Y$4:$Y$1463,0))="",NA(),INDEX(MASTER!$I$4:$I$1463,MATCH("AZUKI"&amp;"|"&amp;MAX(1,ROUND(COUNTIFS(MASTER!$B$4:$B$1463,"AZUKI",MASTER!$I$4:$I$1463,"&lt;&gt;")*$A84*100/100,0)),MASTER!$Y$4:$Y$1463,0))),NA()),IF($B$4="COMBAT RATING",IFERROR(IF(INDEX(MASTER!$G$4:$G$1463,MATCH("AZUKI"&amp;"|"&amp;MAX(1,ROUND(COUNTIFS(MASTER!$B$4:$B$1463,"AZUKI",MASTER!$G$4:$G$1463,"&lt;&gt;")*$A84*100/100,0)),MASTER!$AH$4:$AH$1463,0))="",NA(),INDEX(MASTER!$G$4:$G$1463,MATCH("AZUKI"&amp;"|"&amp;MAX(1,ROUND(COUNTIFS(MASTER!$B$4:$B$1463,"AZUKI",MASTER!$G$4:$G$1463,"&lt;&gt;")*$A84*100/100,0)),MASTER!$AH$4:$AH$1463,0))),NA()),IF($B$4="SECONDARY",IFERROR(IF(INDEX(MASTER!$L$4:$L$1463,MATCH("AZUKI"&amp;"|"&amp;MAX(1,ROUND(COUNTIFS(MASTER!$B$4:$B$1463,"AZUKI",MASTER!$L$4:$L$1463,"&lt;&gt;")*$A84*100/100,0)),MASTER!$AI$4:$AI$1463,0))="",NA(),INDEX(MASTER!$L$4:$L$1463,MATCH("AZUKI"&amp;"|"&amp;MAX(1,ROUND(COUNTIFS(MASTER!$B$4:$B$1463,"AZUKI",MASTER!$L$4:$L$1463,"&lt;&gt;")*$A84*100/100,0)),MASTER!$AI$4:$AI$1463,0))),NA()))))</f>
        <v>6888</v>
      </c>
      <c r="H84" s="37">
        <f>IF($B$4="RESONANCE",IFERROR(IF(INDEX(MASTER!$I$4:$I$1463,MATCH("RECKONING"&amp;"|"&amp;MAX(1,ROUND(COUNTIFS(MASTER!$B$4:$B$1463,"RECKONING",MASTER!$I$4:$I$1463,"&lt;&gt;")*$A84*100/100,0)),MASTER!$Y$4:$Y$1463,0))="",NA(),INDEX(MASTER!$I$4:$I$1463,MATCH("RECKONING"&amp;"|"&amp;MAX(1,ROUND(COUNTIFS(MASTER!$B$4:$B$1463,"RECKONING",MASTER!$I$4:$I$1463,"&lt;&gt;")*$A84*100/100,0)),MASTER!$Y$4:$Y$1463,0))),NA()),IF($B$4="COMBAT RATING",IFERROR(IF(INDEX(MASTER!$G$4:$G$1463,MATCH("RECKONING"&amp;"|"&amp;MAX(1,ROUND(COUNTIFS(MASTER!$B$4:$B$1463,"RECKONING",MASTER!$G$4:$G$1463,"&lt;&gt;")*$A84*100/100,0)),MASTER!$AH$4:$AH$1463,0))="",NA(),INDEX(MASTER!$G$4:$G$1463,MATCH("RECKONING"&amp;"|"&amp;MAX(1,ROUND(COUNTIFS(MASTER!$B$4:$B$1463,"RECKONING",MASTER!$G$4:$G$1463,"&lt;&gt;")*$A84*100/100,0)),MASTER!$AH$4:$AH$1463,0))),NA()),IF($B$4="SECONDARY",IFERROR(IF(INDEX(MASTER!$L$4:$L$1463,MATCH("RECKONING"&amp;"|"&amp;MAX(1,ROUND(COUNTIFS(MASTER!$B$4:$B$1463,"RECKONING",MASTER!$L$4:$L$1463,"&lt;&gt;")*$A84*100/100,0)),MASTER!$AI$4:$AI$1463,0))="",NA(),INDEX(MASTER!$L$4:$L$1463,MATCH("RECKONING"&amp;"|"&amp;MAX(1,ROUND(COUNTIFS(MASTER!$B$4:$B$1463,"RECKONING",MASTER!$L$4:$L$1463,"&lt;&gt;")*$A84*100/100,0)),MASTER!$AI$4:$AI$1463,0))),NA()))))</f>
        <v>6704</v>
      </c>
      <c r="I84" s="37">
        <f>IF($B$4="RESONANCE",IFERROR(IF(INDEX(MASTER!$I$4:$I$1463,MATCH("ACHERON"&amp;"|"&amp;MAX(1,ROUND(COUNTIFS(MASTER!$B$4:$B$1463,"ACHERON",MASTER!$I$4:$I$1463,"&lt;&gt;")*$A84*100/100,0)),MASTER!$Y$4:$Y$1463,0))="",NA(),INDEX(MASTER!$I$4:$I$1463,MATCH("ACHERON"&amp;"|"&amp;MAX(1,ROUND(COUNTIFS(MASTER!$B$4:$B$1463,"ACHERON",MASTER!$I$4:$I$1463,"&lt;&gt;")*$A84*100/100,0)),MASTER!$Y$4:$Y$1463,0))),NA()),IF($B$4="COMBAT RATING",IFERROR(IF(INDEX(MASTER!$G$4:$G$1463,MATCH("ACHERON"&amp;"|"&amp;MAX(1,ROUND(COUNTIFS(MASTER!$B$4:$B$1463,"ACHERON",MASTER!$G$4:$G$1463,"&lt;&gt;")*$A84*100/100,0)),MASTER!$AH$4:$AH$1463,0))="",NA(),INDEX(MASTER!$G$4:$G$1463,MATCH("ACHERON"&amp;"|"&amp;MAX(1,ROUND(COUNTIFS(MASTER!$B$4:$B$1463,"ACHERON",MASTER!$G$4:$G$1463,"&lt;&gt;")*$A84*100/100,0)),MASTER!$AH$4:$AH$1463,0))),NA()),IF($B$4="SECONDARY",IFERROR(IF(INDEX(MASTER!$L$4:$L$1463,MATCH("ACHERON"&amp;"|"&amp;MAX(1,ROUND(COUNTIFS(MASTER!$B$4:$B$1463,"ACHERON",MASTER!$L$4:$L$1463,"&lt;&gt;")*$A84*100/100,0)),MASTER!$AI$4:$AI$1463,0))="",NA(),INDEX(MASTER!$L$4:$L$1463,MATCH("ACHERON"&amp;"|"&amp;MAX(1,ROUND(COUNTIFS(MASTER!$B$4:$B$1463,"ACHERON",MASTER!$L$4:$L$1463,"&lt;&gt;")*$A84*100/100,0)),MASTER!$AI$4:$AI$1463,0))),NA()))))</f>
        <v>4956</v>
      </c>
      <c r="J84" s="37">
        <f>IF($B$4="RESONANCE",IFERROR(IF(INDEX(MASTER!$I$4:$I$1463,MATCH("INVICTUS"&amp;"|"&amp;MAX(1,ROUND(COUNTIFS(MASTER!$B$4:$B$1463,"INVICTUS",MASTER!$I$4:$I$1463,"&lt;&gt;")*$A84*100/100,0)),MASTER!$Y$4:$Y$1463,0))="",NA(),INDEX(MASTER!$I$4:$I$1463,MATCH("INVICTUS"&amp;"|"&amp;MAX(1,ROUND(COUNTIFS(MASTER!$B$4:$B$1463,"INVICTUS",MASTER!$I$4:$I$1463,"&lt;&gt;")*$A84*100/100,0)),MASTER!$Y$4:$Y$1463,0))),NA()),IF($B$4="COMBAT RATING",IFERROR(IF(INDEX(MASTER!$G$4:$G$1463,MATCH("INVICTUS"&amp;"|"&amp;MAX(1,ROUND(COUNTIFS(MASTER!$B$4:$B$1463,"INVICTUS",MASTER!$G$4:$G$1463,"&lt;&gt;")*$A84*100/100,0)),MASTER!$AH$4:$AH$1463,0))="",NA(),INDEX(MASTER!$G$4:$G$1463,MATCH("INVICTUS"&amp;"|"&amp;MAX(1,ROUND(COUNTIFS(MASTER!$B$4:$B$1463,"INVICTUS",MASTER!$G$4:$G$1463,"&lt;&gt;")*$A84*100/100,0)),MASTER!$AH$4:$AH$1463,0))),NA()),IF($B$4="SECONDARY",IFERROR(IF(INDEX(MASTER!$L$4:$L$1463,MATCH("INVICTUS"&amp;"|"&amp;MAX(1,ROUND(COUNTIFS(MASTER!$B$4:$B$1463,"INVICTUS",MASTER!$L$4:$L$1463,"&lt;&gt;")*$A84*100/100,0)),MASTER!$AI$4:$AI$1463,0))="",NA(),INDEX(MASTER!$L$4:$L$1463,MATCH("INVICTUS"&amp;"|"&amp;MAX(1,ROUND(COUNTIFS(MASTER!$B$4:$B$1463,"INVICTUS",MASTER!$L$4:$L$1463,"&lt;&gt;")*$A84*100/100,0)),MASTER!$AI$4:$AI$1463,0))),NA()))))</f>
        <v>3804</v>
      </c>
      <c r="K84" s="37">
        <f>IF($B$4="RESONANCE",IFERROR(IF(INDEX(MASTER!$I$4:$I$1463,MATCH("EMERALD LEAF TRIBE"&amp;"|"&amp;MAX(1,ROUND(COUNTIFS(MASTER!$B$4:$B$1463,"EMERALD LEAF TRIBE",MASTER!$I$4:$I$1463,"&lt;&gt;")*$A84*100/100,0)),MASTER!$Y$4:$Y$1463,0))="",NA(),INDEX(MASTER!$I$4:$I$1463,MATCH("EMERALD LEAF TRIBE"&amp;"|"&amp;MAX(1,ROUND(COUNTIFS(MASTER!$B$4:$B$1463,"EMERALD LEAF TRIBE",MASTER!$I$4:$I$1463,"&lt;&gt;")*$A84*100/100,0)),MASTER!$Y$4:$Y$1463,0))),NA()),IF($B$4="COMBAT RATING",IFERROR(IF(INDEX(MASTER!$G$4:$G$1463,MATCH("EMERALD LEAF TRIBE"&amp;"|"&amp;MAX(1,ROUND(COUNTIFS(MASTER!$B$4:$B$1463,"EMERALD LEAF TRIBE",MASTER!$G$4:$G$1463,"&lt;&gt;")*$A84*100/100,0)),MASTER!$AH$4:$AH$1463,0))="",NA(),INDEX(MASTER!$G$4:$G$1463,MATCH("EMERALD LEAF TRIBE"&amp;"|"&amp;MAX(1,ROUND(COUNTIFS(MASTER!$B$4:$B$1463,"EMERALD LEAF TRIBE",MASTER!$G$4:$G$1463,"&lt;&gt;")*$A84*100/100,0)),MASTER!$AH$4:$AH$1463,0))),NA()),IF($B$4="SECONDARY",IFERROR(IF(INDEX(MASTER!$L$4:$L$1463,MATCH("EMERALD LEAF TRIBE"&amp;"|"&amp;MAX(1,ROUND(COUNTIFS(MASTER!$B$4:$B$1463,"EMERALD LEAF TRIBE",MASTER!$L$4:$L$1463,"&lt;&gt;")*$A84*100/100,0)),MASTER!$AI$4:$AI$1463,0))="",NA(),INDEX(MASTER!$L$4:$L$1463,MATCH("EMERALD LEAF TRIBE"&amp;"|"&amp;MAX(1,ROUND(COUNTIFS(MASTER!$B$4:$B$1463,"EMERALD LEAF TRIBE",MASTER!$L$4:$L$1463,"&lt;&gt;")*$A84*100/100,0)),MASTER!$AI$4:$AI$1463,0))),NA()))))</f>
        <v>2818</v>
      </c>
      <c r="L84" s="37">
        <f>IF($B$4="RESONANCE",IFERROR(IF(INDEX(MASTER!$I$4:$I$1463,MATCH("SUB ROSA"&amp;"|"&amp;MAX(1,ROUND(COUNTIFS(MASTER!$B$4:$B$1463,"SUB ROSA",MASTER!$I$4:$I$1463,"&lt;&gt;")*$A84*100/100,0)),MASTER!$Y$4:$Y$1463,0))="",NA(),INDEX(MASTER!$I$4:$I$1463,MATCH("SUB ROSA"&amp;"|"&amp;MAX(1,ROUND(COUNTIFS(MASTER!$B$4:$B$1463,"SUB ROSA",MASTER!$I$4:$I$1463,"&lt;&gt;")*$A84*100/100,0)),MASTER!$Y$4:$Y$1463,0))),NA()),IF($B$4="COMBAT RATING",IFERROR(IF(INDEX(MASTER!$G$4:$G$1463,MATCH("SUB ROSA"&amp;"|"&amp;MAX(1,ROUND(COUNTIFS(MASTER!$B$4:$B$1463,"SUB ROSA",MASTER!$G$4:$G$1463,"&lt;&gt;")*$A84*100/100,0)),MASTER!$AH$4:$AH$1463,0))="",NA(),INDEX(MASTER!$G$4:$G$1463,MATCH("SUB ROSA"&amp;"|"&amp;MAX(1,ROUND(COUNTIFS(MASTER!$B$4:$B$1463,"SUB ROSA",MASTER!$G$4:$G$1463,"&lt;&gt;")*$A84*100/100,0)),MASTER!$AH$4:$AH$1463,0))),NA()),IF($B$4="SECONDARY",IFERROR(IF(INDEX(MASTER!$L$4:$L$1463,MATCH("SUB ROSA"&amp;"|"&amp;MAX(1,ROUND(COUNTIFS(MASTER!$B$4:$B$1463,"SUB ROSA",MASTER!$L$4:$L$1463,"&lt;&gt;")*$A84*100/100,0)),MASTER!$AI$4:$AI$1463,0))="",NA(),INDEX(MASTER!$L$4:$L$1463,MATCH("SUB ROSA"&amp;"|"&amp;MAX(1,ROUND(COUNTIFS(MASTER!$B$4:$B$1463,"SUB ROSA",MASTER!$L$4:$L$1463,"&lt;&gt;")*$A84*100/100,0)),MASTER!$AI$4:$AI$1463,0))),NA()))))</f>
        <v>3464</v>
      </c>
      <c r="M84" s="37">
        <f>IF($B$4="RESONANCE",IFERROR(IF(INDEX(MASTER!$I$4:$I$1463,MATCH("VENGEANCE"&amp;"|"&amp;MAX(1,ROUND(COUNTIFS(MASTER!$B$4:$B$1463,"VENGEANCE",MASTER!$I$4:$I$1463,"&lt;&gt;")*$A84*100/100,0)),MASTER!$Y$4:$Y$1463,0))="",NA(),INDEX(MASTER!$I$4:$I$1463,MATCH("VENGEANCE"&amp;"|"&amp;MAX(1,ROUND(COUNTIFS(MASTER!$B$4:$B$1463,"VENGEANCE",MASTER!$I$4:$I$1463,"&lt;&gt;")*$A84*100/100,0)),MASTER!$Y$4:$Y$1463,0))),NA()),IF($B$4="COMBAT RATING",IFERROR(IF(INDEX(MASTER!$G$4:$G$1463,MATCH("VENGEANCE"&amp;"|"&amp;MAX(1,ROUND(COUNTIFS(MASTER!$B$4:$B$1463,"VENGEANCE",MASTER!$G$4:$G$1463,"&lt;&gt;")*$A84*100/100,0)),MASTER!$AH$4:$AH$1463,0))="",NA(),INDEX(MASTER!$G$4:$G$1463,MATCH("VENGEANCE"&amp;"|"&amp;MAX(1,ROUND(COUNTIFS(MASTER!$B$4:$B$1463,"VENGEANCE",MASTER!$G$4:$G$1463,"&lt;&gt;")*$A84*100/100,0)),MASTER!$AH$4:$AH$1463,0))),NA()),IF($B$4="SECONDARY",IFERROR(IF(INDEX(MASTER!$L$4:$L$1463,MATCH("VENGEANCE"&amp;"|"&amp;MAX(1,ROUND(COUNTIFS(MASTER!$B$4:$B$1463,"VENGEANCE",MASTER!$L$4:$L$1463,"&lt;&gt;")*$A84*100/100,0)),MASTER!$AI$4:$AI$1463,0))="",NA(),INDEX(MASTER!$L$4:$L$1463,MATCH("VENGEANCE"&amp;"|"&amp;MAX(1,ROUND(COUNTIFS(MASTER!$B$4:$B$1463,"VENGEANCE",MASTER!$L$4:$L$1463,"&lt;&gt;")*$A84*100/100,0)),MASTER!$AI$4:$AI$1463,0))),NA()))))</f>
        <v>4291</v>
      </c>
      <c r="N84" s="37">
        <f>IF($B$4="RESONANCE",IFERROR(IF(INDEX(MASTER!$I$4:$I$1463,MATCH("VENDETTA"&amp;"|"&amp;MAX(1,ROUND(COUNTIFS(MASTER!$B$4:$B$1463,"VENDETTA",MASTER!$I$4:$I$1463,"&lt;&gt;")*$A84*100/100,0)),MASTER!$Y$4:$Y$1463,0))="",NA(),INDEX(MASTER!$I$4:$I$1463,MATCH("VENDETTA"&amp;"|"&amp;MAX(1,ROUND(COUNTIFS(MASTER!$B$4:$B$1463,"VENDETTA",MASTER!$I$4:$I$1463,"&lt;&gt;")*$A84*100/100,0)),MASTER!$Y$4:$Y$1463,0))),NA()),IF($B$4="COMBAT RATING",IFERROR(IF(INDEX(MASTER!$G$4:$G$1463,MATCH("VENDETTA"&amp;"|"&amp;MAX(1,ROUND(COUNTIFS(MASTER!$B$4:$B$1463,"VENDETTA",MASTER!$G$4:$G$1463,"&lt;&gt;")*$A84*100/100,0)),MASTER!$AH$4:$AH$1463,0))="",NA(),INDEX(MASTER!$G$4:$G$1463,MATCH("VENDETTA"&amp;"|"&amp;MAX(1,ROUND(COUNTIFS(MASTER!$B$4:$B$1463,"VENDETTA",MASTER!$G$4:$G$1463,"&lt;&gt;")*$A84*100/100,0)),MASTER!$AH$4:$AH$1463,0))),NA()),IF($B$4="SECONDARY",IFERROR(IF(INDEX(MASTER!$L$4:$L$1463,MATCH("VENDETTA"&amp;"|"&amp;MAX(1,ROUND(COUNTIFS(MASTER!$B$4:$B$1463,"VENDETTA",MASTER!$L$4:$L$1463,"&lt;&gt;")*$A84*100/100,0)),MASTER!$AI$4:$AI$1463,0))="",NA(),INDEX(MASTER!$L$4:$L$1463,MATCH("VENDETTA"&amp;"|"&amp;MAX(1,ROUND(COUNTIFS(MASTER!$B$4:$B$1463,"VENDETTA",MASTER!$L$4:$L$1463,"&lt;&gt;")*$A84*100/100,0)),MASTER!$AI$4:$AI$1463,0))),NA()))))</f>
        <v>2635</v>
      </c>
      <c r="O84" s="37">
        <f>IF($B$4="RESONANCE",IFERROR(IF(INDEX(MASTER!$I$4:$I$1463,MATCH("ZOMBIES"&amp;"|"&amp;MAX(1,ROUND(COUNTIFS(MASTER!$B$4:$B$1463,"ZOMBIES",MASTER!$I$4:$I$1463,"&lt;&gt;")*$A84*100/100,0)),MASTER!$Y$4:$Y$1463,0))="",NA(),INDEX(MASTER!$I$4:$I$1463,MATCH("ZOMBIES"&amp;"|"&amp;MAX(1,ROUND(COUNTIFS(MASTER!$B$4:$B$1463,"ZOMBIES",MASTER!$I$4:$I$1463,"&lt;&gt;")*$A84*100/100,0)),MASTER!$Y$4:$Y$1463,0))),NA()),IF($B$4="COMBAT RATING",IFERROR(IF(INDEX(MASTER!$G$4:$G$1463,MATCH("ZOMBIES"&amp;"|"&amp;MAX(1,ROUND(COUNTIFS(MASTER!$B$4:$B$1463,"ZOMBIES",MASTER!$G$4:$G$1463,"&lt;&gt;")*$A84*100/100,0)),MASTER!$AH$4:$AH$1463,0))="",NA(),INDEX(MASTER!$G$4:$G$1463,MATCH("ZOMBIES"&amp;"|"&amp;MAX(1,ROUND(COUNTIFS(MASTER!$B$4:$B$1463,"ZOMBIES",MASTER!$G$4:$G$1463,"&lt;&gt;")*$A84*100/100,0)),MASTER!$AH$4:$AH$1463,0))),NA()),IF($B$4="SECONDARY",IFERROR(IF(INDEX(MASTER!$L$4:$L$1463,MATCH("ZOMBIES"&amp;"|"&amp;MAX(1,ROUND(COUNTIFS(MASTER!$B$4:$B$1463,"ZOMBIES",MASTER!$L$4:$L$1463,"&lt;&gt;")*$A84*100/100,0)),MASTER!$AI$4:$AI$1463,0))="",NA(),INDEX(MASTER!$L$4:$L$1463,MATCH("ZOMBIES"&amp;"|"&amp;MAX(1,ROUND(COUNTIFS(MASTER!$B$4:$B$1463,"ZOMBIES",MASTER!$L$4:$L$1463,"&lt;&gt;")*$A84*100/100,0)),MASTER!$AI$4:$AI$1463,0))),NA()))))</f>
        <v>2426</v>
      </c>
      <c r="P84" s="37">
        <f>IF($B$4="RESONANCE",IFERROR(IF(INDEX(MASTER!$I$4:$I$1463,MATCH("FUCT"&amp;"|"&amp;MAX(1,ROUND(COUNTIFS(MASTER!$B$4:$B$1463,"FUCT",MASTER!$I$4:$I$1463,"&lt;&gt;")*$A84*100/100,0)),MASTER!$Y$4:$Y$1463,0))="",NA(),INDEX(MASTER!$I$4:$I$1463,MATCH("FUCT"&amp;"|"&amp;MAX(1,ROUND(COUNTIFS(MASTER!$B$4:$B$1463,"FUCT",MASTER!$I$4:$I$1463,"&lt;&gt;")*$A84*100/100,0)),MASTER!$Y$4:$Y$1463,0))),NA()),IF($B$4="COMBAT RATING",IFERROR(IF(INDEX(MASTER!$G$4:$G$1463,MATCH("FUCT"&amp;"|"&amp;MAX(1,ROUND(COUNTIFS(MASTER!$B$4:$B$1463,"FUCT",MASTER!$G$4:$G$1463,"&lt;&gt;")*$A84*100/100,0)),MASTER!$AH$4:$AH$1463,0))="",NA(),INDEX(MASTER!$G$4:$G$1463,MATCH("FUCT"&amp;"|"&amp;MAX(1,ROUND(COUNTIFS(MASTER!$B$4:$B$1463,"FUCT",MASTER!$G$4:$G$1463,"&lt;&gt;")*$A84*100/100,0)),MASTER!$AH$4:$AH$1463,0))),NA()),IF($B$4="SECONDARY",IFERROR(IF(INDEX(MASTER!$L$4:$L$1463,MATCH("FUCT"&amp;"|"&amp;MAX(1,ROUND(COUNTIFS(MASTER!$B$4:$B$1463,"FUCT",MASTER!$L$4:$L$1463,"&lt;&gt;")*$A84*100/100,0)),MASTER!$AI$4:$AI$1463,0))="",NA(),INDEX(MASTER!$L$4:$L$1463,MATCH("FUCT"&amp;"|"&amp;MAX(1,ROUND(COUNTIFS(MASTER!$B$4:$B$1463,"FUCT",MASTER!$L$4:$L$1463,"&lt;&gt;")*$A84*100/100,0)),MASTER!$AI$4:$AI$1463,0))),NA()))))</f>
        <v>5971</v>
      </c>
      <c r="Q84" s="37">
        <f>IF($B$4="RESONANCE",IFERROR(IF(INDEX(MASTER!$I$4:$I$1463,MATCH($E$4&amp;"|"&amp;MAX(1,ROUND(COUNTIFS(MASTER!$B$4:$B$1463,$E$4,MASTER!$I$4:$I$1463,"&lt;&gt;")*$A84*100/100,0)),MASTER!$Y$4:$Y$1463,0))="",NA(),INDEX(MASTER!$I$4:$I$1463,MATCH($E$4&amp;"|"&amp;MAX(1,ROUND(COUNTIFS(MASTER!$B$4:$B$1463,$E$4,MASTER!$I$4:$I$1463,"&lt;&gt;")*$A84*100/100,0)),MASTER!$Y$4:$Y$1463,0))),NA()),IF($B$4="COMBAT RATING",IFERROR(IF(INDEX(MASTER!$G$4:$G$1463,MATCH($E$4&amp;"|"&amp;MAX(1,ROUND(COUNTIFS(MASTER!$B$4:$B$1463,$E$4,MASTER!$G$4:$G$1463,"&lt;&gt;")*$A84*100/100,0)),MASTER!$AH$4:$AH$1463,0))="",NA(),INDEX(MASTER!$G$4:$G$1463,MATCH($E$4&amp;"|"&amp;MAX(1,ROUND(COUNTIFS(MASTER!$B$4:$B$1463,$E$4,MASTER!$G$4:$G$1463,"&lt;&gt;")*$A84*100/100,0)),MASTER!$AH$4:$AH$1463,0))),NA()),IF($B$4="SECONDARY",IFERROR(IF(INDEX(MASTER!$L$4:$L$1463,MATCH($E$4&amp;"|"&amp;MAX(1,ROUND(COUNTIFS(MASTER!$B$4:$B$1463,$E$4,MASTER!$L$4:$L$1463,"&lt;&gt;")*$A84*100/100,0)),MASTER!$AI$4:$AI$1463,0))="",NA(),INDEX(MASTER!$L$4:$L$1463,MATCH($E$4&amp;"|"&amp;MAX(1,ROUND(COUNTIFS(MASTER!$B$4:$B$1463,$E$4,MASTER!$L$4:$L$1463,"&lt;&gt;")*$A84*100/100,0)),MASTER!$AI$4:$AI$1463,0))),NA()))))</f>
        <v>5030</v>
      </c>
    </row>
    <row r="85" spans="1:17" hidden="1">
      <c r="A85" s="36">
        <v>0.3</v>
      </c>
      <c r="B85" s="37">
        <f>IF($B$4="RESONANCE",IFERROR(IF(INDEX(MASTER!$I$4:$I$1463,MATCH("FUCT"&amp;"|"&amp;MAX(1,ROUND(COUNTIFS(MASTER!$B$4:$B$1463,"FUCT",MASTER!$I$4:$I$1463,"&lt;&gt;")*$A85*100/100,0)),MASTER!$Y$4:$Y$1463,0))="",NA(),INDEX(MASTER!$I$4:$I$1463,MATCH("FUCT"&amp;"|"&amp;MAX(1,ROUND(COUNTIFS(MASTER!$B$4:$B$1463,"FUCT",MASTER!$I$4:$I$1463,"&lt;&gt;")*$A85*100/100,0)),MASTER!$Y$4:$Y$1463,0))),NA()),IF($B$4="COMBAT RATING",IFERROR(IF(INDEX(MASTER!$G$4:$G$1463,MATCH("FUCT"&amp;"|"&amp;MAX(1,ROUND(COUNTIFS(MASTER!$B$4:$B$1463,"FUCT",MASTER!$G$4:$G$1463,"&lt;&gt;")*$A85*100/100,0)),MASTER!$AH$4:$AH$1463,0))="",NA(),INDEX(MASTER!$G$4:$G$1463,MATCH("FUCT"&amp;"|"&amp;MAX(1,ROUND(COUNTIFS(MASTER!$B$4:$B$1463,"FUCT",MASTER!$G$4:$G$1463,"&lt;&gt;")*$A85*100/100,0)),MASTER!$AH$4:$AH$1463,0))),NA()),IF($B$4="SECONDARY",IFERROR(IF(INDEX(MASTER!$L$4:$L$1463,MATCH("FUCT"&amp;"|"&amp;MAX(1,ROUND(COUNTIFS(MASTER!$B$4:$B$1463,"FUCT",MASTER!$L$4:$L$1463,"&lt;&gt;")*$A85*100/100,0)),MASTER!$AI$4:$AI$1463,0))="",NA(),INDEX(MASTER!$L$4:$L$1463,MATCH("FUCT"&amp;"|"&amp;MAX(1,ROUND(COUNTIFS(MASTER!$B$4:$B$1463,"FUCT",MASTER!$L$4:$L$1463,"&lt;&gt;")*$A85*100/100,0)),MASTER!$AI$4:$AI$1463,0))),NA()))))</f>
        <v>5912</v>
      </c>
      <c r="C85" s="37">
        <f>IF($B$4="RESONANCE",IFERROR(IF(INDEX(MASTER!$I$4:$I$1463,MATCH("LEGENDS"&amp;"|"&amp;MAX(1,ROUND(COUNTIFS(MASTER!$B$4:$B$1463,"LEGENDS",MASTER!$I$4:$I$1463,"&lt;&gt;")*$A85*100/100,0)),MASTER!$Y$4:$Y$1463,0))="",NA(),INDEX(MASTER!$I$4:$I$1463,MATCH("LEGENDS"&amp;"|"&amp;MAX(1,ROUND(COUNTIFS(MASTER!$B$4:$B$1463,"LEGENDS",MASTER!$I$4:$I$1463,"&lt;&gt;")*$A85*100/100,0)),MASTER!$Y$4:$Y$1463,0))),NA()),IF($B$4="COMBAT RATING",IFERROR(IF(INDEX(MASTER!$G$4:$G$1463,MATCH("LEGENDS"&amp;"|"&amp;MAX(1,ROUND(COUNTIFS(MASTER!$B$4:$B$1463,"LEGENDS",MASTER!$G$4:$G$1463,"&lt;&gt;")*$A85*100/100,0)),MASTER!$AH$4:$AH$1463,0))="",NA(),INDEX(MASTER!$G$4:$G$1463,MATCH("LEGENDS"&amp;"|"&amp;MAX(1,ROUND(COUNTIFS(MASTER!$B$4:$B$1463,"LEGENDS",MASTER!$G$4:$G$1463,"&lt;&gt;")*$A85*100/100,0)),MASTER!$AH$4:$AH$1463,0))),NA()),IF($B$4="SECONDARY",IFERROR(IF(INDEX(MASTER!$L$4:$L$1463,MATCH("LEGENDS"&amp;"|"&amp;MAX(1,ROUND(COUNTIFS(MASTER!$B$4:$B$1463,"LEGENDS",MASTER!$L$4:$L$1463,"&lt;&gt;")*$A85*100/100,0)),MASTER!$AI$4:$AI$1463,0))="",NA(),INDEX(MASTER!$L$4:$L$1463,MATCH("LEGENDS"&amp;"|"&amp;MAX(1,ROUND(COUNTIFS(MASTER!$B$4:$B$1463,"LEGENDS",MASTER!$L$4:$L$1463,"&lt;&gt;")*$A85*100/100,0)),MASTER!$AI$4:$AI$1463,0))),NA()))))</f>
        <v>6058</v>
      </c>
      <c r="D85" s="37">
        <f>IF($B$4="RESONANCE",IFERROR(IF(INDEX(MASTER!$I$4:$I$1463,MATCH("VANGUARD"&amp;"|"&amp;MAX(1,ROUND(COUNTIFS(MASTER!$B$4:$B$1463,"VANGUARD",MASTER!$I$4:$I$1463,"&lt;&gt;")*$A85*100/100,0)),MASTER!$Y$4:$Y$1463,0))="",NA(),INDEX(MASTER!$I$4:$I$1463,MATCH("VANGUARD"&amp;"|"&amp;MAX(1,ROUND(COUNTIFS(MASTER!$B$4:$B$1463,"VANGUARD",MASTER!$I$4:$I$1463,"&lt;&gt;")*$A85*100/100,0)),MASTER!$Y$4:$Y$1463,0))),NA()),IF($B$4="COMBAT RATING",IFERROR(IF(INDEX(MASTER!$G$4:$G$1463,MATCH("VANGUARD"&amp;"|"&amp;MAX(1,ROUND(COUNTIFS(MASTER!$B$4:$B$1463,"VANGUARD",MASTER!$G$4:$G$1463,"&lt;&gt;")*$A85*100/100,0)),MASTER!$AH$4:$AH$1463,0))="",NA(),INDEX(MASTER!$G$4:$G$1463,MATCH("VANGUARD"&amp;"|"&amp;MAX(1,ROUND(COUNTIFS(MASTER!$B$4:$B$1463,"VANGUARD",MASTER!$G$4:$G$1463,"&lt;&gt;")*$A85*100/100,0)),MASTER!$AH$4:$AH$1463,0))),NA()),IF($B$4="SECONDARY",IFERROR(IF(INDEX(MASTER!$L$4:$L$1463,MATCH("VANGUARD"&amp;"|"&amp;MAX(1,ROUND(COUNTIFS(MASTER!$B$4:$B$1463,"VANGUARD",MASTER!$L$4:$L$1463,"&lt;&gt;")*$A85*100/100,0)),MASTER!$AI$4:$AI$1463,0))="",NA(),INDEX(MASTER!$L$4:$L$1463,MATCH("VANGUARD"&amp;"|"&amp;MAX(1,ROUND(COUNTIFS(MASTER!$B$4:$B$1463,"VANGUARD",MASTER!$L$4:$L$1463,"&lt;&gt;")*$A85*100/100,0)),MASTER!$AI$4:$AI$1463,0))),NA()))))</f>
        <v>8365</v>
      </c>
      <c r="E85" s="37">
        <f>IF($B$4="RESONANCE",IFERROR(IF(INDEX(MASTER!$I$4:$I$1463,MATCH("UNDYING"&amp;"|"&amp;MAX(1,ROUND(COUNTIFS(MASTER!$B$4:$B$1463,"UNDYING",MASTER!$I$4:$I$1463,"&lt;&gt;")*$A85*100/100,0)),MASTER!$Y$4:$Y$1463,0))="",NA(),INDEX(MASTER!$I$4:$I$1463,MATCH("UNDYING"&amp;"|"&amp;MAX(1,ROUND(COUNTIFS(MASTER!$B$4:$B$1463,"UNDYING",MASTER!$I$4:$I$1463,"&lt;&gt;")*$A85*100/100,0)),MASTER!$Y$4:$Y$1463,0))),NA()),IF($B$4="COMBAT RATING",IFERROR(IF(INDEX(MASTER!$G$4:$G$1463,MATCH("UNDYING"&amp;"|"&amp;MAX(1,ROUND(COUNTIFS(MASTER!$B$4:$B$1463,"UNDYING",MASTER!$G$4:$G$1463,"&lt;&gt;")*$A85*100/100,0)),MASTER!$AH$4:$AH$1463,0))="",NA(),INDEX(MASTER!$G$4:$G$1463,MATCH("UNDYING"&amp;"|"&amp;MAX(1,ROUND(COUNTIFS(MASTER!$B$4:$B$1463,"UNDYING",MASTER!$G$4:$G$1463,"&lt;&gt;")*$A85*100/100,0)),MASTER!$AH$4:$AH$1463,0))),NA()),IF($B$4="SECONDARY",IFERROR(IF(INDEX(MASTER!$L$4:$L$1463,MATCH("UNDYING"&amp;"|"&amp;MAX(1,ROUND(COUNTIFS(MASTER!$B$4:$B$1463,"UNDYING",MASTER!$L$4:$L$1463,"&lt;&gt;")*$A85*100/100,0)),MASTER!$AI$4:$AI$1463,0))="",NA(),INDEX(MASTER!$L$4:$L$1463,MATCH("UNDYING"&amp;"|"&amp;MAX(1,ROUND(COUNTIFS(MASTER!$B$4:$B$1463,"UNDYING",MASTER!$L$4:$L$1463,"&lt;&gt;")*$A85*100/100,0)),MASTER!$AI$4:$AI$1463,0))),NA()))))</f>
        <v>4950</v>
      </c>
      <c r="F85" s="37">
        <f>IF($B$4="RESONANCE",IFERROR(IF(INDEX(MASTER!$I$4:$I$1463,MATCH("SBG"&amp;"|"&amp;MAX(1,ROUND(COUNTIFS(MASTER!$B$4:$B$1463,"SBG",MASTER!$I$4:$I$1463,"&lt;&gt;")*$A85*100/100,0)),MASTER!$Y$4:$Y$1463,0))="",NA(),INDEX(MASTER!$I$4:$I$1463,MATCH("SBG"&amp;"|"&amp;MAX(1,ROUND(COUNTIFS(MASTER!$B$4:$B$1463,"SBG",MASTER!$I$4:$I$1463,"&lt;&gt;")*$A85*100/100,0)),MASTER!$Y$4:$Y$1463,0))),NA()),IF($B$4="COMBAT RATING",IFERROR(IF(INDEX(MASTER!$G$4:$G$1463,MATCH("SBG"&amp;"|"&amp;MAX(1,ROUND(COUNTIFS(MASTER!$B$4:$B$1463,"SBG",MASTER!$G$4:$G$1463,"&lt;&gt;")*$A85*100/100,0)),MASTER!$AH$4:$AH$1463,0))="",NA(),INDEX(MASTER!$G$4:$G$1463,MATCH("SBG"&amp;"|"&amp;MAX(1,ROUND(COUNTIFS(MASTER!$B$4:$B$1463,"SBG",MASTER!$G$4:$G$1463,"&lt;&gt;")*$A85*100/100,0)),MASTER!$AH$4:$AH$1463,0))),NA()),IF($B$4="SECONDARY",IFERROR(IF(INDEX(MASTER!$L$4:$L$1463,MATCH("SBG"&amp;"|"&amp;MAX(1,ROUND(COUNTIFS(MASTER!$B$4:$B$1463,"SBG",MASTER!$L$4:$L$1463,"&lt;&gt;")*$A85*100/100,0)),MASTER!$AI$4:$AI$1463,0))="",NA(),INDEX(MASTER!$L$4:$L$1463,MATCH("SBG"&amp;"|"&amp;MAX(1,ROUND(COUNTIFS(MASTER!$B$4:$B$1463,"SBG",MASTER!$L$4:$L$1463,"&lt;&gt;")*$A85*100/100,0)),MASTER!$AI$4:$AI$1463,0))),NA()))))</f>
        <v>7263</v>
      </c>
      <c r="G85" s="37">
        <f>IF($B$4="RESONANCE",IFERROR(IF(INDEX(MASTER!$I$4:$I$1463,MATCH("AZUKI"&amp;"|"&amp;MAX(1,ROUND(COUNTIFS(MASTER!$B$4:$B$1463,"AZUKI",MASTER!$I$4:$I$1463,"&lt;&gt;")*$A85*100/100,0)),MASTER!$Y$4:$Y$1463,0))="",NA(),INDEX(MASTER!$I$4:$I$1463,MATCH("AZUKI"&amp;"|"&amp;MAX(1,ROUND(COUNTIFS(MASTER!$B$4:$B$1463,"AZUKI",MASTER!$I$4:$I$1463,"&lt;&gt;")*$A85*100/100,0)),MASTER!$Y$4:$Y$1463,0))),NA()),IF($B$4="COMBAT RATING",IFERROR(IF(INDEX(MASTER!$G$4:$G$1463,MATCH("AZUKI"&amp;"|"&amp;MAX(1,ROUND(COUNTIFS(MASTER!$B$4:$B$1463,"AZUKI",MASTER!$G$4:$G$1463,"&lt;&gt;")*$A85*100/100,0)),MASTER!$AH$4:$AH$1463,0))="",NA(),INDEX(MASTER!$G$4:$G$1463,MATCH("AZUKI"&amp;"|"&amp;MAX(1,ROUND(COUNTIFS(MASTER!$B$4:$B$1463,"AZUKI",MASTER!$G$4:$G$1463,"&lt;&gt;")*$A85*100/100,0)),MASTER!$AH$4:$AH$1463,0))),NA()),IF($B$4="SECONDARY",IFERROR(IF(INDEX(MASTER!$L$4:$L$1463,MATCH("AZUKI"&amp;"|"&amp;MAX(1,ROUND(COUNTIFS(MASTER!$B$4:$B$1463,"AZUKI",MASTER!$L$4:$L$1463,"&lt;&gt;")*$A85*100/100,0)),MASTER!$AI$4:$AI$1463,0))="",NA(),INDEX(MASTER!$L$4:$L$1463,MATCH("AZUKI"&amp;"|"&amp;MAX(1,ROUND(COUNTIFS(MASTER!$B$4:$B$1463,"AZUKI",MASTER!$L$4:$L$1463,"&lt;&gt;")*$A85*100/100,0)),MASTER!$AI$4:$AI$1463,0))),NA()))))</f>
        <v>6887</v>
      </c>
      <c r="H85" s="37">
        <f>IF($B$4="RESONANCE",IFERROR(IF(INDEX(MASTER!$I$4:$I$1463,MATCH("RECKONING"&amp;"|"&amp;MAX(1,ROUND(COUNTIFS(MASTER!$B$4:$B$1463,"RECKONING",MASTER!$I$4:$I$1463,"&lt;&gt;")*$A85*100/100,0)),MASTER!$Y$4:$Y$1463,0))="",NA(),INDEX(MASTER!$I$4:$I$1463,MATCH("RECKONING"&amp;"|"&amp;MAX(1,ROUND(COUNTIFS(MASTER!$B$4:$B$1463,"RECKONING",MASTER!$I$4:$I$1463,"&lt;&gt;")*$A85*100/100,0)),MASTER!$Y$4:$Y$1463,0))),NA()),IF($B$4="COMBAT RATING",IFERROR(IF(INDEX(MASTER!$G$4:$G$1463,MATCH("RECKONING"&amp;"|"&amp;MAX(1,ROUND(COUNTIFS(MASTER!$B$4:$B$1463,"RECKONING",MASTER!$G$4:$G$1463,"&lt;&gt;")*$A85*100/100,0)),MASTER!$AH$4:$AH$1463,0))="",NA(),INDEX(MASTER!$G$4:$G$1463,MATCH("RECKONING"&amp;"|"&amp;MAX(1,ROUND(COUNTIFS(MASTER!$B$4:$B$1463,"RECKONING",MASTER!$G$4:$G$1463,"&lt;&gt;")*$A85*100/100,0)),MASTER!$AH$4:$AH$1463,0))),NA()),IF($B$4="SECONDARY",IFERROR(IF(INDEX(MASTER!$L$4:$L$1463,MATCH("RECKONING"&amp;"|"&amp;MAX(1,ROUND(COUNTIFS(MASTER!$B$4:$B$1463,"RECKONING",MASTER!$L$4:$L$1463,"&lt;&gt;")*$A85*100/100,0)),MASTER!$AI$4:$AI$1463,0))="",NA(),INDEX(MASTER!$L$4:$L$1463,MATCH("RECKONING"&amp;"|"&amp;MAX(1,ROUND(COUNTIFS(MASTER!$B$4:$B$1463,"RECKONING",MASTER!$L$4:$L$1463,"&lt;&gt;")*$A85*100/100,0)),MASTER!$AI$4:$AI$1463,0))),NA()))))</f>
        <v>6504</v>
      </c>
      <c r="I85" s="37">
        <f>IF($B$4="RESONANCE",IFERROR(IF(INDEX(MASTER!$I$4:$I$1463,MATCH("ACHERON"&amp;"|"&amp;MAX(1,ROUND(COUNTIFS(MASTER!$B$4:$B$1463,"ACHERON",MASTER!$I$4:$I$1463,"&lt;&gt;")*$A85*100/100,0)),MASTER!$Y$4:$Y$1463,0))="",NA(),INDEX(MASTER!$I$4:$I$1463,MATCH("ACHERON"&amp;"|"&amp;MAX(1,ROUND(COUNTIFS(MASTER!$B$4:$B$1463,"ACHERON",MASTER!$I$4:$I$1463,"&lt;&gt;")*$A85*100/100,0)),MASTER!$Y$4:$Y$1463,0))),NA()),IF($B$4="COMBAT RATING",IFERROR(IF(INDEX(MASTER!$G$4:$G$1463,MATCH("ACHERON"&amp;"|"&amp;MAX(1,ROUND(COUNTIFS(MASTER!$B$4:$B$1463,"ACHERON",MASTER!$G$4:$G$1463,"&lt;&gt;")*$A85*100/100,0)),MASTER!$AH$4:$AH$1463,0))="",NA(),INDEX(MASTER!$G$4:$G$1463,MATCH("ACHERON"&amp;"|"&amp;MAX(1,ROUND(COUNTIFS(MASTER!$B$4:$B$1463,"ACHERON",MASTER!$G$4:$G$1463,"&lt;&gt;")*$A85*100/100,0)),MASTER!$AH$4:$AH$1463,0))),NA()),IF($B$4="SECONDARY",IFERROR(IF(INDEX(MASTER!$L$4:$L$1463,MATCH("ACHERON"&amp;"|"&amp;MAX(1,ROUND(COUNTIFS(MASTER!$B$4:$B$1463,"ACHERON",MASTER!$L$4:$L$1463,"&lt;&gt;")*$A85*100/100,0)),MASTER!$AI$4:$AI$1463,0))="",NA(),INDEX(MASTER!$L$4:$L$1463,MATCH("ACHERON"&amp;"|"&amp;MAX(1,ROUND(COUNTIFS(MASTER!$B$4:$B$1463,"ACHERON",MASTER!$L$4:$L$1463,"&lt;&gt;")*$A85*100/100,0)),MASTER!$AI$4:$AI$1463,0))),NA()))))</f>
        <v>4897</v>
      </c>
      <c r="J85" s="37">
        <f>IF($B$4="RESONANCE",IFERROR(IF(INDEX(MASTER!$I$4:$I$1463,MATCH("INVICTUS"&amp;"|"&amp;MAX(1,ROUND(COUNTIFS(MASTER!$B$4:$B$1463,"INVICTUS",MASTER!$I$4:$I$1463,"&lt;&gt;")*$A85*100/100,0)),MASTER!$Y$4:$Y$1463,0))="",NA(),INDEX(MASTER!$I$4:$I$1463,MATCH("INVICTUS"&amp;"|"&amp;MAX(1,ROUND(COUNTIFS(MASTER!$B$4:$B$1463,"INVICTUS",MASTER!$I$4:$I$1463,"&lt;&gt;")*$A85*100/100,0)),MASTER!$Y$4:$Y$1463,0))),NA()),IF($B$4="COMBAT RATING",IFERROR(IF(INDEX(MASTER!$G$4:$G$1463,MATCH("INVICTUS"&amp;"|"&amp;MAX(1,ROUND(COUNTIFS(MASTER!$B$4:$B$1463,"INVICTUS",MASTER!$G$4:$G$1463,"&lt;&gt;")*$A85*100/100,0)),MASTER!$AH$4:$AH$1463,0))="",NA(),INDEX(MASTER!$G$4:$G$1463,MATCH("INVICTUS"&amp;"|"&amp;MAX(1,ROUND(COUNTIFS(MASTER!$B$4:$B$1463,"INVICTUS",MASTER!$G$4:$G$1463,"&lt;&gt;")*$A85*100/100,0)),MASTER!$AH$4:$AH$1463,0))),NA()),IF($B$4="SECONDARY",IFERROR(IF(INDEX(MASTER!$L$4:$L$1463,MATCH("INVICTUS"&amp;"|"&amp;MAX(1,ROUND(COUNTIFS(MASTER!$B$4:$B$1463,"INVICTUS",MASTER!$L$4:$L$1463,"&lt;&gt;")*$A85*100/100,0)),MASTER!$AI$4:$AI$1463,0))="",NA(),INDEX(MASTER!$L$4:$L$1463,MATCH("INVICTUS"&amp;"|"&amp;MAX(1,ROUND(COUNTIFS(MASTER!$B$4:$B$1463,"INVICTUS",MASTER!$L$4:$L$1463,"&lt;&gt;")*$A85*100/100,0)),MASTER!$AI$4:$AI$1463,0))),NA()))))</f>
        <v>3745</v>
      </c>
      <c r="K85" s="37">
        <f>IF($B$4="RESONANCE",IFERROR(IF(INDEX(MASTER!$I$4:$I$1463,MATCH("EMERALD LEAF TRIBE"&amp;"|"&amp;MAX(1,ROUND(COUNTIFS(MASTER!$B$4:$B$1463,"EMERALD LEAF TRIBE",MASTER!$I$4:$I$1463,"&lt;&gt;")*$A85*100/100,0)),MASTER!$Y$4:$Y$1463,0))="",NA(),INDEX(MASTER!$I$4:$I$1463,MATCH("EMERALD LEAF TRIBE"&amp;"|"&amp;MAX(1,ROUND(COUNTIFS(MASTER!$B$4:$B$1463,"EMERALD LEAF TRIBE",MASTER!$I$4:$I$1463,"&lt;&gt;")*$A85*100/100,0)),MASTER!$Y$4:$Y$1463,0))),NA()),IF($B$4="COMBAT RATING",IFERROR(IF(INDEX(MASTER!$G$4:$G$1463,MATCH("EMERALD LEAF TRIBE"&amp;"|"&amp;MAX(1,ROUND(COUNTIFS(MASTER!$B$4:$B$1463,"EMERALD LEAF TRIBE",MASTER!$G$4:$G$1463,"&lt;&gt;")*$A85*100/100,0)),MASTER!$AH$4:$AH$1463,0))="",NA(),INDEX(MASTER!$G$4:$G$1463,MATCH("EMERALD LEAF TRIBE"&amp;"|"&amp;MAX(1,ROUND(COUNTIFS(MASTER!$B$4:$B$1463,"EMERALD LEAF TRIBE",MASTER!$G$4:$G$1463,"&lt;&gt;")*$A85*100/100,0)),MASTER!$AH$4:$AH$1463,0))),NA()),IF($B$4="SECONDARY",IFERROR(IF(INDEX(MASTER!$L$4:$L$1463,MATCH("EMERALD LEAF TRIBE"&amp;"|"&amp;MAX(1,ROUND(COUNTIFS(MASTER!$B$4:$B$1463,"EMERALD LEAF TRIBE",MASTER!$L$4:$L$1463,"&lt;&gt;")*$A85*100/100,0)),MASTER!$AI$4:$AI$1463,0))="",NA(),INDEX(MASTER!$L$4:$L$1463,MATCH("EMERALD LEAF TRIBE"&amp;"|"&amp;MAX(1,ROUND(COUNTIFS(MASTER!$B$4:$B$1463,"EMERALD LEAF TRIBE",MASTER!$L$4:$L$1463,"&lt;&gt;")*$A85*100/100,0)),MASTER!$AI$4:$AI$1463,0))),NA()))))</f>
        <v>2798</v>
      </c>
      <c r="L85" s="37">
        <f>IF($B$4="RESONANCE",IFERROR(IF(INDEX(MASTER!$I$4:$I$1463,MATCH("SUB ROSA"&amp;"|"&amp;MAX(1,ROUND(COUNTIFS(MASTER!$B$4:$B$1463,"SUB ROSA",MASTER!$I$4:$I$1463,"&lt;&gt;")*$A85*100/100,0)),MASTER!$Y$4:$Y$1463,0))="",NA(),INDEX(MASTER!$I$4:$I$1463,MATCH("SUB ROSA"&amp;"|"&amp;MAX(1,ROUND(COUNTIFS(MASTER!$B$4:$B$1463,"SUB ROSA",MASTER!$I$4:$I$1463,"&lt;&gt;")*$A85*100/100,0)),MASTER!$Y$4:$Y$1463,0))),NA()),IF($B$4="COMBAT RATING",IFERROR(IF(INDEX(MASTER!$G$4:$G$1463,MATCH("SUB ROSA"&amp;"|"&amp;MAX(1,ROUND(COUNTIFS(MASTER!$B$4:$B$1463,"SUB ROSA",MASTER!$G$4:$G$1463,"&lt;&gt;")*$A85*100/100,0)),MASTER!$AH$4:$AH$1463,0))="",NA(),INDEX(MASTER!$G$4:$G$1463,MATCH("SUB ROSA"&amp;"|"&amp;MAX(1,ROUND(COUNTIFS(MASTER!$B$4:$B$1463,"SUB ROSA",MASTER!$G$4:$G$1463,"&lt;&gt;")*$A85*100/100,0)),MASTER!$AH$4:$AH$1463,0))),NA()),IF($B$4="SECONDARY",IFERROR(IF(INDEX(MASTER!$L$4:$L$1463,MATCH("SUB ROSA"&amp;"|"&amp;MAX(1,ROUND(COUNTIFS(MASTER!$B$4:$B$1463,"SUB ROSA",MASTER!$L$4:$L$1463,"&lt;&gt;")*$A85*100/100,0)),MASTER!$AI$4:$AI$1463,0))="",NA(),INDEX(MASTER!$L$4:$L$1463,MATCH("SUB ROSA"&amp;"|"&amp;MAX(1,ROUND(COUNTIFS(MASTER!$B$4:$B$1463,"SUB ROSA",MASTER!$L$4:$L$1463,"&lt;&gt;")*$A85*100/100,0)),MASTER!$AI$4:$AI$1463,0))),NA()))))</f>
        <v>3464</v>
      </c>
      <c r="M85" s="37">
        <f>IF($B$4="RESONANCE",IFERROR(IF(INDEX(MASTER!$I$4:$I$1463,MATCH("VENGEANCE"&amp;"|"&amp;MAX(1,ROUND(COUNTIFS(MASTER!$B$4:$B$1463,"VENGEANCE",MASTER!$I$4:$I$1463,"&lt;&gt;")*$A85*100/100,0)),MASTER!$Y$4:$Y$1463,0))="",NA(),INDEX(MASTER!$I$4:$I$1463,MATCH("VENGEANCE"&amp;"|"&amp;MAX(1,ROUND(COUNTIFS(MASTER!$B$4:$B$1463,"VENGEANCE",MASTER!$I$4:$I$1463,"&lt;&gt;")*$A85*100/100,0)),MASTER!$Y$4:$Y$1463,0))),NA()),IF($B$4="COMBAT RATING",IFERROR(IF(INDEX(MASTER!$G$4:$G$1463,MATCH("VENGEANCE"&amp;"|"&amp;MAX(1,ROUND(COUNTIFS(MASTER!$B$4:$B$1463,"VENGEANCE",MASTER!$G$4:$G$1463,"&lt;&gt;")*$A85*100/100,0)),MASTER!$AH$4:$AH$1463,0))="",NA(),INDEX(MASTER!$G$4:$G$1463,MATCH("VENGEANCE"&amp;"|"&amp;MAX(1,ROUND(COUNTIFS(MASTER!$B$4:$B$1463,"VENGEANCE",MASTER!$G$4:$G$1463,"&lt;&gt;")*$A85*100/100,0)),MASTER!$AH$4:$AH$1463,0))),NA()),IF($B$4="SECONDARY",IFERROR(IF(INDEX(MASTER!$L$4:$L$1463,MATCH("VENGEANCE"&amp;"|"&amp;MAX(1,ROUND(COUNTIFS(MASTER!$B$4:$B$1463,"VENGEANCE",MASTER!$L$4:$L$1463,"&lt;&gt;")*$A85*100/100,0)),MASTER!$AI$4:$AI$1463,0))="",NA(),INDEX(MASTER!$L$4:$L$1463,MATCH("VENGEANCE"&amp;"|"&amp;MAX(1,ROUND(COUNTIFS(MASTER!$B$4:$B$1463,"VENGEANCE",MASTER!$L$4:$L$1463,"&lt;&gt;")*$A85*100/100,0)),MASTER!$AI$4:$AI$1463,0))),NA()))))</f>
        <v>4213</v>
      </c>
      <c r="N85" s="37">
        <f>IF($B$4="RESONANCE",IFERROR(IF(INDEX(MASTER!$I$4:$I$1463,MATCH("VENDETTA"&amp;"|"&amp;MAX(1,ROUND(COUNTIFS(MASTER!$B$4:$B$1463,"VENDETTA",MASTER!$I$4:$I$1463,"&lt;&gt;")*$A85*100/100,0)),MASTER!$Y$4:$Y$1463,0))="",NA(),INDEX(MASTER!$I$4:$I$1463,MATCH("VENDETTA"&amp;"|"&amp;MAX(1,ROUND(COUNTIFS(MASTER!$B$4:$B$1463,"VENDETTA",MASTER!$I$4:$I$1463,"&lt;&gt;")*$A85*100/100,0)),MASTER!$Y$4:$Y$1463,0))),NA()),IF($B$4="COMBAT RATING",IFERROR(IF(INDEX(MASTER!$G$4:$G$1463,MATCH("VENDETTA"&amp;"|"&amp;MAX(1,ROUND(COUNTIFS(MASTER!$B$4:$B$1463,"VENDETTA",MASTER!$G$4:$G$1463,"&lt;&gt;")*$A85*100/100,0)),MASTER!$AH$4:$AH$1463,0))="",NA(),INDEX(MASTER!$G$4:$G$1463,MATCH("VENDETTA"&amp;"|"&amp;MAX(1,ROUND(COUNTIFS(MASTER!$B$4:$B$1463,"VENDETTA",MASTER!$G$4:$G$1463,"&lt;&gt;")*$A85*100/100,0)),MASTER!$AH$4:$AH$1463,0))),NA()),IF($B$4="SECONDARY",IFERROR(IF(INDEX(MASTER!$L$4:$L$1463,MATCH("VENDETTA"&amp;"|"&amp;MAX(1,ROUND(COUNTIFS(MASTER!$B$4:$B$1463,"VENDETTA",MASTER!$L$4:$L$1463,"&lt;&gt;")*$A85*100/100,0)),MASTER!$AI$4:$AI$1463,0))="",NA(),INDEX(MASTER!$L$4:$L$1463,MATCH("VENDETTA"&amp;"|"&amp;MAX(1,ROUND(COUNTIFS(MASTER!$B$4:$B$1463,"VENDETTA",MASTER!$L$4:$L$1463,"&lt;&gt;")*$A85*100/100,0)),MASTER!$AI$4:$AI$1463,0))),NA()))))</f>
        <v>2634</v>
      </c>
      <c r="O85" s="37">
        <f>IF($B$4="RESONANCE",IFERROR(IF(INDEX(MASTER!$I$4:$I$1463,MATCH("ZOMBIES"&amp;"|"&amp;MAX(1,ROUND(COUNTIFS(MASTER!$B$4:$B$1463,"ZOMBIES",MASTER!$I$4:$I$1463,"&lt;&gt;")*$A85*100/100,0)),MASTER!$Y$4:$Y$1463,0))="",NA(),INDEX(MASTER!$I$4:$I$1463,MATCH("ZOMBIES"&amp;"|"&amp;MAX(1,ROUND(COUNTIFS(MASTER!$B$4:$B$1463,"ZOMBIES",MASTER!$I$4:$I$1463,"&lt;&gt;")*$A85*100/100,0)),MASTER!$Y$4:$Y$1463,0))),NA()),IF($B$4="COMBAT RATING",IFERROR(IF(INDEX(MASTER!$G$4:$G$1463,MATCH("ZOMBIES"&amp;"|"&amp;MAX(1,ROUND(COUNTIFS(MASTER!$B$4:$B$1463,"ZOMBIES",MASTER!$G$4:$G$1463,"&lt;&gt;")*$A85*100/100,0)),MASTER!$AH$4:$AH$1463,0))="",NA(),INDEX(MASTER!$G$4:$G$1463,MATCH("ZOMBIES"&amp;"|"&amp;MAX(1,ROUND(COUNTIFS(MASTER!$B$4:$B$1463,"ZOMBIES",MASTER!$G$4:$G$1463,"&lt;&gt;")*$A85*100/100,0)),MASTER!$AH$4:$AH$1463,0))),NA()),IF($B$4="SECONDARY",IFERROR(IF(INDEX(MASTER!$L$4:$L$1463,MATCH("ZOMBIES"&amp;"|"&amp;MAX(1,ROUND(COUNTIFS(MASTER!$B$4:$B$1463,"ZOMBIES",MASTER!$L$4:$L$1463,"&lt;&gt;")*$A85*100/100,0)),MASTER!$AI$4:$AI$1463,0))="",NA(),INDEX(MASTER!$L$4:$L$1463,MATCH("ZOMBIES"&amp;"|"&amp;MAX(1,ROUND(COUNTIFS(MASTER!$B$4:$B$1463,"ZOMBIES",MASTER!$L$4:$L$1463,"&lt;&gt;")*$A85*100/100,0)),MASTER!$AI$4:$AI$1463,0))),NA()))))</f>
        <v>2404</v>
      </c>
      <c r="P85" s="37">
        <f>IF($B$4="RESONANCE",IFERROR(IF(INDEX(MASTER!$I$4:$I$1463,MATCH("FUCT"&amp;"|"&amp;MAX(1,ROUND(COUNTIFS(MASTER!$B$4:$B$1463,"FUCT",MASTER!$I$4:$I$1463,"&lt;&gt;")*$A85*100/100,0)),MASTER!$Y$4:$Y$1463,0))="",NA(),INDEX(MASTER!$I$4:$I$1463,MATCH("FUCT"&amp;"|"&amp;MAX(1,ROUND(COUNTIFS(MASTER!$B$4:$B$1463,"FUCT",MASTER!$I$4:$I$1463,"&lt;&gt;")*$A85*100/100,0)),MASTER!$Y$4:$Y$1463,0))),NA()),IF($B$4="COMBAT RATING",IFERROR(IF(INDEX(MASTER!$G$4:$G$1463,MATCH("FUCT"&amp;"|"&amp;MAX(1,ROUND(COUNTIFS(MASTER!$B$4:$B$1463,"FUCT",MASTER!$G$4:$G$1463,"&lt;&gt;")*$A85*100/100,0)),MASTER!$AH$4:$AH$1463,0))="",NA(),INDEX(MASTER!$G$4:$G$1463,MATCH("FUCT"&amp;"|"&amp;MAX(1,ROUND(COUNTIFS(MASTER!$B$4:$B$1463,"FUCT",MASTER!$G$4:$G$1463,"&lt;&gt;")*$A85*100/100,0)),MASTER!$AH$4:$AH$1463,0))),NA()),IF($B$4="SECONDARY",IFERROR(IF(INDEX(MASTER!$L$4:$L$1463,MATCH("FUCT"&amp;"|"&amp;MAX(1,ROUND(COUNTIFS(MASTER!$B$4:$B$1463,"FUCT",MASTER!$L$4:$L$1463,"&lt;&gt;")*$A85*100/100,0)),MASTER!$AI$4:$AI$1463,0))="",NA(),INDEX(MASTER!$L$4:$L$1463,MATCH("FUCT"&amp;"|"&amp;MAX(1,ROUND(COUNTIFS(MASTER!$B$4:$B$1463,"FUCT",MASTER!$L$4:$L$1463,"&lt;&gt;")*$A85*100/100,0)),MASTER!$AI$4:$AI$1463,0))),NA()))))</f>
        <v>5912</v>
      </c>
      <c r="Q85" s="37">
        <f>IF($B$4="RESONANCE",IFERROR(IF(INDEX(MASTER!$I$4:$I$1463,MATCH($E$4&amp;"|"&amp;MAX(1,ROUND(COUNTIFS(MASTER!$B$4:$B$1463,$E$4,MASTER!$I$4:$I$1463,"&lt;&gt;")*$A85*100/100,0)),MASTER!$Y$4:$Y$1463,0))="",NA(),INDEX(MASTER!$I$4:$I$1463,MATCH($E$4&amp;"|"&amp;MAX(1,ROUND(COUNTIFS(MASTER!$B$4:$B$1463,$E$4,MASTER!$I$4:$I$1463,"&lt;&gt;")*$A85*100/100,0)),MASTER!$Y$4:$Y$1463,0))),NA()),IF($B$4="COMBAT RATING",IFERROR(IF(INDEX(MASTER!$G$4:$G$1463,MATCH($E$4&amp;"|"&amp;MAX(1,ROUND(COUNTIFS(MASTER!$B$4:$B$1463,$E$4,MASTER!$G$4:$G$1463,"&lt;&gt;")*$A85*100/100,0)),MASTER!$AH$4:$AH$1463,0))="",NA(),INDEX(MASTER!$G$4:$G$1463,MATCH($E$4&amp;"|"&amp;MAX(1,ROUND(COUNTIFS(MASTER!$B$4:$B$1463,$E$4,MASTER!$G$4:$G$1463,"&lt;&gt;")*$A85*100/100,0)),MASTER!$AH$4:$AH$1463,0))),NA()),IF($B$4="SECONDARY",IFERROR(IF(INDEX(MASTER!$L$4:$L$1463,MATCH($E$4&amp;"|"&amp;MAX(1,ROUND(COUNTIFS(MASTER!$B$4:$B$1463,$E$4,MASTER!$L$4:$L$1463,"&lt;&gt;")*$A85*100/100,0)),MASTER!$AI$4:$AI$1463,0))="",NA(),INDEX(MASTER!$L$4:$L$1463,MATCH($E$4&amp;"|"&amp;MAX(1,ROUND(COUNTIFS(MASTER!$B$4:$B$1463,$E$4,MASTER!$L$4:$L$1463,"&lt;&gt;")*$A85*100/100,0)),MASTER!$AI$4:$AI$1463,0))),NA()))))</f>
        <v>4950</v>
      </c>
    </row>
    <row r="86" spans="1:17" hidden="1">
      <c r="A86" s="36">
        <v>0.31</v>
      </c>
      <c r="B86" s="37">
        <f>IF($B$4="RESONANCE",IFERROR(IF(INDEX(MASTER!$I$4:$I$1463,MATCH("FUCT"&amp;"|"&amp;MAX(1,ROUND(COUNTIFS(MASTER!$B$4:$B$1463,"FUCT",MASTER!$I$4:$I$1463,"&lt;&gt;")*$A86*100/100,0)),MASTER!$Y$4:$Y$1463,0))="",NA(),INDEX(MASTER!$I$4:$I$1463,MATCH("FUCT"&amp;"|"&amp;MAX(1,ROUND(COUNTIFS(MASTER!$B$4:$B$1463,"FUCT",MASTER!$I$4:$I$1463,"&lt;&gt;")*$A86*100/100,0)),MASTER!$Y$4:$Y$1463,0))),NA()),IF($B$4="COMBAT RATING",IFERROR(IF(INDEX(MASTER!$G$4:$G$1463,MATCH("FUCT"&amp;"|"&amp;MAX(1,ROUND(COUNTIFS(MASTER!$B$4:$B$1463,"FUCT",MASTER!$G$4:$G$1463,"&lt;&gt;")*$A86*100/100,0)),MASTER!$AH$4:$AH$1463,0))="",NA(),INDEX(MASTER!$G$4:$G$1463,MATCH("FUCT"&amp;"|"&amp;MAX(1,ROUND(COUNTIFS(MASTER!$B$4:$B$1463,"FUCT",MASTER!$G$4:$G$1463,"&lt;&gt;")*$A86*100/100,0)),MASTER!$AH$4:$AH$1463,0))),NA()),IF($B$4="SECONDARY",IFERROR(IF(INDEX(MASTER!$L$4:$L$1463,MATCH("FUCT"&amp;"|"&amp;MAX(1,ROUND(COUNTIFS(MASTER!$B$4:$B$1463,"FUCT",MASTER!$L$4:$L$1463,"&lt;&gt;")*$A86*100/100,0)),MASTER!$AI$4:$AI$1463,0))="",NA(),INDEX(MASTER!$L$4:$L$1463,MATCH("FUCT"&amp;"|"&amp;MAX(1,ROUND(COUNTIFS(MASTER!$B$4:$B$1463,"FUCT",MASTER!$L$4:$L$1463,"&lt;&gt;")*$A86*100/100,0)),MASTER!$AI$4:$AI$1463,0))),NA()))))</f>
        <v>5749</v>
      </c>
      <c r="C86" s="37">
        <f>IF($B$4="RESONANCE",IFERROR(IF(INDEX(MASTER!$I$4:$I$1463,MATCH("LEGENDS"&amp;"|"&amp;MAX(1,ROUND(COUNTIFS(MASTER!$B$4:$B$1463,"LEGENDS",MASTER!$I$4:$I$1463,"&lt;&gt;")*$A86*100/100,0)),MASTER!$Y$4:$Y$1463,0))="",NA(),INDEX(MASTER!$I$4:$I$1463,MATCH("LEGENDS"&amp;"|"&amp;MAX(1,ROUND(COUNTIFS(MASTER!$B$4:$B$1463,"LEGENDS",MASTER!$I$4:$I$1463,"&lt;&gt;")*$A86*100/100,0)),MASTER!$Y$4:$Y$1463,0))),NA()),IF($B$4="COMBAT RATING",IFERROR(IF(INDEX(MASTER!$G$4:$G$1463,MATCH("LEGENDS"&amp;"|"&amp;MAX(1,ROUND(COUNTIFS(MASTER!$B$4:$B$1463,"LEGENDS",MASTER!$G$4:$G$1463,"&lt;&gt;")*$A86*100/100,0)),MASTER!$AH$4:$AH$1463,0))="",NA(),INDEX(MASTER!$G$4:$G$1463,MATCH("LEGENDS"&amp;"|"&amp;MAX(1,ROUND(COUNTIFS(MASTER!$B$4:$B$1463,"LEGENDS",MASTER!$G$4:$G$1463,"&lt;&gt;")*$A86*100/100,0)),MASTER!$AH$4:$AH$1463,0))),NA()),IF($B$4="SECONDARY",IFERROR(IF(INDEX(MASTER!$L$4:$L$1463,MATCH("LEGENDS"&amp;"|"&amp;MAX(1,ROUND(COUNTIFS(MASTER!$B$4:$B$1463,"LEGENDS",MASTER!$L$4:$L$1463,"&lt;&gt;")*$A86*100/100,0)),MASTER!$AI$4:$AI$1463,0))="",NA(),INDEX(MASTER!$L$4:$L$1463,MATCH("LEGENDS"&amp;"|"&amp;MAX(1,ROUND(COUNTIFS(MASTER!$B$4:$B$1463,"LEGENDS",MASTER!$L$4:$L$1463,"&lt;&gt;")*$A86*100/100,0)),MASTER!$AI$4:$AI$1463,0))),NA()))))</f>
        <v>6026</v>
      </c>
      <c r="D86" s="37">
        <f>IF($B$4="RESONANCE",IFERROR(IF(INDEX(MASTER!$I$4:$I$1463,MATCH("VANGUARD"&amp;"|"&amp;MAX(1,ROUND(COUNTIFS(MASTER!$B$4:$B$1463,"VANGUARD",MASTER!$I$4:$I$1463,"&lt;&gt;")*$A86*100/100,0)),MASTER!$Y$4:$Y$1463,0))="",NA(),INDEX(MASTER!$I$4:$I$1463,MATCH("VANGUARD"&amp;"|"&amp;MAX(1,ROUND(COUNTIFS(MASTER!$B$4:$B$1463,"VANGUARD",MASTER!$I$4:$I$1463,"&lt;&gt;")*$A86*100/100,0)),MASTER!$Y$4:$Y$1463,0))),NA()),IF($B$4="COMBAT RATING",IFERROR(IF(INDEX(MASTER!$G$4:$G$1463,MATCH("VANGUARD"&amp;"|"&amp;MAX(1,ROUND(COUNTIFS(MASTER!$B$4:$B$1463,"VANGUARD",MASTER!$G$4:$G$1463,"&lt;&gt;")*$A86*100/100,0)),MASTER!$AH$4:$AH$1463,0))="",NA(),INDEX(MASTER!$G$4:$G$1463,MATCH("VANGUARD"&amp;"|"&amp;MAX(1,ROUND(COUNTIFS(MASTER!$B$4:$B$1463,"VANGUARD",MASTER!$G$4:$G$1463,"&lt;&gt;")*$A86*100/100,0)),MASTER!$AH$4:$AH$1463,0))),NA()),IF($B$4="SECONDARY",IFERROR(IF(INDEX(MASTER!$L$4:$L$1463,MATCH("VANGUARD"&amp;"|"&amp;MAX(1,ROUND(COUNTIFS(MASTER!$B$4:$B$1463,"VANGUARD",MASTER!$L$4:$L$1463,"&lt;&gt;")*$A86*100/100,0)),MASTER!$AI$4:$AI$1463,0))="",NA(),INDEX(MASTER!$L$4:$L$1463,MATCH("VANGUARD"&amp;"|"&amp;MAX(1,ROUND(COUNTIFS(MASTER!$B$4:$B$1463,"VANGUARD",MASTER!$L$4:$L$1463,"&lt;&gt;")*$A86*100/100,0)),MASTER!$AI$4:$AI$1463,0))),NA()))))</f>
        <v>8365</v>
      </c>
      <c r="E86" s="37">
        <f>IF($B$4="RESONANCE",IFERROR(IF(INDEX(MASTER!$I$4:$I$1463,MATCH("UNDYING"&amp;"|"&amp;MAX(1,ROUND(COUNTIFS(MASTER!$B$4:$B$1463,"UNDYING",MASTER!$I$4:$I$1463,"&lt;&gt;")*$A86*100/100,0)),MASTER!$Y$4:$Y$1463,0))="",NA(),INDEX(MASTER!$I$4:$I$1463,MATCH("UNDYING"&amp;"|"&amp;MAX(1,ROUND(COUNTIFS(MASTER!$B$4:$B$1463,"UNDYING",MASTER!$I$4:$I$1463,"&lt;&gt;")*$A86*100/100,0)),MASTER!$Y$4:$Y$1463,0))),NA()),IF($B$4="COMBAT RATING",IFERROR(IF(INDEX(MASTER!$G$4:$G$1463,MATCH("UNDYING"&amp;"|"&amp;MAX(1,ROUND(COUNTIFS(MASTER!$B$4:$B$1463,"UNDYING",MASTER!$G$4:$G$1463,"&lt;&gt;")*$A86*100/100,0)),MASTER!$AH$4:$AH$1463,0))="",NA(),INDEX(MASTER!$G$4:$G$1463,MATCH("UNDYING"&amp;"|"&amp;MAX(1,ROUND(COUNTIFS(MASTER!$B$4:$B$1463,"UNDYING",MASTER!$G$4:$G$1463,"&lt;&gt;")*$A86*100/100,0)),MASTER!$AH$4:$AH$1463,0))),NA()),IF($B$4="SECONDARY",IFERROR(IF(INDEX(MASTER!$L$4:$L$1463,MATCH("UNDYING"&amp;"|"&amp;MAX(1,ROUND(COUNTIFS(MASTER!$B$4:$B$1463,"UNDYING",MASTER!$L$4:$L$1463,"&lt;&gt;")*$A86*100/100,0)),MASTER!$AI$4:$AI$1463,0))="",NA(),INDEX(MASTER!$L$4:$L$1463,MATCH("UNDYING"&amp;"|"&amp;MAX(1,ROUND(COUNTIFS(MASTER!$B$4:$B$1463,"UNDYING",MASTER!$L$4:$L$1463,"&lt;&gt;")*$A86*100/100,0)),MASTER!$AI$4:$AI$1463,0))),NA()))))</f>
        <v>4763</v>
      </c>
      <c r="F86" s="37">
        <f>IF($B$4="RESONANCE",IFERROR(IF(INDEX(MASTER!$I$4:$I$1463,MATCH("SBG"&amp;"|"&amp;MAX(1,ROUND(COUNTIFS(MASTER!$B$4:$B$1463,"SBG",MASTER!$I$4:$I$1463,"&lt;&gt;")*$A86*100/100,0)),MASTER!$Y$4:$Y$1463,0))="",NA(),INDEX(MASTER!$I$4:$I$1463,MATCH("SBG"&amp;"|"&amp;MAX(1,ROUND(COUNTIFS(MASTER!$B$4:$B$1463,"SBG",MASTER!$I$4:$I$1463,"&lt;&gt;")*$A86*100/100,0)),MASTER!$Y$4:$Y$1463,0))),NA()),IF($B$4="COMBAT RATING",IFERROR(IF(INDEX(MASTER!$G$4:$G$1463,MATCH("SBG"&amp;"|"&amp;MAX(1,ROUND(COUNTIFS(MASTER!$B$4:$B$1463,"SBG",MASTER!$G$4:$G$1463,"&lt;&gt;")*$A86*100/100,0)),MASTER!$AH$4:$AH$1463,0))="",NA(),INDEX(MASTER!$G$4:$G$1463,MATCH("SBG"&amp;"|"&amp;MAX(1,ROUND(COUNTIFS(MASTER!$B$4:$B$1463,"SBG",MASTER!$G$4:$G$1463,"&lt;&gt;")*$A86*100/100,0)),MASTER!$AH$4:$AH$1463,0))),NA()),IF($B$4="SECONDARY",IFERROR(IF(INDEX(MASTER!$L$4:$L$1463,MATCH("SBG"&amp;"|"&amp;MAX(1,ROUND(COUNTIFS(MASTER!$B$4:$B$1463,"SBG",MASTER!$L$4:$L$1463,"&lt;&gt;")*$A86*100/100,0)),MASTER!$AI$4:$AI$1463,0))="",NA(),INDEX(MASTER!$L$4:$L$1463,MATCH("SBG"&amp;"|"&amp;MAX(1,ROUND(COUNTIFS(MASTER!$B$4:$B$1463,"SBG",MASTER!$L$4:$L$1463,"&lt;&gt;")*$A86*100/100,0)),MASTER!$AI$4:$AI$1463,0))),NA()))))</f>
        <v>7177</v>
      </c>
      <c r="G86" s="37">
        <f>IF($B$4="RESONANCE",IFERROR(IF(INDEX(MASTER!$I$4:$I$1463,MATCH("AZUKI"&amp;"|"&amp;MAX(1,ROUND(COUNTIFS(MASTER!$B$4:$B$1463,"AZUKI",MASTER!$I$4:$I$1463,"&lt;&gt;")*$A86*100/100,0)),MASTER!$Y$4:$Y$1463,0))="",NA(),INDEX(MASTER!$I$4:$I$1463,MATCH("AZUKI"&amp;"|"&amp;MAX(1,ROUND(COUNTIFS(MASTER!$B$4:$B$1463,"AZUKI",MASTER!$I$4:$I$1463,"&lt;&gt;")*$A86*100/100,0)),MASTER!$Y$4:$Y$1463,0))),NA()),IF($B$4="COMBAT RATING",IFERROR(IF(INDEX(MASTER!$G$4:$G$1463,MATCH("AZUKI"&amp;"|"&amp;MAX(1,ROUND(COUNTIFS(MASTER!$B$4:$B$1463,"AZUKI",MASTER!$G$4:$G$1463,"&lt;&gt;")*$A86*100/100,0)),MASTER!$AH$4:$AH$1463,0))="",NA(),INDEX(MASTER!$G$4:$G$1463,MATCH("AZUKI"&amp;"|"&amp;MAX(1,ROUND(COUNTIFS(MASTER!$B$4:$B$1463,"AZUKI",MASTER!$G$4:$G$1463,"&lt;&gt;")*$A86*100/100,0)),MASTER!$AH$4:$AH$1463,0))),NA()),IF($B$4="SECONDARY",IFERROR(IF(INDEX(MASTER!$L$4:$L$1463,MATCH("AZUKI"&amp;"|"&amp;MAX(1,ROUND(COUNTIFS(MASTER!$B$4:$B$1463,"AZUKI",MASTER!$L$4:$L$1463,"&lt;&gt;")*$A86*100/100,0)),MASTER!$AI$4:$AI$1463,0))="",NA(),INDEX(MASTER!$L$4:$L$1463,MATCH("AZUKI"&amp;"|"&amp;MAX(1,ROUND(COUNTIFS(MASTER!$B$4:$B$1463,"AZUKI",MASTER!$L$4:$L$1463,"&lt;&gt;")*$A86*100/100,0)),MASTER!$AI$4:$AI$1463,0))),NA()))))</f>
        <v>6820</v>
      </c>
      <c r="H86" s="37">
        <f>IF($B$4="RESONANCE",IFERROR(IF(INDEX(MASTER!$I$4:$I$1463,MATCH("RECKONING"&amp;"|"&amp;MAX(1,ROUND(COUNTIFS(MASTER!$B$4:$B$1463,"RECKONING",MASTER!$I$4:$I$1463,"&lt;&gt;")*$A86*100/100,0)),MASTER!$Y$4:$Y$1463,0))="",NA(),INDEX(MASTER!$I$4:$I$1463,MATCH("RECKONING"&amp;"|"&amp;MAX(1,ROUND(COUNTIFS(MASTER!$B$4:$B$1463,"RECKONING",MASTER!$I$4:$I$1463,"&lt;&gt;")*$A86*100/100,0)),MASTER!$Y$4:$Y$1463,0))),NA()),IF($B$4="COMBAT RATING",IFERROR(IF(INDEX(MASTER!$G$4:$G$1463,MATCH("RECKONING"&amp;"|"&amp;MAX(1,ROUND(COUNTIFS(MASTER!$B$4:$B$1463,"RECKONING",MASTER!$G$4:$G$1463,"&lt;&gt;")*$A86*100/100,0)),MASTER!$AH$4:$AH$1463,0))="",NA(),INDEX(MASTER!$G$4:$G$1463,MATCH("RECKONING"&amp;"|"&amp;MAX(1,ROUND(COUNTIFS(MASTER!$B$4:$B$1463,"RECKONING",MASTER!$G$4:$G$1463,"&lt;&gt;")*$A86*100/100,0)),MASTER!$AH$4:$AH$1463,0))),NA()),IF($B$4="SECONDARY",IFERROR(IF(INDEX(MASTER!$L$4:$L$1463,MATCH("RECKONING"&amp;"|"&amp;MAX(1,ROUND(COUNTIFS(MASTER!$B$4:$B$1463,"RECKONING",MASTER!$L$4:$L$1463,"&lt;&gt;")*$A86*100/100,0)),MASTER!$AI$4:$AI$1463,0))="",NA(),INDEX(MASTER!$L$4:$L$1463,MATCH("RECKONING"&amp;"|"&amp;MAX(1,ROUND(COUNTIFS(MASTER!$B$4:$B$1463,"RECKONING",MASTER!$L$4:$L$1463,"&lt;&gt;")*$A86*100/100,0)),MASTER!$AI$4:$AI$1463,0))),NA()))))</f>
        <v>6200</v>
      </c>
      <c r="I86" s="37">
        <f>IF($B$4="RESONANCE",IFERROR(IF(INDEX(MASTER!$I$4:$I$1463,MATCH("ACHERON"&amp;"|"&amp;MAX(1,ROUND(COUNTIFS(MASTER!$B$4:$B$1463,"ACHERON",MASTER!$I$4:$I$1463,"&lt;&gt;")*$A86*100/100,0)),MASTER!$Y$4:$Y$1463,0))="",NA(),INDEX(MASTER!$I$4:$I$1463,MATCH("ACHERON"&amp;"|"&amp;MAX(1,ROUND(COUNTIFS(MASTER!$B$4:$B$1463,"ACHERON",MASTER!$I$4:$I$1463,"&lt;&gt;")*$A86*100/100,0)),MASTER!$Y$4:$Y$1463,0))),NA()),IF($B$4="COMBAT RATING",IFERROR(IF(INDEX(MASTER!$G$4:$G$1463,MATCH("ACHERON"&amp;"|"&amp;MAX(1,ROUND(COUNTIFS(MASTER!$B$4:$B$1463,"ACHERON",MASTER!$G$4:$G$1463,"&lt;&gt;")*$A86*100/100,0)),MASTER!$AH$4:$AH$1463,0))="",NA(),INDEX(MASTER!$G$4:$G$1463,MATCH("ACHERON"&amp;"|"&amp;MAX(1,ROUND(COUNTIFS(MASTER!$B$4:$B$1463,"ACHERON",MASTER!$G$4:$G$1463,"&lt;&gt;")*$A86*100/100,0)),MASTER!$AH$4:$AH$1463,0))),NA()),IF($B$4="SECONDARY",IFERROR(IF(INDEX(MASTER!$L$4:$L$1463,MATCH("ACHERON"&amp;"|"&amp;MAX(1,ROUND(COUNTIFS(MASTER!$B$4:$B$1463,"ACHERON",MASTER!$L$4:$L$1463,"&lt;&gt;")*$A86*100/100,0)),MASTER!$AI$4:$AI$1463,0))="",NA(),INDEX(MASTER!$L$4:$L$1463,MATCH("ACHERON"&amp;"|"&amp;MAX(1,ROUND(COUNTIFS(MASTER!$B$4:$B$1463,"ACHERON",MASTER!$L$4:$L$1463,"&lt;&gt;")*$A86*100/100,0)),MASTER!$AI$4:$AI$1463,0))),NA()))))</f>
        <v>4883</v>
      </c>
      <c r="J86" s="37">
        <f>IF($B$4="RESONANCE",IFERROR(IF(INDEX(MASTER!$I$4:$I$1463,MATCH("INVICTUS"&amp;"|"&amp;MAX(1,ROUND(COUNTIFS(MASTER!$B$4:$B$1463,"INVICTUS",MASTER!$I$4:$I$1463,"&lt;&gt;")*$A86*100/100,0)),MASTER!$Y$4:$Y$1463,0))="",NA(),INDEX(MASTER!$I$4:$I$1463,MATCH("INVICTUS"&amp;"|"&amp;MAX(1,ROUND(COUNTIFS(MASTER!$B$4:$B$1463,"INVICTUS",MASTER!$I$4:$I$1463,"&lt;&gt;")*$A86*100/100,0)),MASTER!$Y$4:$Y$1463,0))),NA()),IF($B$4="COMBAT RATING",IFERROR(IF(INDEX(MASTER!$G$4:$G$1463,MATCH("INVICTUS"&amp;"|"&amp;MAX(1,ROUND(COUNTIFS(MASTER!$B$4:$B$1463,"INVICTUS",MASTER!$G$4:$G$1463,"&lt;&gt;")*$A86*100/100,0)),MASTER!$AH$4:$AH$1463,0))="",NA(),INDEX(MASTER!$G$4:$G$1463,MATCH("INVICTUS"&amp;"|"&amp;MAX(1,ROUND(COUNTIFS(MASTER!$B$4:$B$1463,"INVICTUS",MASTER!$G$4:$G$1463,"&lt;&gt;")*$A86*100/100,0)),MASTER!$AH$4:$AH$1463,0))),NA()),IF($B$4="SECONDARY",IFERROR(IF(INDEX(MASTER!$L$4:$L$1463,MATCH("INVICTUS"&amp;"|"&amp;MAX(1,ROUND(COUNTIFS(MASTER!$B$4:$B$1463,"INVICTUS",MASTER!$L$4:$L$1463,"&lt;&gt;")*$A86*100/100,0)),MASTER!$AI$4:$AI$1463,0))="",NA(),INDEX(MASTER!$L$4:$L$1463,MATCH("INVICTUS"&amp;"|"&amp;MAX(1,ROUND(COUNTIFS(MASTER!$B$4:$B$1463,"INVICTUS",MASTER!$L$4:$L$1463,"&lt;&gt;")*$A86*100/100,0)),MASTER!$AI$4:$AI$1463,0))),NA()))))</f>
        <v>3704</v>
      </c>
      <c r="K86" s="37">
        <f>IF($B$4="RESONANCE",IFERROR(IF(INDEX(MASTER!$I$4:$I$1463,MATCH("EMERALD LEAF TRIBE"&amp;"|"&amp;MAX(1,ROUND(COUNTIFS(MASTER!$B$4:$B$1463,"EMERALD LEAF TRIBE",MASTER!$I$4:$I$1463,"&lt;&gt;")*$A86*100/100,0)),MASTER!$Y$4:$Y$1463,0))="",NA(),INDEX(MASTER!$I$4:$I$1463,MATCH("EMERALD LEAF TRIBE"&amp;"|"&amp;MAX(1,ROUND(COUNTIFS(MASTER!$B$4:$B$1463,"EMERALD LEAF TRIBE",MASTER!$I$4:$I$1463,"&lt;&gt;")*$A86*100/100,0)),MASTER!$Y$4:$Y$1463,0))),NA()),IF($B$4="COMBAT RATING",IFERROR(IF(INDEX(MASTER!$G$4:$G$1463,MATCH("EMERALD LEAF TRIBE"&amp;"|"&amp;MAX(1,ROUND(COUNTIFS(MASTER!$B$4:$B$1463,"EMERALD LEAF TRIBE",MASTER!$G$4:$G$1463,"&lt;&gt;")*$A86*100/100,0)),MASTER!$AH$4:$AH$1463,0))="",NA(),INDEX(MASTER!$G$4:$G$1463,MATCH("EMERALD LEAF TRIBE"&amp;"|"&amp;MAX(1,ROUND(COUNTIFS(MASTER!$B$4:$B$1463,"EMERALD LEAF TRIBE",MASTER!$G$4:$G$1463,"&lt;&gt;")*$A86*100/100,0)),MASTER!$AH$4:$AH$1463,0))),NA()),IF($B$4="SECONDARY",IFERROR(IF(INDEX(MASTER!$L$4:$L$1463,MATCH("EMERALD LEAF TRIBE"&amp;"|"&amp;MAX(1,ROUND(COUNTIFS(MASTER!$B$4:$B$1463,"EMERALD LEAF TRIBE",MASTER!$L$4:$L$1463,"&lt;&gt;")*$A86*100/100,0)),MASTER!$AI$4:$AI$1463,0))="",NA(),INDEX(MASTER!$L$4:$L$1463,MATCH("EMERALD LEAF TRIBE"&amp;"|"&amp;MAX(1,ROUND(COUNTIFS(MASTER!$B$4:$B$1463,"EMERALD LEAF TRIBE",MASTER!$L$4:$L$1463,"&lt;&gt;")*$A86*100/100,0)),MASTER!$AI$4:$AI$1463,0))),NA()))))</f>
        <v>2766</v>
      </c>
      <c r="L86" s="37">
        <f>IF($B$4="RESONANCE",IFERROR(IF(INDEX(MASTER!$I$4:$I$1463,MATCH("SUB ROSA"&amp;"|"&amp;MAX(1,ROUND(COUNTIFS(MASTER!$B$4:$B$1463,"SUB ROSA",MASTER!$I$4:$I$1463,"&lt;&gt;")*$A86*100/100,0)),MASTER!$Y$4:$Y$1463,0))="",NA(),INDEX(MASTER!$I$4:$I$1463,MATCH("SUB ROSA"&amp;"|"&amp;MAX(1,ROUND(COUNTIFS(MASTER!$B$4:$B$1463,"SUB ROSA",MASTER!$I$4:$I$1463,"&lt;&gt;")*$A86*100/100,0)),MASTER!$Y$4:$Y$1463,0))),NA()),IF($B$4="COMBAT RATING",IFERROR(IF(INDEX(MASTER!$G$4:$G$1463,MATCH("SUB ROSA"&amp;"|"&amp;MAX(1,ROUND(COUNTIFS(MASTER!$B$4:$B$1463,"SUB ROSA",MASTER!$G$4:$G$1463,"&lt;&gt;")*$A86*100/100,0)),MASTER!$AH$4:$AH$1463,0))="",NA(),INDEX(MASTER!$G$4:$G$1463,MATCH("SUB ROSA"&amp;"|"&amp;MAX(1,ROUND(COUNTIFS(MASTER!$B$4:$B$1463,"SUB ROSA",MASTER!$G$4:$G$1463,"&lt;&gt;")*$A86*100/100,0)),MASTER!$AH$4:$AH$1463,0))),NA()),IF($B$4="SECONDARY",IFERROR(IF(INDEX(MASTER!$L$4:$L$1463,MATCH("SUB ROSA"&amp;"|"&amp;MAX(1,ROUND(COUNTIFS(MASTER!$B$4:$B$1463,"SUB ROSA",MASTER!$L$4:$L$1463,"&lt;&gt;")*$A86*100/100,0)),MASTER!$AI$4:$AI$1463,0))="",NA(),INDEX(MASTER!$L$4:$L$1463,MATCH("SUB ROSA"&amp;"|"&amp;MAX(1,ROUND(COUNTIFS(MASTER!$B$4:$B$1463,"SUB ROSA",MASTER!$L$4:$L$1463,"&lt;&gt;")*$A86*100/100,0)),MASTER!$AI$4:$AI$1463,0))),NA()))))</f>
        <v>3397</v>
      </c>
      <c r="M86" s="37">
        <f>IF($B$4="RESONANCE",IFERROR(IF(INDEX(MASTER!$I$4:$I$1463,MATCH("VENGEANCE"&amp;"|"&amp;MAX(1,ROUND(COUNTIFS(MASTER!$B$4:$B$1463,"VENGEANCE",MASTER!$I$4:$I$1463,"&lt;&gt;")*$A86*100/100,0)),MASTER!$Y$4:$Y$1463,0))="",NA(),INDEX(MASTER!$I$4:$I$1463,MATCH("VENGEANCE"&amp;"|"&amp;MAX(1,ROUND(COUNTIFS(MASTER!$B$4:$B$1463,"VENGEANCE",MASTER!$I$4:$I$1463,"&lt;&gt;")*$A86*100/100,0)),MASTER!$Y$4:$Y$1463,0))),NA()),IF($B$4="COMBAT RATING",IFERROR(IF(INDEX(MASTER!$G$4:$G$1463,MATCH("VENGEANCE"&amp;"|"&amp;MAX(1,ROUND(COUNTIFS(MASTER!$B$4:$B$1463,"VENGEANCE",MASTER!$G$4:$G$1463,"&lt;&gt;")*$A86*100/100,0)),MASTER!$AH$4:$AH$1463,0))="",NA(),INDEX(MASTER!$G$4:$G$1463,MATCH("VENGEANCE"&amp;"|"&amp;MAX(1,ROUND(COUNTIFS(MASTER!$B$4:$B$1463,"VENGEANCE",MASTER!$G$4:$G$1463,"&lt;&gt;")*$A86*100/100,0)),MASTER!$AH$4:$AH$1463,0))),NA()),IF($B$4="SECONDARY",IFERROR(IF(INDEX(MASTER!$L$4:$L$1463,MATCH("VENGEANCE"&amp;"|"&amp;MAX(1,ROUND(COUNTIFS(MASTER!$B$4:$B$1463,"VENGEANCE",MASTER!$L$4:$L$1463,"&lt;&gt;")*$A86*100/100,0)),MASTER!$AI$4:$AI$1463,0))="",NA(),INDEX(MASTER!$L$4:$L$1463,MATCH("VENGEANCE"&amp;"|"&amp;MAX(1,ROUND(COUNTIFS(MASTER!$B$4:$B$1463,"VENGEANCE",MASTER!$L$4:$L$1463,"&lt;&gt;")*$A86*100/100,0)),MASTER!$AI$4:$AI$1463,0))),NA()))))</f>
        <v>4164</v>
      </c>
      <c r="N86" s="37">
        <f>IF($B$4="RESONANCE",IFERROR(IF(INDEX(MASTER!$I$4:$I$1463,MATCH("VENDETTA"&amp;"|"&amp;MAX(1,ROUND(COUNTIFS(MASTER!$B$4:$B$1463,"VENDETTA",MASTER!$I$4:$I$1463,"&lt;&gt;")*$A86*100/100,0)),MASTER!$Y$4:$Y$1463,0))="",NA(),INDEX(MASTER!$I$4:$I$1463,MATCH("VENDETTA"&amp;"|"&amp;MAX(1,ROUND(COUNTIFS(MASTER!$B$4:$B$1463,"VENDETTA",MASTER!$I$4:$I$1463,"&lt;&gt;")*$A86*100/100,0)),MASTER!$Y$4:$Y$1463,0))),NA()),IF($B$4="COMBAT RATING",IFERROR(IF(INDEX(MASTER!$G$4:$G$1463,MATCH("VENDETTA"&amp;"|"&amp;MAX(1,ROUND(COUNTIFS(MASTER!$B$4:$B$1463,"VENDETTA",MASTER!$G$4:$G$1463,"&lt;&gt;")*$A86*100/100,0)),MASTER!$AH$4:$AH$1463,0))="",NA(),INDEX(MASTER!$G$4:$G$1463,MATCH("VENDETTA"&amp;"|"&amp;MAX(1,ROUND(COUNTIFS(MASTER!$B$4:$B$1463,"VENDETTA",MASTER!$G$4:$G$1463,"&lt;&gt;")*$A86*100/100,0)),MASTER!$AH$4:$AH$1463,0))),NA()),IF($B$4="SECONDARY",IFERROR(IF(INDEX(MASTER!$L$4:$L$1463,MATCH("VENDETTA"&amp;"|"&amp;MAX(1,ROUND(COUNTIFS(MASTER!$B$4:$B$1463,"VENDETTA",MASTER!$L$4:$L$1463,"&lt;&gt;")*$A86*100/100,0)),MASTER!$AI$4:$AI$1463,0))="",NA(),INDEX(MASTER!$L$4:$L$1463,MATCH("VENDETTA"&amp;"|"&amp;MAX(1,ROUND(COUNTIFS(MASTER!$B$4:$B$1463,"VENDETTA",MASTER!$L$4:$L$1463,"&lt;&gt;")*$A86*100/100,0)),MASTER!$AI$4:$AI$1463,0))),NA()))))</f>
        <v>2618</v>
      </c>
      <c r="O86" s="37">
        <f>IF($B$4="RESONANCE",IFERROR(IF(INDEX(MASTER!$I$4:$I$1463,MATCH("ZOMBIES"&amp;"|"&amp;MAX(1,ROUND(COUNTIFS(MASTER!$B$4:$B$1463,"ZOMBIES",MASTER!$I$4:$I$1463,"&lt;&gt;")*$A86*100/100,0)),MASTER!$Y$4:$Y$1463,0))="",NA(),INDEX(MASTER!$I$4:$I$1463,MATCH("ZOMBIES"&amp;"|"&amp;MAX(1,ROUND(COUNTIFS(MASTER!$B$4:$B$1463,"ZOMBIES",MASTER!$I$4:$I$1463,"&lt;&gt;")*$A86*100/100,0)),MASTER!$Y$4:$Y$1463,0))),NA()),IF($B$4="COMBAT RATING",IFERROR(IF(INDEX(MASTER!$G$4:$G$1463,MATCH("ZOMBIES"&amp;"|"&amp;MAX(1,ROUND(COUNTIFS(MASTER!$B$4:$B$1463,"ZOMBIES",MASTER!$G$4:$G$1463,"&lt;&gt;")*$A86*100/100,0)),MASTER!$AH$4:$AH$1463,0))="",NA(),INDEX(MASTER!$G$4:$G$1463,MATCH("ZOMBIES"&amp;"|"&amp;MAX(1,ROUND(COUNTIFS(MASTER!$B$4:$B$1463,"ZOMBIES",MASTER!$G$4:$G$1463,"&lt;&gt;")*$A86*100/100,0)),MASTER!$AH$4:$AH$1463,0))),NA()),IF($B$4="SECONDARY",IFERROR(IF(INDEX(MASTER!$L$4:$L$1463,MATCH("ZOMBIES"&amp;"|"&amp;MAX(1,ROUND(COUNTIFS(MASTER!$B$4:$B$1463,"ZOMBIES",MASTER!$L$4:$L$1463,"&lt;&gt;")*$A86*100/100,0)),MASTER!$AI$4:$AI$1463,0))="",NA(),INDEX(MASTER!$L$4:$L$1463,MATCH("ZOMBIES"&amp;"|"&amp;MAX(1,ROUND(COUNTIFS(MASTER!$B$4:$B$1463,"ZOMBIES",MASTER!$L$4:$L$1463,"&lt;&gt;")*$A86*100/100,0)),MASTER!$AI$4:$AI$1463,0))),NA()))))</f>
        <v>2384</v>
      </c>
      <c r="P86" s="37">
        <f>IF($B$4="RESONANCE",IFERROR(IF(INDEX(MASTER!$I$4:$I$1463,MATCH("FUCT"&amp;"|"&amp;MAX(1,ROUND(COUNTIFS(MASTER!$B$4:$B$1463,"FUCT",MASTER!$I$4:$I$1463,"&lt;&gt;")*$A86*100/100,0)),MASTER!$Y$4:$Y$1463,0))="",NA(),INDEX(MASTER!$I$4:$I$1463,MATCH("FUCT"&amp;"|"&amp;MAX(1,ROUND(COUNTIFS(MASTER!$B$4:$B$1463,"FUCT",MASTER!$I$4:$I$1463,"&lt;&gt;")*$A86*100/100,0)),MASTER!$Y$4:$Y$1463,0))),NA()),IF($B$4="COMBAT RATING",IFERROR(IF(INDEX(MASTER!$G$4:$G$1463,MATCH("FUCT"&amp;"|"&amp;MAX(1,ROUND(COUNTIFS(MASTER!$B$4:$B$1463,"FUCT",MASTER!$G$4:$G$1463,"&lt;&gt;")*$A86*100/100,0)),MASTER!$AH$4:$AH$1463,0))="",NA(),INDEX(MASTER!$G$4:$G$1463,MATCH("FUCT"&amp;"|"&amp;MAX(1,ROUND(COUNTIFS(MASTER!$B$4:$B$1463,"FUCT",MASTER!$G$4:$G$1463,"&lt;&gt;")*$A86*100/100,0)),MASTER!$AH$4:$AH$1463,0))),NA()),IF($B$4="SECONDARY",IFERROR(IF(INDEX(MASTER!$L$4:$L$1463,MATCH("FUCT"&amp;"|"&amp;MAX(1,ROUND(COUNTIFS(MASTER!$B$4:$B$1463,"FUCT",MASTER!$L$4:$L$1463,"&lt;&gt;")*$A86*100/100,0)),MASTER!$AI$4:$AI$1463,0))="",NA(),INDEX(MASTER!$L$4:$L$1463,MATCH("FUCT"&amp;"|"&amp;MAX(1,ROUND(COUNTIFS(MASTER!$B$4:$B$1463,"FUCT",MASTER!$L$4:$L$1463,"&lt;&gt;")*$A86*100/100,0)),MASTER!$AI$4:$AI$1463,0))),NA()))))</f>
        <v>5749</v>
      </c>
      <c r="Q86" s="37">
        <f>IF($B$4="RESONANCE",IFERROR(IF(INDEX(MASTER!$I$4:$I$1463,MATCH($E$4&amp;"|"&amp;MAX(1,ROUND(COUNTIFS(MASTER!$B$4:$B$1463,$E$4,MASTER!$I$4:$I$1463,"&lt;&gt;")*$A86*100/100,0)),MASTER!$Y$4:$Y$1463,0))="",NA(),INDEX(MASTER!$I$4:$I$1463,MATCH($E$4&amp;"|"&amp;MAX(1,ROUND(COUNTIFS(MASTER!$B$4:$B$1463,$E$4,MASTER!$I$4:$I$1463,"&lt;&gt;")*$A86*100/100,0)),MASTER!$Y$4:$Y$1463,0))),NA()),IF($B$4="COMBAT RATING",IFERROR(IF(INDEX(MASTER!$G$4:$G$1463,MATCH($E$4&amp;"|"&amp;MAX(1,ROUND(COUNTIFS(MASTER!$B$4:$B$1463,$E$4,MASTER!$G$4:$G$1463,"&lt;&gt;")*$A86*100/100,0)),MASTER!$AH$4:$AH$1463,0))="",NA(),INDEX(MASTER!$G$4:$G$1463,MATCH($E$4&amp;"|"&amp;MAX(1,ROUND(COUNTIFS(MASTER!$B$4:$B$1463,$E$4,MASTER!$G$4:$G$1463,"&lt;&gt;")*$A86*100/100,0)),MASTER!$AH$4:$AH$1463,0))),NA()),IF($B$4="SECONDARY",IFERROR(IF(INDEX(MASTER!$L$4:$L$1463,MATCH($E$4&amp;"|"&amp;MAX(1,ROUND(COUNTIFS(MASTER!$B$4:$B$1463,$E$4,MASTER!$L$4:$L$1463,"&lt;&gt;")*$A86*100/100,0)),MASTER!$AI$4:$AI$1463,0))="",NA(),INDEX(MASTER!$L$4:$L$1463,MATCH($E$4&amp;"|"&amp;MAX(1,ROUND(COUNTIFS(MASTER!$B$4:$B$1463,$E$4,MASTER!$L$4:$L$1463,"&lt;&gt;")*$A86*100/100,0)),MASTER!$AI$4:$AI$1463,0))),NA()))))</f>
        <v>4763</v>
      </c>
    </row>
    <row r="87" spans="1:17" hidden="1">
      <c r="A87" s="36">
        <v>0.32</v>
      </c>
      <c r="B87" s="37">
        <f>IF($B$4="RESONANCE",IFERROR(IF(INDEX(MASTER!$I$4:$I$1463,MATCH("FUCT"&amp;"|"&amp;MAX(1,ROUND(COUNTIFS(MASTER!$B$4:$B$1463,"FUCT",MASTER!$I$4:$I$1463,"&lt;&gt;")*$A87*100/100,0)),MASTER!$Y$4:$Y$1463,0))="",NA(),INDEX(MASTER!$I$4:$I$1463,MATCH("FUCT"&amp;"|"&amp;MAX(1,ROUND(COUNTIFS(MASTER!$B$4:$B$1463,"FUCT",MASTER!$I$4:$I$1463,"&lt;&gt;")*$A87*100/100,0)),MASTER!$Y$4:$Y$1463,0))),NA()),IF($B$4="COMBAT RATING",IFERROR(IF(INDEX(MASTER!$G$4:$G$1463,MATCH("FUCT"&amp;"|"&amp;MAX(1,ROUND(COUNTIFS(MASTER!$B$4:$B$1463,"FUCT",MASTER!$G$4:$G$1463,"&lt;&gt;")*$A87*100/100,0)),MASTER!$AH$4:$AH$1463,0))="",NA(),INDEX(MASTER!$G$4:$G$1463,MATCH("FUCT"&amp;"|"&amp;MAX(1,ROUND(COUNTIFS(MASTER!$B$4:$B$1463,"FUCT",MASTER!$G$4:$G$1463,"&lt;&gt;")*$A87*100/100,0)),MASTER!$AH$4:$AH$1463,0))),NA()),IF($B$4="SECONDARY",IFERROR(IF(INDEX(MASTER!$L$4:$L$1463,MATCH("FUCT"&amp;"|"&amp;MAX(1,ROUND(COUNTIFS(MASTER!$B$4:$B$1463,"FUCT",MASTER!$L$4:$L$1463,"&lt;&gt;")*$A87*100/100,0)),MASTER!$AI$4:$AI$1463,0))="",NA(),INDEX(MASTER!$L$4:$L$1463,MATCH("FUCT"&amp;"|"&amp;MAX(1,ROUND(COUNTIFS(MASTER!$B$4:$B$1463,"FUCT",MASTER!$L$4:$L$1463,"&lt;&gt;")*$A87*100/100,0)),MASTER!$AI$4:$AI$1463,0))),NA()))))</f>
        <v>5680</v>
      </c>
      <c r="C87" s="37">
        <f>IF($B$4="RESONANCE",IFERROR(IF(INDEX(MASTER!$I$4:$I$1463,MATCH("LEGENDS"&amp;"|"&amp;MAX(1,ROUND(COUNTIFS(MASTER!$B$4:$B$1463,"LEGENDS",MASTER!$I$4:$I$1463,"&lt;&gt;")*$A87*100/100,0)),MASTER!$Y$4:$Y$1463,0))="",NA(),INDEX(MASTER!$I$4:$I$1463,MATCH("LEGENDS"&amp;"|"&amp;MAX(1,ROUND(COUNTIFS(MASTER!$B$4:$B$1463,"LEGENDS",MASTER!$I$4:$I$1463,"&lt;&gt;")*$A87*100/100,0)),MASTER!$Y$4:$Y$1463,0))),NA()),IF($B$4="COMBAT RATING",IFERROR(IF(INDEX(MASTER!$G$4:$G$1463,MATCH("LEGENDS"&amp;"|"&amp;MAX(1,ROUND(COUNTIFS(MASTER!$B$4:$B$1463,"LEGENDS",MASTER!$G$4:$G$1463,"&lt;&gt;")*$A87*100/100,0)),MASTER!$AH$4:$AH$1463,0))="",NA(),INDEX(MASTER!$G$4:$G$1463,MATCH("LEGENDS"&amp;"|"&amp;MAX(1,ROUND(COUNTIFS(MASTER!$B$4:$B$1463,"LEGENDS",MASTER!$G$4:$G$1463,"&lt;&gt;")*$A87*100/100,0)),MASTER!$AH$4:$AH$1463,0))),NA()),IF($B$4="SECONDARY",IFERROR(IF(INDEX(MASTER!$L$4:$L$1463,MATCH("LEGENDS"&amp;"|"&amp;MAX(1,ROUND(COUNTIFS(MASTER!$B$4:$B$1463,"LEGENDS",MASTER!$L$4:$L$1463,"&lt;&gt;")*$A87*100/100,0)),MASTER!$AI$4:$AI$1463,0))="",NA(),INDEX(MASTER!$L$4:$L$1463,MATCH("LEGENDS"&amp;"|"&amp;MAX(1,ROUND(COUNTIFS(MASTER!$B$4:$B$1463,"LEGENDS",MASTER!$L$4:$L$1463,"&lt;&gt;")*$A87*100/100,0)),MASTER!$AI$4:$AI$1463,0))),NA()))))</f>
        <v>5933</v>
      </c>
      <c r="D87" s="37">
        <f>IF($B$4="RESONANCE",IFERROR(IF(INDEX(MASTER!$I$4:$I$1463,MATCH("VANGUARD"&amp;"|"&amp;MAX(1,ROUND(COUNTIFS(MASTER!$B$4:$B$1463,"VANGUARD",MASTER!$I$4:$I$1463,"&lt;&gt;")*$A87*100/100,0)),MASTER!$Y$4:$Y$1463,0))="",NA(),INDEX(MASTER!$I$4:$I$1463,MATCH("VANGUARD"&amp;"|"&amp;MAX(1,ROUND(COUNTIFS(MASTER!$B$4:$B$1463,"VANGUARD",MASTER!$I$4:$I$1463,"&lt;&gt;")*$A87*100/100,0)),MASTER!$Y$4:$Y$1463,0))),NA()),IF($B$4="COMBAT RATING",IFERROR(IF(INDEX(MASTER!$G$4:$G$1463,MATCH("VANGUARD"&amp;"|"&amp;MAX(1,ROUND(COUNTIFS(MASTER!$B$4:$B$1463,"VANGUARD",MASTER!$G$4:$G$1463,"&lt;&gt;")*$A87*100/100,0)),MASTER!$AH$4:$AH$1463,0))="",NA(),INDEX(MASTER!$G$4:$G$1463,MATCH("VANGUARD"&amp;"|"&amp;MAX(1,ROUND(COUNTIFS(MASTER!$B$4:$B$1463,"VANGUARD",MASTER!$G$4:$G$1463,"&lt;&gt;")*$A87*100/100,0)),MASTER!$AH$4:$AH$1463,0))),NA()),IF($B$4="SECONDARY",IFERROR(IF(INDEX(MASTER!$L$4:$L$1463,MATCH("VANGUARD"&amp;"|"&amp;MAX(1,ROUND(COUNTIFS(MASTER!$B$4:$B$1463,"VANGUARD",MASTER!$L$4:$L$1463,"&lt;&gt;")*$A87*100/100,0)),MASTER!$AI$4:$AI$1463,0))="",NA(),INDEX(MASTER!$L$4:$L$1463,MATCH("VANGUARD"&amp;"|"&amp;MAX(1,ROUND(COUNTIFS(MASTER!$B$4:$B$1463,"VANGUARD",MASTER!$L$4:$L$1463,"&lt;&gt;")*$A87*100/100,0)),MASTER!$AI$4:$AI$1463,0))),NA()))))</f>
        <v>8353</v>
      </c>
      <c r="E87" s="37">
        <f>IF($B$4="RESONANCE",IFERROR(IF(INDEX(MASTER!$I$4:$I$1463,MATCH("UNDYING"&amp;"|"&amp;MAX(1,ROUND(COUNTIFS(MASTER!$B$4:$B$1463,"UNDYING",MASTER!$I$4:$I$1463,"&lt;&gt;")*$A87*100/100,0)),MASTER!$Y$4:$Y$1463,0))="",NA(),INDEX(MASTER!$I$4:$I$1463,MATCH("UNDYING"&amp;"|"&amp;MAX(1,ROUND(COUNTIFS(MASTER!$B$4:$B$1463,"UNDYING",MASTER!$I$4:$I$1463,"&lt;&gt;")*$A87*100/100,0)),MASTER!$Y$4:$Y$1463,0))),NA()),IF($B$4="COMBAT RATING",IFERROR(IF(INDEX(MASTER!$G$4:$G$1463,MATCH("UNDYING"&amp;"|"&amp;MAX(1,ROUND(COUNTIFS(MASTER!$B$4:$B$1463,"UNDYING",MASTER!$G$4:$G$1463,"&lt;&gt;")*$A87*100/100,0)),MASTER!$AH$4:$AH$1463,0))="",NA(),INDEX(MASTER!$G$4:$G$1463,MATCH("UNDYING"&amp;"|"&amp;MAX(1,ROUND(COUNTIFS(MASTER!$B$4:$B$1463,"UNDYING",MASTER!$G$4:$G$1463,"&lt;&gt;")*$A87*100/100,0)),MASTER!$AH$4:$AH$1463,0))),NA()),IF($B$4="SECONDARY",IFERROR(IF(INDEX(MASTER!$L$4:$L$1463,MATCH("UNDYING"&amp;"|"&amp;MAX(1,ROUND(COUNTIFS(MASTER!$B$4:$B$1463,"UNDYING",MASTER!$L$4:$L$1463,"&lt;&gt;")*$A87*100/100,0)),MASTER!$AI$4:$AI$1463,0))="",NA(),INDEX(MASTER!$L$4:$L$1463,MATCH("UNDYING"&amp;"|"&amp;MAX(1,ROUND(COUNTIFS(MASTER!$B$4:$B$1463,"UNDYING",MASTER!$L$4:$L$1463,"&lt;&gt;")*$A87*100/100,0)),MASTER!$AI$4:$AI$1463,0))),NA()))))</f>
        <v>4680</v>
      </c>
      <c r="F87" s="37">
        <f>IF($B$4="RESONANCE",IFERROR(IF(INDEX(MASTER!$I$4:$I$1463,MATCH("SBG"&amp;"|"&amp;MAX(1,ROUND(COUNTIFS(MASTER!$B$4:$B$1463,"SBG",MASTER!$I$4:$I$1463,"&lt;&gt;")*$A87*100/100,0)),MASTER!$Y$4:$Y$1463,0))="",NA(),INDEX(MASTER!$I$4:$I$1463,MATCH("SBG"&amp;"|"&amp;MAX(1,ROUND(COUNTIFS(MASTER!$B$4:$B$1463,"SBG",MASTER!$I$4:$I$1463,"&lt;&gt;")*$A87*100/100,0)),MASTER!$Y$4:$Y$1463,0))),NA()),IF($B$4="COMBAT RATING",IFERROR(IF(INDEX(MASTER!$G$4:$G$1463,MATCH("SBG"&amp;"|"&amp;MAX(1,ROUND(COUNTIFS(MASTER!$B$4:$B$1463,"SBG",MASTER!$G$4:$G$1463,"&lt;&gt;")*$A87*100/100,0)),MASTER!$AH$4:$AH$1463,0))="",NA(),INDEX(MASTER!$G$4:$G$1463,MATCH("SBG"&amp;"|"&amp;MAX(1,ROUND(COUNTIFS(MASTER!$B$4:$B$1463,"SBG",MASTER!$G$4:$G$1463,"&lt;&gt;")*$A87*100/100,0)),MASTER!$AH$4:$AH$1463,0))),NA()),IF($B$4="SECONDARY",IFERROR(IF(INDEX(MASTER!$L$4:$L$1463,MATCH("SBG"&amp;"|"&amp;MAX(1,ROUND(COUNTIFS(MASTER!$B$4:$B$1463,"SBG",MASTER!$L$4:$L$1463,"&lt;&gt;")*$A87*100/100,0)),MASTER!$AI$4:$AI$1463,0))="",NA(),INDEX(MASTER!$L$4:$L$1463,MATCH("SBG"&amp;"|"&amp;MAX(1,ROUND(COUNTIFS(MASTER!$B$4:$B$1463,"SBG",MASTER!$L$4:$L$1463,"&lt;&gt;")*$A87*100/100,0)),MASTER!$AI$4:$AI$1463,0))),NA()))))</f>
        <v>7175</v>
      </c>
      <c r="G87" s="37">
        <f>IF($B$4="RESONANCE",IFERROR(IF(INDEX(MASTER!$I$4:$I$1463,MATCH("AZUKI"&amp;"|"&amp;MAX(1,ROUND(COUNTIFS(MASTER!$B$4:$B$1463,"AZUKI",MASTER!$I$4:$I$1463,"&lt;&gt;")*$A87*100/100,0)),MASTER!$Y$4:$Y$1463,0))="",NA(),INDEX(MASTER!$I$4:$I$1463,MATCH("AZUKI"&amp;"|"&amp;MAX(1,ROUND(COUNTIFS(MASTER!$B$4:$B$1463,"AZUKI",MASTER!$I$4:$I$1463,"&lt;&gt;")*$A87*100/100,0)),MASTER!$Y$4:$Y$1463,0))),NA()),IF($B$4="COMBAT RATING",IFERROR(IF(INDEX(MASTER!$G$4:$G$1463,MATCH("AZUKI"&amp;"|"&amp;MAX(1,ROUND(COUNTIFS(MASTER!$B$4:$B$1463,"AZUKI",MASTER!$G$4:$G$1463,"&lt;&gt;")*$A87*100/100,0)),MASTER!$AH$4:$AH$1463,0))="",NA(),INDEX(MASTER!$G$4:$G$1463,MATCH("AZUKI"&amp;"|"&amp;MAX(1,ROUND(COUNTIFS(MASTER!$B$4:$B$1463,"AZUKI",MASTER!$G$4:$G$1463,"&lt;&gt;")*$A87*100/100,0)),MASTER!$AH$4:$AH$1463,0))),NA()),IF($B$4="SECONDARY",IFERROR(IF(INDEX(MASTER!$L$4:$L$1463,MATCH("AZUKI"&amp;"|"&amp;MAX(1,ROUND(COUNTIFS(MASTER!$B$4:$B$1463,"AZUKI",MASTER!$L$4:$L$1463,"&lt;&gt;")*$A87*100/100,0)),MASTER!$AI$4:$AI$1463,0))="",NA(),INDEX(MASTER!$L$4:$L$1463,MATCH("AZUKI"&amp;"|"&amp;MAX(1,ROUND(COUNTIFS(MASTER!$B$4:$B$1463,"AZUKI",MASTER!$L$4:$L$1463,"&lt;&gt;")*$A87*100/100,0)),MASTER!$AI$4:$AI$1463,0))),NA()))))</f>
        <v>6778</v>
      </c>
      <c r="H87" s="37">
        <f>IF($B$4="RESONANCE",IFERROR(IF(INDEX(MASTER!$I$4:$I$1463,MATCH("RECKONING"&amp;"|"&amp;MAX(1,ROUND(COUNTIFS(MASTER!$B$4:$B$1463,"RECKONING",MASTER!$I$4:$I$1463,"&lt;&gt;")*$A87*100/100,0)),MASTER!$Y$4:$Y$1463,0))="",NA(),INDEX(MASTER!$I$4:$I$1463,MATCH("RECKONING"&amp;"|"&amp;MAX(1,ROUND(COUNTIFS(MASTER!$B$4:$B$1463,"RECKONING",MASTER!$I$4:$I$1463,"&lt;&gt;")*$A87*100/100,0)),MASTER!$Y$4:$Y$1463,0))),NA()),IF($B$4="COMBAT RATING",IFERROR(IF(INDEX(MASTER!$G$4:$G$1463,MATCH("RECKONING"&amp;"|"&amp;MAX(1,ROUND(COUNTIFS(MASTER!$B$4:$B$1463,"RECKONING",MASTER!$G$4:$G$1463,"&lt;&gt;")*$A87*100/100,0)),MASTER!$AH$4:$AH$1463,0))="",NA(),INDEX(MASTER!$G$4:$G$1463,MATCH("RECKONING"&amp;"|"&amp;MAX(1,ROUND(COUNTIFS(MASTER!$B$4:$B$1463,"RECKONING",MASTER!$G$4:$G$1463,"&lt;&gt;")*$A87*100/100,0)),MASTER!$AH$4:$AH$1463,0))),NA()),IF($B$4="SECONDARY",IFERROR(IF(INDEX(MASTER!$L$4:$L$1463,MATCH("RECKONING"&amp;"|"&amp;MAX(1,ROUND(COUNTIFS(MASTER!$B$4:$B$1463,"RECKONING",MASTER!$L$4:$L$1463,"&lt;&gt;")*$A87*100/100,0)),MASTER!$AI$4:$AI$1463,0))="",NA(),INDEX(MASTER!$L$4:$L$1463,MATCH("RECKONING"&amp;"|"&amp;MAX(1,ROUND(COUNTIFS(MASTER!$B$4:$B$1463,"RECKONING",MASTER!$L$4:$L$1463,"&lt;&gt;")*$A87*100/100,0)),MASTER!$AI$4:$AI$1463,0))),NA()))))</f>
        <v>6173</v>
      </c>
      <c r="I87" s="37">
        <f>IF($B$4="RESONANCE",IFERROR(IF(INDEX(MASTER!$I$4:$I$1463,MATCH("ACHERON"&amp;"|"&amp;MAX(1,ROUND(COUNTIFS(MASTER!$B$4:$B$1463,"ACHERON",MASTER!$I$4:$I$1463,"&lt;&gt;")*$A87*100/100,0)),MASTER!$Y$4:$Y$1463,0))="",NA(),INDEX(MASTER!$I$4:$I$1463,MATCH("ACHERON"&amp;"|"&amp;MAX(1,ROUND(COUNTIFS(MASTER!$B$4:$B$1463,"ACHERON",MASTER!$I$4:$I$1463,"&lt;&gt;")*$A87*100/100,0)),MASTER!$Y$4:$Y$1463,0))),NA()),IF($B$4="COMBAT RATING",IFERROR(IF(INDEX(MASTER!$G$4:$G$1463,MATCH("ACHERON"&amp;"|"&amp;MAX(1,ROUND(COUNTIFS(MASTER!$B$4:$B$1463,"ACHERON",MASTER!$G$4:$G$1463,"&lt;&gt;")*$A87*100/100,0)),MASTER!$AH$4:$AH$1463,0))="",NA(),INDEX(MASTER!$G$4:$G$1463,MATCH("ACHERON"&amp;"|"&amp;MAX(1,ROUND(COUNTIFS(MASTER!$B$4:$B$1463,"ACHERON",MASTER!$G$4:$G$1463,"&lt;&gt;")*$A87*100/100,0)),MASTER!$AH$4:$AH$1463,0))),NA()),IF($B$4="SECONDARY",IFERROR(IF(INDEX(MASTER!$L$4:$L$1463,MATCH("ACHERON"&amp;"|"&amp;MAX(1,ROUND(COUNTIFS(MASTER!$B$4:$B$1463,"ACHERON",MASTER!$L$4:$L$1463,"&lt;&gt;")*$A87*100/100,0)),MASTER!$AI$4:$AI$1463,0))="",NA(),INDEX(MASTER!$L$4:$L$1463,MATCH("ACHERON"&amp;"|"&amp;MAX(1,ROUND(COUNTIFS(MASTER!$B$4:$B$1463,"ACHERON",MASTER!$L$4:$L$1463,"&lt;&gt;")*$A87*100/100,0)),MASTER!$AI$4:$AI$1463,0))),NA()))))</f>
        <v>4692</v>
      </c>
      <c r="J87" s="37">
        <f>IF($B$4="RESONANCE",IFERROR(IF(INDEX(MASTER!$I$4:$I$1463,MATCH("INVICTUS"&amp;"|"&amp;MAX(1,ROUND(COUNTIFS(MASTER!$B$4:$B$1463,"INVICTUS",MASTER!$I$4:$I$1463,"&lt;&gt;")*$A87*100/100,0)),MASTER!$Y$4:$Y$1463,0))="",NA(),INDEX(MASTER!$I$4:$I$1463,MATCH("INVICTUS"&amp;"|"&amp;MAX(1,ROUND(COUNTIFS(MASTER!$B$4:$B$1463,"INVICTUS",MASTER!$I$4:$I$1463,"&lt;&gt;")*$A87*100/100,0)),MASTER!$Y$4:$Y$1463,0))),NA()),IF($B$4="COMBAT RATING",IFERROR(IF(INDEX(MASTER!$G$4:$G$1463,MATCH("INVICTUS"&amp;"|"&amp;MAX(1,ROUND(COUNTIFS(MASTER!$B$4:$B$1463,"INVICTUS",MASTER!$G$4:$G$1463,"&lt;&gt;")*$A87*100/100,0)),MASTER!$AH$4:$AH$1463,0))="",NA(),INDEX(MASTER!$G$4:$G$1463,MATCH("INVICTUS"&amp;"|"&amp;MAX(1,ROUND(COUNTIFS(MASTER!$B$4:$B$1463,"INVICTUS",MASTER!$G$4:$G$1463,"&lt;&gt;")*$A87*100/100,0)),MASTER!$AH$4:$AH$1463,0))),NA()),IF($B$4="SECONDARY",IFERROR(IF(INDEX(MASTER!$L$4:$L$1463,MATCH("INVICTUS"&amp;"|"&amp;MAX(1,ROUND(COUNTIFS(MASTER!$B$4:$B$1463,"INVICTUS",MASTER!$L$4:$L$1463,"&lt;&gt;")*$A87*100/100,0)),MASTER!$AI$4:$AI$1463,0))="",NA(),INDEX(MASTER!$L$4:$L$1463,MATCH("INVICTUS"&amp;"|"&amp;MAX(1,ROUND(COUNTIFS(MASTER!$B$4:$B$1463,"INVICTUS",MASTER!$L$4:$L$1463,"&lt;&gt;")*$A87*100/100,0)),MASTER!$AI$4:$AI$1463,0))),NA()))))</f>
        <v>3699</v>
      </c>
      <c r="K87" s="37">
        <f>IF($B$4="RESONANCE",IFERROR(IF(INDEX(MASTER!$I$4:$I$1463,MATCH("EMERALD LEAF TRIBE"&amp;"|"&amp;MAX(1,ROUND(COUNTIFS(MASTER!$B$4:$B$1463,"EMERALD LEAF TRIBE",MASTER!$I$4:$I$1463,"&lt;&gt;")*$A87*100/100,0)),MASTER!$Y$4:$Y$1463,0))="",NA(),INDEX(MASTER!$I$4:$I$1463,MATCH("EMERALD LEAF TRIBE"&amp;"|"&amp;MAX(1,ROUND(COUNTIFS(MASTER!$B$4:$B$1463,"EMERALD LEAF TRIBE",MASTER!$I$4:$I$1463,"&lt;&gt;")*$A87*100/100,0)),MASTER!$Y$4:$Y$1463,0))),NA()),IF($B$4="COMBAT RATING",IFERROR(IF(INDEX(MASTER!$G$4:$G$1463,MATCH("EMERALD LEAF TRIBE"&amp;"|"&amp;MAX(1,ROUND(COUNTIFS(MASTER!$B$4:$B$1463,"EMERALD LEAF TRIBE",MASTER!$G$4:$G$1463,"&lt;&gt;")*$A87*100/100,0)),MASTER!$AH$4:$AH$1463,0))="",NA(),INDEX(MASTER!$G$4:$G$1463,MATCH("EMERALD LEAF TRIBE"&amp;"|"&amp;MAX(1,ROUND(COUNTIFS(MASTER!$B$4:$B$1463,"EMERALD LEAF TRIBE",MASTER!$G$4:$G$1463,"&lt;&gt;")*$A87*100/100,0)),MASTER!$AH$4:$AH$1463,0))),NA()),IF($B$4="SECONDARY",IFERROR(IF(INDEX(MASTER!$L$4:$L$1463,MATCH("EMERALD LEAF TRIBE"&amp;"|"&amp;MAX(1,ROUND(COUNTIFS(MASTER!$B$4:$B$1463,"EMERALD LEAF TRIBE",MASTER!$L$4:$L$1463,"&lt;&gt;")*$A87*100/100,0)),MASTER!$AI$4:$AI$1463,0))="",NA(),INDEX(MASTER!$L$4:$L$1463,MATCH("EMERALD LEAF TRIBE"&amp;"|"&amp;MAX(1,ROUND(COUNTIFS(MASTER!$B$4:$B$1463,"EMERALD LEAF TRIBE",MASTER!$L$4:$L$1463,"&lt;&gt;")*$A87*100/100,0)),MASTER!$AI$4:$AI$1463,0))),NA()))))</f>
        <v>2636</v>
      </c>
      <c r="L87" s="37">
        <f>IF($B$4="RESONANCE",IFERROR(IF(INDEX(MASTER!$I$4:$I$1463,MATCH("SUB ROSA"&amp;"|"&amp;MAX(1,ROUND(COUNTIFS(MASTER!$B$4:$B$1463,"SUB ROSA",MASTER!$I$4:$I$1463,"&lt;&gt;")*$A87*100/100,0)),MASTER!$Y$4:$Y$1463,0))="",NA(),INDEX(MASTER!$I$4:$I$1463,MATCH("SUB ROSA"&amp;"|"&amp;MAX(1,ROUND(COUNTIFS(MASTER!$B$4:$B$1463,"SUB ROSA",MASTER!$I$4:$I$1463,"&lt;&gt;")*$A87*100/100,0)),MASTER!$Y$4:$Y$1463,0))),NA()),IF($B$4="COMBAT RATING",IFERROR(IF(INDEX(MASTER!$G$4:$G$1463,MATCH("SUB ROSA"&amp;"|"&amp;MAX(1,ROUND(COUNTIFS(MASTER!$B$4:$B$1463,"SUB ROSA",MASTER!$G$4:$G$1463,"&lt;&gt;")*$A87*100/100,0)),MASTER!$AH$4:$AH$1463,0))="",NA(),INDEX(MASTER!$G$4:$G$1463,MATCH("SUB ROSA"&amp;"|"&amp;MAX(1,ROUND(COUNTIFS(MASTER!$B$4:$B$1463,"SUB ROSA",MASTER!$G$4:$G$1463,"&lt;&gt;")*$A87*100/100,0)),MASTER!$AH$4:$AH$1463,0))),NA()),IF($B$4="SECONDARY",IFERROR(IF(INDEX(MASTER!$L$4:$L$1463,MATCH("SUB ROSA"&amp;"|"&amp;MAX(1,ROUND(COUNTIFS(MASTER!$B$4:$B$1463,"SUB ROSA",MASTER!$L$4:$L$1463,"&lt;&gt;")*$A87*100/100,0)),MASTER!$AI$4:$AI$1463,0))="",NA(),INDEX(MASTER!$L$4:$L$1463,MATCH("SUB ROSA"&amp;"|"&amp;MAX(1,ROUND(COUNTIFS(MASTER!$B$4:$B$1463,"SUB ROSA",MASTER!$L$4:$L$1463,"&lt;&gt;")*$A87*100/100,0)),MASTER!$AI$4:$AI$1463,0))),NA()))))</f>
        <v>3149</v>
      </c>
      <c r="M87" s="37">
        <f>IF($B$4="RESONANCE",IFERROR(IF(INDEX(MASTER!$I$4:$I$1463,MATCH("VENGEANCE"&amp;"|"&amp;MAX(1,ROUND(COUNTIFS(MASTER!$B$4:$B$1463,"VENGEANCE",MASTER!$I$4:$I$1463,"&lt;&gt;")*$A87*100/100,0)),MASTER!$Y$4:$Y$1463,0))="",NA(),INDEX(MASTER!$I$4:$I$1463,MATCH("VENGEANCE"&amp;"|"&amp;MAX(1,ROUND(COUNTIFS(MASTER!$B$4:$B$1463,"VENGEANCE",MASTER!$I$4:$I$1463,"&lt;&gt;")*$A87*100/100,0)),MASTER!$Y$4:$Y$1463,0))),NA()),IF($B$4="COMBAT RATING",IFERROR(IF(INDEX(MASTER!$G$4:$G$1463,MATCH("VENGEANCE"&amp;"|"&amp;MAX(1,ROUND(COUNTIFS(MASTER!$B$4:$B$1463,"VENGEANCE",MASTER!$G$4:$G$1463,"&lt;&gt;")*$A87*100/100,0)),MASTER!$AH$4:$AH$1463,0))="",NA(),INDEX(MASTER!$G$4:$G$1463,MATCH("VENGEANCE"&amp;"|"&amp;MAX(1,ROUND(COUNTIFS(MASTER!$B$4:$B$1463,"VENGEANCE",MASTER!$G$4:$G$1463,"&lt;&gt;")*$A87*100/100,0)),MASTER!$AH$4:$AH$1463,0))),NA()),IF($B$4="SECONDARY",IFERROR(IF(INDEX(MASTER!$L$4:$L$1463,MATCH("VENGEANCE"&amp;"|"&amp;MAX(1,ROUND(COUNTIFS(MASTER!$B$4:$B$1463,"VENGEANCE",MASTER!$L$4:$L$1463,"&lt;&gt;")*$A87*100/100,0)),MASTER!$AI$4:$AI$1463,0))="",NA(),INDEX(MASTER!$L$4:$L$1463,MATCH("VENGEANCE"&amp;"|"&amp;MAX(1,ROUND(COUNTIFS(MASTER!$B$4:$B$1463,"VENGEANCE",MASTER!$L$4:$L$1463,"&lt;&gt;")*$A87*100/100,0)),MASTER!$AI$4:$AI$1463,0))),NA()))))</f>
        <v>4081</v>
      </c>
      <c r="N87" s="37">
        <f>IF($B$4="RESONANCE",IFERROR(IF(INDEX(MASTER!$I$4:$I$1463,MATCH("VENDETTA"&amp;"|"&amp;MAX(1,ROUND(COUNTIFS(MASTER!$B$4:$B$1463,"VENDETTA",MASTER!$I$4:$I$1463,"&lt;&gt;")*$A87*100/100,0)),MASTER!$Y$4:$Y$1463,0))="",NA(),INDEX(MASTER!$I$4:$I$1463,MATCH("VENDETTA"&amp;"|"&amp;MAX(1,ROUND(COUNTIFS(MASTER!$B$4:$B$1463,"VENDETTA",MASTER!$I$4:$I$1463,"&lt;&gt;")*$A87*100/100,0)),MASTER!$Y$4:$Y$1463,0))),NA()),IF($B$4="COMBAT RATING",IFERROR(IF(INDEX(MASTER!$G$4:$G$1463,MATCH("VENDETTA"&amp;"|"&amp;MAX(1,ROUND(COUNTIFS(MASTER!$B$4:$B$1463,"VENDETTA",MASTER!$G$4:$G$1463,"&lt;&gt;")*$A87*100/100,0)),MASTER!$AH$4:$AH$1463,0))="",NA(),INDEX(MASTER!$G$4:$G$1463,MATCH("VENDETTA"&amp;"|"&amp;MAX(1,ROUND(COUNTIFS(MASTER!$B$4:$B$1463,"VENDETTA",MASTER!$G$4:$G$1463,"&lt;&gt;")*$A87*100/100,0)),MASTER!$AH$4:$AH$1463,0))),NA()),IF($B$4="SECONDARY",IFERROR(IF(INDEX(MASTER!$L$4:$L$1463,MATCH("VENDETTA"&amp;"|"&amp;MAX(1,ROUND(COUNTIFS(MASTER!$B$4:$B$1463,"VENDETTA",MASTER!$L$4:$L$1463,"&lt;&gt;")*$A87*100/100,0)),MASTER!$AI$4:$AI$1463,0))="",NA(),INDEX(MASTER!$L$4:$L$1463,MATCH("VENDETTA"&amp;"|"&amp;MAX(1,ROUND(COUNTIFS(MASTER!$B$4:$B$1463,"VENDETTA",MASTER!$L$4:$L$1463,"&lt;&gt;")*$A87*100/100,0)),MASTER!$AI$4:$AI$1463,0))),NA()))))</f>
        <v>2528</v>
      </c>
      <c r="O87" s="37">
        <f>IF($B$4="RESONANCE",IFERROR(IF(INDEX(MASTER!$I$4:$I$1463,MATCH("ZOMBIES"&amp;"|"&amp;MAX(1,ROUND(COUNTIFS(MASTER!$B$4:$B$1463,"ZOMBIES",MASTER!$I$4:$I$1463,"&lt;&gt;")*$A87*100/100,0)),MASTER!$Y$4:$Y$1463,0))="",NA(),INDEX(MASTER!$I$4:$I$1463,MATCH("ZOMBIES"&amp;"|"&amp;MAX(1,ROUND(COUNTIFS(MASTER!$B$4:$B$1463,"ZOMBIES",MASTER!$I$4:$I$1463,"&lt;&gt;")*$A87*100/100,0)),MASTER!$Y$4:$Y$1463,0))),NA()),IF($B$4="COMBAT RATING",IFERROR(IF(INDEX(MASTER!$G$4:$G$1463,MATCH("ZOMBIES"&amp;"|"&amp;MAX(1,ROUND(COUNTIFS(MASTER!$B$4:$B$1463,"ZOMBIES",MASTER!$G$4:$G$1463,"&lt;&gt;")*$A87*100/100,0)),MASTER!$AH$4:$AH$1463,0))="",NA(),INDEX(MASTER!$G$4:$G$1463,MATCH("ZOMBIES"&amp;"|"&amp;MAX(1,ROUND(COUNTIFS(MASTER!$B$4:$B$1463,"ZOMBIES",MASTER!$G$4:$G$1463,"&lt;&gt;")*$A87*100/100,0)),MASTER!$AH$4:$AH$1463,0))),NA()),IF($B$4="SECONDARY",IFERROR(IF(INDEX(MASTER!$L$4:$L$1463,MATCH("ZOMBIES"&amp;"|"&amp;MAX(1,ROUND(COUNTIFS(MASTER!$B$4:$B$1463,"ZOMBIES",MASTER!$L$4:$L$1463,"&lt;&gt;")*$A87*100/100,0)),MASTER!$AI$4:$AI$1463,0))="",NA(),INDEX(MASTER!$L$4:$L$1463,MATCH("ZOMBIES"&amp;"|"&amp;MAX(1,ROUND(COUNTIFS(MASTER!$B$4:$B$1463,"ZOMBIES",MASTER!$L$4:$L$1463,"&lt;&gt;")*$A87*100/100,0)),MASTER!$AI$4:$AI$1463,0))),NA()))))</f>
        <v>2332</v>
      </c>
      <c r="P87" s="37">
        <f>IF($B$4="RESONANCE",IFERROR(IF(INDEX(MASTER!$I$4:$I$1463,MATCH("FUCT"&amp;"|"&amp;MAX(1,ROUND(COUNTIFS(MASTER!$B$4:$B$1463,"FUCT",MASTER!$I$4:$I$1463,"&lt;&gt;")*$A87*100/100,0)),MASTER!$Y$4:$Y$1463,0))="",NA(),INDEX(MASTER!$I$4:$I$1463,MATCH("FUCT"&amp;"|"&amp;MAX(1,ROUND(COUNTIFS(MASTER!$B$4:$B$1463,"FUCT",MASTER!$I$4:$I$1463,"&lt;&gt;")*$A87*100/100,0)),MASTER!$Y$4:$Y$1463,0))),NA()),IF($B$4="COMBAT RATING",IFERROR(IF(INDEX(MASTER!$G$4:$G$1463,MATCH("FUCT"&amp;"|"&amp;MAX(1,ROUND(COUNTIFS(MASTER!$B$4:$B$1463,"FUCT",MASTER!$G$4:$G$1463,"&lt;&gt;")*$A87*100/100,0)),MASTER!$AH$4:$AH$1463,0))="",NA(),INDEX(MASTER!$G$4:$G$1463,MATCH("FUCT"&amp;"|"&amp;MAX(1,ROUND(COUNTIFS(MASTER!$B$4:$B$1463,"FUCT",MASTER!$G$4:$G$1463,"&lt;&gt;")*$A87*100/100,0)),MASTER!$AH$4:$AH$1463,0))),NA()),IF($B$4="SECONDARY",IFERROR(IF(INDEX(MASTER!$L$4:$L$1463,MATCH("FUCT"&amp;"|"&amp;MAX(1,ROUND(COUNTIFS(MASTER!$B$4:$B$1463,"FUCT",MASTER!$L$4:$L$1463,"&lt;&gt;")*$A87*100/100,0)),MASTER!$AI$4:$AI$1463,0))="",NA(),INDEX(MASTER!$L$4:$L$1463,MATCH("FUCT"&amp;"|"&amp;MAX(1,ROUND(COUNTIFS(MASTER!$B$4:$B$1463,"FUCT",MASTER!$L$4:$L$1463,"&lt;&gt;")*$A87*100/100,0)),MASTER!$AI$4:$AI$1463,0))),NA()))))</f>
        <v>5680</v>
      </c>
      <c r="Q87" s="37">
        <f>IF($B$4="RESONANCE",IFERROR(IF(INDEX(MASTER!$I$4:$I$1463,MATCH($E$4&amp;"|"&amp;MAX(1,ROUND(COUNTIFS(MASTER!$B$4:$B$1463,$E$4,MASTER!$I$4:$I$1463,"&lt;&gt;")*$A87*100/100,0)),MASTER!$Y$4:$Y$1463,0))="",NA(),INDEX(MASTER!$I$4:$I$1463,MATCH($E$4&amp;"|"&amp;MAX(1,ROUND(COUNTIFS(MASTER!$B$4:$B$1463,$E$4,MASTER!$I$4:$I$1463,"&lt;&gt;")*$A87*100/100,0)),MASTER!$Y$4:$Y$1463,0))),NA()),IF($B$4="COMBAT RATING",IFERROR(IF(INDEX(MASTER!$G$4:$G$1463,MATCH($E$4&amp;"|"&amp;MAX(1,ROUND(COUNTIFS(MASTER!$B$4:$B$1463,$E$4,MASTER!$G$4:$G$1463,"&lt;&gt;")*$A87*100/100,0)),MASTER!$AH$4:$AH$1463,0))="",NA(),INDEX(MASTER!$G$4:$G$1463,MATCH($E$4&amp;"|"&amp;MAX(1,ROUND(COUNTIFS(MASTER!$B$4:$B$1463,$E$4,MASTER!$G$4:$G$1463,"&lt;&gt;")*$A87*100/100,0)),MASTER!$AH$4:$AH$1463,0))),NA()),IF($B$4="SECONDARY",IFERROR(IF(INDEX(MASTER!$L$4:$L$1463,MATCH($E$4&amp;"|"&amp;MAX(1,ROUND(COUNTIFS(MASTER!$B$4:$B$1463,$E$4,MASTER!$L$4:$L$1463,"&lt;&gt;")*$A87*100/100,0)),MASTER!$AI$4:$AI$1463,0))="",NA(),INDEX(MASTER!$L$4:$L$1463,MATCH($E$4&amp;"|"&amp;MAX(1,ROUND(COUNTIFS(MASTER!$B$4:$B$1463,$E$4,MASTER!$L$4:$L$1463,"&lt;&gt;")*$A87*100/100,0)),MASTER!$AI$4:$AI$1463,0))),NA()))))</f>
        <v>4680</v>
      </c>
    </row>
    <row r="88" spans="1:17" hidden="1">
      <c r="A88" s="36">
        <v>0.33</v>
      </c>
      <c r="B88" s="37">
        <f>IF($B$4="RESONANCE",IFERROR(IF(INDEX(MASTER!$I$4:$I$1463,MATCH("FUCT"&amp;"|"&amp;MAX(1,ROUND(COUNTIFS(MASTER!$B$4:$B$1463,"FUCT",MASTER!$I$4:$I$1463,"&lt;&gt;")*$A88*100/100,0)),MASTER!$Y$4:$Y$1463,0))="",NA(),INDEX(MASTER!$I$4:$I$1463,MATCH("FUCT"&amp;"|"&amp;MAX(1,ROUND(COUNTIFS(MASTER!$B$4:$B$1463,"FUCT",MASTER!$I$4:$I$1463,"&lt;&gt;")*$A88*100/100,0)),MASTER!$Y$4:$Y$1463,0))),NA()),IF($B$4="COMBAT RATING",IFERROR(IF(INDEX(MASTER!$G$4:$G$1463,MATCH("FUCT"&amp;"|"&amp;MAX(1,ROUND(COUNTIFS(MASTER!$B$4:$B$1463,"FUCT",MASTER!$G$4:$G$1463,"&lt;&gt;")*$A88*100/100,0)),MASTER!$AH$4:$AH$1463,0))="",NA(),INDEX(MASTER!$G$4:$G$1463,MATCH("FUCT"&amp;"|"&amp;MAX(1,ROUND(COUNTIFS(MASTER!$B$4:$B$1463,"FUCT",MASTER!$G$4:$G$1463,"&lt;&gt;")*$A88*100/100,0)),MASTER!$AH$4:$AH$1463,0))),NA()),IF($B$4="SECONDARY",IFERROR(IF(INDEX(MASTER!$L$4:$L$1463,MATCH("FUCT"&amp;"|"&amp;MAX(1,ROUND(COUNTIFS(MASTER!$B$4:$B$1463,"FUCT",MASTER!$L$4:$L$1463,"&lt;&gt;")*$A88*100/100,0)),MASTER!$AI$4:$AI$1463,0))="",NA(),INDEX(MASTER!$L$4:$L$1463,MATCH("FUCT"&amp;"|"&amp;MAX(1,ROUND(COUNTIFS(MASTER!$B$4:$B$1463,"FUCT",MASTER!$L$4:$L$1463,"&lt;&gt;")*$A88*100/100,0)),MASTER!$AI$4:$AI$1463,0))),NA()))))</f>
        <v>5557</v>
      </c>
      <c r="C88" s="37">
        <f>IF($B$4="RESONANCE",IFERROR(IF(INDEX(MASTER!$I$4:$I$1463,MATCH("LEGENDS"&amp;"|"&amp;MAX(1,ROUND(COUNTIFS(MASTER!$B$4:$B$1463,"LEGENDS",MASTER!$I$4:$I$1463,"&lt;&gt;")*$A88*100/100,0)),MASTER!$Y$4:$Y$1463,0))="",NA(),INDEX(MASTER!$I$4:$I$1463,MATCH("LEGENDS"&amp;"|"&amp;MAX(1,ROUND(COUNTIFS(MASTER!$B$4:$B$1463,"LEGENDS",MASTER!$I$4:$I$1463,"&lt;&gt;")*$A88*100/100,0)),MASTER!$Y$4:$Y$1463,0))),NA()),IF($B$4="COMBAT RATING",IFERROR(IF(INDEX(MASTER!$G$4:$G$1463,MATCH("LEGENDS"&amp;"|"&amp;MAX(1,ROUND(COUNTIFS(MASTER!$B$4:$B$1463,"LEGENDS",MASTER!$G$4:$G$1463,"&lt;&gt;")*$A88*100/100,0)),MASTER!$AH$4:$AH$1463,0))="",NA(),INDEX(MASTER!$G$4:$G$1463,MATCH("LEGENDS"&amp;"|"&amp;MAX(1,ROUND(COUNTIFS(MASTER!$B$4:$B$1463,"LEGENDS",MASTER!$G$4:$G$1463,"&lt;&gt;")*$A88*100/100,0)),MASTER!$AH$4:$AH$1463,0))),NA()),IF($B$4="SECONDARY",IFERROR(IF(INDEX(MASTER!$L$4:$L$1463,MATCH("LEGENDS"&amp;"|"&amp;MAX(1,ROUND(COUNTIFS(MASTER!$B$4:$B$1463,"LEGENDS",MASTER!$L$4:$L$1463,"&lt;&gt;")*$A88*100/100,0)),MASTER!$AI$4:$AI$1463,0))="",NA(),INDEX(MASTER!$L$4:$L$1463,MATCH("LEGENDS"&amp;"|"&amp;MAX(1,ROUND(COUNTIFS(MASTER!$B$4:$B$1463,"LEGENDS",MASTER!$L$4:$L$1463,"&lt;&gt;")*$A88*100/100,0)),MASTER!$AI$4:$AI$1463,0))),NA()))))</f>
        <v>5904</v>
      </c>
      <c r="D88" s="37">
        <f>IF($B$4="RESONANCE",IFERROR(IF(INDEX(MASTER!$I$4:$I$1463,MATCH("VANGUARD"&amp;"|"&amp;MAX(1,ROUND(COUNTIFS(MASTER!$B$4:$B$1463,"VANGUARD",MASTER!$I$4:$I$1463,"&lt;&gt;")*$A88*100/100,0)),MASTER!$Y$4:$Y$1463,0))="",NA(),INDEX(MASTER!$I$4:$I$1463,MATCH("VANGUARD"&amp;"|"&amp;MAX(1,ROUND(COUNTIFS(MASTER!$B$4:$B$1463,"VANGUARD",MASTER!$I$4:$I$1463,"&lt;&gt;")*$A88*100/100,0)),MASTER!$Y$4:$Y$1463,0))),NA()),IF($B$4="COMBAT RATING",IFERROR(IF(INDEX(MASTER!$G$4:$G$1463,MATCH("VANGUARD"&amp;"|"&amp;MAX(1,ROUND(COUNTIFS(MASTER!$B$4:$B$1463,"VANGUARD",MASTER!$G$4:$G$1463,"&lt;&gt;")*$A88*100/100,0)),MASTER!$AH$4:$AH$1463,0))="",NA(),INDEX(MASTER!$G$4:$G$1463,MATCH("VANGUARD"&amp;"|"&amp;MAX(1,ROUND(COUNTIFS(MASTER!$B$4:$B$1463,"VANGUARD",MASTER!$G$4:$G$1463,"&lt;&gt;")*$A88*100/100,0)),MASTER!$AH$4:$AH$1463,0))),NA()),IF($B$4="SECONDARY",IFERROR(IF(INDEX(MASTER!$L$4:$L$1463,MATCH("VANGUARD"&amp;"|"&amp;MAX(1,ROUND(COUNTIFS(MASTER!$B$4:$B$1463,"VANGUARD",MASTER!$L$4:$L$1463,"&lt;&gt;")*$A88*100/100,0)),MASTER!$AI$4:$AI$1463,0))="",NA(),INDEX(MASTER!$L$4:$L$1463,MATCH("VANGUARD"&amp;"|"&amp;MAX(1,ROUND(COUNTIFS(MASTER!$B$4:$B$1463,"VANGUARD",MASTER!$L$4:$L$1463,"&lt;&gt;")*$A88*100/100,0)),MASTER!$AI$4:$AI$1463,0))),NA()))))</f>
        <v>8227</v>
      </c>
      <c r="E88" s="37">
        <f>IF($B$4="RESONANCE",IFERROR(IF(INDEX(MASTER!$I$4:$I$1463,MATCH("UNDYING"&amp;"|"&amp;MAX(1,ROUND(COUNTIFS(MASTER!$B$4:$B$1463,"UNDYING",MASTER!$I$4:$I$1463,"&lt;&gt;")*$A88*100/100,0)),MASTER!$Y$4:$Y$1463,0))="",NA(),INDEX(MASTER!$I$4:$I$1463,MATCH("UNDYING"&amp;"|"&amp;MAX(1,ROUND(COUNTIFS(MASTER!$B$4:$B$1463,"UNDYING",MASTER!$I$4:$I$1463,"&lt;&gt;")*$A88*100/100,0)),MASTER!$Y$4:$Y$1463,0))),NA()),IF($B$4="COMBAT RATING",IFERROR(IF(INDEX(MASTER!$G$4:$G$1463,MATCH("UNDYING"&amp;"|"&amp;MAX(1,ROUND(COUNTIFS(MASTER!$B$4:$B$1463,"UNDYING",MASTER!$G$4:$G$1463,"&lt;&gt;")*$A88*100/100,0)),MASTER!$AH$4:$AH$1463,0))="",NA(),INDEX(MASTER!$G$4:$G$1463,MATCH("UNDYING"&amp;"|"&amp;MAX(1,ROUND(COUNTIFS(MASTER!$B$4:$B$1463,"UNDYING",MASTER!$G$4:$G$1463,"&lt;&gt;")*$A88*100/100,0)),MASTER!$AH$4:$AH$1463,0))),NA()),IF($B$4="SECONDARY",IFERROR(IF(INDEX(MASTER!$L$4:$L$1463,MATCH("UNDYING"&amp;"|"&amp;MAX(1,ROUND(COUNTIFS(MASTER!$B$4:$B$1463,"UNDYING",MASTER!$L$4:$L$1463,"&lt;&gt;")*$A88*100/100,0)),MASTER!$AI$4:$AI$1463,0))="",NA(),INDEX(MASTER!$L$4:$L$1463,MATCH("UNDYING"&amp;"|"&amp;MAX(1,ROUND(COUNTIFS(MASTER!$B$4:$B$1463,"UNDYING",MASTER!$L$4:$L$1463,"&lt;&gt;")*$A88*100/100,0)),MASTER!$AI$4:$AI$1463,0))),NA()))))</f>
        <v>4639</v>
      </c>
      <c r="F88" s="37">
        <f>IF($B$4="RESONANCE",IFERROR(IF(INDEX(MASTER!$I$4:$I$1463,MATCH("SBG"&amp;"|"&amp;MAX(1,ROUND(COUNTIFS(MASTER!$B$4:$B$1463,"SBG",MASTER!$I$4:$I$1463,"&lt;&gt;")*$A88*100/100,0)),MASTER!$Y$4:$Y$1463,0))="",NA(),INDEX(MASTER!$I$4:$I$1463,MATCH("SBG"&amp;"|"&amp;MAX(1,ROUND(COUNTIFS(MASTER!$B$4:$B$1463,"SBG",MASTER!$I$4:$I$1463,"&lt;&gt;")*$A88*100/100,0)),MASTER!$Y$4:$Y$1463,0))),NA()),IF($B$4="COMBAT RATING",IFERROR(IF(INDEX(MASTER!$G$4:$G$1463,MATCH("SBG"&amp;"|"&amp;MAX(1,ROUND(COUNTIFS(MASTER!$B$4:$B$1463,"SBG",MASTER!$G$4:$G$1463,"&lt;&gt;")*$A88*100/100,0)),MASTER!$AH$4:$AH$1463,0))="",NA(),INDEX(MASTER!$G$4:$G$1463,MATCH("SBG"&amp;"|"&amp;MAX(1,ROUND(COUNTIFS(MASTER!$B$4:$B$1463,"SBG",MASTER!$G$4:$G$1463,"&lt;&gt;")*$A88*100/100,0)),MASTER!$AH$4:$AH$1463,0))),NA()),IF($B$4="SECONDARY",IFERROR(IF(INDEX(MASTER!$L$4:$L$1463,MATCH("SBG"&amp;"|"&amp;MAX(1,ROUND(COUNTIFS(MASTER!$B$4:$B$1463,"SBG",MASTER!$L$4:$L$1463,"&lt;&gt;")*$A88*100/100,0)),MASTER!$AI$4:$AI$1463,0))="",NA(),INDEX(MASTER!$L$4:$L$1463,MATCH("SBG"&amp;"|"&amp;MAX(1,ROUND(COUNTIFS(MASTER!$B$4:$B$1463,"SBG",MASTER!$L$4:$L$1463,"&lt;&gt;")*$A88*100/100,0)),MASTER!$AI$4:$AI$1463,0))),NA()))))</f>
        <v>7130</v>
      </c>
      <c r="G88" s="37">
        <f>IF($B$4="RESONANCE",IFERROR(IF(INDEX(MASTER!$I$4:$I$1463,MATCH("AZUKI"&amp;"|"&amp;MAX(1,ROUND(COUNTIFS(MASTER!$B$4:$B$1463,"AZUKI",MASTER!$I$4:$I$1463,"&lt;&gt;")*$A88*100/100,0)),MASTER!$Y$4:$Y$1463,0))="",NA(),INDEX(MASTER!$I$4:$I$1463,MATCH("AZUKI"&amp;"|"&amp;MAX(1,ROUND(COUNTIFS(MASTER!$B$4:$B$1463,"AZUKI",MASTER!$I$4:$I$1463,"&lt;&gt;")*$A88*100/100,0)),MASTER!$Y$4:$Y$1463,0))),NA()),IF($B$4="COMBAT RATING",IFERROR(IF(INDEX(MASTER!$G$4:$G$1463,MATCH("AZUKI"&amp;"|"&amp;MAX(1,ROUND(COUNTIFS(MASTER!$B$4:$B$1463,"AZUKI",MASTER!$G$4:$G$1463,"&lt;&gt;")*$A88*100/100,0)),MASTER!$AH$4:$AH$1463,0))="",NA(),INDEX(MASTER!$G$4:$G$1463,MATCH("AZUKI"&amp;"|"&amp;MAX(1,ROUND(COUNTIFS(MASTER!$B$4:$B$1463,"AZUKI",MASTER!$G$4:$G$1463,"&lt;&gt;")*$A88*100/100,0)),MASTER!$AH$4:$AH$1463,0))),NA()),IF($B$4="SECONDARY",IFERROR(IF(INDEX(MASTER!$L$4:$L$1463,MATCH("AZUKI"&amp;"|"&amp;MAX(1,ROUND(COUNTIFS(MASTER!$B$4:$B$1463,"AZUKI",MASTER!$L$4:$L$1463,"&lt;&gt;")*$A88*100/100,0)),MASTER!$AI$4:$AI$1463,0))="",NA(),INDEX(MASTER!$L$4:$L$1463,MATCH("AZUKI"&amp;"|"&amp;MAX(1,ROUND(COUNTIFS(MASTER!$B$4:$B$1463,"AZUKI",MASTER!$L$4:$L$1463,"&lt;&gt;")*$A88*100/100,0)),MASTER!$AI$4:$AI$1463,0))),NA()))))</f>
        <v>6637</v>
      </c>
      <c r="H88" s="37">
        <f>IF($B$4="RESONANCE",IFERROR(IF(INDEX(MASTER!$I$4:$I$1463,MATCH("RECKONING"&amp;"|"&amp;MAX(1,ROUND(COUNTIFS(MASTER!$B$4:$B$1463,"RECKONING",MASTER!$I$4:$I$1463,"&lt;&gt;")*$A88*100/100,0)),MASTER!$Y$4:$Y$1463,0))="",NA(),INDEX(MASTER!$I$4:$I$1463,MATCH("RECKONING"&amp;"|"&amp;MAX(1,ROUND(COUNTIFS(MASTER!$B$4:$B$1463,"RECKONING",MASTER!$I$4:$I$1463,"&lt;&gt;")*$A88*100/100,0)),MASTER!$Y$4:$Y$1463,0))),NA()),IF($B$4="COMBAT RATING",IFERROR(IF(INDEX(MASTER!$G$4:$G$1463,MATCH("RECKONING"&amp;"|"&amp;MAX(1,ROUND(COUNTIFS(MASTER!$B$4:$B$1463,"RECKONING",MASTER!$G$4:$G$1463,"&lt;&gt;")*$A88*100/100,0)),MASTER!$AH$4:$AH$1463,0))="",NA(),INDEX(MASTER!$G$4:$G$1463,MATCH("RECKONING"&amp;"|"&amp;MAX(1,ROUND(COUNTIFS(MASTER!$B$4:$B$1463,"RECKONING",MASTER!$G$4:$G$1463,"&lt;&gt;")*$A88*100/100,0)),MASTER!$AH$4:$AH$1463,0))),NA()),IF($B$4="SECONDARY",IFERROR(IF(INDEX(MASTER!$L$4:$L$1463,MATCH("RECKONING"&amp;"|"&amp;MAX(1,ROUND(COUNTIFS(MASTER!$B$4:$B$1463,"RECKONING",MASTER!$L$4:$L$1463,"&lt;&gt;")*$A88*100/100,0)),MASTER!$AI$4:$AI$1463,0))="",NA(),INDEX(MASTER!$L$4:$L$1463,MATCH("RECKONING"&amp;"|"&amp;MAX(1,ROUND(COUNTIFS(MASTER!$B$4:$B$1463,"RECKONING",MASTER!$L$4:$L$1463,"&lt;&gt;")*$A88*100/100,0)),MASTER!$AI$4:$AI$1463,0))),NA()))))</f>
        <v>6000</v>
      </c>
      <c r="I88" s="37">
        <f>IF($B$4="RESONANCE",IFERROR(IF(INDEX(MASTER!$I$4:$I$1463,MATCH("ACHERON"&amp;"|"&amp;MAX(1,ROUND(COUNTIFS(MASTER!$B$4:$B$1463,"ACHERON",MASTER!$I$4:$I$1463,"&lt;&gt;")*$A88*100/100,0)),MASTER!$Y$4:$Y$1463,0))="",NA(),INDEX(MASTER!$I$4:$I$1463,MATCH("ACHERON"&amp;"|"&amp;MAX(1,ROUND(COUNTIFS(MASTER!$B$4:$B$1463,"ACHERON",MASTER!$I$4:$I$1463,"&lt;&gt;")*$A88*100/100,0)),MASTER!$Y$4:$Y$1463,0))),NA()),IF($B$4="COMBAT RATING",IFERROR(IF(INDEX(MASTER!$G$4:$G$1463,MATCH("ACHERON"&amp;"|"&amp;MAX(1,ROUND(COUNTIFS(MASTER!$B$4:$B$1463,"ACHERON",MASTER!$G$4:$G$1463,"&lt;&gt;")*$A88*100/100,0)),MASTER!$AH$4:$AH$1463,0))="",NA(),INDEX(MASTER!$G$4:$G$1463,MATCH("ACHERON"&amp;"|"&amp;MAX(1,ROUND(COUNTIFS(MASTER!$B$4:$B$1463,"ACHERON",MASTER!$G$4:$G$1463,"&lt;&gt;")*$A88*100/100,0)),MASTER!$AH$4:$AH$1463,0))),NA()),IF($B$4="SECONDARY",IFERROR(IF(INDEX(MASTER!$L$4:$L$1463,MATCH("ACHERON"&amp;"|"&amp;MAX(1,ROUND(COUNTIFS(MASTER!$B$4:$B$1463,"ACHERON",MASTER!$L$4:$L$1463,"&lt;&gt;")*$A88*100/100,0)),MASTER!$AI$4:$AI$1463,0))="",NA(),INDEX(MASTER!$L$4:$L$1463,MATCH("ACHERON"&amp;"|"&amp;MAX(1,ROUND(COUNTIFS(MASTER!$B$4:$B$1463,"ACHERON",MASTER!$L$4:$L$1463,"&lt;&gt;")*$A88*100/100,0)),MASTER!$AI$4:$AI$1463,0))),NA()))))</f>
        <v>4613</v>
      </c>
      <c r="J88" s="37">
        <f>IF($B$4="RESONANCE",IFERROR(IF(INDEX(MASTER!$I$4:$I$1463,MATCH("INVICTUS"&amp;"|"&amp;MAX(1,ROUND(COUNTIFS(MASTER!$B$4:$B$1463,"INVICTUS",MASTER!$I$4:$I$1463,"&lt;&gt;")*$A88*100/100,0)),MASTER!$Y$4:$Y$1463,0))="",NA(),INDEX(MASTER!$I$4:$I$1463,MATCH("INVICTUS"&amp;"|"&amp;MAX(1,ROUND(COUNTIFS(MASTER!$B$4:$B$1463,"INVICTUS",MASTER!$I$4:$I$1463,"&lt;&gt;")*$A88*100/100,0)),MASTER!$Y$4:$Y$1463,0))),NA()),IF($B$4="COMBAT RATING",IFERROR(IF(INDEX(MASTER!$G$4:$G$1463,MATCH("INVICTUS"&amp;"|"&amp;MAX(1,ROUND(COUNTIFS(MASTER!$B$4:$B$1463,"INVICTUS",MASTER!$G$4:$G$1463,"&lt;&gt;")*$A88*100/100,0)),MASTER!$AH$4:$AH$1463,0))="",NA(),INDEX(MASTER!$G$4:$G$1463,MATCH("INVICTUS"&amp;"|"&amp;MAX(1,ROUND(COUNTIFS(MASTER!$B$4:$B$1463,"INVICTUS",MASTER!$G$4:$G$1463,"&lt;&gt;")*$A88*100/100,0)),MASTER!$AH$4:$AH$1463,0))),NA()),IF($B$4="SECONDARY",IFERROR(IF(INDEX(MASTER!$L$4:$L$1463,MATCH("INVICTUS"&amp;"|"&amp;MAX(1,ROUND(COUNTIFS(MASTER!$B$4:$B$1463,"INVICTUS",MASTER!$L$4:$L$1463,"&lt;&gt;")*$A88*100/100,0)),MASTER!$AI$4:$AI$1463,0))="",NA(),INDEX(MASTER!$L$4:$L$1463,MATCH("INVICTUS"&amp;"|"&amp;MAX(1,ROUND(COUNTIFS(MASTER!$B$4:$B$1463,"INVICTUS",MASTER!$L$4:$L$1463,"&lt;&gt;")*$A88*100/100,0)),MASTER!$AI$4:$AI$1463,0))),NA()))))</f>
        <v>3586</v>
      </c>
      <c r="K88" s="37">
        <f>IF($B$4="RESONANCE",IFERROR(IF(INDEX(MASTER!$I$4:$I$1463,MATCH("EMERALD LEAF TRIBE"&amp;"|"&amp;MAX(1,ROUND(COUNTIFS(MASTER!$B$4:$B$1463,"EMERALD LEAF TRIBE",MASTER!$I$4:$I$1463,"&lt;&gt;")*$A88*100/100,0)),MASTER!$Y$4:$Y$1463,0))="",NA(),INDEX(MASTER!$I$4:$I$1463,MATCH("EMERALD LEAF TRIBE"&amp;"|"&amp;MAX(1,ROUND(COUNTIFS(MASTER!$B$4:$B$1463,"EMERALD LEAF TRIBE",MASTER!$I$4:$I$1463,"&lt;&gt;")*$A88*100/100,0)),MASTER!$Y$4:$Y$1463,0))),NA()),IF($B$4="COMBAT RATING",IFERROR(IF(INDEX(MASTER!$G$4:$G$1463,MATCH("EMERALD LEAF TRIBE"&amp;"|"&amp;MAX(1,ROUND(COUNTIFS(MASTER!$B$4:$B$1463,"EMERALD LEAF TRIBE",MASTER!$G$4:$G$1463,"&lt;&gt;")*$A88*100/100,0)),MASTER!$AH$4:$AH$1463,0))="",NA(),INDEX(MASTER!$G$4:$G$1463,MATCH("EMERALD LEAF TRIBE"&amp;"|"&amp;MAX(1,ROUND(COUNTIFS(MASTER!$B$4:$B$1463,"EMERALD LEAF TRIBE",MASTER!$G$4:$G$1463,"&lt;&gt;")*$A88*100/100,0)),MASTER!$AH$4:$AH$1463,0))),NA()),IF($B$4="SECONDARY",IFERROR(IF(INDEX(MASTER!$L$4:$L$1463,MATCH("EMERALD LEAF TRIBE"&amp;"|"&amp;MAX(1,ROUND(COUNTIFS(MASTER!$B$4:$B$1463,"EMERALD LEAF TRIBE",MASTER!$L$4:$L$1463,"&lt;&gt;")*$A88*100/100,0)),MASTER!$AI$4:$AI$1463,0))="",NA(),INDEX(MASTER!$L$4:$L$1463,MATCH("EMERALD LEAF TRIBE"&amp;"|"&amp;MAX(1,ROUND(COUNTIFS(MASTER!$B$4:$B$1463,"EMERALD LEAF TRIBE",MASTER!$L$4:$L$1463,"&lt;&gt;")*$A88*100/100,0)),MASTER!$AI$4:$AI$1463,0))),NA()))))</f>
        <v>2624</v>
      </c>
      <c r="L88" s="37">
        <f>IF($B$4="RESONANCE",IFERROR(IF(INDEX(MASTER!$I$4:$I$1463,MATCH("SUB ROSA"&amp;"|"&amp;MAX(1,ROUND(COUNTIFS(MASTER!$B$4:$B$1463,"SUB ROSA",MASTER!$I$4:$I$1463,"&lt;&gt;")*$A88*100/100,0)),MASTER!$Y$4:$Y$1463,0))="",NA(),INDEX(MASTER!$I$4:$I$1463,MATCH("SUB ROSA"&amp;"|"&amp;MAX(1,ROUND(COUNTIFS(MASTER!$B$4:$B$1463,"SUB ROSA",MASTER!$I$4:$I$1463,"&lt;&gt;")*$A88*100/100,0)),MASTER!$Y$4:$Y$1463,0))),NA()),IF($B$4="COMBAT RATING",IFERROR(IF(INDEX(MASTER!$G$4:$G$1463,MATCH("SUB ROSA"&amp;"|"&amp;MAX(1,ROUND(COUNTIFS(MASTER!$B$4:$B$1463,"SUB ROSA",MASTER!$G$4:$G$1463,"&lt;&gt;")*$A88*100/100,0)),MASTER!$AH$4:$AH$1463,0))="",NA(),INDEX(MASTER!$G$4:$G$1463,MATCH("SUB ROSA"&amp;"|"&amp;MAX(1,ROUND(COUNTIFS(MASTER!$B$4:$B$1463,"SUB ROSA",MASTER!$G$4:$G$1463,"&lt;&gt;")*$A88*100/100,0)),MASTER!$AH$4:$AH$1463,0))),NA()),IF($B$4="SECONDARY",IFERROR(IF(INDEX(MASTER!$L$4:$L$1463,MATCH("SUB ROSA"&amp;"|"&amp;MAX(1,ROUND(COUNTIFS(MASTER!$B$4:$B$1463,"SUB ROSA",MASTER!$L$4:$L$1463,"&lt;&gt;")*$A88*100/100,0)),MASTER!$AI$4:$AI$1463,0))="",NA(),INDEX(MASTER!$L$4:$L$1463,MATCH("SUB ROSA"&amp;"|"&amp;MAX(1,ROUND(COUNTIFS(MASTER!$B$4:$B$1463,"SUB ROSA",MASTER!$L$4:$L$1463,"&lt;&gt;")*$A88*100/100,0)),MASTER!$AI$4:$AI$1463,0))),NA()))))</f>
        <v>3149</v>
      </c>
      <c r="M88" s="37">
        <f>IF($B$4="RESONANCE",IFERROR(IF(INDEX(MASTER!$I$4:$I$1463,MATCH("VENGEANCE"&amp;"|"&amp;MAX(1,ROUND(COUNTIFS(MASTER!$B$4:$B$1463,"VENGEANCE",MASTER!$I$4:$I$1463,"&lt;&gt;")*$A88*100/100,0)),MASTER!$Y$4:$Y$1463,0))="",NA(),INDEX(MASTER!$I$4:$I$1463,MATCH("VENGEANCE"&amp;"|"&amp;MAX(1,ROUND(COUNTIFS(MASTER!$B$4:$B$1463,"VENGEANCE",MASTER!$I$4:$I$1463,"&lt;&gt;")*$A88*100/100,0)),MASTER!$Y$4:$Y$1463,0))),NA()),IF($B$4="COMBAT RATING",IFERROR(IF(INDEX(MASTER!$G$4:$G$1463,MATCH("VENGEANCE"&amp;"|"&amp;MAX(1,ROUND(COUNTIFS(MASTER!$B$4:$B$1463,"VENGEANCE",MASTER!$G$4:$G$1463,"&lt;&gt;")*$A88*100/100,0)),MASTER!$AH$4:$AH$1463,0))="",NA(),INDEX(MASTER!$G$4:$G$1463,MATCH("VENGEANCE"&amp;"|"&amp;MAX(1,ROUND(COUNTIFS(MASTER!$B$4:$B$1463,"VENGEANCE",MASTER!$G$4:$G$1463,"&lt;&gt;")*$A88*100/100,0)),MASTER!$AH$4:$AH$1463,0))),NA()),IF($B$4="SECONDARY",IFERROR(IF(INDEX(MASTER!$L$4:$L$1463,MATCH("VENGEANCE"&amp;"|"&amp;MAX(1,ROUND(COUNTIFS(MASTER!$B$4:$B$1463,"VENGEANCE",MASTER!$L$4:$L$1463,"&lt;&gt;")*$A88*100/100,0)),MASTER!$AI$4:$AI$1463,0))="",NA(),INDEX(MASTER!$L$4:$L$1463,MATCH("VENGEANCE"&amp;"|"&amp;MAX(1,ROUND(COUNTIFS(MASTER!$B$4:$B$1463,"VENGEANCE",MASTER!$L$4:$L$1463,"&lt;&gt;")*$A88*100/100,0)),MASTER!$AI$4:$AI$1463,0))),NA()))))</f>
        <v>4069</v>
      </c>
      <c r="N88" s="37">
        <f>IF($B$4="RESONANCE",IFERROR(IF(INDEX(MASTER!$I$4:$I$1463,MATCH("VENDETTA"&amp;"|"&amp;MAX(1,ROUND(COUNTIFS(MASTER!$B$4:$B$1463,"VENDETTA",MASTER!$I$4:$I$1463,"&lt;&gt;")*$A88*100/100,0)),MASTER!$Y$4:$Y$1463,0))="",NA(),INDEX(MASTER!$I$4:$I$1463,MATCH("VENDETTA"&amp;"|"&amp;MAX(1,ROUND(COUNTIFS(MASTER!$B$4:$B$1463,"VENDETTA",MASTER!$I$4:$I$1463,"&lt;&gt;")*$A88*100/100,0)),MASTER!$Y$4:$Y$1463,0))),NA()),IF($B$4="COMBAT RATING",IFERROR(IF(INDEX(MASTER!$G$4:$G$1463,MATCH("VENDETTA"&amp;"|"&amp;MAX(1,ROUND(COUNTIFS(MASTER!$B$4:$B$1463,"VENDETTA",MASTER!$G$4:$G$1463,"&lt;&gt;")*$A88*100/100,0)),MASTER!$AH$4:$AH$1463,0))="",NA(),INDEX(MASTER!$G$4:$G$1463,MATCH("VENDETTA"&amp;"|"&amp;MAX(1,ROUND(COUNTIFS(MASTER!$B$4:$B$1463,"VENDETTA",MASTER!$G$4:$G$1463,"&lt;&gt;")*$A88*100/100,0)),MASTER!$AH$4:$AH$1463,0))),NA()),IF($B$4="SECONDARY",IFERROR(IF(INDEX(MASTER!$L$4:$L$1463,MATCH("VENDETTA"&amp;"|"&amp;MAX(1,ROUND(COUNTIFS(MASTER!$B$4:$B$1463,"VENDETTA",MASTER!$L$4:$L$1463,"&lt;&gt;")*$A88*100/100,0)),MASTER!$AI$4:$AI$1463,0))="",NA(),INDEX(MASTER!$L$4:$L$1463,MATCH("VENDETTA"&amp;"|"&amp;MAX(1,ROUND(COUNTIFS(MASTER!$B$4:$B$1463,"VENDETTA",MASTER!$L$4:$L$1463,"&lt;&gt;")*$A88*100/100,0)),MASTER!$AI$4:$AI$1463,0))),NA()))))</f>
        <v>2515</v>
      </c>
      <c r="O88" s="37">
        <f>IF($B$4="RESONANCE",IFERROR(IF(INDEX(MASTER!$I$4:$I$1463,MATCH("ZOMBIES"&amp;"|"&amp;MAX(1,ROUND(COUNTIFS(MASTER!$B$4:$B$1463,"ZOMBIES",MASTER!$I$4:$I$1463,"&lt;&gt;")*$A88*100/100,0)),MASTER!$Y$4:$Y$1463,0))="",NA(),INDEX(MASTER!$I$4:$I$1463,MATCH("ZOMBIES"&amp;"|"&amp;MAX(1,ROUND(COUNTIFS(MASTER!$B$4:$B$1463,"ZOMBIES",MASTER!$I$4:$I$1463,"&lt;&gt;")*$A88*100/100,0)),MASTER!$Y$4:$Y$1463,0))),NA()),IF($B$4="COMBAT RATING",IFERROR(IF(INDEX(MASTER!$G$4:$G$1463,MATCH("ZOMBIES"&amp;"|"&amp;MAX(1,ROUND(COUNTIFS(MASTER!$B$4:$B$1463,"ZOMBIES",MASTER!$G$4:$G$1463,"&lt;&gt;")*$A88*100/100,0)),MASTER!$AH$4:$AH$1463,0))="",NA(),INDEX(MASTER!$G$4:$G$1463,MATCH("ZOMBIES"&amp;"|"&amp;MAX(1,ROUND(COUNTIFS(MASTER!$B$4:$B$1463,"ZOMBIES",MASTER!$G$4:$G$1463,"&lt;&gt;")*$A88*100/100,0)),MASTER!$AH$4:$AH$1463,0))),NA()),IF($B$4="SECONDARY",IFERROR(IF(INDEX(MASTER!$L$4:$L$1463,MATCH("ZOMBIES"&amp;"|"&amp;MAX(1,ROUND(COUNTIFS(MASTER!$B$4:$B$1463,"ZOMBIES",MASTER!$L$4:$L$1463,"&lt;&gt;")*$A88*100/100,0)),MASTER!$AI$4:$AI$1463,0))="",NA(),INDEX(MASTER!$L$4:$L$1463,MATCH("ZOMBIES"&amp;"|"&amp;MAX(1,ROUND(COUNTIFS(MASTER!$B$4:$B$1463,"ZOMBIES",MASTER!$L$4:$L$1463,"&lt;&gt;")*$A88*100/100,0)),MASTER!$AI$4:$AI$1463,0))),NA()))))</f>
        <v>2308</v>
      </c>
      <c r="P88" s="37">
        <f>IF($B$4="RESONANCE",IFERROR(IF(INDEX(MASTER!$I$4:$I$1463,MATCH("FUCT"&amp;"|"&amp;MAX(1,ROUND(COUNTIFS(MASTER!$B$4:$B$1463,"FUCT",MASTER!$I$4:$I$1463,"&lt;&gt;")*$A88*100/100,0)),MASTER!$Y$4:$Y$1463,0))="",NA(),INDEX(MASTER!$I$4:$I$1463,MATCH("FUCT"&amp;"|"&amp;MAX(1,ROUND(COUNTIFS(MASTER!$B$4:$B$1463,"FUCT",MASTER!$I$4:$I$1463,"&lt;&gt;")*$A88*100/100,0)),MASTER!$Y$4:$Y$1463,0))),NA()),IF($B$4="COMBAT RATING",IFERROR(IF(INDEX(MASTER!$G$4:$G$1463,MATCH("FUCT"&amp;"|"&amp;MAX(1,ROUND(COUNTIFS(MASTER!$B$4:$B$1463,"FUCT",MASTER!$G$4:$G$1463,"&lt;&gt;")*$A88*100/100,0)),MASTER!$AH$4:$AH$1463,0))="",NA(),INDEX(MASTER!$G$4:$G$1463,MATCH("FUCT"&amp;"|"&amp;MAX(1,ROUND(COUNTIFS(MASTER!$B$4:$B$1463,"FUCT",MASTER!$G$4:$G$1463,"&lt;&gt;")*$A88*100/100,0)),MASTER!$AH$4:$AH$1463,0))),NA()),IF($B$4="SECONDARY",IFERROR(IF(INDEX(MASTER!$L$4:$L$1463,MATCH("FUCT"&amp;"|"&amp;MAX(1,ROUND(COUNTIFS(MASTER!$B$4:$B$1463,"FUCT",MASTER!$L$4:$L$1463,"&lt;&gt;")*$A88*100/100,0)),MASTER!$AI$4:$AI$1463,0))="",NA(),INDEX(MASTER!$L$4:$L$1463,MATCH("FUCT"&amp;"|"&amp;MAX(1,ROUND(COUNTIFS(MASTER!$B$4:$B$1463,"FUCT",MASTER!$L$4:$L$1463,"&lt;&gt;")*$A88*100/100,0)),MASTER!$AI$4:$AI$1463,0))),NA()))))</f>
        <v>5557</v>
      </c>
      <c r="Q88" s="37">
        <f>IF($B$4="RESONANCE",IFERROR(IF(INDEX(MASTER!$I$4:$I$1463,MATCH($E$4&amp;"|"&amp;MAX(1,ROUND(COUNTIFS(MASTER!$B$4:$B$1463,$E$4,MASTER!$I$4:$I$1463,"&lt;&gt;")*$A88*100/100,0)),MASTER!$Y$4:$Y$1463,0))="",NA(),INDEX(MASTER!$I$4:$I$1463,MATCH($E$4&amp;"|"&amp;MAX(1,ROUND(COUNTIFS(MASTER!$B$4:$B$1463,$E$4,MASTER!$I$4:$I$1463,"&lt;&gt;")*$A88*100/100,0)),MASTER!$Y$4:$Y$1463,0))),NA()),IF($B$4="COMBAT RATING",IFERROR(IF(INDEX(MASTER!$G$4:$G$1463,MATCH($E$4&amp;"|"&amp;MAX(1,ROUND(COUNTIFS(MASTER!$B$4:$B$1463,$E$4,MASTER!$G$4:$G$1463,"&lt;&gt;")*$A88*100/100,0)),MASTER!$AH$4:$AH$1463,0))="",NA(),INDEX(MASTER!$G$4:$G$1463,MATCH($E$4&amp;"|"&amp;MAX(1,ROUND(COUNTIFS(MASTER!$B$4:$B$1463,$E$4,MASTER!$G$4:$G$1463,"&lt;&gt;")*$A88*100/100,0)),MASTER!$AH$4:$AH$1463,0))),NA()),IF($B$4="SECONDARY",IFERROR(IF(INDEX(MASTER!$L$4:$L$1463,MATCH($E$4&amp;"|"&amp;MAX(1,ROUND(COUNTIFS(MASTER!$B$4:$B$1463,$E$4,MASTER!$L$4:$L$1463,"&lt;&gt;")*$A88*100/100,0)),MASTER!$AI$4:$AI$1463,0))="",NA(),INDEX(MASTER!$L$4:$L$1463,MATCH($E$4&amp;"|"&amp;MAX(1,ROUND(COUNTIFS(MASTER!$B$4:$B$1463,$E$4,MASTER!$L$4:$L$1463,"&lt;&gt;")*$A88*100/100,0)),MASTER!$AI$4:$AI$1463,0))),NA()))))</f>
        <v>4639</v>
      </c>
    </row>
    <row r="89" spans="1:17" hidden="1">
      <c r="A89" s="36">
        <v>0.34</v>
      </c>
      <c r="B89" s="37">
        <f>IF($B$4="RESONANCE",IFERROR(IF(INDEX(MASTER!$I$4:$I$1463,MATCH("FUCT"&amp;"|"&amp;MAX(1,ROUND(COUNTIFS(MASTER!$B$4:$B$1463,"FUCT",MASTER!$I$4:$I$1463,"&lt;&gt;")*$A89*100/100,0)),MASTER!$Y$4:$Y$1463,0))="",NA(),INDEX(MASTER!$I$4:$I$1463,MATCH("FUCT"&amp;"|"&amp;MAX(1,ROUND(COUNTIFS(MASTER!$B$4:$B$1463,"FUCT",MASTER!$I$4:$I$1463,"&lt;&gt;")*$A89*100/100,0)),MASTER!$Y$4:$Y$1463,0))),NA()),IF($B$4="COMBAT RATING",IFERROR(IF(INDEX(MASTER!$G$4:$G$1463,MATCH("FUCT"&amp;"|"&amp;MAX(1,ROUND(COUNTIFS(MASTER!$B$4:$B$1463,"FUCT",MASTER!$G$4:$G$1463,"&lt;&gt;")*$A89*100/100,0)),MASTER!$AH$4:$AH$1463,0))="",NA(),INDEX(MASTER!$G$4:$G$1463,MATCH("FUCT"&amp;"|"&amp;MAX(1,ROUND(COUNTIFS(MASTER!$B$4:$B$1463,"FUCT",MASTER!$G$4:$G$1463,"&lt;&gt;")*$A89*100/100,0)),MASTER!$AH$4:$AH$1463,0))),NA()),IF($B$4="SECONDARY",IFERROR(IF(INDEX(MASTER!$L$4:$L$1463,MATCH("FUCT"&amp;"|"&amp;MAX(1,ROUND(COUNTIFS(MASTER!$B$4:$B$1463,"FUCT",MASTER!$L$4:$L$1463,"&lt;&gt;")*$A89*100/100,0)),MASTER!$AI$4:$AI$1463,0))="",NA(),INDEX(MASTER!$L$4:$L$1463,MATCH("FUCT"&amp;"|"&amp;MAX(1,ROUND(COUNTIFS(MASTER!$B$4:$B$1463,"FUCT",MASTER!$L$4:$L$1463,"&lt;&gt;")*$A89*100/100,0)),MASTER!$AI$4:$AI$1463,0))),NA()))))</f>
        <v>5524</v>
      </c>
      <c r="C89" s="37">
        <f>IF($B$4="RESONANCE",IFERROR(IF(INDEX(MASTER!$I$4:$I$1463,MATCH("LEGENDS"&amp;"|"&amp;MAX(1,ROUND(COUNTIFS(MASTER!$B$4:$B$1463,"LEGENDS",MASTER!$I$4:$I$1463,"&lt;&gt;")*$A89*100/100,0)),MASTER!$Y$4:$Y$1463,0))="",NA(),INDEX(MASTER!$I$4:$I$1463,MATCH("LEGENDS"&amp;"|"&amp;MAX(1,ROUND(COUNTIFS(MASTER!$B$4:$B$1463,"LEGENDS",MASTER!$I$4:$I$1463,"&lt;&gt;")*$A89*100/100,0)),MASTER!$Y$4:$Y$1463,0))),NA()),IF($B$4="COMBAT RATING",IFERROR(IF(INDEX(MASTER!$G$4:$G$1463,MATCH("LEGENDS"&amp;"|"&amp;MAX(1,ROUND(COUNTIFS(MASTER!$B$4:$B$1463,"LEGENDS",MASTER!$G$4:$G$1463,"&lt;&gt;")*$A89*100/100,0)),MASTER!$AH$4:$AH$1463,0))="",NA(),INDEX(MASTER!$G$4:$G$1463,MATCH("LEGENDS"&amp;"|"&amp;MAX(1,ROUND(COUNTIFS(MASTER!$B$4:$B$1463,"LEGENDS",MASTER!$G$4:$G$1463,"&lt;&gt;")*$A89*100/100,0)),MASTER!$AH$4:$AH$1463,0))),NA()),IF($B$4="SECONDARY",IFERROR(IF(INDEX(MASTER!$L$4:$L$1463,MATCH("LEGENDS"&amp;"|"&amp;MAX(1,ROUND(COUNTIFS(MASTER!$B$4:$B$1463,"LEGENDS",MASTER!$L$4:$L$1463,"&lt;&gt;")*$A89*100/100,0)),MASTER!$AI$4:$AI$1463,0))="",NA(),INDEX(MASTER!$L$4:$L$1463,MATCH("LEGENDS"&amp;"|"&amp;MAX(1,ROUND(COUNTIFS(MASTER!$B$4:$B$1463,"LEGENDS",MASTER!$L$4:$L$1463,"&lt;&gt;")*$A89*100/100,0)),MASTER!$AI$4:$AI$1463,0))),NA()))))</f>
        <v>5871</v>
      </c>
      <c r="D89" s="37">
        <f>IF($B$4="RESONANCE",IFERROR(IF(INDEX(MASTER!$I$4:$I$1463,MATCH("VANGUARD"&amp;"|"&amp;MAX(1,ROUND(COUNTIFS(MASTER!$B$4:$B$1463,"VANGUARD",MASTER!$I$4:$I$1463,"&lt;&gt;")*$A89*100/100,0)),MASTER!$Y$4:$Y$1463,0))="",NA(),INDEX(MASTER!$I$4:$I$1463,MATCH("VANGUARD"&amp;"|"&amp;MAX(1,ROUND(COUNTIFS(MASTER!$B$4:$B$1463,"VANGUARD",MASTER!$I$4:$I$1463,"&lt;&gt;")*$A89*100/100,0)),MASTER!$Y$4:$Y$1463,0))),NA()),IF($B$4="COMBAT RATING",IFERROR(IF(INDEX(MASTER!$G$4:$G$1463,MATCH("VANGUARD"&amp;"|"&amp;MAX(1,ROUND(COUNTIFS(MASTER!$B$4:$B$1463,"VANGUARD",MASTER!$G$4:$G$1463,"&lt;&gt;")*$A89*100/100,0)),MASTER!$AH$4:$AH$1463,0))="",NA(),INDEX(MASTER!$G$4:$G$1463,MATCH("VANGUARD"&amp;"|"&amp;MAX(1,ROUND(COUNTIFS(MASTER!$B$4:$B$1463,"VANGUARD",MASTER!$G$4:$G$1463,"&lt;&gt;")*$A89*100/100,0)),MASTER!$AH$4:$AH$1463,0))),NA()),IF($B$4="SECONDARY",IFERROR(IF(INDEX(MASTER!$L$4:$L$1463,MATCH("VANGUARD"&amp;"|"&amp;MAX(1,ROUND(COUNTIFS(MASTER!$B$4:$B$1463,"VANGUARD",MASTER!$L$4:$L$1463,"&lt;&gt;")*$A89*100/100,0)),MASTER!$AI$4:$AI$1463,0))="",NA(),INDEX(MASTER!$L$4:$L$1463,MATCH("VANGUARD"&amp;"|"&amp;MAX(1,ROUND(COUNTIFS(MASTER!$B$4:$B$1463,"VANGUARD",MASTER!$L$4:$L$1463,"&lt;&gt;")*$A89*100/100,0)),MASTER!$AI$4:$AI$1463,0))),NA()))))</f>
        <v>8068</v>
      </c>
      <c r="E89" s="37">
        <f>IF($B$4="RESONANCE",IFERROR(IF(INDEX(MASTER!$I$4:$I$1463,MATCH("UNDYING"&amp;"|"&amp;MAX(1,ROUND(COUNTIFS(MASTER!$B$4:$B$1463,"UNDYING",MASTER!$I$4:$I$1463,"&lt;&gt;")*$A89*100/100,0)),MASTER!$Y$4:$Y$1463,0))="",NA(),INDEX(MASTER!$I$4:$I$1463,MATCH("UNDYING"&amp;"|"&amp;MAX(1,ROUND(COUNTIFS(MASTER!$B$4:$B$1463,"UNDYING",MASTER!$I$4:$I$1463,"&lt;&gt;")*$A89*100/100,0)),MASTER!$Y$4:$Y$1463,0))),NA()),IF($B$4="COMBAT RATING",IFERROR(IF(INDEX(MASTER!$G$4:$G$1463,MATCH("UNDYING"&amp;"|"&amp;MAX(1,ROUND(COUNTIFS(MASTER!$B$4:$B$1463,"UNDYING",MASTER!$G$4:$G$1463,"&lt;&gt;")*$A89*100/100,0)),MASTER!$AH$4:$AH$1463,0))="",NA(),INDEX(MASTER!$G$4:$G$1463,MATCH("UNDYING"&amp;"|"&amp;MAX(1,ROUND(COUNTIFS(MASTER!$B$4:$B$1463,"UNDYING",MASTER!$G$4:$G$1463,"&lt;&gt;")*$A89*100/100,0)),MASTER!$AH$4:$AH$1463,0))),NA()),IF($B$4="SECONDARY",IFERROR(IF(INDEX(MASTER!$L$4:$L$1463,MATCH("UNDYING"&amp;"|"&amp;MAX(1,ROUND(COUNTIFS(MASTER!$B$4:$B$1463,"UNDYING",MASTER!$L$4:$L$1463,"&lt;&gt;")*$A89*100/100,0)),MASTER!$AI$4:$AI$1463,0))="",NA(),INDEX(MASTER!$L$4:$L$1463,MATCH("UNDYING"&amp;"|"&amp;MAX(1,ROUND(COUNTIFS(MASTER!$B$4:$B$1463,"UNDYING",MASTER!$L$4:$L$1463,"&lt;&gt;")*$A89*100/100,0)),MASTER!$AI$4:$AI$1463,0))),NA()))))</f>
        <v>4635</v>
      </c>
      <c r="F89" s="37">
        <f>IF($B$4="RESONANCE",IFERROR(IF(INDEX(MASTER!$I$4:$I$1463,MATCH("SBG"&amp;"|"&amp;MAX(1,ROUND(COUNTIFS(MASTER!$B$4:$B$1463,"SBG",MASTER!$I$4:$I$1463,"&lt;&gt;")*$A89*100/100,0)),MASTER!$Y$4:$Y$1463,0))="",NA(),INDEX(MASTER!$I$4:$I$1463,MATCH("SBG"&amp;"|"&amp;MAX(1,ROUND(COUNTIFS(MASTER!$B$4:$B$1463,"SBG",MASTER!$I$4:$I$1463,"&lt;&gt;")*$A89*100/100,0)),MASTER!$Y$4:$Y$1463,0))),NA()),IF($B$4="COMBAT RATING",IFERROR(IF(INDEX(MASTER!$G$4:$G$1463,MATCH("SBG"&amp;"|"&amp;MAX(1,ROUND(COUNTIFS(MASTER!$B$4:$B$1463,"SBG",MASTER!$G$4:$G$1463,"&lt;&gt;")*$A89*100/100,0)),MASTER!$AH$4:$AH$1463,0))="",NA(),INDEX(MASTER!$G$4:$G$1463,MATCH("SBG"&amp;"|"&amp;MAX(1,ROUND(COUNTIFS(MASTER!$B$4:$B$1463,"SBG",MASTER!$G$4:$G$1463,"&lt;&gt;")*$A89*100/100,0)),MASTER!$AH$4:$AH$1463,0))),NA()),IF($B$4="SECONDARY",IFERROR(IF(INDEX(MASTER!$L$4:$L$1463,MATCH("SBG"&amp;"|"&amp;MAX(1,ROUND(COUNTIFS(MASTER!$B$4:$B$1463,"SBG",MASTER!$L$4:$L$1463,"&lt;&gt;")*$A89*100/100,0)),MASTER!$AI$4:$AI$1463,0))="",NA(),INDEX(MASTER!$L$4:$L$1463,MATCH("SBG"&amp;"|"&amp;MAX(1,ROUND(COUNTIFS(MASTER!$B$4:$B$1463,"SBG",MASTER!$L$4:$L$1463,"&lt;&gt;")*$A89*100/100,0)),MASTER!$AI$4:$AI$1463,0))),NA()))))</f>
        <v>7128</v>
      </c>
      <c r="G89" s="37">
        <f>IF($B$4="RESONANCE",IFERROR(IF(INDEX(MASTER!$I$4:$I$1463,MATCH("AZUKI"&amp;"|"&amp;MAX(1,ROUND(COUNTIFS(MASTER!$B$4:$B$1463,"AZUKI",MASTER!$I$4:$I$1463,"&lt;&gt;")*$A89*100/100,0)),MASTER!$Y$4:$Y$1463,0))="",NA(),INDEX(MASTER!$I$4:$I$1463,MATCH("AZUKI"&amp;"|"&amp;MAX(1,ROUND(COUNTIFS(MASTER!$B$4:$B$1463,"AZUKI",MASTER!$I$4:$I$1463,"&lt;&gt;")*$A89*100/100,0)),MASTER!$Y$4:$Y$1463,0))),NA()),IF($B$4="COMBAT RATING",IFERROR(IF(INDEX(MASTER!$G$4:$G$1463,MATCH("AZUKI"&amp;"|"&amp;MAX(1,ROUND(COUNTIFS(MASTER!$B$4:$B$1463,"AZUKI",MASTER!$G$4:$G$1463,"&lt;&gt;")*$A89*100/100,0)),MASTER!$AH$4:$AH$1463,0))="",NA(),INDEX(MASTER!$G$4:$G$1463,MATCH("AZUKI"&amp;"|"&amp;MAX(1,ROUND(COUNTIFS(MASTER!$B$4:$B$1463,"AZUKI",MASTER!$G$4:$G$1463,"&lt;&gt;")*$A89*100/100,0)),MASTER!$AH$4:$AH$1463,0))),NA()),IF($B$4="SECONDARY",IFERROR(IF(INDEX(MASTER!$L$4:$L$1463,MATCH("AZUKI"&amp;"|"&amp;MAX(1,ROUND(COUNTIFS(MASTER!$B$4:$B$1463,"AZUKI",MASTER!$L$4:$L$1463,"&lt;&gt;")*$A89*100/100,0)),MASTER!$AI$4:$AI$1463,0))="",NA(),INDEX(MASTER!$L$4:$L$1463,MATCH("AZUKI"&amp;"|"&amp;MAX(1,ROUND(COUNTIFS(MASTER!$B$4:$B$1463,"AZUKI",MASTER!$L$4:$L$1463,"&lt;&gt;")*$A89*100/100,0)),MASTER!$AI$4:$AI$1463,0))),NA()))))</f>
        <v>6132</v>
      </c>
      <c r="H89" s="37">
        <f>IF($B$4="RESONANCE",IFERROR(IF(INDEX(MASTER!$I$4:$I$1463,MATCH("RECKONING"&amp;"|"&amp;MAX(1,ROUND(COUNTIFS(MASTER!$B$4:$B$1463,"RECKONING",MASTER!$I$4:$I$1463,"&lt;&gt;")*$A89*100/100,0)),MASTER!$Y$4:$Y$1463,0))="",NA(),INDEX(MASTER!$I$4:$I$1463,MATCH("RECKONING"&amp;"|"&amp;MAX(1,ROUND(COUNTIFS(MASTER!$B$4:$B$1463,"RECKONING",MASTER!$I$4:$I$1463,"&lt;&gt;")*$A89*100/100,0)),MASTER!$Y$4:$Y$1463,0))),NA()),IF($B$4="COMBAT RATING",IFERROR(IF(INDEX(MASTER!$G$4:$G$1463,MATCH("RECKONING"&amp;"|"&amp;MAX(1,ROUND(COUNTIFS(MASTER!$B$4:$B$1463,"RECKONING",MASTER!$G$4:$G$1463,"&lt;&gt;")*$A89*100/100,0)),MASTER!$AH$4:$AH$1463,0))="",NA(),INDEX(MASTER!$G$4:$G$1463,MATCH("RECKONING"&amp;"|"&amp;MAX(1,ROUND(COUNTIFS(MASTER!$B$4:$B$1463,"RECKONING",MASTER!$G$4:$G$1463,"&lt;&gt;")*$A89*100/100,0)),MASTER!$AH$4:$AH$1463,0))),NA()),IF($B$4="SECONDARY",IFERROR(IF(INDEX(MASTER!$L$4:$L$1463,MATCH("RECKONING"&amp;"|"&amp;MAX(1,ROUND(COUNTIFS(MASTER!$B$4:$B$1463,"RECKONING",MASTER!$L$4:$L$1463,"&lt;&gt;")*$A89*100/100,0)),MASTER!$AI$4:$AI$1463,0))="",NA(),INDEX(MASTER!$L$4:$L$1463,MATCH("RECKONING"&amp;"|"&amp;MAX(1,ROUND(COUNTIFS(MASTER!$B$4:$B$1463,"RECKONING",MASTER!$L$4:$L$1463,"&lt;&gt;")*$A89*100/100,0)),MASTER!$AI$4:$AI$1463,0))),NA()))))</f>
        <v>5933</v>
      </c>
      <c r="I89" s="37">
        <f>IF($B$4="RESONANCE",IFERROR(IF(INDEX(MASTER!$I$4:$I$1463,MATCH("ACHERON"&amp;"|"&amp;MAX(1,ROUND(COUNTIFS(MASTER!$B$4:$B$1463,"ACHERON",MASTER!$I$4:$I$1463,"&lt;&gt;")*$A89*100/100,0)),MASTER!$Y$4:$Y$1463,0))="",NA(),INDEX(MASTER!$I$4:$I$1463,MATCH("ACHERON"&amp;"|"&amp;MAX(1,ROUND(COUNTIFS(MASTER!$B$4:$B$1463,"ACHERON",MASTER!$I$4:$I$1463,"&lt;&gt;")*$A89*100/100,0)),MASTER!$Y$4:$Y$1463,0))),NA()),IF($B$4="COMBAT RATING",IFERROR(IF(INDEX(MASTER!$G$4:$G$1463,MATCH("ACHERON"&amp;"|"&amp;MAX(1,ROUND(COUNTIFS(MASTER!$B$4:$B$1463,"ACHERON",MASTER!$G$4:$G$1463,"&lt;&gt;")*$A89*100/100,0)),MASTER!$AH$4:$AH$1463,0))="",NA(),INDEX(MASTER!$G$4:$G$1463,MATCH("ACHERON"&amp;"|"&amp;MAX(1,ROUND(COUNTIFS(MASTER!$B$4:$B$1463,"ACHERON",MASTER!$G$4:$G$1463,"&lt;&gt;")*$A89*100/100,0)),MASTER!$AH$4:$AH$1463,0))),NA()),IF($B$4="SECONDARY",IFERROR(IF(INDEX(MASTER!$L$4:$L$1463,MATCH("ACHERON"&amp;"|"&amp;MAX(1,ROUND(COUNTIFS(MASTER!$B$4:$B$1463,"ACHERON",MASTER!$L$4:$L$1463,"&lt;&gt;")*$A89*100/100,0)),MASTER!$AI$4:$AI$1463,0))="",NA(),INDEX(MASTER!$L$4:$L$1463,MATCH("ACHERON"&amp;"|"&amp;MAX(1,ROUND(COUNTIFS(MASTER!$B$4:$B$1463,"ACHERON",MASTER!$L$4:$L$1463,"&lt;&gt;")*$A89*100/100,0)),MASTER!$AI$4:$AI$1463,0))),NA()))))</f>
        <v>4611</v>
      </c>
      <c r="J89" s="37">
        <f>IF($B$4="RESONANCE",IFERROR(IF(INDEX(MASTER!$I$4:$I$1463,MATCH("INVICTUS"&amp;"|"&amp;MAX(1,ROUND(COUNTIFS(MASTER!$B$4:$B$1463,"INVICTUS",MASTER!$I$4:$I$1463,"&lt;&gt;")*$A89*100/100,0)),MASTER!$Y$4:$Y$1463,0))="",NA(),INDEX(MASTER!$I$4:$I$1463,MATCH("INVICTUS"&amp;"|"&amp;MAX(1,ROUND(COUNTIFS(MASTER!$B$4:$B$1463,"INVICTUS",MASTER!$I$4:$I$1463,"&lt;&gt;")*$A89*100/100,0)),MASTER!$Y$4:$Y$1463,0))),NA()),IF($B$4="COMBAT RATING",IFERROR(IF(INDEX(MASTER!$G$4:$G$1463,MATCH("INVICTUS"&amp;"|"&amp;MAX(1,ROUND(COUNTIFS(MASTER!$B$4:$B$1463,"INVICTUS",MASTER!$G$4:$G$1463,"&lt;&gt;")*$A89*100/100,0)),MASTER!$AH$4:$AH$1463,0))="",NA(),INDEX(MASTER!$G$4:$G$1463,MATCH("INVICTUS"&amp;"|"&amp;MAX(1,ROUND(COUNTIFS(MASTER!$B$4:$B$1463,"INVICTUS",MASTER!$G$4:$G$1463,"&lt;&gt;")*$A89*100/100,0)),MASTER!$AH$4:$AH$1463,0))),NA()),IF($B$4="SECONDARY",IFERROR(IF(INDEX(MASTER!$L$4:$L$1463,MATCH("INVICTUS"&amp;"|"&amp;MAX(1,ROUND(COUNTIFS(MASTER!$B$4:$B$1463,"INVICTUS",MASTER!$L$4:$L$1463,"&lt;&gt;")*$A89*100/100,0)),MASTER!$AI$4:$AI$1463,0))="",NA(),INDEX(MASTER!$L$4:$L$1463,MATCH("INVICTUS"&amp;"|"&amp;MAX(1,ROUND(COUNTIFS(MASTER!$B$4:$B$1463,"INVICTUS",MASTER!$L$4:$L$1463,"&lt;&gt;")*$A89*100/100,0)),MASTER!$AI$4:$AI$1463,0))),NA()))))</f>
        <v>3500</v>
      </c>
      <c r="K89" s="37">
        <f>IF($B$4="RESONANCE",IFERROR(IF(INDEX(MASTER!$I$4:$I$1463,MATCH("EMERALD LEAF TRIBE"&amp;"|"&amp;MAX(1,ROUND(COUNTIFS(MASTER!$B$4:$B$1463,"EMERALD LEAF TRIBE",MASTER!$I$4:$I$1463,"&lt;&gt;")*$A89*100/100,0)),MASTER!$Y$4:$Y$1463,0))="",NA(),INDEX(MASTER!$I$4:$I$1463,MATCH("EMERALD LEAF TRIBE"&amp;"|"&amp;MAX(1,ROUND(COUNTIFS(MASTER!$B$4:$B$1463,"EMERALD LEAF TRIBE",MASTER!$I$4:$I$1463,"&lt;&gt;")*$A89*100/100,0)),MASTER!$Y$4:$Y$1463,0))),NA()),IF($B$4="COMBAT RATING",IFERROR(IF(INDEX(MASTER!$G$4:$G$1463,MATCH("EMERALD LEAF TRIBE"&amp;"|"&amp;MAX(1,ROUND(COUNTIFS(MASTER!$B$4:$B$1463,"EMERALD LEAF TRIBE",MASTER!$G$4:$G$1463,"&lt;&gt;")*$A89*100/100,0)),MASTER!$AH$4:$AH$1463,0))="",NA(),INDEX(MASTER!$G$4:$G$1463,MATCH("EMERALD LEAF TRIBE"&amp;"|"&amp;MAX(1,ROUND(COUNTIFS(MASTER!$B$4:$B$1463,"EMERALD LEAF TRIBE",MASTER!$G$4:$G$1463,"&lt;&gt;")*$A89*100/100,0)),MASTER!$AH$4:$AH$1463,0))),NA()),IF($B$4="SECONDARY",IFERROR(IF(INDEX(MASTER!$L$4:$L$1463,MATCH("EMERALD LEAF TRIBE"&amp;"|"&amp;MAX(1,ROUND(COUNTIFS(MASTER!$B$4:$B$1463,"EMERALD LEAF TRIBE",MASTER!$L$4:$L$1463,"&lt;&gt;")*$A89*100/100,0)),MASTER!$AI$4:$AI$1463,0))="",NA(),INDEX(MASTER!$L$4:$L$1463,MATCH("EMERALD LEAF TRIBE"&amp;"|"&amp;MAX(1,ROUND(COUNTIFS(MASTER!$B$4:$B$1463,"EMERALD LEAF TRIBE",MASTER!$L$4:$L$1463,"&lt;&gt;")*$A89*100/100,0)),MASTER!$AI$4:$AI$1463,0))),NA()))))</f>
        <v>2622</v>
      </c>
      <c r="L89" s="37">
        <f>IF($B$4="RESONANCE",IFERROR(IF(INDEX(MASTER!$I$4:$I$1463,MATCH("SUB ROSA"&amp;"|"&amp;MAX(1,ROUND(COUNTIFS(MASTER!$B$4:$B$1463,"SUB ROSA",MASTER!$I$4:$I$1463,"&lt;&gt;")*$A89*100/100,0)),MASTER!$Y$4:$Y$1463,0))="",NA(),INDEX(MASTER!$I$4:$I$1463,MATCH("SUB ROSA"&amp;"|"&amp;MAX(1,ROUND(COUNTIFS(MASTER!$B$4:$B$1463,"SUB ROSA",MASTER!$I$4:$I$1463,"&lt;&gt;")*$A89*100/100,0)),MASTER!$Y$4:$Y$1463,0))),NA()),IF($B$4="COMBAT RATING",IFERROR(IF(INDEX(MASTER!$G$4:$G$1463,MATCH("SUB ROSA"&amp;"|"&amp;MAX(1,ROUND(COUNTIFS(MASTER!$B$4:$B$1463,"SUB ROSA",MASTER!$G$4:$G$1463,"&lt;&gt;")*$A89*100/100,0)),MASTER!$AH$4:$AH$1463,0))="",NA(),INDEX(MASTER!$G$4:$G$1463,MATCH("SUB ROSA"&amp;"|"&amp;MAX(1,ROUND(COUNTIFS(MASTER!$B$4:$B$1463,"SUB ROSA",MASTER!$G$4:$G$1463,"&lt;&gt;")*$A89*100/100,0)),MASTER!$AH$4:$AH$1463,0))),NA()),IF($B$4="SECONDARY",IFERROR(IF(INDEX(MASTER!$L$4:$L$1463,MATCH("SUB ROSA"&amp;"|"&amp;MAX(1,ROUND(COUNTIFS(MASTER!$B$4:$B$1463,"SUB ROSA",MASTER!$L$4:$L$1463,"&lt;&gt;")*$A89*100/100,0)),MASTER!$AI$4:$AI$1463,0))="",NA(),INDEX(MASTER!$L$4:$L$1463,MATCH("SUB ROSA"&amp;"|"&amp;MAX(1,ROUND(COUNTIFS(MASTER!$B$4:$B$1463,"SUB ROSA",MASTER!$L$4:$L$1463,"&lt;&gt;")*$A89*100/100,0)),MASTER!$AI$4:$AI$1463,0))),NA()))))</f>
        <v>3140</v>
      </c>
      <c r="M89" s="37">
        <f>IF($B$4="RESONANCE",IFERROR(IF(INDEX(MASTER!$I$4:$I$1463,MATCH("VENGEANCE"&amp;"|"&amp;MAX(1,ROUND(COUNTIFS(MASTER!$B$4:$B$1463,"VENGEANCE",MASTER!$I$4:$I$1463,"&lt;&gt;")*$A89*100/100,0)),MASTER!$Y$4:$Y$1463,0))="",NA(),INDEX(MASTER!$I$4:$I$1463,MATCH("VENGEANCE"&amp;"|"&amp;MAX(1,ROUND(COUNTIFS(MASTER!$B$4:$B$1463,"VENGEANCE",MASTER!$I$4:$I$1463,"&lt;&gt;")*$A89*100/100,0)),MASTER!$Y$4:$Y$1463,0))),NA()),IF($B$4="COMBAT RATING",IFERROR(IF(INDEX(MASTER!$G$4:$G$1463,MATCH("VENGEANCE"&amp;"|"&amp;MAX(1,ROUND(COUNTIFS(MASTER!$B$4:$B$1463,"VENGEANCE",MASTER!$G$4:$G$1463,"&lt;&gt;")*$A89*100/100,0)),MASTER!$AH$4:$AH$1463,0))="",NA(),INDEX(MASTER!$G$4:$G$1463,MATCH("VENGEANCE"&amp;"|"&amp;MAX(1,ROUND(COUNTIFS(MASTER!$B$4:$B$1463,"VENGEANCE",MASTER!$G$4:$G$1463,"&lt;&gt;")*$A89*100/100,0)),MASTER!$AH$4:$AH$1463,0))),NA()),IF($B$4="SECONDARY",IFERROR(IF(INDEX(MASTER!$L$4:$L$1463,MATCH("VENGEANCE"&amp;"|"&amp;MAX(1,ROUND(COUNTIFS(MASTER!$B$4:$B$1463,"VENGEANCE",MASTER!$L$4:$L$1463,"&lt;&gt;")*$A89*100/100,0)),MASTER!$AI$4:$AI$1463,0))="",NA(),INDEX(MASTER!$L$4:$L$1463,MATCH("VENGEANCE"&amp;"|"&amp;MAX(1,ROUND(COUNTIFS(MASTER!$B$4:$B$1463,"VENGEANCE",MASTER!$L$4:$L$1463,"&lt;&gt;")*$A89*100/100,0)),MASTER!$AI$4:$AI$1463,0))),NA()))))</f>
        <v>4030</v>
      </c>
      <c r="N89" s="37">
        <f>IF($B$4="RESONANCE",IFERROR(IF(INDEX(MASTER!$I$4:$I$1463,MATCH("VENDETTA"&amp;"|"&amp;MAX(1,ROUND(COUNTIFS(MASTER!$B$4:$B$1463,"VENDETTA",MASTER!$I$4:$I$1463,"&lt;&gt;")*$A89*100/100,0)),MASTER!$Y$4:$Y$1463,0))="",NA(),INDEX(MASTER!$I$4:$I$1463,MATCH("VENDETTA"&amp;"|"&amp;MAX(1,ROUND(COUNTIFS(MASTER!$B$4:$B$1463,"VENDETTA",MASTER!$I$4:$I$1463,"&lt;&gt;")*$A89*100/100,0)),MASTER!$Y$4:$Y$1463,0))),NA()),IF($B$4="COMBAT RATING",IFERROR(IF(INDEX(MASTER!$G$4:$G$1463,MATCH("VENDETTA"&amp;"|"&amp;MAX(1,ROUND(COUNTIFS(MASTER!$B$4:$B$1463,"VENDETTA",MASTER!$G$4:$G$1463,"&lt;&gt;")*$A89*100/100,0)),MASTER!$AH$4:$AH$1463,0))="",NA(),INDEX(MASTER!$G$4:$G$1463,MATCH("VENDETTA"&amp;"|"&amp;MAX(1,ROUND(COUNTIFS(MASTER!$B$4:$B$1463,"VENDETTA",MASTER!$G$4:$G$1463,"&lt;&gt;")*$A89*100/100,0)),MASTER!$AH$4:$AH$1463,0))),NA()),IF($B$4="SECONDARY",IFERROR(IF(INDEX(MASTER!$L$4:$L$1463,MATCH("VENDETTA"&amp;"|"&amp;MAX(1,ROUND(COUNTIFS(MASTER!$B$4:$B$1463,"VENDETTA",MASTER!$L$4:$L$1463,"&lt;&gt;")*$A89*100/100,0)),MASTER!$AI$4:$AI$1463,0))="",NA(),INDEX(MASTER!$L$4:$L$1463,MATCH("VENDETTA"&amp;"|"&amp;MAX(1,ROUND(COUNTIFS(MASTER!$B$4:$B$1463,"VENDETTA",MASTER!$L$4:$L$1463,"&lt;&gt;")*$A89*100/100,0)),MASTER!$AI$4:$AI$1463,0))),NA()))))</f>
        <v>2454</v>
      </c>
      <c r="O89" s="37">
        <f>IF($B$4="RESONANCE",IFERROR(IF(INDEX(MASTER!$I$4:$I$1463,MATCH("ZOMBIES"&amp;"|"&amp;MAX(1,ROUND(COUNTIFS(MASTER!$B$4:$B$1463,"ZOMBIES",MASTER!$I$4:$I$1463,"&lt;&gt;")*$A89*100/100,0)),MASTER!$Y$4:$Y$1463,0))="",NA(),INDEX(MASTER!$I$4:$I$1463,MATCH("ZOMBIES"&amp;"|"&amp;MAX(1,ROUND(COUNTIFS(MASTER!$B$4:$B$1463,"ZOMBIES",MASTER!$I$4:$I$1463,"&lt;&gt;")*$A89*100/100,0)),MASTER!$Y$4:$Y$1463,0))),NA()),IF($B$4="COMBAT RATING",IFERROR(IF(INDEX(MASTER!$G$4:$G$1463,MATCH("ZOMBIES"&amp;"|"&amp;MAX(1,ROUND(COUNTIFS(MASTER!$B$4:$B$1463,"ZOMBIES",MASTER!$G$4:$G$1463,"&lt;&gt;")*$A89*100/100,0)),MASTER!$AH$4:$AH$1463,0))="",NA(),INDEX(MASTER!$G$4:$G$1463,MATCH("ZOMBIES"&amp;"|"&amp;MAX(1,ROUND(COUNTIFS(MASTER!$B$4:$B$1463,"ZOMBIES",MASTER!$G$4:$G$1463,"&lt;&gt;")*$A89*100/100,0)),MASTER!$AH$4:$AH$1463,0))),NA()),IF($B$4="SECONDARY",IFERROR(IF(INDEX(MASTER!$L$4:$L$1463,MATCH("ZOMBIES"&amp;"|"&amp;MAX(1,ROUND(COUNTIFS(MASTER!$B$4:$B$1463,"ZOMBIES",MASTER!$L$4:$L$1463,"&lt;&gt;")*$A89*100/100,0)),MASTER!$AI$4:$AI$1463,0))="",NA(),INDEX(MASTER!$L$4:$L$1463,MATCH("ZOMBIES"&amp;"|"&amp;MAX(1,ROUND(COUNTIFS(MASTER!$B$4:$B$1463,"ZOMBIES",MASTER!$L$4:$L$1463,"&lt;&gt;")*$A89*100/100,0)),MASTER!$AI$4:$AI$1463,0))),NA()))))</f>
        <v>2290</v>
      </c>
      <c r="P89" s="37">
        <f>IF($B$4="RESONANCE",IFERROR(IF(INDEX(MASTER!$I$4:$I$1463,MATCH("FUCT"&amp;"|"&amp;MAX(1,ROUND(COUNTIFS(MASTER!$B$4:$B$1463,"FUCT",MASTER!$I$4:$I$1463,"&lt;&gt;")*$A89*100/100,0)),MASTER!$Y$4:$Y$1463,0))="",NA(),INDEX(MASTER!$I$4:$I$1463,MATCH("FUCT"&amp;"|"&amp;MAX(1,ROUND(COUNTIFS(MASTER!$B$4:$B$1463,"FUCT",MASTER!$I$4:$I$1463,"&lt;&gt;")*$A89*100/100,0)),MASTER!$Y$4:$Y$1463,0))),NA()),IF($B$4="COMBAT RATING",IFERROR(IF(INDEX(MASTER!$G$4:$G$1463,MATCH("FUCT"&amp;"|"&amp;MAX(1,ROUND(COUNTIFS(MASTER!$B$4:$B$1463,"FUCT",MASTER!$G$4:$G$1463,"&lt;&gt;")*$A89*100/100,0)),MASTER!$AH$4:$AH$1463,0))="",NA(),INDEX(MASTER!$G$4:$G$1463,MATCH("FUCT"&amp;"|"&amp;MAX(1,ROUND(COUNTIFS(MASTER!$B$4:$B$1463,"FUCT",MASTER!$G$4:$G$1463,"&lt;&gt;")*$A89*100/100,0)),MASTER!$AH$4:$AH$1463,0))),NA()),IF($B$4="SECONDARY",IFERROR(IF(INDEX(MASTER!$L$4:$L$1463,MATCH("FUCT"&amp;"|"&amp;MAX(1,ROUND(COUNTIFS(MASTER!$B$4:$B$1463,"FUCT",MASTER!$L$4:$L$1463,"&lt;&gt;")*$A89*100/100,0)),MASTER!$AI$4:$AI$1463,0))="",NA(),INDEX(MASTER!$L$4:$L$1463,MATCH("FUCT"&amp;"|"&amp;MAX(1,ROUND(COUNTIFS(MASTER!$B$4:$B$1463,"FUCT",MASTER!$L$4:$L$1463,"&lt;&gt;")*$A89*100/100,0)),MASTER!$AI$4:$AI$1463,0))),NA()))))</f>
        <v>5524</v>
      </c>
      <c r="Q89" s="37">
        <f>IF($B$4="RESONANCE",IFERROR(IF(INDEX(MASTER!$I$4:$I$1463,MATCH($E$4&amp;"|"&amp;MAX(1,ROUND(COUNTIFS(MASTER!$B$4:$B$1463,$E$4,MASTER!$I$4:$I$1463,"&lt;&gt;")*$A89*100/100,0)),MASTER!$Y$4:$Y$1463,0))="",NA(),INDEX(MASTER!$I$4:$I$1463,MATCH($E$4&amp;"|"&amp;MAX(1,ROUND(COUNTIFS(MASTER!$B$4:$B$1463,$E$4,MASTER!$I$4:$I$1463,"&lt;&gt;")*$A89*100/100,0)),MASTER!$Y$4:$Y$1463,0))),NA()),IF($B$4="COMBAT RATING",IFERROR(IF(INDEX(MASTER!$G$4:$G$1463,MATCH($E$4&amp;"|"&amp;MAX(1,ROUND(COUNTIFS(MASTER!$B$4:$B$1463,$E$4,MASTER!$G$4:$G$1463,"&lt;&gt;")*$A89*100/100,0)),MASTER!$AH$4:$AH$1463,0))="",NA(),INDEX(MASTER!$G$4:$G$1463,MATCH($E$4&amp;"|"&amp;MAX(1,ROUND(COUNTIFS(MASTER!$B$4:$B$1463,$E$4,MASTER!$G$4:$G$1463,"&lt;&gt;")*$A89*100/100,0)),MASTER!$AH$4:$AH$1463,0))),NA()),IF($B$4="SECONDARY",IFERROR(IF(INDEX(MASTER!$L$4:$L$1463,MATCH($E$4&amp;"|"&amp;MAX(1,ROUND(COUNTIFS(MASTER!$B$4:$B$1463,$E$4,MASTER!$L$4:$L$1463,"&lt;&gt;")*$A89*100/100,0)),MASTER!$AI$4:$AI$1463,0))="",NA(),INDEX(MASTER!$L$4:$L$1463,MATCH($E$4&amp;"|"&amp;MAX(1,ROUND(COUNTIFS(MASTER!$B$4:$B$1463,$E$4,MASTER!$L$4:$L$1463,"&lt;&gt;")*$A89*100/100,0)),MASTER!$AI$4:$AI$1463,0))),NA()))))</f>
        <v>4635</v>
      </c>
    </row>
    <row r="90" spans="1:17" hidden="1">
      <c r="A90" s="36">
        <v>0.35</v>
      </c>
      <c r="B90" s="37">
        <f>IF($B$4="RESONANCE",IFERROR(IF(INDEX(MASTER!$I$4:$I$1463,MATCH("FUCT"&amp;"|"&amp;MAX(1,ROUND(COUNTIFS(MASTER!$B$4:$B$1463,"FUCT",MASTER!$I$4:$I$1463,"&lt;&gt;")*$A90*100/100,0)),MASTER!$Y$4:$Y$1463,0))="",NA(),INDEX(MASTER!$I$4:$I$1463,MATCH("FUCT"&amp;"|"&amp;MAX(1,ROUND(COUNTIFS(MASTER!$B$4:$B$1463,"FUCT",MASTER!$I$4:$I$1463,"&lt;&gt;")*$A90*100/100,0)),MASTER!$Y$4:$Y$1463,0))),NA()),IF($B$4="COMBAT RATING",IFERROR(IF(INDEX(MASTER!$G$4:$G$1463,MATCH("FUCT"&amp;"|"&amp;MAX(1,ROUND(COUNTIFS(MASTER!$B$4:$B$1463,"FUCT",MASTER!$G$4:$G$1463,"&lt;&gt;")*$A90*100/100,0)),MASTER!$AH$4:$AH$1463,0))="",NA(),INDEX(MASTER!$G$4:$G$1463,MATCH("FUCT"&amp;"|"&amp;MAX(1,ROUND(COUNTIFS(MASTER!$B$4:$B$1463,"FUCT",MASTER!$G$4:$G$1463,"&lt;&gt;")*$A90*100/100,0)),MASTER!$AH$4:$AH$1463,0))),NA()),IF($B$4="SECONDARY",IFERROR(IF(INDEX(MASTER!$L$4:$L$1463,MATCH("FUCT"&amp;"|"&amp;MAX(1,ROUND(COUNTIFS(MASTER!$B$4:$B$1463,"FUCT",MASTER!$L$4:$L$1463,"&lt;&gt;")*$A90*100/100,0)),MASTER!$AI$4:$AI$1463,0))="",NA(),INDEX(MASTER!$L$4:$L$1463,MATCH("FUCT"&amp;"|"&amp;MAX(1,ROUND(COUNTIFS(MASTER!$B$4:$B$1463,"FUCT",MASTER!$L$4:$L$1463,"&lt;&gt;")*$A90*100/100,0)),MASTER!$AI$4:$AI$1463,0))),NA()))))</f>
        <v>5492</v>
      </c>
      <c r="C90" s="37">
        <f>IF($B$4="RESONANCE",IFERROR(IF(INDEX(MASTER!$I$4:$I$1463,MATCH("LEGENDS"&amp;"|"&amp;MAX(1,ROUND(COUNTIFS(MASTER!$B$4:$B$1463,"LEGENDS",MASTER!$I$4:$I$1463,"&lt;&gt;")*$A90*100/100,0)),MASTER!$Y$4:$Y$1463,0))="",NA(),INDEX(MASTER!$I$4:$I$1463,MATCH("LEGENDS"&amp;"|"&amp;MAX(1,ROUND(COUNTIFS(MASTER!$B$4:$B$1463,"LEGENDS",MASTER!$I$4:$I$1463,"&lt;&gt;")*$A90*100/100,0)),MASTER!$Y$4:$Y$1463,0))),NA()),IF($B$4="COMBAT RATING",IFERROR(IF(INDEX(MASTER!$G$4:$G$1463,MATCH("LEGENDS"&amp;"|"&amp;MAX(1,ROUND(COUNTIFS(MASTER!$B$4:$B$1463,"LEGENDS",MASTER!$G$4:$G$1463,"&lt;&gt;")*$A90*100/100,0)),MASTER!$AH$4:$AH$1463,0))="",NA(),INDEX(MASTER!$G$4:$G$1463,MATCH("LEGENDS"&amp;"|"&amp;MAX(1,ROUND(COUNTIFS(MASTER!$B$4:$B$1463,"LEGENDS",MASTER!$G$4:$G$1463,"&lt;&gt;")*$A90*100/100,0)),MASTER!$AH$4:$AH$1463,0))),NA()),IF($B$4="SECONDARY",IFERROR(IF(INDEX(MASTER!$L$4:$L$1463,MATCH("LEGENDS"&amp;"|"&amp;MAX(1,ROUND(COUNTIFS(MASTER!$B$4:$B$1463,"LEGENDS",MASTER!$L$4:$L$1463,"&lt;&gt;")*$A90*100/100,0)),MASTER!$AI$4:$AI$1463,0))="",NA(),INDEX(MASTER!$L$4:$L$1463,MATCH("LEGENDS"&amp;"|"&amp;MAX(1,ROUND(COUNTIFS(MASTER!$B$4:$B$1463,"LEGENDS",MASTER!$L$4:$L$1463,"&lt;&gt;")*$A90*100/100,0)),MASTER!$AI$4:$AI$1463,0))),NA()))))</f>
        <v>5730</v>
      </c>
      <c r="D90" s="37">
        <f>IF($B$4="RESONANCE",IFERROR(IF(INDEX(MASTER!$I$4:$I$1463,MATCH("VANGUARD"&amp;"|"&amp;MAX(1,ROUND(COUNTIFS(MASTER!$B$4:$B$1463,"VANGUARD",MASTER!$I$4:$I$1463,"&lt;&gt;")*$A90*100/100,0)),MASTER!$Y$4:$Y$1463,0))="",NA(),INDEX(MASTER!$I$4:$I$1463,MATCH("VANGUARD"&amp;"|"&amp;MAX(1,ROUND(COUNTIFS(MASTER!$B$4:$B$1463,"VANGUARD",MASTER!$I$4:$I$1463,"&lt;&gt;")*$A90*100/100,0)),MASTER!$Y$4:$Y$1463,0))),NA()),IF($B$4="COMBAT RATING",IFERROR(IF(INDEX(MASTER!$G$4:$G$1463,MATCH("VANGUARD"&amp;"|"&amp;MAX(1,ROUND(COUNTIFS(MASTER!$B$4:$B$1463,"VANGUARD",MASTER!$G$4:$G$1463,"&lt;&gt;")*$A90*100/100,0)),MASTER!$AH$4:$AH$1463,0))="",NA(),INDEX(MASTER!$G$4:$G$1463,MATCH("VANGUARD"&amp;"|"&amp;MAX(1,ROUND(COUNTIFS(MASTER!$B$4:$B$1463,"VANGUARD",MASTER!$G$4:$G$1463,"&lt;&gt;")*$A90*100/100,0)),MASTER!$AH$4:$AH$1463,0))),NA()),IF($B$4="SECONDARY",IFERROR(IF(INDEX(MASTER!$L$4:$L$1463,MATCH("VANGUARD"&amp;"|"&amp;MAX(1,ROUND(COUNTIFS(MASTER!$B$4:$B$1463,"VANGUARD",MASTER!$L$4:$L$1463,"&lt;&gt;")*$A90*100/100,0)),MASTER!$AI$4:$AI$1463,0))="",NA(),INDEX(MASTER!$L$4:$L$1463,MATCH("VANGUARD"&amp;"|"&amp;MAX(1,ROUND(COUNTIFS(MASTER!$B$4:$B$1463,"VANGUARD",MASTER!$L$4:$L$1463,"&lt;&gt;")*$A90*100/100,0)),MASTER!$AI$4:$AI$1463,0))),NA()))))</f>
        <v>8028</v>
      </c>
      <c r="E90" s="37">
        <f>IF($B$4="RESONANCE",IFERROR(IF(INDEX(MASTER!$I$4:$I$1463,MATCH("UNDYING"&amp;"|"&amp;MAX(1,ROUND(COUNTIFS(MASTER!$B$4:$B$1463,"UNDYING",MASTER!$I$4:$I$1463,"&lt;&gt;")*$A90*100/100,0)),MASTER!$Y$4:$Y$1463,0))="",NA(),INDEX(MASTER!$I$4:$I$1463,MATCH("UNDYING"&amp;"|"&amp;MAX(1,ROUND(COUNTIFS(MASTER!$B$4:$B$1463,"UNDYING",MASTER!$I$4:$I$1463,"&lt;&gt;")*$A90*100/100,0)),MASTER!$Y$4:$Y$1463,0))),NA()),IF($B$4="COMBAT RATING",IFERROR(IF(INDEX(MASTER!$G$4:$G$1463,MATCH("UNDYING"&amp;"|"&amp;MAX(1,ROUND(COUNTIFS(MASTER!$B$4:$B$1463,"UNDYING",MASTER!$G$4:$G$1463,"&lt;&gt;")*$A90*100/100,0)),MASTER!$AH$4:$AH$1463,0))="",NA(),INDEX(MASTER!$G$4:$G$1463,MATCH("UNDYING"&amp;"|"&amp;MAX(1,ROUND(COUNTIFS(MASTER!$B$4:$B$1463,"UNDYING",MASTER!$G$4:$G$1463,"&lt;&gt;")*$A90*100/100,0)),MASTER!$AH$4:$AH$1463,0))),NA()),IF($B$4="SECONDARY",IFERROR(IF(INDEX(MASTER!$L$4:$L$1463,MATCH("UNDYING"&amp;"|"&amp;MAX(1,ROUND(COUNTIFS(MASTER!$B$4:$B$1463,"UNDYING",MASTER!$L$4:$L$1463,"&lt;&gt;")*$A90*100/100,0)),MASTER!$AI$4:$AI$1463,0))="",NA(),INDEX(MASTER!$L$4:$L$1463,MATCH("UNDYING"&amp;"|"&amp;MAX(1,ROUND(COUNTIFS(MASTER!$B$4:$B$1463,"UNDYING",MASTER!$L$4:$L$1463,"&lt;&gt;")*$A90*100/100,0)),MASTER!$AI$4:$AI$1463,0))),NA()))))</f>
        <v>4549</v>
      </c>
      <c r="F90" s="37">
        <f>IF($B$4="RESONANCE",IFERROR(IF(INDEX(MASTER!$I$4:$I$1463,MATCH("SBG"&amp;"|"&amp;MAX(1,ROUND(COUNTIFS(MASTER!$B$4:$B$1463,"SBG",MASTER!$I$4:$I$1463,"&lt;&gt;")*$A90*100/100,0)),MASTER!$Y$4:$Y$1463,0))="",NA(),INDEX(MASTER!$I$4:$I$1463,MATCH("SBG"&amp;"|"&amp;MAX(1,ROUND(COUNTIFS(MASTER!$B$4:$B$1463,"SBG",MASTER!$I$4:$I$1463,"&lt;&gt;")*$A90*100/100,0)),MASTER!$Y$4:$Y$1463,0))),NA()),IF($B$4="COMBAT RATING",IFERROR(IF(INDEX(MASTER!$G$4:$G$1463,MATCH("SBG"&amp;"|"&amp;MAX(1,ROUND(COUNTIFS(MASTER!$B$4:$B$1463,"SBG",MASTER!$G$4:$G$1463,"&lt;&gt;")*$A90*100/100,0)),MASTER!$AH$4:$AH$1463,0))="",NA(),INDEX(MASTER!$G$4:$G$1463,MATCH("SBG"&amp;"|"&amp;MAX(1,ROUND(COUNTIFS(MASTER!$B$4:$B$1463,"SBG",MASTER!$G$4:$G$1463,"&lt;&gt;")*$A90*100/100,0)),MASTER!$AH$4:$AH$1463,0))),NA()),IF($B$4="SECONDARY",IFERROR(IF(INDEX(MASTER!$L$4:$L$1463,MATCH("SBG"&amp;"|"&amp;MAX(1,ROUND(COUNTIFS(MASTER!$B$4:$B$1463,"SBG",MASTER!$L$4:$L$1463,"&lt;&gt;")*$A90*100/100,0)),MASTER!$AI$4:$AI$1463,0))="",NA(),INDEX(MASTER!$L$4:$L$1463,MATCH("SBG"&amp;"|"&amp;MAX(1,ROUND(COUNTIFS(MASTER!$B$4:$B$1463,"SBG",MASTER!$L$4:$L$1463,"&lt;&gt;")*$A90*100/100,0)),MASTER!$AI$4:$AI$1463,0))),NA()))))</f>
        <v>7051</v>
      </c>
      <c r="G90" s="37">
        <f>IF($B$4="RESONANCE",IFERROR(IF(INDEX(MASTER!$I$4:$I$1463,MATCH("AZUKI"&amp;"|"&amp;MAX(1,ROUND(COUNTIFS(MASTER!$B$4:$B$1463,"AZUKI",MASTER!$I$4:$I$1463,"&lt;&gt;")*$A90*100/100,0)),MASTER!$Y$4:$Y$1463,0))="",NA(),INDEX(MASTER!$I$4:$I$1463,MATCH("AZUKI"&amp;"|"&amp;MAX(1,ROUND(COUNTIFS(MASTER!$B$4:$B$1463,"AZUKI",MASTER!$I$4:$I$1463,"&lt;&gt;")*$A90*100/100,0)),MASTER!$Y$4:$Y$1463,0))),NA()),IF($B$4="COMBAT RATING",IFERROR(IF(INDEX(MASTER!$G$4:$G$1463,MATCH("AZUKI"&amp;"|"&amp;MAX(1,ROUND(COUNTIFS(MASTER!$B$4:$B$1463,"AZUKI",MASTER!$G$4:$G$1463,"&lt;&gt;")*$A90*100/100,0)),MASTER!$AH$4:$AH$1463,0))="",NA(),INDEX(MASTER!$G$4:$G$1463,MATCH("AZUKI"&amp;"|"&amp;MAX(1,ROUND(COUNTIFS(MASTER!$B$4:$B$1463,"AZUKI",MASTER!$G$4:$G$1463,"&lt;&gt;")*$A90*100/100,0)),MASTER!$AH$4:$AH$1463,0))),NA()),IF($B$4="SECONDARY",IFERROR(IF(INDEX(MASTER!$L$4:$L$1463,MATCH("AZUKI"&amp;"|"&amp;MAX(1,ROUND(COUNTIFS(MASTER!$B$4:$B$1463,"AZUKI",MASTER!$L$4:$L$1463,"&lt;&gt;")*$A90*100/100,0)),MASTER!$AI$4:$AI$1463,0))="",NA(),INDEX(MASTER!$L$4:$L$1463,MATCH("AZUKI"&amp;"|"&amp;MAX(1,ROUND(COUNTIFS(MASTER!$B$4:$B$1463,"AZUKI",MASTER!$L$4:$L$1463,"&lt;&gt;")*$A90*100/100,0)),MASTER!$AI$4:$AI$1463,0))),NA()))))</f>
        <v>6063</v>
      </c>
      <c r="H90" s="37">
        <f>IF($B$4="RESONANCE",IFERROR(IF(INDEX(MASTER!$I$4:$I$1463,MATCH("RECKONING"&amp;"|"&amp;MAX(1,ROUND(COUNTIFS(MASTER!$B$4:$B$1463,"RECKONING",MASTER!$I$4:$I$1463,"&lt;&gt;")*$A90*100/100,0)),MASTER!$Y$4:$Y$1463,0))="",NA(),INDEX(MASTER!$I$4:$I$1463,MATCH("RECKONING"&amp;"|"&amp;MAX(1,ROUND(COUNTIFS(MASTER!$B$4:$B$1463,"RECKONING",MASTER!$I$4:$I$1463,"&lt;&gt;")*$A90*100/100,0)),MASTER!$Y$4:$Y$1463,0))),NA()),IF($B$4="COMBAT RATING",IFERROR(IF(INDEX(MASTER!$G$4:$G$1463,MATCH("RECKONING"&amp;"|"&amp;MAX(1,ROUND(COUNTIFS(MASTER!$B$4:$B$1463,"RECKONING",MASTER!$G$4:$G$1463,"&lt;&gt;")*$A90*100/100,0)),MASTER!$AH$4:$AH$1463,0))="",NA(),INDEX(MASTER!$G$4:$G$1463,MATCH("RECKONING"&amp;"|"&amp;MAX(1,ROUND(COUNTIFS(MASTER!$B$4:$B$1463,"RECKONING",MASTER!$G$4:$G$1463,"&lt;&gt;")*$A90*100/100,0)),MASTER!$AH$4:$AH$1463,0))),NA()),IF($B$4="SECONDARY",IFERROR(IF(INDEX(MASTER!$L$4:$L$1463,MATCH("RECKONING"&amp;"|"&amp;MAX(1,ROUND(COUNTIFS(MASTER!$B$4:$B$1463,"RECKONING",MASTER!$L$4:$L$1463,"&lt;&gt;")*$A90*100/100,0)),MASTER!$AI$4:$AI$1463,0))="",NA(),INDEX(MASTER!$L$4:$L$1463,MATCH("RECKONING"&amp;"|"&amp;MAX(1,ROUND(COUNTIFS(MASTER!$B$4:$B$1463,"RECKONING",MASTER!$L$4:$L$1463,"&lt;&gt;")*$A90*100/100,0)),MASTER!$AI$4:$AI$1463,0))),NA()))))</f>
        <v>5897</v>
      </c>
      <c r="I90" s="37">
        <f>IF($B$4="RESONANCE",IFERROR(IF(INDEX(MASTER!$I$4:$I$1463,MATCH("ACHERON"&amp;"|"&amp;MAX(1,ROUND(COUNTIFS(MASTER!$B$4:$B$1463,"ACHERON",MASTER!$I$4:$I$1463,"&lt;&gt;")*$A90*100/100,0)),MASTER!$Y$4:$Y$1463,0))="",NA(),INDEX(MASTER!$I$4:$I$1463,MATCH("ACHERON"&amp;"|"&amp;MAX(1,ROUND(COUNTIFS(MASTER!$B$4:$B$1463,"ACHERON",MASTER!$I$4:$I$1463,"&lt;&gt;")*$A90*100/100,0)),MASTER!$Y$4:$Y$1463,0))),NA()),IF($B$4="COMBAT RATING",IFERROR(IF(INDEX(MASTER!$G$4:$G$1463,MATCH("ACHERON"&amp;"|"&amp;MAX(1,ROUND(COUNTIFS(MASTER!$B$4:$B$1463,"ACHERON",MASTER!$G$4:$G$1463,"&lt;&gt;")*$A90*100/100,0)),MASTER!$AH$4:$AH$1463,0))="",NA(),INDEX(MASTER!$G$4:$G$1463,MATCH("ACHERON"&amp;"|"&amp;MAX(1,ROUND(COUNTIFS(MASTER!$B$4:$B$1463,"ACHERON",MASTER!$G$4:$G$1463,"&lt;&gt;")*$A90*100/100,0)),MASTER!$AH$4:$AH$1463,0))),NA()),IF($B$4="SECONDARY",IFERROR(IF(INDEX(MASTER!$L$4:$L$1463,MATCH("ACHERON"&amp;"|"&amp;MAX(1,ROUND(COUNTIFS(MASTER!$B$4:$B$1463,"ACHERON",MASTER!$L$4:$L$1463,"&lt;&gt;")*$A90*100/100,0)),MASTER!$AI$4:$AI$1463,0))="",NA(),INDEX(MASTER!$L$4:$L$1463,MATCH("ACHERON"&amp;"|"&amp;MAX(1,ROUND(COUNTIFS(MASTER!$B$4:$B$1463,"ACHERON",MASTER!$L$4:$L$1463,"&lt;&gt;")*$A90*100/100,0)),MASTER!$AI$4:$AI$1463,0))),NA()))))</f>
        <v>4610</v>
      </c>
      <c r="J90" s="37">
        <f>IF($B$4="RESONANCE",IFERROR(IF(INDEX(MASTER!$I$4:$I$1463,MATCH("INVICTUS"&amp;"|"&amp;MAX(1,ROUND(COUNTIFS(MASTER!$B$4:$B$1463,"INVICTUS",MASTER!$I$4:$I$1463,"&lt;&gt;")*$A90*100/100,0)),MASTER!$Y$4:$Y$1463,0))="",NA(),INDEX(MASTER!$I$4:$I$1463,MATCH("INVICTUS"&amp;"|"&amp;MAX(1,ROUND(COUNTIFS(MASTER!$B$4:$B$1463,"INVICTUS",MASTER!$I$4:$I$1463,"&lt;&gt;")*$A90*100/100,0)),MASTER!$Y$4:$Y$1463,0))),NA()),IF($B$4="COMBAT RATING",IFERROR(IF(INDEX(MASTER!$G$4:$G$1463,MATCH("INVICTUS"&amp;"|"&amp;MAX(1,ROUND(COUNTIFS(MASTER!$B$4:$B$1463,"INVICTUS",MASTER!$G$4:$G$1463,"&lt;&gt;")*$A90*100/100,0)),MASTER!$AH$4:$AH$1463,0))="",NA(),INDEX(MASTER!$G$4:$G$1463,MATCH("INVICTUS"&amp;"|"&amp;MAX(1,ROUND(COUNTIFS(MASTER!$B$4:$B$1463,"INVICTUS",MASTER!$G$4:$G$1463,"&lt;&gt;")*$A90*100/100,0)),MASTER!$AH$4:$AH$1463,0))),NA()),IF($B$4="SECONDARY",IFERROR(IF(INDEX(MASTER!$L$4:$L$1463,MATCH("INVICTUS"&amp;"|"&amp;MAX(1,ROUND(COUNTIFS(MASTER!$B$4:$B$1463,"INVICTUS",MASTER!$L$4:$L$1463,"&lt;&gt;")*$A90*100/100,0)),MASTER!$AI$4:$AI$1463,0))="",NA(),INDEX(MASTER!$L$4:$L$1463,MATCH("INVICTUS"&amp;"|"&amp;MAX(1,ROUND(COUNTIFS(MASTER!$B$4:$B$1463,"INVICTUS",MASTER!$L$4:$L$1463,"&lt;&gt;")*$A90*100/100,0)),MASTER!$AI$4:$AI$1463,0))),NA()))))</f>
        <v>3495</v>
      </c>
      <c r="K90" s="37">
        <f>IF($B$4="RESONANCE",IFERROR(IF(INDEX(MASTER!$I$4:$I$1463,MATCH("EMERALD LEAF TRIBE"&amp;"|"&amp;MAX(1,ROUND(COUNTIFS(MASTER!$B$4:$B$1463,"EMERALD LEAF TRIBE",MASTER!$I$4:$I$1463,"&lt;&gt;")*$A90*100/100,0)),MASTER!$Y$4:$Y$1463,0))="",NA(),INDEX(MASTER!$I$4:$I$1463,MATCH("EMERALD LEAF TRIBE"&amp;"|"&amp;MAX(1,ROUND(COUNTIFS(MASTER!$B$4:$B$1463,"EMERALD LEAF TRIBE",MASTER!$I$4:$I$1463,"&lt;&gt;")*$A90*100/100,0)),MASTER!$Y$4:$Y$1463,0))),NA()),IF($B$4="COMBAT RATING",IFERROR(IF(INDEX(MASTER!$G$4:$G$1463,MATCH("EMERALD LEAF TRIBE"&amp;"|"&amp;MAX(1,ROUND(COUNTIFS(MASTER!$B$4:$B$1463,"EMERALD LEAF TRIBE",MASTER!$G$4:$G$1463,"&lt;&gt;")*$A90*100/100,0)),MASTER!$AH$4:$AH$1463,0))="",NA(),INDEX(MASTER!$G$4:$G$1463,MATCH("EMERALD LEAF TRIBE"&amp;"|"&amp;MAX(1,ROUND(COUNTIFS(MASTER!$B$4:$B$1463,"EMERALD LEAF TRIBE",MASTER!$G$4:$G$1463,"&lt;&gt;")*$A90*100/100,0)),MASTER!$AH$4:$AH$1463,0))),NA()),IF($B$4="SECONDARY",IFERROR(IF(INDEX(MASTER!$L$4:$L$1463,MATCH("EMERALD LEAF TRIBE"&amp;"|"&amp;MAX(1,ROUND(COUNTIFS(MASTER!$B$4:$B$1463,"EMERALD LEAF TRIBE",MASTER!$L$4:$L$1463,"&lt;&gt;")*$A90*100/100,0)),MASTER!$AI$4:$AI$1463,0))="",NA(),INDEX(MASTER!$L$4:$L$1463,MATCH("EMERALD LEAF TRIBE"&amp;"|"&amp;MAX(1,ROUND(COUNTIFS(MASTER!$B$4:$B$1463,"EMERALD LEAF TRIBE",MASTER!$L$4:$L$1463,"&lt;&gt;")*$A90*100/100,0)),MASTER!$AI$4:$AI$1463,0))),NA()))))</f>
        <v>2597</v>
      </c>
      <c r="L90" s="37">
        <f>IF($B$4="RESONANCE",IFERROR(IF(INDEX(MASTER!$I$4:$I$1463,MATCH("SUB ROSA"&amp;"|"&amp;MAX(1,ROUND(COUNTIFS(MASTER!$B$4:$B$1463,"SUB ROSA",MASTER!$I$4:$I$1463,"&lt;&gt;")*$A90*100/100,0)),MASTER!$Y$4:$Y$1463,0))="",NA(),INDEX(MASTER!$I$4:$I$1463,MATCH("SUB ROSA"&amp;"|"&amp;MAX(1,ROUND(COUNTIFS(MASTER!$B$4:$B$1463,"SUB ROSA",MASTER!$I$4:$I$1463,"&lt;&gt;")*$A90*100/100,0)),MASTER!$Y$4:$Y$1463,0))),NA()),IF($B$4="COMBAT RATING",IFERROR(IF(INDEX(MASTER!$G$4:$G$1463,MATCH("SUB ROSA"&amp;"|"&amp;MAX(1,ROUND(COUNTIFS(MASTER!$B$4:$B$1463,"SUB ROSA",MASTER!$G$4:$G$1463,"&lt;&gt;")*$A90*100/100,0)),MASTER!$AH$4:$AH$1463,0))="",NA(),INDEX(MASTER!$G$4:$G$1463,MATCH("SUB ROSA"&amp;"|"&amp;MAX(1,ROUND(COUNTIFS(MASTER!$B$4:$B$1463,"SUB ROSA",MASTER!$G$4:$G$1463,"&lt;&gt;")*$A90*100/100,0)),MASTER!$AH$4:$AH$1463,0))),NA()),IF($B$4="SECONDARY",IFERROR(IF(INDEX(MASTER!$L$4:$L$1463,MATCH("SUB ROSA"&amp;"|"&amp;MAX(1,ROUND(COUNTIFS(MASTER!$B$4:$B$1463,"SUB ROSA",MASTER!$L$4:$L$1463,"&lt;&gt;")*$A90*100/100,0)),MASTER!$AI$4:$AI$1463,0))="",NA(),INDEX(MASTER!$L$4:$L$1463,MATCH("SUB ROSA"&amp;"|"&amp;MAX(1,ROUND(COUNTIFS(MASTER!$B$4:$B$1463,"SUB ROSA",MASTER!$L$4:$L$1463,"&lt;&gt;")*$A90*100/100,0)),MASTER!$AI$4:$AI$1463,0))),NA()))))</f>
        <v>3103</v>
      </c>
      <c r="M90" s="37">
        <f>IF($B$4="RESONANCE",IFERROR(IF(INDEX(MASTER!$I$4:$I$1463,MATCH("VENGEANCE"&amp;"|"&amp;MAX(1,ROUND(COUNTIFS(MASTER!$B$4:$B$1463,"VENGEANCE",MASTER!$I$4:$I$1463,"&lt;&gt;")*$A90*100/100,0)),MASTER!$Y$4:$Y$1463,0))="",NA(),INDEX(MASTER!$I$4:$I$1463,MATCH("VENGEANCE"&amp;"|"&amp;MAX(1,ROUND(COUNTIFS(MASTER!$B$4:$B$1463,"VENGEANCE",MASTER!$I$4:$I$1463,"&lt;&gt;")*$A90*100/100,0)),MASTER!$Y$4:$Y$1463,0))),NA()),IF($B$4="COMBAT RATING",IFERROR(IF(INDEX(MASTER!$G$4:$G$1463,MATCH("VENGEANCE"&amp;"|"&amp;MAX(1,ROUND(COUNTIFS(MASTER!$B$4:$B$1463,"VENGEANCE",MASTER!$G$4:$G$1463,"&lt;&gt;")*$A90*100/100,0)),MASTER!$AH$4:$AH$1463,0))="",NA(),INDEX(MASTER!$G$4:$G$1463,MATCH("VENGEANCE"&amp;"|"&amp;MAX(1,ROUND(COUNTIFS(MASTER!$B$4:$B$1463,"VENGEANCE",MASTER!$G$4:$G$1463,"&lt;&gt;")*$A90*100/100,0)),MASTER!$AH$4:$AH$1463,0))),NA()),IF($B$4="SECONDARY",IFERROR(IF(INDEX(MASTER!$L$4:$L$1463,MATCH("VENGEANCE"&amp;"|"&amp;MAX(1,ROUND(COUNTIFS(MASTER!$B$4:$B$1463,"VENGEANCE",MASTER!$L$4:$L$1463,"&lt;&gt;")*$A90*100/100,0)),MASTER!$AI$4:$AI$1463,0))="",NA(),INDEX(MASTER!$L$4:$L$1463,MATCH("VENGEANCE"&amp;"|"&amp;MAX(1,ROUND(COUNTIFS(MASTER!$B$4:$B$1463,"VENGEANCE",MASTER!$L$4:$L$1463,"&lt;&gt;")*$A90*100/100,0)),MASTER!$AI$4:$AI$1463,0))),NA()))))</f>
        <v>4022</v>
      </c>
      <c r="N90" s="37">
        <f>IF($B$4="RESONANCE",IFERROR(IF(INDEX(MASTER!$I$4:$I$1463,MATCH("VENDETTA"&amp;"|"&amp;MAX(1,ROUND(COUNTIFS(MASTER!$B$4:$B$1463,"VENDETTA",MASTER!$I$4:$I$1463,"&lt;&gt;")*$A90*100/100,0)),MASTER!$Y$4:$Y$1463,0))="",NA(),INDEX(MASTER!$I$4:$I$1463,MATCH("VENDETTA"&amp;"|"&amp;MAX(1,ROUND(COUNTIFS(MASTER!$B$4:$B$1463,"VENDETTA",MASTER!$I$4:$I$1463,"&lt;&gt;")*$A90*100/100,0)),MASTER!$Y$4:$Y$1463,0))),NA()),IF($B$4="COMBAT RATING",IFERROR(IF(INDEX(MASTER!$G$4:$G$1463,MATCH("VENDETTA"&amp;"|"&amp;MAX(1,ROUND(COUNTIFS(MASTER!$B$4:$B$1463,"VENDETTA",MASTER!$G$4:$G$1463,"&lt;&gt;")*$A90*100/100,0)),MASTER!$AH$4:$AH$1463,0))="",NA(),INDEX(MASTER!$G$4:$G$1463,MATCH("VENDETTA"&amp;"|"&amp;MAX(1,ROUND(COUNTIFS(MASTER!$B$4:$B$1463,"VENDETTA",MASTER!$G$4:$G$1463,"&lt;&gt;")*$A90*100/100,0)),MASTER!$AH$4:$AH$1463,0))),NA()),IF($B$4="SECONDARY",IFERROR(IF(INDEX(MASTER!$L$4:$L$1463,MATCH("VENDETTA"&amp;"|"&amp;MAX(1,ROUND(COUNTIFS(MASTER!$B$4:$B$1463,"VENDETTA",MASTER!$L$4:$L$1463,"&lt;&gt;")*$A90*100/100,0)),MASTER!$AI$4:$AI$1463,0))="",NA(),INDEX(MASTER!$L$4:$L$1463,MATCH("VENDETTA"&amp;"|"&amp;MAX(1,ROUND(COUNTIFS(MASTER!$B$4:$B$1463,"VENDETTA",MASTER!$L$4:$L$1463,"&lt;&gt;")*$A90*100/100,0)),MASTER!$AI$4:$AI$1463,0))),NA()))))</f>
        <v>2415</v>
      </c>
      <c r="O90" s="37">
        <f>IF($B$4="RESONANCE",IFERROR(IF(INDEX(MASTER!$I$4:$I$1463,MATCH("ZOMBIES"&amp;"|"&amp;MAX(1,ROUND(COUNTIFS(MASTER!$B$4:$B$1463,"ZOMBIES",MASTER!$I$4:$I$1463,"&lt;&gt;")*$A90*100/100,0)),MASTER!$Y$4:$Y$1463,0))="",NA(),INDEX(MASTER!$I$4:$I$1463,MATCH("ZOMBIES"&amp;"|"&amp;MAX(1,ROUND(COUNTIFS(MASTER!$B$4:$B$1463,"ZOMBIES",MASTER!$I$4:$I$1463,"&lt;&gt;")*$A90*100/100,0)),MASTER!$Y$4:$Y$1463,0))),NA()),IF($B$4="COMBAT RATING",IFERROR(IF(INDEX(MASTER!$G$4:$G$1463,MATCH("ZOMBIES"&amp;"|"&amp;MAX(1,ROUND(COUNTIFS(MASTER!$B$4:$B$1463,"ZOMBIES",MASTER!$G$4:$G$1463,"&lt;&gt;")*$A90*100/100,0)),MASTER!$AH$4:$AH$1463,0))="",NA(),INDEX(MASTER!$G$4:$G$1463,MATCH("ZOMBIES"&amp;"|"&amp;MAX(1,ROUND(COUNTIFS(MASTER!$B$4:$B$1463,"ZOMBIES",MASTER!$G$4:$G$1463,"&lt;&gt;")*$A90*100/100,0)),MASTER!$AH$4:$AH$1463,0))),NA()),IF($B$4="SECONDARY",IFERROR(IF(INDEX(MASTER!$L$4:$L$1463,MATCH("ZOMBIES"&amp;"|"&amp;MAX(1,ROUND(COUNTIFS(MASTER!$B$4:$B$1463,"ZOMBIES",MASTER!$L$4:$L$1463,"&lt;&gt;")*$A90*100/100,0)),MASTER!$AI$4:$AI$1463,0))="",NA(),INDEX(MASTER!$L$4:$L$1463,MATCH("ZOMBIES"&amp;"|"&amp;MAX(1,ROUND(COUNTIFS(MASTER!$B$4:$B$1463,"ZOMBIES",MASTER!$L$4:$L$1463,"&lt;&gt;")*$A90*100/100,0)),MASTER!$AI$4:$AI$1463,0))),NA()))))</f>
        <v>2221</v>
      </c>
      <c r="P90" s="37">
        <f>IF($B$4="RESONANCE",IFERROR(IF(INDEX(MASTER!$I$4:$I$1463,MATCH("FUCT"&amp;"|"&amp;MAX(1,ROUND(COUNTIFS(MASTER!$B$4:$B$1463,"FUCT",MASTER!$I$4:$I$1463,"&lt;&gt;")*$A90*100/100,0)),MASTER!$Y$4:$Y$1463,0))="",NA(),INDEX(MASTER!$I$4:$I$1463,MATCH("FUCT"&amp;"|"&amp;MAX(1,ROUND(COUNTIFS(MASTER!$B$4:$B$1463,"FUCT",MASTER!$I$4:$I$1463,"&lt;&gt;")*$A90*100/100,0)),MASTER!$Y$4:$Y$1463,0))),NA()),IF($B$4="COMBAT RATING",IFERROR(IF(INDEX(MASTER!$G$4:$G$1463,MATCH("FUCT"&amp;"|"&amp;MAX(1,ROUND(COUNTIFS(MASTER!$B$4:$B$1463,"FUCT",MASTER!$G$4:$G$1463,"&lt;&gt;")*$A90*100/100,0)),MASTER!$AH$4:$AH$1463,0))="",NA(),INDEX(MASTER!$G$4:$G$1463,MATCH("FUCT"&amp;"|"&amp;MAX(1,ROUND(COUNTIFS(MASTER!$B$4:$B$1463,"FUCT",MASTER!$G$4:$G$1463,"&lt;&gt;")*$A90*100/100,0)),MASTER!$AH$4:$AH$1463,0))),NA()),IF($B$4="SECONDARY",IFERROR(IF(INDEX(MASTER!$L$4:$L$1463,MATCH("FUCT"&amp;"|"&amp;MAX(1,ROUND(COUNTIFS(MASTER!$B$4:$B$1463,"FUCT",MASTER!$L$4:$L$1463,"&lt;&gt;")*$A90*100/100,0)),MASTER!$AI$4:$AI$1463,0))="",NA(),INDEX(MASTER!$L$4:$L$1463,MATCH("FUCT"&amp;"|"&amp;MAX(1,ROUND(COUNTIFS(MASTER!$B$4:$B$1463,"FUCT",MASTER!$L$4:$L$1463,"&lt;&gt;")*$A90*100/100,0)),MASTER!$AI$4:$AI$1463,0))),NA()))))</f>
        <v>5492</v>
      </c>
      <c r="Q90" s="37">
        <f>IF($B$4="RESONANCE",IFERROR(IF(INDEX(MASTER!$I$4:$I$1463,MATCH($E$4&amp;"|"&amp;MAX(1,ROUND(COUNTIFS(MASTER!$B$4:$B$1463,$E$4,MASTER!$I$4:$I$1463,"&lt;&gt;")*$A90*100/100,0)),MASTER!$Y$4:$Y$1463,0))="",NA(),INDEX(MASTER!$I$4:$I$1463,MATCH($E$4&amp;"|"&amp;MAX(1,ROUND(COUNTIFS(MASTER!$B$4:$B$1463,$E$4,MASTER!$I$4:$I$1463,"&lt;&gt;")*$A90*100/100,0)),MASTER!$Y$4:$Y$1463,0))),NA()),IF($B$4="COMBAT RATING",IFERROR(IF(INDEX(MASTER!$G$4:$G$1463,MATCH($E$4&amp;"|"&amp;MAX(1,ROUND(COUNTIFS(MASTER!$B$4:$B$1463,$E$4,MASTER!$G$4:$G$1463,"&lt;&gt;")*$A90*100/100,0)),MASTER!$AH$4:$AH$1463,0))="",NA(),INDEX(MASTER!$G$4:$G$1463,MATCH($E$4&amp;"|"&amp;MAX(1,ROUND(COUNTIFS(MASTER!$B$4:$B$1463,$E$4,MASTER!$G$4:$G$1463,"&lt;&gt;")*$A90*100/100,0)),MASTER!$AH$4:$AH$1463,0))),NA()),IF($B$4="SECONDARY",IFERROR(IF(INDEX(MASTER!$L$4:$L$1463,MATCH($E$4&amp;"|"&amp;MAX(1,ROUND(COUNTIFS(MASTER!$B$4:$B$1463,$E$4,MASTER!$L$4:$L$1463,"&lt;&gt;")*$A90*100/100,0)),MASTER!$AI$4:$AI$1463,0))="",NA(),INDEX(MASTER!$L$4:$L$1463,MATCH($E$4&amp;"|"&amp;MAX(1,ROUND(COUNTIFS(MASTER!$B$4:$B$1463,$E$4,MASTER!$L$4:$L$1463,"&lt;&gt;")*$A90*100/100,0)),MASTER!$AI$4:$AI$1463,0))),NA()))))</f>
        <v>4549</v>
      </c>
    </row>
    <row r="91" spans="1:17" hidden="1">
      <c r="A91" s="36">
        <v>0.36</v>
      </c>
      <c r="B91" s="37">
        <f>IF($B$4="RESONANCE",IFERROR(IF(INDEX(MASTER!$I$4:$I$1463,MATCH("FUCT"&amp;"|"&amp;MAX(1,ROUND(COUNTIFS(MASTER!$B$4:$B$1463,"FUCT",MASTER!$I$4:$I$1463,"&lt;&gt;")*$A91*100/100,0)),MASTER!$Y$4:$Y$1463,0))="",NA(),INDEX(MASTER!$I$4:$I$1463,MATCH("FUCT"&amp;"|"&amp;MAX(1,ROUND(COUNTIFS(MASTER!$B$4:$B$1463,"FUCT",MASTER!$I$4:$I$1463,"&lt;&gt;")*$A91*100/100,0)),MASTER!$Y$4:$Y$1463,0))),NA()),IF($B$4="COMBAT RATING",IFERROR(IF(INDEX(MASTER!$G$4:$G$1463,MATCH("FUCT"&amp;"|"&amp;MAX(1,ROUND(COUNTIFS(MASTER!$B$4:$B$1463,"FUCT",MASTER!$G$4:$G$1463,"&lt;&gt;")*$A91*100/100,0)),MASTER!$AH$4:$AH$1463,0))="",NA(),INDEX(MASTER!$G$4:$G$1463,MATCH("FUCT"&amp;"|"&amp;MAX(1,ROUND(COUNTIFS(MASTER!$B$4:$B$1463,"FUCT",MASTER!$G$4:$G$1463,"&lt;&gt;")*$A91*100/100,0)),MASTER!$AH$4:$AH$1463,0))),NA()),IF($B$4="SECONDARY",IFERROR(IF(INDEX(MASTER!$L$4:$L$1463,MATCH("FUCT"&amp;"|"&amp;MAX(1,ROUND(COUNTIFS(MASTER!$B$4:$B$1463,"FUCT",MASTER!$L$4:$L$1463,"&lt;&gt;")*$A91*100/100,0)),MASTER!$AI$4:$AI$1463,0))="",NA(),INDEX(MASTER!$L$4:$L$1463,MATCH("FUCT"&amp;"|"&amp;MAX(1,ROUND(COUNTIFS(MASTER!$B$4:$B$1463,"FUCT",MASTER!$L$4:$L$1463,"&lt;&gt;")*$A91*100/100,0)),MASTER!$AI$4:$AI$1463,0))),NA()))))</f>
        <v>5337</v>
      </c>
      <c r="C91" s="37">
        <f>IF($B$4="RESONANCE",IFERROR(IF(INDEX(MASTER!$I$4:$I$1463,MATCH("LEGENDS"&amp;"|"&amp;MAX(1,ROUND(COUNTIFS(MASTER!$B$4:$B$1463,"LEGENDS",MASTER!$I$4:$I$1463,"&lt;&gt;")*$A91*100/100,0)),MASTER!$Y$4:$Y$1463,0))="",NA(),INDEX(MASTER!$I$4:$I$1463,MATCH("LEGENDS"&amp;"|"&amp;MAX(1,ROUND(COUNTIFS(MASTER!$B$4:$B$1463,"LEGENDS",MASTER!$I$4:$I$1463,"&lt;&gt;")*$A91*100/100,0)),MASTER!$Y$4:$Y$1463,0))),NA()),IF($B$4="COMBAT RATING",IFERROR(IF(INDEX(MASTER!$G$4:$G$1463,MATCH("LEGENDS"&amp;"|"&amp;MAX(1,ROUND(COUNTIFS(MASTER!$B$4:$B$1463,"LEGENDS",MASTER!$G$4:$G$1463,"&lt;&gt;")*$A91*100/100,0)),MASTER!$AH$4:$AH$1463,0))="",NA(),INDEX(MASTER!$G$4:$G$1463,MATCH("LEGENDS"&amp;"|"&amp;MAX(1,ROUND(COUNTIFS(MASTER!$B$4:$B$1463,"LEGENDS",MASTER!$G$4:$G$1463,"&lt;&gt;")*$A91*100/100,0)),MASTER!$AH$4:$AH$1463,0))),NA()),IF($B$4="SECONDARY",IFERROR(IF(INDEX(MASTER!$L$4:$L$1463,MATCH("LEGENDS"&amp;"|"&amp;MAX(1,ROUND(COUNTIFS(MASTER!$B$4:$B$1463,"LEGENDS",MASTER!$L$4:$L$1463,"&lt;&gt;")*$A91*100/100,0)),MASTER!$AI$4:$AI$1463,0))="",NA(),INDEX(MASTER!$L$4:$L$1463,MATCH("LEGENDS"&amp;"|"&amp;MAX(1,ROUND(COUNTIFS(MASTER!$B$4:$B$1463,"LEGENDS",MASTER!$L$4:$L$1463,"&lt;&gt;")*$A91*100/100,0)),MASTER!$AI$4:$AI$1463,0))),NA()))))</f>
        <v>5701</v>
      </c>
      <c r="D91" s="37">
        <f>IF($B$4="RESONANCE",IFERROR(IF(INDEX(MASTER!$I$4:$I$1463,MATCH("VANGUARD"&amp;"|"&amp;MAX(1,ROUND(COUNTIFS(MASTER!$B$4:$B$1463,"VANGUARD",MASTER!$I$4:$I$1463,"&lt;&gt;")*$A91*100/100,0)),MASTER!$Y$4:$Y$1463,0))="",NA(),INDEX(MASTER!$I$4:$I$1463,MATCH("VANGUARD"&amp;"|"&amp;MAX(1,ROUND(COUNTIFS(MASTER!$B$4:$B$1463,"VANGUARD",MASTER!$I$4:$I$1463,"&lt;&gt;")*$A91*100/100,0)),MASTER!$Y$4:$Y$1463,0))),NA()),IF($B$4="COMBAT RATING",IFERROR(IF(INDEX(MASTER!$G$4:$G$1463,MATCH("VANGUARD"&amp;"|"&amp;MAX(1,ROUND(COUNTIFS(MASTER!$B$4:$B$1463,"VANGUARD",MASTER!$G$4:$G$1463,"&lt;&gt;")*$A91*100/100,0)),MASTER!$AH$4:$AH$1463,0))="",NA(),INDEX(MASTER!$G$4:$G$1463,MATCH("VANGUARD"&amp;"|"&amp;MAX(1,ROUND(COUNTIFS(MASTER!$B$4:$B$1463,"VANGUARD",MASTER!$G$4:$G$1463,"&lt;&gt;")*$A91*100/100,0)),MASTER!$AH$4:$AH$1463,0))),NA()),IF($B$4="SECONDARY",IFERROR(IF(INDEX(MASTER!$L$4:$L$1463,MATCH("VANGUARD"&amp;"|"&amp;MAX(1,ROUND(COUNTIFS(MASTER!$B$4:$B$1463,"VANGUARD",MASTER!$L$4:$L$1463,"&lt;&gt;")*$A91*100/100,0)),MASTER!$AI$4:$AI$1463,0))="",NA(),INDEX(MASTER!$L$4:$L$1463,MATCH("VANGUARD"&amp;"|"&amp;MAX(1,ROUND(COUNTIFS(MASTER!$B$4:$B$1463,"VANGUARD",MASTER!$L$4:$L$1463,"&lt;&gt;")*$A91*100/100,0)),MASTER!$AI$4:$AI$1463,0))),NA()))))</f>
        <v>7932</v>
      </c>
      <c r="E91" s="37">
        <f>IF($B$4="RESONANCE",IFERROR(IF(INDEX(MASTER!$I$4:$I$1463,MATCH("UNDYING"&amp;"|"&amp;MAX(1,ROUND(COUNTIFS(MASTER!$B$4:$B$1463,"UNDYING",MASTER!$I$4:$I$1463,"&lt;&gt;")*$A91*100/100,0)),MASTER!$Y$4:$Y$1463,0))="",NA(),INDEX(MASTER!$I$4:$I$1463,MATCH("UNDYING"&amp;"|"&amp;MAX(1,ROUND(COUNTIFS(MASTER!$B$4:$B$1463,"UNDYING",MASTER!$I$4:$I$1463,"&lt;&gt;")*$A91*100/100,0)),MASTER!$Y$4:$Y$1463,0))),NA()),IF($B$4="COMBAT RATING",IFERROR(IF(INDEX(MASTER!$G$4:$G$1463,MATCH("UNDYING"&amp;"|"&amp;MAX(1,ROUND(COUNTIFS(MASTER!$B$4:$B$1463,"UNDYING",MASTER!$G$4:$G$1463,"&lt;&gt;")*$A91*100/100,0)),MASTER!$AH$4:$AH$1463,0))="",NA(),INDEX(MASTER!$G$4:$G$1463,MATCH("UNDYING"&amp;"|"&amp;MAX(1,ROUND(COUNTIFS(MASTER!$B$4:$B$1463,"UNDYING",MASTER!$G$4:$G$1463,"&lt;&gt;")*$A91*100/100,0)),MASTER!$AH$4:$AH$1463,0))),NA()),IF($B$4="SECONDARY",IFERROR(IF(INDEX(MASTER!$L$4:$L$1463,MATCH("UNDYING"&amp;"|"&amp;MAX(1,ROUND(COUNTIFS(MASTER!$B$4:$B$1463,"UNDYING",MASTER!$L$4:$L$1463,"&lt;&gt;")*$A91*100/100,0)),MASTER!$AI$4:$AI$1463,0))="",NA(),INDEX(MASTER!$L$4:$L$1463,MATCH("UNDYING"&amp;"|"&amp;MAX(1,ROUND(COUNTIFS(MASTER!$B$4:$B$1463,"UNDYING",MASTER!$L$4:$L$1463,"&lt;&gt;")*$A91*100/100,0)),MASTER!$AI$4:$AI$1463,0))),NA()))))</f>
        <v>4531</v>
      </c>
      <c r="F91" s="37">
        <f>IF($B$4="RESONANCE",IFERROR(IF(INDEX(MASTER!$I$4:$I$1463,MATCH("SBG"&amp;"|"&amp;MAX(1,ROUND(COUNTIFS(MASTER!$B$4:$B$1463,"SBG",MASTER!$I$4:$I$1463,"&lt;&gt;")*$A91*100/100,0)),MASTER!$Y$4:$Y$1463,0))="",NA(),INDEX(MASTER!$I$4:$I$1463,MATCH("SBG"&amp;"|"&amp;MAX(1,ROUND(COUNTIFS(MASTER!$B$4:$B$1463,"SBG",MASTER!$I$4:$I$1463,"&lt;&gt;")*$A91*100/100,0)),MASTER!$Y$4:$Y$1463,0))),NA()),IF($B$4="COMBAT RATING",IFERROR(IF(INDEX(MASTER!$G$4:$G$1463,MATCH("SBG"&amp;"|"&amp;MAX(1,ROUND(COUNTIFS(MASTER!$B$4:$B$1463,"SBG",MASTER!$G$4:$G$1463,"&lt;&gt;")*$A91*100/100,0)),MASTER!$AH$4:$AH$1463,0))="",NA(),INDEX(MASTER!$G$4:$G$1463,MATCH("SBG"&amp;"|"&amp;MAX(1,ROUND(COUNTIFS(MASTER!$B$4:$B$1463,"SBG",MASTER!$G$4:$G$1463,"&lt;&gt;")*$A91*100/100,0)),MASTER!$AH$4:$AH$1463,0))),NA()),IF($B$4="SECONDARY",IFERROR(IF(INDEX(MASTER!$L$4:$L$1463,MATCH("SBG"&amp;"|"&amp;MAX(1,ROUND(COUNTIFS(MASTER!$B$4:$B$1463,"SBG",MASTER!$L$4:$L$1463,"&lt;&gt;")*$A91*100/100,0)),MASTER!$AI$4:$AI$1463,0))="",NA(),INDEX(MASTER!$L$4:$L$1463,MATCH("SBG"&amp;"|"&amp;MAX(1,ROUND(COUNTIFS(MASTER!$B$4:$B$1463,"SBG",MASTER!$L$4:$L$1463,"&lt;&gt;")*$A91*100/100,0)),MASTER!$AI$4:$AI$1463,0))),NA()))))</f>
        <v>7034</v>
      </c>
      <c r="G91" s="37">
        <f>IF($B$4="RESONANCE",IFERROR(IF(INDEX(MASTER!$I$4:$I$1463,MATCH("AZUKI"&amp;"|"&amp;MAX(1,ROUND(COUNTIFS(MASTER!$B$4:$B$1463,"AZUKI",MASTER!$I$4:$I$1463,"&lt;&gt;")*$A91*100/100,0)),MASTER!$Y$4:$Y$1463,0))="",NA(),INDEX(MASTER!$I$4:$I$1463,MATCH("AZUKI"&amp;"|"&amp;MAX(1,ROUND(COUNTIFS(MASTER!$B$4:$B$1463,"AZUKI",MASTER!$I$4:$I$1463,"&lt;&gt;")*$A91*100/100,0)),MASTER!$Y$4:$Y$1463,0))),NA()),IF($B$4="COMBAT RATING",IFERROR(IF(INDEX(MASTER!$G$4:$G$1463,MATCH("AZUKI"&amp;"|"&amp;MAX(1,ROUND(COUNTIFS(MASTER!$B$4:$B$1463,"AZUKI",MASTER!$G$4:$G$1463,"&lt;&gt;")*$A91*100/100,0)),MASTER!$AH$4:$AH$1463,0))="",NA(),INDEX(MASTER!$G$4:$G$1463,MATCH("AZUKI"&amp;"|"&amp;MAX(1,ROUND(COUNTIFS(MASTER!$B$4:$B$1463,"AZUKI",MASTER!$G$4:$G$1463,"&lt;&gt;")*$A91*100/100,0)),MASTER!$AH$4:$AH$1463,0))),NA()),IF($B$4="SECONDARY",IFERROR(IF(INDEX(MASTER!$L$4:$L$1463,MATCH("AZUKI"&amp;"|"&amp;MAX(1,ROUND(COUNTIFS(MASTER!$B$4:$B$1463,"AZUKI",MASTER!$L$4:$L$1463,"&lt;&gt;")*$A91*100/100,0)),MASTER!$AI$4:$AI$1463,0))="",NA(),INDEX(MASTER!$L$4:$L$1463,MATCH("AZUKI"&amp;"|"&amp;MAX(1,ROUND(COUNTIFS(MASTER!$B$4:$B$1463,"AZUKI",MASTER!$L$4:$L$1463,"&lt;&gt;")*$A91*100/100,0)),MASTER!$AI$4:$AI$1463,0))),NA()))))</f>
        <v>6057</v>
      </c>
      <c r="H91" s="37">
        <f>IF($B$4="RESONANCE",IFERROR(IF(INDEX(MASTER!$I$4:$I$1463,MATCH("RECKONING"&amp;"|"&amp;MAX(1,ROUND(COUNTIFS(MASTER!$B$4:$B$1463,"RECKONING",MASTER!$I$4:$I$1463,"&lt;&gt;")*$A91*100/100,0)),MASTER!$Y$4:$Y$1463,0))="",NA(),INDEX(MASTER!$I$4:$I$1463,MATCH("RECKONING"&amp;"|"&amp;MAX(1,ROUND(COUNTIFS(MASTER!$B$4:$B$1463,"RECKONING",MASTER!$I$4:$I$1463,"&lt;&gt;")*$A91*100/100,0)),MASTER!$Y$4:$Y$1463,0))),NA()),IF($B$4="COMBAT RATING",IFERROR(IF(INDEX(MASTER!$G$4:$G$1463,MATCH("RECKONING"&amp;"|"&amp;MAX(1,ROUND(COUNTIFS(MASTER!$B$4:$B$1463,"RECKONING",MASTER!$G$4:$G$1463,"&lt;&gt;")*$A91*100/100,0)),MASTER!$AH$4:$AH$1463,0))="",NA(),INDEX(MASTER!$G$4:$G$1463,MATCH("RECKONING"&amp;"|"&amp;MAX(1,ROUND(COUNTIFS(MASTER!$B$4:$B$1463,"RECKONING",MASTER!$G$4:$G$1463,"&lt;&gt;")*$A91*100/100,0)),MASTER!$AH$4:$AH$1463,0))),NA()),IF($B$4="SECONDARY",IFERROR(IF(INDEX(MASTER!$L$4:$L$1463,MATCH("RECKONING"&amp;"|"&amp;MAX(1,ROUND(COUNTIFS(MASTER!$B$4:$B$1463,"RECKONING",MASTER!$L$4:$L$1463,"&lt;&gt;")*$A91*100/100,0)),MASTER!$AI$4:$AI$1463,0))="",NA(),INDEX(MASTER!$L$4:$L$1463,MATCH("RECKONING"&amp;"|"&amp;MAX(1,ROUND(COUNTIFS(MASTER!$B$4:$B$1463,"RECKONING",MASTER!$L$4:$L$1463,"&lt;&gt;")*$A91*100/100,0)),MASTER!$AI$4:$AI$1463,0))),NA()))))</f>
        <v>5788</v>
      </c>
      <c r="I91" s="37">
        <f>IF($B$4="RESONANCE",IFERROR(IF(INDEX(MASTER!$I$4:$I$1463,MATCH("ACHERON"&amp;"|"&amp;MAX(1,ROUND(COUNTIFS(MASTER!$B$4:$B$1463,"ACHERON",MASTER!$I$4:$I$1463,"&lt;&gt;")*$A91*100/100,0)),MASTER!$Y$4:$Y$1463,0))="",NA(),INDEX(MASTER!$I$4:$I$1463,MATCH("ACHERON"&amp;"|"&amp;MAX(1,ROUND(COUNTIFS(MASTER!$B$4:$B$1463,"ACHERON",MASTER!$I$4:$I$1463,"&lt;&gt;")*$A91*100/100,0)),MASTER!$Y$4:$Y$1463,0))),NA()),IF($B$4="COMBAT RATING",IFERROR(IF(INDEX(MASTER!$G$4:$G$1463,MATCH("ACHERON"&amp;"|"&amp;MAX(1,ROUND(COUNTIFS(MASTER!$B$4:$B$1463,"ACHERON",MASTER!$G$4:$G$1463,"&lt;&gt;")*$A91*100/100,0)),MASTER!$AH$4:$AH$1463,0))="",NA(),INDEX(MASTER!$G$4:$G$1463,MATCH("ACHERON"&amp;"|"&amp;MAX(1,ROUND(COUNTIFS(MASTER!$B$4:$B$1463,"ACHERON",MASTER!$G$4:$G$1463,"&lt;&gt;")*$A91*100/100,0)),MASTER!$AH$4:$AH$1463,0))),NA()),IF($B$4="SECONDARY",IFERROR(IF(INDEX(MASTER!$L$4:$L$1463,MATCH("ACHERON"&amp;"|"&amp;MAX(1,ROUND(COUNTIFS(MASTER!$B$4:$B$1463,"ACHERON",MASTER!$L$4:$L$1463,"&lt;&gt;")*$A91*100/100,0)),MASTER!$AI$4:$AI$1463,0))="",NA(),INDEX(MASTER!$L$4:$L$1463,MATCH("ACHERON"&amp;"|"&amp;MAX(1,ROUND(COUNTIFS(MASTER!$B$4:$B$1463,"ACHERON",MASTER!$L$4:$L$1463,"&lt;&gt;")*$A91*100/100,0)),MASTER!$AI$4:$AI$1463,0))),NA()))))</f>
        <v>4559</v>
      </c>
      <c r="J91" s="37">
        <f>IF($B$4="RESONANCE",IFERROR(IF(INDEX(MASTER!$I$4:$I$1463,MATCH("INVICTUS"&amp;"|"&amp;MAX(1,ROUND(COUNTIFS(MASTER!$B$4:$B$1463,"INVICTUS",MASTER!$I$4:$I$1463,"&lt;&gt;")*$A91*100/100,0)),MASTER!$Y$4:$Y$1463,0))="",NA(),INDEX(MASTER!$I$4:$I$1463,MATCH("INVICTUS"&amp;"|"&amp;MAX(1,ROUND(COUNTIFS(MASTER!$B$4:$B$1463,"INVICTUS",MASTER!$I$4:$I$1463,"&lt;&gt;")*$A91*100/100,0)),MASTER!$Y$4:$Y$1463,0))),NA()),IF($B$4="COMBAT RATING",IFERROR(IF(INDEX(MASTER!$G$4:$G$1463,MATCH("INVICTUS"&amp;"|"&amp;MAX(1,ROUND(COUNTIFS(MASTER!$B$4:$B$1463,"INVICTUS",MASTER!$G$4:$G$1463,"&lt;&gt;")*$A91*100/100,0)),MASTER!$AH$4:$AH$1463,0))="",NA(),INDEX(MASTER!$G$4:$G$1463,MATCH("INVICTUS"&amp;"|"&amp;MAX(1,ROUND(COUNTIFS(MASTER!$B$4:$B$1463,"INVICTUS",MASTER!$G$4:$G$1463,"&lt;&gt;")*$A91*100/100,0)),MASTER!$AH$4:$AH$1463,0))),NA()),IF($B$4="SECONDARY",IFERROR(IF(INDEX(MASTER!$L$4:$L$1463,MATCH("INVICTUS"&amp;"|"&amp;MAX(1,ROUND(COUNTIFS(MASTER!$B$4:$B$1463,"INVICTUS",MASTER!$L$4:$L$1463,"&lt;&gt;")*$A91*100/100,0)),MASTER!$AI$4:$AI$1463,0))="",NA(),INDEX(MASTER!$L$4:$L$1463,MATCH("INVICTUS"&amp;"|"&amp;MAX(1,ROUND(COUNTIFS(MASTER!$B$4:$B$1463,"INVICTUS",MASTER!$L$4:$L$1463,"&lt;&gt;")*$A91*100/100,0)),MASTER!$AI$4:$AI$1463,0))),NA()))))</f>
        <v>3492</v>
      </c>
      <c r="K91" s="37">
        <f>IF($B$4="RESONANCE",IFERROR(IF(INDEX(MASTER!$I$4:$I$1463,MATCH("EMERALD LEAF TRIBE"&amp;"|"&amp;MAX(1,ROUND(COUNTIFS(MASTER!$B$4:$B$1463,"EMERALD LEAF TRIBE",MASTER!$I$4:$I$1463,"&lt;&gt;")*$A91*100/100,0)),MASTER!$Y$4:$Y$1463,0))="",NA(),INDEX(MASTER!$I$4:$I$1463,MATCH("EMERALD LEAF TRIBE"&amp;"|"&amp;MAX(1,ROUND(COUNTIFS(MASTER!$B$4:$B$1463,"EMERALD LEAF TRIBE",MASTER!$I$4:$I$1463,"&lt;&gt;")*$A91*100/100,0)),MASTER!$Y$4:$Y$1463,0))),NA()),IF($B$4="COMBAT RATING",IFERROR(IF(INDEX(MASTER!$G$4:$G$1463,MATCH("EMERALD LEAF TRIBE"&amp;"|"&amp;MAX(1,ROUND(COUNTIFS(MASTER!$B$4:$B$1463,"EMERALD LEAF TRIBE",MASTER!$G$4:$G$1463,"&lt;&gt;")*$A91*100/100,0)),MASTER!$AH$4:$AH$1463,0))="",NA(),INDEX(MASTER!$G$4:$G$1463,MATCH("EMERALD LEAF TRIBE"&amp;"|"&amp;MAX(1,ROUND(COUNTIFS(MASTER!$B$4:$B$1463,"EMERALD LEAF TRIBE",MASTER!$G$4:$G$1463,"&lt;&gt;")*$A91*100/100,0)),MASTER!$AH$4:$AH$1463,0))),NA()),IF($B$4="SECONDARY",IFERROR(IF(INDEX(MASTER!$L$4:$L$1463,MATCH("EMERALD LEAF TRIBE"&amp;"|"&amp;MAX(1,ROUND(COUNTIFS(MASTER!$B$4:$B$1463,"EMERALD LEAF TRIBE",MASTER!$L$4:$L$1463,"&lt;&gt;")*$A91*100/100,0)),MASTER!$AI$4:$AI$1463,0))="",NA(),INDEX(MASTER!$L$4:$L$1463,MATCH("EMERALD LEAF TRIBE"&amp;"|"&amp;MAX(1,ROUND(COUNTIFS(MASTER!$B$4:$B$1463,"EMERALD LEAF TRIBE",MASTER!$L$4:$L$1463,"&lt;&gt;")*$A91*100/100,0)),MASTER!$AI$4:$AI$1463,0))),NA()))))</f>
        <v>2580</v>
      </c>
      <c r="L91" s="37">
        <f>IF($B$4="RESONANCE",IFERROR(IF(INDEX(MASTER!$I$4:$I$1463,MATCH("SUB ROSA"&amp;"|"&amp;MAX(1,ROUND(COUNTIFS(MASTER!$B$4:$B$1463,"SUB ROSA",MASTER!$I$4:$I$1463,"&lt;&gt;")*$A91*100/100,0)),MASTER!$Y$4:$Y$1463,0))="",NA(),INDEX(MASTER!$I$4:$I$1463,MATCH("SUB ROSA"&amp;"|"&amp;MAX(1,ROUND(COUNTIFS(MASTER!$B$4:$B$1463,"SUB ROSA",MASTER!$I$4:$I$1463,"&lt;&gt;")*$A91*100/100,0)),MASTER!$Y$4:$Y$1463,0))),NA()),IF($B$4="COMBAT RATING",IFERROR(IF(INDEX(MASTER!$G$4:$G$1463,MATCH("SUB ROSA"&amp;"|"&amp;MAX(1,ROUND(COUNTIFS(MASTER!$B$4:$B$1463,"SUB ROSA",MASTER!$G$4:$G$1463,"&lt;&gt;")*$A91*100/100,0)),MASTER!$AH$4:$AH$1463,0))="",NA(),INDEX(MASTER!$G$4:$G$1463,MATCH("SUB ROSA"&amp;"|"&amp;MAX(1,ROUND(COUNTIFS(MASTER!$B$4:$B$1463,"SUB ROSA",MASTER!$G$4:$G$1463,"&lt;&gt;")*$A91*100/100,0)),MASTER!$AH$4:$AH$1463,0))),NA()),IF($B$4="SECONDARY",IFERROR(IF(INDEX(MASTER!$L$4:$L$1463,MATCH("SUB ROSA"&amp;"|"&amp;MAX(1,ROUND(COUNTIFS(MASTER!$B$4:$B$1463,"SUB ROSA",MASTER!$L$4:$L$1463,"&lt;&gt;")*$A91*100/100,0)),MASTER!$AI$4:$AI$1463,0))="",NA(),INDEX(MASTER!$L$4:$L$1463,MATCH("SUB ROSA"&amp;"|"&amp;MAX(1,ROUND(COUNTIFS(MASTER!$B$4:$B$1463,"SUB ROSA",MASTER!$L$4:$L$1463,"&lt;&gt;")*$A91*100/100,0)),MASTER!$AI$4:$AI$1463,0))),NA()))))</f>
        <v>3103</v>
      </c>
      <c r="M91" s="37">
        <f>IF($B$4="RESONANCE",IFERROR(IF(INDEX(MASTER!$I$4:$I$1463,MATCH("VENGEANCE"&amp;"|"&amp;MAX(1,ROUND(COUNTIFS(MASTER!$B$4:$B$1463,"VENGEANCE",MASTER!$I$4:$I$1463,"&lt;&gt;")*$A91*100/100,0)),MASTER!$Y$4:$Y$1463,0))="",NA(),INDEX(MASTER!$I$4:$I$1463,MATCH("VENGEANCE"&amp;"|"&amp;MAX(1,ROUND(COUNTIFS(MASTER!$B$4:$B$1463,"VENGEANCE",MASTER!$I$4:$I$1463,"&lt;&gt;")*$A91*100/100,0)),MASTER!$Y$4:$Y$1463,0))),NA()),IF($B$4="COMBAT RATING",IFERROR(IF(INDEX(MASTER!$G$4:$G$1463,MATCH("VENGEANCE"&amp;"|"&amp;MAX(1,ROUND(COUNTIFS(MASTER!$B$4:$B$1463,"VENGEANCE",MASTER!$G$4:$G$1463,"&lt;&gt;")*$A91*100/100,0)),MASTER!$AH$4:$AH$1463,0))="",NA(),INDEX(MASTER!$G$4:$G$1463,MATCH("VENGEANCE"&amp;"|"&amp;MAX(1,ROUND(COUNTIFS(MASTER!$B$4:$B$1463,"VENGEANCE",MASTER!$G$4:$G$1463,"&lt;&gt;")*$A91*100/100,0)),MASTER!$AH$4:$AH$1463,0))),NA()),IF($B$4="SECONDARY",IFERROR(IF(INDEX(MASTER!$L$4:$L$1463,MATCH("VENGEANCE"&amp;"|"&amp;MAX(1,ROUND(COUNTIFS(MASTER!$B$4:$B$1463,"VENGEANCE",MASTER!$L$4:$L$1463,"&lt;&gt;")*$A91*100/100,0)),MASTER!$AI$4:$AI$1463,0))="",NA(),INDEX(MASTER!$L$4:$L$1463,MATCH("VENGEANCE"&amp;"|"&amp;MAX(1,ROUND(COUNTIFS(MASTER!$B$4:$B$1463,"VENGEANCE",MASTER!$L$4:$L$1463,"&lt;&gt;")*$A91*100/100,0)),MASTER!$AI$4:$AI$1463,0))),NA()))))</f>
        <v>4020</v>
      </c>
      <c r="N91" s="37">
        <f>IF($B$4="RESONANCE",IFERROR(IF(INDEX(MASTER!$I$4:$I$1463,MATCH("VENDETTA"&amp;"|"&amp;MAX(1,ROUND(COUNTIFS(MASTER!$B$4:$B$1463,"VENDETTA",MASTER!$I$4:$I$1463,"&lt;&gt;")*$A91*100/100,0)),MASTER!$Y$4:$Y$1463,0))="",NA(),INDEX(MASTER!$I$4:$I$1463,MATCH("VENDETTA"&amp;"|"&amp;MAX(1,ROUND(COUNTIFS(MASTER!$B$4:$B$1463,"VENDETTA",MASTER!$I$4:$I$1463,"&lt;&gt;")*$A91*100/100,0)),MASTER!$Y$4:$Y$1463,0))),NA()),IF($B$4="COMBAT RATING",IFERROR(IF(INDEX(MASTER!$G$4:$G$1463,MATCH("VENDETTA"&amp;"|"&amp;MAX(1,ROUND(COUNTIFS(MASTER!$B$4:$B$1463,"VENDETTA",MASTER!$G$4:$G$1463,"&lt;&gt;")*$A91*100/100,0)),MASTER!$AH$4:$AH$1463,0))="",NA(),INDEX(MASTER!$G$4:$G$1463,MATCH("VENDETTA"&amp;"|"&amp;MAX(1,ROUND(COUNTIFS(MASTER!$B$4:$B$1463,"VENDETTA",MASTER!$G$4:$G$1463,"&lt;&gt;")*$A91*100/100,0)),MASTER!$AH$4:$AH$1463,0))),NA()),IF($B$4="SECONDARY",IFERROR(IF(INDEX(MASTER!$L$4:$L$1463,MATCH("VENDETTA"&amp;"|"&amp;MAX(1,ROUND(COUNTIFS(MASTER!$B$4:$B$1463,"VENDETTA",MASTER!$L$4:$L$1463,"&lt;&gt;")*$A91*100/100,0)),MASTER!$AI$4:$AI$1463,0))="",NA(),INDEX(MASTER!$L$4:$L$1463,MATCH("VENDETTA"&amp;"|"&amp;MAX(1,ROUND(COUNTIFS(MASTER!$B$4:$B$1463,"VENDETTA",MASTER!$L$4:$L$1463,"&lt;&gt;")*$A91*100/100,0)),MASTER!$AI$4:$AI$1463,0))),NA()))))</f>
        <v>2415</v>
      </c>
      <c r="O91" s="37">
        <f>IF($B$4="RESONANCE",IFERROR(IF(INDEX(MASTER!$I$4:$I$1463,MATCH("ZOMBIES"&amp;"|"&amp;MAX(1,ROUND(COUNTIFS(MASTER!$B$4:$B$1463,"ZOMBIES",MASTER!$I$4:$I$1463,"&lt;&gt;")*$A91*100/100,0)),MASTER!$Y$4:$Y$1463,0))="",NA(),INDEX(MASTER!$I$4:$I$1463,MATCH("ZOMBIES"&amp;"|"&amp;MAX(1,ROUND(COUNTIFS(MASTER!$B$4:$B$1463,"ZOMBIES",MASTER!$I$4:$I$1463,"&lt;&gt;")*$A91*100/100,0)),MASTER!$Y$4:$Y$1463,0))),NA()),IF($B$4="COMBAT RATING",IFERROR(IF(INDEX(MASTER!$G$4:$G$1463,MATCH("ZOMBIES"&amp;"|"&amp;MAX(1,ROUND(COUNTIFS(MASTER!$B$4:$B$1463,"ZOMBIES",MASTER!$G$4:$G$1463,"&lt;&gt;")*$A91*100/100,0)),MASTER!$AH$4:$AH$1463,0))="",NA(),INDEX(MASTER!$G$4:$G$1463,MATCH("ZOMBIES"&amp;"|"&amp;MAX(1,ROUND(COUNTIFS(MASTER!$B$4:$B$1463,"ZOMBIES",MASTER!$G$4:$G$1463,"&lt;&gt;")*$A91*100/100,0)),MASTER!$AH$4:$AH$1463,0))),NA()),IF($B$4="SECONDARY",IFERROR(IF(INDEX(MASTER!$L$4:$L$1463,MATCH("ZOMBIES"&amp;"|"&amp;MAX(1,ROUND(COUNTIFS(MASTER!$B$4:$B$1463,"ZOMBIES",MASTER!$L$4:$L$1463,"&lt;&gt;")*$A91*100/100,0)),MASTER!$AI$4:$AI$1463,0))="",NA(),INDEX(MASTER!$L$4:$L$1463,MATCH("ZOMBIES"&amp;"|"&amp;MAX(1,ROUND(COUNTIFS(MASTER!$B$4:$B$1463,"ZOMBIES",MASTER!$L$4:$L$1463,"&lt;&gt;")*$A91*100/100,0)),MASTER!$AI$4:$AI$1463,0))),NA()))))</f>
        <v>2203</v>
      </c>
      <c r="P91" s="37">
        <f>IF($B$4="RESONANCE",IFERROR(IF(INDEX(MASTER!$I$4:$I$1463,MATCH("FUCT"&amp;"|"&amp;MAX(1,ROUND(COUNTIFS(MASTER!$B$4:$B$1463,"FUCT",MASTER!$I$4:$I$1463,"&lt;&gt;")*$A91*100/100,0)),MASTER!$Y$4:$Y$1463,0))="",NA(),INDEX(MASTER!$I$4:$I$1463,MATCH("FUCT"&amp;"|"&amp;MAX(1,ROUND(COUNTIFS(MASTER!$B$4:$B$1463,"FUCT",MASTER!$I$4:$I$1463,"&lt;&gt;")*$A91*100/100,0)),MASTER!$Y$4:$Y$1463,0))),NA()),IF($B$4="COMBAT RATING",IFERROR(IF(INDEX(MASTER!$G$4:$G$1463,MATCH("FUCT"&amp;"|"&amp;MAX(1,ROUND(COUNTIFS(MASTER!$B$4:$B$1463,"FUCT",MASTER!$G$4:$G$1463,"&lt;&gt;")*$A91*100/100,0)),MASTER!$AH$4:$AH$1463,0))="",NA(),INDEX(MASTER!$G$4:$G$1463,MATCH("FUCT"&amp;"|"&amp;MAX(1,ROUND(COUNTIFS(MASTER!$B$4:$B$1463,"FUCT",MASTER!$G$4:$G$1463,"&lt;&gt;")*$A91*100/100,0)),MASTER!$AH$4:$AH$1463,0))),NA()),IF($B$4="SECONDARY",IFERROR(IF(INDEX(MASTER!$L$4:$L$1463,MATCH("FUCT"&amp;"|"&amp;MAX(1,ROUND(COUNTIFS(MASTER!$B$4:$B$1463,"FUCT",MASTER!$L$4:$L$1463,"&lt;&gt;")*$A91*100/100,0)),MASTER!$AI$4:$AI$1463,0))="",NA(),INDEX(MASTER!$L$4:$L$1463,MATCH("FUCT"&amp;"|"&amp;MAX(1,ROUND(COUNTIFS(MASTER!$B$4:$B$1463,"FUCT",MASTER!$L$4:$L$1463,"&lt;&gt;")*$A91*100/100,0)),MASTER!$AI$4:$AI$1463,0))),NA()))))</f>
        <v>5337</v>
      </c>
      <c r="Q91" s="37">
        <f>IF($B$4="RESONANCE",IFERROR(IF(INDEX(MASTER!$I$4:$I$1463,MATCH($E$4&amp;"|"&amp;MAX(1,ROUND(COUNTIFS(MASTER!$B$4:$B$1463,$E$4,MASTER!$I$4:$I$1463,"&lt;&gt;")*$A91*100/100,0)),MASTER!$Y$4:$Y$1463,0))="",NA(),INDEX(MASTER!$I$4:$I$1463,MATCH($E$4&amp;"|"&amp;MAX(1,ROUND(COUNTIFS(MASTER!$B$4:$B$1463,$E$4,MASTER!$I$4:$I$1463,"&lt;&gt;")*$A91*100/100,0)),MASTER!$Y$4:$Y$1463,0))),NA()),IF($B$4="COMBAT RATING",IFERROR(IF(INDEX(MASTER!$G$4:$G$1463,MATCH($E$4&amp;"|"&amp;MAX(1,ROUND(COUNTIFS(MASTER!$B$4:$B$1463,$E$4,MASTER!$G$4:$G$1463,"&lt;&gt;")*$A91*100/100,0)),MASTER!$AH$4:$AH$1463,0))="",NA(),INDEX(MASTER!$G$4:$G$1463,MATCH($E$4&amp;"|"&amp;MAX(1,ROUND(COUNTIFS(MASTER!$B$4:$B$1463,$E$4,MASTER!$G$4:$G$1463,"&lt;&gt;")*$A91*100/100,0)),MASTER!$AH$4:$AH$1463,0))),NA()),IF($B$4="SECONDARY",IFERROR(IF(INDEX(MASTER!$L$4:$L$1463,MATCH($E$4&amp;"|"&amp;MAX(1,ROUND(COUNTIFS(MASTER!$B$4:$B$1463,$E$4,MASTER!$L$4:$L$1463,"&lt;&gt;")*$A91*100/100,0)),MASTER!$AI$4:$AI$1463,0))="",NA(),INDEX(MASTER!$L$4:$L$1463,MATCH($E$4&amp;"|"&amp;MAX(1,ROUND(COUNTIFS(MASTER!$B$4:$B$1463,$E$4,MASTER!$L$4:$L$1463,"&lt;&gt;")*$A91*100/100,0)),MASTER!$AI$4:$AI$1463,0))),NA()))))</f>
        <v>4531</v>
      </c>
    </row>
    <row r="92" spans="1:17" hidden="1">
      <c r="A92" s="36">
        <v>0.37</v>
      </c>
      <c r="B92" s="37">
        <f>IF($B$4="RESONANCE",IFERROR(IF(INDEX(MASTER!$I$4:$I$1463,MATCH("FUCT"&amp;"|"&amp;MAX(1,ROUND(COUNTIFS(MASTER!$B$4:$B$1463,"FUCT",MASTER!$I$4:$I$1463,"&lt;&gt;")*$A92*100/100,0)),MASTER!$Y$4:$Y$1463,0))="",NA(),INDEX(MASTER!$I$4:$I$1463,MATCH("FUCT"&amp;"|"&amp;MAX(1,ROUND(COUNTIFS(MASTER!$B$4:$B$1463,"FUCT",MASTER!$I$4:$I$1463,"&lt;&gt;")*$A92*100/100,0)),MASTER!$Y$4:$Y$1463,0))),NA()),IF($B$4="COMBAT RATING",IFERROR(IF(INDEX(MASTER!$G$4:$G$1463,MATCH("FUCT"&amp;"|"&amp;MAX(1,ROUND(COUNTIFS(MASTER!$B$4:$B$1463,"FUCT",MASTER!$G$4:$G$1463,"&lt;&gt;")*$A92*100/100,0)),MASTER!$AH$4:$AH$1463,0))="",NA(),INDEX(MASTER!$G$4:$G$1463,MATCH("FUCT"&amp;"|"&amp;MAX(1,ROUND(COUNTIFS(MASTER!$B$4:$B$1463,"FUCT",MASTER!$G$4:$G$1463,"&lt;&gt;")*$A92*100/100,0)),MASTER!$AH$4:$AH$1463,0))),NA()),IF($B$4="SECONDARY",IFERROR(IF(INDEX(MASTER!$L$4:$L$1463,MATCH("FUCT"&amp;"|"&amp;MAX(1,ROUND(COUNTIFS(MASTER!$B$4:$B$1463,"FUCT",MASTER!$L$4:$L$1463,"&lt;&gt;")*$A92*100/100,0)),MASTER!$AI$4:$AI$1463,0))="",NA(),INDEX(MASTER!$L$4:$L$1463,MATCH("FUCT"&amp;"|"&amp;MAX(1,ROUND(COUNTIFS(MASTER!$B$4:$B$1463,"FUCT",MASTER!$L$4:$L$1463,"&lt;&gt;")*$A92*100/100,0)),MASTER!$AI$4:$AI$1463,0))),NA()))))</f>
        <v>5240</v>
      </c>
      <c r="C92" s="37">
        <f>IF($B$4="RESONANCE",IFERROR(IF(INDEX(MASTER!$I$4:$I$1463,MATCH("LEGENDS"&amp;"|"&amp;MAX(1,ROUND(COUNTIFS(MASTER!$B$4:$B$1463,"LEGENDS",MASTER!$I$4:$I$1463,"&lt;&gt;")*$A92*100/100,0)),MASTER!$Y$4:$Y$1463,0))="",NA(),INDEX(MASTER!$I$4:$I$1463,MATCH("LEGENDS"&amp;"|"&amp;MAX(1,ROUND(COUNTIFS(MASTER!$B$4:$B$1463,"LEGENDS",MASTER!$I$4:$I$1463,"&lt;&gt;")*$A92*100/100,0)),MASTER!$Y$4:$Y$1463,0))),NA()),IF($B$4="COMBAT RATING",IFERROR(IF(INDEX(MASTER!$G$4:$G$1463,MATCH("LEGENDS"&amp;"|"&amp;MAX(1,ROUND(COUNTIFS(MASTER!$B$4:$B$1463,"LEGENDS",MASTER!$G$4:$G$1463,"&lt;&gt;")*$A92*100/100,0)),MASTER!$AH$4:$AH$1463,0))="",NA(),INDEX(MASTER!$G$4:$G$1463,MATCH("LEGENDS"&amp;"|"&amp;MAX(1,ROUND(COUNTIFS(MASTER!$B$4:$B$1463,"LEGENDS",MASTER!$G$4:$G$1463,"&lt;&gt;")*$A92*100/100,0)),MASTER!$AH$4:$AH$1463,0))),NA()),IF($B$4="SECONDARY",IFERROR(IF(INDEX(MASTER!$L$4:$L$1463,MATCH("LEGENDS"&amp;"|"&amp;MAX(1,ROUND(COUNTIFS(MASTER!$B$4:$B$1463,"LEGENDS",MASTER!$L$4:$L$1463,"&lt;&gt;")*$A92*100/100,0)),MASTER!$AI$4:$AI$1463,0))="",NA(),INDEX(MASTER!$L$4:$L$1463,MATCH("LEGENDS"&amp;"|"&amp;MAX(1,ROUND(COUNTIFS(MASTER!$B$4:$B$1463,"LEGENDS",MASTER!$L$4:$L$1463,"&lt;&gt;")*$A92*100/100,0)),MASTER!$AI$4:$AI$1463,0))),NA()))))</f>
        <v>5671</v>
      </c>
      <c r="D92" s="37">
        <f>IF($B$4="RESONANCE",IFERROR(IF(INDEX(MASTER!$I$4:$I$1463,MATCH("VANGUARD"&amp;"|"&amp;MAX(1,ROUND(COUNTIFS(MASTER!$B$4:$B$1463,"VANGUARD",MASTER!$I$4:$I$1463,"&lt;&gt;")*$A92*100/100,0)),MASTER!$Y$4:$Y$1463,0))="",NA(),INDEX(MASTER!$I$4:$I$1463,MATCH("VANGUARD"&amp;"|"&amp;MAX(1,ROUND(COUNTIFS(MASTER!$B$4:$B$1463,"VANGUARD",MASTER!$I$4:$I$1463,"&lt;&gt;")*$A92*100/100,0)),MASTER!$Y$4:$Y$1463,0))),NA()),IF($B$4="COMBAT RATING",IFERROR(IF(INDEX(MASTER!$G$4:$G$1463,MATCH("VANGUARD"&amp;"|"&amp;MAX(1,ROUND(COUNTIFS(MASTER!$B$4:$B$1463,"VANGUARD",MASTER!$G$4:$G$1463,"&lt;&gt;")*$A92*100/100,0)),MASTER!$AH$4:$AH$1463,0))="",NA(),INDEX(MASTER!$G$4:$G$1463,MATCH("VANGUARD"&amp;"|"&amp;MAX(1,ROUND(COUNTIFS(MASTER!$B$4:$B$1463,"VANGUARD",MASTER!$G$4:$G$1463,"&lt;&gt;")*$A92*100/100,0)),MASTER!$AH$4:$AH$1463,0))),NA()),IF($B$4="SECONDARY",IFERROR(IF(INDEX(MASTER!$L$4:$L$1463,MATCH("VANGUARD"&amp;"|"&amp;MAX(1,ROUND(COUNTIFS(MASTER!$B$4:$B$1463,"VANGUARD",MASTER!$L$4:$L$1463,"&lt;&gt;")*$A92*100/100,0)),MASTER!$AI$4:$AI$1463,0))="",NA(),INDEX(MASTER!$L$4:$L$1463,MATCH("VANGUARD"&amp;"|"&amp;MAX(1,ROUND(COUNTIFS(MASTER!$B$4:$B$1463,"VANGUARD",MASTER!$L$4:$L$1463,"&lt;&gt;")*$A92*100/100,0)),MASTER!$AI$4:$AI$1463,0))),NA()))))</f>
        <v>7894</v>
      </c>
      <c r="E92" s="37">
        <f>IF($B$4="RESONANCE",IFERROR(IF(INDEX(MASTER!$I$4:$I$1463,MATCH("UNDYING"&amp;"|"&amp;MAX(1,ROUND(COUNTIFS(MASTER!$B$4:$B$1463,"UNDYING",MASTER!$I$4:$I$1463,"&lt;&gt;")*$A92*100/100,0)),MASTER!$Y$4:$Y$1463,0))="",NA(),INDEX(MASTER!$I$4:$I$1463,MATCH("UNDYING"&amp;"|"&amp;MAX(1,ROUND(COUNTIFS(MASTER!$B$4:$B$1463,"UNDYING",MASTER!$I$4:$I$1463,"&lt;&gt;")*$A92*100/100,0)),MASTER!$Y$4:$Y$1463,0))),NA()),IF($B$4="COMBAT RATING",IFERROR(IF(INDEX(MASTER!$G$4:$G$1463,MATCH("UNDYING"&amp;"|"&amp;MAX(1,ROUND(COUNTIFS(MASTER!$B$4:$B$1463,"UNDYING",MASTER!$G$4:$G$1463,"&lt;&gt;")*$A92*100/100,0)),MASTER!$AH$4:$AH$1463,0))="",NA(),INDEX(MASTER!$G$4:$G$1463,MATCH("UNDYING"&amp;"|"&amp;MAX(1,ROUND(COUNTIFS(MASTER!$B$4:$B$1463,"UNDYING",MASTER!$G$4:$G$1463,"&lt;&gt;")*$A92*100/100,0)),MASTER!$AH$4:$AH$1463,0))),NA()),IF($B$4="SECONDARY",IFERROR(IF(INDEX(MASTER!$L$4:$L$1463,MATCH("UNDYING"&amp;"|"&amp;MAX(1,ROUND(COUNTIFS(MASTER!$B$4:$B$1463,"UNDYING",MASTER!$L$4:$L$1463,"&lt;&gt;")*$A92*100/100,0)),MASTER!$AI$4:$AI$1463,0))="",NA(),INDEX(MASTER!$L$4:$L$1463,MATCH("UNDYING"&amp;"|"&amp;MAX(1,ROUND(COUNTIFS(MASTER!$B$4:$B$1463,"UNDYING",MASTER!$L$4:$L$1463,"&lt;&gt;")*$A92*100/100,0)),MASTER!$AI$4:$AI$1463,0))),NA()))))</f>
        <v>4494</v>
      </c>
      <c r="F92" s="37">
        <f>IF($B$4="RESONANCE",IFERROR(IF(INDEX(MASTER!$I$4:$I$1463,MATCH("SBG"&amp;"|"&amp;MAX(1,ROUND(COUNTIFS(MASTER!$B$4:$B$1463,"SBG",MASTER!$I$4:$I$1463,"&lt;&gt;")*$A92*100/100,0)),MASTER!$Y$4:$Y$1463,0))="",NA(),INDEX(MASTER!$I$4:$I$1463,MATCH("SBG"&amp;"|"&amp;MAX(1,ROUND(COUNTIFS(MASTER!$B$4:$B$1463,"SBG",MASTER!$I$4:$I$1463,"&lt;&gt;")*$A92*100/100,0)),MASTER!$Y$4:$Y$1463,0))),NA()),IF($B$4="COMBAT RATING",IFERROR(IF(INDEX(MASTER!$G$4:$G$1463,MATCH("SBG"&amp;"|"&amp;MAX(1,ROUND(COUNTIFS(MASTER!$B$4:$B$1463,"SBG",MASTER!$G$4:$G$1463,"&lt;&gt;")*$A92*100/100,0)),MASTER!$AH$4:$AH$1463,0))="",NA(),INDEX(MASTER!$G$4:$G$1463,MATCH("SBG"&amp;"|"&amp;MAX(1,ROUND(COUNTIFS(MASTER!$B$4:$B$1463,"SBG",MASTER!$G$4:$G$1463,"&lt;&gt;")*$A92*100/100,0)),MASTER!$AH$4:$AH$1463,0))),NA()),IF($B$4="SECONDARY",IFERROR(IF(INDEX(MASTER!$L$4:$L$1463,MATCH("SBG"&amp;"|"&amp;MAX(1,ROUND(COUNTIFS(MASTER!$B$4:$B$1463,"SBG",MASTER!$L$4:$L$1463,"&lt;&gt;")*$A92*100/100,0)),MASTER!$AI$4:$AI$1463,0))="",NA(),INDEX(MASTER!$L$4:$L$1463,MATCH("SBG"&amp;"|"&amp;MAX(1,ROUND(COUNTIFS(MASTER!$B$4:$B$1463,"SBG",MASTER!$L$4:$L$1463,"&lt;&gt;")*$A92*100/100,0)),MASTER!$AI$4:$AI$1463,0))),NA()))))</f>
        <v>7013</v>
      </c>
      <c r="G92" s="37">
        <f>IF($B$4="RESONANCE",IFERROR(IF(INDEX(MASTER!$I$4:$I$1463,MATCH("AZUKI"&amp;"|"&amp;MAX(1,ROUND(COUNTIFS(MASTER!$B$4:$B$1463,"AZUKI",MASTER!$I$4:$I$1463,"&lt;&gt;")*$A92*100/100,0)),MASTER!$Y$4:$Y$1463,0))="",NA(),INDEX(MASTER!$I$4:$I$1463,MATCH("AZUKI"&amp;"|"&amp;MAX(1,ROUND(COUNTIFS(MASTER!$B$4:$B$1463,"AZUKI",MASTER!$I$4:$I$1463,"&lt;&gt;")*$A92*100/100,0)),MASTER!$Y$4:$Y$1463,0))),NA()),IF($B$4="COMBAT RATING",IFERROR(IF(INDEX(MASTER!$G$4:$G$1463,MATCH("AZUKI"&amp;"|"&amp;MAX(1,ROUND(COUNTIFS(MASTER!$B$4:$B$1463,"AZUKI",MASTER!$G$4:$G$1463,"&lt;&gt;")*$A92*100/100,0)),MASTER!$AH$4:$AH$1463,0))="",NA(),INDEX(MASTER!$G$4:$G$1463,MATCH("AZUKI"&amp;"|"&amp;MAX(1,ROUND(COUNTIFS(MASTER!$B$4:$B$1463,"AZUKI",MASTER!$G$4:$G$1463,"&lt;&gt;")*$A92*100/100,0)),MASTER!$AH$4:$AH$1463,0))),NA()),IF($B$4="SECONDARY",IFERROR(IF(INDEX(MASTER!$L$4:$L$1463,MATCH("AZUKI"&amp;"|"&amp;MAX(1,ROUND(COUNTIFS(MASTER!$B$4:$B$1463,"AZUKI",MASTER!$L$4:$L$1463,"&lt;&gt;")*$A92*100/100,0)),MASTER!$AI$4:$AI$1463,0))="",NA(),INDEX(MASTER!$L$4:$L$1463,MATCH("AZUKI"&amp;"|"&amp;MAX(1,ROUND(COUNTIFS(MASTER!$B$4:$B$1463,"AZUKI",MASTER!$L$4:$L$1463,"&lt;&gt;")*$A92*100/100,0)),MASTER!$AI$4:$AI$1463,0))),NA()))))</f>
        <v>5920</v>
      </c>
      <c r="H92" s="37">
        <f>IF($B$4="RESONANCE",IFERROR(IF(INDEX(MASTER!$I$4:$I$1463,MATCH("RECKONING"&amp;"|"&amp;MAX(1,ROUND(COUNTIFS(MASTER!$B$4:$B$1463,"RECKONING",MASTER!$I$4:$I$1463,"&lt;&gt;")*$A92*100/100,0)),MASTER!$Y$4:$Y$1463,0))="",NA(),INDEX(MASTER!$I$4:$I$1463,MATCH("RECKONING"&amp;"|"&amp;MAX(1,ROUND(COUNTIFS(MASTER!$B$4:$B$1463,"RECKONING",MASTER!$I$4:$I$1463,"&lt;&gt;")*$A92*100/100,0)),MASTER!$Y$4:$Y$1463,0))),NA()),IF($B$4="COMBAT RATING",IFERROR(IF(INDEX(MASTER!$G$4:$G$1463,MATCH("RECKONING"&amp;"|"&amp;MAX(1,ROUND(COUNTIFS(MASTER!$B$4:$B$1463,"RECKONING",MASTER!$G$4:$G$1463,"&lt;&gt;")*$A92*100/100,0)),MASTER!$AH$4:$AH$1463,0))="",NA(),INDEX(MASTER!$G$4:$G$1463,MATCH("RECKONING"&amp;"|"&amp;MAX(1,ROUND(COUNTIFS(MASTER!$B$4:$B$1463,"RECKONING",MASTER!$G$4:$G$1463,"&lt;&gt;")*$A92*100/100,0)),MASTER!$AH$4:$AH$1463,0))),NA()),IF($B$4="SECONDARY",IFERROR(IF(INDEX(MASTER!$L$4:$L$1463,MATCH("RECKONING"&amp;"|"&amp;MAX(1,ROUND(COUNTIFS(MASTER!$B$4:$B$1463,"RECKONING",MASTER!$L$4:$L$1463,"&lt;&gt;")*$A92*100/100,0)),MASTER!$AI$4:$AI$1463,0))="",NA(),INDEX(MASTER!$L$4:$L$1463,MATCH("RECKONING"&amp;"|"&amp;MAX(1,ROUND(COUNTIFS(MASTER!$B$4:$B$1463,"RECKONING",MASTER!$L$4:$L$1463,"&lt;&gt;")*$A92*100/100,0)),MASTER!$AI$4:$AI$1463,0))),NA()))))</f>
        <v>5574</v>
      </c>
      <c r="I92" s="37">
        <f>IF($B$4="RESONANCE",IFERROR(IF(INDEX(MASTER!$I$4:$I$1463,MATCH("ACHERON"&amp;"|"&amp;MAX(1,ROUND(COUNTIFS(MASTER!$B$4:$B$1463,"ACHERON",MASTER!$I$4:$I$1463,"&lt;&gt;")*$A92*100/100,0)),MASTER!$Y$4:$Y$1463,0))="",NA(),INDEX(MASTER!$I$4:$I$1463,MATCH("ACHERON"&amp;"|"&amp;MAX(1,ROUND(COUNTIFS(MASTER!$B$4:$B$1463,"ACHERON",MASTER!$I$4:$I$1463,"&lt;&gt;")*$A92*100/100,0)),MASTER!$Y$4:$Y$1463,0))),NA()),IF($B$4="COMBAT RATING",IFERROR(IF(INDEX(MASTER!$G$4:$G$1463,MATCH("ACHERON"&amp;"|"&amp;MAX(1,ROUND(COUNTIFS(MASTER!$B$4:$B$1463,"ACHERON",MASTER!$G$4:$G$1463,"&lt;&gt;")*$A92*100/100,0)),MASTER!$AH$4:$AH$1463,0))="",NA(),INDEX(MASTER!$G$4:$G$1463,MATCH("ACHERON"&amp;"|"&amp;MAX(1,ROUND(COUNTIFS(MASTER!$B$4:$B$1463,"ACHERON",MASTER!$G$4:$G$1463,"&lt;&gt;")*$A92*100/100,0)),MASTER!$AH$4:$AH$1463,0))),NA()),IF($B$4="SECONDARY",IFERROR(IF(INDEX(MASTER!$L$4:$L$1463,MATCH("ACHERON"&amp;"|"&amp;MAX(1,ROUND(COUNTIFS(MASTER!$B$4:$B$1463,"ACHERON",MASTER!$L$4:$L$1463,"&lt;&gt;")*$A92*100/100,0)),MASTER!$AI$4:$AI$1463,0))="",NA(),INDEX(MASTER!$L$4:$L$1463,MATCH("ACHERON"&amp;"|"&amp;MAX(1,ROUND(COUNTIFS(MASTER!$B$4:$B$1463,"ACHERON",MASTER!$L$4:$L$1463,"&lt;&gt;")*$A92*100/100,0)),MASTER!$AI$4:$AI$1463,0))),NA()))))</f>
        <v>4533</v>
      </c>
      <c r="J92" s="37">
        <f>IF($B$4="RESONANCE",IFERROR(IF(INDEX(MASTER!$I$4:$I$1463,MATCH("INVICTUS"&amp;"|"&amp;MAX(1,ROUND(COUNTIFS(MASTER!$B$4:$B$1463,"INVICTUS",MASTER!$I$4:$I$1463,"&lt;&gt;")*$A92*100/100,0)),MASTER!$Y$4:$Y$1463,0))="",NA(),INDEX(MASTER!$I$4:$I$1463,MATCH("INVICTUS"&amp;"|"&amp;MAX(1,ROUND(COUNTIFS(MASTER!$B$4:$B$1463,"INVICTUS",MASTER!$I$4:$I$1463,"&lt;&gt;")*$A92*100/100,0)),MASTER!$Y$4:$Y$1463,0))),NA()),IF($B$4="COMBAT RATING",IFERROR(IF(INDEX(MASTER!$G$4:$G$1463,MATCH("INVICTUS"&amp;"|"&amp;MAX(1,ROUND(COUNTIFS(MASTER!$B$4:$B$1463,"INVICTUS",MASTER!$G$4:$G$1463,"&lt;&gt;")*$A92*100/100,0)),MASTER!$AH$4:$AH$1463,0))="",NA(),INDEX(MASTER!$G$4:$G$1463,MATCH("INVICTUS"&amp;"|"&amp;MAX(1,ROUND(COUNTIFS(MASTER!$B$4:$B$1463,"INVICTUS",MASTER!$G$4:$G$1463,"&lt;&gt;")*$A92*100/100,0)),MASTER!$AH$4:$AH$1463,0))),NA()),IF($B$4="SECONDARY",IFERROR(IF(INDEX(MASTER!$L$4:$L$1463,MATCH("INVICTUS"&amp;"|"&amp;MAX(1,ROUND(COUNTIFS(MASTER!$B$4:$B$1463,"INVICTUS",MASTER!$L$4:$L$1463,"&lt;&gt;")*$A92*100/100,0)),MASTER!$AI$4:$AI$1463,0))="",NA(),INDEX(MASTER!$L$4:$L$1463,MATCH("INVICTUS"&amp;"|"&amp;MAX(1,ROUND(COUNTIFS(MASTER!$B$4:$B$1463,"INVICTUS",MASTER!$L$4:$L$1463,"&lt;&gt;")*$A92*100/100,0)),MASTER!$AI$4:$AI$1463,0))),NA()))))</f>
        <v>3451</v>
      </c>
      <c r="K92" s="37">
        <f>IF($B$4="RESONANCE",IFERROR(IF(INDEX(MASTER!$I$4:$I$1463,MATCH("EMERALD LEAF TRIBE"&amp;"|"&amp;MAX(1,ROUND(COUNTIFS(MASTER!$B$4:$B$1463,"EMERALD LEAF TRIBE",MASTER!$I$4:$I$1463,"&lt;&gt;")*$A92*100/100,0)),MASTER!$Y$4:$Y$1463,0))="",NA(),INDEX(MASTER!$I$4:$I$1463,MATCH("EMERALD LEAF TRIBE"&amp;"|"&amp;MAX(1,ROUND(COUNTIFS(MASTER!$B$4:$B$1463,"EMERALD LEAF TRIBE",MASTER!$I$4:$I$1463,"&lt;&gt;")*$A92*100/100,0)),MASTER!$Y$4:$Y$1463,0))),NA()),IF($B$4="COMBAT RATING",IFERROR(IF(INDEX(MASTER!$G$4:$G$1463,MATCH("EMERALD LEAF TRIBE"&amp;"|"&amp;MAX(1,ROUND(COUNTIFS(MASTER!$B$4:$B$1463,"EMERALD LEAF TRIBE",MASTER!$G$4:$G$1463,"&lt;&gt;")*$A92*100/100,0)),MASTER!$AH$4:$AH$1463,0))="",NA(),INDEX(MASTER!$G$4:$G$1463,MATCH("EMERALD LEAF TRIBE"&amp;"|"&amp;MAX(1,ROUND(COUNTIFS(MASTER!$B$4:$B$1463,"EMERALD LEAF TRIBE",MASTER!$G$4:$G$1463,"&lt;&gt;")*$A92*100/100,0)),MASTER!$AH$4:$AH$1463,0))),NA()),IF($B$4="SECONDARY",IFERROR(IF(INDEX(MASTER!$L$4:$L$1463,MATCH("EMERALD LEAF TRIBE"&amp;"|"&amp;MAX(1,ROUND(COUNTIFS(MASTER!$B$4:$B$1463,"EMERALD LEAF TRIBE",MASTER!$L$4:$L$1463,"&lt;&gt;")*$A92*100/100,0)),MASTER!$AI$4:$AI$1463,0))="",NA(),INDEX(MASTER!$L$4:$L$1463,MATCH("EMERALD LEAF TRIBE"&amp;"|"&amp;MAX(1,ROUND(COUNTIFS(MASTER!$B$4:$B$1463,"EMERALD LEAF TRIBE",MASTER!$L$4:$L$1463,"&lt;&gt;")*$A92*100/100,0)),MASTER!$AI$4:$AI$1463,0))),NA()))))</f>
        <v>2572</v>
      </c>
      <c r="L92" s="37">
        <f>IF($B$4="RESONANCE",IFERROR(IF(INDEX(MASTER!$I$4:$I$1463,MATCH("SUB ROSA"&amp;"|"&amp;MAX(1,ROUND(COUNTIFS(MASTER!$B$4:$B$1463,"SUB ROSA",MASTER!$I$4:$I$1463,"&lt;&gt;")*$A92*100/100,0)),MASTER!$Y$4:$Y$1463,0))="",NA(),INDEX(MASTER!$I$4:$I$1463,MATCH("SUB ROSA"&amp;"|"&amp;MAX(1,ROUND(COUNTIFS(MASTER!$B$4:$B$1463,"SUB ROSA",MASTER!$I$4:$I$1463,"&lt;&gt;")*$A92*100/100,0)),MASTER!$Y$4:$Y$1463,0))),NA()),IF($B$4="COMBAT RATING",IFERROR(IF(INDEX(MASTER!$G$4:$G$1463,MATCH("SUB ROSA"&amp;"|"&amp;MAX(1,ROUND(COUNTIFS(MASTER!$B$4:$B$1463,"SUB ROSA",MASTER!$G$4:$G$1463,"&lt;&gt;")*$A92*100/100,0)),MASTER!$AH$4:$AH$1463,0))="",NA(),INDEX(MASTER!$G$4:$G$1463,MATCH("SUB ROSA"&amp;"|"&amp;MAX(1,ROUND(COUNTIFS(MASTER!$B$4:$B$1463,"SUB ROSA",MASTER!$G$4:$G$1463,"&lt;&gt;")*$A92*100/100,0)),MASTER!$AH$4:$AH$1463,0))),NA()),IF($B$4="SECONDARY",IFERROR(IF(INDEX(MASTER!$L$4:$L$1463,MATCH("SUB ROSA"&amp;"|"&amp;MAX(1,ROUND(COUNTIFS(MASTER!$B$4:$B$1463,"SUB ROSA",MASTER!$L$4:$L$1463,"&lt;&gt;")*$A92*100/100,0)),MASTER!$AI$4:$AI$1463,0))="",NA(),INDEX(MASTER!$L$4:$L$1463,MATCH("SUB ROSA"&amp;"|"&amp;MAX(1,ROUND(COUNTIFS(MASTER!$B$4:$B$1463,"SUB ROSA",MASTER!$L$4:$L$1463,"&lt;&gt;")*$A92*100/100,0)),MASTER!$AI$4:$AI$1463,0))),NA()))))</f>
        <v>3050</v>
      </c>
      <c r="M92" s="37">
        <f>IF($B$4="RESONANCE",IFERROR(IF(INDEX(MASTER!$I$4:$I$1463,MATCH("VENGEANCE"&amp;"|"&amp;MAX(1,ROUND(COUNTIFS(MASTER!$B$4:$B$1463,"VENGEANCE",MASTER!$I$4:$I$1463,"&lt;&gt;")*$A92*100/100,0)),MASTER!$Y$4:$Y$1463,0))="",NA(),INDEX(MASTER!$I$4:$I$1463,MATCH("VENGEANCE"&amp;"|"&amp;MAX(1,ROUND(COUNTIFS(MASTER!$B$4:$B$1463,"VENGEANCE",MASTER!$I$4:$I$1463,"&lt;&gt;")*$A92*100/100,0)),MASTER!$Y$4:$Y$1463,0))),NA()),IF($B$4="COMBAT RATING",IFERROR(IF(INDEX(MASTER!$G$4:$G$1463,MATCH("VENGEANCE"&amp;"|"&amp;MAX(1,ROUND(COUNTIFS(MASTER!$B$4:$B$1463,"VENGEANCE",MASTER!$G$4:$G$1463,"&lt;&gt;")*$A92*100/100,0)),MASTER!$AH$4:$AH$1463,0))="",NA(),INDEX(MASTER!$G$4:$G$1463,MATCH("VENGEANCE"&amp;"|"&amp;MAX(1,ROUND(COUNTIFS(MASTER!$B$4:$B$1463,"VENGEANCE",MASTER!$G$4:$G$1463,"&lt;&gt;")*$A92*100/100,0)),MASTER!$AH$4:$AH$1463,0))),NA()),IF($B$4="SECONDARY",IFERROR(IF(INDEX(MASTER!$L$4:$L$1463,MATCH("VENGEANCE"&amp;"|"&amp;MAX(1,ROUND(COUNTIFS(MASTER!$B$4:$B$1463,"VENGEANCE",MASTER!$L$4:$L$1463,"&lt;&gt;")*$A92*100/100,0)),MASTER!$AI$4:$AI$1463,0))="",NA(),INDEX(MASTER!$L$4:$L$1463,MATCH("VENGEANCE"&amp;"|"&amp;MAX(1,ROUND(COUNTIFS(MASTER!$B$4:$B$1463,"VENGEANCE",MASTER!$L$4:$L$1463,"&lt;&gt;")*$A92*100/100,0)),MASTER!$AI$4:$AI$1463,0))),NA()))))</f>
        <v>3918</v>
      </c>
      <c r="N92" s="37">
        <f>IF($B$4="RESONANCE",IFERROR(IF(INDEX(MASTER!$I$4:$I$1463,MATCH("VENDETTA"&amp;"|"&amp;MAX(1,ROUND(COUNTIFS(MASTER!$B$4:$B$1463,"VENDETTA",MASTER!$I$4:$I$1463,"&lt;&gt;")*$A92*100/100,0)),MASTER!$Y$4:$Y$1463,0))="",NA(),INDEX(MASTER!$I$4:$I$1463,MATCH("VENDETTA"&amp;"|"&amp;MAX(1,ROUND(COUNTIFS(MASTER!$B$4:$B$1463,"VENDETTA",MASTER!$I$4:$I$1463,"&lt;&gt;")*$A92*100/100,0)),MASTER!$Y$4:$Y$1463,0))),NA()),IF($B$4="COMBAT RATING",IFERROR(IF(INDEX(MASTER!$G$4:$G$1463,MATCH("VENDETTA"&amp;"|"&amp;MAX(1,ROUND(COUNTIFS(MASTER!$B$4:$B$1463,"VENDETTA",MASTER!$G$4:$G$1463,"&lt;&gt;")*$A92*100/100,0)),MASTER!$AH$4:$AH$1463,0))="",NA(),INDEX(MASTER!$G$4:$G$1463,MATCH("VENDETTA"&amp;"|"&amp;MAX(1,ROUND(COUNTIFS(MASTER!$B$4:$B$1463,"VENDETTA",MASTER!$G$4:$G$1463,"&lt;&gt;")*$A92*100/100,0)),MASTER!$AH$4:$AH$1463,0))),NA()),IF($B$4="SECONDARY",IFERROR(IF(INDEX(MASTER!$L$4:$L$1463,MATCH("VENDETTA"&amp;"|"&amp;MAX(1,ROUND(COUNTIFS(MASTER!$B$4:$B$1463,"VENDETTA",MASTER!$L$4:$L$1463,"&lt;&gt;")*$A92*100/100,0)),MASTER!$AI$4:$AI$1463,0))="",NA(),INDEX(MASTER!$L$4:$L$1463,MATCH("VENDETTA"&amp;"|"&amp;MAX(1,ROUND(COUNTIFS(MASTER!$B$4:$B$1463,"VENDETTA",MASTER!$L$4:$L$1463,"&lt;&gt;")*$A92*100/100,0)),MASTER!$AI$4:$AI$1463,0))),NA()))))</f>
        <v>2397</v>
      </c>
      <c r="O92" s="37">
        <f>IF($B$4="RESONANCE",IFERROR(IF(INDEX(MASTER!$I$4:$I$1463,MATCH("ZOMBIES"&amp;"|"&amp;MAX(1,ROUND(COUNTIFS(MASTER!$B$4:$B$1463,"ZOMBIES",MASTER!$I$4:$I$1463,"&lt;&gt;")*$A92*100/100,0)),MASTER!$Y$4:$Y$1463,0))="",NA(),INDEX(MASTER!$I$4:$I$1463,MATCH("ZOMBIES"&amp;"|"&amp;MAX(1,ROUND(COUNTIFS(MASTER!$B$4:$B$1463,"ZOMBIES",MASTER!$I$4:$I$1463,"&lt;&gt;")*$A92*100/100,0)),MASTER!$Y$4:$Y$1463,0))),NA()),IF($B$4="COMBAT RATING",IFERROR(IF(INDEX(MASTER!$G$4:$G$1463,MATCH("ZOMBIES"&amp;"|"&amp;MAX(1,ROUND(COUNTIFS(MASTER!$B$4:$B$1463,"ZOMBIES",MASTER!$G$4:$G$1463,"&lt;&gt;")*$A92*100/100,0)),MASTER!$AH$4:$AH$1463,0))="",NA(),INDEX(MASTER!$G$4:$G$1463,MATCH("ZOMBIES"&amp;"|"&amp;MAX(1,ROUND(COUNTIFS(MASTER!$B$4:$B$1463,"ZOMBIES",MASTER!$G$4:$G$1463,"&lt;&gt;")*$A92*100/100,0)),MASTER!$AH$4:$AH$1463,0))),NA()),IF($B$4="SECONDARY",IFERROR(IF(INDEX(MASTER!$L$4:$L$1463,MATCH("ZOMBIES"&amp;"|"&amp;MAX(1,ROUND(COUNTIFS(MASTER!$B$4:$B$1463,"ZOMBIES",MASTER!$L$4:$L$1463,"&lt;&gt;")*$A92*100/100,0)),MASTER!$AI$4:$AI$1463,0))="",NA(),INDEX(MASTER!$L$4:$L$1463,MATCH("ZOMBIES"&amp;"|"&amp;MAX(1,ROUND(COUNTIFS(MASTER!$B$4:$B$1463,"ZOMBIES",MASTER!$L$4:$L$1463,"&lt;&gt;")*$A92*100/100,0)),MASTER!$AI$4:$AI$1463,0))),NA()))))</f>
        <v>2153</v>
      </c>
      <c r="P92" s="37">
        <f>IF($B$4="RESONANCE",IFERROR(IF(INDEX(MASTER!$I$4:$I$1463,MATCH("FUCT"&amp;"|"&amp;MAX(1,ROUND(COUNTIFS(MASTER!$B$4:$B$1463,"FUCT",MASTER!$I$4:$I$1463,"&lt;&gt;")*$A92*100/100,0)),MASTER!$Y$4:$Y$1463,0))="",NA(),INDEX(MASTER!$I$4:$I$1463,MATCH("FUCT"&amp;"|"&amp;MAX(1,ROUND(COUNTIFS(MASTER!$B$4:$B$1463,"FUCT",MASTER!$I$4:$I$1463,"&lt;&gt;")*$A92*100/100,0)),MASTER!$Y$4:$Y$1463,0))),NA()),IF($B$4="COMBAT RATING",IFERROR(IF(INDEX(MASTER!$G$4:$G$1463,MATCH("FUCT"&amp;"|"&amp;MAX(1,ROUND(COUNTIFS(MASTER!$B$4:$B$1463,"FUCT",MASTER!$G$4:$G$1463,"&lt;&gt;")*$A92*100/100,0)),MASTER!$AH$4:$AH$1463,0))="",NA(),INDEX(MASTER!$G$4:$G$1463,MATCH("FUCT"&amp;"|"&amp;MAX(1,ROUND(COUNTIFS(MASTER!$B$4:$B$1463,"FUCT",MASTER!$G$4:$G$1463,"&lt;&gt;")*$A92*100/100,0)),MASTER!$AH$4:$AH$1463,0))),NA()),IF($B$4="SECONDARY",IFERROR(IF(INDEX(MASTER!$L$4:$L$1463,MATCH("FUCT"&amp;"|"&amp;MAX(1,ROUND(COUNTIFS(MASTER!$B$4:$B$1463,"FUCT",MASTER!$L$4:$L$1463,"&lt;&gt;")*$A92*100/100,0)),MASTER!$AI$4:$AI$1463,0))="",NA(),INDEX(MASTER!$L$4:$L$1463,MATCH("FUCT"&amp;"|"&amp;MAX(1,ROUND(COUNTIFS(MASTER!$B$4:$B$1463,"FUCT",MASTER!$L$4:$L$1463,"&lt;&gt;")*$A92*100/100,0)),MASTER!$AI$4:$AI$1463,0))),NA()))))</f>
        <v>5240</v>
      </c>
      <c r="Q92" s="37">
        <f>IF($B$4="RESONANCE",IFERROR(IF(INDEX(MASTER!$I$4:$I$1463,MATCH($E$4&amp;"|"&amp;MAX(1,ROUND(COUNTIFS(MASTER!$B$4:$B$1463,$E$4,MASTER!$I$4:$I$1463,"&lt;&gt;")*$A92*100/100,0)),MASTER!$Y$4:$Y$1463,0))="",NA(),INDEX(MASTER!$I$4:$I$1463,MATCH($E$4&amp;"|"&amp;MAX(1,ROUND(COUNTIFS(MASTER!$B$4:$B$1463,$E$4,MASTER!$I$4:$I$1463,"&lt;&gt;")*$A92*100/100,0)),MASTER!$Y$4:$Y$1463,0))),NA()),IF($B$4="COMBAT RATING",IFERROR(IF(INDEX(MASTER!$G$4:$G$1463,MATCH($E$4&amp;"|"&amp;MAX(1,ROUND(COUNTIFS(MASTER!$B$4:$B$1463,$E$4,MASTER!$G$4:$G$1463,"&lt;&gt;")*$A92*100/100,0)),MASTER!$AH$4:$AH$1463,0))="",NA(),INDEX(MASTER!$G$4:$G$1463,MATCH($E$4&amp;"|"&amp;MAX(1,ROUND(COUNTIFS(MASTER!$B$4:$B$1463,$E$4,MASTER!$G$4:$G$1463,"&lt;&gt;")*$A92*100/100,0)),MASTER!$AH$4:$AH$1463,0))),NA()),IF($B$4="SECONDARY",IFERROR(IF(INDEX(MASTER!$L$4:$L$1463,MATCH($E$4&amp;"|"&amp;MAX(1,ROUND(COUNTIFS(MASTER!$B$4:$B$1463,$E$4,MASTER!$L$4:$L$1463,"&lt;&gt;")*$A92*100/100,0)),MASTER!$AI$4:$AI$1463,0))="",NA(),INDEX(MASTER!$L$4:$L$1463,MATCH($E$4&amp;"|"&amp;MAX(1,ROUND(COUNTIFS(MASTER!$B$4:$B$1463,$E$4,MASTER!$L$4:$L$1463,"&lt;&gt;")*$A92*100/100,0)),MASTER!$AI$4:$AI$1463,0))),NA()))))</f>
        <v>4494</v>
      </c>
    </row>
    <row r="93" spans="1:17" hidden="1">
      <c r="A93" s="36">
        <v>0.38</v>
      </c>
      <c r="B93" s="37">
        <f>IF($B$4="RESONANCE",IFERROR(IF(INDEX(MASTER!$I$4:$I$1463,MATCH("FUCT"&amp;"|"&amp;MAX(1,ROUND(COUNTIFS(MASTER!$B$4:$B$1463,"FUCT",MASTER!$I$4:$I$1463,"&lt;&gt;")*$A93*100/100,0)),MASTER!$Y$4:$Y$1463,0))="",NA(),INDEX(MASTER!$I$4:$I$1463,MATCH("FUCT"&amp;"|"&amp;MAX(1,ROUND(COUNTIFS(MASTER!$B$4:$B$1463,"FUCT",MASTER!$I$4:$I$1463,"&lt;&gt;")*$A93*100/100,0)),MASTER!$Y$4:$Y$1463,0))),NA()),IF($B$4="COMBAT RATING",IFERROR(IF(INDEX(MASTER!$G$4:$G$1463,MATCH("FUCT"&amp;"|"&amp;MAX(1,ROUND(COUNTIFS(MASTER!$B$4:$B$1463,"FUCT",MASTER!$G$4:$G$1463,"&lt;&gt;")*$A93*100/100,0)),MASTER!$AH$4:$AH$1463,0))="",NA(),INDEX(MASTER!$G$4:$G$1463,MATCH("FUCT"&amp;"|"&amp;MAX(1,ROUND(COUNTIFS(MASTER!$B$4:$B$1463,"FUCT",MASTER!$G$4:$G$1463,"&lt;&gt;")*$A93*100/100,0)),MASTER!$AH$4:$AH$1463,0))),NA()),IF($B$4="SECONDARY",IFERROR(IF(INDEX(MASTER!$L$4:$L$1463,MATCH("FUCT"&amp;"|"&amp;MAX(1,ROUND(COUNTIFS(MASTER!$B$4:$B$1463,"FUCT",MASTER!$L$4:$L$1463,"&lt;&gt;")*$A93*100/100,0)),MASTER!$AI$4:$AI$1463,0))="",NA(),INDEX(MASTER!$L$4:$L$1463,MATCH("FUCT"&amp;"|"&amp;MAX(1,ROUND(COUNTIFS(MASTER!$B$4:$B$1463,"FUCT",MASTER!$L$4:$L$1463,"&lt;&gt;")*$A93*100/100,0)),MASTER!$AI$4:$AI$1463,0))),NA()))))</f>
        <v>5147</v>
      </c>
      <c r="C93" s="37">
        <f>IF($B$4="RESONANCE",IFERROR(IF(INDEX(MASTER!$I$4:$I$1463,MATCH("LEGENDS"&amp;"|"&amp;MAX(1,ROUND(COUNTIFS(MASTER!$B$4:$B$1463,"LEGENDS",MASTER!$I$4:$I$1463,"&lt;&gt;")*$A93*100/100,0)),MASTER!$Y$4:$Y$1463,0))="",NA(),INDEX(MASTER!$I$4:$I$1463,MATCH("LEGENDS"&amp;"|"&amp;MAX(1,ROUND(COUNTIFS(MASTER!$B$4:$B$1463,"LEGENDS",MASTER!$I$4:$I$1463,"&lt;&gt;")*$A93*100/100,0)),MASTER!$Y$4:$Y$1463,0))),NA()),IF($B$4="COMBAT RATING",IFERROR(IF(INDEX(MASTER!$G$4:$G$1463,MATCH("LEGENDS"&amp;"|"&amp;MAX(1,ROUND(COUNTIFS(MASTER!$B$4:$B$1463,"LEGENDS",MASTER!$G$4:$G$1463,"&lt;&gt;")*$A93*100/100,0)),MASTER!$AH$4:$AH$1463,0))="",NA(),INDEX(MASTER!$G$4:$G$1463,MATCH("LEGENDS"&amp;"|"&amp;MAX(1,ROUND(COUNTIFS(MASTER!$B$4:$B$1463,"LEGENDS",MASTER!$G$4:$G$1463,"&lt;&gt;")*$A93*100/100,0)),MASTER!$AH$4:$AH$1463,0))),NA()),IF($B$4="SECONDARY",IFERROR(IF(INDEX(MASTER!$L$4:$L$1463,MATCH("LEGENDS"&amp;"|"&amp;MAX(1,ROUND(COUNTIFS(MASTER!$B$4:$B$1463,"LEGENDS",MASTER!$L$4:$L$1463,"&lt;&gt;")*$A93*100/100,0)),MASTER!$AI$4:$AI$1463,0))="",NA(),INDEX(MASTER!$L$4:$L$1463,MATCH("LEGENDS"&amp;"|"&amp;MAX(1,ROUND(COUNTIFS(MASTER!$B$4:$B$1463,"LEGENDS",MASTER!$L$4:$L$1463,"&lt;&gt;")*$A93*100/100,0)),MASTER!$AI$4:$AI$1463,0))),NA()))))</f>
        <v>5622</v>
      </c>
      <c r="D93" s="37">
        <f>IF($B$4="RESONANCE",IFERROR(IF(INDEX(MASTER!$I$4:$I$1463,MATCH("VANGUARD"&amp;"|"&amp;MAX(1,ROUND(COUNTIFS(MASTER!$B$4:$B$1463,"VANGUARD",MASTER!$I$4:$I$1463,"&lt;&gt;")*$A93*100/100,0)),MASTER!$Y$4:$Y$1463,0))="",NA(),INDEX(MASTER!$I$4:$I$1463,MATCH("VANGUARD"&amp;"|"&amp;MAX(1,ROUND(COUNTIFS(MASTER!$B$4:$B$1463,"VANGUARD",MASTER!$I$4:$I$1463,"&lt;&gt;")*$A93*100/100,0)),MASTER!$Y$4:$Y$1463,0))),NA()),IF($B$4="COMBAT RATING",IFERROR(IF(INDEX(MASTER!$G$4:$G$1463,MATCH("VANGUARD"&amp;"|"&amp;MAX(1,ROUND(COUNTIFS(MASTER!$B$4:$B$1463,"VANGUARD",MASTER!$G$4:$G$1463,"&lt;&gt;")*$A93*100/100,0)),MASTER!$AH$4:$AH$1463,0))="",NA(),INDEX(MASTER!$G$4:$G$1463,MATCH("VANGUARD"&amp;"|"&amp;MAX(1,ROUND(COUNTIFS(MASTER!$B$4:$B$1463,"VANGUARD",MASTER!$G$4:$G$1463,"&lt;&gt;")*$A93*100/100,0)),MASTER!$AH$4:$AH$1463,0))),NA()),IF($B$4="SECONDARY",IFERROR(IF(INDEX(MASTER!$L$4:$L$1463,MATCH("VANGUARD"&amp;"|"&amp;MAX(1,ROUND(COUNTIFS(MASTER!$B$4:$B$1463,"VANGUARD",MASTER!$L$4:$L$1463,"&lt;&gt;")*$A93*100/100,0)),MASTER!$AI$4:$AI$1463,0))="",NA(),INDEX(MASTER!$L$4:$L$1463,MATCH("VANGUARD"&amp;"|"&amp;MAX(1,ROUND(COUNTIFS(MASTER!$B$4:$B$1463,"VANGUARD",MASTER!$L$4:$L$1463,"&lt;&gt;")*$A93*100/100,0)),MASTER!$AI$4:$AI$1463,0))),NA()))))</f>
        <v>7828</v>
      </c>
      <c r="E93" s="37">
        <f>IF($B$4="RESONANCE",IFERROR(IF(INDEX(MASTER!$I$4:$I$1463,MATCH("UNDYING"&amp;"|"&amp;MAX(1,ROUND(COUNTIFS(MASTER!$B$4:$B$1463,"UNDYING",MASTER!$I$4:$I$1463,"&lt;&gt;")*$A93*100/100,0)),MASTER!$Y$4:$Y$1463,0))="",NA(),INDEX(MASTER!$I$4:$I$1463,MATCH("UNDYING"&amp;"|"&amp;MAX(1,ROUND(COUNTIFS(MASTER!$B$4:$B$1463,"UNDYING",MASTER!$I$4:$I$1463,"&lt;&gt;")*$A93*100/100,0)),MASTER!$Y$4:$Y$1463,0))),NA()),IF($B$4="COMBAT RATING",IFERROR(IF(INDEX(MASTER!$G$4:$G$1463,MATCH("UNDYING"&amp;"|"&amp;MAX(1,ROUND(COUNTIFS(MASTER!$B$4:$B$1463,"UNDYING",MASTER!$G$4:$G$1463,"&lt;&gt;")*$A93*100/100,0)),MASTER!$AH$4:$AH$1463,0))="",NA(),INDEX(MASTER!$G$4:$G$1463,MATCH("UNDYING"&amp;"|"&amp;MAX(1,ROUND(COUNTIFS(MASTER!$B$4:$B$1463,"UNDYING",MASTER!$G$4:$G$1463,"&lt;&gt;")*$A93*100/100,0)),MASTER!$AH$4:$AH$1463,0))),NA()),IF($B$4="SECONDARY",IFERROR(IF(INDEX(MASTER!$L$4:$L$1463,MATCH("UNDYING"&amp;"|"&amp;MAX(1,ROUND(COUNTIFS(MASTER!$B$4:$B$1463,"UNDYING",MASTER!$L$4:$L$1463,"&lt;&gt;")*$A93*100/100,0)),MASTER!$AI$4:$AI$1463,0))="",NA(),INDEX(MASTER!$L$4:$L$1463,MATCH("UNDYING"&amp;"|"&amp;MAX(1,ROUND(COUNTIFS(MASTER!$B$4:$B$1463,"UNDYING",MASTER!$L$4:$L$1463,"&lt;&gt;")*$A93*100/100,0)),MASTER!$AI$4:$AI$1463,0))),NA()))))</f>
        <v>4494</v>
      </c>
      <c r="F93" s="37">
        <f>IF($B$4="RESONANCE",IFERROR(IF(INDEX(MASTER!$I$4:$I$1463,MATCH("SBG"&amp;"|"&amp;MAX(1,ROUND(COUNTIFS(MASTER!$B$4:$B$1463,"SBG",MASTER!$I$4:$I$1463,"&lt;&gt;")*$A93*100/100,0)),MASTER!$Y$4:$Y$1463,0))="",NA(),INDEX(MASTER!$I$4:$I$1463,MATCH("SBG"&amp;"|"&amp;MAX(1,ROUND(COUNTIFS(MASTER!$B$4:$B$1463,"SBG",MASTER!$I$4:$I$1463,"&lt;&gt;")*$A93*100/100,0)),MASTER!$Y$4:$Y$1463,0))),NA()),IF($B$4="COMBAT RATING",IFERROR(IF(INDEX(MASTER!$G$4:$G$1463,MATCH("SBG"&amp;"|"&amp;MAX(1,ROUND(COUNTIFS(MASTER!$B$4:$B$1463,"SBG",MASTER!$G$4:$G$1463,"&lt;&gt;")*$A93*100/100,0)),MASTER!$AH$4:$AH$1463,0))="",NA(),INDEX(MASTER!$G$4:$G$1463,MATCH("SBG"&amp;"|"&amp;MAX(1,ROUND(COUNTIFS(MASTER!$B$4:$B$1463,"SBG",MASTER!$G$4:$G$1463,"&lt;&gt;")*$A93*100/100,0)),MASTER!$AH$4:$AH$1463,0))),NA()),IF($B$4="SECONDARY",IFERROR(IF(INDEX(MASTER!$L$4:$L$1463,MATCH("SBG"&amp;"|"&amp;MAX(1,ROUND(COUNTIFS(MASTER!$B$4:$B$1463,"SBG",MASTER!$L$4:$L$1463,"&lt;&gt;")*$A93*100/100,0)),MASTER!$AI$4:$AI$1463,0))="",NA(),INDEX(MASTER!$L$4:$L$1463,MATCH("SBG"&amp;"|"&amp;MAX(1,ROUND(COUNTIFS(MASTER!$B$4:$B$1463,"SBG",MASTER!$L$4:$L$1463,"&lt;&gt;")*$A93*100/100,0)),MASTER!$AI$4:$AI$1463,0))),NA()))))</f>
        <v>6953</v>
      </c>
      <c r="G93" s="37">
        <f>IF($B$4="RESONANCE",IFERROR(IF(INDEX(MASTER!$I$4:$I$1463,MATCH("AZUKI"&amp;"|"&amp;MAX(1,ROUND(COUNTIFS(MASTER!$B$4:$B$1463,"AZUKI",MASTER!$I$4:$I$1463,"&lt;&gt;")*$A93*100/100,0)),MASTER!$Y$4:$Y$1463,0))="",NA(),INDEX(MASTER!$I$4:$I$1463,MATCH("AZUKI"&amp;"|"&amp;MAX(1,ROUND(COUNTIFS(MASTER!$B$4:$B$1463,"AZUKI",MASTER!$I$4:$I$1463,"&lt;&gt;")*$A93*100/100,0)),MASTER!$Y$4:$Y$1463,0))),NA()),IF($B$4="COMBAT RATING",IFERROR(IF(INDEX(MASTER!$G$4:$G$1463,MATCH("AZUKI"&amp;"|"&amp;MAX(1,ROUND(COUNTIFS(MASTER!$B$4:$B$1463,"AZUKI",MASTER!$G$4:$G$1463,"&lt;&gt;")*$A93*100/100,0)),MASTER!$AH$4:$AH$1463,0))="",NA(),INDEX(MASTER!$G$4:$G$1463,MATCH("AZUKI"&amp;"|"&amp;MAX(1,ROUND(COUNTIFS(MASTER!$B$4:$B$1463,"AZUKI",MASTER!$G$4:$G$1463,"&lt;&gt;")*$A93*100/100,0)),MASTER!$AH$4:$AH$1463,0))),NA()),IF($B$4="SECONDARY",IFERROR(IF(INDEX(MASTER!$L$4:$L$1463,MATCH("AZUKI"&amp;"|"&amp;MAX(1,ROUND(COUNTIFS(MASTER!$B$4:$B$1463,"AZUKI",MASTER!$L$4:$L$1463,"&lt;&gt;")*$A93*100/100,0)),MASTER!$AI$4:$AI$1463,0))="",NA(),INDEX(MASTER!$L$4:$L$1463,MATCH("AZUKI"&amp;"|"&amp;MAX(1,ROUND(COUNTIFS(MASTER!$B$4:$B$1463,"AZUKI",MASTER!$L$4:$L$1463,"&lt;&gt;")*$A93*100/100,0)),MASTER!$AI$4:$AI$1463,0))),NA()))))</f>
        <v>5910</v>
      </c>
      <c r="H93" s="37">
        <f>IF($B$4="RESONANCE",IFERROR(IF(INDEX(MASTER!$I$4:$I$1463,MATCH("RECKONING"&amp;"|"&amp;MAX(1,ROUND(COUNTIFS(MASTER!$B$4:$B$1463,"RECKONING",MASTER!$I$4:$I$1463,"&lt;&gt;")*$A93*100/100,0)),MASTER!$Y$4:$Y$1463,0))="",NA(),INDEX(MASTER!$I$4:$I$1463,MATCH("RECKONING"&amp;"|"&amp;MAX(1,ROUND(COUNTIFS(MASTER!$B$4:$B$1463,"RECKONING",MASTER!$I$4:$I$1463,"&lt;&gt;")*$A93*100/100,0)),MASTER!$Y$4:$Y$1463,0))),NA()),IF($B$4="COMBAT RATING",IFERROR(IF(INDEX(MASTER!$G$4:$G$1463,MATCH("RECKONING"&amp;"|"&amp;MAX(1,ROUND(COUNTIFS(MASTER!$B$4:$B$1463,"RECKONING",MASTER!$G$4:$G$1463,"&lt;&gt;")*$A93*100/100,0)),MASTER!$AH$4:$AH$1463,0))="",NA(),INDEX(MASTER!$G$4:$G$1463,MATCH("RECKONING"&amp;"|"&amp;MAX(1,ROUND(COUNTIFS(MASTER!$B$4:$B$1463,"RECKONING",MASTER!$G$4:$G$1463,"&lt;&gt;")*$A93*100/100,0)),MASTER!$AH$4:$AH$1463,0))),NA()),IF($B$4="SECONDARY",IFERROR(IF(INDEX(MASTER!$L$4:$L$1463,MATCH("RECKONING"&amp;"|"&amp;MAX(1,ROUND(COUNTIFS(MASTER!$B$4:$B$1463,"RECKONING",MASTER!$L$4:$L$1463,"&lt;&gt;")*$A93*100/100,0)),MASTER!$AI$4:$AI$1463,0))="",NA(),INDEX(MASTER!$L$4:$L$1463,MATCH("RECKONING"&amp;"|"&amp;MAX(1,ROUND(COUNTIFS(MASTER!$B$4:$B$1463,"RECKONING",MASTER!$L$4:$L$1463,"&lt;&gt;")*$A93*100/100,0)),MASTER!$AI$4:$AI$1463,0))),NA()))))</f>
        <v>5524</v>
      </c>
      <c r="I93" s="37">
        <f>IF($B$4="RESONANCE",IFERROR(IF(INDEX(MASTER!$I$4:$I$1463,MATCH("ACHERON"&amp;"|"&amp;MAX(1,ROUND(COUNTIFS(MASTER!$B$4:$B$1463,"ACHERON",MASTER!$I$4:$I$1463,"&lt;&gt;")*$A93*100/100,0)),MASTER!$Y$4:$Y$1463,0))="",NA(),INDEX(MASTER!$I$4:$I$1463,MATCH("ACHERON"&amp;"|"&amp;MAX(1,ROUND(COUNTIFS(MASTER!$B$4:$B$1463,"ACHERON",MASTER!$I$4:$I$1463,"&lt;&gt;")*$A93*100/100,0)),MASTER!$Y$4:$Y$1463,0))),NA()),IF($B$4="COMBAT RATING",IFERROR(IF(INDEX(MASTER!$G$4:$G$1463,MATCH("ACHERON"&amp;"|"&amp;MAX(1,ROUND(COUNTIFS(MASTER!$B$4:$B$1463,"ACHERON",MASTER!$G$4:$G$1463,"&lt;&gt;")*$A93*100/100,0)),MASTER!$AH$4:$AH$1463,0))="",NA(),INDEX(MASTER!$G$4:$G$1463,MATCH("ACHERON"&amp;"|"&amp;MAX(1,ROUND(COUNTIFS(MASTER!$B$4:$B$1463,"ACHERON",MASTER!$G$4:$G$1463,"&lt;&gt;")*$A93*100/100,0)),MASTER!$AH$4:$AH$1463,0))),NA()),IF($B$4="SECONDARY",IFERROR(IF(INDEX(MASTER!$L$4:$L$1463,MATCH("ACHERON"&amp;"|"&amp;MAX(1,ROUND(COUNTIFS(MASTER!$B$4:$B$1463,"ACHERON",MASTER!$L$4:$L$1463,"&lt;&gt;")*$A93*100/100,0)),MASTER!$AI$4:$AI$1463,0))="",NA(),INDEX(MASTER!$L$4:$L$1463,MATCH("ACHERON"&amp;"|"&amp;MAX(1,ROUND(COUNTIFS(MASTER!$B$4:$B$1463,"ACHERON",MASTER!$L$4:$L$1463,"&lt;&gt;")*$A93*100/100,0)),MASTER!$AI$4:$AI$1463,0))),NA()))))</f>
        <v>4481</v>
      </c>
      <c r="J93" s="37">
        <f>IF($B$4="RESONANCE",IFERROR(IF(INDEX(MASTER!$I$4:$I$1463,MATCH("INVICTUS"&amp;"|"&amp;MAX(1,ROUND(COUNTIFS(MASTER!$B$4:$B$1463,"INVICTUS",MASTER!$I$4:$I$1463,"&lt;&gt;")*$A93*100/100,0)),MASTER!$Y$4:$Y$1463,0))="",NA(),INDEX(MASTER!$I$4:$I$1463,MATCH("INVICTUS"&amp;"|"&amp;MAX(1,ROUND(COUNTIFS(MASTER!$B$4:$B$1463,"INVICTUS",MASTER!$I$4:$I$1463,"&lt;&gt;")*$A93*100/100,0)),MASTER!$Y$4:$Y$1463,0))),NA()),IF($B$4="COMBAT RATING",IFERROR(IF(INDEX(MASTER!$G$4:$G$1463,MATCH("INVICTUS"&amp;"|"&amp;MAX(1,ROUND(COUNTIFS(MASTER!$B$4:$B$1463,"INVICTUS",MASTER!$G$4:$G$1463,"&lt;&gt;")*$A93*100/100,0)),MASTER!$AH$4:$AH$1463,0))="",NA(),INDEX(MASTER!$G$4:$G$1463,MATCH("INVICTUS"&amp;"|"&amp;MAX(1,ROUND(COUNTIFS(MASTER!$B$4:$B$1463,"INVICTUS",MASTER!$G$4:$G$1463,"&lt;&gt;")*$A93*100/100,0)),MASTER!$AH$4:$AH$1463,0))),NA()),IF($B$4="SECONDARY",IFERROR(IF(INDEX(MASTER!$L$4:$L$1463,MATCH("INVICTUS"&amp;"|"&amp;MAX(1,ROUND(COUNTIFS(MASTER!$B$4:$B$1463,"INVICTUS",MASTER!$L$4:$L$1463,"&lt;&gt;")*$A93*100/100,0)),MASTER!$AI$4:$AI$1463,0))="",NA(),INDEX(MASTER!$L$4:$L$1463,MATCH("INVICTUS"&amp;"|"&amp;MAX(1,ROUND(COUNTIFS(MASTER!$B$4:$B$1463,"INVICTUS",MASTER!$L$4:$L$1463,"&lt;&gt;")*$A93*100/100,0)),MASTER!$AI$4:$AI$1463,0))),NA()))))</f>
        <v>3374</v>
      </c>
      <c r="K93" s="37">
        <f>IF($B$4="RESONANCE",IFERROR(IF(INDEX(MASTER!$I$4:$I$1463,MATCH("EMERALD LEAF TRIBE"&amp;"|"&amp;MAX(1,ROUND(COUNTIFS(MASTER!$B$4:$B$1463,"EMERALD LEAF TRIBE",MASTER!$I$4:$I$1463,"&lt;&gt;")*$A93*100/100,0)),MASTER!$Y$4:$Y$1463,0))="",NA(),INDEX(MASTER!$I$4:$I$1463,MATCH("EMERALD LEAF TRIBE"&amp;"|"&amp;MAX(1,ROUND(COUNTIFS(MASTER!$B$4:$B$1463,"EMERALD LEAF TRIBE",MASTER!$I$4:$I$1463,"&lt;&gt;")*$A93*100/100,0)),MASTER!$Y$4:$Y$1463,0))),NA()),IF($B$4="COMBAT RATING",IFERROR(IF(INDEX(MASTER!$G$4:$G$1463,MATCH("EMERALD LEAF TRIBE"&amp;"|"&amp;MAX(1,ROUND(COUNTIFS(MASTER!$B$4:$B$1463,"EMERALD LEAF TRIBE",MASTER!$G$4:$G$1463,"&lt;&gt;")*$A93*100/100,0)),MASTER!$AH$4:$AH$1463,0))="",NA(),INDEX(MASTER!$G$4:$G$1463,MATCH("EMERALD LEAF TRIBE"&amp;"|"&amp;MAX(1,ROUND(COUNTIFS(MASTER!$B$4:$B$1463,"EMERALD LEAF TRIBE",MASTER!$G$4:$G$1463,"&lt;&gt;")*$A93*100/100,0)),MASTER!$AH$4:$AH$1463,0))),NA()),IF($B$4="SECONDARY",IFERROR(IF(INDEX(MASTER!$L$4:$L$1463,MATCH("EMERALD LEAF TRIBE"&amp;"|"&amp;MAX(1,ROUND(COUNTIFS(MASTER!$B$4:$B$1463,"EMERALD LEAF TRIBE",MASTER!$L$4:$L$1463,"&lt;&gt;")*$A93*100/100,0)),MASTER!$AI$4:$AI$1463,0))="",NA(),INDEX(MASTER!$L$4:$L$1463,MATCH("EMERALD LEAF TRIBE"&amp;"|"&amp;MAX(1,ROUND(COUNTIFS(MASTER!$B$4:$B$1463,"EMERALD LEAF TRIBE",MASTER!$L$4:$L$1463,"&lt;&gt;")*$A93*100/100,0)),MASTER!$AI$4:$AI$1463,0))),NA()))))</f>
        <v>2564</v>
      </c>
      <c r="L93" s="37">
        <f>IF($B$4="RESONANCE",IFERROR(IF(INDEX(MASTER!$I$4:$I$1463,MATCH("SUB ROSA"&amp;"|"&amp;MAX(1,ROUND(COUNTIFS(MASTER!$B$4:$B$1463,"SUB ROSA",MASTER!$I$4:$I$1463,"&lt;&gt;")*$A93*100/100,0)),MASTER!$Y$4:$Y$1463,0))="",NA(),INDEX(MASTER!$I$4:$I$1463,MATCH("SUB ROSA"&amp;"|"&amp;MAX(1,ROUND(COUNTIFS(MASTER!$B$4:$B$1463,"SUB ROSA",MASTER!$I$4:$I$1463,"&lt;&gt;")*$A93*100/100,0)),MASTER!$Y$4:$Y$1463,0))),NA()),IF($B$4="COMBAT RATING",IFERROR(IF(INDEX(MASTER!$G$4:$G$1463,MATCH("SUB ROSA"&amp;"|"&amp;MAX(1,ROUND(COUNTIFS(MASTER!$B$4:$B$1463,"SUB ROSA",MASTER!$G$4:$G$1463,"&lt;&gt;")*$A93*100/100,0)),MASTER!$AH$4:$AH$1463,0))="",NA(),INDEX(MASTER!$G$4:$G$1463,MATCH("SUB ROSA"&amp;"|"&amp;MAX(1,ROUND(COUNTIFS(MASTER!$B$4:$B$1463,"SUB ROSA",MASTER!$G$4:$G$1463,"&lt;&gt;")*$A93*100/100,0)),MASTER!$AH$4:$AH$1463,0))),NA()),IF($B$4="SECONDARY",IFERROR(IF(INDEX(MASTER!$L$4:$L$1463,MATCH("SUB ROSA"&amp;"|"&amp;MAX(1,ROUND(COUNTIFS(MASTER!$B$4:$B$1463,"SUB ROSA",MASTER!$L$4:$L$1463,"&lt;&gt;")*$A93*100/100,0)),MASTER!$AI$4:$AI$1463,0))="",NA(),INDEX(MASTER!$L$4:$L$1463,MATCH("SUB ROSA"&amp;"|"&amp;MAX(1,ROUND(COUNTIFS(MASTER!$B$4:$B$1463,"SUB ROSA",MASTER!$L$4:$L$1463,"&lt;&gt;")*$A93*100/100,0)),MASTER!$AI$4:$AI$1463,0))),NA()))))</f>
        <v>2876</v>
      </c>
      <c r="M93" s="37">
        <f>IF($B$4="RESONANCE",IFERROR(IF(INDEX(MASTER!$I$4:$I$1463,MATCH("VENGEANCE"&amp;"|"&amp;MAX(1,ROUND(COUNTIFS(MASTER!$B$4:$B$1463,"VENGEANCE",MASTER!$I$4:$I$1463,"&lt;&gt;")*$A93*100/100,0)),MASTER!$Y$4:$Y$1463,0))="",NA(),INDEX(MASTER!$I$4:$I$1463,MATCH("VENGEANCE"&amp;"|"&amp;MAX(1,ROUND(COUNTIFS(MASTER!$B$4:$B$1463,"VENGEANCE",MASTER!$I$4:$I$1463,"&lt;&gt;")*$A93*100/100,0)),MASTER!$Y$4:$Y$1463,0))),NA()),IF($B$4="COMBAT RATING",IFERROR(IF(INDEX(MASTER!$G$4:$G$1463,MATCH("VENGEANCE"&amp;"|"&amp;MAX(1,ROUND(COUNTIFS(MASTER!$B$4:$B$1463,"VENGEANCE",MASTER!$G$4:$G$1463,"&lt;&gt;")*$A93*100/100,0)),MASTER!$AH$4:$AH$1463,0))="",NA(),INDEX(MASTER!$G$4:$G$1463,MATCH("VENGEANCE"&amp;"|"&amp;MAX(1,ROUND(COUNTIFS(MASTER!$B$4:$B$1463,"VENGEANCE",MASTER!$G$4:$G$1463,"&lt;&gt;")*$A93*100/100,0)),MASTER!$AH$4:$AH$1463,0))),NA()),IF($B$4="SECONDARY",IFERROR(IF(INDEX(MASTER!$L$4:$L$1463,MATCH("VENGEANCE"&amp;"|"&amp;MAX(1,ROUND(COUNTIFS(MASTER!$B$4:$B$1463,"VENGEANCE",MASTER!$L$4:$L$1463,"&lt;&gt;")*$A93*100/100,0)),MASTER!$AI$4:$AI$1463,0))="",NA(),INDEX(MASTER!$L$4:$L$1463,MATCH("VENGEANCE"&amp;"|"&amp;MAX(1,ROUND(COUNTIFS(MASTER!$B$4:$B$1463,"VENGEANCE",MASTER!$L$4:$L$1463,"&lt;&gt;")*$A93*100/100,0)),MASTER!$AI$4:$AI$1463,0))),NA()))))</f>
        <v>3860</v>
      </c>
      <c r="N93" s="37">
        <f>IF($B$4="RESONANCE",IFERROR(IF(INDEX(MASTER!$I$4:$I$1463,MATCH("VENDETTA"&amp;"|"&amp;MAX(1,ROUND(COUNTIFS(MASTER!$B$4:$B$1463,"VENDETTA",MASTER!$I$4:$I$1463,"&lt;&gt;")*$A93*100/100,0)),MASTER!$Y$4:$Y$1463,0))="",NA(),INDEX(MASTER!$I$4:$I$1463,MATCH("VENDETTA"&amp;"|"&amp;MAX(1,ROUND(COUNTIFS(MASTER!$B$4:$B$1463,"VENDETTA",MASTER!$I$4:$I$1463,"&lt;&gt;")*$A93*100/100,0)),MASTER!$Y$4:$Y$1463,0))),NA()),IF($B$4="COMBAT RATING",IFERROR(IF(INDEX(MASTER!$G$4:$G$1463,MATCH("VENDETTA"&amp;"|"&amp;MAX(1,ROUND(COUNTIFS(MASTER!$B$4:$B$1463,"VENDETTA",MASTER!$G$4:$G$1463,"&lt;&gt;")*$A93*100/100,0)),MASTER!$AH$4:$AH$1463,0))="",NA(),INDEX(MASTER!$G$4:$G$1463,MATCH("VENDETTA"&amp;"|"&amp;MAX(1,ROUND(COUNTIFS(MASTER!$B$4:$B$1463,"VENDETTA",MASTER!$G$4:$G$1463,"&lt;&gt;")*$A93*100/100,0)),MASTER!$AH$4:$AH$1463,0))),NA()),IF($B$4="SECONDARY",IFERROR(IF(INDEX(MASTER!$L$4:$L$1463,MATCH("VENDETTA"&amp;"|"&amp;MAX(1,ROUND(COUNTIFS(MASTER!$B$4:$B$1463,"VENDETTA",MASTER!$L$4:$L$1463,"&lt;&gt;")*$A93*100/100,0)),MASTER!$AI$4:$AI$1463,0))="",NA(),INDEX(MASTER!$L$4:$L$1463,MATCH("VENDETTA"&amp;"|"&amp;MAX(1,ROUND(COUNTIFS(MASTER!$B$4:$B$1463,"VENDETTA",MASTER!$L$4:$L$1463,"&lt;&gt;")*$A93*100/100,0)),MASTER!$AI$4:$AI$1463,0))),NA()))))</f>
        <v>2360</v>
      </c>
      <c r="O93" s="37">
        <f>IF($B$4="RESONANCE",IFERROR(IF(INDEX(MASTER!$I$4:$I$1463,MATCH("ZOMBIES"&amp;"|"&amp;MAX(1,ROUND(COUNTIFS(MASTER!$B$4:$B$1463,"ZOMBIES",MASTER!$I$4:$I$1463,"&lt;&gt;")*$A93*100/100,0)),MASTER!$Y$4:$Y$1463,0))="",NA(),INDEX(MASTER!$I$4:$I$1463,MATCH("ZOMBIES"&amp;"|"&amp;MAX(1,ROUND(COUNTIFS(MASTER!$B$4:$B$1463,"ZOMBIES",MASTER!$I$4:$I$1463,"&lt;&gt;")*$A93*100/100,0)),MASTER!$Y$4:$Y$1463,0))),NA()),IF($B$4="COMBAT RATING",IFERROR(IF(INDEX(MASTER!$G$4:$G$1463,MATCH("ZOMBIES"&amp;"|"&amp;MAX(1,ROUND(COUNTIFS(MASTER!$B$4:$B$1463,"ZOMBIES",MASTER!$G$4:$G$1463,"&lt;&gt;")*$A93*100/100,0)),MASTER!$AH$4:$AH$1463,0))="",NA(),INDEX(MASTER!$G$4:$G$1463,MATCH("ZOMBIES"&amp;"|"&amp;MAX(1,ROUND(COUNTIFS(MASTER!$B$4:$B$1463,"ZOMBIES",MASTER!$G$4:$G$1463,"&lt;&gt;")*$A93*100/100,0)),MASTER!$AH$4:$AH$1463,0))),NA()),IF($B$4="SECONDARY",IFERROR(IF(INDEX(MASTER!$L$4:$L$1463,MATCH("ZOMBIES"&amp;"|"&amp;MAX(1,ROUND(COUNTIFS(MASTER!$B$4:$B$1463,"ZOMBIES",MASTER!$L$4:$L$1463,"&lt;&gt;")*$A93*100/100,0)),MASTER!$AI$4:$AI$1463,0))="",NA(),INDEX(MASTER!$L$4:$L$1463,MATCH("ZOMBIES"&amp;"|"&amp;MAX(1,ROUND(COUNTIFS(MASTER!$B$4:$B$1463,"ZOMBIES",MASTER!$L$4:$L$1463,"&lt;&gt;")*$A93*100/100,0)),MASTER!$AI$4:$AI$1463,0))),NA()))))</f>
        <v>2106</v>
      </c>
      <c r="P93" s="37">
        <f>IF($B$4="RESONANCE",IFERROR(IF(INDEX(MASTER!$I$4:$I$1463,MATCH("FUCT"&amp;"|"&amp;MAX(1,ROUND(COUNTIFS(MASTER!$B$4:$B$1463,"FUCT",MASTER!$I$4:$I$1463,"&lt;&gt;")*$A93*100/100,0)),MASTER!$Y$4:$Y$1463,0))="",NA(),INDEX(MASTER!$I$4:$I$1463,MATCH("FUCT"&amp;"|"&amp;MAX(1,ROUND(COUNTIFS(MASTER!$B$4:$B$1463,"FUCT",MASTER!$I$4:$I$1463,"&lt;&gt;")*$A93*100/100,0)),MASTER!$Y$4:$Y$1463,0))),NA()),IF($B$4="COMBAT RATING",IFERROR(IF(INDEX(MASTER!$G$4:$G$1463,MATCH("FUCT"&amp;"|"&amp;MAX(1,ROUND(COUNTIFS(MASTER!$B$4:$B$1463,"FUCT",MASTER!$G$4:$G$1463,"&lt;&gt;")*$A93*100/100,0)),MASTER!$AH$4:$AH$1463,0))="",NA(),INDEX(MASTER!$G$4:$G$1463,MATCH("FUCT"&amp;"|"&amp;MAX(1,ROUND(COUNTIFS(MASTER!$B$4:$B$1463,"FUCT",MASTER!$G$4:$G$1463,"&lt;&gt;")*$A93*100/100,0)),MASTER!$AH$4:$AH$1463,0))),NA()),IF($B$4="SECONDARY",IFERROR(IF(INDEX(MASTER!$L$4:$L$1463,MATCH("FUCT"&amp;"|"&amp;MAX(1,ROUND(COUNTIFS(MASTER!$B$4:$B$1463,"FUCT",MASTER!$L$4:$L$1463,"&lt;&gt;")*$A93*100/100,0)),MASTER!$AI$4:$AI$1463,0))="",NA(),INDEX(MASTER!$L$4:$L$1463,MATCH("FUCT"&amp;"|"&amp;MAX(1,ROUND(COUNTIFS(MASTER!$B$4:$B$1463,"FUCT",MASTER!$L$4:$L$1463,"&lt;&gt;")*$A93*100/100,0)),MASTER!$AI$4:$AI$1463,0))),NA()))))</f>
        <v>5147</v>
      </c>
      <c r="Q93" s="37">
        <f>IF($B$4="RESONANCE",IFERROR(IF(INDEX(MASTER!$I$4:$I$1463,MATCH($E$4&amp;"|"&amp;MAX(1,ROUND(COUNTIFS(MASTER!$B$4:$B$1463,$E$4,MASTER!$I$4:$I$1463,"&lt;&gt;")*$A93*100/100,0)),MASTER!$Y$4:$Y$1463,0))="",NA(),INDEX(MASTER!$I$4:$I$1463,MATCH($E$4&amp;"|"&amp;MAX(1,ROUND(COUNTIFS(MASTER!$B$4:$B$1463,$E$4,MASTER!$I$4:$I$1463,"&lt;&gt;")*$A93*100/100,0)),MASTER!$Y$4:$Y$1463,0))),NA()),IF($B$4="COMBAT RATING",IFERROR(IF(INDEX(MASTER!$G$4:$G$1463,MATCH($E$4&amp;"|"&amp;MAX(1,ROUND(COUNTIFS(MASTER!$B$4:$B$1463,$E$4,MASTER!$G$4:$G$1463,"&lt;&gt;")*$A93*100/100,0)),MASTER!$AH$4:$AH$1463,0))="",NA(),INDEX(MASTER!$G$4:$G$1463,MATCH($E$4&amp;"|"&amp;MAX(1,ROUND(COUNTIFS(MASTER!$B$4:$B$1463,$E$4,MASTER!$G$4:$G$1463,"&lt;&gt;")*$A93*100/100,0)),MASTER!$AH$4:$AH$1463,0))),NA()),IF($B$4="SECONDARY",IFERROR(IF(INDEX(MASTER!$L$4:$L$1463,MATCH($E$4&amp;"|"&amp;MAX(1,ROUND(COUNTIFS(MASTER!$B$4:$B$1463,$E$4,MASTER!$L$4:$L$1463,"&lt;&gt;")*$A93*100/100,0)),MASTER!$AI$4:$AI$1463,0))="",NA(),INDEX(MASTER!$L$4:$L$1463,MATCH($E$4&amp;"|"&amp;MAX(1,ROUND(COUNTIFS(MASTER!$B$4:$B$1463,$E$4,MASTER!$L$4:$L$1463,"&lt;&gt;")*$A93*100/100,0)),MASTER!$AI$4:$AI$1463,0))),NA()))))</f>
        <v>4494</v>
      </c>
    </row>
    <row r="94" spans="1:17" hidden="1">
      <c r="A94" s="36">
        <v>0.39</v>
      </c>
      <c r="B94" s="37">
        <f>IF($B$4="RESONANCE",IFERROR(IF(INDEX(MASTER!$I$4:$I$1463,MATCH("FUCT"&amp;"|"&amp;MAX(1,ROUND(COUNTIFS(MASTER!$B$4:$B$1463,"FUCT",MASTER!$I$4:$I$1463,"&lt;&gt;")*$A94*100/100,0)),MASTER!$Y$4:$Y$1463,0))="",NA(),INDEX(MASTER!$I$4:$I$1463,MATCH("FUCT"&amp;"|"&amp;MAX(1,ROUND(COUNTIFS(MASTER!$B$4:$B$1463,"FUCT",MASTER!$I$4:$I$1463,"&lt;&gt;")*$A94*100/100,0)),MASTER!$Y$4:$Y$1463,0))),NA()),IF($B$4="COMBAT RATING",IFERROR(IF(INDEX(MASTER!$G$4:$G$1463,MATCH("FUCT"&amp;"|"&amp;MAX(1,ROUND(COUNTIFS(MASTER!$B$4:$B$1463,"FUCT",MASTER!$G$4:$G$1463,"&lt;&gt;")*$A94*100/100,0)),MASTER!$AH$4:$AH$1463,0))="",NA(),INDEX(MASTER!$G$4:$G$1463,MATCH("FUCT"&amp;"|"&amp;MAX(1,ROUND(COUNTIFS(MASTER!$B$4:$B$1463,"FUCT",MASTER!$G$4:$G$1463,"&lt;&gt;")*$A94*100/100,0)),MASTER!$AH$4:$AH$1463,0))),NA()),IF($B$4="SECONDARY",IFERROR(IF(INDEX(MASTER!$L$4:$L$1463,MATCH("FUCT"&amp;"|"&amp;MAX(1,ROUND(COUNTIFS(MASTER!$B$4:$B$1463,"FUCT",MASTER!$L$4:$L$1463,"&lt;&gt;")*$A94*100/100,0)),MASTER!$AI$4:$AI$1463,0))="",NA(),INDEX(MASTER!$L$4:$L$1463,MATCH("FUCT"&amp;"|"&amp;MAX(1,ROUND(COUNTIFS(MASTER!$B$4:$B$1463,"FUCT",MASTER!$L$4:$L$1463,"&lt;&gt;")*$A94*100/100,0)),MASTER!$AI$4:$AI$1463,0))),NA()))))</f>
        <v>5144</v>
      </c>
      <c r="C94" s="37">
        <f>IF($B$4="RESONANCE",IFERROR(IF(INDEX(MASTER!$I$4:$I$1463,MATCH("LEGENDS"&amp;"|"&amp;MAX(1,ROUND(COUNTIFS(MASTER!$B$4:$B$1463,"LEGENDS",MASTER!$I$4:$I$1463,"&lt;&gt;")*$A94*100/100,0)),MASTER!$Y$4:$Y$1463,0))="",NA(),INDEX(MASTER!$I$4:$I$1463,MATCH("LEGENDS"&amp;"|"&amp;MAX(1,ROUND(COUNTIFS(MASTER!$B$4:$B$1463,"LEGENDS",MASTER!$I$4:$I$1463,"&lt;&gt;")*$A94*100/100,0)),MASTER!$Y$4:$Y$1463,0))),NA()),IF($B$4="COMBAT RATING",IFERROR(IF(INDEX(MASTER!$G$4:$G$1463,MATCH("LEGENDS"&amp;"|"&amp;MAX(1,ROUND(COUNTIFS(MASTER!$B$4:$B$1463,"LEGENDS",MASTER!$G$4:$G$1463,"&lt;&gt;")*$A94*100/100,0)),MASTER!$AH$4:$AH$1463,0))="",NA(),INDEX(MASTER!$G$4:$G$1463,MATCH("LEGENDS"&amp;"|"&amp;MAX(1,ROUND(COUNTIFS(MASTER!$B$4:$B$1463,"LEGENDS",MASTER!$G$4:$G$1463,"&lt;&gt;")*$A94*100/100,0)),MASTER!$AH$4:$AH$1463,0))),NA()),IF($B$4="SECONDARY",IFERROR(IF(INDEX(MASTER!$L$4:$L$1463,MATCH("LEGENDS"&amp;"|"&amp;MAX(1,ROUND(COUNTIFS(MASTER!$B$4:$B$1463,"LEGENDS",MASTER!$L$4:$L$1463,"&lt;&gt;")*$A94*100/100,0)),MASTER!$AI$4:$AI$1463,0))="",NA(),INDEX(MASTER!$L$4:$L$1463,MATCH("LEGENDS"&amp;"|"&amp;MAX(1,ROUND(COUNTIFS(MASTER!$B$4:$B$1463,"LEGENDS",MASTER!$L$4:$L$1463,"&lt;&gt;")*$A94*100/100,0)),MASTER!$AI$4:$AI$1463,0))),NA()))))</f>
        <v>5594</v>
      </c>
      <c r="D94" s="37">
        <f>IF($B$4="RESONANCE",IFERROR(IF(INDEX(MASTER!$I$4:$I$1463,MATCH("VANGUARD"&amp;"|"&amp;MAX(1,ROUND(COUNTIFS(MASTER!$B$4:$B$1463,"VANGUARD",MASTER!$I$4:$I$1463,"&lt;&gt;")*$A94*100/100,0)),MASTER!$Y$4:$Y$1463,0))="",NA(),INDEX(MASTER!$I$4:$I$1463,MATCH("VANGUARD"&amp;"|"&amp;MAX(1,ROUND(COUNTIFS(MASTER!$B$4:$B$1463,"VANGUARD",MASTER!$I$4:$I$1463,"&lt;&gt;")*$A94*100/100,0)),MASTER!$Y$4:$Y$1463,0))),NA()),IF($B$4="COMBAT RATING",IFERROR(IF(INDEX(MASTER!$G$4:$G$1463,MATCH("VANGUARD"&amp;"|"&amp;MAX(1,ROUND(COUNTIFS(MASTER!$B$4:$B$1463,"VANGUARD",MASTER!$G$4:$G$1463,"&lt;&gt;")*$A94*100/100,0)),MASTER!$AH$4:$AH$1463,0))="",NA(),INDEX(MASTER!$G$4:$G$1463,MATCH("VANGUARD"&amp;"|"&amp;MAX(1,ROUND(COUNTIFS(MASTER!$B$4:$B$1463,"VANGUARD",MASTER!$G$4:$G$1463,"&lt;&gt;")*$A94*100/100,0)),MASTER!$AH$4:$AH$1463,0))),NA()),IF($B$4="SECONDARY",IFERROR(IF(INDEX(MASTER!$L$4:$L$1463,MATCH("VANGUARD"&amp;"|"&amp;MAX(1,ROUND(COUNTIFS(MASTER!$B$4:$B$1463,"VANGUARD",MASTER!$L$4:$L$1463,"&lt;&gt;")*$A94*100/100,0)),MASTER!$AI$4:$AI$1463,0))="",NA(),INDEX(MASTER!$L$4:$L$1463,MATCH("VANGUARD"&amp;"|"&amp;MAX(1,ROUND(COUNTIFS(MASTER!$B$4:$B$1463,"VANGUARD",MASTER!$L$4:$L$1463,"&lt;&gt;")*$A94*100/100,0)),MASTER!$AI$4:$AI$1463,0))),NA()))))</f>
        <v>7533</v>
      </c>
      <c r="E94" s="37">
        <f>IF($B$4="RESONANCE",IFERROR(IF(INDEX(MASTER!$I$4:$I$1463,MATCH("UNDYING"&amp;"|"&amp;MAX(1,ROUND(COUNTIFS(MASTER!$B$4:$B$1463,"UNDYING",MASTER!$I$4:$I$1463,"&lt;&gt;")*$A94*100/100,0)),MASTER!$Y$4:$Y$1463,0))="",NA(),INDEX(MASTER!$I$4:$I$1463,MATCH("UNDYING"&amp;"|"&amp;MAX(1,ROUND(COUNTIFS(MASTER!$B$4:$B$1463,"UNDYING",MASTER!$I$4:$I$1463,"&lt;&gt;")*$A94*100/100,0)),MASTER!$Y$4:$Y$1463,0))),NA()),IF($B$4="COMBAT RATING",IFERROR(IF(INDEX(MASTER!$G$4:$G$1463,MATCH("UNDYING"&amp;"|"&amp;MAX(1,ROUND(COUNTIFS(MASTER!$B$4:$B$1463,"UNDYING",MASTER!$G$4:$G$1463,"&lt;&gt;")*$A94*100/100,0)),MASTER!$AH$4:$AH$1463,0))="",NA(),INDEX(MASTER!$G$4:$G$1463,MATCH("UNDYING"&amp;"|"&amp;MAX(1,ROUND(COUNTIFS(MASTER!$B$4:$B$1463,"UNDYING",MASTER!$G$4:$G$1463,"&lt;&gt;")*$A94*100/100,0)),MASTER!$AH$4:$AH$1463,0))),NA()),IF($B$4="SECONDARY",IFERROR(IF(INDEX(MASTER!$L$4:$L$1463,MATCH("UNDYING"&amp;"|"&amp;MAX(1,ROUND(COUNTIFS(MASTER!$B$4:$B$1463,"UNDYING",MASTER!$L$4:$L$1463,"&lt;&gt;")*$A94*100/100,0)),MASTER!$AI$4:$AI$1463,0))="",NA(),INDEX(MASTER!$L$4:$L$1463,MATCH("UNDYING"&amp;"|"&amp;MAX(1,ROUND(COUNTIFS(MASTER!$B$4:$B$1463,"UNDYING",MASTER!$L$4:$L$1463,"&lt;&gt;")*$A94*100/100,0)),MASTER!$AI$4:$AI$1463,0))),NA()))))</f>
        <v>4462</v>
      </c>
      <c r="F94" s="37">
        <f>IF($B$4="RESONANCE",IFERROR(IF(INDEX(MASTER!$I$4:$I$1463,MATCH("SBG"&amp;"|"&amp;MAX(1,ROUND(COUNTIFS(MASTER!$B$4:$B$1463,"SBG",MASTER!$I$4:$I$1463,"&lt;&gt;")*$A94*100/100,0)),MASTER!$Y$4:$Y$1463,0))="",NA(),INDEX(MASTER!$I$4:$I$1463,MATCH("SBG"&amp;"|"&amp;MAX(1,ROUND(COUNTIFS(MASTER!$B$4:$B$1463,"SBG",MASTER!$I$4:$I$1463,"&lt;&gt;")*$A94*100/100,0)),MASTER!$Y$4:$Y$1463,0))),NA()),IF($B$4="COMBAT RATING",IFERROR(IF(INDEX(MASTER!$G$4:$G$1463,MATCH("SBG"&amp;"|"&amp;MAX(1,ROUND(COUNTIFS(MASTER!$B$4:$B$1463,"SBG",MASTER!$G$4:$G$1463,"&lt;&gt;")*$A94*100/100,0)),MASTER!$AH$4:$AH$1463,0))="",NA(),INDEX(MASTER!$G$4:$G$1463,MATCH("SBG"&amp;"|"&amp;MAX(1,ROUND(COUNTIFS(MASTER!$B$4:$B$1463,"SBG",MASTER!$G$4:$G$1463,"&lt;&gt;")*$A94*100/100,0)),MASTER!$AH$4:$AH$1463,0))),NA()),IF($B$4="SECONDARY",IFERROR(IF(INDEX(MASTER!$L$4:$L$1463,MATCH("SBG"&amp;"|"&amp;MAX(1,ROUND(COUNTIFS(MASTER!$B$4:$B$1463,"SBG",MASTER!$L$4:$L$1463,"&lt;&gt;")*$A94*100/100,0)),MASTER!$AI$4:$AI$1463,0))="",NA(),INDEX(MASTER!$L$4:$L$1463,MATCH("SBG"&amp;"|"&amp;MAX(1,ROUND(COUNTIFS(MASTER!$B$4:$B$1463,"SBG",MASTER!$L$4:$L$1463,"&lt;&gt;")*$A94*100/100,0)),MASTER!$AI$4:$AI$1463,0))),NA()))))</f>
        <v>6875</v>
      </c>
      <c r="G94" s="37">
        <f>IF($B$4="RESONANCE",IFERROR(IF(INDEX(MASTER!$I$4:$I$1463,MATCH("AZUKI"&amp;"|"&amp;MAX(1,ROUND(COUNTIFS(MASTER!$B$4:$B$1463,"AZUKI",MASTER!$I$4:$I$1463,"&lt;&gt;")*$A94*100/100,0)),MASTER!$Y$4:$Y$1463,0))="",NA(),INDEX(MASTER!$I$4:$I$1463,MATCH("AZUKI"&amp;"|"&amp;MAX(1,ROUND(COUNTIFS(MASTER!$B$4:$B$1463,"AZUKI",MASTER!$I$4:$I$1463,"&lt;&gt;")*$A94*100/100,0)),MASTER!$Y$4:$Y$1463,0))),NA()),IF($B$4="COMBAT RATING",IFERROR(IF(INDEX(MASTER!$G$4:$G$1463,MATCH("AZUKI"&amp;"|"&amp;MAX(1,ROUND(COUNTIFS(MASTER!$B$4:$B$1463,"AZUKI",MASTER!$G$4:$G$1463,"&lt;&gt;")*$A94*100/100,0)),MASTER!$AH$4:$AH$1463,0))="",NA(),INDEX(MASTER!$G$4:$G$1463,MATCH("AZUKI"&amp;"|"&amp;MAX(1,ROUND(COUNTIFS(MASTER!$B$4:$B$1463,"AZUKI",MASTER!$G$4:$G$1463,"&lt;&gt;")*$A94*100/100,0)),MASTER!$AH$4:$AH$1463,0))),NA()),IF($B$4="SECONDARY",IFERROR(IF(INDEX(MASTER!$L$4:$L$1463,MATCH("AZUKI"&amp;"|"&amp;MAX(1,ROUND(COUNTIFS(MASTER!$B$4:$B$1463,"AZUKI",MASTER!$L$4:$L$1463,"&lt;&gt;")*$A94*100/100,0)),MASTER!$AI$4:$AI$1463,0))="",NA(),INDEX(MASTER!$L$4:$L$1463,MATCH("AZUKI"&amp;"|"&amp;MAX(1,ROUND(COUNTIFS(MASTER!$B$4:$B$1463,"AZUKI",MASTER!$L$4:$L$1463,"&lt;&gt;")*$A94*100/100,0)),MASTER!$AI$4:$AI$1463,0))),NA()))))</f>
        <v>5759</v>
      </c>
      <c r="H94" s="37">
        <f>IF($B$4="RESONANCE",IFERROR(IF(INDEX(MASTER!$I$4:$I$1463,MATCH("RECKONING"&amp;"|"&amp;MAX(1,ROUND(COUNTIFS(MASTER!$B$4:$B$1463,"RECKONING",MASTER!$I$4:$I$1463,"&lt;&gt;")*$A94*100/100,0)),MASTER!$Y$4:$Y$1463,0))="",NA(),INDEX(MASTER!$I$4:$I$1463,MATCH("RECKONING"&amp;"|"&amp;MAX(1,ROUND(COUNTIFS(MASTER!$B$4:$B$1463,"RECKONING",MASTER!$I$4:$I$1463,"&lt;&gt;")*$A94*100/100,0)),MASTER!$Y$4:$Y$1463,0))),NA()),IF($B$4="COMBAT RATING",IFERROR(IF(INDEX(MASTER!$G$4:$G$1463,MATCH("RECKONING"&amp;"|"&amp;MAX(1,ROUND(COUNTIFS(MASTER!$B$4:$B$1463,"RECKONING",MASTER!$G$4:$G$1463,"&lt;&gt;")*$A94*100/100,0)),MASTER!$AH$4:$AH$1463,0))="",NA(),INDEX(MASTER!$G$4:$G$1463,MATCH("RECKONING"&amp;"|"&amp;MAX(1,ROUND(COUNTIFS(MASTER!$B$4:$B$1463,"RECKONING",MASTER!$G$4:$G$1463,"&lt;&gt;")*$A94*100/100,0)),MASTER!$AH$4:$AH$1463,0))),NA()),IF($B$4="SECONDARY",IFERROR(IF(INDEX(MASTER!$L$4:$L$1463,MATCH("RECKONING"&amp;"|"&amp;MAX(1,ROUND(COUNTIFS(MASTER!$B$4:$B$1463,"RECKONING",MASTER!$L$4:$L$1463,"&lt;&gt;")*$A94*100/100,0)),MASTER!$AI$4:$AI$1463,0))="",NA(),INDEX(MASTER!$L$4:$L$1463,MATCH("RECKONING"&amp;"|"&amp;MAX(1,ROUND(COUNTIFS(MASTER!$B$4:$B$1463,"RECKONING",MASTER!$L$4:$L$1463,"&lt;&gt;")*$A94*100/100,0)),MASTER!$AI$4:$AI$1463,0))),NA()))))</f>
        <v>5482</v>
      </c>
      <c r="I94" s="37">
        <f>IF($B$4="RESONANCE",IFERROR(IF(INDEX(MASTER!$I$4:$I$1463,MATCH("ACHERON"&amp;"|"&amp;MAX(1,ROUND(COUNTIFS(MASTER!$B$4:$B$1463,"ACHERON",MASTER!$I$4:$I$1463,"&lt;&gt;")*$A94*100/100,0)),MASTER!$Y$4:$Y$1463,0))="",NA(),INDEX(MASTER!$I$4:$I$1463,MATCH("ACHERON"&amp;"|"&amp;MAX(1,ROUND(COUNTIFS(MASTER!$B$4:$B$1463,"ACHERON",MASTER!$I$4:$I$1463,"&lt;&gt;")*$A94*100/100,0)),MASTER!$Y$4:$Y$1463,0))),NA()),IF($B$4="COMBAT RATING",IFERROR(IF(INDEX(MASTER!$G$4:$G$1463,MATCH("ACHERON"&amp;"|"&amp;MAX(1,ROUND(COUNTIFS(MASTER!$B$4:$B$1463,"ACHERON",MASTER!$G$4:$G$1463,"&lt;&gt;")*$A94*100/100,0)),MASTER!$AH$4:$AH$1463,0))="",NA(),INDEX(MASTER!$G$4:$G$1463,MATCH("ACHERON"&amp;"|"&amp;MAX(1,ROUND(COUNTIFS(MASTER!$B$4:$B$1463,"ACHERON",MASTER!$G$4:$G$1463,"&lt;&gt;")*$A94*100/100,0)),MASTER!$AH$4:$AH$1463,0))),NA()),IF($B$4="SECONDARY",IFERROR(IF(INDEX(MASTER!$L$4:$L$1463,MATCH("ACHERON"&amp;"|"&amp;MAX(1,ROUND(COUNTIFS(MASTER!$B$4:$B$1463,"ACHERON",MASTER!$L$4:$L$1463,"&lt;&gt;")*$A94*100/100,0)),MASTER!$AI$4:$AI$1463,0))="",NA(),INDEX(MASTER!$L$4:$L$1463,MATCH("ACHERON"&amp;"|"&amp;MAX(1,ROUND(COUNTIFS(MASTER!$B$4:$B$1463,"ACHERON",MASTER!$L$4:$L$1463,"&lt;&gt;")*$A94*100/100,0)),MASTER!$AI$4:$AI$1463,0))),NA()))))</f>
        <v>4455</v>
      </c>
      <c r="J94" s="37">
        <f>IF($B$4="RESONANCE",IFERROR(IF(INDEX(MASTER!$I$4:$I$1463,MATCH("INVICTUS"&amp;"|"&amp;MAX(1,ROUND(COUNTIFS(MASTER!$B$4:$B$1463,"INVICTUS",MASTER!$I$4:$I$1463,"&lt;&gt;")*$A94*100/100,0)),MASTER!$Y$4:$Y$1463,0))="",NA(),INDEX(MASTER!$I$4:$I$1463,MATCH("INVICTUS"&amp;"|"&amp;MAX(1,ROUND(COUNTIFS(MASTER!$B$4:$B$1463,"INVICTUS",MASTER!$I$4:$I$1463,"&lt;&gt;")*$A94*100/100,0)),MASTER!$Y$4:$Y$1463,0))),NA()),IF($B$4="COMBAT RATING",IFERROR(IF(INDEX(MASTER!$G$4:$G$1463,MATCH("INVICTUS"&amp;"|"&amp;MAX(1,ROUND(COUNTIFS(MASTER!$B$4:$B$1463,"INVICTUS",MASTER!$G$4:$G$1463,"&lt;&gt;")*$A94*100/100,0)),MASTER!$AH$4:$AH$1463,0))="",NA(),INDEX(MASTER!$G$4:$G$1463,MATCH("INVICTUS"&amp;"|"&amp;MAX(1,ROUND(COUNTIFS(MASTER!$B$4:$B$1463,"INVICTUS",MASTER!$G$4:$G$1463,"&lt;&gt;")*$A94*100/100,0)),MASTER!$AH$4:$AH$1463,0))),NA()),IF($B$4="SECONDARY",IFERROR(IF(INDEX(MASTER!$L$4:$L$1463,MATCH("INVICTUS"&amp;"|"&amp;MAX(1,ROUND(COUNTIFS(MASTER!$B$4:$B$1463,"INVICTUS",MASTER!$L$4:$L$1463,"&lt;&gt;")*$A94*100/100,0)),MASTER!$AI$4:$AI$1463,0))="",NA(),INDEX(MASTER!$L$4:$L$1463,MATCH("INVICTUS"&amp;"|"&amp;MAX(1,ROUND(COUNTIFS(MASTER!$B$4:$B$1463,"INVICTUS",MASTER!$L$4:$L$1463,"&lt;&gt;")*$A94*100/100,0)),MASTER!$AI$4:$AI$1463,0))),NA()))))</f>
        <v>3332</v>
      </c>
      <c r="K94" s="37">
        <f>IF($B$4="RESONANCE",IFERROR(IF(INDEX(MASTER!$I$4:$I$1463,MATCH("EMERALD LEAF TRIBE"&amp;"|"&amp;MAX(1,ROUND(COUNTIFS(MASTER!$B$4:$B$1463,"EMERALD LEAF TRIBE",MASTER!$I$4:$I$1463,"&lt;&gt;")*$A94*100/100,0)),MASTER!$Y$4:$Y$1463,0))="",NA(),INDEX(MASTER!$I$4:$I$1463,MATCH("EMERALD LEAF TRIBE"&amp;"|"&amp;MAX(1,ROUND(COUNTIFS(MASTER!$B$4:$B$1463,"EMERALD LEAF TRIBE",MASTER!$I$4:$I$1463,"&lt;&gt;")*$A94*100/100,0)),MASTER!$Y$4:$Y$1463,0))),NA()),IF($B$4="COMBAT RATING",IFERROR(IF(INDEX(MASTER!$G$4:$G$1463,MATCH("EMERALD LEAF TRIBE"&amp;"|"&amp;MAX(1,ROUND(COUNTIFS(MASTER!$B$4:$B$1463,"EMERALD LEAF TRIBE",MASTER!$G$4:$G$1463,"&lt;&gt;")*$A94*100/100,0)),MASTER!$AH$4:$AH$1463,0))="",NA(),INDEX(MASTER!$G$4:$G$1463,MATCH("EMERALD LEAF TRIBE"&amp;"|"&amp;MAX(1,ROUND(COUNTIFS(MASTER!$B$4:$B$1463,"EMERALD LEAF TRIBE",MASTER!$G$4:$G$1463,"&lt;&gt;")*$A94*100/100,0)),MASTER!$AH$4:$AH$1463,0))),NA()),IF($B$4="SECONDARY",IFERROR(IF(INDEX(MASTER!$L$4:$L$1463,MATCH("EMERALD LEAF TRIBE"&amp;"|"&amp;MAX(1,ROUND(COUNTIFS(MASTER!$B$4:$B$1463,"EMERALD LEAF TRIBE",MASTER!$L$4:$L$1463,"&lt;&gt;")*$A94*100/100,0)),MASTER!$AI$4:$AI$1463,0))="",NA(),INDEX(MASTER!$L$4:$L$1463,MATCH("EMERALD LEAF TRIBE"&amp;"|"&amp;MAX(1,ROUND(COUNTIFS(MASTER!$B$4:$B$1463,"EMERALD LEAF TRIBE",MASTER!$L$4:$L$1463,"&lt;&gt;")*$A94*100/100,0)),MASTER!$AI$4:$AI$1463,0))),NA()))))</f>
        <v>2564</v>
      </c>
      <c r="L94" s="37">
        <f>IF($B$4="RESONANCE",IFERROR(IF(INDEX(MASTER!$I$4:$I$1463,MATCH("SUB ROSA"&amp;"|"&amp;MAX(1,ROUND(COUNTIFS(MASTER!$B$4:$B$1463,"SUB ROSA",MASTER!$I$4:$I$1463,"&lt;&gt;")*$A94*100/100,0)),MASTER!$Y$4:$Y$1463,0))="",NA(),INDEX(MASTER!$I$4:$I$1463,MATCH("SUB ROSA"&amp;"|"&amp;MAX(1,ROUND(COUNTIFS(MASTER!$B$4:$B$1463,"SUB ROSA",MASTER!$I$4:$I$1463,"&lt;&gt;")*$A94*100/100,0)),MASTER!$Y$4:$Y$1463,0))),NA()),IF($B$4="COMBAT RATING",IFERROR(IF(INDEX(MASTER!$G$4:$G$1463,MATCH("SUB ROSA"&amp;"|"&amp;MAX(1,ROUND(COUNTIFS(MASTER!$B$4:$B$1463,"SUB ROSA",MASTER!$G$4:$G$1463,"&lt;&gt;")*$A94*100/100,0)),MASTER!$AH$4:$AH$1463,0))="",NA(),INDEX(MASTER!$G$4:$G$1463,MATCH("SUB ROSA"&amp;"|"&amp;MAX(1,ROUND(COUNTIFS(MASTER!$B$4:$B$1463,"SUB ROSA",MASTER!$G$4:$G$1463,"&lt;&gt;")*$A94*100/100,0)),MASTER!$AH$4:$AH$1463,0))),NA()),IF($B$4="SECONDARY",IFERROR(IF(INDEX(MASTER!$L$4:$L$1463,MATCH("SUB ROSA"&amp;"|"&amp;MAX(1,ROUND(COUNTIFS(MASTER!$B$4:$B$1463,"SUB ROSA",MASTER!$L$4:$L$1463,"&lt;&gt;")*$A94*100/100,0)),MASTER!$AI$4:$AI$1463,0))="",NA(),INDEX(MASTER!$L$4:$L$1463,MATCH("SUB ROSA"&amp;"|"&amp;MAX(1,ROUND(COUNTIFS(MASTER!$B$4:$B$1463,"SUB ROSA",MASTER!$L$4:$L$1463,"&lt;&gt;")*$A94*100/100,0)),MASTER!$AI$4:$AI$1463,0))),NA()))))</f>
        <v>2857</v>
      </c>
      <c r="M94" s="37">
        <f>IF($B$4="RESONANCE",IFERROR(IF(INDEX(MASTER!$I$4:$I$1463,MATCH("VENGEANCE"&amp;"|"&amp;MAX(1,ROUND(COUNTIFS(MASTER!$B$4:$B$1463,"VENGEANCE",MASTER!$I$4:$I$1463,"&lt;&gt;")*$A94*100/100,0)),MASTER!$Y$4:$Y$1463,0))="",NA(),INDEX(MASTER!$I$4:$I$1463,MATCH("VENGEANCE"&amp;"|"&amp;MAX(1,ROUND(COUNTIFS(MASTER!$B$4:$B$1463,"VENGEANCE",MASTER!$I$4:$I$1463,"&lt;&gt;")*$A94*100/100,0)),MASTER!$Y$4:$Y$1463,0))),NA()),IF($B$4="COMBAT RATING",IFERROR(IF(INDEX(MASTER!$G$4:$G$1463,MATCH("VENGEANCE"&amp;"|"&amp;MAX(1,ROUND(COUNTIFS(MASTER!$B$4:$B$1463,"VENGEANCE",MASTER!$G$4:$G$1463,"&lt;&gt;")*$A94*100/100,0)),MASTER!$AH$4:$AH$1463,0))="",NA(),INDEX(MASTER!$G$4:$G$1463,MATCH("VENGEANCE"&amp;"|"&amp;MAX(1,ROUND(COUNTIFS(MASTER!$B$4:$B$1463,"VENGEANCE",MASTER!$G$4:$G$1463,"&lt;&gt;")*$A94*100/100,0)),MASTER!$AH$4:$AH$1463,0))),NA()),IF($B$4="SECONDARY",IFERROR(IF(INDEX(MASTER!$L$4:$L$1463,MATCH("VENGEANCE"&amp;"|"&amp;MAX(1,ROUND(COUNTIFS(MASTER!$B$4:$B$1463,"VENGEANCE",MASTER!$L$4:$L$1463,"&lt;&gt;")*$A94*100/100,0)),MASTER!$AI$4:$AI$1463,0))="",NA(),INDEX(MASTER!$L$4:$L$1463,MATCH("VENGEANCE"&amp;"|"&amp;MAX(1,ROUND(COUNTIFS(MASTER!$B$4:$B$1463,"VENGEANCE",MASTER!$L$4:$L$1463,"&lt;&gt;")*$A94*100/100,0)),MASTER!$AI$4:$AI$1463,0))),NA()))))</f>
        <v>3844</v>
      </c>
      <c r="N94" s="37">
        <f>IF($B$4="RESONANCE",IFERROR(IF(INDEX(MASTER!$I$4:$I$1463,MATCH("VENDETTA"&amp;"|"&amp;MAX(1,ROUND(COUNTIFS(MASTER!$B$4:$B$1463,"VENDETTA",MASTER!$I$4:$I$1463,"&lt;&gt;")*$A94*100/100,0)),MASTER!$Y$4:$Y$1463,0))="",NA(),INDEX(MASTER!$I$4:$I$1463,MATCH("VENDETTA"&amp;"|"&amp;MAX(1,ROUND(COUNTIFS(MASTER!$B$4:$B$1463,"VENDETTA",MASTER!$I$4:$I$1463,"&lt;&gt;")*$A94*100/100,0)),MASTER!$Y$4:$Y$1463,0))),NA()),IF($B$4="COMBAT RATING",IFERROR(IF(INDEX(MASTER!$G$4:$G$1463,MATCH("VENDETTA"&amp;"|"&amp;MAX(1,ROUND(COUNTIFS(MASTER!$B$4:$B$1463,"VENDETTA",MASTER!$G$4:$G$1463,"&lt;&gt;")*$A94*100/100,0)),MASTER!$AH$4:$AH$1463,0))="",NA(),INDEX(MASTER!$G$4:$G$1463,MATCH("VENDETTA"&amp;"|"&amp;MAX(1,ROUND(COUNTIFS(MASTER!$B$4:$B$1463,"VENDETTA",MASTER!$G$4:$G$1463,"&lt;&gt;")*$A94*100/100,0)),MASTER!$AH$4:$AH$1463,0))),NA()),IF($B$4="SECONDARY",IFERROR(IF(INDEX(MASTER!$L$4:$L$1463,MATCH("VENDETTA"&amp;"|"&amp;MAX(1,ROUND(COUNTIFS(MASTER!$B$4:$B$1463,"VENDETTA",MASTER!$L$4:$L$1463,"&lt;&gt;")*$A94*100/100,0)),MASTER!$AI$4:$AI$1463,0))="",NA(),INDEX(MASTER!$L$4:$L$1463,MATCH("VENDETTA"&amp;"|"&amp;MAX(1,ROUND(COUNTIFS(MASTER!$B$4:$B$1463,"VENDETTA",MASTER!$L$4:$L$1463,"&lt;&gt;")*$A94*100/100,0)),MASTER!$AI$4:$AI$1463,0))),NA()))))</f>
        <v>2328</v>
      </c>
      <c r="O94" s="37">
        <f>IF($B$4="RESONANCE",IFERROR(IF(INDEX(MASTER!$I$4:$I$1463,MATCH("ZOMBIES"&amp;"|"&amp;MAX(1,ROUND(COUNTIFS(MASTER!$B$4:$B$1463,"ZOMBIES",MASTER!$I$4:$I$1463,"&lt;&gt;")*$A94*100/100,0)),MASTER!$Y$4:$Y$1463,0))="",NA(),INDEX(MASTER!$I$4:$I$1463,MATCH("ZOMBIES"&amp;"|"&amp;MAX(1,ROUND(COUNTIFS(MASTER!$B$4:$B$1463,"ZOMBIES",MASTER!$I$4:$I$1463,"&lt;&gt;")*$A94*100/100,0)),MASTER!$Y$4:$Y$1463,0))),NA()),IF($B$4="COMBAT RATING",IFERROR(IF(INDEX(MASTER!$G$4:$G$1463,MATCH("ZOMBIES"&amp;"|"&amp;MAX(1,ROUND(COUNTIFS(MASTER!$B$4:$B$1463,"ZOMBIES",MASTER!$G$4:$G$1463,"&lt;&gt;")*$A94*100/100,0)),MASTER!$AH$4:$AH$1463,0))="",NA(),INDEX(MASTER!$G$4:$G$1463,MATCH("ZOMBIES"&amp;"|"&amp;MAX(1,ROUND(COUNTIFS(MASTER!$B$4:$B$1463,"ZOMBIES",MASTER!$G$4:$G$1463,"&lt;&gt;")*$A94*100/100,0)),MASTER!$AH$4:$AH$1463,0))),NA()),IF($B$4="SECONDARY",IFERROR(IF(INDEX(MASTER!$L$4:$L$1463,MATCH("ZOMBIES"&amp;"|"&amp;MAX(1,ROUND(COUNTIFS(MASTER!$B$4:$B$1463,"ZOMBIES",MASTER!$L$4:$L$1463,"&lt;&gt;")*$A94*100/100,0)),MASTER!$AI$4:$AI$1463,0))="",NA(),INDEX(MASTER!$L$4:$L$1463,MATCH("ZOMBIES"&amp;"|"&amp;MAX(1,ROUND(COUNTIFS(MASTER!$B$4:$B$1463,"ZOMBIES",MASTER!$L$4:$L$1463,"&lt;&gt;")*$A94*100/100,0)),MASTER!$AI$4:$AI$1463,0))),NA()))))</f>
        <v>2046</v>
      </c>
      <c r="P94" s="37">
        <f>IF($B$4="RESONANCE",IFERROR(IF(INDEX(MASTER!$I$4:$I$1463,MATCH("FUCT"&amp;"|"&amp;MAX(1,ROUND(COUNTIFS(MASTER!$B$4:$B$1463,"FUCT",MASTER!$I$4:$I$1463,"&lt;&gt;")*$A94*100/100,0)),MASTER!$Y$4:$Y$1463,0))="",NA(),INDEX(MASTER!$I$4:$I$1463,MATCH("FUCT"&amp;"|"&amp;MAX(1,ROUND(COUNTIFS(MASTER!$B$4:$B$1463,"FUCT",MASTER!$I$4:$I$1463,"&lt;&gt;")*$A94*100/100,0)),MASTER!$Y$4:$Y$1463,0))),NA()),IF($B$4="COMBAT RATING",IFERROR(IF(INDEX(MASTER!$G$4:$G$1463,MATCH("FUCT"&amp;"|"&amp;MAX(1,ROUND(COUNTIFS(MASTER!$B$4:$B$1463,"FUCT",MASTER!$G$4:$G$1463,"&lt;&gt;")*$A94*100/100,0)),MASTER!$AH$4:$AH$1463,0))="",NA(),INDEX(MASTER!$G$4:$G$1463,MATCH("FUCT"&amp;"|"&amp;MAX(1,ROUND(COUNTIFS(MASTER!$B$4:$B$1463,"FUCT",MASTER!$G$4:$G$1463,"&lt;&gt;")*$A94*100/100,0)),MASTER!$AH$4:$AH$1463,0))),NA()),IF($B$4="SECONDARY",IFERROR(IF(INDEX(MASTER!$L$4:$L$1463,MATCH("FUCT"&amp;"|"&amp;MAX(1,ROUND(COUNTIFS(MASTER!$B$4:$B$1463,"FUCT",MASTER!$L$4:$L$1463,"&lt;&gt;")*$A94*100/100,0)),MASTER!$AI$4:$AI$1463,0))="",NA(),INDEX(MASTER!$L$4:$L$1463,MATCH("FUCT"&amp;"|"&amp;MAX(1,ROUND(COUNTIFS(MASTER!$B$4:$B$1463,"FUCT",MASTER!$L$4:$L$1463,"&lt;&gt;")*$A94*100/100,0)),MASTER!$AI$4:$AI$1463,0))),NA()))))</f>
        <v>5144</v>
      </c>
      <c r="Q94" s="37">
        <f>IF($B$4="RESONANCE",IFERROR(IF(INDEX(MASTER!$I$4:$I$1463,MATCH($E$4&amp;"|"&amp;MAX(1,ROUND(COUNTIFS(MASTER!$B$4:$B$1463,$E$4,MASTER!$I$4:$I$1463,"&lt;&gt;")*$A94*100/100,0)),MASTER!$Y$4:$Y$1463,0))="",NA(),INDEX(MASTER!$I$4:$I$1463,MATCH($E$4&amp;"|"&amp;MAX(1,ROUND(COUNTIFS(MASTER!$B$4:$B$1463,$E$4,MASTER!$I$4:$I$1463,"&lt;&gt;")*$A94*100/100,0)),MASTER!$Y$4:$Y$1463,0))),NA()),IF($B$4="COMBAT RATING",IFERROR(IF(INDEX(MASTER!$G$4:$G$1463,MATCH($E$4&amp;"|"&amp;MAX(1,ROUND(COUNTIFS(MASTER!$B$4:$B$1463,$E$4,MASTER!$G$4:$G$1463,"&lt;&gt;")*$A94*100/100,0)),MASTER!$AH$4:$AH$1463,0))="",NA(),INDEX(MASTER!$G$4:$G$1463,MATCH($E$4&amp;"|"&amp;MAX(1,ROUND(COUNTIFS(MASTER!$B$4:$B$1463,$E$4,MASTER!$G$4:$G$1463,"&lt;&gt;")*$A94*100/100,0)),MASTER!$AH$4:$AH$1463,0))),NA()),IF($B$4="SECONDARY",IFERROR(IF(INDEX(MASTER!$L$4:$L$1463,MATCH($E$4&amp;"|"&amp;MAX(1,ROUND(COUNTIFS(MASTER!$B$4:$B$1463,$E$4,MASTER!$L$4:$L$1463,"&lt;&gt;")*$A94*100/100,0)),MASTER!$AI$4:$AI$1463,0))="",NA(),INDEX(MASTER!$L$4:$L$1463,MATCH($E$4&amp;"|"&amp;MAX(1,ROUND(COUNTIFS(MASTER!$B$4:$B$1463,$E$4,MASTER!$L$4:$L$1463,"&lt;&gt;")*$A94*100/100,0)),MASTER!$AI$4:$AI$1463,0))),NA()))))</f>
        <v>4462</v>
      </c>
    </row>
    <row r="95" spans="1:17" hidden="1">
      <c r="A95" s="36">
        <v>0.4</v>
      </c>
      <c r="B95" s="37">
        <f>IF($B$4="RESONANCE",IFERROR(IF(INDEX(MASTER!$I$4:$I$1463,MATCH("FUCT"&amp;"|"&amp;MAX(1,ROUND(COUNTIFS(MASTER!$B$4:$B$1463,"FUCT",MASTER!$I$4:$I$1463,"&lt;&gt;")*$A95*100/100,0)),MASTER!$Y$4:$Y$1463,0))="",NA(),INDEX(MASTER!$I$4:$I$1463,MATCH("FUCT"&amp;"|"&amp;MAX(1,ROUND(COUNTIFS(MASTER!$B$4:$B$1463,"FUCT",MASTER!$I$4:$I$1463,"&lt;&gt;")*$A95*100/100,0)),MASTER!$Y$4:$Y$1463,0))),NA()),IF($B$4="COMBAT RATING",IFERROR(IF(INDEX(MASTER!$G$4:$G$1463,MATCH("FUCT"&amp;"|"&amp;MAX(1,ROUND(COUNTIFS(MASTER!$B$4:$B$1463,"FUCT",MASTER!$G$4:$G$1463,"&lt;&gt;")*$A95*100/100,0)),MASTER!$AH$4:$AH$1463,0))="",NA(),INDEX(MASTER!$G$4:$G$1463,MATCH("FUCT"&amp;"|"&amp;MAX(1,ROUND(COUNTIFS(MASTER!$B$4:$B$1463,"FUCT",MASTER!$G$4:$G$1463,"&lt;&gt;")*$A95*100/100,0)),MASTER!$AH$4:$AH$1463,0))),NA()),IF($B$4="SECONDARY",IFERROR(IF(INDEX(MASTER!$L$4:$L$1463,MATCH("FUCT"&amp;"|"&amp;MAX(1,ROUND(COUNTIFS(MASTER!$B$4:$B$1463,"FUCT",MASTER!$L$4:$L$1463,"&lt;&gt;")*$A95*100/100,0)),MASTER!$AI$4:$AI$1463,0))="",NA(),INDEX(MASTER!$L$4:$L$1463,MATCH("FUCT"&amp;"|"&amp;MAX(1,ROUND(COUNTIFS(MASTER!$B$4:$B$1463,"FUCT",MASTER!$L$4:$L$1463,"&lt;&gt;")*$A95*100/100,0)),MASTER!$AI$4:$AI$1463,0))),NA()))))</f>
        <v>5104</v>
      </c>
      <c r="C95" s="37">
        <f>IF($B$4="RESONANCE",IFERROR(IF(INDEX(MASTER!$I$4:$I$1463,MATCH("LEGENDS"&amp;"|"&amp;MAX(1,ROUND(COUNTIFS(MASTER!$B$4:$B$1463,"LEGENDS",MASTER!$I$4:$I$1463,"&lt;&gt;")*$A95*100/100,0)),MASTER!$Y$4:$Y$1463,0))="",NA(),INDEX(MASTER!$I$4:$I$1463,MATCH("LEGENDS"&amp;"|"&amp;MAX(1,ROUND(COUNTIFS(MASTER!$B$4:$B$1463,"LEGENDS",MASTER!$I$4:$I$1463,"&lt;&gt;")*$A95*100/100,0)),MASTER!$Y$4:$Y$1463,0))),NA()),IF($B$4="COMBAT RATING",IFERROR(IF(INDEX(MASTER!$G$4:$G$1463,MATCH("LEGENDS"&amp;"|"&amp;MAX(1,ROUND(COUNTIFS(MASTER!$B$4:$B$1463,"LEGENDS",MASTER!$G$4:$G$1463,"&lt;&gt;")*$A95*100/100,0)),MASTER!$AH$4:$AH$1463,0))="",NA(),INDEX(MASTER!$G$4:$G$1463,MATCH("LEGENDS"&amp;"|"&amp;MAX(1,ROUND(COUNTIFS(MASTER!$B$4:$B$1463,"LEGENDS",MASTER!$G$4:$G$1463,"&lt;&gt;")*$A95*100/100,0)),MASTER!$AH$4:$AH$1463,0))),NA()),IF($B$4="SECONDARY",IFERROR(IF(INDEX(MASTER!$L$4:$L$1463,MATCH("LEGENDS"&amp;"|"&amp;MAX(1,ROUND(COUNTIFS(MASTER!$B$4:$B$1463,"LEGENDS",MASTER!$L$4:$L$1463,"&lt;&gt;")*$A95*100/100,0)),MASTER!$AI$4:$AI$1463,0))="",NA(),INDEX(MASTER!$L$4:$L$1463,MATCH("LEGENDS"&amp;"|"&amp;MAX(1,ROUND(COUNTIFS(MASTER!$B$4:$B$1463,"LEGENDS",MASTER!$L$4:$L$1463,"&lt;&gt;")*$A95*100/100,0)),MASTER!$AI$4:$AI$1463,0))),NA()))))</f>
        <v>5457</v>
      </c>
      <c r="D95" s="37">
        <f>IF($B$4="RESONANCE",IFERROR(IF(INDEX(MASTER!$I$4:$I$1463,MATCH("VANGUARD"&amp;"|"&amp;MAX(1,ROUND(COUNTIFS(MASTER!$B$4:$B$1463,"VANGUARD",MASTER!$I$4:$I$1463,"&lt;&gt;")*$A95*100/100,0)),MASTER!$Y$4:$Y$1463,0))="",NA(),INDEX(MASTER!$I$4:$I$1463,MATCH("VANGUARD"&amp;"|"&amp;MAX(1,ROUND(COUNTIFS(MASTER!$B$4:$B$1463,"VANGUARD",MASTER!$I$4:$I$1463,"&lt;&gt;")*$A95*100/100,0)),MASTER!$Y$4:$Y$1463,0))),NA()),IF($B$4="COMBAT RATING",IFERROR(IF(INDEX(MASTER!$G$4:$G$1463,MATCH("VANGUARD"&amp;"|"&amp;MAX(1,ROUND(COUNTIFS(MASTER!$B$4:$B$1463,"VANGUARD",MASTER!$G$4:$G$1463,"&lt;&gt;")*$A95*100/100,0)),MASTER!$AH$4:$AH$1463,0))="",NA(),INDEX(MASTER!$G$4:$G$1463,MATCH("VANGUARD"&amp;"|"&amp;MAX(1,ROUND(COUNTIFS(MASTER!$B$4:$B$1463,"VANGUARD",MASTER!$G$4:$G$1463,"&lt;&gt;")*$A95*100/100,0)),MASTER!$AH$4:$AH$1463,0))),NA()),IF($B$4="SECONDARY",IFERROR(IF(INDEX(MASTER!$L$4:$L$1463,MATCH("VANGUARD"&amp;"|"&amp;MAX(1,ROUND(COUNTIFS(MASTER!$B$4:$B$1463,"VANGUARD",MASTER!$L$4:$L$1463,"&lt;&gt;")*$A95*100/100,0)),MASTER!$AI$4:$AI$1463,0))="",NA(),INDEX(MASTER!$L$4:$L$1463,MATCH("VANGUARD"&amp;"|"&amp;MAX(1,ROUND(COUNTIFS(MASTER!$B$4:$B$1463,"VANGUARD",MASTER!$L$4:$L$1463,"&lt;&gt;")*$A95*100/100,0)),MASTER!$AI$4:$AI$1463,0))),NA()))))</f>
        <v>7528</v>
      </c>
      <c r="E95" s="37">
        <f>IF($B$4="RESONANCE",IFERROR(IF(INDEX(MASTER!$I$4:$I$1463,MATCH("UNDYING"&amp;"|"&amp;MAX(1,ROUND(COUNTIFS(MASTER!$B$4:$B$1463,"UNDYING",MASTER!$I$4:$I$1463,"&lt;&gt;")*$A95*100/100,0)),MASTER!$Y$4:$Y$1463,0))="",NA(),INDEX(MASTER!$I$4:$I$1463,MATCH("UNDYING"&amp;"|"&amp;MAX(1,ROUND(COUNTIFS(MASTER!$B$4:$B$1463,"UNDYING",MASTER!$I$4:$I$1463,"&lt;&gt;")*$A95*100/100,0)),MASTER!$Y$4:$Y$1463,0))),NA()),IF($B$4="COMBAT RATING",IFERROR(IF(INDEX(MASTER!$G$4:$G$1463,MATCH("UNDYING"&amp;"|"&amp;MAX(1,ROUND(COUNTIFS(MASTER!$B$4:$B$1463,"UNDYING",MASTER!$G$4:$G$1463,"&lt;&gt;")*$A95*100/100,0)),MASTER!$AH$4:$AH$1463,0))="",NA(),INDEX(MASTER!$G$4:$G$1463,MATCH("UNDYING"&amp;"|"&amp;MAX(1,ROUND(COUNTIFS(MASTER!$B$4:$B$1463,"UNDYING",MASTER!$G$4:$G$1463,"&lt;&gt;")*$A95*100/100,0)),MASTER!$AH$4:$AH$1463,0))),NA()),IF($B$4="SECONDARY",IFERROR(IF(INDEX(MASTER!$L$4:$L$1463,MATCH("UNDYING"&amp;"|"&amp;MAX(1,ROUND(COUNTIFS(MASTER!$B$4:$B$1463,"UNDYING",MASTER!$L$4:$L$1463,"&lt;&gt;")*$A95*100/100,0)),MASTER!$AI$4:$AI$1463,0))="",NA(),INDEX(MASTER!$L$4:$L$1463,MATCH("UNDYING"&amp;"|"&amp;MAX(1,ROUND(COUNTIFS(MASTER!$B$4:$B$1463,"UNDYING",MASTER!$L$4:$L$1463,"&lt;&gt;")*$A95*100/100,0)),MASTER!$AI$4:$AI$1463,0))),NA()))))</f>
        <v>4448</v>
      </c>
      <c r="F95" s="37">
        <f>IF($B$4="RESONANCE",IFERROR(IF(INDEX(MASTER!$I$4:$I$1463,MATCH("SBG"&amp;"|"&amp;MAX(1,ROUND(COUNTIFS(MASTER!$B$4:$B$1463,"SBG",MASTER!$I$4:$I$1463,"&lt;&gt;")*$A95*100/100,0)),MASTER!$Y$4:$Y$1463,0))="",NA(),INDEX(MASTER!$I$4:$I$1463,MATCH("SBG"&amp;"|"&amp;MAX(1,ROUND(COUNTIFS(MASTER!$B$4:$B$1463,"SBG",MASTER!$I$4:$I$1463,"&lt;&gt;")*$A95*100/100,0)),MASTER!$Y$4:$Y$1463,0))),NA()),IF($B$4="COMBAT RATING",IFERROR(IF(INDEX(MASTER!$G$4:$G$1463,MATCH("SBG"&amp;"|"&amp;MAX(1,ROUND(COUNTIFS(MASTER!$B$4:$B$1463,"SBG",MASTER!$G$4:$G$1463,"&lt;&gt;")*$A95*100/100,0)),MASTER!$AH$4:$AH$1463,0))="",NA(),INDEX(MASTER!$G$4:$G$1463,MATCH("SBG"&amp;"|"&amp;MAX(1,ROUND(COUNTIFS(MASTER!$B$4:$B$1463,"SBG",MASTER!$G$4:$G$1463,"&lt;&gt;")*$A95*100/100,0)),MASTER!$AH$4:$AH$1463,0))),NA()),IF($B$4="SECONDARY",IFERROR(IF(INDEX(MASTER!$L$4:$L$1463,MATCH("SBG"&amp;"|"&amp;MAX(1,ROUND(COUNTIFS(MASTER!$B$4:$B$1463,"SBG",MASTER!$L$4:$L$1463,"&lt;&gt;")*$A95*100/100,0)),MASTER!$AI$4:$AI$1463,0))="",NA(),INDEX(MASTER!$L$4:$L$1463,MATCH("SBG"&amp;"|"&amp;MAX(1,ROUND(COUNTIFS(MASTER!$B$4:$B$1463,"SBG",MASTER!$L$4:$L$1463,"&lt;&gt;")*$A95*100/100,0)),MASTER!$AI$4:$AI$1463,0))),NA()))))</f>
        <v>6783</v>
      </c>
      <c r="G95" s="37">
        <f>IF($B$4="RESONANCE",IFERROR(IF(INDEX(MASTER!$I$4:$I$1463,MATCH("AZUKI"&amp;"|"&amp;MAX(1,ROUND(COUNTIFS(MASTER!$B$4:$B$1463,"AZUKI",MASTER!$I$4:$I$1463,"&lt;&gt;")*$A95*100/100,0)),MASTER!$Y$4:$Y$1463,0))="",NA(),INDEX(MASTER!$I$4:$I$1463,MATCH("AZUKI"&amp;"|"&amp;MAX(1,ROUND(COUNTIFS(MASTER!$B$4:$B$1463,"AZUKI",MASTER!$I$4:$I$1463,"&lt;&gt;")*$A95*100/100,0)),MASTER!$Y$4:$Y$1463,0))),NA()),IF($B$4="COMBAT RATING",IFERROR(IF(INDEX(MASTER!$G$4:$G$1463,MATCH("AZUKI"&amp;"|"&amp;MAX(1,ROUND(COUNTIFS(MASTER!$B$4:$B$1463,"AZUKI",MASTER!$G$4:$G$1463,"&lt;&gt;")*$A95*100/100,0)),MASTER!$AH$4:$AH$1463,0))="",NA(),INDEX(MASTER!$G$4:$G$1463,MATCH("AZUKI"&amp;"|"&amp;MAX(1,ROUND(COUNTIFS(MASTER!$B$4:$B$1463,"AZUKI",MASTER!$G$4:$G$1463,"&lt;&gt;")*$A95*100/100,0)),MASTER!$AH$4:$AH$1463,0))),NA()),IF($B$4="SECONDARY",IFERROR(IF(INDEX(MASTER!$L$4:$L$1463,MATCH("AZUKI"&amp;"|"&amp;MAX(1,ROUND(COUNTIFS(MASTER!$B$4:$B$1463,"AZUKI",MASTER!$L$4:$L$1463,"&lt;&gt;")*$A95*100/100,0)),MASTER!$AI$4:$AI$1463,0))="",NA(),INDEX(MASTER!$L$4:$L$1463,MATCH("AZUKI"&amp;"|"&amp;MAX(1,ROUND(COUNTIFS(MASTER!$B$4:$B$1463,"AZUKI",MASTER!$L$4:$L$1463,"&lt;&gt;")*$A95*100/100,0)),MASTER!$AI$4:$AI$1463,0))),NA()))))</f>
        <v>5632</v>
      </c>
      <c r="H95" s="37">
        <f>IF($B$4="RESONANCE",IFERROR(IF(INDEX(MASTER!$I$4:$I$1463,MATCH("RECKONING"&amp;"|"&amp;MAX(1,ROUND(COUNTIFS(MASTER!$B$4:$B$1463,"RECKONING",MASTER!$I$4:$I$1463,"&lt;&gt;")*$A95*100/100,0)),MASTER!$Y$4:$Y$1463,0))="",NA(),INDEX(MASTER!$I$4:$I$1463,MATCH("RECKONING"&amp;"|"&amp;MAX(1,ROUND(COUNTIFS(MASTER!$B$4:$B$1463,"RECKONING",MASTER!$I$4:$I$1463,"&lt;&gt;")*$A95*100/100,0)),MASTER!$Y$4:$Y$1463,0))),NA()),IF($B$4="COMBAT RATING",IFERROR(IF(INDEX(MASTER!$G$4:$G$1463,MATCH("RECKONING"&amp;"|"&amp;MAX(1,ROUND(COUNTIFS(MASTER!$B$4:$B$1463,"RECKONING",MASTER!$G$4:$G$1463,"&lt;&gt;")*$A95*100/100,0)),MASTER!$AH$4:$AH$1463,0))="",NA(),INDEX(MASTER!$G$4:$G$1463,MATCH("RECKONING"&amp;"|"&amp;MAX(1,ROUND(COUNTIFS(MASTER!$B$4:$B$1463,"RECKONING",MASTER!$G$4:$G$1463,"&lt;&gt;")*$A95*100/100,0)),MASTER!$AH$4:$AH$1463,0))),NA()),IF($B$4="SECONDARY",IFERROR(IF(INDEX(MASTER!$L$4:$L$1463,MATCH("RECKONING"&amp;"|"&amp;MAX(1,ROUND(COUNTIFS(MASTER!$B$4:$B$1463,"RECKONING",MASTER!$L$4:$L$1463,"&lt;&gt;")*$A95*100/100,0)),MASTER!$AI$4:$AI$1463,0))="",NA(),INDEX(MASTER!$L$4:$L$1463,MATCH("RECKONING"&amp;"|"&amp;MAX(1,ROUND(COUNTIFS(MASTER!$B$4:$B$1463,"RECKONING",MASTER!$L$4:$L$1463,"&lt;&gt;")*$A95*100/100,0)),MASTER!$AI$4:$AI$1463,0))),NA()))))</f>
        <v>5429</v>
      </c>
      <c r="I95" s="37">
        <f>IF($B$4="RESONANCE",IFERROR(IF(INDEX(MASTER!$I$4:$I$1463,MATCH("ACHERON"&amp;"|"&amp;MAX(1,ROUND(COUNTIFS(MASTER!$B$4:$B$1463,"ACHERON",MASTER!$I$4:$I$1463,"&lt;&gt;")*$A95*100/100,0)),MASTER!$Y$4:$Y$1463,0))="",NA(),INDEX(MASTER!$I$4:$I$1463,MATCH("ACHERON"&amp;"|"&amp;MAX(1,ROUND(COUNTIFS(MASTER!$B$4:$B$1463,"ACHERON",MASTER!$I$4:$I$1463,"&lt;&gt;")*$A95*100/100,0)),MASTER!$Y$4:$Y$1463,0))),NA()),IF($B$4="COMBAT RATING",IFERROR(IF(INDEX(MASTER!$G$4:$G$1463,MATCH("ACHERON"&amp;"|"&amp;MAX(1,ROUND(COUNTIFS(MASTER!$B$4:$B$1463,"ACHERON",MASTER!$G$4:$G$1463,"&lt;&gt;")*$A95*100/100,0)),MASTER!$AH$4:$AH$1463,0))="",NA(),INDEX(MASTER!$G$4:$G$1463,MATCH("ACHERON"&amp;"|"&amp;MAX(1,ROUND(COUNTIFS(MASTER!$B$4:$B$1463,"ACHERON",MASTER!$G$4:$G$1463,"&lt;&gt;")*$A95*100/100,0)),MASTER!$AH$4:$AH$1463,0))),NA()),IF($B$4="SECONDARY",IFERROR(IF(INDEX(MASTER!$L$4:$L$1463,MATCH("ACHERON"&amp;"|"&amp;MAX(1,ROUND(COUNTIFS(MASTER!$B$4:$B$1463,"ACHERON",MASTER!$L$4:$L$1463,"&lt;&gt;")*$A95*100/100,0)),MASTER!$AI$4:$AI$1463,0))="",NA(),INDEX(MASTER!$L$4:$L$1463,MATCH("ACHERON"&amp;"|"&amp;MAX(1,ROUND(COUNTIFS(MASTER!$B$4:$B$1463,"ACHERON",MASTER!$L$4:$L$1463,"&lt;&gt;")*$A95*100/100,0)),MASTER!$AI$4:$AI$1463,0))),NA()))))</f>
        <v>4375</v>
      </c>
      <c r="J95" s="37">
        <f>IF($B$4="RESONANCE",IFERROR(IF(INDEX(MASTER!$I$4:$I$1463,MATCH("INVICTUS"&amp;"|"&amp;MAX(1,ROUND(COUNTIFS(MASTER!$B$4:$B$1463,"INVICTUS",MASTER!$I$4:$I$1463,"&lt;&gt;")*$A95*100/100,0)),MASTER!$Y$4:$Y$1463,0))="",NA(),INDEX(MASTER!$I$4:$I$1463,MATCH("INVICTUS"&amp;"|"&amp;MAX(1,ROUND(COUNTIFS(MASTER!$B$4:$B$1463,"INVICTUS",MASTER!$I$4:$I$1463,"&lt;&gt;")*$A95*100/100,0)),MASTER!$Y$4:$Y$1463,0))),NA()),IF($B$4="COMBAT RATING",IFERROR(IF(INDEX(MASTER!$G$4:$G$1463,MATCH("INVICTUS"&amp;"|"&amp;MAX(1,ROUND(COUNTIFS(MASTER!$B$4:$B$1463,"INVICTUS",MASTER!$G$4:$G$1463,"&lt;&gt;")*$A95*100/100,0)),MASTER!$AH$4:$AH$1463,0))="",NA(),INDEX(MASTER!$G$4:$G$1463,MATCH("INVICTUS"&amp;"|"&amp;MAX(1,ROUND(COUNTIFS(MASTER!$B$4:$B$1463,"INVICTUS",MASTER!$G$4:$G$1463,"&lt;&gt;")*$A95*100/100,0)),MASTER!$AH$4:$AH$1463,0))),NA()),IF($B$4="SECONDARY",IFERROR(IF(INDEX(MASTER!$L$4:$L$1463,MATCH("INVICTUS"&amp;"|"&amp;MAX(1,ROUND(COUNTIFS(MASTER!$B$4:$B$1463,"INVICTUS",MASTER!$L$4:$L$1463,"&lt;&gt;")*$A95*100/100,0)),MASTER!$AI$4:$AI$1463,0))="",NA(),INDEX(MASTER!$L$4:$L$1463,MATCH("INVICTUS"&amp;"|"&amp;MAX(1,ROUND(COUNTIFS(MASTER!$B$4:$B$1463,"INVICTUS",MASTER!$L$4:$L$1463,"&lt;&gt;")*$A95*100/100,0)),MASTER!$AI$4:$AI$1463,0))),NA()))))</f>
        <v>3325</v>
      </c>
      <c r="K95" s="37">
        <f>IF($B$4="RESONANCE",IFERROR(IF(INDEX(MASTER!$I$4:$I$1463,MATCH("EMERALD LEAF TRIBE"&amp;"|"&amp;MAX(1,ROUND(COUNTIFS(MASTER!$B$4:$B$1463,"EMERALD LEAF TRIBE",MASTER!$I$4:$I$1463,"&lt;&gt;")*$A95*100/100,0)),MASTER!$Y$4:$Y$1463,0))="",NA(),INDEX(MASTER!$I$4:$I$1463,MATCH("EMERALD LEAF TRIBE"&amp;"|"&amp;MAX(1,ROUND(COUNTIFS(MASTER!$B$4:$B$1463,"EMERALD LEAF TRIBE",MASTER!$I$4:$I$1463,"&lt;&gt;")*$A95*100/100,0)),MASTER!$Y$4:$Y$1463,0))),NA()),IF($B$4="COMBAT RATING",IFERROR(IF(INDEX(MASTER!$G$4:$G$1463,MATCH("EMERALD LEAF TRIBE"&amp;"|"&amp;MAX(1,ROUND(COUNTIFS(MASTER!$B$4:$B$1463,"EMERALD LEAF TRIBE",MASTER!$G$4:$G$1463,"&lt;&gt;")*$A95*100/100,0)),MASTER!$AH$4:$AH$1463,0))="",NA(),INDEX(MASTER!$G$4:$G$1463,MATCH("EMERALD LEAF TRIBE"&amp;"|"&amp;MAX(1,ROUND(COUNTIFS(MASTER!$B$4:$B$1463,"EMERALD LEAF TRIBE",MASTER!$G$4:$G$1463,"&lt;&gt;")*$A95*100/100,0)),MASTER!$AH$4:$AH$1463,0))),NA()),IF($B$4="SECONDARY",IFERROR(IF(INDEX(MASTER!$L$4:$L$1463,MATCH("EMERALD LEAF TRIBE"&amp;"|"&amp;MAX(1,ROUND(COUNTIFS(MASTER!$B$4:$B$1463,"EMERALD LEAF TRIBE",MASTER!$L$4:$L$1463,"&lt;&gt;")*$A95*100/100,0)),MASTER!$AI$4:$AI$1463,0))="",NA(),INDEX(MASTER!$L$4:$L$1463,MATCH("EMERALD LEAF TRIBE"&amp;"|"&amp;MAX(1,ROUND(COUNTIFS(MASTER!$B$4:$B$1463,"EMERALD LEAF TRIBE",MASTER!$L$4:$L$1463,"&lt;&gt;")*$A95*100/100,0)),MASTER!$AI$4:$AI$1463,0))),NA()))))</f>
        <v>2560</v>
      </c>
      <c r="L95" s="37">
        <f>IF($B$4="RESONANCE",IFERROR(IF(INDEX(MASTER!$I$4:$I$1463,MATCH("SUB ROSA"&amp;"|"&amp;MAX(1,ROUND(COUNTIFS(MASTER!$B$4:$B$1463,"SUB ROSA",MASTER!$I$4:$I$1463,"&lt;&gt;")*$A95*100/100,0)),MASTER!$Y$4:$Y$1463,0))="",NA(),INDEX(MASTER!$I$4:$I$1463,MATCH("SUB ROSA"&amp;"|"&amp;MAX(1,ROUND(COUNTIFS(MASTER!$B$4:$B$1463,"SUB ROSA",MASTER!$I$4:$I$1463,"&lt;&gt;")*$A95*100/100,0)),MASTER!$Y$4:$Y$1463,0))),NA()),IF($B$4="COMBAT RATING",IFERROR(IF(INDEX(MASTER!$G$4:$G$1463,MATCH("SUB ROSA"&amp;"|"&amp;MAX(1,ROUND(COUNTIFS(MASTER!$B$4:$B$1463,"SUB ROSA",MASTER!$G$4:$G$1463,"&lt;&gt;")*$A95*100/100,0)),MASTER!$AH$4:$AH$1463,0))="",NA(),INDEX(MASTER!$G$4:$G$1463,MATCH("SUB ROSA"&amp;"|"&amp;MAX(1,ROUND(COUNTIFS(MASTER!$B$4:$B$1463,"SUB ROSA",MASTER!$G$4:$G$1463,"&lt;&gt;")*$A95*100/100,0)),MASTER!$AH$4:$AH$1463,0))),NA()),IF($B$4="SECONDARY",IFERROR(IF(INDEX(MASTER!$L$4:$L$1463,MATCH("SUB ROSA"&amp;"|"&amp;MAX(1,ROUND(COUNTIFS(MASTER!$B$4:$B$1463,"SUB ROSA",MASTER!$L$4:$L$1463,"&lt;&gt;")*$A95*100/100,0)),MASTER!$AI$4:$AI$1463,0))="",NA(),INDEX(MASTER!$L$4:$L$1463,MATCH("SUB ROSA"&amp;"|"&amp;MAX(1,ROUND(COUNTIFS(MASTER!$B$4:$B$1463,"SUB ROSA",MASTER!$L$4:$L$1463,"&lt;&gt;")*$A95*100/100,0)),MASTER!$AI$4:$AI$1463,0))),NA()))))</f>
        <v>2857</v>
      </c>
      <c r="M95" s="37">
        <f>IF($B$4="RESONANCE",IFERROR(IF(INDEX(MASTER!$I$4:$I$1463,MATCH("VENGEANCE"&amp;"|"&amp;MAX(1,ROUND(COUNTIFS(MASTER!$B$4:$B$1463,"VENGEANCE",MASTER!$I$4:$I$1463,"&lt;&gt;")*$A95*100/100,0)),MASTER!$Y$4:$Y$1463,0))="",NA(),INDEX(MASTER!$I$4:$I$1463,MATCH("VENGEANCE"&amp;"|"&amp;MAX(1,ROUND(COUNTIFS(MASTER!$B$4:$B$1463,"VENGEANCE",MASTER!$I$4:$I$1463,"&lt;&gt;")*$A95*100/100,0)),MASTER!$Y$4:$Y$1463,0))),NA()),IF($B$4="COMBAT RATING",IFERROR(IF(INDEX(MASTER!$G$4:$G$1463,MATCH("VENGEANCE"&amp;"|"&amp;MAX(1,ROUND(COUNTIFS(MASTER!$B$4:$B$1463,"VENGEANCE",MASTER!$G$4:$G$1463,"&lt;&gt;")*$A95*100/100,0)),MASTER!$AH$4:$AH$1463,0))="",NA(),INDEX(MASTER!$G$4:$G$1463,MATCH("VENGEANCE"&amp;"|"&amp;MAX(1,ROUND(COUNTIFS(MASTER!$B$4:$B$1463,"VENGEANCE",MASTER!$G$4:$G$1463,"&lt;&gt;")*$A95*100/100,0)),MASTER!$AH$4:$AH$1463,0))),NA()),IF($B$4="SECONDARY",IFERROR(IF(INDEX(MASTER!$L$4:$L$1463,MATCH("VENGEANCE"&amp;"|"&amp;MAX(1,ROUND(COUNTIFS(MASTER!$B$4:$B$1463,"VENGEANCE",MASTER!$L$4:$L$1463,"&lt;&gt;")*$A95*100/100,0)),MASTER!$AI$4:$AI$1463,0))="",NA(),INDEX(MASTER!$L$4:$L$1463,MATCH("VENGEANCE"&amp;"|"&amp;MAX(1,ROUND(COUNTIFS(MASTER!$B$4:$B$1463,"VENGEANCE",MASTER!$L$4:$L$1463,"&lt;&gt;")*$A95*100/100,0)),MASTER!$AI$4:$AI$1463,0))),NA()))))</f>
        <v>3762</v>
      </c>
      <c r="N95" s="37">
        <f>IF($B$4="RESONANCE",IFERROR(IF(INDEX(MASTER!$I$4:$I$1463,MATCH("VENDETTA"&amp;"|"&amp;MAX(1,ROUND(COUNTIFS(MASTER!$B$4:$B$1463,"VENDETTA",MASTER!$I$4:$I$1463,"&lt;&gt;")*$A95*100/100,0)),MASTER!$Y$4:$Y$1463,0))="",NA(),INDEX(MASTER!$I$4:$I$1463,MATCH("VENDETTA"&amp;"|"&amp;MAX(1,ROUND(COUNTIFS(MASTER!$B$4:$B$1463,"VENDETTA",MASTER!$I$4:$I$1463,"&lt;&gt;")*$A95*100/100,0)),MASTER!$Y$4:$Y$1463,0))),NA()),IF($B$4="COMBAT RATING",IFERROR(IF(INDEX(MASTER!$G$4:$G$1463,MATCH("VENDETTA"&amp;"|"&amp;MAX(1,ROUND(COUNTIFS(MASTER!$B$4:$B$1463,"VENDETTA",MASTER!$G$4:$G$1463,"&lt;&gt;")*$A95*100/100,0)),MASTER!$AH$4:$AH$1463,0))="",NA(),INDEX(MASTER!$G$4:$G$1463,MATCH("VENDETTA"&amp;"|"&amp;MAX(1,ROUND(COUNTIFS(MASTER!$B$4:$B$1463,"VENDETTA",MASTER!$G$4:$G$1463,"&lt;&gt;")*$A95*100/100,0)),MASTER!$AH$4:$AH$1463,0))),NA()),IF($B$4="SECONDARY",IFERROR(IF(INDEX(MASTER!$L$4:$L$1463,MATCH("VENDETTA"&amp;"|"&amp;MAX(1,ROUND(COUNTIFS(MASTER!$B$4:$B$1463,"VENDETTA",MASTER!$L$4:$L$1463,"&lt;&gt;")*$A95*100/100,0)),MASTER!$AI$4:$AI$1463,0))="",NA(),INDEX(MASTER!$L$4:$L$1463,MATCH("VENDETTA"&amp;"|"&amp;MAX(1,ROUND(COUNTIFS(MASTER!$B$4:$B$1463,"VENDETTA",MASTER!$L$4:$L$1463,"&lt;&gt;")*$A95*100/100,0)),MASTER!$AI$4:$AI$1463,0))),NA()))))</f>
        <v>2286</v>
      </c>
      <c r="O95" s="37">
        <f>IF($B$4="RESONANCE",IFERROR(IF(INDEX(MASTER!$I$4:$I$1463,MATCH("ZOMBIES"&amp;"|"&amp;MAX(1,ROUND(COUNTIFS(MASTER!$B$4:$B$1463,"ZOMBIES",MASTER!$I$4:$I$1463,"&lt;&gt;")*$A95*100/100,0)),MASTER!$Y$4:$Y$1463,0))="",NA(),INDEX(MASTER!$I$4:$I$1463,MATCH("ZOMBIES"&amp;"|"&amp;MAX(1,ROUND(COUNTIFS(MASTER!$B$4:$B$1463,"ZOMBIES",MASTER!$I$4:$I$1463,"&lt;&gt;")*$A95*100/100,0)),MASTER!$Y$4:$Y$1463,0))),NA()),IF($B$4="COMBAT RATING",IFERROR(IF(INDEX(MASTER!$G$4:$G$1463,MATCH("ZOMBIES"&amp;"|"&amp;MAX(1,ROUND(COUNTIFS(MASTER!$B$4:$B$1463,"ZOMBIES",MASTER!$G$4:$G$1463,"&lt;&gt;")*$A95*100/100,0)),MASTER!$AH$4:$AH$1463,0))="",NA(),INDEX(MASTER!$G$4:$G$1463,MATCH("ZOMBIES"&amp;"|"&amp;MAX(1,ROUND(COUNTIFS(MASTER!$B$4:$B$1463,"ZOMBIES",MASTER!$G$4:$G$1463,"&lt;&gt;")*$A95*100/100,0)),MASTER!$AH$4:$AH$1463,0))),NA()),IF($B$4="SECONDARY",IFERROR(IF(INDEX(MASTER!$L$4:$L$1463,MATCH("ZOMBIES"&amp;"|"&amp;MAX(1,ROUND(COUNTIFS(MASTER!$B$4:$B$1463,"ZOMBIES",MASTER!$L$4:$L$1463,"&lt;&gt;")*$A95*100/100,0)),MASTER!$AI$4:$AI$1463,0))="",NA(),INDEX(MASTER!$L$4:$L$1463,MATCH("ZOMBIES"&amp;"|"&amp;MAX(1,ROUND(COUNTIFS(MASTER!$B$4:$B$1463,"ZOMBIES",MASTER!$L$4:$L$1463,"&lt;&gt;")*$A95*100/100,0)),MASTER!$AI$4:$AI$1463,0))),NA()))))</f>
        <v>2040</v>
      </c>
      <c r="P95" s="37">
        <f>IF($B$4="RESONANCE",IFERROR(IF(INDEX(MASTER!$I$4:$I$1463,MATCH("FUCT"&amp;"|"&amp;MAX(1,ROUND(COUNTIFS(MASTER!$B$4:$B$1463,"FUCT",MASTER!$I$4:$I$1463,"&lt;&gt;")*$A95*100/100,0)),MASTER!$Y$4:$Y$1463,0))="",NA(),INDEX(MASTER!$I$4:$I$1463,MATCH("FUCT"&amp;"|"&amp;MAX(1,ROUND(COUNTIFS(MASTER!$B$4:$B$1463,"FUCT",MASTER!$I$4:$I$1463,"&lt;&gt;")*$A95*100/100,0)),MASTER!$Y$4:$Y$1463,0))),NA()),IF($B$4="COMBAT RATING",IFERROR(IF(INDEX(MASTER!$G$4:$G$1463,MATCH("FUCT"&amp;"|"&amp;MAX(1,ROUND(COUNTIFS(MASTER!$B$4:$B$1463,"FUCT",MASTER!$G$4:$G$1463,"&lt;&gt;")*$A95*100/100,0)),MASTER!$AH$4:$AH$1463,0))="",NA(),INDEX(MASTER!$G$4:$G$1463,MATCH("FUCT"&amp;"|"&amp;MAX(1,ROUND(COUNTIFS(MASTER!$B$4:$B$1463,"FUCT",MASTER!$G$4:$G$1463,"&lt;&gt;")*$A95*100/100,0)),MASTER!$AH$4:$AH$1463,0))),NA()),IF($B$4="SECONDARY",IFERROR(IF(INDEX(MASTER!$L$4:$L$1463,MATCH("FUCT"&amp;"|"&amp;MAX(1,ROUND(COUNTIFS(MASTER!$B$4:$B$1463,"FUCT",MASTER!$L$4:$L$1463,"&lt;&gt;")*$A95*100/100,0)),MASTER!$AI$4:$AI$1463,0))="",NA(),INDEX(MASTER!$L$4:$L$1463,MATCH("FUCT"&amp;"|"&amp;MAX(1,ROUND(COUNTIFS(MASTER!$B$4:$B$1463,"FUCT",MASTER!$L$4:$L$1463,"&lt;&gt;")*$A95*100/100,0)),MASTER!$AI$4:$AI$1463,0))),NA()))))</f>
        <v>5104</v>
      </c>
      <c r="Q95" s="37">
        <f>IF($B$4="RESONANCE",IFERROR(IF(INDEX(MASTER!$I$4:$I$1463,MATCH($E$4&amp;"|"&amp;MAX(1,ROUND(COUNTIFS(MASTER!$B$4:$B$1463,$E$4,MASTER!$I$4:$I$1463,"&lt;&gt;")*$A95*100/100,0)),MASTER!$Y$4:$Y$1463,0))="",NA(),INDEX(MASTER!$I$4:$I$1463,MATCH($E$4&amp;"|"&amp;MAX(1,ROUND(COUNTIFS(MASTER!$B$4:$B$1463,$E$4,MASTER!$I$4:$I$1463,"&lt;&gt;")*$A95*100/100,0)),MASTER!$Y$4:$Y$1463,0))),NA()),IF($B$4="COMBAT RATING",IFERROR(IF(INDEX(MASTER!$G$4:$G$1463,MATCH($E$4&amp;"|"&amp;MAX(1,ROUND(COUNTIFS(MASTER!$B$4:$B$1463,$E$4,MASTER!$G$4:$G$1463,"&lt;&gt;")*$A95*100/100,0)),MASTER!$AH$4:$AH$1463,0))="",NA(),INDEX(MASTER!$G$4:$G$1463,MATCH($E$4&amp;"|"&amp;MAX(1,ROUND(COUNTIFS(MASTER!$B$4:$B$1463,$E$4,MASTER!$G$4:$G$1463,"&lt;&gt;")*$A95*100/100,0)),MASTER!$AH$4:$AH$1463,0))),NA()),IF($B$4="SECONDARY",IFERROR(IF(INDEX(MASTER!$L$4:$L$1463,MATCH($E$4&amp;"|"&amp;MAX(1,ROUND(COUNTIFS(MASTER!$B$4:$B$1463,$E$4,MASTER!$L$4:$L$1463,"&lt;&gt;")*$A95*100/100,0)),MASTER!$AI$4:$AI$1463,0))="",NA(),INDEX(MASTER!$L$4:$L$1463,MATCH($E$4&amp;"|"&amp;MAX(1,ROUND(COUNTIFS(MASTER!$B$4:$B$1463,$E$4,MASTER!$L$4:$L$1463,"&lt;&gt;")*$A95*100/100,0)),MASTER!$AI$4:$AI$1463,0))),NA()))))</f>
        <v>4448</v>
      </c>
    </row>
    <row r="96" spans="1:17" hidden="1">
      <c r="A96" s="36">
        <v>0.41</v>
      </c>
      <c r="B96" s="37">
        <f>IF($B$4="RESONANCE",IFERROR(IF(INDEX(MASTER!$I$4:$I$1463,MATCH("FUCT"&amp;"|"&amp;MAX(1,ROUND(COUNTIFS(MASTER!$B$4:$B$1463,"FUCT",MASTER!$I$4:$I$1463,"&lt;&gt;")*$A96*100/100,0)),MASTER!$Y$4:$Y$1463,0))="",NA(),INDEX(MASTER!$I$4:$I$1463,MATCH("FUCT"&amp;"|"&amp;MAX(1,ROUND(COUNTIFS(MASTER!$B$4:$B$1463,"FUCT",MASTER!$I$4:$I$1463,"&lt;&gt;")*$A96*100/100,0)),MASTER!$Y$4:$Y$1463,0))),NA()),IF($B$4="COMBAT RATING",IFERROR(IF(INDEX(MASTER!$G$4:$G$1463,MATCH("FUCT"&amp;"|"&amp;MAX(1,ROUND(COUNTIFS(MASTER!$B$4:$B$1463,"FUCT",MASTER!$G$4:$G$1463,"&lt;&gt;")*$A96*100/100,0)),MASTER!$AH$4:$AH$1463,0))="",NA(),INDEX(MASTER!$G$4:$G$1463,MATCH("FUCT"&amp;"|"&amp;MAX(1,ROUND(COUNTIFS(MASTER!$B$4:$B$1463,"FUCT",MASTER!$G$4:$G$1463,"&lt;&gt;")*$A96*100/100,0)),MASTER!$AH$4:$AH$1463,0))),NA()),IF($B$4="SECONDARY",IFERROR(IF(INDEX(MASTER!$L$4:$L$1463,MATCH("FUCT"&amp;"|"&amp;MAX(1,ROUND(COUNTIFS(MASTER!$B$4:$B$1463,"FUCT",MASTER!$L$4:$L$1463,"&lt;&gt;")*$A96*100/100,0)),MASTER!$AI$4:$AI$1463,0))="",NA(),INDEX(MASTER!$L$4:$L$1463,MATCH("FUCT"&amp;"|"&amp;MAX(1,ROUND(COUNTIFS(MASTER!$B$4:$B$1463,"FUCT",MASTER!$L$4:$L$1463,"&lt;&gt;")*$A96*100/100,0)),MASTER!$AI$4:$AI$1463,0))),NA()))))</f>
        <v>5092</v>
      </c>
      <c r="C96" s="37">
        <f>IF($B$4="RESONANCE",IFERROR(IF(INDEX(MASTER!$I$4:$I$1463,MATCH("LEGENDS"&amp;"|"&amp;MAX(1,ROUND(COUNTIFS(MASTER!$B$4:$B$1463,"LEGENDS",MASTER!$I$4:$I$1463,"&lt;&gt;")*$A96*100/100,0)),MASTER!$Y$4:$Y$1463,0))="",NA(),INDEX(MASTER!$I$4:$I$1463,MATCH("LEGENDS"&amp;"|"&amp;MAX(1,ROUND(COUNTIFS(MASTER!$B$4:$B$1463,"LEGENDS",MASTER!$I$4:$I$1463,"&lt;&gt;")*$A96*100/100,0)),MASTER!$Y$4:$Y$1463,0))),NA()),IF($B$4="COMBAT RATING",IFERROR(IF(INDEX(MASTER!$G$4:$G$1463,MATCH("LEGENDS"&amp;"|"&amp;MAX(1,ROUND(COUNTIFS(MASTER!$B$4:$B$1463,"LEGENDS",MASTER!$G$4:$G$1463,"&lt;&gt;")*$A96*100/100,0)),MASTER!$AH$4:$AH$1463,0))="",NA(),INDEX(MASTER!$G$4:$G$1463,MATCH("LEGENDS"&amp;"|"&amp;MAX(1,ROUND(COUNTIFS(MASTER!$B$4:$B$1463,"LEGENDS",MASTER!$G$4:$G$1463,"&lt;&gt;")*$A96*100/100,0)),MASTER!$AH$4:$AH$1463,0))),NA()),IF($B$4="SECONDARY",IFERROR(IF(INDEX(MASTER!$L$4:$L$1463,MATCH("LEGENDS"&amp;"|"&amp;MAX(1,ROUND(COUNTIFS(MASTER!$B$4:$B$1463,"LEGENDS",MASTER!$L$4:$L$1463,"&lt;&gt;")*$A96*100/100,0)),MASTER!$AI$4:$AI$1463,0))="",NA(),INDEX(MASTER!$L$4:$L$1463,MATCH("LEGENDS"&amp;"|"&amp;MAX(1,ROUND(COUNTIFS(MASTER!$B$4:$B$1463,"LEGENDS",MASTER!$L$4:$L$1463,"&lt;&gt;")*$A96*100/100,0)),MASTER!$AI$4:$AI$1463,0))),NA()))))</f>
        <v>5436</v>
      </c>
      <c r="D96" s="37">
        <f>IF($B$4="RESONANCE",IFERROR(IF(INDEX(MASTER!$I$4:$I$1463,MATCH("VANGUARD"&amp;"|"&amp;MAX(1,ROUND(COUNTIFS(MASTER!$B$4:$B$1463,"VANGUARD",MASTER!$I$4:$I$1463,"&lt;&gt;")*$A96*100/100,0)),MASTER!$Y$4:$Y$1463,0))="",NA(),INDEX(MASTER!$I$4:$I$1463,MATCH("VANGUARD"&amp;"|"&amp;MAX(1,ROUND(COUNTIFS(MASTER!$B$4:$B$1463,"VANGUARD",MASTER!$I$4:$I$1463,"&lt;&gt;")*$A96*100/100,0)),MASTER!$Y$4:$Y$1463,0))),NA()),IF($B$4="COMBAT RATING",IFERROR(IF(INDEX(MASTER!$G$4:$G$1463,MATCH("VANGUARD"&amp;"|"&amp;MAX(1,ROUND(COUNTIFS(MASTER!$B$4:$B$1463,"VANGUARD",MASTER!$G$4:$G$1463,"&lt;&gt;")*$A96*100/100,0)),MASTER!$AH$4:$AH$1463,0))="",NA(),INDEX(MASTER!$G$4:$G$1463,MATCH("VANGUARD"&amp;"|"&amp;MAX(1,ROUND(COUNTIFS(MASTER!$B$4:$B$1463,"VANGUARD",MASTER!$G$4:$G$1463,"&lt;&gt;")*$A96*100/100,0)),MASTER!$AH$4:$AH$1463,0))),NA()),IF($B$4="SECONDARY",IFERROR(IF(INDEX(MASTER!$L$4:$L$1463,MATCH("VANGUARD"&amp;"|"&amp;MAX(1,ROUND(COUNTIFS(MASTER!$B$4:$B$1463,"VANGUARD",MASTER!$L$4:$L$1463,"&lt;&gt;")*$A96*100/100,0)),MASTER!$AI$4:$AI$1463,0))="",NA(),INDEX(MASTER!$L$4:$L$1463,MATCH("VANGUARD"&amp;"|"&amp;MAX(1,ROUND(COUNTIFS(MASTER!$B$4:$B$1463,"VANGUARD",MASTER!$L$4:$L$1463,"&lt;&gt;")*$A96*100/100,0)),MASTER!$AI$4:$AI$1463,0))),NA()))))</f>
        <v>7454</v>
      </c>
      <c r="E96" s="37">
        <f>IF($B$4="RESONANCE",IFERROR(IF(INDEX(MASTER!$I$4:$I$1463,MATCH("UNDYING"&amp;"|"&amp;MAX(1,ROUND(COUNTIFS(MASTER!$B$4:$B$1463,"UNDYING",MASTER!$I$4:$I$1463,"&lt;&gt;")*$A96*100/100,0)),MASTER!$Y$4:$Y$1463,0))="",NA(),INDEX(MASTER!$I$4:$I$1463,MATCH("UNDYING"&amp;"|"&amp;MAX(1,ROUND(COUNTIFS(MASTER!$B$4:$B$1463,"UNDYING",MASTER!$I$4:$I$1463,"&lt;&gt;")*$A96*100/100,0)),MASTER!$Y$4:$Y$1463,0))),NA()),IF($B$4="COMBAT RATING",IFERROR(IF(INDEX(MASTER!$G$4:$G$1463,MATCH("UNDYING"&amp;"|"&amp;MAX(1,ROUND(COUNTIFS(MASTER!$B$4:$B$1463,"UNDYING",MASTER!$G$4:$G$1463,"&lt;&gt;")*$A96*100/100,0)),MASTER!$AH$4:$AH$1463,0))="",NA(),INDEX(MASTER!$G$4:$G$1463,MATCH("UNDYING"&amp;"|"&amp;MAX(1,ROUND(COUNTIFS(MASTER!$B$4:$B$1463,"UNDYING",MASTER!$G$4:$G$1463,"&lt;&gt;")*$A96*100/100,0)),MASTER!$AH$4:$AH$1463,0))),NA()),IF($B$4="SECONDARY",IFERROR(IF(INDEX(MASTER!$L$4:$L$1463,MATCH("UNDYING"&amp;"|"&amp;MAX(1,ROUND(COUNTIFS(MASTER!$B$4:$B$1463,"UNDYING",MASTER!$L$4:$L$1463,"&lt;&gt;")*$A96*100/100,0)),MASTER!$AI$4:$AI$1463,0))="",NA(),INDEX(MASTER!$L$4:$L$1463,MATCH("UNDYING"&amp;"|"&amp;MAX(1,ROUND(COUNTIFS(MASTER!$B$4:$B$1463,"UNDYING",MASTER!$L$4:$L$1463,"&lt;&gt;")*$A96*100/100,0)),MASTER!$AI$4:$AI$1463,0))),NA()))))</f>
        <v>4389</v>
      </c>
      <c r="F96" s="37">
        <f>IF($B$4="RESONANCE",IFERROR(IF(INDEX(MASTER!$I$4:$I$1463,MATCH("SBG"&amp;"|"&amp;MAX(1,ROUND(COUNTIFS(MASTER!$B$4:$B$1463,"SBG",MASTER!$I$4:$I$1463,"&lt;&gt;")*$A96*100/100,0)),MASTER!$Y$4:$Y$1463,0))="",NA(),INDEX(MASTER!$I$4:$I$1463,MATCH("SBG"&amp;"|"&amp;MAX(1,ROUND(COUNTIFS(MASTER!$B$4:$B$1463,"SBG",MASTER!$I$4:$I$1463,"&lt;&gt;")*$A96*100/100,0)),MASTER!$Y$4:$Y$1463,0))),NA()),IF($B$4="COMBAT RATING",IFERROR(IF(INDEX(MASTER!$G$4:$G$1463,MATCH("SBG"&amp;"|"&amp;MAX(1,ROUND(COUNTIFS(MASTER!$B$4:$B$1463,"SBG",MASTER!$G$4:$G$1463,"&lt;&gt;")*$A96*100/100,0)),MASTER!$AH$4:$AH$1463,0))="",NA(),INDEX(MASTER!$G$4:$G$1463,MATCH("SBG"&amp;"|"&amp;MAX(1,ROUND(COUNTIFS(MASTER!$B$4:$B$1463,"SBG",MASTER!$G$4:$G$1463,"&lt;&gt;")*$A96*100/100,0)),MASTER!$AH$4:$AH$1463,0))),NA()),IF($B$4="SECONDARY",IFERROR(IF(INDEX(MASTER!$L$4:$L$1463,MATCH("SBG"&amp;"|"&amp;MAX(1,ROUND(COUNTIFS(MASTER!$B$4:$B$1463,"SBG",MASTER!$L$4:$L$1463,"&lt;&gt;")*$A96*100/100,0)),MASTER!$AI$4:$AI$1463,0))="",NA(),INDEX(MASTER!$L$4:$L$1463,MATCH("SBG"&amp;"|"&amp;MAX(1,ROUND(COUNTIFS(MASTER!$B$4:$B$1463,"SBG",MASTER!$L$4:$L$1463,"&lt;&gt;")*$A96*100/100,0)),MASTER!$AI$4:$AI$1463,0))),NA()))))</f>
        <v>6423</v>
      </c>
      <c r="G96" s="37">
        <f>IF($B$4="RESONANCE",IFERROR(IF(INDEX(MASTER!$I$4:$I$1463,MATCH("AZUKI"&amp;"|"&amp;MAX(1,ROUND(COUNTIFS(MASTER!$B$4:$B$1463,"AZUKI",MASTER!$I$4:$I$1463,"&lt;&gt;")*$A96*100/100,0)),MASTER!$Y$4:$Y$1463,0))="",NA(),INDEX(MASTER!$I$4:$I$1463,MATCH("AZUKI"&amp;"|"&amp;MAX(1,ROUND(COUNTIFS(MASTER!$B$4:$B$1463,"AZUKI",MASTER!$I$4:$I$1463,"&lt;&gt;")*$A96*100/100,0)),MASTER!$Y$4:$Y$1463,0))),NA()),IF($B$4="COMBAT RATING",IFERROR(IF(INDEX(MASTER!$G$4:$G$1463,MATCH("AZUKI"&amp;"|"&amp;MAX(1,ROUND(COUNTIFS(MASTER!$B$4:$B$1463,"AZUKI",MASTER!$G$4:$G$1463,"&lt;&gt;")*$A96*100/100,0)),MASTER!$AH$4:$AH$1463,0))="",NA(),INDEX(MASTER!$G$4:$G$1463,MATCH("AZUKI"&amp;"|"&amp;MAX(1,ROUND(COUNTIFS(MASTER!$B$4:$B$1463,"AZUKI",MASTER!$G$4:$G$1463,"&lt;&gt;")*$A96*100/100,0)),MASTER!$AH$4:$AH$1463,0))),NA()),IF($B$4="SECONDARY",IFERROR(IF(INDEX(MASTER!$L$4:$L$1463,MATCH("AZUKI"&amp;"|"&amp;MAX(1,ROUND(COUNTIFS(MASTER!$B$4:$B$1463,"AZUKI",MASTER!$L$4:$L$1463,"&lt;&gt;")*$A96*100/100,0)),MASTER!$AI$4:$AI$1463,0))="",NA(),INDEX(MASTER!$L$4:$L$1463,MATCH("AZUKI"&amp;"|"&amp;MAX(1,ROUND(COUNTIFS(MASTER!$B$4:$B$1463,"AZUKI",MASTER!$L$4:$L$1463,"&lt;&gt;")*$A96*100/100,0)),MASTER!$AI$4:$AI$1463,0))),NA()))))</f>
        <v>5563</v>
      </c>
      <c r="H96" s="37">
        <f>IF($B$4="RESONANCE",IFERROR(IF(INDEX(MASTER!$I$4:$I$1463,MATCH("RECKONING"&amp;"|"&amp;MAX(1,ROUND(COUNTIFS(MASTER!$B$4:$B$1463,"RECKONING",MASTER!$I$4:$I$1463,"&lt;&gt;")*$A96*100/100,0)),MASTER!$Y$4:$Y$1463,0))="",NA(),INDEX(MASTER!$I$4:$I$1463,MATCH("RECKONING"&amp;"|"&amp;MAX(1,ROUND(COUNTIFS(MASTER!$B$4:$B$1463,"RECKONING",MASTER!$I$4:$I$1463,"&lt;&gt;")*$A96*100/100,0)),MASTER!$Y$4:$Y$1463,0))),NA()),IF($B$4="COMBAT RATING",IFERROR(IF(INDEX(MASTER!$G$4:$G$1463,MATCH("RECKONING"&amp;"|"&amp;MAX(1,ROUND(COUNTIFS(MASTER!$B$4:$B$1463,"RECKONING",MASTER!$G$4:$G$1463,"&lt;&gt;")*$A96*100/100,0)),MASTER!$AH$4:$AH$1463,0))="",NA(),INDEX(MASTER!$G$4:$G$1463,MATCH("RECKONING"&amp;"|"&amp;MAX(1,ROUND(COUNTIFS(MASTER!$B$4:$B$1463,"RECKONING",MASTER!$G$4:$G$1463,"&lt;&gt;")*$A96*100/100,0)),MASTER!$AH$4:$AH$1463,0))),NA()),IF($B$4="SECONDARY",IFERROR(IF(INDEX(MASTER!$L$4:$L$1463,MATCH("RECKONING"&amp;"|"&amp;MAX(1,ROUND(COUNTIFS(MASTER!$B$4:$B$1463,"RECKONING",MASTER!$L$4:$L$1463,"&lt;&gt;")*$A96*100/100,0)),MASTER!$AI$4:$AI$1463,0))="",NA(),INDEX(MASTER!$L$4:$L$1463,MATCH("RECKONING"&amp;"|"&amp;MAX(1,ROUND(COUNTIFS(MASTER!$B$4:$B$1463,"RECKONING",MASTER!$L$4:$L$1463,"&lt;&gt;")*$A96*100/100,0)),MASTER!$AI$4:$AI$1463,0))),NA()))))</f>
        <v>5364</v>
      </c>
      <c r="I96" s="37">
        <f>IF($B$4="RESONANCE",IFERROR(IF(INDEX(MASTER!$I$4:$I$1463,MATCH("ACHERON"&amp;"|"&amp;MAX(1,ROUND(COUNTIFS(MASTER!$B$4:$B$1463,"ACHERON",MASTER!$I$4:$I$1463,"&lt;&gt;")*$A96*100/100,0)),MASTER!$Y$4:$Y$1463,0))="",NA(),INDEX(MASTER!$I$4:$I$1463,MATCH("ACHERON"&amp;"|"&amp;MAX(1,ROUND(COUNTIFS(MASTER!$B$4:$B$1463,"ACHERON",MASTER!$I$4:$I$1463,"&lt;&gt;")*$A96*100/100,0)),MASTER!$Y$4:$Y$1463,0))),NA()),IF($B$4="COMBAT RATING",IFERROR(IF(INDEX(MASTER!$G$4:$G$1463,MATCH("ACHERON"&amp;"|"&amp;MAX(1,ROUND(COUNTIFS(MASTER!$B$4:$B$1463,"ACHERON",MASTER!$G$4:$G$1463,"&lt;&gt;")*$A96*100/100,0)),MASTER!$AH$4:$AH$1463,0))="",NA(),INDEX(MASTER!$G$4:$G$1463,MATCH("ACHERON"&amp;"|"&amp;MAX(1,ROUND(COUNTIFS(MASTER!$B$4:$B$1463,"ACHERON",MASTER!$G$4:$G$1463,"&lt;&gt;")*$A96*100/100,0)),MASTER!$AH$4:$AH$1463,0))),NA()),IF($B$4="SECONDARY",IFERROR(IF(INDEX(MASTER!$L$4:$L$1463,MATCH("ACHERON"&amp;"|"&amp;MAX(1,ROUND(COUNTIFS(MASTER!$B$4:$B$1463,"ACHERON",MASTER!$L$4:$L$1463,"&lt;&gt;")*$A96*100/100,0)),MASTER!$AI$4:$AI$1463,0))="",NA(),INDEX(MASTER!$L$4:$L$1463,MATCH("ACHERON"&amp;"|"&amp;MAX(1,ROUND(COUNTIFS(MASTER!$B$4:$B$1463,"ACHERON",MASTER!$L$4:$L$1463,"&lt;&gt;")*$A96*100/100,0)),MASTER!$AI$4:$AI$1463,0))),NA()))))</f>
        <v>4361</v>
      </c>
      <c r="J96" s="37">
        <f>IF($B$4="RESONANCE",IFERROR(IF(INDEX(MASTER!$I$4:$I$1463,MATCH("INVICTUS"&amp;"|"&amp;MAX(1,ROUND(COUNTIFS(MASTER!$B$4:$B$1463,"INVICTUS",MASTER!$I$4:$I$1463,"&lt;&gt;")*$A96*100/100,0)),MASTER!$Y$4:$Y$1463,0))="",NA(),INDEX(MASTER!$I$4:$I$1463,MATCH("INVICTUS"&amp;"|"&amp;MAX(1,ROUND(COUNTIFS(MASTER!$B$4:$B$1463,"INVICTUS",MASTER!$I$4:$I$1463,"&lt;&gt;")*$A96*100/100,0)),MASTER!$Y$4:$Y$1463,0))),NA()),IF($B$4="COMBAT RATING",IFERROR(IF(INDEX(MASTER!$G$4:$G$1463,MATCH("INVICTUS"&amp;"|"&amp;MAX(1,ROUND(COUNTIFS(MASTER!$B$4:$B$1463,"INVICTUS",MASTER!$G$4:$G$1463,"&lt;&gt;")*$A96*100/100,0)),MASTER!$AH$4:$AH$1463,0))="",NA(),INDEX(MASTER!$G$4:$G$1463,MATCH("INVICTUS"&amp;"|"&amp;MAX(1,ROUND(COUNTIFS(MASTER!$B$4:$B$1463,"INVICTUS",MASTER!$G$4:$G$1463,"&lt;&gt;")*$A96*100/100,0)),MASTER!$AH$4:$AH$1463,0))),NA()),IF($B$4="SECONDARY",IFERROR(IF(INDEX(MASTER!$L$4:$L$1463,MATCH("INVICTUS"&amp;"|"&amp;MAX(1,ROUND(COUNTIFS(MASTER!$B$4:$B$1463,"INVICTUS",MASTER!$L$4:$L$1463,"&lt;&gt;")*$A96*100/100,0)),MASTER!$AI$4:$AI$1463,0))="",NA(),INDEX(MASTER!$L$4:$L$1463,MATCH("INVICTUS"&amp;"|"&amp;MAX(1,ROUND(COUNTIFS(MASTER!$B$4:$B$1463,"INVICTUS",MASTER!$L$4:$L$1463,"&lt;&gt;")*$A96*100/100,0)),MASTER!$AI$4:$AI$1463,0))),NA()))))</f>
        <v>3304</v>
      </c>
      <c r="K96" s="37">
        <f>IF($B$4="RESONANCE",IFERROR(IF(INDEX(MASTER!$I$4:$I$1463,MATCH("EMERALD LEAF TRIBE"&amp;"|"&amp;MAX(1,ROUND(COUNTIFS(MASTER!$B$4:$B$1463,"EMERALD LEAF TRIBE",MASTER!$I$4:$I$1463,"&lt;&gt;")*$A96*100/100,0)),MASTER!$Y$4:$Y$1463,0))="",NA(),INDEX(MASTER!$I$4:$I$1463,MATCH("EMERALD LEAF TRIBE"&amp;"|"&amp;MAX(1,ROUND(COUNTIFS(MASTER!$B$4:$B$1463,"EMERALD LEAF TRIBE",MASTER!$I$4:$I$1463,"&lt;&gt;")*$A96*100/100,0)),MASTER!$Y$4:$Y$1463,0))),NA()),IF($B$4="COMBAT RATING",IFERROR(IF(INDEX(MASTER!$G$4:$G$1463,MATCH("EMERALD LEAF TRIBE"&amp;"|"&amp;MAX(1,ROUND(COUNTIFS(MASTER!$B$4:$B$1463,"EMERALD LEAF TRIBE",MASTER!$G$4:$G$1463,"&lt;&gt;")*$A96*100/100,0)),MASTER!$AH$4:$AH$1463,0))="",NA(),INDEX(MASTER!$G$4:$G$1463,MATCH("EMERALD LEAF TRIBE"&amp;"|"&amp;MAX(1,ROUND(COUNTIFS(MASTER!$B$4:$B$1463,"EMERALD LEAF TRIBE",MASTER!$G$4:$G$1463,"&lt;&gt;")*$A96*100/100,0)),MASTER!$AH$4:$AH$1463,0))),NA()),IF($B$4="SECONDARY",IFERROR(IF(INDEX(MASTER!$L$4:$L$1463,MATCH("EMERALD LEAF TRIBE"&amp;"|"&amp;MAX(1,ROUND(COUNTIFS(MASTER!$B$4:$B$1463,"EMERALD LEAF TRIBE",MASTER!$L$4:$L$1463,"&lt;&gt;")*$A96*100/100,0)),MASTER!$AI$4:$AI$1463,0))="",NA(),INDEX(MASTER!$L$4:$L$1463,MATCH("EMERALD LEAF TRIBE"&amp;"|"&amp;MAX(1,ROUND(COUNTIFS(MASTER!$B$4:$B$1463,"EMERALD LEAF TRIBE",MASTER!$L$4:$L$1463,"&lt;&gt;")*$A96*100/100,0)),MASTER!$AI$4:$AI$1463,0))),NA()))))</f>
        <v>2552</v>
      </c>
      <c r="L96" s="37">
        <f>IF($B$4="RESONANCE",IFERROR(IF(INDEX(MASTER!$I$4:$I$1463,MATCH("SUB ROSA"&amp;"|"&amp;MAX(1,ROUND(COUNTIFS(MASTER!$B$4:$B$1463,"SUB ROSA",MASTER!$I$4:$I$1463,"&lt;&gt;")*$A96*100/100,0)),MASTER!$Y$4:$Y$1463,0))="",NA(),INDEX(MASTER!$I$4:$I$1463,MATCH("SUB ROSA"&amp;"|"&amp;MAX(1,ROUND(COUNTIFS(MASTER!$B$4:$B$1463,"SUB ROSA",MASTER!$I$4:$I$1463,"&lt;&gt;")*$A96*100/100,0)),MASTER!$Y$4:$Y$1463,0))),NA()),IF($B$4="COMBAT RATING",IFERROR(IF(INDEX(MASTER!$G$4:$G$1463,MATCH("SUB ROSA"&amp;"|"&amp;MAX(1,ROUND(COUNTIFS(MASTER!$B$4:$B$1463,"SUB ROSA",MASTER!$G$4:$G$1463,"&lt;&gt;")*$A96*100/100,0)),MASTER!$AH$4:$AH$1463,0))="",NA(),INDEX(MASTER!$G$4:$G$1463,MATCH("SUB ROSA"&amp;"|"&amp;MAX(1,ROUND(COUNTIFS(MASTER!$B$4:$B$1463,"SUB ROSA",MASTER!$G$4:$G$1463,"&lt;&gt;")*$A96*100/100,0)),MASTER!$AH$4:$AH$1463,0))),NA()),IF($B$4="SECONDARY",IFERROR(IF(INDEX(MASTER!$L$4:$L$1463,MATCH("SUB ROSA"&amp;"|"&amp;MAX(1,ROUND(COUNTIFS(MASTER!$B$4:$B$1463,"SUB ROSA",MASTER!$L$4:$L$1463,"&lt;&gt;")*$A96*100/100,0)),MASTER!$AI$4:$AI$1463,0))="",NA(),INDEX(MASTER!$L$4:$L$1463,MATCH("SUB ROSA"&amp;"|"&amp;MAX(1,ROUND(COUNTIFS(MASTER!$B$4:$B$1463,"SUB ROSA",MASTER!$L$4:$L$1463,"&lt;&gt;")*$A96*100/100,0)),MASTER!$AI$4:$AI$1463,0))),NA()))))</f>
        <v>2848</v>
      </c>
      <c r="M96" s="37">
        <f>IF($B$4="RESONANCE",IFERROR(IF(INDEX(MASTER!$I$4:$I$1463,MATCH("VENGEANCE"&amp;"|"&amp;MAX(1,ROUND(COUNTIFS(MASTER!$B$4:$B$1463,"VENGEANCE",MASTER!$I$4:$I$1463,"&lt;&gt;")*$A96*100/100,0)),MASTER!$Y$4:$Y$1463,0))="",NA(),INDEX(MASTER!$I$4:$I$1463,MATCH("VENGEANCE"&amp;"|"&amp;MAX(1,ROUND(COUNTIFS(MASTER!$B$4:$B$1463,"VENGEANCE",MASTER!$I$4:$I$1463,"&lt;&gt;")*$A96*100/100,0)),MASTER!$Y$4:$Y$1463,0))),NA()),IF($B$4="COMBAT RATING",IFERROR(IF(INDEX(MASTER!$G$4:$G$1463,MATCH("VENGEANCE"&amp;"|"&amp;MAX(1,ROUND(COUNTIFS(MASTER!$B$4:$B$1463,"VENGEANCE",MASTER!$G$4:$G$1463,"&lt;&gt;")*$A96*100/100,0)),MASTER!$AH$4:$AH$1463,0))="",NA(),INDEX(MASTER!$G$4:$G$1463,MATCH("VENGEANCE"&amp;"|"&amp;MAX(1,ROUND(COUNTIFS(MASTER!$B$4:$B$1463,"VENGEANCE",MASTER!$G$4:$G$1463,"&lt;&gt;")*$A96*100/100,0)),MASTER!$AH$4:$AH$1463,0))),NA()),IF($B$4="SECONDARY",IFERROR(IF(INDEX(MASTER!$L$4:$L$1463,MATCH("VENGEANCE"&amp;"|"&amp;MAX(1,ROUND(COUNTIFS(MASTER!$B$4:$B$1463,"VENGEANCE",MASTER!$L$4:$L$1463,"&lt;&gt;")*$A96*100/100,0)),MASTER!$AI$4:$AI$1463,0))="",NA(),INDEX(MASTER!$L$4:$L$1463,MATCH("VENGEANCE"&amp;"|"&amp;MAX(1,ROUND(COUNTIFS(MASTER!$B$4:$B$1463,"VENGEANCE",MASTER!$L$4:$L$1463,"&lt;&gt;")*$A96*100/100,0)),MASTER!$AI$4:$AI$1463,0))),NA()))))</f>
        <v>3708</v>
      </c>
      <c r="N96" s="37">
        <f>IF($B$4="RESONANCE",IFERROR(IF(INDEX(MASTER!$I$4:$I$1463,MATCH("VENDETTA"&amp;"|"&amp;MAX(1,ROUND(COUNTIFS(MASTER!$B$4:$B$1463,"VENDETTA",MASTER!$I$4:$I$1463,"&lt;&gt;")*$A96*100/100,0)),MASTER!$Y$4:$Y$1463,0))="",NA(),INDEX(MASTER!$I$4:$I$1463,MATCH("VENDETTA"&amp;"|"&amp;MAX(1,ROUND(COUNTIFS(MASTER!$B$4:$B$1463,"VENDETTA",MASTER!$I$4:$I$1463,"&lt;&gt;")*$A96*100/100,0)),MASTER!$Y$4:$Y$1463,0))),NA()),IF($B$4="COMBAT RATING",IFERROR(IF(INDEX(MASTER!$G$4:$G$1463,MATCH("VENDETTA"&amp;"|"&amp;MAX(1,ROUND(COUNTIFS(MASTER!$B$4:$B$1463,"VENDETTA",MASTER!$G$4:$G$1463,"&lt;&gt;")*$A96*100/100,0)),MASTER!$AH$4:$AH$1463,0))="",NA(),INDEX(MASTER!$G$4:$G$1463,MATCH("VENDETTA"&amp;"|"&amp;MAX(1,ROUND(COUNTIFS(MASTER!$B$4:$B$1463,"VENDETTA",MASTER!$G$4:$G$1463,"&lt;&gt;")*$A96*100/100,0)),MASTER!$AH$4:$AH$1463,0))),NA()),IF($B$4="SECONDARY",IFERROR(IF(INDEX(MASTER!$L$4:$L$1463,MATCH("VENDETTA"&amp;"|"&amp;MAX(1,ROUND(COUNTIFS(MASTER!$B$4:$B$1463,"VENDETTA",MASTER!$L$4:$L$1463,"&lt;&gt;")*$A96*100/100,0)),MASTER!$AI$4:$AI$1463,0))="",NA(),INDEX(MASTER!$L$4:$L$1463,MATCH("VENDETTA"&amp;"|"&amp;MAX(1,ROUND(COUNTIFS(MASTER!$B$4:$B$1463,"VENDETTA",MASTER!$L$4:$L$1463,"&lt;&gt;")*$A96*100/100,0)),MASTER!$AI$4:$AI$1463,0))),NA()))))</f>
        <v>2257</v>
      </c>
      <c r="O96" s="37">
        <f>IF($B$4="RESONANCE",IFERROR(IF(INDEX(MASTER!$I$4:$I$1463,MATCH("ZOMBIES"&amp;"|"&amp;MAX(1,ROUND(COUNTIFS(MASTER!$B$4:$B$1463,"ZOMBIES",MASTER!$I$4:$I$1463,"&lt;&gt;")*$A96*100/100,0)),MASTER!$Y$4:$Y$1463,0))="",NA(),INDEX(MASTER!$I$4:$I$1463,MATCH("ZOMBIES"&amp;"|"&amp;MAX(1,ROUND(COUNTIFS(MASTER!$B$4:$B$1463,"ZOMBIES",MASTER!$I$4:$I$1463,"&lt;&gt;")*$A96*100/100,0)),MASTER!$Y$4:$Y$1463,0))),NA()),IF($B$4="COMBAT RATING",IFERROR(IF(INDEX(MASTER!$G$4:$G$1463,MATCH("ZOMBIES"&amp;"|"&amp;MAX(1,ROUND(COUNTIFS(MASTER!$B$4:$B$1463,"ZOMBIES",MASTER!$G$4:$G$1463,"&lt;&gt;")*$A96*100/100,0)),MASTER!$AH$4:$AH$1463,0))="",NA(),INDEX(MASTER!$G$4:$G$1463,MATCH("ZOMBIES"&amp;"|"&amp;MAX(1,ROUND(COUNTIFS(MASTER!$B$4:$B$1463,"ZOMBIES",MASTER!$G$4:$G$1463,"&lt;&gt;")*$A96*100/100,0)),MASTER!$AH$4:$AH$1463,0))),NA()),IF($B$4="SECONDARY",IFERROR(IF(INDEX(MASTER!$L$4:$L$1463,MATCH("ZOMBIES"&amp;"|"&amp;MAX(1,ROUND(COUNTIFS(MASTER!$B$4:$B$1463,"ZOMBIES",MASTER!$L$4:$L$1463,"&lt;&gt;")*$A96*100/100,0)),MASTER!$AI$4:$AI$1463,0))="",NA(),INDEX(MASTER!$L$4:$L$1463,MATCH("ZOMBIES"&amp;"|"&amp;MAX(1,ROUND(COUNTIFS(MASTER!$B$4:$B$1463,"ZOMBIES",MASTER!$L$4:$L$1463,"&lt;&gt;")*$A96*100/100,0)),MASTER!$AI$4:$AI$1463,0))),NA()))))</f>
        <v>2030</v>
      </c>
      <c r="P96" s="37">
        <f>IF($B$4="RESONANCE",IFERROR(IF(INDEX(MASTER!$I$4:$I$1463,MATCH("FUCT"&amp;"|"&amp;MAX(1,ROUND(COUNTIFS(MASTER!$B$4:$B$1463,"FUCT",MASTER!$I$4:$I$1463,"&lt;&gt;")*$A96*100/100,0)),MASTER!$Y$4:$Y$1463,0))="",NA(),INDEX(MASTER!$I$4:$I$1463,MATCH("FUCT"&amp;"|"&amp;MAX(1,ROUND(COUNTIFS(MASTER!$B$4:$B$1463,"FUCT",MASTER!$I$4:$I$1463,"&lt;&gt;")*$A96*100/100,0)),MASTER!$Y$4:$Y$1463,0))),NA()),IF($B$4="COMBAT RATING",IFERROR(IF(INDEX(MASTER!$G$4:$G$1463,MATCH("FUCT"&amp;"|"&amp;MAX(1,ROUND(COUNTIFS(MASTER!$B$4:$B$1463,"FUCT",MASTER!$G$4:$G$1463,"&lt;&gt;")*$A96*100/100,0)),MASTER!$AH$4:$AH$1463,0))="",NA(),INDEX(MASTER!$G$4:$G$1463,MATCH("FUCT"&amp;"|"&amp;MAX(1,ROUND(COUNTIFS(MASTER!$B$4:$B$1463,"FUCT",MASTER!$G$4:$G$1463,"&lt;&gt;")*$A96*100/100,0)),MASTER!$AH$4:$AH$1463,0))),NA()),IF($B$4="SECONDARY",IFERROR(IF(INDEX(MASTER!$L$4:$L$1463,MATCH("FUCT"&amp;"|"&amp;MAX(1,ROUND(COUNTIFS(MASTER!$B$4:$B$1463,"FUCT",MASTER!$L$4:$L$1463,"&lt;&gt;")*$A96*100/100,0)),MASTER!$AI$4:$AI$1463,0))="",NA(),INDEX(MASTER!$L$4:$L$1463,MATCH("FUCT"&amp;"|"&amp;MAX(1,ROUND(COUNTIFS(MASTER!$B$4:$B$1463,"FUCT",MASTER!$L$4:$L$1463,"&lt;&gt;")*$A96*100/100,0)),MASTER!$AI$4:$AI$1463,0))),NA()))))</f>
        <v>5092</v>
      </c>
      <c r="Q96" s="37">
        <f>IF($B$4="RESONANCE",IFERROR(IF(INDEX(MASTER!$I$4:$I$1463,MATCH($E$4&amp;"|"&amp;MAX(1,ROUND(COUNTIFS(MASTER!$B$4:$B$1463,$E$4,MASTER!$I$4:$I$1463,"&lt;&gt;")*$A96*100/100,0)),MASTER!$Y$4:$Y$1463,0))="",NA(),INDEX(MASTER!$I$4:$I$1463,MATCH($E$4&amp;"|"&amp;MAX(1,ROUND(COUNTIFS(MASTER!$B$4:$B$1463,$E$4,MASTER!$I$4:$I$1463,"&lt;&gt;")*$A96*100/100,0)),MASTER!$Y$4:$Y$1463,0))),NA()),IF($B$4="COMBAT RATING",IFERROR(IF(INDEX(MASTER!$G$4:$G$1463,MATCH($E$4&amp;"|"&amp;MAX(1,ROUND(COUNTIFS(MASTER!$B$4:$B$1463,$E$4,MASTER!$G$4:$G$1463,"&lt;&gt;")*$A96*100/100,0)),MASTER!$AH$4:$AH$1463,0))="",NA(),INDEX(MASTER!$G$4:$G$1463,MATCH($E$4&amp;"|"&amp;MAX(1,ROUND(COUNTIFS(MASTER!$B$4:$B$1463,$E$4,MASTER!$G$4:$G$1463,"&lt;&gt;")*$A96*100/100,0)),MASTER!$AH$4:$AH$1463,0))),NA()),IF($B$4="SECONDARY",IFERROR(IF(INDEX(MASTER!$L$4:$L$1463,MATCH($E$4&amp;"|"&amp;MAX(1,ROUND(COUNTIFS(MASTER!$B$4:$B$1463,$E$4,MASTER!$L$4:$L$1463,"&lt;&gt;")*$A96*100/100,0)),MASTER!$AI$4:$AI$1463,0))="",NA(),INDEX(MASTER!$L$4:$L$1463,MATCH($E$4&amp;"|"&amp;MAX(1,ROUND(COUNTIFS(MASTER!$B$4:$B$1463,$E$4,MASTER!$L$4:$L$1463,"&lt;&gt;")*$A96*100/100,0)),MASTER!$AI$4:$AI$1463,0))),NA()))))</f>
        <v>4389</v>
      </c>
    </row>
    <row r="97" spans="1:17" hidden="1">
      <c r="A97" s="36">
        <v>0.42</v>
      </c>
      <c r="B97" s="37">
        <f>IF($B$4="RESONANCE",IFERROR(IF(INDEX(MASTER!$I$4:$I$1463,MATCH("FUCT"&amp;"|"&amp;MAX(1,ROUND(COUNTIFS(MASTER!$B$4:$B$1463,"FUCT",MASTER!$I$4:$I$1463,"&lt;&gt;")*$A97*100/100,0)),MASTER!$Y$4:$Y$1463,0))="",NA(),INDEX(MASTER!$I$4:$I$1463,MATCH("FUCT"&amp;"|"&amp;MAX(1,ROUND(COUNTIFS(MASTER!$B$4:$B$1463,"FUCT",MASTER!$I$4:$I$1463,"&lt;&gt;")*$A97*100/100,0)),MASTER!$Y$4:$Y$1463,0))),NA()),IF($B$4="COMBAT RATING",IFERROR(IF(INDEX(MASTER!$G$4:$G$1463,MATCH("FUCT"&amp;"|"&amp;MAX(1,ROUND(COUNTIFS(MASTER!$B$4:$B$1463,"FUCT",MASTER!$G$4:$G$1463,"&lt;&gt;")*$A97*100/100,0)),MASTER!$AH$4:$AH$1463,0))="",NA(),INDEX(MASTER!$G$4:$G$1463,MATCH("FUCT"&amp;"|"&amp;MAX(1,ROUND(COUNTIFS(MASTER!$B$4:$B$1463,"FUCT",MASTER!$G$4:$G$1463,"&lt;&gt;")*$A97*100/100,0)),MASTER!$AH$4:$AH$1463,0))),NA()),IF($B$4="SECONDARY",IFERROR(IF(INDEX(MASTER!$L$4:$L$1463,MATCH("FUCT"&amp;"|"&amp;MAX(1,ROUND(COUNTIFS(MASTER!$B$4:$B$1463,"FUCT",MASTER!$L$4:$L$1463,"&lt;&gt;")*$A97*100/100,0)),MASTER!$AI$4:$AI$1463,0))="",NA(),INDEX(MASTER!$L$4:$L$1463,MATCH("FUCT"&amp;"|"&amp;MAX(1,ROUND(COUNTIFS(MASTER!$B$4:$B$1463,"FUCT",MASTER!$L$4:$L$1463,"&lt;&gt;")*$A97*100/100,0)),MASTER!$AI$4:$AI$1463,0))),NA()))))</f>
        <v>4987</v>
      </c>
      <c r="C97" s="37">
        <f>IF($B$4="RESONANCE",IFERROR(IF(INDEX(MASTER!$I$4:$I$1463,MATCH("LEGENDS"&amp;"|"&amp;MAX(1,ROUND(COUNTIFS(MASTER!$B$4:$B$1463,"LEGENDS",MASTER!$I$4:$I$1463,"&lt;&gt;")*$A97*100/100,0)),MASTER!$Y$4:$Y$1463,0))="",NA(),INDEX(MASTER!$I$4:$I$1463,MATCH("LEGENDS"&amp;"|"&amp;MAX(1,ROUND(COUNTIFS(MASTER!$B$4:$B$1463,"LEGENDS",MASTER!$I$4:$I$1463,"&lt;&gt;")*$A97*100/100,0)),MASTER!$Y$4:$Y$1463,0))),NA()),IF($B$4="COMBAT RATING",IFERROR(IF(INDEX(MASTER!$G$4:$G$1463,MATCH("LEGENDS"&amp;"|"&amp;MAX(1,ROUND(COUNTIFS(MASTER!$B$4:$B$1463,"LEGENDS",MASTER!$G$4:$G$1463,"&lt;&gt;")*$A97*100/100,0)),MASTER!$AH$4:$AH$1463,0))="",NA(),INDEX(MASTER!$G$4:$G$1463,MATCH("LEGENDS"&amp;"|"&amp;MAX(1,ROUND(COUNTIFS(MASTER!$B$4:$B$1463,"LEGENDS",MASTER!$G$4:$G$1463,"&lt;&gt;")*$A97*100/100,0)),MASTER!$AH$4:$AH$1463,0))),NA()),IF($B$4="SECONDARY",IFERROR(IF(INDEX(MASTER!$L$4:$L$1463,MATCH("LEGENDS"&amp;"|"&amp;MAX(1,ROUND(COUNTIFS(MASTER!$B$4:$B$1463,"LEGENDS",MASTER!$L$4:$L$1463,"&lt;&gt;")*$A97*100/100,0)),MASTER!$AI$4:$AI$1463,0))="",NA(),INDEX(MASTER!$L$4:$L$1463,MATCH("LEGENDS"&amp;"|"&amp;MAX(1,ROUND(COUNTIFS(MASTER!$B$4:$B$1463,"LEGENDS",MASTER!$L$4:$L$1463,"&lt;&gt;")*$A97*100/100,0)),MASTER!$AI$4:$AI$1463,0))),NA()))))</f>
        <v>5353</v>
      </c>
      <c r="D97" s="37">
        <f>IF($B$4="RESONANCE",IFERROR(IF(INDEX(MASTER!$I$4:$I$1463,MATCH("VANGUARD"&amp;"|"&amp;MAX(1,ROUND(COUNTIFS(MASTER!$B$4:$B$1463,"VANGUARD",MASTER!$I$4:$I$1463,"&lt;&gt;")*$A97*100/100,0)),MASTER!$Y$4:$Y$1463,0))="",NA(),INDEX(MASTER!$I$4:$I$1463,MATCH("VANGUARD"&amp;"|"&amp;MAX(1,ROUND(COUNTIFS(MASTER!$B$4:$B$1463,"VANGUARD",MASTER!$I$4:$I$1463,"&lt;&gt;")*$A97*100/100,0)),MASTER!$Y$4:$Y$1463,0))),NA()),IF($B$4="COMBAT RATING",IFERROR(IF(INDEX(MASTER!$G$4:$G$1463,MATCH("VANGUARD"&amp;"|"&amp;MAX(1,ROUND(COUNTIFS(MASTER!$B$4:$B$1463,"VANGUARD",MASTER!$G$4:$G$1463,"&lt;&gt;")*$A97*100/100,0)),MASTER!$AH$4:$AH$1463,0))="",NA(),INDEX(MASTER!$G$4:$G$1463,MATCH("VANGUARD"&amp;"|"&amp;MAX(1,ROUND(COUNTIFS(MASTER!$B$4:$B$1463,"VANGUARD",MASTER!$G$4:$G$1463,"&lt;&gt;")*$A97*100/100,0)),MASTER!$AH$4:$AH$1463,0))),NA()),IF($B$4="SECONDARY",IFERROR(IF(INDEX(MASTER!$L$4:$L$1463,MATCH("VANGUARD"&amp;"|"&amp;MAX(1,ROUND(COUNTIFS(MASTER!$B$4:$B$1463,"VANGUARD",MASTER!$L$4:$L$1463,"&lt;&gt;")*$A97*100/100,0)),MASTER!$AI$4:$AI$1463,0))="",NA(),INDEX(MASTER!$L$4:$L$1463,MATCH("VANGUARD"&amp;"|"&amp;MAX(1,ROUND(COUNTIFS(MASTER!$B$4:$B$1463,"VANGUARD",MASTER!$L$4:$L$1463,"&lt;&gt;")*$A97*100/100,0)),MASTER!$AI$4:$AI$1463,0))),NA()))))</f>
        <v>7373</v>
      </c>
      <c r="E97" s="37">
        <f>IF($B$4="RESONANCE",IFERROR(IF(INDEX(MASTER!$I$4:$I$1463,MATCH("UNDYING"&amp;"|"&amp;MAX(1,ROUND(COUNTIFS(MASTER!$B$4:$B$1463,"UNDYING",MASTER!$I$4:$I$1463,"&lt;&gt;")*$A97*100/100,0)),MASTER!$Y$4:$Y$1463,0))="",NA(),INDEX(MASTER!$I$4:$I$1463,MATCH("UNDYING"&amp;"|"&amp;MAX(1,ROUND(COUNTIFS(MASTER!$B$4:$B$1463,"UNDYING",MASTER!$I$4:$I$1463,"&lt;&gt;")*$A97*100/100,0)),MASTER!$Y$4:$Y$1463,0))),NA()),IF($B$4="COMBAT RATING",IFERROR(IF(INDEX(MASTER!$G$4:$G$1463,MATCH("UNDYING"&amp;"|"&amp;MAX(1,ROUND(COUNTIFS(MASTER!$B$4:$B$1463,"UNDYING",MASTER!$G$4:$G$1463,"&lt;&gt;")*$A97*100/100,0)),MASTER!$AH$4:$AH$1463,0))="",NA(),INDEX(MASTER!$G$4:$G$1463,MATCH("UNDYING"&amp;"|"&amp;MAX(1,ROUND(COUNTIFS(MASTER!$B$4:$B$1463,"UNDYING",MASTER!$G$4:$G$1463,"&lt;&gt;")*$A97*100/100,0)),MASTER!$AH$4:$AH$1463,0))),NA()),IF($B$4="SECONDARY",IFERROR(IF(INDEX(MASTER!$L$4:$L$1463,MATCH("UNDYING"&amp;"|"&amp;MAX(1,ROUND(COUNTIFS(MASTER!$B$4:$B$1463,"UNDYING",MASTER!$L$4:$L$1463,"&lt;&gt;")*$A97*100/100,0)),MASTER!$AI$4:$AI$1463,0))="",NA(),INDEX(MASTER!$L$4:$L$1463,MATCH("UNDYING"&amp;"|"&amp;MAX(1,ROUND(COUNTIFS(MASTER!$B$4:$B$1463,"UNDYING",MASTER!$L$4:$L$1463,"&lt;&gt;")*$A97*100/100,0)),MASTER!$AI$4:$AI$1463,0))),NA()))))</f>
        <v>4358</v>
      </c>
      <c r="F97" s="37">
        <f>IF($B$4="RESONANCE",IFERROR(IF(INDEX(MASTER!$I$4:$I$1463,MATCH("SBG"&amp;"|"&amp;MAX(1,ROUND(COUNTIFS(MASTER!$B$4:$B$1463,"SBG",MASTER!$I$4:$I$1463,"&lt;&gt;")*$A97*100/100,0)),MASTER!$Y$4:$Y$1463,0))="",NA(),INDEX(MASTER!$I$4:$I$1463,MATCH("SBG"&amp;"|"&amp;MAX(1,ROUND(COUNTIFS(MASTER!$B$4:$B$1463,"SBG",MASTER!$I$4:$I$1463,"&lt;&gt;")*$A97*100/100,0)),MASTER!$Y$4:$Y$1463,0))),NA()),IF($B$4="COMBAT RATING",IFERROR(IF(INDEX(MASTER!$G$4:$G$1463,MATCH("SBG"&amp;"|"&amp;MAX(1,ROUND(COUNTIFS(MASTER!$B$4:$B$1463,"SBG",MASTER!$G$4:$G$1463,"&lt;&gt;")*$A97*100/100,0)),MASTER!$AH$4:$AH$1463,0))="",NA(),INDEX(MASTER!$G$4:$G$1463,MATCH("SBG"&amp;"|"&amp;MAX(1,ROUND(COUNTIFS(MASTER!$B$4:$B$1463,"SBG",MASTER!$G$4:$G$1463,"&lt;&gt;")*$A97*100/100,0)),MASTER!$AH$4:$AH$1463,0))),NA()),IF($B$4="SECONDARY",IFERROR(IF(INDEX(MASTER!$L$4:$L$1463,MATCH("SBG"&amp;"|"&amp;MAX(1,ROUND(COUNTIFS(MASTER!$B$4:$B$1463,"SBG",MASTER!$L$4:$L$1463,"&lt;&gt;")*$A97*100/100,0)),MASTER!$AI$4:$AI$1463,0))="",NA(),INDEX(MASTER!$L$4:$L$1463,MATCH("SBG"&amp;"|"&amp;MAX(1,ROUND(COUNTIFS(MASTER!$B$4:$B$1463,"SBG",MASTER!$L$4:$L$1463,"&lt;&gt;")*$A97*100/100,0)),MASTER!$AI$4:$AI$1463,0))),NA()))))</f>
        <v>6402</v>
      </c>
      <c r="G97" s="37">
        <f>IF($B$4="RESONANCE",IFERROR(IF(INDEX(MASTER!$I$4:$I$1463,MATCH("AZUKI"&amp;"|"&amp;MAX(1,ROUND(COUNTIFS(MASTER!$B$4:$B$1463,"AZUKI",MASTER!$I$4:$I$1463,"&lt;&gt;")*$A97*100/100,0)),MASTER!$Y$4:$Y$1463,0))="",NA(),INDEX(MASTER!$I$4:$I$1463,MATCH("AZUKI"&amp;"|"&amp;MAX(1,ROUND(COUNTIFS(MASTER!$B$4:$B$1463,"AZUKI",MASTER!$I$4:$I$1463,"&lt;&gt;")*$A97*100/100,0)),MASTER!$Y$4:$Y$1463,0))),NA()),IF($B$4="COMBAT RATING",IFERROR(IF(INDEX(MASTER!$G$4:$G$1463,MATCH("AZUKI"&amp;"|"&amp;MAX(1,ROUND(COUNTIFS(MASTER!$B$4:$B$1463,"AZUKI",MASTER!$G$4:$G$1463,"&lt;&gt;")*$A97*100/100,0)),MASTER!$AH$4:$AH$1463,0))="",NA(),INDEX(MASTER!$G$4:$G$1463,MATCH("AZUKI"&amp;"|"&amp;MAX(1,ROUND(COUNTIFS(MASTER!$B$4:$B$1463,"AZUKI",MASTER!$G$4:$G$1463,"&lt;&gt;")*$A97*100/100,0)),MASTER!$AH$4:$AH$1463,0))),NA()),IF($B$4="SECONDARY",IFERROR(IF(INDEX(MASTER!$L$4:$L$1463,MATCH("AZUKI"&amp;"|"&amp;MAX(1,ROUND(COUNTIFS(MASTER!$B$4:$B$1463,"AZUKI",MASTER!$L$4:$L$1463,"&lt;&gt;")*$A97*100/100,0)),MASTER!$AI$4:$AI$1463,0))="",NA(),INDEX(MASTER!$L$4:$L$1463,MATCH("AZUKI"&amp;"|"&amp;MAX(1,ROUND(COUNTIFS(MASTER!$B$4:$B$1463,"AZUKI",MASTER!$L$4:$L$1463,"&lt;&gt;")*$A97*100/100,0)),MASTER!$AI$4:$AI$1463,0))),NA()))))</f>
        <v>5563</v>
      </c>
      <c r="H97" s="37">
        <f>IF($B$4="RESONANCE",IFERROR(IF(INDEX(MASTER!$I$4:$I$1463,MATCH("RECKONING"&amp;"|"&amp;MAX(1,ROUND(COUNTIFS(MASTER!$B$4:$B$1463,"RECKONING",MASTER!$I$4:$I$1463,"&lt;&gt;")*$A97*100/100,0)),MASTER!$Y$4:$Y$1463,0))="",NA(),INDEX(MASTER!$I$4:$I$1463,MATCH("RECKONING"&amp;"|"&amp;MAX(1,ROUND(COUNTIFS(MASTER!$B$4:$B$1463,"RECKONING",MASTER!$I$4:$I$1463,"&lt;&gt;")*$A97*100/100,0)),MASTER!$Y$4:$Y$1463,0))),NA()),IF($B$4="COMBAT RATING",IFERROR(IF(INDEX(MASTER!$G$4:$G$1463,MATCH("RECKONING"&amp;"|"&amp;MAX(1,ROUND(COUNTIFS(MASTER!$B$4:$B$1463,"RECKONING",MASTER!$G$4:$G$1463,"&lt;&gt;")*$A97*100/100,0)),MASTER!$AH$4:$AH$1463,0))="",NA(),INDEX(MASTER!$G$4:$G$1463,MATCH("RECKONING"&amp;"|"&amp;MAX(1,ROUND(COUNTIFS(MASTER!$B$4:$B$1463,"RECKONING",MASTER!$G$4:$G$1463,"&lt;&gt;")*$A97*100/100,0)),MASTER!$AH$4:$AH$1463,0))),NA()),IF($B$4="SECONDARY",IFERROR(IF(INDEX(MASTER!$L$4:$L$1463,MATCH("RECKONING"&amp;"|"&amp;MAX(1,ROUND(COUNTIFS(MASTER!$B$4:$B$1463,"RECKONING",MASTER!$L$4:$L$1463,"&lt;&gt;")*$A97*100/100,0)),MASTER!$AI$4:$AI$1463,0))="",NA(),INDEX(MASTER!$L$4:$L$1463,MATCH("RECKONING"&amp;"|"&amp;MAX(1,ROUND(COUNTIFS(MASTER!$B$4:$B$1463,"RECKONING",MASTER!$L$4:$L$1463,"&lt;&gt;")*$A97*100/100,0)),MASTER!$AI$4:$AI$1463,0))),NA()))))</f>
        <v>5362</v>
      </c>
      <c r="I97" s="37">
        <f>IF($B$4="RESONANCE",IFERROR(IF(INDEX(MASTER!$I$4:$I$1463,MATCH("ACHERON"&amp;"|"&amp;MAX(1,ROUND(COUNTIFS(MASTER!$B$4:$B$1463,"ACHERON",MASTER!$I$4:$I$1463,"&lt;&gt;")*$A97*100/100,0)),MASTER!$Y$4:$Y$1463,0))="",NA(),INDEX(MASTER!$I$4:$I$1463,MATCH("ACHERON"&amp;"|"&amp;MAX(1,ROUND(COUNTIFS(MASTER!$B$4:$B$1463,"ACHERON",MASTER!$I$4:$I$1463,"&lt;&gt;")*$A97*100/100,0)),MASTER!$Y$4:$Y$1463,0))),NA()),IF($B$4="COMBAT RATING",IFERROR(IF(INDEX(MASTER!$G$4:$G$1463,MATCH("ACHERON"&amp;"|"&amp;MAX(1,ROUND(COUNTIFS(MASTER!$B$4:$B$1463,"ACHERON",MASTER!$G$4:$G$1463,"&lt;&gt;")*$A97*100/100,0)),MASTER!$AH$4:$AH$1463,0))="",NA(),INDEX(MASTER!$G$4:$G$1463,MATCH("ACHERON"&amp;"|"&amp;MAX(1,ROUND(COUNTIFS(MASTER!$B$4:$B$1463,"ACHERON",MASTER!$G$4:$G$1463,"&lt;&gt;")*$A97*100/100,0)),MASTER!$AH$4:$AH$1463,0))),NA()),IF($B$4="SECONDARY",IFERROR(IF(INDEX(MASTER!$L$4:$L$1463,MATCH("ACHERON"&amp;"|"&amp;MAX(1,ROUND(COUNTIFS(MASTER!$B$4:$B$1463,"ACHERON",MASTER!$L$4:$L$1463,"&lt;&gt;")*$A97*100/100,0)),MASTER!$AI$4:$AI$1463,0))="",NA(),INDEX(MASTER!$L$4:$L$1463,MATCH("ACHERON"&amp;"|"&amp;MAX(1,ROUND(COUNTIFS(MASTER!$B$4:$B$1463,"ACHERON",MASTER!$L$4:$L$1463,"&lt;&gt;")*$A97*100/100,0)),MASTER!$AI$4:$AI$1463,0))),NA()))))</f>
        <v>4361</v>
      </c>
      <c r="J97" s="37">
        <f>IF($B$4="RESONANCE",IFERROR(IF(INDEX(MASTER!$I$4:$I$1463,MATCH("INVICTUS"&amp;"|"&amp;MAX(1,ROUND(COUNTIFS(MASTER!$B$4:$B$1463,"INVICTUS",MASTER!$I$4:$I$1463,"&lt;&gt;")*$A97*100/100,0)),MASTER!$Y$4:$Y$1463,0))="",NA(),INDEX(MASTER!$I$4:$I$1463,MATCH("INVICTUS"&amp;"|"&amp;MAX(1,ROUND(COUNTIFS(MASTER!$B$4:$B$1463,"INVICTUS",MASTER!$I$4:$I$1463,"&lt;&gt;")*$A97*100/100,0)),MASTER!$Y$4:$Y$1463,0))),NA()),IF($B$4="COMBAT RATING",IFERROR(IF(INDEX(MASTER!$G$4:$G$1463,MATCH("INVICTUS"&amp;"|"&amp;MAX(1,ROUND(COUNTIFS(MASTER!$B$4:$B$1463,"INVICTUS",MASTER!$G$4:$G$1463,"&lt;&gt;")*$A97*100/100,0)),MASTER!$AH$4:$AH$1463,0))="",NA(),INDEX(MASTER!$G$4:$G$1463,MATCH("INVICTUS"&amp;"|"&amp;MAX(1,ROUND(COUNTIFS(MASTER!$B$4:$B$1463,"INVICTUS",MASTER!$G$4:$G$1463,"&lt;&gt;")*$A97*100/100,0)),MASTER!$AH$4:$AH$1463,0))),NA()),IF($B$4="SECONDARY",IFERROR(IF(INDEX(MASTER!$L$4:$L$1463,MATCH("INVICTUS"&amp;"|"&amp;MAX(1,ROUND(COUNTIFS(MASTER!$B$4:$B$1463,"INVICTUS",MASTER!$L$4:$L$1463,"&lt;&gt;")*$A97*100/100,0)),MASTER!$AI$4:$AI$1463,0))="",NA(),INDEX(MASTER!$L$4:$L$1463,MATCH("INVICTUS"&amp;"|"&amp;MAX(1,ROUND(COUNTIFS(MASTER!$B$4:$B$1463,"INVICTUS",MASTER!$L$4:$L$1463,"&lt;&gt;")*$A97*100/100,0)),MASTER!$AI$4:$AI$1463,0))),NA()))))</f>
        <v>3296</v>
      </c>
      <c r="K97" s="37">
        <f>IF($B$4="RESONANCE",IFERROR(IF(INDEX(MASTER!$I$4:$I$1463,MATCH("EMERALD LEAF TRIBE"&amp;"|"&amp;MAX(1,ROUND(COUNTIFS(MASTER!$B$4:$B$1463,"EMERALD LEAF TRIBE",MASTER!$I$4:$I$1463,"&lt;&gt;")*$A97*100/100,0)),MASTER!$Y$4:$Y$1463,0))="",NA(),INDEX(MASTER!$I$4:$I$1463,MATCH("EMERALD LEAF TRIBE"&amp;"|"&amp;MAX(1,ROUND(COUNTIFS(MASTER!$B$4:$B$1463,"EMERALD LEAF TRIBE",MASTER!$I$4:$I$1463,"&lt;&gt;")*$A97*100/100,0)),MASTER!$Y$4:$Y$1463,0))),NA()),IF($B$4="COMBAT RATING",IFERROR(IF(INDEX(MASTER!$G$4:$G$1463,MATCH("EMERALD LEAF TRIBE"&amp;"|"&amp;MAX(1,ROUND(COUNTIFS(MASTER!$B$4:$B$1463,"EMERALD LEAF TRIBE",MASTER!$G$4:$G$1463,"&lt;&gt;")*$A97*100/100,0)),MASTER!$AH$4:$AH$1463,0))="",NA(),INDEX(MASTER!$G$4:$G$1463,MATCH("EMERALD LEAF TRIBE"&amp;"|"&amp;MAX(1,ROUND(COUNTIFS(MASTER!$B$4:$B$1463,"EMERALD LEAF TRIBE",MASTER!$G$4:$G$1463,"&lt;&gt;")*$A97*100/100,0)),MASTER!$AH$4:$AH$1463,0))),NA()),IF($B$4="SECONDARY",IFERROR(IF(INDEX(MASTER!$L$4:$L$1463,MATCH("EMERALD LEAF TRIBE"&amp;"|"&amp;MAX(1,ROUND(COUNTIFS(MASTER!$B$4:$B$1463,"EMERALD LEAF TRIBE",MASTER!$L$4:$L$1463,"&lt;&gt;")*$A97*100/100,0)),MASTER!$AI$4:$AI$1463,0))="",NA(),INDEX(MASTER!$L$4:$L$1463,MATCH("EMERALD LEAF TRIBE"&amp;"|"&amp;MAX(1,ROUND(COUNTIFS(MASTER!$B$4:$B$1463,"EMERALD LEAF TRIBE",MASTER!$L$4:$L$1463,"&lt;&gt;")*$A97*100/100,0)),MASTER!$AI$4:$AI$1463,0))),NA()))))</f>
        <v>2510</v>
      </c>
      <c r="L97" s="37">
        <f>IF($B$4="RESONANCE",IFERROR(IF(INDEX(MASTER!$I$4:$I$1463,MATCH("SUB ROSA"&amp;"|"&amp;MAX(1,ROUND(COUNTIFS(MASTER!$B$4:$B$1463,"SUB ROSA",MASTER!$I$4:$I$1463,"&lt;&gt;")*$A97*100/100,0)),MASTER!$Y$4:$Y$1463,0))="",NA(),INDEX(MASTER!$I$4:$I$1463,MATCH("SUB ROSA"&amp;"|"&amp;MAX(1,ROUND(COUNTIFS(MASTER!$B$4:$B$1463,"SUB ROSA",MASTER!$I$4:$I$1463,"&lt;&gt;")*$A97*100/100,0)),MASTER!$Y$4:$Y$1463,0))),NA()),IF($B$4="COMBAT RATING",IFERROR(IF(INDEX(MASTER!$G$4:$G$1463,MATCH("SUB ROSA"&amp;"|"&amp;MAX(1,ROUND(COUNTIFS(MASTER!$B$4:$B$1463,"SUB ROSA",MASTER!$G$4:$G$1463,"&lt;&gt;")*$A97*100/100,0)),MASTER!$AH$4:$AH$1463,0))="",NA(),INDEX(MASTER!$G$4:$G$1463,MATCH("SUB ROSA"&amp;"|"&amp;MAX(1,ROUND(COUNTIFS(MASTER!$B$4:$B$1463,"SUB ROSA",MASTER!$G$4:$G$1463,"&lt;&gt;")*$A97*100/100,0)),MASTER!$AH$4:$AH$1463,0))),NA()),IF($B$4="SECONDARY",IFERROR(IF(INDEX(MASTER!$L$4:$L$1463,MATCH("SUB ROSA"&amp;"|"&amp;MAX(1,ROUND(COUNTIFS(MASTER!$B$4:$B$1463,"SUB ROSA",MASTER!$L$4:$L$1463,"&lt;&gt;")*$A97*100/100,0)),MASTER!$AI$4:$AI$1463,0))="",NA(),INDEX(MASTER!$L$4:$L$1463,MATCH("SUB ROSA"&amp;"|"&amp;MAX(1,ROUND(COUNTIFS(MASTER!$B$4:$B$1463,"SUB ROSA",MASTER!$L$4:$L$1463,"&lt;&gt;")*$A97*100/100,0)),MASTER!$AI$4:$AI$1463,0))),NA()))))</f>
        <v>2722</v>
      </c>
      <c r="M97" s="37">
        <f>IF($B$4="RESONANCE",IFERROR(IF(INDEX(MASTER!$I$4:$I$1463,MATCH("VENGEANCE"&amp;"|"&amp;MAX(1,ROUND(COUNTIFS(MASTER!$B$4:$B$1463,"VENGEANCE",MASTER!$I$4:$I$1463,"&lt;&gt;")*$A97*100/100,0)),MASTER!$Y$4:$Y$1463,0))="",NA(),INDEX(MASTER!$I$4:$I$1463,MATCH("VENGEANCE"&amp;"|"&amp;MAX(1,ROUND(COUNTIFS(MASTER!$B$4:$B$1463,"VENGEANCE",MASTER!$I$4:$I$1463,"&lt;&gt;")*$A97*100/100,0)),MASTER!$Y$4:$Y$1463,0))),NA()),IF($B$4="COMBAT RATING",IFERROR(IF(INDEX(MASTER!$G$4:$G$1463,MATCH("VENGEANCE"&amp;"|"&amp;MAX(1,ROUND(COUNTIFS(MASTER!$B$4:$B$1463,"VENGEANCE",MASTER!$G$4:$G$1463,"&lt;&gt;")*$A97*100/100,0)),MASTER!$AH$4:$AH$1463,0))="",NA(),INDEX(MASTER!$G$4:$G$1463,MATCH("VENGEANCE"&amp;"|"&amp;MAX(1,ROUND(COUNTIFS(MASTER!$B$4:$B$1463,"VENGEANCE",MASTER!$G$4:$G$1463,"&lt;&gt;")*$A97*100/100,0)),MASTER!$AH$4:$AH$1463,0))),NA()),IF($B$4="SECONDARY",IFERROR(IF(INDEX(MASTER!$L$4:$L$1463,MATCH("VENGEANCE"&amp;"|"&amp;MAX(1,ROUND(COUNTIFS(MASTER!$B$4:$B$1463,"VENGEANCE",MASTER!$L$4:$L$1463,"&lt;&gt;")*$A97*100/100,0)),MASTER!$AI$4:$AI$1463,0))="",NA(),INDEX(MASTER!$L$4:$L$1463,MATCH("VENGEANCE"&amp;"|"&amp;MAX(1,ROUND(COUNTIFS(MASTER!$B$4:$B$1463,"VENGEANCE",MASTER!$L$4:$L$1463,"&lt;&gt;")*$A97*100/100,0)),MASTER!$AI$4:$AI$1463,0))),NA()))))</f>
        <v>3708</v>
      </c>
      <c r="N97" s="37">
        <f>IF($B$4="RESONANCE",IFERROR(IF(INDEX(MASTER!$I$4:$I$1463,MATCH("VENDETTA"&amp;"|"&amp;MAX(1,ROUND(COUNTIFS(MASTER!$B$4:$B$1463,"VENDETTA",MASTER!$I$4:$I$1463,"&lt;&gt;")*$A97*100/100,0)),MASTER!$Y$4:$Y$1463,0))="",NA(),INDEX(MASTER!$I$4:$I$1463,MATCH("VENDETTA"&amp;"|"&amp;MAX(1,ROUND(COUNTIFS(MASTER!$B$4:$B$1463,"VENDETTA",MASTER!$I$4:$I$1463,"&lt;&gt;")*$A97*100/100,0)),MASTER!$Y$4:$Y$1463,0))),NA()),IF($B$4="COMBAT RATING",IFERROR(IF(INDEX(MASTER!$G$4:$G$1463,MATCH("VENDETTA"&amp;"|"&amp;MAX(1,ROUND(COUNTIFS(MASTER!$B$4:$B$1463,"VENDETTA",MASTER!$G$4:$G$1463,"&lt;&gt;")*$A97*100/100,0)),MASTER!$AH$4:$AH$1463,0))="",NA(),INDEX(MASTER!$G$4:$G$1463,MATCH("VENDETTA"&amp;"|"&amp;MAX(1,ROUND(COUNTIFS(MASTER!$B$4:$B$1463,"VENDETTA",MASTER!$G$4:$G$1463,"&lt;&gt;")*$A97*100/100,0)),MASTER!$AH$4:$AH$1463,0))),NA()),IF($B$4="SECONDARY",IFERROR(IF(INDEX(MASTER!$L$4:$L$1463,MATCH("VENDETTA"&amp;"|"&amp;MAX(1,ROUND(COUNTIFS(MASTER!$B$4:$B$1463,"VENDETTA",MASTER!$L$4:$L$1463,"&lt;&gt;")*$A97*100/100,0)),MASTER!$AI$4:$AI$1463,0))="",NA(),INDEX(MASTER!$L$4:$L$1463,MATCH("VENDETTA"&amp;"|"&amp;MAX(1,ROUND(COUNTIFS(MASTER!$B$4:$B$1463,"VENDETTA",MASTER!$L$4:$L$1463,"&lt;&gt;")*$A97*100/100,0)),MASTER!$AI$4:$AI$1463,0))),NA()))))</f>
        <v>2220</v>
      </c>
      <c r="O97" s="37">
        <f>IF($B$4="RESONANCE",IFERROR(IF(INDEX(MASTER!$I$4:$I$1463,MATCH("ZOMBIES"&amp;"|"&amp;MAX(1,ROUND(COUNTIFS(MASTER!$B$4:$B$1463,"ZOMBIES",MASTER!$I$4:$I$1463,"&lt;&gt;")*$A97*100/100,0)),MASTER!$Y$4:$Y$1463,0))="",NA(),INDEX(MASTER!$I$4:$I$1463,MATCH("ZOMBIES"&amp;"|"&amp;MAX(1,ROUND(COUNTIFS(MASTER!$B$4:$B$1463,"ZOMBIES",MASTER!$I$4:$I$1463,"&lt;&gt;")*$A97*100/100,0)),MASTER!$Y$4:$Y$1463,0))),NA()),IF($B$4="COMBAT RATING",IFERROR(IF(INDEX(MASTER!$G$4:$G$1463,MATCH("ZOMBIES"&amp;"|"&amp;MAX(1,ROUND(COUNTIFS(MASTER!$B$4:$B$1463,"ZOMBIES",MASTER!$G$4:$G$1463,"&lt;&gt;")*$A97*100/100,0)),MASTER!$AH$4:$AH$1463,0))="",NA(),INDEX(MASTER!$G$4:$G$1463,MATCH("ZOMBIES"&amp;"|"&amp;MAX(1,ROUND(COUNTIFS(MASTER!$B$4:$B$1463,"ZOMBIES",MASTER!$G$4:$G$1463,"&lt;&gt;")*$A97*100/100,0)),MASTER!$AH$4:$AH$1463,0))),NA()),IF($B$4="SECONDARY",IFERROR(IF(INDEX(MASTER!$L$4:$L$1463,MATCH("ZOMBIES"&amp;"|"&amp;MAX(1,ROUND(COUNTIFS(MASTER!$B$4:$B$1463,"ZOMBIES",MASTER!$L$4:$L$1463,"&lt;&gt;")*$A97*100/100,0)),MASTER!$AI$4:$AI$1463,0))="",NA(),INDEX(MASTER!$L$4:$L$1463,MATCH("ZOMBIES"&amp;"|"&amp;MAX(1,ROUND(COUNTIFS(MASTER!$B$4:$B$1463,"ZOMBIES",MASTER!$L$4:$L$1463,"&lt;&gt;")*$A97*100/100,0)),MASTER!$AI$4:$AI$1463,0))),NA()))))</f>
        <v>2002</v>
      </c>
      <c r="P97" s="37">
        <f>IF($B$4="RESONANCE",IFERROR(IF(INDEX(MASTER!$I$4:$I$1463,MATCH("FUCT"&amp;"|"&amp;MAX(1,ROUND(COUNTIFS(MASTER!$B$4:$B$1463,"FUCT",MASTER!$I$4:$I$1463,"&lt;&gt;")*$A97*100/100,0)),MASTER!$Y$4:$Y$1463,0))="",NA(),INDEX(MASTER!$I$4:$I$1463,MATCH("FUCT"&amp;"|"&amp;MAX(1,ROUND(COUNTIFS(MASTER!$B$4:$B$1463,"FUCT",MASTER!$I$4:$I$1463,"&lt;&gt;")*$A97*100/100,0)),MASTER!$Y$4:$Y$1463,0))),NA()),IF($B$4="COMBAT RATING",IFERROR(IF(INDEX(MASTER!$G$4:$G$1463,MATCH("FUCT"&amp;"|"&amp;MAX(1,ROUND(COUNTIFS(MASTER!$B$4:$B$1463,"FUCT",MASTER!$G$4:$G$1463,"&lt;&gt;")*$A97*100/100,0)),MASTER!$AH$4:$AH$1463,0))="",NA(),INDEX(MASTER!$G$4:$G$1463,MATCH("FUCT"&amp;"|"&amp;MAX(1,ROUND(COUNTIFS(MASTER!$B$4:$B$1463,"FUCT",MASTER!$G$4:$G$1463,"&lt;&gt;")*$A97*100/100,0)),MASTER!$AH$4:$AH$1463,0))),NA()),IF($B$4="SECONDARY",IFERROR(IF(INDEX(MASTER!$L$4:$L$1463,MATCH("FUCT"&amp;"|"&amp;MAX(1,ROUND(COUNTIFS(MASTER!$B$4:$B$1463,"FUCT",MASTER!$L$4:$L$1463,"&lt;&gt;")*$A97*100/100,0)),MASTER!$AI$4:$AI$1463,0))="",NA(),INDEX(MASTER!$L$4:$L$1463,MATCH("FUCT"&amp;"|"&amp;MAX(1,ROUND(COUNTIFS(MASTER!$B$4:$B$1463,"FUCT",MASTER!$L$4:$L$1463,"&lt;&gt;")*$A97*100/100,0)),MASTER!$AI$4:$AI$1463,0))),NA()))))</f>
        <v>4987</v>
      </c>
      <c r="Q97" s="37">
        <f>IF($B$4="RESONANCE",IFERROR(IF(INDEX(MASTER!$I$4:$I$1463,MATCH($E$4&amp;"|"&amp;MAX(1,ROUND(COUNTIFS(MASTER!$B$4:$B$1463,$E$4,MASTER!$I$4:$I$1463,"&lt;&gt;")*$A97*100/100,0)),MASTER!$Y$4:$Y$1463,0))="",NA(),INDEX(MASTER!$I$4:$I$1463,MATCH($E$4&amp;"|"&amp;MAX(1,ROUND(COUNTIFS(MASTER!$B$4:$B$1463,$E$4,MASTER!$I$4:$I$1463,"&lt;&gt;")*$A97*100/100,0)),MASTER!$Y$4:$Y$1463,0))),NA()),IF($B$4="COMBAT RATING",IFERROR(IF(INDEX(MASTER!$G$4:$G$1463,MATCH($E$4&amp;"|"&amp;MAX(1,ROUND(COUNTIFS(MASTER!$B$4:$B$1463,$E$4,MASTER!$G$4:$G$1463,"&lt;&gt;")*$A97*100/100,0)),MASTER!$AH$4:$AH$1463,0))="",NA(),INDEX(MASTER!$G$4:$G$1463,MATCH($E$4&amp;"|"&amp;MAX(1,ROUND(COUNTIFS(MASTER!$B$4:$B$1463,$E$4,MASTER!$G$4:$G$1463,"&lt;&gt;")*$A97*100/100,0)),MASTER!$AH$4:$AH$1463,0))),NA()),IF($B$4="SECONDARY",IFERROR(IF(INDEX(MASTER!$L$4:$L$1463,MATCH($E$4&amp;"|"&amp;MAX(1,ROUND(COUNTIFS(MASTER!$B$4:$B$1463,$E$4,MASTER!$L$4:$L$1463,"&lt;&gt;")*$A97*100/100,0)),MASTER!$AI$4:$AI$1463,0))="",NA(),INDEX(MASTER!$L$4:$L$1463,MATCH($E$4&amp;"|"&amp;MAX(1,ROUND(COUNTIFS(MASTER!$B$4:$B$1463,$E$4,MASTER!$L$4:$L$1463,"&lt;&gt;")*$A97*100/100,0)),MASTER!$AI$4:$AI$1463,0))),NA()))))</f>
        <v>4358</v>
      </c>
    </row>
    <row r="98" spans="1:17" hidden="1">
      <c r="A98" s="36">
        <v>0.43</v>
      </c>
      <c r="B98" s="37">
        <f>IF($B$4="RESONANCE",IFERROR(IF(INDEX(MASTER!$I$4:$I$1463,MATCH("FUCT"&amp;"|"&amp;MAX(1,ROUND(COUNTIFS(MASTER!$B$4:$B$1463,"FUCT",MASTER!$I$4:$I$1463,"&lt;&gt;")*$A98*100/100,0)),MASTER!$Y$4:$Y$1463,0))="",NA(),INDEX(MASTER!$I$4:$I$1463,MATCH("FUCT"&amp;"|"&amp;MAX(1,ROUND(COUNTIFS(MASTER!$B$4:$B$1463,"FUCT",MASTER!$I$4:$I$1463,"&lt;&gt;")*$A98*100/100,0)),MASTER!$Y$4:$Y$1463,0))),NA()),IF($B$4="COMBAT RATING",IFERROR(IF(INDEX(MASTER!$G$4:$G$1463,MATCH("FUCT"&amp;"|"&amp;MAX(1,ROUND(COUNTIFS(MASTER!$B$4:$B$1463,"FUCT",MASTER!$G$4:$G$1463,"&lt;&gt;")*$A98*100/100,0)),MASTER!$AH$4:$AH$1463,0))="",NA(),INDEX(MASTER!$G$4:$G$1463,MATCH("FUCT"&amp;"|"&amp;MAX(1,ROUND(COUNTIFS(MASTER!$B$4:$B$1463,"FUCT",MASTER!$G$4:$G$1463,"&lt;&gt;")*$A98*100/100,0)),MASTER!$AH$4:$AH$1463,0))),NA()),IF($B$4="SECONDARY",IFERROR(IF(INDEX(MASTER!$L$4:$L$1463,MATCH("FUCT"&amp;"|"&amp;MAX(1,ROUND(COUNTIFS(MASTER!$B$4:$B$1463,"FUCT",MASTER!$L$4:$L$1463,"&lt;&gt;")*$A98*100/100,0)),MASTER!$AI$4:$AI$1463,0))="",NA(),INDEX(MASTER!$L$4:$L$1463,MATCH("FUCT"&amp;"|"&amp;MAX(1,ROUND(COUNTIFS(MASTER!$B$4:$B$1463,"FUCT",MASTER!$L$4:$L$1463,"&lt;&gt;")*$A98*100/100,0)),MASTER!$AI$4:$AI$1463,0))),NA()))))</f>
        <v>4973</v>
      </c>
      <c r="C98" s="37">
        <f>IF($B$4="RESONANCE",IFERROR(IF(INDEX(MASTER!$I$4:$I$1463,MATCH("LEGENDS"&amp;"|"&amp;MAX(1,ROUND(COUNTIFS(MASTER!$B$4:$B$1463,"LEGENDS",MASTER!$I$4:$I$1463,"&lt;&gt;")*$A98*100/100,0)),MASTER!$Y$4:$Y$1463,0))="",NA(),INDEX(MASTER!$I$4:$I$1463,MATCH("LEGENDS"&amp;"|"&amp;MAX(1,ROUND(COUNTIFS(MASTER!$B$4:$B$1463,"LEGENDS",MASTER!$I$4:$I$1463,"&lt;&gt;")*$A98*100/100,0)),MASTER!$Y$4:$Y$1463,0))),NA()),IF($B$4="COMBAT RATING",IFERROR(IF(INDEX(MASTER!$G$4:$G$1463,MATCH("LEGENDS"&amp;"|"&amp;MAX(1,ROUND(COUNTIFS(MASTER!$B$4:$B$1463,"LEGENDS",MASTER!$G$4:$G$1463,"&lt;&gt;")*$A98*100/100,0)),MASTER!$AH$4:$AH$1463,0))="",NA(),INDEX(MASTER!$G$4:$G$1463,MATCH("LEGENDS"&amp;"|"&amp;MAX(1,ROUND(COUNTIFS(MASTER!$B$4:$B$1463,"LEGENDS",MASTER!$G$4:$G$1463,"&lt;&gt;")*$A98*100/100,0)),MASTER!$AH$4:$AH$1463,0))),NA()),IF($B$4="SECONDARY",IFERROR(IF(INDEX(MASTER!$L$4:$L$1463,MATCH("LEGENDS"&amp;"|"&amp;MAX(1,ROUND(COUNTIFS(MASTER!$B$4:$B$1463,"LEGENDS",MASTER!$L$4:$L$1463,"&lt;&gt;")*$A98*100/100,0)),MASTER!$AI$4:$AI$1463,0))="",NA(),INDEX(MASTER!$L$4:$L$1463,MATCH("LEGENDS"&amp;"|"&amp;MAX(1,ROUND(COUNTIFS(MASTER!$B$4:$B$1463,"LEGENDS",MASTER!$L$4:$L$1463,"&lt;&gt;")*$A98*100/100,0)),MASTER!$AI$4:$AI$1463,0))),NA()))))</f>
        <v>5340</v>
      </c>
      <c r="D98" s="37">
        <f>IF($B$4="RESONANCE",IFERROR(IF(INDEX(MASTER!$I$4:$I$1463,MATCH("VANGUARD"&amp;"|"&amp;MAX(1,ROUND(COUNTIFS(MASTER!$B$4:$B$1463,"VANGUARD",MASTER!$I$4:$I$1463,"&lt;&gt;")*$A98*100/100,0)),MASTER!$Y$4:$Y$1463,0))="",NA(),INDEX(MASTER!$I$4:$I$1463,MATCH("VANGUARD"&amp;"|"&amp;MAX(1,ROUND(COUNTIFS(MASTER!$B$4:$B$1463,"VANGUARD",MASTER!$I$4:$I$1463,"&lt;&gt;")*$A98*100/100,0)),MASTER!$Y$4:$Y$1463,0))),NA()),IF($B$4="COMBAT RATING",IFERROR(IF(INDEX(MASTER!$G$4:$G$1463,MATCH("VANGUARD"&amp;"|"&amp;MAX(1,ROUND(COUNTIFS(MASTER!$B$4:$B$1463,"VANGUARD",MASTER!$G$4:$G$1463,"&lt;&gt;")*$A98*100/100,0)),MASTER!$AH$4:$AH$1463,0))="",NA(),INDEX(MASTER!$G$4:$G$1463,MATCH("VANGUARD"&amp;"|"&amp;MAX(1,ROUND(COUNTIFS(MASTER!$B$4:$B$1463,"VANGUARD",MASTER!$G$4:$G$1463,"&lt;&gt;")*$A98*100/100,0)),MASTER!$AH$4:$AH$1463,0))),NA()),IF($B$4="SECONDARY",IFERROR(IF(INDEX(MASTER!$L$4:$L$1463,MATCH("VANGUARD"&amp;"|"&amp;MAX(1,ROUND(COUNTIFS(MASTER!$B$4:$B$1463,"VANGUARD",MASTER!$L$4:$L$1463,"&lt;&gt;")*$A98*100/100,0)),MASTER!$AI$4:$AI$1463,0))="",NA(),INDEX(MASTER!$L$4:$L$1463,MATCH("VANGUARD"&amp;"|"&amp;MAX(1,ROUND(COUNTIFS(MASTER!$B$4:$B$1463,"VANGUARD",MASTER!$L$4:$L$1463,"&lt;&gt;")*$A98*100/100,0)),MASTER!$AI$4:$AI$1463,0))),NA()))))</f>
        <v>7346</v>
      </c>
      <c r="E98" s="37">
        <f>IF($B$4="RESONANCE",IFERROR(IF(INDEX(MASTER!$I$4:$I$1463,MATCH("UNDYING"&amp;"|"&amp;MAX(1,ROUND(COUNTIFS(MASTER!$B$4:$B$1463,"UNDYING",MASTER!$I$4:$I$1463,"&lt;&gt;")*$A98*100/100,0)),MASTER!$Y$4:$Y$1463,0))="",NA(),INDEX(MASTER!$I$4:$I$1463,MATCH("UNDYING"&amp;"|"&amp;MAX(1,ROUND(COUNTIFS(MASTER!$B$4:$B$1463,"UNDYING",MASTER!$I$4:$I$1463,"&lt;&gt;")*$A98*100/100,0)),MASTER!$Y$4:$Y$1463,0))),NA()),IF($B$4="COMBAT RATING",IFERROR(IF(INDEX(MASTER!$G$4:$G$1463,MATCH("UNDYING"&amp;"|"&amp;MAX(1,ROUND(COUNTIFS(MASTER!$B$4:$B$1463,"UNDYING",MASTER!$G$4:$G$1463,"&lt;&gt;")*$A98*100/100,0)),MASTER!$AH$4:$AH$1463,0))="",NA(),INDEX(MASTER!$G$4:$G$1463,MATCH("UNDYING"&amp;"|"&amp;MAX(1,ROUND(COUNTIFS(MASTER!$B$4:$B$1463,"UNDYING",MASTER!$G$4:$G$1463,"&lt;&gt;")*$A98*100/100,0)),MASTER!$AH$4:$AH$1463,0))),NA()),IF($B$4="SECONDARY",IFERROR(IF(INDEX(MASTER!$L$4:$L$1463,MATCH("UNDYING"&amp;"|"&amp;MAX(1,ROUND(COUNTIFS(MASTER!$B$4:$B$1463,"UNDYING",MASTER!$L$4:$L$1463,"&lt;&gt;")*$A98*100/100,0)),MASTER!$AI$4:$AI$1463,0))="",NA(),INDEX(MASTER!$L$4:$L$1463,MATCH("UNDYING"&amp;"|"&amp;MAX(1,ROUND(COUNTIFS(MASTER!$B$4:$B$1463,"UNDYING",MASTER!$L$4:$L$1463,"&lt;&gt;")*$A98*100/100,0)),MASTER!$AI$4:$AI$1463,0))),NA()))))</f>
        <v>4324</v>
      </c>
      <c r="F98" s="37">
        <f>IF($B$4="RESONANCE",IFERROR(IF(INDEX(MASTER!$I$4:$I$1463,MATCH("SBG"&amp;"|"&amp;MAX(1,ROUND(COUNTIFS(MASTER!$B$4:$B$1463,"SBG",MASTER!$I$4:$I$1463,"&lt;&gt;")*$A98*100/100,0)),MASTER!$Y$4:$Y$1463,0))="",NA(),INDEX(MASTER!$I$4:$I$1463,MATCH("SBG"&amp;"|"&amp;MAX(1,ROUND(COUNTIFS(MASTER!$B$4:$B$1463,"SBG",MASTER!$I$4:$I$1463,"&lt;&gt;")*$A98*100/100,0)),MASTER!$Y$4:$Y$1463,0))),NA()),IF($B$4="COMBAT RATING",IFERROR(IF(INDEX(MASTER!$G$4:$G$1463,MATCH("SBG"&amp;"|"&amp;MAX(1,ROUND(COUNTIFS(MASTER!$B$4:$B$1463,"SBG",MASTER!$G$4:$G$1463,"&lt;&gt;")*$A98*100/100,0)),MASTER!$AH$4:$AH$1463,0))="",NA(),INDEX(MASTER!$G$4:$G$1463,MATCH("SBG"&amp;"|"&amp;MAX(1,ROUND(COUNTIFS(MASTER!$B$4:$B$1463,"SBG",MASTER!$G$4:$G$1463,"&lt;&gt;")*$A98*100/100,0)),MASTER!$AH$4:$AH$1463,0))),NA()),IF($B$4="SECONDARY",IFERROR(IF(INDEX(MASTER!$L$4:$L$1463,MATCH("SBG"&amp;"|"&amp;MAX(1,ROUND(COUNTIFS(MASTER!$B$4:$B$1463,"SBG",MASTER!$L$4:$L$1463,"&lt;&gt;")*$A98*100/100,0)),MASTER!$AI$4:$AI$1463,0))="",NA(),INDEX(MASTER!$L$4:$L$1463,MATCH("SBG"&amp;"|"&amp;MAX(1,ROUND(COUNTIFS(MASTER!$B$4:$B$1463,"SBG",MASTER!$L$4:$L$1463,"&lt;&gt;")*$A98*100/100,0)),MASTER!$AI$4:$AI$1463,0))),NA()))))</f>
        <v>6146</v>
      </c>
      <c r="G98" s="37">
        <f>IF($B$4="RESONANCE",IFERROR(IF(INDEX(MASTER!$I$4:$I$1463,MATCH("AZUKI"&amp;"|"&amp;MAX(1,ROUND(COUNTIFS(MASTER!$B$4:$B$1463,"AZUKI",MASTER!$I$4:$I$1463,"&lt;&gt;")*$A98*100/100,0)),MASTER!$Y$4:$Y$1463,0))="",NA(),INDEX(MASTER!$I$4:$I$1463,MATCH("AZUKI"&amp;"|"&amp;MAX(1,ROUND(COUNTIFS(MASTER!$B$4:$B$1463,"AZUKI",MASTER!$I$4:$I$1463,"&lt;&gt;")*$A98*100/100,0)),MASTER!$Y$4:$Y$1463,0))),NA()),IF($B$4="COMBAT RATING",IFERROR(IF(INDEX(MASTER!$G$4:$G$1463,MATCH("AZUKI"&amp;"|"&amp;MAX(1,ROUND(COUNTIFS(MASTER!$B$4:$B$1463,"AZUKI",MASTER!$G$4:$G$1463,"&lt;&gt;")*$A98*100/100,0)),MASTER!$AH$4:$AH$1463,0))="",NA(),INDEX(MASTER!$G$4:$G$1463,MATCH("AZUKI"&amp;"|"&amp;MAX(1,ROUND(COUNTIFS(MASTER!$B$4:$B$1463,"AZUKI",MASTER!$G$4:$G$1463,"&lt;&gt;")*$A98*100/100,0)),MASTER!$AH$4:$AH$1463,0))),NA()),IF($B$4="SECONDARY",IFERROR(IF(INDEX(MASTER!$L$4:$L$1463,MATCH("AZUKI"&amp;"|"&amp;MAX(1,ROUND(COUNTIFS(MASTER!$B$4:$B$1463,"AZUKI",MASTER!$L$4:$L$1463,"&lt;&gt;")*$A98*100/100,0)),MASTER!$AI$4:$AI$1463,0))="",NA(),INDEX(MASTER!$L$4:$L$1463,MATCH("AZUKI"&amp;"|"&amp;MAX(1,ROUND(COUNTIFS(MASTER!$B$4:$B$1463,"AZUKI",MASTER!$L$4:$L$1463,"&lt;&gt;")*$A98*100/100,0)),MASTER!$AI$4:$AI$1463,0))),NA()))))</f>
        <v>5348</v>
      </c>
      <c r="H98" s="37">
        <f>IF($B$4="RESONANCE",IFERROR(IF(INDEX(MASTER!$I$4:$I$1463,MATCH("RECKONING"&amp;"|"&amp;MAX(1,ROUND(COUNTIFS(MASTER!$B$4:$B$1463,"RECKONING",MASTER!$I$4:$I$1463,"&lt;&gt;")*$A98*100/100,0)),MASTER!$Y$4:$Y$1463,0))="",NA(),INDEX(MASTER!$I$4:$I$1463,MATCH("RECKONING"&amp;"|"&amp;MAX(1,ROUND(COUNTIFS(MASTER!$B$4:$B$1463,"RECKONING",MASTER!$I$4:$I$1463,"&lt;&gt;")*$A98*100/100,0)),MASTER!$Y$4:$Y$1463,0))),NA()),IF($B$4="COMBAT RATING",IFERROR(IF(INDEX(MASTER!$G$4:$G$1463,MATCH("RECKONING"&amp;"|"&amp;MAX(1,ROUND(COUNTIFS(MASTER!$B$4:$B$1463,"RECKONING",MASTER!$G$4:$G$1463,"&lt;&gt;")*$A98*100/100,0)),MASTER!$AH$4:$AH$1463,0))="",NA(),INDEX(MASTER!$G$4:$G$1463,MATCH("RECKONING"&amp;"|"&amp;MAX(1,ROUND(COUNTIFS(MASTER!$B$4:$B$1463,"RECKONING",MASTER!$G$4:$G$1463,"&lt;&gt;")*$A98*100/100,0)),MASTER!$AH$4:$AH$1463,0))),NA()),IF($B$4="SECONDARY",IFERROR(IF(INDEX(MASTER!$L$4:$L$1463,MATCH("RECKONING"&amp;"|"&amp;MAX(1,ROUND(COUNTIFS(MASTER!$B$4:$B$1463,"RECKONING",MASTER!$L$4:$L$1463,"&lt;&gt;")*$A98*100/100,0)),MASTER!$AI$4:$AI$1463,0))="",NA(),INDEX(MASTER!$L$4:$L$1463,MATCH("RECKONING"&amp;"|"&amp;MAX(1,ROUND(COUNTIFS(MASTER!$B$4:$B$1463,"RECKONING",MASTER!$L$4:$L$1463,"&lt;&gt;")*$A98*100/100,0)),MASTER!$AI$4:$AI$1463,0))),NA()))))</f>
        <v>5284</v>
      </c>
      <c r="I98" s="37">
        <f>IF($B$4="RESONANCE",IFERROR(IF(INDEX(MASTER!$I$4:$I$1463,MATCH("ACHERON"&amp;"|"&amp;MAX(1,ROUND(COUNTIFS(MASTER!$B$4:$B$1463,"ACHERON",MASTER!$I$4:$I$1463,"&lt;&gt;")*$A98*100/100,0)),MASTER!$Y$4:$Y$1463,0))="",NA(),INDEX(MASTER!$I$4:$I$1463,MATCH("ACHERON"&amp;"|"&amp;MAX(1,ROUND(COUNTIFS(MASTER!$B$4:$B$1463,"ACHERON",MASTER!$I$4:$I$1463,"&lt;&gt;")*$A98*100/100,0)),MASTER!$Y$4:$Y$1463,0))),NA()),IF($B$4="COMBAT RATING",IFERROR(IF(INDEX(MASTER!$G$4:$G$1463,MATCH("ACHERON"&amp;"|"&amp;MAX(1,ROUND(COUNTIFS(MASTER!$B$4:$B$1463,"ACHERON",MASTER!$G$4:$G$1463,"&lt;&gt;")*$A98*100/100,0)),MASTER!$AH$4:$AH$1463,0))="",NA(),INDEX(MASTER!$G$4:$G$1463,MATCH("ACHERON"&amp;"|"&amp;MAX(1,ROUND(COUNTIFS(MASTER!$B$4:$B$1463,"ACHERON",MASTER!$G$4:$G$1463,"&lt;&gt;")*$A98*100/100,0)),MASTER!$AH$4:$AH$1463,0))),NA()),IF($B$4="SECONDARY",IFERROR(IF(INDEX(MASTER!$L$4:$L$1463,MATCH("ACHERON"&amp;"|"&amp;MAX(1,ROUND(COUNTIFS(MASTER!$B$4:$B$1463,"ACHERON",MASTER!$L$4:$L$1463,"&lt;&gt;")*$A98*100/100,0)),MASTER!$AI$4:$AI$1463,0))="",NA(),INDEX(MASTER!$L$4:$L$1463,MATCH("ACHERON"&amp;"|"&amp;MAX(1,ROUND(COUNTIFS(MASTER!$B$4:$B$1463,"ACHERON",MASTER!$L$4:$L$1463,"&lt;&gt;")*$A98*100/100,0)),MASTER!$AI$4:$AI$1463,0))),NA()))))</f>
        <v>4259</v>
      </c>
      <c r="J98" s="37">
        <f>IF($B$4="RESONANCE",IFERROR(IF(INDEX(MASTER!$I$4:$I$1463,MATCH("INVICTUS"&amp;"|"&amp;MAX(1,ROUND(COUNTIFS(MASTER!$B$4:$B$1463,"INVICTUS",MASTER!$I$4:$I$1463,"&lt;&gt;")*$A98*100/100,0)),MASTER!$Y$4:$Y$1463,0))="",NA(),INDEX(MASTER!$I$4:$I$1463,MATCH("INVICTUS"&amp;"|"&amp;MAX(1,ROUND(COUNTIFS(MASTER!$B$4:$B$1463,"INVICTUS",MASTER!$I$4:$I$1463,"&lt;&gt;")*$A98*100/100,0)),MASTER!$Y$4:$Y$1463,0))),NA()),IF($B$4="COMBAT RATING",IFERROR(IF(INDEX(MASTER!$G$4:$G$1463,MATCH("INVICTUS"&amp;"|"&amp;MAX(1,ROUND(COUNTIFS(MASTER!$B$4:$B$1463,"INVICTUS",MASTER!$G$4:$G$1463,"&lt;&gt;")*$A98*100/100,0)),MASTER!$AH$4:$AH$1463,0))="",NA(),INDEX(MASTER!$G$4:$G$1463,MATCH("INVICTUS"&amp;"|"&amp;MAX(1,ROUND(COUNTIFS(MASTER!$B$4:$B$1463,"INVICTUS",MASTER!$G$4:$G$1463,"&lt;&gt;")*$A98*100/100,0)),MASTER!$AH$4:$AH$1463,0))),NA()),IF($B$4="SECONDARY",IFERROR(IF(INDEX(MASTER!$L$4:$L$1463,MATCH("INVICTUS"&amp;"|"&amp;MAX(1,ROUND(COUNTIFS(MASTER!$B$4:$B$1463,"INVICTUS",MASTER!$L$4:$L$1463,"&lt;&gt;")*$A98*100/100,0)),MASTER!$AI$4:$AI$1463,0))="",NA(),INDEX(MASTER!$L$4:$L$1463,MATCH("INVICTUS"&amp;"|"&amp;MAX(1,ROUND(COUNTIFS(MASTER!$B$4:$B$1463,"INVICTUS",MASTER!$L$4:$L$1463,"&lt;&gt;")*$A98*100/100,0)),MASTER!$AI$4:$AI$1463,0))),NA()))))</f>
        <v>3291</v>
      </c>
      <c r="K98" s="37">
        <f>IF($B$4="RESONANCE",IFERROR(IF(INDEX(MASTER!$I$4:$I$1463,MATCH("EMERALD LEAF TRIBE"&amp;"|"&amp;MAX(1,ROUND(COUNTIFS(MASTER!$B$4:$B$1463,"EMERALD LEAF TRIBE",MASTER!$I$4:$I$1463,"&lt;&gt;")*$A98*100/100,0)),MASTER!$Y$4:$Y$1463,0))="",NA(),INDEX(MASTER!$I$4:$I$1463,MATCH("EMERALD LEAF TRIBE"&amp;"|"&amp;MAX(1,ROUND(COUNTIFS(MASTER!$B$4:$B$1463,"EMERALD LEAF TRIBE",MASTER!$I$4:$I$1463,"&lt;&gt;")*$A98*100/100,0)),MASTER!$Y$4:$Y$1463,0))),NA()),IF($B$4="COMBAT RATING",IFERROR(IF(INDEX(MASTER!$G$4:$G$1463,MATCH("EMERALD LEAF TRIBE"&amp;"|"&amp;MAX(1,ROUND(COUNTIFS(MASTER!$B$4:$B$1463,"EMERALD LEAF TRIBE",MASTER!$G$4:$G$1463,"&lt;&gt;")*$A98*100/100,0)),MASTER!$AH$4:$AH$1463,0))="",NA(),INDEX(MASTER!$G$4:$G$1463,MATCH("EMERALD LEAF TRIBE"&amp;"|"&amp;MAX(1,ROUND(COUNTIFS(MASTER!$B$4:$B$1463,"EMERALD LEAF TRIBE",MASTER!$G$4:$G$1463,"&lt;&gt;")*$A98*100/100,0)),MASTER!$AH$4:$AH$1463,0))),NA()),IF($B$4="SECONDARY",IFERROR(IF(INDEX(MASTER!$L$4:$L$1463,MATCH("EMERALD LEAF TRIBE"&amp;"|"&amp;MAX(1,ROUND(COUNTIFS(MASTER!$B$4:$B$1463,"EMERALD LEAF TRIBE",MASTER!$L$4:$L$1463,"&lt;&gt;")*$A98*100/100,0)),MASTER!$AI$4:$AI$1463,0))="",NA(),INDEX(MASTER!$L$4:$L$1463,MATCH("EMERALD LEAF TRIBE"&amp;"|"&amp;MAX(1,ROUND(COUNTIFS(MASTER!$B$4:$B$1463,"EMERALD LEAF TRIBE",MASTER!$L$4:$L$1463,"&lt;&gt;")*$A98*100/100,0)),MASTER!$AI$4:$AI$1463,0))),NA()))))</f>
        <v>2480</v>
      </c>
      <c r="L98" s="37">
        <f>IF($B$4="RESONANCE",IFERROR(IF(INDEX(MASTER!$I$4:$I$1463,MATCH("SUB ROSA"&amp;"|"&amp;MAX(1,ROUND(COUNTIFS(MASTER!$B$4:$B$1463,"SUB ROSA",MASTER!$I$4:$I$1463,"&lt;&gt;")*$A98*100/100,0)),MASTER!$Y$4:$Y$1463,0))="",NA(),INDEX(MASTER!$I$4:$I$1463,MATCH("SUB ROSA"&amp;"|"&amp;MAX(1,ROUND(COUNTIFS(MASTER!$B$4:$B$1463,"SUB ROSA",MASTER!$I$4:$I$1463,"&lt;&gt;")*$A98*100/100,0)),MASTER!$Y$4:$Y$1463,0))),NA()),IF($B$4="COMBAT RATING",IFERROR(IF(INDEX(MASTER!$G$4:$G$1463,MATCH("SUB ROSA"&amp;"|"&amp;MAX(1,ROUND(COUNTIFS(MASTER!$B$4:$B$1463,"SUB ROSA",MASTER!$G$4:$G$1463,"&lt;&gt;")*$A98*100/100,0)),MASTER!$AH$4:$AH$1463,0))="",NA(),INDEX(MASTER!$G$4:$G$1463,MATCH("SUB ROSA"&amp;"|"&amp;MAX(1,ROUND(COUNTIFS(MASTER!$B$4:$B$1463,"SUB ROSA",MASTER!$G$4:$G$1463,"&lt;&gt;")*$A98*100/100,0)),MASTER!$AH$4:$AH$1463,0))),NA()),IF($B$4="SECONDARY",IFERROR(IF(INDEX(MASTER!$L$4:$L$1463,MATCH("SUB ROSA"&amp;"|"&amp;MAX(1,ROUND(COUNTIFS(MASTER!$B$4:$B$1463,"SUB ROSA",MASTER!$L$4:$L$1463,"&lt;&gt;")*$A98*100/100,0)),MASTER!$AI$4:$AI$1463,0))="",NA(),INDEX(MASTER!$L$4:$L$1463,MATCH("SUB ROSA"&amp;"|"&amp;MAX(1,ROUND(COUNTIFS(MASTER!$B$4:$B$1463,"SUB ROSA",MASTER!$L$4:$L$1463,"&lt;&gt;")*$A98*100/100,0)),MASTER!$AI$4:$AI$1463,0))),NA()))))</f>
        <v>2722</v>
      </c>
      <c r="M98" s="37">
        <f>IF($B$4="RESONANCE",IFERROR(IF(INDEX(MASTER!$I$4:$I$1463,MATCH("VENGEANCE"&amp;"|"&amp;MAX(1,ROUND(COUNTIFS(MASTER!$B$4:$B$1463,"VENGEANCE",MASTER!$I$4:$I$1463,"&lt;&gt;")*$A98*100/100,0)),MASTER!$Y$4:$Y$1463,0))="",NA(),INDEX(MASTER!$I$4:$I$1463,MATCH("VENGEANCE"&amp;"|"&amp;MAX(1,ROUND(COUNTIFS(MASTER!$B$4:$B$1463,"VENGEANCE",MASTER!$I$4:$I$1463,"&lt;&gt;")*$A98*100/100,0)),MASTER!$Y$4:$Y$1463,0))),NA()),IF($B$4="COMBAT RATING",IFERROR(IF(INDEX(MASTER!$G$4:$G$1463,MATCH("VENGEANCE"&amp;"|"&amp;MAX(1,ROUND(COUNTIFS(MASTER!$B$4:$B$1463,"VENGEANCE",MASTER!$G$4:$G$1463,"&lt;&gt;")*$A98*100/100,0)),MASTER!$AH$4:$AH$1463,0))="",NA(),INDEX(MASTER!$G$4:$G$1463,MATCH("VENGEANCE"&amp;"|"&amp;MAX(1,ROUND(COUNTIFS(MASTER!$B$4:$B$1463,"VENGEANCE",MASTER!$G$4:$G$1463,"&lt;&gt;")*$A98*100/100,0)),MASTER!$AH$4:$AH$1463,0))),NA()),IF($B$4="SECONDARY",IFERROR(IF(INDEX(MASTER!$L$4:$L$1463,MATCH("VENGEANCE"&amp;"|"&amp;MAX(1,ROUND(COUNTIFS(MASTER!$B$4:$B$1463,"VENGEANCE",MASTER!$L$4:$L$1463,"&lt;&gt;")*$A98*100/100,0)),MASTER!$AI$4:$AI$1463,0))="",NA(),INDEX(MASTER!$L$4:$L$1463,MATCH("VENGEANCE"&amp;"|"&amp;MAX(1,ROUND(COUNTIFS(MASTER!$B$4:$B$1463,"VENGEANCE",MASTER!$L$4:$L$1463,"&lt;&gt;")*$A98*100/100,0)),MASTER!$AI$4:$AI$1463,0))),NA()))))</f>
        <v>3566</v>
      </c>
      <c r="N98" s="37">
        <f>IF($B$4="RESONANCE",IFERROR(IF(INDEX(MASTER!$I$4:$I$1463,MATCH("VENDETTA"&amp;"|"&amp;MAX(1,ROUND(COUNTIFS(MASTER!$B$4:$B$1463,"VENDETTA",MASTER!$I$4:$I$1463,"&lt;&gt;")*$A98*100/100,0)),MASTER!$Y$4:$Y$1463,0))="",NA(),INDEX(MASTER!$I$4:$I$1463,MATCH("VENDETTA"&amp;"|"&amp;MAX(1,ROUND(COUNTIFS(MASTER!$B$4:$B$1463,"VENDETTA",MASTER!$I$4:$I$1463,"&lt;&gt;")*$A98*100/100,0)),MASTER!$Y$4:$Y$1463,0))),NA()),IF($B$4="COMBAT RATING",IFERROR(IF(INDEX(MASTER!$G$4:$G$1463,MATCH("VENDETTA"&amp;"|"&amp;MAX(1,ROUND(COUNTIFS(MASTER!$B$4:$B$1463,"VENDETTA",MASTER!$G$4:$G$1463,"&lt;&gt;")*$A98*100/100,0)),MASTER!$AH$4:$AH$1463,0))="",NA(),INDEX(MASTER!$G$4:$G$1463,MATCH("VENDETTA"&amp;"|"&amp;MAX(1,ROUND(COUNTIFS(MASTER!$B$4:$B$1463,"VENDETTA",MASTER!$G$4:$G$1463,"&lt;&gt;")*$A98*100/100,0)),MASTER!$AH$4:$AH$1463,0))),NA()),IF($B$4="SECONDARY",IFERROR(IF(INDEX(MASTER!$L$4:$L$1463,MATCH("VENDETTA"&amp;"|"&amp;MAX(1,ROUND(COUNTIFS(MASTER!$B$4:$B$1463,"VENDETTA",MASTER!$L$4:$L$1463,"&lt;&gt;")*$A98*100/100,0)),MASTER!$AI$4:$AI$1463,0))="",NA(),INDEX(MASTER!$L$4:$L$1463,MATCH("VENDETTA"&amp;"|"&amp;MAX(1,ROUND(COUNTIFS(MASTER!$B$4:$B$1463,"VENDETTA",MASTER!$L$4:$L$1463,"&lt;&gt;")*$A98*100/100,0)),MASTER!$AI$4:$AI$1463,0))),NA()))))</f>
        <v>2157</v>
      </c>
      <c r="O98" s="37">
        <f>IF($B$4="RESONANCE",IFERROR(IF(INDEX(MASTER!$I$4:$I$1463,MATCH("ZOMBIES"&amp;"|"&amp;MAX(1,ROUND(COUNTIFS(MASTER!$B$4:$B$1463,"ZOMBIES",MASTER!$I$4:$I$1463,"&lt;&gt;")*$A98*100/100,0)),MASTER!$Y$4:$Y$1463,0))="",NA(),INDEX(MASTER!$I$4:$I$1463,MATCH("ZOMBIES"&amp;"|"&amp;MAX(1,ROUND(COUNTIFS(MASTER!$B$4:$B$1463,"ZOMBIES",MASTER!$I$4:$I$1463,"&lt;&gt;")*$A98*100/100,0)),MASTER!$Y$4:$Y$1463,0))),NA()),IF($B$4="COMBAT RATING",IFERROR(IF(INDEX(MASTER!$G$4:$G$1463,MATCH("ZOMBIES"&amp;"|"&amp;MAX(1,ROUND(COUNTIFS(MASTER!$B$4:$B$1463,"ZOMBIES",MASTER!$G$4:$G$1463,"&lt;&gt;")*$A98*100/100,0)),MASTER!$AH$4:$AH$1463,0))="",NA(),INDEX(MASTER!$G$4:$G$1463,MATCH("ZOMBIES"&amp;"|"&amp;MAX(1,ROUND(COUNTIFS(MASTER!$B$4:$B$1463,"ZOMBIES",MASTER!$G$4:$G$1463,"&lt;&gt;")*$A98*100/100,0)),MASTER!$AH$4:$AH$1463,0))),NA()),IF($B$4="SECONDARY",IFERROR(IF(INDEX(MASTER!$L$4:$L$1463,MATCH("ZOMBIES"&amp;"|"&amp;MAX(1,ROUND(COUNTIFS(MASTER!$B$4:$B$1463,"ZOMBIES",MASTER!$L$4:$L$1463,"&lt;&gt;")*$A98*100/100,0)),MASTER!$AI$4:$AI$1463,0))="",NA(),INDEX(MASTER!$L$4:$L$1463,MATCH("ZOMBIES"&amp;"|"&amp;MAX(1,ROUND(COUNTIFS(MASTER!$B$4:$B$1463,"ZOMBIES",MASTER!$L$4:$L$1463,"&lt;&gt;")*$A98*100/100,0)),MASTER!$AI$4:$AI$1463,0))),NA()))))</f>
        <v>1914</v>
      </c>
      <c r="P98" s="37">
        <f>IF($B$4="RESONANCE",IFERROR(IF(INDEX(MASTER!$I$4:$I$1463,MATCH("FUCT"&amp;"|"&amp;MAX(1,ROUND(COUNTIFS(MASTER!$B$4:$B$1463,"FUCT",MASTER!$I$4:$I$1463,"&lt;&gt;")*$A98*100/100,0)),MASTER!$Y$4:$Y$1463,0))="",NA(),INDEX(MASTER!$I$4:$I$1463,MATCH("FUCT"&amp;"|"&amp;MAX(1,ROUND(COUNTIFS(MASTER!$B$4:$B$1463,"FUCT",MASTER!$I$4:$I$1463,"&lt;&gt;")*$A98*100/100,0)),MASTER!$Y$4:$Y$1463,0))),NA()),IF($B$4="COMBAT RATING",IFERROR(IF(INDEX(MASTER!$G$4:$G$1463,MATCH("FUCT"&amp;"|"&amp;MAX(1,ROUND(COUNTIFS(MASTER!$B$4:$B$1463,"FUCT",MASTER!$G$4:$G$1463,"&lt;&gt;")*$A98*100/100,0)),MASTER!$AH$4:$AH$1463,0))="",NA(),INDEX(MASTER!$G$4:$G$1463,MATCH("FUCT"&amp;"|"&amp;MAX(1,ROUND(COUNTIFS(MASTER!$B$4:$B$1463,"FUCT",MASTER!$G$4:$G$1463,"&lt;&gt;")*$A98*100/100,0)),MASTER!$AH$4:$AH$1463,0))),NA()),IF($B$4="SECONDARY",IFERROR(IF(INDEX(MASTER!$L$4:$L$1463,MATCH("FUCT"&amp;"|"&amp;MAX(1,ROUND(COUNTIFS(MASTER!$B$4:$B$1463,"FUCT",MASTER!$L$4:$L$1463,"&lt;&gt;")*$A98*100/100,0)),MASTER!$AI$4:$AI$1463,0))="",NA(),INDEX(MASTER!$L$4:$L$1463,MATCH("FUCT"&amp;"|"&amp;MAX(1,ROUND(COUNTIFS(MASTER!$B$4:$B$1463,"FUCT",MASTER!$L$4:$L$1463,"&lt;&gt;")*$A98*100/100,0)),MASTER!$AI$4:$AI$1463,0))),NA()))))</f>
        <v>4973</v>
      </c>
      <c r="Q98" s="37">
        <f>IF($B$4="RESONANCE",IFERROR(IF(INDEX(MASTER!$I$4:$I$1463,MATCH($E$4&amp;"|"&amp;MAX(1,ROUND(COUNTIFS(MASTER!$B$4:$B$1463,$E$4,MASTER!$I$4:$I$1463,"&lt;&gt;")*$A98*100/100,0)),MASTER!$Y$4:$Y$1463,0))="",NA(),INDEX(MASTER!$I$4:$I$1463,MATCH($E$4&amp;"|"&amp;MAX(1,ROUND(COUNTIFS(MASTER!$B$4:$B$1463,$E$4,MASTER!$I$4:$I$1463,"&lt;&gt;")*$A98*100/100,0)),MASTER!$Y$4:$Y$1463,0))),NA()),IF($B$4="COMBAT RATING",IFERROR(IF(INDEX(MASTER!$G$4:$G$1463,MATCH($E$4&amp;"|"&amp;MAX(1,ROUND(COUNTIFS(MASTER!$B$4:$B$1463,$E$4,MASTER!$G$4:$G$1463,"&lt;&gt;")*$A98*100/100,0)),MASTER!$AH$4:$AH$1463,0))="",NA(),INDEX(MASTER!$G$4:$G$1463,MATCH($E$4&amp;"|"&amp;MAX(1,ROUND(COUNTIFS(MASTER!$B$4:$B$1463,$E$4,MASTER!$G$4:$G$1463,"&lt;&gt;")*$A98*100/100,0)),MASTER!$AH$4:$AH$1463,0))),NA()),IF($B$4="SECONDARY",IFERROR(IF(INDEX(MASTER!$L$4:$L$1463,MATCH($E$4&amp;"|"&amp;MAX(1,ROUND(COUNTIFS(MASTER!$B$4:$B$1463,$E$4,MASTER!$L$4:$L$1463,"&lt;&gt;")*$A98*100/100,0)),MASTER!$AI$4:$AI$1463,0))="",NA(),INDEX(MASTER!$L$4:$L$1463,MATCH($E$4&amp;"|"&amp;MAX(1,ROUND(COUNTIFS(MASTER!$B$4:$B$1463,$E$4,MASTER!$L$4:$L$1463,"&lt;&gt;")*$A98*100/100,0)),MASTER!$AI$4:$AI$1463,0))),NA()))))</f>
        <v>4324</v>
      </c>
    </row>
    <row r="99" spans="1:17" hidden="1">
      <c r="A99" s="36">
        <v>0.44</v>
      </c>
      <c r="B99" s="37">
        <f>IF($B$4="RESONANCE",IFERROR(IF(INDEX(MASTER!$I$4:$I$1463,MATCH("FUCT"&amp;"|"&amp;MAX(1,ROUND(COUNTIFS(MASTER!$B$4:$B$1463,"FUCT",MASTER!$I$4:$I$1463,"&lt;&gt;")*$A99*100/100,0)),MASTER!$Y$4:$Y$1463,0))="",NA(),INDEX(MASTER!$I$4:$I$1463,MATCH("FUCT"&amp;"|"&amp;MAX(1,ROUND(COUNTIFS(MASTER!$B$4:$B$1463,"FUCT",MASTER!$I$4:$I$1463,"&lt;&gt;")*$A99*100/100,0)),MASTER!$Y$4:$Y$1463,0))),NA()),IF($B$4="COMBAT RATING",IFERROR(IF(INDEX(MASTER!$G$4:$G$1463,MATCH("FUCT"&amp;"|"&amp;MAX(1,ROUND(COUNTIFS(MASTER!$B$4:$B$1463,"FUCT",MASTER!$G$4:$G$1463,"&lt;&gt;")*$A99*100/100,0)),MASTER!$AH$4:$AH$1463,0))="",NA(),INDEX(MASTER!$G$4:$G$1463,MATCH("FUCT"&amp;"|"&amp;MAX(1,ROUND(COUNTIFS(MASTER!$B$4:$B$1463,"FUCT",MASTER!$G$4:$G$1463,"&lt;&gt;")*$A99*100/100,0)),MASTER!$AH$4:$AH$1463,0))),NA()),IF($B$4="SECONDARY",IFERROR(IF(INDEX(MASTER!$L$4:$L$1463,MATCH("FUCT"&amp;"|"&amp;MAX(1,ROUND(COUNTIFS(MASTER!$B$4:$B$1463,"FUCT",MASTER!$L$4:$L$1463,"&lt;&gt;")*$A99*100/100,0)),MASTER!$AI$4:$AI$1463,0))="",NA(),INDEX(MASTER!$L$4:$L$1463,MATCH("FUCT"&amp;"|"&amp;MAX(1,ROUND(COUNTIFS(MASTER!$B$4:$B$1463,"FUCT",MASTER!$L$4:$L$1463,"&lt;&gt;")*$A99*100/100,0)),MASTER!$AI$4:$AI$1463,0))),NA()))))</f>
        <v>4820</v>
      </c>
      <c r="C99" s="37">
        <f>IF($B$4="RESONANCE",IFERROR(IF(INDEX(MASTER!$I$4:$I$1463,MATCH("LEGENDS"&amp;"|"&amp;MAX(1,ROUND(COUNTIFS(MASTER!$B$4:$B$1463,"LEGENDS",MASTER!$I$4:$I$1463,"&lt;&gt;")*$A99*100/100,0)),MASTER!$Y$4:$Y$1463,0))="",NA(),INDEX(MASTER!$I$4:$I$1463,MATCH("LEGENDS"&amp;"|"&amp;MAX(1,ROUND(COUNTIFS(MASTER!$B$4:$B$1463,"LEGENDS",MASTER!$I$4:$I$1463,"&lt;&gt;")*$A99*100/100,0)),MASTER!$Y$4:$Y$1463,0))),NA()),IF($B$4="COMBAT RATING",IFERROR(IF(INDEX(MASTER!$G$4:$G$1463,MATCH("LEGENDS"&amp;"|"&amp;MAX(1,ROUND(COUNTIFS(MASTER!$B$4:$B$1463,"LEGENDS",MASTER!$G$4:$G$1463,"&lt;&gt;")*$A99*100/100,0)),MASTER!$AH$4:$AH$1463,0))="",NA(),INDEX(MASTER!$G$4:$G$1463,MATCH("LEGENDS"&amp;"|"&amp;MAX(1,ROUND(COUNTIFS(MASTER!$B$4:$B$1463,"LEGENDS",MASTER!$G$4:$G$1463,"&lt;&gt;")*$A99*100/100,0)),MASTER!$AH$4:$AH$1463,0))),NA()),IF($B$4="SECONDARY",IFERROR(IF(INDEX(MASTER!$L$4:$L$1463,MATCH("LEGENDS"&amp;"|"&amp;MAX(1,ROUND(COUNTIFS(MASTER!$B$4:$B$1463,"LEGENDS",MASTER!$L$4:$L$1463,"&lt;&gt;")*$A99*100/100,0)),MASTER!$AI$4:$AI$1463,0))="",NA(),INDEX(MASTER!$L$4:$L$1463,MATCH("LEGENDS"&amp;"|"&amp;MAX(1,ROUND(COUNTIFS(MASTER!$B$4:$B$1463,"LEGENDS",MASTER!$L$4:$L$1463,"&lt;&gt;")*$A99*100/100,0)),MASTER!$AI$4:$AI$1463,0))),NA()))))</f>
        <v>5340</v>
      </c>
      <c r="D99" s="37">
        <f>IF($B$4="RESONANCE",IFERROR(IF(INDEX(MASTER!$I$4:$I$1463,MATCH("VANGUARD"&amp;"|"&amp;MAX(1,ROUND(COUNTIFS(MASTER!$B$4:$B$1463,"VANGUARD",MASTER!$I$4:$I$1463,"&lt;&gt;")*$A99*100/100,0)),MASTER!$Y$4:$Y$1463,0))="",NA(),INDEX(MASTER!$I$4:$I$1463,MATCH("VANGUARD"&amp;"|"&amp;MAX(1,ROUND(COUNTIFS(MASTER!$B$4:$B$1463,"VANGUARD",MASTER!$I$4:$I$1463,"&lt;&gt;")*$A99*100/100,0)),MASTER!$Y$4:$Y$1463,0))),NA()),IF($B$4="COMBAT RATING",IFERROR(IF(INDEX(MASTER!$G$4:$G$1463,MATCH("VANGUARD"&amp;"|"&amp;MAX(1,ROUND(COUNTIFS(MASTER!$B$4:$B$1463,"VANGUARD",MASTER!$G$4:$G$1463,"&lt;&gt;")*$A99*100/100,0)),MASTER!$AH$4:$AH$1463,0))="",NA(),INDEX(MASTER!$G$4:$G$1463,MATCH("VANGUARD"&amp;"|"&amp;MAX(1,ROUND(COUNTIFS(MASTER!$B$4:$B$1463,"VANGUARD",MASTER!$G$4:$G$1463,"&lt;&gt;")*$A99*100/100,0)),MASTER!$AH$4:$AH$1463,0))),NA()),IF($B$4="SECONDARY",IFERROR(IF(INDEX(MASTER!$L$4:$L$1463,MATCH("VANGUARD"&amp;"|"&amp;MAX(1,ROUND(COUNTIFS(MASTER!$B$4:$B$1463,"VANGUARD",MASTER!$L$4:$L$1463,"&lt;&gt;")*$A99*100/100,0)),MASTER!$AI$4:$AI$1463,0))="",NA(),INDEX(MASTER!$L$4:$L$1463,MATCH("VANGUARD"&amp;"|"&amp;MAX(1,ROUND(COUNTIFS(MASTER!$B$4:$B$1463,"VANGUARD",MASTER!$L$4:$L$1463,"&lt;&gt;")*$A99*100/100,0)),MASTER!$AI$4:$AI$1463,0))),NA()))))</f>
        <v>7281</v>
      </c>
      <c r="E99" s="37">
        <f>IF($B$4="RESONANCE",IFERROR(IF(INDEX(MASTER!$I$4:$I$1463,MATCH("UNDYING"&amp;"|"&amp;MAX(1,ROUND(COUNTIFS(MASTER!$B$4:$B$1463,"UNDYING",MASTER!$I$4:$I$1463,"&lt;&gt;")*$A99*100/100,0)),MASTER!$Y$4:$Y$1463,0))="",NA(),INDEX(MASTER!$I$4:$I$1463,MATCH("UNDYING"&amp;"|"&amp;MAX(1,ROUND(COUNTIFS(MASTER!$B$4:$B$1463,"UNDYING",MASTER!$I$4:$I$1463,"&lt;&gt;")*$A99*100/100,0)),MASTER!$Y$4:$Y$1463,0))),NA()),IF($B$4="COMBAT RATING",IFERROR(IF(INDEX(MASTER!$G$4:$G$1463,MATCH("UNDYING"&amp;"|"&amp;MAX(1,ROUND(COUNTIFS(MASTER!$B$4:$B$1463,"UNDYING",MASTER!$G$4:$G$1463,"&lt;&gt;")*$A99*100/100,0)),MASTER!$AH$4:$AH$1463,0))="",NA(),INDEX(MASTER!$G$4:$G$1463,MATCH("UNDYING"&amp;"|"&amp;MAX(1,ROUND(COUNTIFS(MASTER!$B$4:$B$1463,"UNDYING",MASTER!$G$4:$G$1463,"&lt;&gt;")*$A99*100/100,0)),MASTER!$AH$4:$AH$1463,0))),NA()),IF($B$4="SECONDARY",IFERROR(IF(INDEX(MASTER!$L$4:$L$1463,MATCH("UNDYING"&amp;"|"&amp;MAX(1,ROUND(COUNTIFS(MASTER!$B$4:$B$1463,"UNDYING",MASTER!$L$4:$L$1463,"&lt;&gt;")*$A99*100/100,0)),MASTER!$AI$4:$AI$1463,0))="",NA(),INDEX(MASTER!$L$4:$L$1463,MATCH("UNDYING"&amp;"|"&amp;MAX(1,ROUND(COUNTIFS(MASTER!$B$4:$B$1463,"UNDYING",MASTER!$L$4:$L$1463,"&lt;&gt;")*$A99*100/100,0)),MASTER!$AI$4:$AI$1463,0))),NA()))))</f>
        <v>4319</v>
      </c>
      <c r="F99" s="37">
        <f>IF($B$4="RESONANCE",IFERROR(IF(INDEX(MASTER!$I$4:$I$1463,MATCH("SBG"&amp;"|"&amp;MAX(1,ROUND(COUNTIFS(MASTER!$B$4:$B$1463,"SBG",MASTER!$I$4:$I$1463,"&lt;&gt;")*$A99*100/100,0)),MASTER!$Y$4:$Y$1463,0))="",NA(),INDEX(MASTER!$I$4:$I$1463,MATCH("SBG"&amp;"|"&amp;MAX(1,ROUND(COUNTIFS(MASTER!$B$4:$B$1463,"SBG",MASTER!$I$4:$I$1463,"&lt;&gt;")*$A99*100/100,0)),MASTER!$Y$4:$Y$1463,0))),NA()),IF($B$4="COMBAT RATING",IFERROR(IF(INDEX(MASTER!$G$4:$G$1463,MATCH("SBG"&amp;"|"&amp;MAX(1,ROUND(COUNTIFS(MASTER!$B$4:$B$1463,"SBG",MASTER!$G$4:$G$1463,"&lt;&gt;")*$A99*100/100,0)),MASTER!$AH$4:$AH$1463,0))="",NA(),INDEX(MASTER!$G$4:$G$1463,MATCH("SBG"&amp;"|"&amp;MAX(1,ROUND(COUNTIFS(MASTER!$B$4:$B$1463,"SBG",MASTER!$G$4:$G$1463,"&lt;&gt;")*$A99*100/100,0)),MASTER!$AH$4:$AH$1463,0))),NA()),IF($B$4="SECONDARY",IFERROR(IF(INDEX(MASTER!$L$4:$L$1463,MATCH("SBG"&amp;"|"&amp;MAX(1,ROUND(COUNTIFS(MASTER!$B$4:$B$1463,"SBG",MASTER!$L$4:$L$1463,"&lt;&gt;")*$A99*100/100,0)),MASTER!$AI$4:$AI$1463,0))="",NA(),INDEX(MASTER!$L$4:$L$1463,MATCH("SBG"&amp;"|"&amp;MAX(1,ROUND(COUNTIFS(MASTER!$B$4:$B$1463,"SBG",MASTER!$L$4:$L$1463,"&lt;&gt;")*$A99*100/100,0)),MASTER!$AI$4:$AI$1463,0))),NA()))))</f>
        <v>6144</v>
      </c>
      <c r="G99" s="37">
        <f>IF($B$4="RESONANCE",IFERROR(IF(INDEX(MASTER!$I$4:$I$1463,MATCH("AZUKI"&amp;"|"&amp;MAX(1,ROUND(COUNTIFS(MASTER!$B$4:$B$1463,"AZUKI",MASTER!$I$4:$I$1463,"&lt;&gt;")*$A99*100/100,0)),MASTER!$Y$4:$Y$1463,0))="",NA(),INDEX(MASTER!$I$4:$I$1463,MATCH("AZUKI"&amp;"|"&amp;MAX(1,ROUND(COUNTIFS(MASTER!$B$4:$B$1463,"AZUKI",MASTER!$I$4:$I$1463,"&lt;&gt;")*$A99*100/100,0)),MASTER!$Y$4:$Y$1463,0))),NA()),IF($B$4="COMBAT RATING",IFERROR(IF(INDEX(MASTER!$G$4:$G$1463,MATCH("AZUKI"&amp;"|"&amp;MAX(1,ROUND(COUNTIFS(MASTER!$B$4:$B$1463,"AZUKI",MASTER!$G$4:$G$1463,"&lt;&gt;")*$A99*100/100,0)),MASTER!$AH$4:$AH$1463,0))="",NA(),INDEX(MASTER!$G$4:$G$1463,MATCH("AZUKI"&amp;"|"&amp;MAX(1,ROUND(COUNTIFS(MASTER!$B$4:$B$1463,"AZUKI",MASTER!$G$4:$G$1463,"&lt;&gt;")*$A99*100/100,0)),MASTER!$AH$4:$AH$1463,0))),NA()),IF($B$4="SECONDARY",IFERROR(IF(INDEX(MASTER!$L$4:$L$1463,MATCH("AZUKI"&amp;"|"&amp;MAX(1,ROUND(COUNTIFS(MASTER!$B$4:$B$1463,"AZUKI",MASTER!$L$4:$L$1463,"&lt;&gt;")*$A99*100/100,0)),MASTER!$AI$4:$AI$1463,0))="",NA(),INDEX(MASTER!$L$4:$L$1463,MATCH("AZUKI"&amp;"|"&amp;MAX(1,ROUND(COUNTIFS(MASTER!$B$4:$B$1463,"AZUKI",MASTER!$L$4:$L$1463,"&lt;&gt;")*$A99*100/100,0)),MASTER!$AI$4:$AI$1463,0))),NA()))))</f>
        <v>5258</v>
      </c>
      <c r="H99" s="37">
        <f>IF($B$4="RESONANCE",IFERROR(IF(INDEX(MASTER!$I$4:$I$1463,MATCH("RECKONING"&amp;"|"&amp;MAX(1,ROUND(COUNTIFS(MASTER!$B$4:$B$1463,"RECKONING",MASTER!$I$4:$I$1463,"&lt;&gt;")*$A99*100/100,0)),MASTER!$Y$4:$Y$1463,0))="",NA(),INDEX(MASTER!$I$4:$I$1463,MATCH("RECKONING"&amp;"|"&amp;MAX(1,ROUND(COUNTIFS(MASTER!$B$4:$B$1463,"RECKONING",MASTER!$I$4:$I$1463,"&lt;&gt;")*$A99*100/100,0)),MASTER!$Y$4:$Y$1463,0))),NA()),IF($B$4="COMBAT RATING",IFERROR(IF(INDEX(MASTER!$G$4:$G$1463,MATCH("RECKONING"&amp;"|"&amp;MAX(1,ROUND(COUNTIFS(MASTER!$B$4:$B$1463,"RECKONING",MASTER!$G$4:$G$1463,"&lt;&gt;")*$A99*100/100,0)),MASTER!$AH$4:$AH$1463,0))="",NA(),INDEX(MASTER!$G$4:$G$1463,MATCH("RECKONING"&amp;"|"&amp;MAX(1,ROUND(COUNTIFS(MASTER!$B$4:$B$1463,"RECKONING",MASTER!$G$4:$G$1463,"&lt;&gt;")*$A99*100/100,0)),MASTER!$AH$4:$AH$1463,0))),NA()),IF($B$4="SECONDARY",IFERROR(IF(INDEX(MASTER!$L$4:$L$1463,MATCH("RECKONING"&amp;"|"&amp;MAX(1,ROUND(COUNTIFS(MASTER!$B$4:$B$1463,"RECKONING",MASTER!$L$4:$L$1463,"&lt;&gt;")*$A99*100/100,0)),MASTER!$AI$4:$AI$1463,0))="",NA(),INDEX(MASTER!$L$4:$L$1463,MATCH("RECKONING"&amp;"|"&amp;MAX(1,ROUND(COUNTIFS(MASTER!$B$4:$B$1463,"RECKONING",MASTER!$L$4:$L$1463,"&lt;&gt;")*$A99*100/100,0)),MASTER!$AI$4:$AI$1463,0))),NA()))))</f>
        <v>5260</v>
      </c>
      <c r="I99" s="37">
        <f>IF($B$4="RESONANCE",IFERROR(IF(INDEX(MASTER!$I$4:$I$1463,MATCH("ACHERON"&amp;"|"&amp;MAX(1,ROUND(COUNTIFS(MASTER!$B$4:$B$1463,"ACHERON",MASTER!$I$4:$I$1463,"&lt;&gt;")*$A99*100/100,0)),MASTER!$Y$4:$Y$1463,0))="",NA(),INDEX(MASTER!$I$4:$I$1463,MATCH("ACHERON"&amp;"|"&amp;MAX(1,ROUND(COUNTIFS(MASTER!$B$4:$B$1463,"ACHERON",MASTER!$I$4:$I$1463,"&lt;&gt;")*$A99*100/100,0)),MASTER!$Y$4:$Y$1463,0))),NA()),IF($B$4="COMBAT RATING",IFERROR(IF(INDEX(MASTER!$G$4:$G$1463,MATCH("ACHERON"&amp;"|"&amp;MAX(1,ROUND(COUNTIFS(MASTER!$B$4:$B$1463,"ACHERON",MASTER!$G$4:$G$1463,"&lt;&gt;")*$A99*100/100,0)),MASTER!$AH$4:$AH$1463,0))="",NA(),INDEX(MASTER!$G$4:$G$1463,MATCH("ACHERON"&amp;"|"&amp;MAX(1,ROUND(COUNTIFS(MASTER!$B$4:$B$1463,"ACHERON",MASTER!$G$4:$G$1463,"&lt;&gt;")*$A99*100/100,0)),MASTER!$AH$4:$AH$1463,0))),NA()),IF($B$4="SECONDARY",IFERROR(IF(INDEX(MASTER!$L$4:$L$1463,MATCH("ACHERON"&amp;"|"&amp;MAX(1,ROUND(COUNTIFS(MASTER!$B$4:$B$1463,"ACHERON",MASTER!$L$4:$L$1463,"&lt;&gt;")*$A99*100/100,0)),MASTER!$AI$4:$AI$1463,0))="",NA(),INDEX(MASTER!$L$4:$L$1463,MATCH("ACHERON"&amp;"|"&amp;MAX(1,ROUND(COUNTIFS(MASTER!$B$4:$B$1463,"ACHERON",MASTER!$L$4:$L$1463,"&lt;&gt;")*$A99*100/100,0)),MASTER!$AI$4:$AI$1463,0))),NA()))))</f>
        <v>4217</v>
      </c>
      <c r="J99" s="37">
        <f>IF($B$4="RESONANCE",IFERROR(IF(INDEX(MASTER!$I$4:$I$1463,MATCH("INVICTUS"&amp;"|"&amp;MAX(1,ROUND(COUNTIFS(MASTER!$B$4:$B$1463,"INVICTUS",MASTER!$I$4:$I$1463,"&lt;&gt;")*$A99*100/100,0)),MASTER!$Y$4:$Y$1463,0))="",NA(),INDEX(MASTER!$I$4:$I$1463,MATCH("INVICTUS"&amp;"|"&amp;MAX(1,ROUND(COUNTIFS(MASTER!$B$4:$B$1463,"INVICTUS",MASTER!$I$4:$I$1463,"&lt;&gt;")*$A99*100/100,0)),MASTER!$Y$4:$Y$1463,0))),NA()),IF($B$4="COMBAT RATING",IFERROR(IF(INDEX(MASTER!$G$4:$G$1463,MATCH("INVICTUS"&amp;"|"&amp;MAX(1,ROUND(COUNTIFS(MASTER!$B$4:$B$1463,"INVICTUS",MASTER!$G$4:$G$1463,"&lt;&gt;")*$A99*100/100,0)),MASTER!$AH$4:$AH$1463,0))="",NA(),INDEX(MASTER!$G$4:$G$1463,MATCH("INVICTUS"&amp;"|"&amp;MAX(1,ROUND(COUNTIFS(MASTER!$B$4:$B$1463,"INVICTUS",MASTER!$G$4:$G$1463,"&lt;&gt;")*$A99*100/100,0)),MASTER!$AH$4:$AH$1463,0))),NA()),IF($B$4="SECONDARY",IFERROR(IF(INDEX(MASTER!$L$4:$L$1463,MATCH("INVICTUS"&amp;"|"&amp;MAX(1,ROUND(COUNTIFS(MASTER!$B$4:$B$1463,"INVICTUS",MASTER!$L$4:$L$1463,"&lt;&gt;")*$A99*100/100,0)),MASTER!$AI$4:$AI$1463,0))="",NA(),INDEX(MASTER!$L$4:$L$1463,MATCH("INVICTUS"&amp;"|"&amp;MAX(1,ROUND(COUNTIFS(MASTER!$B$4:$B$1463,"INVICTUS",MASTER!$L$4:$L$1463,"&lt;&gt;")*$A99*100/100,0)),MASTER!$AI$4:$AI$1463,0))),NA()))))</f>
        <v>3288</v>
      </c>
      <c r="K99" s="37">
        <f>IF($B$4="RESONANCE",IFERROR(IF(INDEX(MASTER!$I$4:$I$1463,MATCH("EMERALD LEAF TRIBE"&amp;"|"&amp;MAX(1,ROUND(COUNTIFS(MASTER!$B$4:$B$1463,"EMERALD LEAF TRIBE",MASTER!$I$4:$I$1463,"&lt;&gt;")*$A99*100/100,0)),MASTER!$Y$4:$Y$1463,0))="",NA(),INDEX(MASTER!$I$4:$I$1463,MATCH("EMERALD LEAF TRIBE"&amp;"|"&amp;MAX(1,ROUND(COUNTIFS(MASTER!$B$4:$B$1463,"EMERALD LEAF TRIBE",MASTER!$I$4:$I$1463,"&lt;&gt;")*$A99*100/100,0)),MASTER!$Y$4:$Y$1463,0))),NA()),IF($B$4="COMBAT RATING",IFERROR(IF(INDEX(MASTER!$G$4:$G$1463,MATCH("EMERALD LEAF TRIBE"&amp;"|"&amp;MAX(1,ROUND(COUNTIFS(MASTER!$B$4:$B$1463,"EMERALD LEAF TRIBE",MASTER!$G$4:$G$1463,"&lt;&gt;")*$A99*100/100,0)),MASTER!$AH$4:$AH$1463,0))="",NA(),INDEX(MASTER!$G$4:$G$1463,MATCH("EMERALD LEAF TRIBE"&amp;"|"&amp;MAX(1,ROUND(COUNTIFS(MASTER!$B$4:$B$1463,"EMERALD LEAF TRIBE",MASTER!$G$4:$G$1463,"&lt;&gt;")*$A99*100/100,0)),MASTER!$AH$4:$AH$1463,0))),NA()),IF($B$4="SECONDARY",IFERROR(IF(INDEX(MASTER!$L$4:$L$1463,MATCH("EMERALD LEAF TRIBE"&amp;"|"&amp;MAX(1,ROUND(COUNTIFS(MASTER!$B$4:$B$1463,"EMERALD LEAF TRIBE",MASTER!$L$4:$L$1463,"&lt;&gt;")*$A99*100/100,0)),MASTER!$AI$4:$AI$1463,0))="",NA(),INDEX(MASTER!$L$4:$L$1463,MATCH("EMERALD LEAF TRIBE"&amp;"|"&amp;MAX(1,ROUND(COUNTIFS(MASTER!$B$4:$B$1463,"EMERALD LEAF TRIBE",MASTER!$L$4:$L$1463,"&lt;&gt;")*$A99*100/100,0)),MASTER!$AI$4:$AI$1463,0))),NA()))))</f>
        <v>2478</v>
      </c>
      <c r="L99" s="37">
        <f>IF($B$4="RESONANCE",IFERROR(IF(INDEX(MASTER!$I$4:$I$1463,MATCH("SUB ROSA"&amp;"|"&amp;MAX(1,ROUND(COUNTIFS(MASTER!$B$4:$B$1463,"SUB ROSA",MASTER!$I$4:$I$1463,"&lt;&gt;")*$A99*100/100,0)),MASTER!$Y$4:$Y$1463,0))="",NA(),INDEX(MASTER!$I$4:$I$1463,MATCH("SUB ROSA"&amp;"|"&amp;MAX(1,ROUND(COUNTIFS(MASTER!$B$4:$B$1463,"SUB ROSA",MASTER!$I$4:$I$1463,"&lt;&gt;")*$A99*100/100,0)),MASTER!$Y$4:$Y$1463,0))),NA()),IF($B$4="COMBAT RATING",IFERROR(IF(INDEX(MASTER!$G$4:$G$1463,MATCH("SUB ROSA"&amp;"|"&amp;MAX(1,ROUND(COUNTIFS(MASTER!$B$4:$B$1463,"SUB ROSA",MASTER!$G$4:$G$1463,"&lt;&gt;")*$A99*100/100,0)),MASTER!$AH$4:$AH$1463,0))="",NA(),INDEX(MASTER!$G$4:$G$1463,MATCH("SUB ROSA"&amp;"|"&amp;MAX(1,ROUND(COUNTIFS(MASTER!$B$4:$B$1463,"SUB ROSA",MASTER!$G$4:$G$1463,"&lt;&gt;")*$A99*100/100,0)),MASTER!$AH$4:$AH$1463,0))),NA()),IF($B$4="SECONDARY",IFERROR(IF(INDEX(MASTER!$L$4:$L$1463,MATCH("SUB ROSA"&amp;"|"&amp;MAX(1,ROUND(COUNTIFS(MASTER!$B$4:$B$1463,"SUB ROSA",MASTER!$L$4:$L$1463,"&lt;&gt;")*$A99*100/100,0)),MASTER!$AI$4:$AI$1463,0))="",NA(),INDEX(MASTER!$L$4:$L$1463,MATCH("SUB ROSA"&amp;"|"&amp;MAX(1,ROUND(COUNTIFS(MASTER!$B$4:$B$1463,"SUB ROSA",MASTER!$L$4:$L$1463,"&lt;&gt;")*$A99*100/100,0)),MASTER!$AI$4:$AI$1463,0))),NA()))))</f>
        <v>2710</v>
      </c>
      <c r="M99" s="37">
        <f>IF($B$4="RESONANCE",IFERROR(IF(INDEX(MASTER!$I$4:$I$1463,MATCH("VENGEANCE"&amp;"|"&amp;MAX(1,ROUND(COUNTIFS(MASTER!$B$4:$B$1463,"VENGEANCE",MASTER!$I$4:$I$1463,"&lt;&gt;")*$A99*100/100,0)),MASTER!$Y$4:$Y$1463,0))="",NA(),INDEX(MASTER!$I$4:$I$1463,MATCH("VENGEANCE"&amp;"|"&amp;MAX(1,ROUND(COUNTIFS(MASTER!$B$4:$B$1463,"VENGEANCE",MASTER!$I$4:$I$1463,"&lt;&gt;")*$A99*100/100,0)),MASTER!$Y$4:$Y$1463,0))),NA()),IF($B$4="COMBAT RATING",IFERROR(IF(INDEX(MASTER!$G$4:$G$1463,MATCH("VENGEANCE"&amp;"|"&amp;MAX(1,ROUND(COUNTIFS(MASTER!$B$4:$B$1463,"VENGEANCE",MASTER!$G$4:$G$1463,"&lt;&gt;")*$A99*100/100,0)),MASTER!$AH$4:$AH$1463,0))="",NA(),INDEX(MASTER!$G$4:$G$1463,MATCH("VENGEANCE"&amp;"|"&amp;MAX(1,ROUND(COUNTIFS(MASTER!$B$4:$B$1463,"VENGEANCE",MASTER!$G$4:$G$1463,"&lt;&gt;")*$A99*100/100,0)),MASTER!$AH$4:$AH$1463,0))),NA()),IF($B$4="SECONDARY",IFERROR(IF(INDEX(MASTER!$L$4:$L$1463,MATCH("VENGEANCE"&amp;"|"&amp;MAX(1,ROUND(COUNTIFS(MASTER!$B$4:$B$1463,"VENGEANCE",MASTER!$L$4:$L$1463,"&lt;&gt;")*$A99*100/100,0)),MASTER!$AI$4:$AI$1463,0))="",NA(),INDEX(MASTER!$L$4:$L$1463,MATCH("VENGEANCE"&amp;"|"&amp;MAX(1,ROUND(COUNTIFS(MASTER!$B$4:$B$1463,"VENGEANCE",MASTER!$L$4:$L$1463,"&lt;&gt;")*$A99*100/100,0)),MASTER!$AI$4:$AI$1463,0))),NA()))))</f>
        <v>3542</v>
      </c>
      <c r="N99" s="37">
        <f>IF($B$4="RESONANCE",IFERROR(IF(INDEX(MASTER!$I$4:$I$1463,MATCH("VENDETTA"&amp;"|"&amp;MAX(1,ROUND(COUNTIFS(MASTER!$B$4:$B$1463,"VENDETTA",MASTER!$I$4:$I$1463,"&lt;&gt;")*$A99*100/100,0)),MASTER!$Y$4:$Y$1463,0))="",NA(),INDEX(MASTER!$I$4:$I$1463,MATCH("VENDETTA"&amp;"|"&amp;MAX(1,ROUND(COUNTIFS(MASTER!$B$4:$B$1463,"VENDETTA",MASTER!$I$4:$I$1463,"&lt;&gt;")*$A99*100/100,0)),MASTER!$Y$4:$Y$1463,0))),NA()),IF($B$4="COMBAT RATING",IFERROR(IF(INDEX(MASTER!$G$4:$G$1463,MATCH("VENDETTA"&amp;"|"&amp;MAX(1,ROUND(COUNTIFS(MASTER!$B$4:$B$1463,"VENDETTA",MASTER!$G$4:$G$1463,"&lt;&gt;")*$A99*100/100,0)),MASTER!$AH$4:$AH$1463,0))="",NA(),INDEX(MASTER!$G$4:$G$1463,MATCH("VENDETTA"&amp;"|"&amp;MAX(1,ROUND(COUNTIFS(MASTER!$B$4:$B$1463,"VENDETTA",MASTER!$G$4:$G$1463,"&lt;&gt;")*$A99*100/100,0)),MASTER!$AH$4:$AH$1463,0))),NA()),IF($B$4="SECONDARY",IFERROR(IF(INDEX(MASTER!$L$4:$L$1463,MATCH("VENDETTA"&amp;"|"&amp;MAX(1,ROUND(COUNTIFS(MASTER!$B$4:$B$1463,"VENDETTA",MASTER!$L$4:$L$1463,"&lt;&gt;")*$A99*100/100,0)),MASTER!$AI$4:$AI$1463,0))="",NA(),INDEX(MASTER!$L$4:$L$1463,MATCH("VENDETTA"&amp;"|"&amp;MAX(1,ROUND(COUNTIFS(MASTER!$B$4:$B$1463,"VENDETTA",MASTER!$L$4:$L$1463,"&lt;&gt;")*$A99*100/100,0)),MASTER!$AI$4:$AI$1463,0))),NA()))))</f>
        <v>2122</v>
      </c>
      <c r="O99" s="37">
        <f>IF($B$4="RESONANCE",IFERROR(IF(INDEX(MASTER!$I$4:$I$1463,MATCH("ZOMBIES"&amp;"|"&amp;MAX(1,ROUND(COUNTIFS(MASTER!$B$4:$B$1463,"ZOMBIES",MASTER!$I$4:$I$1463,"&lt;&gt;")*$A99*100/100,0)),MASTER!$Y$4:$Y$1463,0))="",NA(),INDEX(MASTER!$I$4:$I$1463,MATCH("ZOMBIES"&amp;"|"&amp;MAX(1,ROUND(COUNTIFS(MASTER!$B$4:$B$1463,"ZOMBIES",MASTER!$I$4:$I$1463,"&lt;&gt;")*$A99*100/100,0)),MASTER!$Y$4:$Y$1463,0))),NA()),IF($B$4="COMBAT RATING",IFERROR(IF(INDEX(MASTER!$G$4:$G$1463,MATCH("ZOMBIES"&amp;"|"&amp;MAX(1,ROUND(COUNTIFS(MASTER!$B$4:$B$1463,"ZOMBIES",MASTER!$G$4:$G$1463,"&lt;&gt;")*$A99*100/100,0)),MASTER!$AH$4:$AH$1463,0))="",NA(),INDEX(MASTER!$G$4:$G$1463,MATCH("ZOMBIES"&amp;"|"&amp;MAX(1,ROUND(COUNTIFS(MASTER!$B$4:$B$1463,"ZOMBIES",MASTER!$G$4:$G$1463,"&lt;&gt;")*$A99*100/100,0)),MASTER!$AH$4:$AH$1463,0))),NA()),IF($B$4="SECONDARY",IFERROR(IF(INDEX(MASTER!$L$4:$L$1463,MATCH("ZOMBIES"&amp;"|"&amp;MAX(1,ROUND(COUNTIFS(MASTER!$B$4:$B$1463,"ZOMBIES",MASTER!$L$4:$L$1463,"&lt;&gt;")*$A99*100/100,0)),MASTER!$AI$4:$AI$1463,0))="",NA(),INDEX(MASTER!$L$4:$L$1463,MATCH("ZOMBIES"&amp;"|"&amp;MAX(1,ROUND(COUNTIFS(MASTER!$B$4:$B$1463,"ZOMBIES",MASTER!$L$4:$L$1463,"&lt;&gt;")*$A99*100/100,0)),MASTER!$AI$4:$AI$1463,0))),NA()))))</f>
        <v>1908</v>
      </c>
      <c r="P99" s="37">
        <f>IF($B$4="RESONANCE",IFERROR(IF(INDEX(MASTER!$I$4:$I$1463,MATCH("FUCT"&amp;"|"&amp;MAX(1,ROUND(COUNTIFS(MASTER!$B$4:$B$1463,"FUCT",MASTER!$I$4:$I$1463,"&lt;&gt;")*$A99*100/100,0)),MASTER!$Y$4:$Y$1463,0))="",NA(),INDEX(MASTER!$I$4:$I$1463,MATCH("FUCT"&amp;"|"&amp;MAX(1,ROUND(COUNTIFS(MASTER!$B$4:$B$1463,"FUCT",MASTER!$I$4:$I$1463,"&lt;&gt;")*$A99*100/100,0)),MASTER!$Y$4:$Y$1463,0))),NA()),IF($B$4="COMBAT RATING",IFERROR(IF(INDEX(MASTER!$G$4:$G$1463,MATCH("FUCT"&amp;"|"&amp;MAX(1,ROUND(COUNTIFS(MASTER!$B$4:$B$1463,"FUCT",MASTER!$G$4:$G$1463,"&lt;&gt;")*$A99*100/100,0)),MASTER!$AH$4:$AH$1463,0))="",NA(),INDEX(MASTER!$G$4:$G$1463,MATCH("FUCT"&amp;"|"&amp;MAX(1,ROUND(COUNTIFS(MASTER!$B$4:$B$1463,"FUCT",MASTER!$G$4:$G$1463,"&lt;&gt;")*$A99*100/100,0)),MASTER!$AH$4:$AH$1463,0))),NA()),IF($B$4="SECONDARY",IFERROR(IF(INDEX(MASTER!$L$4:$L$1463,MATCH("FUCT"&amp;"|"&amp;MAX(1,ROUND(COUNTIFS(MASTER!$B$4:$B$1463,"FUCT",MASTER!$L$4:$L$1463,"&lt;&gt;")*$A99*100/100,0)),MASTER!$AI$4:$AI$1463,0))="",NA(),INDEX(MASTER!$L$4:$L$1463,MATCH("FUCT"&amp;"|"&amp;MAX(1,ROUND(COUNTIFS(MASTER!$B$4:$B$1463,"FUCT",MASTER!$L$4:$L$1463,"&lt;&gt;")*$A99*100/100,0)),MASTER!$AI$4:$AI$1463,0))),NA()))))</f>
        <v>4820</v>
      </c>
      <c r="Q99" s="37">
        <f>IF($B$4="RESONANCE",IFERROR(IF(INDEX(MASTER!$I$4:$I$1463,MATCH($E$4&amp;"|"&amp;MAX(1,ROUND(COUNTIFS(MASTER!$B$4:$B$1463,$E$4,MASTER!$I$4:$I$1463,"&lt;&gt;")*$A99*100/100,0)),MASTER!$Y$4:$Y$1463,0))="",NA(),INDEX(MASTER!$I$4:$I$1463,MATCH($E$4&amp;"|"&amp;MAX(1,ROUND(COUNTIFS(MASTER!$B$4:$B$1463,$E$4,MASTER!$I$4:$I$1463,"&lt;&gt;")*$A99*100/100,0)),MASTER!$Y$4:$Y$1463,0))),NA()),IF($B$4="COMBAT RATING",IFERROR(IF(INDEX(MASTER!$G$4:$G$1463,MATCH($E$4&amp;"|"&amp;MAX(1,ROUND(COUNTIFS(MASTER!$B$4:$B$1463,$E$4,MASTER!$G$4:$G$1463,"&lt;&gt;")*$A99*100/100,0)),MASTER!$AH$4:$AH$1463,0))="",NA(),INDEX(MASTER!$G$4:$G$1463,MATCH($E$4&amp;"|"&amp;MAX(1,ROUND(COUNTIFS(MASTER!$B$4:$B$1463,$E$4,MASTER!$G$4:$G$1463,"&lt;&gt;")*$A99*100/100,0)),MASTER!$AH$4:$AH$1463,0))),NA()),IF($B$4="SECONDARY",IFERROR(IF(INDEX(MASTER!$L$4:$L$1463,MATCH($E$4&amp;"|"&amp;MAX(1,ROUND(COUNTIFS(MASTER!$B$4:$B$1463,$E$4,MASTER!$L$4:$L$1463,"&lt;&gt;")*$A99*100/100,0)),MASTER!$AI$4:$AI$1463,0))="",NA(),INDEX(MASTER!$L$4:$L$1463,MATCH($E$4&amp;"|"&amp;MAX(1,ROUND(COUNTIFS(MASTER!$B$4:$B$1463,$E$4,MASTER!$L$4:$L$1463,"&lt;&gt;")*$A99*100/100,0)),MASTER!$AI$4:$AI$1463,0))),NA()))))</f>
        <v>4319</v>
      </c>
    </row>
    <row r="100" spans="1:17" hidden="1">
      <c r="A100" s="36">
        <v>0.45</v>
      </c>
      <c r="B100" s="37">
        <f>IF($B$4="RESONANCE",IFERROR(IF(INDEX(MASTER!$I$4:$I$1463,MATCH("FUCT"&amp;"|"&amp;MAX(1,ROUND(COUNTIFS(MASTER!$B$4:$B$1463,"FUCT",MASTER!$I$4:$I$1463,"&lt;&gt;")*$A100*100/100,0)),MASTER!$Y$4:$Y$1463,0))="",NA(),INDEX(MASTER!$I$4:$I$1463,MATCH("FUCT"&amp;"|"&amp;MAX(1,ROUND(COUNTIFS(MASTER!$B$4:$B$1463,"FUCT",MASTER!$I$4:$I$1463,"&lt;&gt;")*$A100*100/100,0)),MASTER!$Y$4:$Y$1463,0))),NA()),IF($B$4="COMBAT RATING",IFERROR(IF(INDEX(MASTER!$G$4:$G$1463,MATCH("FUCT"&amp;"|"&amp;MAX(1,ROUND(COUNTIFS(MASTER!$B$4:$B$1463,"FUCT",MASTER!$G$4:$G$1463,"&lt;&gt;")*$A100*100/100,0)),MASTER!$AH$4:$AH$1463,0))="",NA(),INDEX(MASTER!$G$4:$G$1463,MATCH("FUCT"&amp;"|"&amp;MAX(1,ROUND(COUNTIFS(MASTER!$B$4:$B$1463,"FUCT",MASTER!$G$4:$G$1463,"&lt;&gt;")*$A100*100/100,0)),MASTER!$AH$4:$AH$1463,0))),NA()),IF($B$4="SECONDARY",IFERROR(IF(INDEX(MASTER!$L$4:$L$1463,MATCH("FUCT"&amp;"|"&amp;MAX(1,ROUND(COUNTIFS(MASTER!$B$4:$B$1463,"FUCT",MASTER!$L$4:$L$1463,"&lt;&gt;")*$A100*100/100,0)),MASTER!$AI$4:$AI$1463,0))="",NA(),INDEX(MASTER!$L$4:$L$1463,MATCH("FUCT"&amp;"|"&amp;MAX(1,ROUND(COUNTIFS(MASTER!$B$4:$B$1463,"FUCT",MASTER!$L$4:$L$1463,"&lt;&gt;")*$A100*100/100,0)),MASTER!$AI$4:$AI$1463,0))),NA()))))</f>
        <v>4733</v>
      </c>
      <c r="C100" s="37">
        <f>IF($B$4="RESONANCE",IFERROR(IF(INDEX(MASTER!$I$4:$I$1463,MATCH("LEGENDS"&amp;"|"&amp;MAX(1,ROUND(COUNTIFS(MASTER!$B$4:$B$1463,"LEGENDS",MASTER!$I$4:$I$1463,"&lt;&gt;")*$A100*100/100,0)),MASTER!$Y$4:$Y$1463,0))="",NA(),INDEX(MASTER!$I$4:$I$1463,MATCH("LEGENDS"&amp;"|"&amp;MAX(1,ROUND(COUNTIFS(MASTER!$B$4:$B$1463,"LEGENDS",MASTER!$I$4:$I$1463,"&lt;&gt;")*$A100*100/100,0)),MASTER!$Y$4:$Y$1463,0))),NA()),IF($B$4="COMBAT RATING",IFERROR(IF(INDEX(MASTER!$G$4:$G$1463,MATCH("LEGENDS"&amp;"|"&amp;MAX(1,ROUND(COUNTIFS(MASTER!$B$4:$B$1463,"LEGENDS",MASTER!$G$4:$G$1463,"&lt;&gt;")*$A100*100/100,0)),MASTER!$AH$4:$AH$1463,0))="",NA(),INDEX(MASTER!$G$4:$G$1463,MATCH("LEGENDS"&amp;"|"&amp;MAX(1,ROUND(COUNTIFS(MASTER!$B$4:$B$1463,"LEGENDS",MASTER!$G$4:$G$1463,"&lt;&gt;")*$A100*100/100,0)),MASTER!$AH$4:$AH$1463,0))),NA()),IF($B$4="SECONDARY",IFERROR(IF(INDEX(MASTER!$L$4:$L$1463,MATCH("LEGENDS"&amp;"|"&amp;MAX(1,ROUND(COUNTIFS(MASTER!$B$4:$B$1463,"LEGENDS",MASTER!$L$4:$L$1463,"&lt;&gt;")*$A100*100/100,0)),MASTER!$AI$4:$AI$1463,0))="",NA(),INDEX(MASTER!$L$4:$L$1463,MATCH("LEGENDS"&amp;"|"&amp;MAX(1,ROUND(COUNTIFS(MASTER!$B$4:$B$1463,"LEGENDS",MASTER!$L$4:$L$1463,"&lt;&gt;")*$A100*100/100,0)),MASTER!$AI$4:$AI$1463,0))),NA()))))</f>
        <v>5314</v>
      </c>
      <c r="D100" s="37">
        <f>IF($B$4="RESONANCE",IFERROR(IF(INDEX(MASTER!$I$4:$I$1463,MATCH("VANGUARD"&amp;"|"&amp;MAX(1,ROUND(COUNTIFS(MASTER!$B$4:$B$1463,"VANGUARD",MASTER!$I$4:$I$1463,"&lt;&gt;")*$A100*100/100,0)),MASTER!$Y$4:$Y$1463,0))="",NA(),INDEX(MASTER!$I$4:$I$1463,MATCH("VANGUARD"&amp;"|"&amp;MAX(1,ROUND(COUNTIFS(MASTER!$B$4:$B$1463,"VANGUARD",MASTER!$I$4:$I$1463,"&lt;&gt;")*$A100*100/100,0)),MASTER!$Y$4:$Y$1463,0))),NA()),IF($B$4="COMBAT RATING",IFERROR(IF(INDEX(MASTER!$G$4:$G$1463,MATCH("VANGUARD"&amp;"|"&amp;MAX(1,ROUND(COUNTIFS(MASTER!$B$4:$B$1463,"VANGUARD",MASTER!$G$4:$G$1463,"&lt;&gt;")*$A100*100/100,0)),MASTER!$AH$4:$AH$1463,0))="",NA(),INDEX(MASTER!$G$4:$G$1463,MATCH("VANGUARD"&amp;"|"&amp;MAX(1,ROUND(COUNTIFS(MASTER!$B$4:$B$1463,"VANGUARD",MASTER!$G$4:$G$1463,"&lt;&gt;")*$A100*100/100,0)),MASTER!$AH$4:$AH$1463,0))),NA()),IF($B$4="SECONDARY",IFERROR(IF(INDEX(MASTER!$L$4:$L$1463,MATCH("VANGUARD"&amp;"|"&amp;MAX(1,ROUND(COUNTIFS(MASTER!$B$4:$B$1463,"VANGUARD",MASTER!$L$4:$L$1463,"&lt;&gt;")*$A100*100/100,0)),MASTER!$AI$4:$AI$1463,0))="",NA(),INDEX(MASTER!$L$4:$L$1463,MATCH("VANGUARD"&amp;"|"&amp;MAX(1,ROUND(COUNTIFS(MASTER!$B$4:$B$1463,"VANGUARD",MASTER!$L$4:$L$1463,"&lt;&gt;")*$A100*100/100,0)),MASTER!$AI$4:$AI$1463,0))),NA()))))</f>
        <v>7229</v>
      </c>
      <c r="E100" s="37">
        <f>IF($B$4="RESONANCE",IFERROR(IF(INDEX(MASTER!$I$4:$I$1463,MATCH("UNDYING"&amp;"|"&amp;MAX(1,ROUND(COUNTIFS(MASTER!$B$4:$B$1463,"UNDYING",MASTER!$I$4:$I$1463,"&lt;&gt;")*$A100*100/100,0)),MASTER!$Y$4:$Y$1463,0))="",NA(),INDEX(MASTER!$I$4:$I$1463,MATCH("UNDYING"&amp;"|"&amp;MAX(1,ROUND(COUNTIFS(MASTER!$B$4:$B$1463,"UNDYING",MASTER!$I$4:$I$1463,"&lt;&gt;")*$A100*100/100,0)),MASTER!$Y$4:$Y$1463,0))),NA()),IF($B$4="COMBAT RATING",IFERROR(IF(INDEX(MASTER!$G$4:$G$1463,MATCH("UNDYING"&amp;"|"&amp;MAX(1,ROUND(COUNTIFS(MASTER!$B$4:$B$1463,"UNDYING",MASTER!$G$4:$G$1463,"&lt;&gt;")*$A100*100/100,0)),MASTER!$AH$4:$AH$1463,0))="",NA(),INDEX(MASTER!$G$4:$G$1463,MATCH("UNDYING"&amp;"|"&amp;MAX(1,ROUND(COUNTIFS(MASTER!$B$4:$B$1463,"UNDYING",MASTER!$G$4:$G$1463,"&lt;&gt;")*$A100*100/100,0)),MASTER!$AH$4:$AH$1463,0))),NA()),IF($B$4="SECONDARY",IFERROR(IF(INDEX(MASTER!$L$4:$L$1463,MATCH("UNDYING"&amp;"|"&amp;MAX(1,ROUND(COUNTIFS(MASTER!$B$4:$B$1463,"UNDYING",MASTER!$L$4:$L$1463,"&lt;&gt;")*$A100*100/100,0)),MASTER!$AI$4:$AI$1463,0))="",NA(),INDEX(MASTER!$L$4:$L$1463,MATCH("UNDYING"&amp;"|"&amp;MAX(1,ROUND(COUNTIFS(MASTER!$B$4:$B$1463,"UNDYING",MASTER!$L$4:$L$1463,"&lt;&gt;")*$A100*100/100,0)),MASTER!$AI$4:$AI$1463,0))),NA()))))</f>
        <v>4297</v>
      </c>
      <c r="F100" s="37">
        <f>IF($B$4="RESONANCE",IFERROR(IF(INDEX(MASTER!$I$4:$I$1463,MATCH("SBG"&amp;"|"&amp;MAX(1,ROUND(COUNTIFS(MASTER!$B$4:$B$1463,"SBG",MASTER!$I$4:$I$1463,"&lt;&gt;")*$A100*100/100,0)),MASTER!$Y$4:$Y$1463,0))="",NA(),INDEX(MASTER!$I$4:$I$1463,MATCH("SBG"&amp;"|"&amp;MAX(1,ROUND(COUNTIFS(MASTER!$B$4:$B$1463,"SBG",MASTER!$I$4:$I$1463,"&lt;&gt;")*$A100*100/100,0)),MASTER!$Y$4:$Y$1463,0))),NA()),IF($B$4="COMBAT RATING",IFERROR(IF(INDEX(MASTER!$G$4:$G$1463,MATCH("SBG"&amp;"|"&amp;MAX(1,ROUND(COUNTIFS(MASTER!$B$4:$B$1463,"SBG",MASTER!$G$4:$G$1463,"&lt;&gt;")*$A100*100/100,0)),MASTER!$AH$4:$AH$1463,0))="",NA(),INDEX(MASTER!$G$4:$G$1463,MATCH("SBG"&amp;"|"&amp;MAX(1,ROUND(COUNTIFS(MASTER!$B$4:$B$1463,"SBG",MASTER!$G$4:$G$1463,"&lt;&gt;")*$A100*100/100,0)),MASTER!$AH$4:$AH$1463,0))),NA()),IF($B$4="SECONDARY",IFERROR(IF(INDEX(MASTER!$L$4:$L$1463,MATCH("SBG"&amp;"|"&amp;MAX(1,ROUND(COUNTIFS(MASTER!$B$4:$B$1463,"SBG",MASTER!$L$4:$L$1463,"&lt;&gt;")*$A100*100/100,0)),MASTER!$AI$4:$AI$1463,0))="",NA(),INDEX(MASTER!$L$4:$L$1463,MATCH("SBG"&amp;"|"&amp;MAX(1,ROUND(COUNTIFS(MASTER!$B$4:$B$1463,"SBG",MASTER!$L$4:$L$1463,"&lt;&gt;")*$A100*100/100,0)),MASTER!$AI$4:$AI$1463,0))),NA()))))</f>
        <v>6114</v>
      </c>
      <c r="G100" s="37">
        <f>IF($B$4="RESONANCE",IFERROR(IF(INDEX(MASTER!$I$4:$I$1463,MATCH("AZUKI"&amp;"|"&amp;MAX(1,ROUND(COUNTIFS(MASTER!$B$4:$B$1463,"AZUKI",MASTER!$I$4:$I$1463,"&lt;&gt;")*$A100*100/100,0)),MASTER!$Y$4:$Y$1463,0))="",NA(),INDEX(MASTER!$I$4:$I$1463,MATCH("AZUKI"&amp;"|"&amp;MAX(1,ROUND(COUNTIFS(MASTER!$B$4:$B$1463,"AZUKI",MASTER!$I$4:$I$1463,"&lt;&gt;")*$A100*100/100,0)),MASTER!$Y$4:$Y$1463,0))),NA()),IF($B$4="COMBAT RATING",IFERROR(IF(INDEX(MASTER!$G$4:$G$1463,MATCH("AZUKI"&amp;"|"&amp;MAX(1,ROUND(COUNTIFS(MASTER!$B$4:$B$1463,"AZUKI",MASTER!$G$4:$G$1463,"&lt;&gt;")*$A100*100/100,0)),MASTER!$AH$4:$AH$1463,0))="",NA(),INDEX(MASTER!$G$4:$G$1463,MATCH("AZUKI"&amp;"|"&amp;MAX(1,ROUND(COUNTIFS(MASTER!$B$4:$B$1463,"AZUKI",MASTER!$G$4:$G$1463,"&lt;&gt;")*$A100*100/100,0)),MASTER!$AH$4:$AH$1463,0))),NA()),IF($B$4="SECONDARY",IFERROR(IF(INDEX(MASTER!$L$4:$L$1463,MATCH("AZUKI"&amp;"|"&amp;MAX(1,ROUND(COUNTIFS(MASTER!$B$4:$B$1463,"AZUKI",MASTER!$L$4:$L$1463,"&lt;&gt;")*$A100*100/100,0)),MASTER!$AI$4:$AI$1463,0))="",NA(),INDEX(MASTER!$L$4:$L$1463,MATCH("AZUKI"&amp;"|"&amp;MAX(1,ROUND(COUNTIFS(MASTER!$B$4:$B$1463,"AZUKI",MASTER!$L$4:$L$1463,"&lt;&gt;")*$A100*100/100,0)),MASTER!$AI$4:$AI$1463,0))),NA()))))</f>
        <v>5230</v>
      </c>
      <c r="H100" s="37">
        <f>IF($B$4="RESONANCE",IFERROR(IF(INDEX(MASTER!$I$4:$I$1463,MATCH("RECKONING"&amp;"|"&amp;MAX(1,ROUND(COUNTIFS(MASTER!$B$4:$B$1463,"RECKONING",MASTER!$I$4:$I$1463,"&lt;&gt;")*$A100*100/100,0)),MASTER!$Y$4:$Y$1463,0))="",NA(),INDEX(MASTER!$I$4:$I$1463,MATCH("RECKONING"&amp;"|"&amp;MAX(1,ROUND(COUNTIFS(MASTER!$B$4:$B$1463,"RECKONING",MASTER!$I$4:$I$1463,"&lt;&gt;")*$A100*100/100,0)),MASTER!$Y$4:$Y$1463,0))),NA()),IF($B$4="COMBAT RATING",IFERROR(IF(INDEX(MASTER!$G$4:$G$1463,MATCH("RECKONING"&amp;"|"&amp;MAX(1,ROUND(COUNTIFS(MASTER!$B$4:$B$1463,"RECKONING",MASTER!$G$4:$G$1463,"&lt;&gt;")*$A100*100/100,0)),MASTER!$AH$4:$AH$1463,0))="",NA(),INDEX(MASTER!$G$4:$G$1463,MATCH("RECKONING"&amp;"|"&amp;MAX(1,ROUND(COUNTIFS(MASTER!$B$4:$B$1463,"RECKONING",MASTER!$G$4:$G$1463,"&lt;&gt;")*$A100*100/100,0)),MASTER!$AH$4:$AH$1463,0))),NA()),IF($B$4="SECONDARY",IFERROR(IF(INDEX(MASTER!$L$4:$L$1463,MATCH("RECKONING"&amp;"|"&amp;MAX(1,ROUND(COUNTIFS(MASTER!$B$4:$B$1463,"RECKONING",MASTER!$L$4:$L$1463,"&lt;&gt;")*$A100*100/100,0)),MASTER!$AI$4:$AI$1463,0))="",NA(),INDEX(MASTER!$L$4:$L$1463,MATCH("RECKONING"&amp;"|"&amp;MAX(1,ROUND(COUNTIFS(MASTER!$B$4:$B$1463,"RECKONING",MASTER!$L$4:$L$1463,"&lt;&gt;")*$A100*100/100,0)),MASTER!$AI$4:$AI$1463,0))),NA()))))</f>
        <v>5244</v>
      </c>
      <c r="I100" s="37">
        <f>IF($B$4="RESONANCE",IFERROR(IF(INDEX(MASTER!$I$4:$I$1463,MATCH("ACHERON"&amp;"|"&amp;MAX(1,ROUND(COUNTIFS(MASTER!$B$4:$B$1463,"ACHERON",MASTER!$I$4:$I$1463,"&lt;&gt;")*$A100*100/100,0)),MASTER!$Y$4:$Y$1463,0))="",NA(),INDEX(MASTER!$I$4:$I$1463,MATCH("ACHERON"&amp;"|"&amp;MAX(1,ROUND(COUNTIFS(MASTER!$B$4:$B$1463,"ACHERON",MASTER!$I$4:$I$1463,"&lt;&gt;")*$A100*100/100,0)),MASTER!$Y$4:$Y$1463,0))),NA()),IF($B$4="COMBAT RATING",IFERROR(IF(INDEX(MASTER!$G$4:$G$1463,MATCH("ACHERON"&amp;"|"&amp;MAX(1,ROUND(COUNTIFS(MASTER!$B$4:$B$1463,"ACHERON",MASTER!$G$4:$G$1463,"&lt;&gt;")*$A100*100/100,0)),MASTER!$AH$4:$AH$1463,0))="",NA(),INDEX(MASTER!$G$4:$G$1463,MATCH("ACHERON"&amp;"|"&amp;MAX(1,ROUND(COUNTIFS(MASTER!$B$4:$B$1463,"ACHERON",MASTER!$G$4:$G$1463,"&lt;&gt;")*$A100*100/100,0)),MASTER!$AH$4:$AH$1463,0))),NA()),IF($B$4="SECONDARY",IFERROR(IF(INDEX(MASTER!$L$4:$L$1463,MATCH("ACHERON"&amp;"|"&amp;MAX(1,ROUND(COUNTIFS(MASTER!$B$4:$B$1463,"ACHERON",MASTER!$L$4:$L$1463,"&lt;&gt;")*$A100*100/100,0)),MASTER!$AI$4:$AI$1463,0))="",NA(),INDEX(MASTER!$L$4:$L$1463,MATCH("ACHERON"&amp;"|"&amp;MAX(1,ROUND(COUNTIFS(MASTER!$B$4:$B$1463,"ACHERON",MASTER!$L$4:$L$1463,"&lt;&gt;")*$A100*100/100,0)),MASTER!$AI$4:$AI$1463,0))),NA()))))</f>
        <v>4044</v>
      </c>
      <c r="J100" s="37">
        <f>IF($B$4="RESONANCE",IFERROR(IF(INDEX(MASTER!$I$4:$I$1463,MATCH("INVICTUS"&amp;"|"&amp;MAX(1,ROUND(COUNTIFS(MASTER!$B$4:$B$1463,"INVICTUS",MASTER!$I$4:$I$1463,"&lt;&gt;")*$A100*100/100,0)),MASTER!$Y$4:$Y$1463,0))="",NA(),INDEX(MASTER!$I$4:$I$1463,MATCH("INVICTUS"&amp;"|"&amp;MAX(1,ROUND(COUNTIFS(MASTER!$B$4:$B$1463,"INVICTUS",MASTER!$I$4:$I$1463,"&lt;&gt;")*$A100*100/100,0)),MASTER!$Y$4:$Y$1463,0))),NA()),IF($B$4="COMBAT RATING",IFERROR(IF(INDEX(MASTER!$G$4:$G$1463,MATCH("INVICTUS"&amp;"|"&amp;MAX(1,ROUND(COUNTIFS(MASTER!$B$4:$B$1463,"INVICTUS",MASTER!$G$4:$G$1463,"&lt;&gt;")*$A100*100/100,0)),MASTER!$AH$4:$AH$1463,0))="",NA(),INDEX(MASTER!$G$4:$G$1463,MATCH("INVICTUS"&amp;"|"&amp;MAX(1,ROUND(COUNTIFS(MASTER!$B$4:$B$1463,"INVICTUS",MASTER!$G$4:$G$1463,"&lt;&gt;")*$A100*100/100,0)),MASTER!$AH$4:$AH$1463,0))),NA()),IF($B$4="SECONDARY",IFERROR(IF(INDEX(MASTER!$L$4:$L$1463,MATCH("INVICTUS"&amp;"|"&amp;MAX(1,ROUND(COUNTIFS(MASTER!$B$4:$B$1463,"INVICTUS",MASTER!$L$4:$L$1463,"&lt;&gt;")*$A100*100/100,0)),MASTER!$AI$4:$AI$1463,0))="",NA(),INDEX(MASTER!$L$4:$L$1463,MATCH("INVICTUS"&amp;"|"&amp;MAX(1,ROUND(COUNTIFS(MASTER!$B$4:$B$1463,"INVICTUS",MASTER!$L$4:$L$1463,"&lt;&gt;")*$A100*100/100,0)),MASTER!$AI$4:$AI$1463,0))),NA()))))</f>
        <v>3270</v>
      </c>
      <c r="K100" s="37">
        <f>IF($B$4="RESONANCE",IFERROR(IF(INDEX(MASTER!$I$4:$I$1463,MATCH("EMERALD LEAF TRIBE"&amp;"|"&amp;MAX(1,ROUND(COUNTIFS(MASTER!$B$4:$B$1463,"EMERALD LEAF TRIBE",MASTER!$I$4:$I$1463,"&lt;&gt;")*$A100*100/100,0)),MASTER!$Y$4:$Y$1463,0))="",NA(),INDEX(MASTER!$I$4:$I$1463,MATCH("EMERALD LEAF TRIBE"&amp;"|"&amp;MAX(1,ROUND(COUNTIFS(MASTER!$B$4:$B$1463,"EMERALD LEAF TRIBE",MASTER!$I$4:$I$1463,"&lt;&gt;")*$A100*100/100,0)),MASTER!$Y$4:$Y$1463,0))),NA()),IF($B$4="COMBAT RATING",IFERROR(IF(INDEX(MASTER!$G$4:$G$1463,MATCH("EMERALD LEAF TRIBE"&amp;"|"&amp;MAX(1,ROUND(COUNTIFS(MASTER!$B$4:$B$1463,"EMERALD LEAF TRIBE",MASTER!$G$4:$G$1463,"&lt;&gt;")*$A100*100/100,0)),MASTER!$AH$4:$AH$1463,0))="",NA(),INDEX(MASTER!$G$4:$G$1463,MATCH("EMERALD LEAF TRIBE"&amp;"|"&amp;MAX(1,ROUND(COUNTIFS(MASTER!$B$4:$B$1463,"EMERALD LEAF TRIBE",MASTER!$G$4:$G$1463,"&lt;&gt;")*$A100*100/100,0)),MASTER!$AH$4:$AH$1463,0))),NA()),IF($B$4="SECONDARY",IFERROR(IF(INDEX(MASTER!$L$4:$L$1463,MATCH("EMERALD LEAF TRIBE"&amp;"|"&amp;MAX(1,ROUND(COUNTIFS(MASTER!$B$4:$B$1463,"EMERALD LEAF TRIBE",MASTER!$L$4:$L$1463,"&lt;&gt;")*$A100*100/100,0)),MASTER!$AI$4:$AI$1463,0))="",NA(),INDEX(MASTER!$L$4:$L$1463,MATCH("EMERALD LEAF TRIBE"&amp;"|"&amp;MAX(1,ROUND(COUNTIFS(MASTER!$B$4:$B$1463,"EMERALD LEAF TRIBE",MASTER!$L$4:$L$1463,"&lt;&gt;")*$A100*100/100,0)),MASTER!$AI$4:$AI$1463,0))),NA()))))</f>
        <v>2393</v>
      </c>
      <c r="L100" s="37">
        <f>IF($B$4="RESONANCE",IFERROR(IF(INDEX(MASTER!$I$4:$I$1463,MATCH("SUB ROSA"&amp;"|"&amp;MAX(1,ROUND(COUNTIFS(MASTER!$B$4:$B$1463,"SUB ROSA",MASTER!$I$4:$I$1463,"&lt;&gt;")*$A100*100/100,0)),MASTER!$Y$4:$Y$1463,0))="",NA(),INDEX(MASTER!$I$4:$I$1463,MATCH("SUB ROSA"&amp;"|"&amp;MAX(1,ROUND(COUNTIFS(MASTER!$B$4:$B$1463,"SUB ROSA",MASTER!$I$4:$I$1463,"&lt;&gt;")*$A100*100/100,0)),MASTER!$Y$4:$Y$1463,0))),NA()),IF($B$4="COMBAT RATING",IFERROR(IF(INDEX(MASTER!$G$4:$G$1463,MATCH("SUB ROSA"&amp;"|"&amp;MAX(1,ROUND(COUNTIFS(MASTER!$B$4:$B$1463,"SUB ROSA",MASTER!$G$4:$G$1463,"&lt;&gt;")*$A100*100/100,0)),MASTER!$AH$4:$AH$1463,0))="",NA(),INDEX(MASTER!$G$4:$G$1463,MATCH("SUB ROSA"&amp;"|"&amp;MAX(1,ROUND(COUNTIFS(MASTER!$B$4:$B$1463,"SUB ROSA",MASTER!$G$4:$G$1463,"&lt;&gt;")*$A100*100/100,0)),MASTER!$AH$4:$AH$1463,0))),NA()),IF($B$4="SECONDARY",IFERROR(IF(INDEX(MASTER!$L$4:$L$1463,MATCH("SUB ROSA"&amp;"|"&amp;MAX(1,ROUND(COUNTIFS(MASTER!$B$4:$B$1463,"SUB ROSA",MASTER!$L$4:$L$1463,"&lt;&gt;")*$A100*100/100,0)),MASTER!$AI$4:$AI$1463,0))="",NA(),INDEX(MASTER!$L$4:$L$1463,MATCH("SUB ROSA"&amp;"|"&amp;MAX(1,ROUND(COUNTIFS(MASTER!$B$4:$B$1463,"SUB ROSA",MASTER!$L$4:$L$1463,"&lt;&gt;")*$A100*100/100,0)),MASTER!$AI$4:$AI$1463,0))),NA()))))</f>
        <v>2650</v>
      </c>
      <c r="M100" s="37">
        <f>IF($B$4="RESONANCE",IFERROR(IF(INDEX(MASTER!$I$4:$I$1463,MATCH("VENGEANCE"&amp;"|"&amp;MAX(1,ROUND(COUNTIFS(MASTER!$B$4:$B$1463,"VENGEANCE",MASTER!$I$4:$I$1463,"&lt;&gt;")*$A100*100/100,0)),MASTER!$Y$4:$Y$1463,0))="",NA(),INDEX(MASTER!$I$4:$I$1463,MATCH("VENGEANCE"&amp;"|"&amp;MAX(1,ROUND(COUNTIFS(MASTER!$B$4:$B$1463,"VENGEANCE",MASTER!$I$4:$I$1463,"&lt;&gt;")*$A100*100/100,0)),MASTER!$Y$4:$Y$1463,0))),NA()),IF($B$4="COMBAT RATING",IFERROR(IF(INDEX(MASTER!$G$4:$G$1463,MATCH("VENGEANCE"&amp;"|"&amp;MAX(1,ROUND(COUNTIFS(MASTER!$B$4:$B$1463,"VENGEANCE",MASTER!$G$4:$G$1463,"&lt;&gt;")*$A100*100/100,0)),MASTER!$AH$4:$AH$1463,0))="",NA(),INDEX(MASTER!$G$4:$G$1463,MATCH("VENGEANCE"&amp;"|"&amp;MAX(1,ROUND(COUNTIFS(MASTER!$B$4:$B$1463,"VENGEANCE",MASTER!$G$4:$G$1463,"&lt;&gt;")*$A100*100/100,0)),MASTER!$AH$4:$AH$1463,0))),NA()),IF($B$4="SECONDARY",IFERROR(IF(INDEX(MASTER!$L$4:$L$1463,MATCH("VENGEANCE"&amp;"|"&amp;MAX(1,ROUND(COUNTIFS(MASTER!$B$4:$B$1463,"VENGEANCE",MASTER!$L$4:$L$1463,"&lt;&gt;")*$A100*100/100,0)),MASTER!$AI$4:$AI$1463,0))="",NA(),INDEX(MASTER!$L$4:$L$1463,MATCH("VENGEANCE"&amp;"|"&amp;MAX(1,ROUND(COUNTIFS(MASTER!$B$4:$B$1463,"VENGEANCE",MASTER!$L$4:$L$1463,"&lt;&gt;")*$A100*100/100,0)),MASTER!$AI$4:$AI$1463,0))),NA()))))</f>
        <v>3529</v>
      </c>
      <c r="N100" s="37">
        <f>IF($B$4="RESONANCE",IFERROR(IF(INDEX(MASTER!$I$4:$I$1463,MATCH("VENDETTA"&amp;"|"&amp;MAX(1,ROUND(COUNTIFS(MASTER!$B$4:$B$1463,"VENDETTA",MASTER!$I$4:$I$1463,"&lt;&gt;")*$A100*100/100,0)),MASTER!$Y$4:$Y$1463,0))="",NA(),INDEX(MASTER!$I$4:$I$1463,MATCH("VENDETTA"&amp;"|"&amp;MAX(1,ROUND(COUNTIFS(MASTER!$B$4:$B$1463,"VENDETTA",MASTER!$I$4:$I$1463,"&lt;&gt;")*$A100*100/100,0)),MASTER!$Y$4:$Y$1463,0))),NA()),IF($B$4="COMBAT RATING",IFERROR(IF(INDEX(MASTER!$G$4:$G$1463,MATCH("VENDETTA"&amp;"|"&amp;MAX(1,ROUND(COUNTIFS(MASTER!$B$4:$B$1463,"VENDETTA",MASTER!$G$4:$G$1463,"&lt;&gt;")*$A100*100/100,0)),MASTER!$AH$4:$AH$1463,0))="",NA(),INDEX(MASTER!$G$4:$G$1463,MATCH("VENDETTA"&amp;"|"&amp;MAX(1,ROUND(COUNTIFS(MASTER!$B$4:$B$1463,"VENDETTA",MASTER!$G$4:$G$1463,"&lt;&gt;")*$A100*100/100,0)),MASTER!$AH$4:$AH$1463,0))),NA()),IF($B$4="SECONDARY",IFERROR(IF(INDEX(MASTER!$L$4:$L$1463,MATCH("VENDETTA"&amp;"|"&amp;MAX(1,ROUND(COUNTIFS(MASTER!$B$4:$B$1463,"VENDETTA",MASTER!$L$4:$L$1463,"&lt;&gt;")*$A100*100/100,0)),MASTER!$AI$4:$AI$1463,0))="",NA(),INDEX(MASTER!$L$4:$L$1463,MATCH("VENDETTA"&amp;"|"&amp;MAX(1,ROUND(COUNTIFS(MASTER!$B$4:$B$1463,"VENDETTA",MASTER!$L$4:$L$1463,"&lt;&gt;")*$A100*100/100,0)),MASTER!$AI$4:$AI$1463,0))),NA()))))</f>
        <v>2099</v>
      </c>
      <c r="O100" s="37">
        <f>IF($B$4="RESONANCE",IFERROR(IF(INDEX(MASTER!$I$4:$I$1463,MATCH("ZOMBIES"&amp;"|"&amp;MAX(1,ROUND(COUNTIFS(MASTER!$B$4:$B$1463,"ZOMBIES",MASTER!$I$4:$I$1463,"&lt;&gt;")*$A100*100/100,0)),MASTER!$Y$4:$Y$1463,0))="",NA(),INDEX(MASTER!$I$4:$I$1463,MATCH("ZOMBIES"&amp;"|"&amp;MAX(1,ROUND(COUNTIFS(MASTER!$B$4:$B$1463,"ZOMBIES",MASTER!$I$4:$I$1463,"&lt;&gt;")*$A100*100/100,0)),MASTER!$Y$4:$Y$1463,0))),NA()),IF($B$4="COMBAT RATING",IFERROR(IF(INDEX(MASTER!$G$4:$G$1463,MATCH("ZOMBIES"&amp;"|"&amp;MAX(1,ROUND(COUNTIFS(MASTER!$B$4:$B$1463,"ZOMBIES",MASTER!$G$4:$G$1463,"&lt;&gt;")*$A100*100/100,0)),MASTER!$AH$4:$AH$1463,0))="",NA(),INDEX(MASTER!$G$4:$G$1463,MATCH("ZOMBIES"&amp;"|"&amp;MAX(1,ROUND(COUNTIFS(MASTER!$B$4:$B$1463,"ZOMBIES",MASTER!$G$4:$G$1463,"&lt;&gt;")*$A100*100/100,0)),MASTER!$AH$4:$AH$1463,0))),NA()),IF($B$4="SECONDARY",IFERROR(IF(INDEX(MASTER!$L$4:$L$1463,MATCH("ZOMBIES"&amp;"|"&amp;MAX(1,ROUND(COUNTIFS(MASTER!$B$4:$B$1463,"ZOMBIES",MASTER!$L$4:$L$1463,"&lt;&gt;")*$A100*100/100,0)),MASTER!$AI$4:$AI$1463,0))="",NA(),INDEX(MASTER!$L$4:$L$1463,MATCH("ZOMBIES"&amp;"|"&amp;MAX(1,ROUND(COUNTIFS(MASTER!$B$4:$B$1463,"ZOMBIES",MASTER!$L$4:$L$1463,"&lt;&gt;")*$A100*100/100,0)),MASTER!$AI$4:$AI$1463,0))),NA()))))</f>
        <v>1874</v>
      </c>
      <c r="P100" s="37">
        <f>IF($B$4="RESONANCE",IFERROR(IF(INDEX(MASTER!$I$4:$I$1463,MATCH("FUCT"&amp;"|"&amp;MAX(1,ROUND(COUNTIFS(MASTER!$B$4:$B$1463,"FUCT",MASTER!$I$4:$I$1463,"&lt;&gt;")*$A100*100/100,0)),MASTER!$Y$4:$Y$1463,0))="",NA(),INDEX(MASTER!$I$4:$I$1463,MATCH("FUCT"&amp;"|"&amp;MAX(1,ROUND(COUNTIFS(MASTER!$B$4:$B$1463,"FUCT",MASTER!$I$4:$I$1463,"&lt;&gt;")*$A100*100/100,0)),MASTER!$Y$4:$Y$1463,0))),NA()),IF($B$4="COMBAT RATING",IFERROR(IF(INDEX(MASTER!$G$4:$G$1463,MATCH("FUCT"&amp;"|"&amp;MAX(1,ROUND(COUNTIFS(MASTER!$B$4:$B$1463,"FUCT",MASTER!$G$4:$G$1463,"&lt;&gt;")*$A100*100/100,0)),MASTER!$AH$4:$AH$1463,0))="",NA(),INDEX(MASTER!$G$4:$G$1463,MATCH("FUCT"&amp;"|"&amp;MAX(1,ROUND(COUNTIFS(MASTER!$B$4:$B$1463,"FUCT",MASTER!$G$4:$G$1463,"&lt;&gt;")*$A100*100/100,0)),MASTER!$AH$4:$AH$1463,0))),NA()),IF($B$4="SECONDARY",IFERROR(IF(INDEX(MASTER!$L$4:$L$1463,MATCH("FUCT"&amp;"|"&amp;MAX(1,ROUND(COUNTIFS(MASTER!$B$4:$B$1463,"FUCT",MASTER!$L$4:$L$1463,"&lt;&gt;")*$A100*100/100,0)),MASTER!$AI$4:$AI$1463,0))="",NA(),INDEX(MASTER!$L$4:$L$1463,MATCH("FUCT"&amp;"|"&amp;MAX(1,ROUND(COUNTIFS(MASTER!$B$4:$B$1463,"FUCT",MASTER!$L$4:$L$1463,"&lt;&gt;")*$A100*100/100,0)),MASTER!$AI$4:$AI$1463,0))),NA()))))</f>
        <v>4733</v>
      </c>
      <c r="Q100" s="37">
        <f>IF($B$4="RESONANCE",IFERROR(IF(INDEX(MASTER!$I$4:$I$1463,MATCH($E$4&amp;"|"&amp;MAX(1,ROUND(COUNTIFS(MASTER!$B$4:$B$1463,$E$4,MASTER!$I$4:$I$1463,"&lt;&gt;")*$A100*100/100,0)),MASTER!$Y$4:$Y$1463,0))="",NA(),INDEX(MASTER!$I$4:$I$1463,MATCH($E$4&amp;"|"&amp;MAX(1,ROUND(COUNTIFS(MASTER!$B$4:$B$1463,$E$4,MASTER!$I$4:$I$1463,"&lt;&gt;")*$A100*100/100,0)),MASTER!$Y$4:$Y$1463,0))),NA()),IF($B$4="COMBAT RATING",IFERROR(IF(INDEX(MASTER!$G$4:$G$1463,MATCH($E$4&amp;"|"&amp;MAX(1,ROUND(COUNTIFS(MASTER!$B$4:$B$1463,$E$4,MASTER!$G$4:$G$1463,"&lt;&gt;")*$A100*100/100,0)),MASTER!$AH$4:$AH$1463,0))="",NA(),INDEX(MASTER!$G$4:$G$1463,MATCH($E$4&amp;"|"&amp;MAX(1,ROUND(COUNTIFS(MASTER!$B$4:$B$1463,$E$4,MASTER!$G$4:$G$1463,"&lt;&gt;")*$A100*100/100,0)),MASTER!$AH$4:$AH$1463,0))),NA()),IF($B$4="SECONDARY",IFERROR(IF(INDEX(MASTER!$L$4:$L$1463,MATCH($E$4&amp;"|"&amp;MAX(1,ROUND(COUNTIFS(MASTER!$B$4:$B$1463,$E$4,MASTER!$L$4:$L$1463,"&lt;&gt;")*$A100*100/100,0)),MASTER!$AI$4:$AI$1463,0))="",NA(),INDEX(MASTER!$L$4:$L$1463,MATCH($E$4&amp;"|"&amp;MAX(1,ROUND(COUNTIFS(MASTER!$B$4:$B$1463,$E$4,MASTER!$L$4:$L$1463,"&lt;&gt;")*$A100*100/100,0)),MASTER!$AI$4:$AI$1463,0))),NA()))))</f>
        <v>4297</v>
      </c>
    </row>
    <row r="101" spans="1:17" hidden="1">
      <c r="A101" s="36">
        <v>0.46</v>
      </c>
      <c r="B101" s="37">
        <f>IF($B$4="RESONANCE",IFERROR(IF(INDEX(MASTER!$I$4:$I$1463,MATCH("FUCT"&amp;"|"&amp;MAX(1,ROUND(COUNTIFS(MASTER!$B$4:$B$1463,"FUCT",MASTER!$I$4:$I$1463,"&lt;&gt;")*$A101*100/100,0)),MASTER!$Y$4:$Y$1463,0))="",NA(),INDEX(MASTER!$I$4:$I$1463,MATCH("FUCT"&amp;"|"&amp;MAX(1,ROUND(COUNTIFS(MASTER!$B$4:$B$1463,"FUCT",MASTER!$I$4:$I$1463,"&lt;&gt;")*$A101*100/100,0)),MASTER!$Y$4:$Y$1463,0))),NA()),IF($B$4="COMBAT RATING",IFERROR(IF(INDEX(MASTER!$G$4:$G$1463,MATCH("FUCT"&amp;"|"&amp;MAX(1,ROUND(COUNTIFS(MASTER!$B$4:$B$1463,"FUCT",MASTER!$G$4:$G$1463,"&lt;&gt;")*$A101*100/100,0)),MASTER!$AH$4:$AH$1463,0))="",NA(),INDEX(MASTER!$G$4:$G$1463,MATCH("FUCT"&amp;"|"&amp;MAX(1,ROUND(COUNTIFS(MASTER!$B$4:$B$1463,"FUCT",MASTER!$G$4:$G$1463,"&lt;&gt;")*$A101*100/100,0)),MASTER!$AH$4:$AH$1463,0))),NA()),IF($B$4="SECONDARY",IFERROR(IF(INDEX(MASTER!$L$4:$L$1463,MATCH("FUCT"&amp;"|"&amp;MAX(1,ROUND(COUNTIFS(MASTER!$B$4:$B$1463,"FUCT",MASTER!$L$4:$L$1463,"&lt;&gt;")*$A101*100/100,0)),MASTER!$AI$4:$AI$1463,0))="",NA(),INDEX(MASTER!$L$4:$L$1463,MATCH("FUCT"&amp;"|"&amp;MAX(1,ROUND(COUNTIFS(MASTER!$B$4:$B$1463,"FUCT",MASTER!$L$4:$L$1463,"&lt;&gt;")*$A101*100/100,0)),MASTER!$AI$4:$AI$1463,0))),NA()))))</f>
        <v>4627</v>
      </c>
      <c r="C101" s="37">
        <f>IF($B$4="RESONANCE",IFERROR(IF(INDEX(MASTER!$I$4:$I$1463,MATCH("LEGENDS"&amp;"|"&amp;MAX(1,ROUND(COUNTIFS(MASTER!$B$4:$B$1463,"LEGENDS",MASTER!$I$4:$I$1463,"&lt;&gt;")*$A101*100/100,0)),MASTER!$Y$4:$Y$1463,0))="",NA(),INDEX(MASTER!$I$4:$I$1463,MATCH("LEGENDS"&amp;"|"&amp;MAX(1,ROUND(COUNTIFS(MASTER!$B$4:$B$1463,"LEGENDS",MASTER!$I$4:$I$1463,"&lt;&gt;")*$A101*100/100,0)),MASTER!$Y$4:$Y$1463,0))),NA()),IF($B$4="COMBAT RATING",IFERROR(IF(INDEX(MASTER!$G$4:$G$1463,MATCH("LEGENDS"&amp;"|"&amp;MAX(1,ROUND(COUNTIFS(MASTER!$B$4:$B$1463,"LEGENDS",MASTER!$G$4:$G$1463,"&lt;&gt;")*$A101*100/100,0)),MASTER!$AH$4:$AH$1463,0))="",NA(),INDEX(MASTER!$G$4:$G$1463,MATCH("LEGENDS"&amp;"|"&amp;MAX(1,ROUND(COUNTIFS(MASTER!$B$4:$B$1463,"LEGENDS",MASTER!$G$4:$G$1463,"&lt;&gt;")*$A101*100/100,0)),MASTER!$AH$4:$AH$1463,0))),NA()),IF($B$4="SECONDARY",IFERROR(IF(INDEX(MASTER!$L$4:$L$1463,MATCH("LEGENDS"&amp;"|"&amp;MAX(1,ROUND(COUNTIFS(MASTER!$B$4:$B$1463,"LEGENDS",MASTER!$L$4:$L$1463,"&lt;&gt;")*$A101*100/100,0)),MASTER!$AI$4:$AI$1463,0))="",NA(),INDEX(MASTER!$L$4:$L$1463,MATCH("LEGENDS"&amp;"|"&amp;MAX(1,ROUND(COUNTIFS(MASTER!$B$4:$B$1463,"LEGENDS",MASTER!$L$4:$L$1463,"&lt;&gt;")*$A101*100/100,0)),MASTER!$AI$4:$AI$1463,0))),NA()))))</f>
        <v>5304</v>
      </c>
      <c r="D101" s="37">
        <f>IF($B$4="RESONANCE",IFERROR(IF(INDEX(MASTER!$I$4:$I$1463,MATCH("VANGUARD"&amp;"|"&amp;MAX(1,ROUND(COUNTIFS(MASTER!$B$4:$B$1463,"VANGUARD",MASTER!$I$4:$I$1463,"&lt;&gt;")*$A101*100/100,0)),MASTER!$Y$4:$Y$1463,0))="",NA(),INDEX(MASTER!$I$4:$I$1463,MATCH("VANGUARD"&amp;"|"&amp;MAX(1,ROUND(COUNTIFS(MASTER!$B$4:$B$1463,"VANGUARD",MASTER!$I$4:$I$1463,"&lt;&gt;")*$A101*100/100,0)),MASTER!$Y$4:$Y$1463,0))),NA()),IF($B$4="COMBAT RATING",IFERROR(IF(INDEX(MASTER!$G$4:$G$1463,MATCH("VANGUARD"&amp;"|"&amp;MAX(1,ROUND(COUNTIFS(MASTER!$B$4:$B$1463,"VANGUARD",MASTER!$G$4:$G$1463,"&lt;&gt;")*$A101*100/100,0)),MASTER!$AH$4:$AH$1463,0))="",NA(),INDEX(MASTER!$G$4:$G$1463,MATCH("VANGUARD"&amp;"|"&amp;MAX(1,ROUND(COUNTIFS(MASTER!$B$4:$B$1463,"VANGUARD",MASTER!$G$4:$G$1463,"&lt;&gt;")*$A101*100/100,0)),MASTER!$AH$4:$AH$1463,0))),NA()),IF($B$4="SECONDARY",IFERROR(IF(INDEX(MASTER!$L$4:$L$1463,MATCH("VANGUARD"&amp;"|"&amp;MAX(1,ROUND(COUNTIFS(MASTER!$B$4:$B$1463,"VANGUARD",MASTER!$L$4:$L$1463,"&lt;&gt;")*$A101*100/100,0)),MASTER!$AI$4:$AI$1463,0))="",NA(),INDEX(MASTER!$L$4:$L$1463,MATCH("VANGUARD"&amp;"|"&amp;MAX(1,ROUND(COUNTIFS(MASTER!$B$4:$B$1463,"VANGUARD",MASTER!$L$4:$L$1463,"&lt;&gt;")*$A101*100/100,0)),MASTER!$AI$4:$AI$1463,0))),NA()))))</f>
        <v>7184</v>
      </c>
      <c r="E101" s="37">
        <f>IF($B$4="RESONANCE",IFERROR(IF(INDEX(MASTER!$I$4:$I$1463,MATCH("UNDYING"&amp;"|"&amp;MAX(1,ROUND(COUNTIFS(MASTER!$B$4:$B$1463,"UNDYING",MASTER!$I$4:$I$1463,"&lt;&gt;")*$A101*100/100,0)),MASTER!$Y$4:$Y$1463,0))="",NA(),INDEX(MASTER!$I$4:$I$1463,MATCH("UNDYING"&amp;"|"&amp;MAX(1,ROUND(COUNTIFS(MASTER!$B$4:$B$1463,"UNDYING",MASTER!$I$4:$I$1463,"&lt;&gt;")*$A101*100/100,0)),MASTER!$Y$4:$Y$1463,0))),NA()),IF($B$4="COMBAT RATING",IFERROR(IF(INDEX(MASTER!$G$4:$G$1463,MATCH("UNDYING"&amp;"|"&amp;MAX(1,ROUND(COUNTIFS(MASTER!$B$4:$B$1463,"UNDYING",MASTER!$G$4:$G$1463,"&lt;&gt;")*$A101*100/100,0)),MASTER!$AH$4:$AH$1463,0))="",NA(),INDEX(MASTER!$G$4:$G$1463,MATCH("UNDYING"&amp;"|"&amp;MAX(1,ROUND(COUNTIFS(MASTER!$B$4:$B$1463,"UNDYING",MASTER!$G$4:$G$1463,"&lt;&gt;")*$A101*100/100,0)),MASTER!$AH$4:$AH$1463,0))),NA()),IF($B$4="SECONDARY",IFERROR(IF(INDEX(MASTER!$L$4:$L$1463,MATCH("UNDYING"&amp;"|"&amp;MAX(1,ROUND(COUNTIFS(MASTER!$B$4:$B$1463,"UNDYING",MASTER!$L$4:$L$1463,"&lt;&gt;")*$A101*100/100,0)),MASTER!$AI$4:$AI$1463,0))="",NA(),INDEX(MASTER!$L$4:$L$1463,MATCH("UNDYING"&amp;"|"&amp;MAX(1,ROUND(COUNTIFS(MASTER!$B$4:$B$1463,"UNDYING",MASTER!$L$4:$L$1463,"&lt;&gt;")*$A101*100/100,0)),MASTER!$AI$4:$AI$1463,0))),NA()))))</f>
        <v>4285</v>
      </c>
      <c r="F101" s="37">
        <f>IF($B$4="RESONANCE",IFERROR(IF(INDEX(MASTER!$I$4:$I$1463,MATCH("SBG"&amp;"|"&amp;MAX(1,ROUND(COUNTIFS(MASTER!$B$4:$B$1463,"SBG",MASTER!$I$4:$I$1463,"&lt;&gt;")*$A101*100/100,0)),MASTER!$Y$4:$Y$1463,0))="",NA(),INDEX(MASTER!$I$4:$I$1463,MATCH("SBG"&amp;"|"&amp;MAX(1,ROUND(COUNTIFS(MASTER!$B$4:$B$1463,"SBG",MASTER!$I$4:$I$1463,"&lt;&gt;")*$A101*100/100,0)),MASTER!$Y$4:$Y$1463,0))),NA()),IF($B$4="COMBAT RATING",IFERROR(IF(INDEX(MASTER!$G$4:$G$1463,MATCH("SBG"&amp;"|"&amp;MAX(1,ROUND(COUNTIFS(MASTER!$B$4:$B$1463,"SBG",MASTER!$G$4:$G$1463,"&lt;&gt;")*$A101*100/100,0)),MASTER!$AH$4:$AH$1463,0))="",NA(),INDEX(MASTER!$G$4:$G$1463,MATCH("SBG"&amp;"|"&amp;MAX(1,ROUND(COUNTIFS(MASTER!$B$4:$B$1463,"SBG",MASTER!$G$4:$G$1463,"&lt;&gt;")*$A101*100/100,0)),MASTER!$AH$4:$AH$1463,0))),NA()),IF($B$4="SECONDARY",IFERROR(IF(INDEX(MASTER!$L$4:$L$1463,MATCH("SBG"&amp;"|"&amp;MAX(1,ROUND(COUNTIFS(MASTER!$B$4:$B$1463,"SBG",MASTER!$L$4:$L$1463,"&lt;&gt;")*$A101*100/100,0)),MASTER!$AI$4:$AI$1463,0))="",NA(),INDEX(MASTER!$L$4:$L$1463,MATCH("SBG"&amp;"|"&amp;MAX(1,ROUND(COUNTIFS(MASTER!$B$4:$B$1463,"SBG",MASTER!$L$4:$L$1463,"&lt;&gt;")*$A101*100/100,0)),MASTER!$AI$4:$AI$1463,0))),NA()))))</f>
        <v>6105</v>
      </c>
      <c r="G101" s="37">
        <f>IF($B$4="RESONANCE",IFERROR(IF(INDEX(MASTER!$I$4:$I$1463,MATCH("AZUKI"&amp;"|"&amp;MAX(1,ROUND(COUNTIFS(MASTER!$B$4:$B$1463,"AZUKI",MASTER!$I$4:$I$1463,"&lt;&gt;")*$A101*100/100,0)),MASTER!$Y$4:$Y$1463,0))="",NA(),INDEX(MASTER!$I$4:$I$1463,MATCH("AZUKI"&amp;"|"&amp;MAX(1,ROUND(COUNTIFS(MASTER!$B$4:$B$1463,"AZUKI",MASTER!$I$4:$I$1463,"&lt;&gt;")*$A101*100/100,0)),MASTER!$Y$4:$Y$1463,0))),NA()),IF($B$4="COMBAT RATING",IFERROR(IF(INDEX(MASTER!$G$4:$G$1463,MATCH("AZUKI"&amp;"|"&amp;MAX(1,ROUND(COUNTIFS(MASTER!$B$4:$B$1463,"AZUKI",MASTER!$G$4:$G$1463,"&lt;&gt;")*$A101*100/100,0)),MASTER!$AH$4:$AH$1463,0))="",NA(),INDEX(MASTER!$G$4:$G$1463,MATCH("AZUKI"&amp;"|"&amp;MAX(1,ROUND(COUNTIFS(MASTER!$B$4:$B$1463,"AZUKI",MASTER!$G$4:$G$1463,"&lt;&gt;")*$A101*100/100,0)),MASTER!$AH$4:$AH$1463,0))),NA()),IF($B$4="SECONDARY",IFERROR(IF(INDEX(MASTER!$L$4:$L$1463,MATCH("AZUKI"&amp;"|"&amp;MAX(1,ROUND(COUNTIFS(MASTER!$B$4:$B$1463,"AZUKI",MASTER!$L$4:$L$1463,"&lt;&gt;")*$A101*100/100,0)),MASTER!$AI$4:$AI$1463,0))="",NA(),INDEX(MASTER!$L$4:$L$1463,MATCH("AZUKI"&amp;"|"&amp;MAX(1,ROUND(COUNTIFS(MASTER!$B$4:$B$1463,"AZUKI",MASTER!$L$4:$L$1463,"&lt;&gt;")*$A101*100/100,0)),MASTER!$AI$4:$AI$1463,0))),NA()))))</f>
        <v>5195</v>
      </c>
      <c r="H101" s="37">
        <f>IF($B$4="RESONANCE",IFERROR(IF(INDEX(MASTER!$I$4:$I$1463,MATCH("RECKONING"&amp;"|"&amp;MAX(1,ROUND(COUNTIFS(MASTER!$B$4:$B$1463,"RECKONING",MASTER!$I$4:$I$1463,"&lt;&gt;")*$A101*100/100,0)),MASTER!$Y$4:$Y$1463,0))="",NA(),INDEX(MASTER!$I$4:$I$1463,MATCH("RECKONING"&amp;"|"&amp;MAX(1,ROUND(COUNTIFS(MASTER!$B$4:$B$1463,"RECKONING",MASTER!$I$4:$I$1463,"&lt;&gt;")*$A101*100/100,0)),MASTER!$Y$4:$Y$1463,0))),NA()),IF($B$4="COMBAT RATING",IFERROR(IF(INDEX(MASTER!$G$4:$G$1463,MATCH("RECKONING"&amp;"|"&amp;MAX(1,ROUND(COUNTIFS(MASTER!$B$4:$B$1463,"RECKONING",MASTER!$G$4:$G$1463,"&lt;&gt;")*$A101*100/100,0)),MASTER!$AH$4:$AH$1463,0))="",NA(),INDEX(MASTER!$G$4:$G$1463,MATCH("RECKONING"&amp;"|"&amp;MAX(1,ROUND(COUNTIFS(MASTER!$B$4:$B$1463,"RECKONING",MASTER!$G$4:$G$1463,"&lt;&gt;")*$A101*100/100,0)),MASTER!$AH$4:$AH$1463,0))),NA()),IF($B$4="SECONDARY",IFERROR(IF(INDEX(MASTER!$L$4:$L$1463,MATCH("RECKONING"&amp;"|"&amp;MAX(1,ROUND(COUNTIFS(MASTER!$B$4:$B$1463,"RECKONING",MASTER!$L$4:$L$1463,"&lt;&gt;")*$A101*100/100,0)),MASTER!$AI$4:$AI$1463,0))="",NA(),INDEX(MASTER!$L$4:$L$1463,MATCH("RECKONING"&amp;"|"&amp;MAX(1,ROUND(COUNTIFS(MASTER!$B$4:$B$1463,"RECKONING",MASTER!$L$4:$L$1463,"&lt;&gt;")*$A101*100/100,0)),MASTER!$AI$4:$AI$1463,0))),NA()))))</f>
        <v>5198</v>
      </c>
      <c r="I101" s="37">
        <f>IF($B$4="RESONANCE",IFERROR(IF(INDEX(MASTER!$I$4:$I$1463,MATCH("ACHERON"&amp;"|"&amp;MAX(1,ROUND(COUNTIFS(MASTER!$B$4:$B$1463,"ACHERON",MASTER!$I$4:$I$1463,"&lt;&gt;")*$A101*100/100,0)),MASTER!$Y$4:$Y$1463,0))="",NA(),INDEX(MASTER!$I$4:$I$1463,MATCH("ACHERON"&amp;"|"&amp;MAX(1,ROUND(COUNTIFS(MASTER!$B$4:$B$1463,"ACHERON",MASTER!$I$4:$I$1463,"&lt;&gt;")*$A101*100/100,0)),MASTER!$Y$4:$Y$1463,0))),NA()),IF($B$4="COMBAT RATING",IFERROR(IF(INDEX(MASTER!$G$4:$G$1463,MATCH("ACHERON"&amp;"|"&amp;MAX(1,ROUND(COUNTIFS(MASTER!$B$4:$B$1463,"ACHERON",MASTER!$G$4:$G$1463,"&lt;&gt;")*$A101*100/100,0)),MASTER!$AH$4:$AH$1463,0))="",NA(),INDEX(MASTER!$G$4:$G$1463,MATCH("ACHERON"&amp;"|"&amp;MAX(1,ROUND(COUNTIFS(MASTER!$B$4:$B$1463,"ACHERON",MASTER!$G$4:$G$1463,"&lt;&gt;")*$A101*100/100,0)),MASTER!$AH$4:$AH$1463,0))),NA()),IF($B$4="SECONDARY",IFERROR(IF(INDEX(MASTER!$L$4:$L$1463,MATCH("ACHERON"&amp;"|"&amp;MAX(1,ROUND(COUNTIFS(MASTER!$B$4:$B$1463,"ACHERON",MASTER!$L$4:$L$1463,"&lt;&gt;")*$A101*100/100,0)),MASTER!$AI$4:$AI$1463,0))="",NA(),INDEX(MASTER!$L$4:$L$1463,MATCH("ACHERON"&amp;"|"&amp;MAX(1,ROUND(COUNTIFS(MASTER!$B$4:$B$1463,"ACHERON",MASTER!$L$4:$L$1463,"&lt;&gt;")*$A101*100/100,0)),MASTER!$AI$4:$AI$1463,0))),NA()))))</f>
        <v>4023</v>
      </c>
      <c r="J101" s="37">
        <f>IF($B$4="RESONANCE",IFERROR(IF(INDEX(MASTER!$I$4:$I$1463,MATCH("INVICTUS"&amp;"|"&amp;MAX(1,ROUND(COUNTIFS(MASTER!$B$4:$B$1463,"INVICTUS",MASTER!$I$4:$I$1463,"&lt;&gt;")*$A101*100/100,0)),MASTER!$Y$4:$Y$1463,0))="",NA(),INDEX(MASTER!$I$4:$I$1463,MATCH("INVICTUS"&amp;"|"&amp;MAX(1,ROUND(COUNTIFS(MASTER!$B$4:$B$1463,"INVICTUS",MASTER!$I$4:$I$1463,"&lt;&gt;")*$A101*100/100,0)),MASTER!$Y$4:$Y$1463,0))),NA()),IF($B$4="COMBAT RATING",IFERROR(IF(INDEX(MASTER!$G$4:$G$1463,MATCH("INVICTUS"&amp;"|"&amp;MAX(1,ROUND(COUNTIFS(MASTER!$B$4:$B$1463,"INVICTUS",MASTER!$G$4:$G$1463,"&lt;&gt;")*$A101*100/100,0)),MASTER!$AH$4:$AH$1463,0))="",NA(),INDEX(MASTER!$G$4:$G$1463,MATCH("INVICTUS"&amp;"|"&amp;MAX(1,ROUND(COUNTIFS(MASTER!$B$4:$B$1463,"INVICTUS",MASTER!$G$4:$G$1463,"&lt;&gt;")*$A101*100/100,0)),MASTER!$AH$4:$AH$1463,0))),NA()),IF($B$4="SECONDARY",IFERROR(IF(INDEX(MASTER!$L$4:$L$1463,MATCH("INVICTUS"&amp;"|"&amp;MAX(1,ROUND(COUNTIFS(MASTER!$B$4:$B$1463,"INVICTUS",MASTER!$L$4:$L$1463,"&lt;&gt;")*$A101*100/100,0)),MASTER!$AI$4:$AI$1463,0))="",NA(),INDEX(MASTER!$L$4:$L$1463,MATCH("INVICTUS"&amp;"|"&amp;MAX(1,ROUND(COUNTIFS(MASTER!$B$4:$B$1463,"INVICTUS",MASTER!$L$4:$L$1463,"&lt;&gt;")*$A101*100/100,0)),MASTER!$AI$4:$AI$1463,0))),NA()))))</f>
        <v>3176</v>
      </c>
      <c r="K101" s="37">
        <f>IF($B$4="RESONANCE",IFERROR(IF(INDEX(MASTER!$I$4:$I$1463,MATCH("EMERALD LEAF TRIBE"&amp;"|"&amp;MAX(1,ROUND(COUNTIFS(MASTER!$B$4:$B$1463,"EMERALD LEAF TRIBE",MASTER!$I$4:$I$1463,"&lt;&gt;")*$A101*100/100,0)),MASTER!$Y$4:$Y$1463,0))="",NA(),INDEX(MASTER!$I$4:$I$1463,MATCH("EMERALD LEAF TRIBE"&amp;"|"&amp;MAX(1,ROUND(COUNTIFS(MASTER!$B$4:$B$1463,"EMERALD LEAF TRIBE",MASTER!$I$4:$I$1463,"&lt;&gt;")*$A101*100/100,0)),MASTER!$Y$4:$Y$1463,0))),NA()),IF($B$4="COMBAT RATING",IFERROR(IF(INDEX(MASTER!$G$4:$G$1463,MATCH("EMERALD LEAF TRIBE"&amp;"|"&amp;MAX(1,ROUND(COUNTIFS(MASTER!$B$4:$B$1463,"EMERALD LEAF TRIBE",MASTER!$G$4:$G$1463,"&lt;&gt;")*$A101*100/100,0)),MASTER!$AH$4:$AH$1463,0))="",NA(),INDEX(MASTER!$G$4:$G$1463,MATCH("EMERALD LEAF TRIBE"&amp;"|"&amp;MAX(1,ROUND(COUNTIFS(MASTER!$B$4:$B$1463,"EMERALD LEAF TRIBE",MASTER!$G$4:$G$1463,"&lt;&gt;")*$A101*100/100,0)),MASTER!$AH$4:$AH$1463,0))),NA()),IF($B$4="SECONDARY",IFERROR(IF(INDEX(MASTER!$L$4:$L$1463,MATCH("EMERALD LEAF TRIBE"&amp;"|"&amp;MAX(1,ROUND(COUNTIFS(MASTER!$B$4:$B$1463,"EMERALD LEAF TRIBE",MASTER!$L$4:$L$1463,"&lt;&gt;")*$A101*100/100,0)),MASTER!$AI$4:$AI$1463,0))="",NA(),INDEX(MASTER!$L$4:$L$1463,MATCH("EMERALD LEAF TRIBE"&amp;"|"&amp;MAX(1,ROUND(COUNTIFS(MASTER!$B$4:$B$1463,"EMERALD LEAF TRIBE",MASTER!$L$4:$L$1463,"&lt;&gt;")*$A101*100/100,0)),MASTER!$AI$4:$AI$1463,0))),NA()))))</f>
        <v>2380</v>
      </c>
      <c r="L101" s="37">
        <f>IF($B$4="RESONANCE",IFERROR(IF(INDEX(MASTER!$I$4:$I$1463,MATCH("SUB ROSA"&amp;"|"&amp;MAX(1,ROUND(COUNTIFS(MASTER!$B$4:$B$1463,"SUB ROSA",MASTER!$I$4:$I$1463,"&lt;&gt;")*$A101*100/100,0)),MASTER!$Y$4:$Y$1463,0))="",NA(),INDEX(MASTER!$I$4:$I$1463,MATCH("SUB ROSA"&amp;"|"&amp;MAX(1,ROUND(COUNTIFS(MASTER!$B$4:$B$1463,"SUB ROSA",MASTER!$I$4:$I$1463,"&lt;&gt;")*$A101*100/100,0)),MASTER!$Y$4:$Y$1463,0))),NA()),IF($B$4="COMBAT RATING",IFERROR(IF(INDEX(MASTER!$G$4:$G$1463,MATCH("SUB ROSA"&amp;"|"&amp;MAX(1,ROUND(COUNTIFS(MASTER!$B$4:$B$1463,"SUB ROSA",MASTER!$G$4:$G$1463,"&lt;&gt;")*$A101*100/100,0)),MASTER!$AH$4:$AH$1463,0))="",NA(),INDEX(MASTER!$G$4:$G$1463,MATCH("SUB ROSA"&amp;"|"&amp;MAX(1,ROUND(COUNTIFS(MASTER!$B$4:$B$1463,"SUB ROSA",MASTER!$G$4:$G$1463,"&lt;&gt;")*$A101*100/100,0)),MASTER!$AH$4:$AH$1463,0))),NA()),IF($B$4="SECONDARY",IFERROR(IF(INDEX(MASTER!$L$4:$L$1463,MATCH("SUB ROSA"&amp;"|"&amp;MAX(1,ROUND(COUNTIFS(MASTER!$B$4:$B$1463,"SUB ROSA",MASTER!$L$4:$L$1463,"&lt;&gt;")*$A101*100/100,0)),MASTER!$AI$4:$AI$1463,0))="",NA(),INDEX(MASTER!$L$4:$L$1463,MATCH("SUB ROSA"&amp;"|"&amp;MAX(1,ROUND(COUNTIFS(MASTER!$B$4:$B$1463,"SUB ROSA",MASTER!$L$4:$L$1463,"&lt;&gt;")*$A101*100/100,0)),MASTER!$AI$4:$AI$1463,0))),NA()))))</f>
        <v>2650</v>
      </c>
      <c r="M101" s="37">
        <f>IF($B$4="RESONANCE",IFERROR(IF(INDEX(MASTER!$I$4:$I$1463,MATCH("VENGEANCE"&amp;"|"&amp;MAX(1,ROUND(COUNTIFS(MASTER!$B$4:$B$1463,"VENGEANCE",MASTER!$I$4:$I$1463,"&lt;&gt;")*$A101*100/100,0)),MASTER!$Y$4:$Y$1463,0))="",NA(),INDEX(MASTER!$I$4:$I$1463,MATCH("VENGEANCE"&amp;"|"&amp;MAX(1,ROUND(COUNTIFS(MASTER!$B$4:$B$1463,"VENGEANCE",MASTER!$I$4:$I$1463,"&lt;&gt;")*$A101*100/100,0)),MASTER!$Y$4:$Y$1463,0))),NA()),IF($B$4="COMBAT RATING",IFERROR(IF(INDEX(MASTER!$G$4:$G$1463,MATCH("VENGEANCE"&amp;"|"&amp;MAX(1,ROUND(COUNTIFS(MASTER!$B$4:$B$1463,"VENGEANCE",MASTER!$G$4:$G$1463,"&lt;&gt;")*$A101*100/100,0)),MASTER!$AH$4:$AH$1463,0))="",NA(),INDEX(MASTER!$G$4:$G$1463,MATCH("VENGEANCE"&amp;"|"&amp;MAX(1,ROUND(COUNTIFS(MASTER!$B$4:$B$1463,"VENGEANCE",MASTER!$G$4:$G$1463,"&lt;&gt;")*$A101*100/100,0)),MASTER!$AH$4:$AH$1463,0))),NA()),IF($B$4="SECONDARY",IFERROR(IF(INDEX(MASTER!$L$4:$L$1463,MATCH("VENGEANCE"&amp;"|"&amp;MAX(1,ROUND(COUNTIFS(MASTER!$B$4:$B$1463,"VENGEANCE",MASTER!$L$4:$L$1463,"&lt;&gt;")*$A101*100/100,0)),MASTER!$AI$4:$AI$1463,0))="",NA(),INDEX(MASTER!$L$4:$L$1463,MATCH("VENGEANCE"&amp;"|"&amp;MAX(1,ROUND(COUNTIFS(MASTER!$B$4:$B$1463,"VENGEANCE",MASTER!$L$4:$L$1463,"&lt;&gt;")*$A101*100/100,0)),MASTER!$AI$4:$AI$1463,0))),NA()))))</f>
        <v>3524</v>
      </c>
      <c r="N101" s="37">
        <f>IF($B$4="RESONANCE",IFERROR(IF(INDEX(MASTER!$I$4:$I$1463,MATCH("VENDETTA"&amp;"|"&amp;MAX(1,ROUND(COUNTIFS(MASTER!$B$4:$B$1463,"VENDETTA",MASTER!$I$4:$I$1463,"&lt;&gt;")*$A101*100/100,0)),MASTER!$Y$4:$Y$1463,0))="",NA(),INDEX(MASTER!$I$4:$I$1463,MATCH("VENDETTA"&amp;"|"&amp;MAX(1,ROUND(COUNTIFS(MASTER!$B$4:$B$1463,"VENDETTA",MASTER!$I$4:$I$1463,"&lt;&gt;")*$A101*100/100,0)),MASTER!$Y$4:$Y$1463,0))),NA()),IF($B$4="COMBAT RATING",IFERROR(IF(INDEX(MASTER!$G$4:$G$1463,MATCH("VENDETTA"&amp;"|"&amp;MAX(1,ROUND(COUNTIFS(MASTER!$B$4:$B$1463,"VENDETTA",MASTER!$G$4:$G$1463,"&lt;&gt;")*$A101*100/100,0)),MASTER!$AH$4:$AH$1463,0))="",NA(),INDEX(MASTER!$G$4:$G$1463,MATCH("VENDETTA"&amp;"|"&amp;MAX(1,ROUND(COUNTIFS(MASTER!$B$4:$B$1463,"VENDETTA",MASTER!$G$4:$G$1463,"&lt;&gt;")*$A101*100/100,0)),MASTER!$AH$4:$AH$1463,0))),NA()),IF($B$4="SECONDARY",IFERROR(IF(INDEX(MASTER!$L$4:$L$1463,MATCH("VENDETTA"&amp;"|"&amp;MAX(1,ROUND(COUNTIFS(MASTER!$B$4:$B$1463,"VENDETTA",MASTER!$L$4:$L$1463,"&lt;&gt;")*$A101*100/100,0)),MASTER!$AI$4:$AI$1463,0))="",NA(),INDEX(MASTER!$L$4:$L$1463,MATCH("VENDETTA"&amp;"|"&amp;MAX(1,ROUND(COUNTIFS(MASTER!$B$4:$B$1463,"VENDETTA",MASTER!$L$4:$L$1463,"&lt;&gt;")*$A101*100/100,0)),MASTER!$AI$4:$AI$1463,0))),NA()))))</f>
        <v>2088</v>
      </c>
      <c r="O101" s="37">
        <f>IF($B$4="RESONANCE",IFERROR(IF(INDEX(MASTER!$I$4:$I$1463,MATCH("ZOMBIES"&amp;"|"&amp;MAX(1,ROUND(COUNTIFS(MASTER!$B$4:$B$1463,"ZOMBIES",MASTER!$I$4:$I$1463,"&lt;&gt;")*$A101*100/100,0)),MASTER!$Y$4:$Y$1463,0))="",NA(),INDEX(MASTER!$I$4:$I$1463,MATCH("ZOMBIES"&amp;"|"&amp;MAX(1,ROUND(COUNTIFS(MASTER!$B$4:$B$1463,"ZOMBIES",MASTER!$I$4:$I$1463,"&lt;&gt;")*$A101*100/100,0)),MASTER!$Y$4:$Y$1463,0))),NA()),IF($B$4="COMBAT RATING",IFERROR(IF(INDEX(MASTER!$G$4:$G$1463,MATCH("ZOMBIES"&amp;"|"&amp;MAX(1,ROUND(COUNTIFS(MASTER!$B$4:$B$1463,"ZOMBIES",MASTER!$G$4:$G$1463,"&lt;&gt;")*$A101*100/100,0)),MASTER!$AH$4:$AH$1463,0))="",NA(),INDEX(MASTER!$G$4:$G$1463,MATCH("ZOMBIES"&amp;"|"&amp;MAX(1,ROUND(COUNTIFS(MASTER!$B$4:$B$1463,"ZOMBIES",MASTER!$G$4:$G$1463,"&lt;&gt;")*$A101*100/100,0)),MASTER!$AH$4:$AH$1463,0))),NA()),IF($B$4="SECONDARY",IFERROR(IF(INDEX(MASTER!$L$4:$L$1463,MATCH("ZOMBIES"&amp;"|"&amp;MAX(1,ROUND(COUNTIFS(MASTER!$B$4:$B$1463,"ZOMBIES",MASTER!$L$4:$L$1463,"&lt;&gt;")*$A101*100/100,0)),MASTER!$AI$4:$AI$1463,0))="",NA(),INDEX(MASTER!$L$4:$L$1463,MATCH("ZOMBIES"&amp;"|"&amp;MAX(1,ROUND(COUNTIFS(MASTER!$B$4:$B$1463,"ZOMBIES",MASTER!$L$4:$L$1463,"&lt;&gt;")*$A101*100/100,0)),MASTER!$AI$4:$AI$1463,0))),NA()))))</f>
        <v>1840</v>
      </c>
      <c r="P101" s="37">
        <f>IF($B$4="RESONANCE",IFERROR(IF(INDEX(MASTER!$I$4:$I$1463,MATCH("FUCT"&amp;"|"&amp;MAX(1,ROUND(COUNTIFS(MASTER!$B$4:$B$1463,"FUCT",MASTER!$I$4:$I$1463,"&lt;&gt;")*$A101*100/100,0)),MASTER!$Y$4:$Y$1463,0))="",NA(),INDEX(MASTER!$I$4:$I$1463,MATCH("FUCT"&amp;"|"&amp;MAX(1,ROUND(COUNTIFS(MASTER!$B$4:$B$1463,"FUCT",MASTER!$I$4:$I$1463,"&lt;&gt;")*$A101*100/100,0)),MASTER!$Y$4:$Y$1463,0))),NA()),IF($B$4="COMBAT RATING",IFERROR(IF(INDEX(MASTER!$G$4:$G$1463,MATCH("FUCT"&amp;"|"&amp;MAX(1,ROUND(COUNTIFS(MASTER!$B$4:$B$1463,"FUCT",MASTER!$G$4:$G$1463,"&lt;&gt;")*$A101*100/100,0)),MASTER!$AH$4:$AH$1463,0))="",NA(),INDEX(MASTER!$G$4:$G$1463,MATCH("FUCT"&amp;"|"&amp;MAX(1,ROUND(COUNTIFS(MASTER!$B$4:$B$1463,"FUCT",MASTER!$G$4:$G$1463,"&lt;&gt;")*$A101*100/100,0)),MASTER!$AH$4:$AH$1463,0))),NA()),IF($B$4="SECONDARY",IFERROR(IF(INDEX(MASTER!$L$4:$L$1463,MATCH("FUCT"&amp;"|"&amp;MAX(1,ROUND(COUNTIFS(MASTER!$B$4:$B$1463,"FUCT",MASTER!$L$4:$L$1463,"&lt;&gt;")*$A101*100/100,0)),MASTER!$AI$4:$AI$1463,0))="",NA(),INDEX(MASTER!$L$4:$L$1463,MATCH("FUCT"&amp;"|"&amp;MAX(1,ROUND(COUNTIFS(MASTER!$B$4:$B$1463,"FUCT",MASTER!$L$4:$L$1463,"&lt;&gt;")*$A101*100/100,0)),MASTER!$AI$4:$AI$1463,0))),NA()))))</f>
        <v>4627</v>
      </c>
      <c r="Q101" s="37">
        <f>IF($B$4="RESONANCE",IFERROR(IF(INDEX(MASTER!$I$4:$I$1463,MATCH($E$4&amp;"|"&amp;MAX(1,ROUND(COUNTIFS(MASTER!$B$4:$B$1463,$E$4,MASTER!$I$4:$I$1463,"&lt;&gt;")*$A101*100/100,0)),MASTER!$Y$4:$Y$1463,0))="",NA(),INDEX(MASTER!$I$4:$I$1463,MATCH($E$4&amp;"|"&amp;MAX(1,ROUND(COUNTIFS(MASTER!$B$4:$B$1463,$E$4,MASTER!$I$4:$I$1463,"&lt;&gt;")*$A101*100/100,0)),MASTER!$Y$4:$Y$1463,0))),NA()),IF($B$4="COMBAT RATING",IFERROR(IF(INDEX(MASTER!$G$4:$G$1463,MATCH($E$4&amp;"|"&amp;MAX(1,ROUND(COUNTIFS(MASTER!$B$4:$B$1463,$E$4,MASTER!$G$4:$G$1463,"&lt;&gt;")*$A101*100/100,0)),MASTER!$AH$4:$AH$1463,0))="",NA(),INDEX(MASTER!$G$4:$G$1463,MATCH($E$4&amp;"|"&amp;MAX(1,ROUND(COUNTIFS(MASTER!$B$4:$B$1463,$E$4,MASTER!$G$4:$G$1463,"&lt;&gt;")*$A101*100/100,0)),MASTER!$AH$4:$AH$1463,0))),NA()),IF($B$4="SECONDARY",IFERROR(IF(INDEX(MASTER!$L$4:$L$1463,MATCH($E$4&amp;"|"&amp;MAX(1,ROUND(COUNTIFS(MASTER!$B$4:$B$1463,$E$4,MASTER!$L$4:$L$1463,"&lt;&gt;")*$A101*100/100,0)),MASTER!$AI$4:$AI$1463,0))="",NA(),INDEX(MASTER!$L$4:$L$1463,MATCH($E$4&amp;"|"&amp;MAX(1,ROUND(COUNTIFS(MASTER!$B$4:$B$1463,$E$4,MASTER!$L$4:$L$1463,"&lt;&gt;")*$A101*100/100,0)),MASTER!$AI$4:$AI$1463,0))),NA()))))</f>
        <v>4285</v>
      </c>
    </row>
    <row r="102" spans="1:17" hidden="1">
      <c r="A102" s="36">
        <v>0.47</v>
      </c>
      <c r="B102" s="37">
        <f>IF($B$4="RESONANCE",IFERROR(IF(INDEX(MASTER!$I$4:$I$1463,MATCH("FUCT"&amp;"|"&amp;MAX(1,ROUND(COUNTIFS(MASTER!$B$4:$B$1463,"FUCT",MASTER!$I$4:$I$1463,"&lt;&gt;")*$A102*100/100,0)),MASTER!$Y$4:$Y$1463,0))="",NA(),INDEX(MASTER!$I$4:$I$1463,MATCH("FUCT"&amp;"|"&amp;MAX(1,ROUND(COUNTIFS(MASTER!$B$4:$B$1463,"FUCT",MASTER!$I$4:$I$1463,"&lt;&gt;")*$A102*100/100,0)),MASTER!$Y$4:$Y$1463,0))),NA()),IF($B$4="COMBAT RATING",IFERROR(IF(INDEX(MASTER!$G$4:$G$1463,MATCH("FUCT"&amp;"|"&amp;MAX(1,ROUND(COUNTIFS(MASTER!$B$4:$B$1463,"FUCT",MASTER!$G$4:$G$1463,"&lt;&gt;")*$A102*100/100,0)),MASTER!$AH$4:$AH$1463,0))="",NA(),INDEX(MASTER!$G$4:$G$1463,MATCH("FUCT"&amp;"|"&amp;MAX(1,ROUND(COUNTIFS(MASTER!$B$4:$B$1463,"FUCT",MASTER!$G$4:$G$1463,"&lt;&gt;")*$A102*100/100,0)),MASTER!$AH$4:$AH$1463,0))),NA()),IF($B$4="SECONDARY",IFERROR(IF(INDEX(MASTER!$L$4:$L$1463,MATCH("FUCT"&amp;"|"&amp;MAX(1,ROUND(COUNTIFS(MASTER!$B$4:$B$1463,"FUCT",MASTER!$L$4:$L$1463,"&lt;&gt;")*$A102*100/100,0)),MASTER!$AI$4:$AI$1463,0))="",NA(),INDEX(MASTER!$L$4:$L$1463,MATCH("FUCT"&amp;"|"&amp;MAX(1,ROUND(COUNTIFS(MASTER!$B$4:$B$1463,"FUCT",MASTER!$L$4:$L$1463,"&lt;&gt;")*$A102*100/100,0)),MASTER!$AI$4:$AI$1463,0))),NA()))))</f>
        <v>4609</v>
      </c>
      <c r="C102" s="37">
        <f>IF($B$4="RESONANCE",IFERROR(IF(INDEX(MASTER!$I$4:$I$1463,MATCH("LEGENDS"&amp;"|"&amp;MAX(1,ROUND(COUNTIFS(MASTER!$B$4:$B$1463,"LEGENDS",MASTER!$I$4:$I$1463,"&lt;&gt;")*$A102*100/100,0)),MASTER!$Y$4:$Y$1463,0))="",NA(),INDEX(MASTER!$I$4:$I$1463,MATCH("LEGENDS"&amp;"|"&amp;MAX(1,ROUND(COUNTIFS(MASTER!$B$4:$B$1463,"LEGENDS",MASTER!$I$4:$I$1463,"&lt;&gt;")*$A102*100/100,0)),MASTER!$Y$4:$Y$1463,0))),NA()),IF($B$4="COMBAT RATING",IFERROR(IF(INDEX(MASTER!$G$4:$G$1463,MATCH("LEGENDS"&amp;"|"&amp;MAX(1,ROUND(COUNTIFS(MASTER!$B$4:$B$1463,"LEGENDS",MASTER!$G$4:$G$1463,"&lt;&gt;")*$A102*100/100,0)),MASTER!$AH$4:$AH$1463,0))="",NA(),INDEX(MASTER!$G$4:$G$1463,MATCH("LEGENDS"&amp;"|"&amp;MAX(1,ROUND(COUNTIFS(MASTER!$B$4:$B$1463,"LEGENDS",MASTER!$G$4:$G$1463,"&lt;&gt;")*$A102*100/100,0)),MASTER!$AH$4:$AH$1463,0))),NA()),IF($B$4="SECONDARY",IFERROR(IF(INDEX(MASTER!$L$4:$L$1463,MATCH("LEGENDS"&amp;"|"&amp;MAX(1,ROUND(COUNTIFS(MASTER!$B$4:$B$1463,"LEGENDS",MASTER!$L$4:$L$1463,"&lt;&gt;")*$A102*100/100,0)),MASTER!$AI$4:$AI$1463,0))="",NA(),INDEX(MASTER!$L$4:$L$1463,MATCH("LEGENDS"&amp;"|"&amp;MAX(1,ROUND(COUNTIFS(MASTER!$B$4:$B$1463,"LEGENDS",MASTER!$L$4:$L$1463,"&lt;&gt;")*$A102*100/100,0)),MASTER!$AI$4:$AI$1463,0))),NA()))))</f>
        <v>5222</v>
      </c>
      <c r="D102" s="37">
        <f>IF($B$4="RESONANCE",IFERROR(IF(INDEX(MASTER!$I$4:$I$1463,MATCH("VANGUARD"&amp;"|"&amp;MAX(1,ROUND(COUNTIFS(MASTER!$B$4:$B$1463,"VANGUARD",MASTER!$I$4:$I$1463,"&lt;&gt;")*$A102*100/100,0)),MASTER!$Y$4:$Y$1463,0))="",NA(),INDEX(MASTER!$I$4:$I$1463,MATCH("VANGUARD"&amp;"|"&amp;MAX(1,ROUND(COUNTIFS(MASTER!$B$4:$B$1463,"VANGUARD",MASTER!$I$4:$I$1463,"&lt;&gt;")*$A102*100/100,0)),MASTER!$Y$4:$Y$1463,0))),NA()),IF($B$4="COMBAT RATING",IFERROR(IF(INDEX(MASTER!$G$4:$G$1463,MATCH("VANGUARD"&amp;"|"&amp;MAX(1,ROUND(COUNTIFS(MASTER!$B$4:$B$1463,"VANGUARD",MASTER!$G$4:$G$1463,"&lt;&gt;")*$A102*100/100,0)),MASTER!$AH$4:$AH$1463,0))="",NA(),INDEX(MASTER!$G$4:$G$1463,MATCH("VANGUARD"&amp;"|"&amp;MAX(1,ROUND(COUNTIFS(MASTER!$B$4:$B$1463,"VANGUARD",MASTER!$G$4:$G$1463,"&lt;&gt;")*$A102*100/100,0)),MASTER!$AH$4:$AH$1463,0))),NA()),IF($B$4="SECONDARY",IFERROR(IF(INDEX(MASTER!$L$4:$L$1463,MATCH("VANGUARD"&amp;"|"&amp;MAX(1,ROUND(COUNTIFS(MASTER!$B$4:$B$1463,"VANGUARD",MASTER!$L$4:$L$1463,"&lt;&gt;")*$A102*100/100,0)),MASTER!$AI$4:$AI$1463,0))="",NA(),INDEX(MASTER!$L$4:$L$1463,MATCH("VANGUARD"&amp;"|"&amp;MAX(1,ROUND(COUNTIFS(MASTER!$B$4:$B$1463,"VANGUARD",MASTER!$L$4:$L$1463,"&lt;&gt;")*$A102*100/100,0)),MASTER!$AI$4:$AI$1463,0))),NA()))))</f>
        <v>7130</v>
      </c>
      <c r="E102" s="37">
        <f>IF($B$4="RESONANCE",IFERROR(IF(INDEX(MASTER!$I$4:$I$1463,MATCH("UNDYING"&amp;"|"&amp;MAX(1,ROUND(COUNTIFS(MASTER!$B$4:$B$1463,"UNDYING",MASTER!$I$4:$I$1463,"&lt;&gt;")*$A102*100/100,0)),MASTER!$Y$4:$Y$1463,0))="",NA(),INDEX(MASTER!$I$4:$I$1463,MATCH("UNDYING"&amp;"|"&amp;MAX(1,ROUND(COUNTIFS(MASTER!$B$4:$B$1463,"UNDYING",MASTER!$I$4:$I$1463,"&lt;&gt;")*$A102*100/100,0)),MASTER!$Y$4:$Y$1463,0))),NA()),IF($B$4="COMBAT RATING",IFERROR(IF(INDEX(MASTER!$G$4:$G$1463,MATCH("UNDYING"&amp;"|"&amp;MAX(1,ROUND(COUNTIFS(MASTER!$B$4:$B$1463,"UNDYING",MASTER!$G$4:$G$1463,"&lt;&gt;")*$A102*100/100,0)),MASTER!$AH$4:$AH$1463,0))="",NA(),INDEX(MASTER!$G$4:$G$1463,MATCH("UNDYING"&amp;"|"&amp;MAX(1,ROUND(COUNTIFS(MASTER!$B$4:$B$1463,"UNDYING",MASTER!$G$4:$G$1463,"&lt;&gt;")*$A102*100/100,0)),MASTER!$AH$4:$AH$1463,0))),NA()),IF($B$4="SECONDARY",IFERROR(IF(INDEX(MASTER!$L$4:$L$1463,MATCH("UNDYING"&amp;"|"&amp;MAX(1,ROUND(COUNTIFS(MASTER!$B$4:$B$1463,"UNDYING",MASTER!$L$4:$L$1463,"&lt;&gt;")*$A102*100/100,0)),MASTER!$AI$4:$AI$1463,0))="",NA(),INDEX(MASTER!$L$4:$L$1463,MATCH("UNDYING"&amp;"|"&amp;MAX(1,ROUND(COUNTIFS(MASTER!$B$4:$B$1463,"UNDYING",MASTER!$L$4:$L$1463,"&lt;&gt;")*$A102*100/100,0)),MASTER!$AI$4:$AI$1463,0))),NA()))))</f>
        <v>4259</v>
      </c>
      <c r="F102" s="37">
        <f>IF($B$4="RESONANCE",IFERROR(IF(INDEX(MASTER!$I$4:$I$1463,MATCH("SBG"&amp;"|"&amp;MAX(1,ROUND(COUNTIFS(MASTER!$B$4:$B$1463,"SBG",MASTER!$I$4:$I$1463,"&lt;&gt;")*$A102*100/100,0)),MASTER!$Y$4:$Y$1463,0))="",NA(),INDEX(MASTER!$I$4:$I$1463,MATCH("SBG"&amp;"|"&amp;MAX(1,ROUND(COUNTIFS(MASTER!$B$4:$B$1463,"SBG",MASTER!$I$4:$I$1463,"&lt;&gt;")*$A102*100/100,0)),MASTER!$Y$4:$Y$1463,0))),NA()),IF($B$4="COMBAT RATING",IFERROR(IF(INDEX(MASTER!$G$4:$G$1463,MATCH("SBG"&amp;"|"&amp;MAX(1,ROUND(COUNTIFS(MASTER!$B$4:$B$1463,"SBG",MASTER!$G$4:$G$1463,"&lt;&gt;")*$A102*100/100,0)),MASTER!$AH$4:$AH$1463,0))="",NA(),INDEX(MASTER!$G$4:$G$1463,MATCH("SBG"&amp;"|"&amp;MAX(1,ROUND(COUNTIFS(MASTER!$B$4:$B$1463,"SBG",MASTER!$G$4:$G$1463,"&lt;&gt;")*$A102*100/100,0)),MASTER!$AH$4:$AH$1463,0))),NA()),IF($B$4="SECONDARY",IFERROR(IF(INDEX(MASTER!$L$4:$L$1463,MATCH("SBG"&amp;"|"&amp;MAX(1,ROUND(COUNTIFS(MASTER!$B$4:$B$1463,"SBG",MASTER!$L$4:$L$1463,"&lt;&gt;")*$A102*100/100,0)),MASTER!$AI$4:$AI$1463,0))="",NA(),INDEX(MASTER!$L$4:$L$1463,MATCH("SBG"&amp;"|"&amp;MAX(1,ROUND(COUNTIFS(MASTER!$B$4:$B$1463,"SBG",MASTER!$L$4:$L$1463,"&lt;&gt;")*$A102*100/100,0)),MASTER!$AI$4:$AI$1463,0))),NA()))))</f>
        <v>5977</v>
      </c>
      <c r="G102" s="37">
        <f>IF($B$4="RESONANCE",IFERROR(IF(INDEX(MASTER!$I$4:$I$1463,MATCH("AZUKI"&amp;"|"&amp;MAX(1,ROUND(COUNTIFS(MASTER!$B$4:$B$1463,"AZUKI",MASTER!$I$4:$I$1463,"&lt;&gt;")*$A102*100/100,0)),MASTER!$Y$4:$Y$1463,0))="",NA(),INDEX(MASTER!$I$4:$I$1463,MATCH("AZUKI"&amp;"|"&amp;MAX(1,ROUND(COUNTIFS(MASTER!$B$4:$B$1463,"AZUKI",MASTER!$I$4:$I$1463,"&lt;&gt;")*$A102*100/100,0)),MASTER!$Y$4:$Y$1463,0))),NA()),IF($B$4="COMBAT RATING",IFERROR(IF(INDEX(MASTER!$G$4:$G$1463,MATCH("AZUKI"&amp;"|"&amp;MAX(1,ROUND(COUNTIFS(MASTER!$B$4:$B$1463,"AZUKI",MASTER!$G$4:$G$1463,"&lt;&gt;")*$A102*100/100,0)),MASTER!$AH$4:$AH$1463,0))="",NA(),INDEX(MASTER!$G$4:$G$1463,MATCH("AZUKI"&amp;"|"&amp;MAX(1,ROUND(COUNTIFS(MASTER!$B$4:$B$1463,"AZUKI",MASTER!$G$4:$G$1463,"&lt;&gt;")*$A102*100/100,0)),MASTER!$AH$4:$AH$1463,0))),NA()),IF($B$4="SECONDARY",IFERROR(IF(INDEX(MASTER!$L$4:$L$1463,MATCH("AZUKI"&amp;"|"&amp;MAX(1,ROUND(COUNTIFS(MASTER!$B$4:$B$1463,"AZUKI",MASTER!$L$4:$L$1463,"&lt;&gt;")*$A102*100/100,0)),MASTER!$AI$4:$AI$1463,0))="",NA(),INDEX(MASTER!$L$4:$L$1463,MATCH("AZUKI"&amp;"|"&amp;MAX(1,ROUND(COUNTIFS(MASTER!$B$4:$B$1463,"AZUKI",MASTER!$L$4:$L$1463,"&lt;&gt;")*$A102*100/100,0)),MASTER!$AI$4:$AI$1463,0))),NA()))))</f>
        <v>5068</v>
      </c>
      <c r="H102" s="37">
        <f>IF($B$4="RESONANCE",IFERROR(IF(INDEX(MASTER!$I$4:$I$1463,MATCH("RECKONING"&amp;"|"&amp;MAX(1,ROUND(COUNTIFS(MASTER!$B$4:$B$1463,"RECKONING",MASTER!$I$4:$I$1463,"&lt;&gt;")*$A102*100/100,0)),MASTER!$Y$4:$Y$1463,0))="",NA(),INDEX(MASTER!$I$4:$I$1463,MATCH("RECKONING"&amp;"|"&amp;MAX(1,ROUND(COUNTIFS(MASTER!$B$4:$B$1463,"RECKONING",MASTER!$I$4:$I$1463,"&lt;&gt;")*$A102*100/100,0)),MASTER!$Y$4:$Y$1463,0))),NA()),IF($B$4="COMBAT RATING",IFERROR(IF(INDEX(MASTER!$G$4:$G$1463,MATCH("RECKONING"&amp;"|"&amp;MAX(1,ROUND(COUNTIFS(MASTER!$B$4:$B$1463,"RECKONING",MASTER!$G$4:$G$1463,"&lt;&gt;")*$A102*100/100,0)),MASTER!$AH$4:$AH$1463,0))="",NA(),INDEX(MASTER!$G$4:$G$1463,MATCH("RECKONING"&amp;"|"&amp;MAX(1,ROUND(COUNTIFS(MASTER!$B$4:$B$1463,"RECKONING",MASTER!$G$4:$G$1463,"&lt;&gt;")*$A102*100/100,0)),MASTER!$AH$4:$AH$1463,0))),NA()),IF($B$4="SECONDARY",IFERROR(IF(INDEX(MASTER!$L$4:$L$1463,MATCH("RECKONING"&amp;"|"&amp;MAX(1,ROUND(COUNTIFS(MASTER!$B$4:$B$1463,"RECKONING",MASTER!$L$4:$L$1463,"&lt;&gt;")*$A102*100/100,0)),MASTER!$AI$4:$AI$1463,0))="",NA(),INDEX(MASTER!$L$4:$L$1463,MATCH("RECKONING"&amp;"|"&amp;MAX(1,ROUND(COUNTIFS(MASTER!$B$4:$B$1463,"RECKONING",MASTER!$L$4:$L$1463,"&lt;&gt;")*$A102*100/100,0)),MASTER!$AI$4:$AI$1463,0))),NA()))))</f>
        <v>5067</v>
      </c>
      <c r="I102" s="37">
        <f>IF($B$4="RESONANCE",IFERROR(IF(INDEX(MASTER!$I$4:$I$1463,MATCH("ACHERON"&amp;"|"&amp;MAX(1,ROUND(COUNTIFS(MASTER!$B$4:$B$1463,"ACHERON",MASTER!$I$4:$I$1463,"&lt;&gt;")*$A102*100/100,0)),MASTER!$Y$4:$Y$1463,0))="",NA(),INDEX(MASTER!$I$4:$I$1463,MATCH("ACHERON"&amp;"|"&amp;MAX(1,ROUND(COUNTIFS(MASTER!$B$4:$B$1463,"ACHERON",MASTER!$I$4:$I$1463,"&lt;&gt;")*$A102*100/100,0)),MASTER!$Y$4:$Y$1463,0))),NA()),IF($B$4="COMBAT RATING",IFERROR(IF(INDEX(MASTER!$G$4:$G$1463,MATCH("ACHERON"&amp;"|"&amp;MAX(1,ROUND(COUNTIFS(MASTER!$B$4:$B$1463,"ACHERON",MASTER!$G$4:$G$1463,"&lt;&gt;")*$A102*100/100,0)),MASTER!$AH$4:$AH$1463,0))="",NA(),INDEX(MASTER!$G$4:$G$1463,MATCH("ACHERON"&amp;"|"&amp;MAX(1,ROUND(COUNTIFS(MASTER!$B$4:$B$1463,"ACHERON",MASTER!$G$4:$G$1463,"&lt;&gt;")*$A102*100/100,0)),MASTER!$AH$4:$AH$1463,0))),NA()),IF($B$4="SECONDARY",IFERROR(IF(INDEX(MASTER!$L$4:$L$1463,MATCH("ACHERON"&amp;"|"&amp;MAX(1,ROUND(COUNTIFS(MASTER!$B$4:$B$1463,"ACHERON",MASTER!$L$4:$L$1463,"&lt;&gt;")*$A102*100/100,0)),MASTER!$AI$4:$AI$1463,0))="",NA(),INDEX(MASTER!$L$4:$L$1463,MATCH("ACHERON"&amp;"|"&amp;MAX(1,ROUND(COUNTIFS(MASTER!$B$4:$B$1463,"ACHERON",MASTER!$L$4:$L$1463,"&lt;&gt;")*$A102*100/100,0)),MASTER!$AI$4:$AI$1463,0))),NA()))))</f>
        <v>4019</v>
      </c>
      <c r="J102" s="37">
        <f>IF($B$4="RESONANCE",IFERROR(IF(INDEX(MASTER!$I$4:$I$1463,MATCH("INVICTUS"&amp;"|"&amp;MAX(1,ROUND(COUNTIFS(MASTER!$B$4:$B$1463,"INVICTUS",MASTER!$I$4:$I$1463,"&lt;&gt;")*$A102*100/100,0)),MASTER!$Y$4:$Y$1463,0))="",NA(),INDEX(MASTER!$I$4:$I$1463,MATCH("INVICTUS"&amp;"|"&amp;MAX(1,ROUND(COUNTIFS(MASTER!$B$4:$B$1463,"INVICTUS",MASTER!$I$4:$I$1463,"&lt;&gt;")*$A102*100/100,0)),MASTER!$Y$4:$Y$1463,0))),NA()),IF($B$4="COMBAT RATING",IFERROR(IF(INDEX(MASTER!$G$4:$G$1463,MATCH("INVICTUS"&amp;"|"&amp;MAX(1,ROUND(COUNTIFS(MASTER!$B$4:$B$1463,"INVICTUS",MASTER!$G$4:$G$1463,"&lt;&gt;")*$A102*100/100,0)),MASTER!$AH$4:$AH$1463,0))="",NA(),INDEX(MASTER!$G$4:$G$1463,MATCH("INVICTUS"&amp;"|"&amp;MAX(1,ROUND(COUNTIFS(MASTER!$B$4:$B$1463,"INVICTUS",MASTER!$G$4:$G$1463,"&lt;&gt;")*$A102*100/100,0)),MASTER!$AH$4:$AH$1463,0))),NA()),IF($B$4="SECONDARY",IFERROR(IF(INDEX(MASTER!$L$4:$L$1463,MATCH("INVICTUS"&amp;"|"&amp;MAX(1,ROUND(COUNTIFS(MASTER!$B$4:$B$1463,"INVICTUS",MASTER!$L$4:$L$1463,"&lt;&gt;")*$A102*100/100,0)),MASTER!$AI$4:$AI$1463,0))="",NA(),INDEX(MASTER!$L$4:$L$1463,MATCH("INVICTUS"&amp;"|"&amp;MAX(1,ROUND(COUNTIFS(MASTER!$B$4:$B$1463,"INVICTUS",MASTER!$L$4:$L$1463,"&lt;&gt;")*$A102*100/100,0)),MASTER!$AI$4:$AI$1463,0))),NA()))))</f>
        <v>3154</v>
      </c>
      <c r="K102" s="37">
        <f>IF($B$4="RESONANCE",IFERROR(IF(INDEX(MASTER!$I$4:$I$1463,MATCH("EMERALD LEAF TRIBE"&amp;"|"&amp;MAX(1,ROUND(COUNTIFS(MASTER!$B$4:$B$1463,"EMERALD LEAF TRIBE",MASTER!$I$4:$I$1463,"&lt;&gt;")*$A102*100/100,0)),MASTER!$Y$4:$Y$1463,0))="",NA(),INDEX(MASTER!$I$4:$I$1463,MATCH("EMERALD LEAF TRIBE"&amp;"|"&amp;MAX(1,ROUND(COUNTIFS(MASTER!$B$4:$B$1463,"EMERALD LEAF TRIBE",MASTER!$I$4:$I$1463,"&lt;&gt;")*$A102*100/100,0)),MASTER!$Y$4:$Y$1463,0))),NA()),IF($B$4="COMBAT RATING",IFERROR(IF(INDEX(MASTER!$G$4:$G$1463,MATCH("EMERALD LEAF TRIBE"&amp;"|"&amp;MAX(1,ROUND(COUNTIFS(MASTER!$B$4:$B$1463,"EMERALD LEAF TRIBE",MASTER!$G$4:$G$1463,"&lt;&gt;")*$A102*100/100,0)),MASTER!$AH$4:$AH$1463,0))="",NA(),INDEX(MASTER!$G$4:$G$1463,MATCH("EMERALD LEAF TRIBE"&amp;"|"&amp;MAX(1,ROUND(COUNTIFS(MASTER!$B$4:$B$1463,"EMERALD LEAF TRIBE",MASTER!$G$4:$G$1463,"&lt;&gt;")*$A102*100/100,0)),MASTER!$AH$4:$AH$1463,0))),NA()),IF($B$4="SECONDARY",IFERROR(IF(INDEX(MASTER!$L$4:$L$1463,MATCH("EMERALD LEAF TRIBE"&amp;"|"&amp;MAX(1,ROUND(COUNTIFS(MASTER!$B$4:$B$1463,"EMERALD LEAF TRIBE",MASTER!$L$4:$L$1463,"&lt;&gt;")*$A102*100/100,0)),MASTER!$AI$4:$AI$1463,0))="",NA(),INDEX(MASTER!$L$4:$L$1463,MATCH("EMERALD LEAF TRIBE"&amp;"|"&amp;MAX(1,ROUND(COUNTIFS(MASTER!$B$4:$B$1463,"EMERALD LEAF TRIBE",MASTER!$L$4:$L$1463,"&lt;&gt;")*$A102*100/100,0)),MASTER!$AI$4:$AI$1463,0))),NA()))))</f>
        <v>2358</v>
      </c>
      <c r="L102" s="37">
        <f>IF($B$4="RESONANCE",IFERROR(IF(INDEX(MASTER!$I$4:$I$1463,MATCH("SUB ROSA"&amp;"|"&amp;MAX(1,ROUND(COUNTIFS(MASTER!$B$4:$B$1463,"SUB ROSA",MASTER!$I$4:$I$1463,"&lt;&gt;")*$A102*100/100,0)),MASTER!$Y$4:$Y$1463,0))="",NA(),INDEX(MASTER!$I$4:$I$1463,MATCH("SUB ROSA"&amp;"|"&amp;MAX(1,ROUND(COUNTIFS(MASTER!$B$4:$B$1463,"SUB ROSA",MASTER!$I$4:$I$1463,"&lt;&gt;")*$A102*100/100,0)),MASTER!$Y$4:$Y$1463,0))),NA()),IF($B$4="COMBAT RATING",IFERROR(IF(INDEX(MASTER!$G$4:$G$1463,MATCH("SUB ROSA"&amp;"|"&amp;MAX(1,ROUND(COUNTIFS(MASTER!$B$4:$B$1463,"SUB ROSA",MASTER!$G$4:$G$1463,"&lt;&gt;")*$A102*100/100,0)),MASTER!$AH$4:$AH$1463,0))="",NA(),INDEX(MASTER!$G$4:$G$1463,MATCH("SUB ROSA"&amp;"|"&amp;MAX(1,ROUND(COUNTIFS(MASTER!$B$4:$B$1463,"SUB ROSA",MASTER!$G$4:$G$1463,"&lt;&gt;")*$A102*100/100,0)),MASTER!$AH$4:$AH$1463,0))),NA()),IF($B$4="SECONDARY",IFERROR(IF(INDEX(MASTER!$L$4:$L$1463,MATCH("SUB ROSA"&amp;"|"&amp;MAX(1,ROUND(COUNTIFS(MASTER!$B$4:$B$1463,"SUB ROSA",MASTER!$L$4:$L$1463,"&lt;&gt;")*$A102*100/100,0)),MASTER!$AI$4:$AI$1463,0))="",NA(),INDEX(MASTER!$L$4:$L$1463,MATCH("SUB ROSA"&amp;"|"&amp;MAX(1,ROUND(COUNTIFS(MASTER!$B$4:$B$1463,"SUB ROSA",MASTER!$L$4:$L$1463,"&lt;&gt;")*$A102*100/100,0)),MASTER!$AI$4:$AI$1463,0))),NA()))))</f>
        <v>2630</v>
      </c>
      <c r="M102" s="37">
        <f>IF($B$4="RESONANCE",IFERROR(IF(INDEX(MASTER!$I$4:$I$1463,MATCH("VENGEANCE"&amp;"|"&amp;MAX(1,ROUND(COUNTIFS(MASTER!$B$4:$B$1463,"VENGEANCE",MASTER!$I$4:$I$1463,"&lt;&gt;")*$A102*100/100,0)),MASTER!$Y$4:$Y$1463,0))="",NA(),INDEX(MASTER!$I$4:$I$1463,MATCH("VENGEANCE"&amp;"|"&amp;MAX(1,ROUND(COUNTIFS(MASTER!$B$4:$B$1463,"VENGEANCE",MASTER!$I$4:$I$1463,"&lt;&gt;")*$A102*100/100,0)),MASTER!$Y$4:$Y$1463,0))),NA()),IF($B$4="COMBAT RATING",IFERROR(IF(INDEX(MASTER!$G$4:$G$1463,MATCH("VENGEANCE"&amp;"|"&amp;MAX(1,ROUND(COUNTIFS(MASTER!$B$4:$B$1463,"VENGEANCE",MASTER!$G$4:$G$1463,"&lt;&gt;")*$A102*100/100,0)),MASTER!$AH$4:$AH$1463,0))="",NA(),INDEX(MASTER!$G$4:$G$1463,MATCH("VENGEANCE"&amp;"|"&amp;MAX(1,ROUND(COUNTIFS(MASTER!$B$4:$B$1463,"VENGEANCE",MASTER!$G$4:$G$1463,"&lt;&gt;")*$A102*100/100,0)),MASTER!$AH$4:$AH$1463,0))),NA()),IF($B$4="SECONDARY",IFERROR(IF(INDEX(MASTER!$L$4:$L$1463,MATCH("VENGEANCE"&amp;"|"&amp;MAX(1,ROUND(COUNTIFS(MASTER!$B$4:$B$1463,"VENGEANCE",MASTER!$L$4:$L$1463,"&lt;&gt;")*$A102*100/100,0)),MASTER!$AI$4:$AI$1463,0))="",NA(),INDEX(MASTER!$L$4:$L$1463,MATCH("VENGEANCE"&amp;"|"&amp;MAX(1,ROUND(COUNTIFS(MASTER!$B$4:$B$1463,"VENGEANCE",MASTER!$L$4:$L$1463,"&lt;&gt;")*$A102*100/100,0)),MASTER!$AI$4:$AI$1463,0))),NA()))))</f>
        <v>3520</v>
      </c>
      <c r="N102" s="37">
        <f>IF($B$4="RESONANCE",IFERROR(IF(INDEX(MASTER!$I$4:$I$1463,MATCH("VENDETTA"&amp;"|"&amp;MAX(1,ROUND(COUNTIFS(MASTER!$B$4:$B$1463,"VENDETTA",MASTER!$I$4:$I$1463,"&lt;&gt;")*$A102*100/100,0)),MASTER!$Y$4:$Y$1463,0))="",NA(),INDEX(MASTER!$I$4:$I$1463,MATCH("VENDETTA"&amp;"|"&amp;MAX(1,ROUND(COUNTIFS(MASTER!$B$4:$B$1463,"VENDETTA",MASTER!$I$4:$I$1463,"&lt;&gt;")*$A102*100/100,0)),MASTER!$Y$4:$Y$1463,0))),NA()),IF($B$4="COMBAT RATING",IFERROR(IF(INDEX(MASTER!$G$4:$G$1463,MATCH("VENDETTA"&amp;"|"&amp;MAX(1,ROUND(COUNTIFS(MASTER!$B$4:$B$1463,"VENDETTA",MASTER!$G$4:$G$1463,"&lt;&gt;")*$A102*100/100,0)),MASTER!$AH$4:$AH$1463,0))="",NA(),INDEX(MASTER!$G$4:$G$1463,MATCH("VENDETTA"&amp;"|"&amp;MAX(1,ROUND(COUNTIFS(MASTER!$B$4:$B$1463,"VENDETTA",MASTER!$G$4:$G$1463,"&lt;&gt;")*$A102*100/100,0)),MASTER!$AH$4:$AH$1463,0))),NA()),IF($B$4="SECONDARY",IFERROR(IF(INDEX(MASTER!$L$4:$L$1463,MATCH("VENDETTA"&amp;"|"&amp;MAX(1,ROUND(COUNTIFS(MASTER!$B$4:$B$1463,"VENDETTA",MASTER!$L$4:$L$1463,"&lt;&gt;")*$A102*100/100,0)),MASTER!$AI$4:$AI$1463,0))="",NA(),INDEX(MASTER!$L$4:$L$1463,MATCH("VENDETTA"&amp;"|"&amp;MAX(1,ROUND(COUNTIFS(MASTER!$B$4:$B$1463,"VENDETTA",MASTER!$L$4:$L$1463,"&lt;&gt;")*$A102*100/100,0)),MASTER!$AI$4:$AI$1463,0))),NA()))))</f>
        <v>2085</v>
      </c>
      <c r="O102" s="37">
        <f>IF($B$4="RESONANCE",IFERROR(IF(INDEX(MASTER!$I$4:$I$1463,MATCH("ZOMBIES"&amp;"|"&amp;MAX(1,ROUND(COUNTIFS(MASTER!$B$4:$B$1463,"ZOMBIES",MASTER!$I$4:$I$1463,"&lt;&gt;")*$A102*100/100,0)),MASTER!$Y$4:$Y$1463,0))="",NA(),INDEX(MASTER!$I$4:$I$1463,MATCH("ZOMBIES"&amp;"|"&amp;MAX(1,ROUND(COUNTIFS(MASTER!$B$4:$B$1463,"ZOMBIES",MASTER!$I$4:$I$1463,"&lt;&gt;")*$A102*100/100,0)),MASTER!$Y$4:$Y$1463,0))),NA()),IF($B$4="COMBAT RATING",IFERROR(IF(INDEX(MASTER!$G$4:$G$1463,MATCH("ZOMBIES"&amp;"|"&amp;MAX(1,ROUND(COUNTIFS(MASTER!$B$4:$B$1463,"ZOMBIES",MASTER!$G$4:$G$1463,"&lt;&gt;")*$A102*100/100,0)),MASTER!$AH$4:$AH$1463,0))="",NA(),INDEX(MASTER!$G$4:$G$1463,MATCH("ZOMBIES"&amp;"|"&amp;MAX(1,ROUND(COUNTIFS(MASTER!$B$4:$B$1463,"ZOMBIES",MASTER!$G$4:$G$1463,"&lt;&gt;")*$A102*100/100,0)),MASTER!$AH$4:$AH$1463,0))),NA()),IF($B$4="SECONDARY",IFERROR(IF(INDEX(MASTER!$L$4:$L$1463,MATCH("ZOMBIES"&amp;"|"&amp;MAX(1,ROUND(COUNTIFS(MASTER!$B$4:$B$1463,"ZOMBIES",MASTER!$L$4:$L$1463,"&lt;&gt;")*$A102*100/100,0)),MASTER!$AI$4:$AI$1463,0))="",NA(),INDEX(MASTER!$L$4:$L$1463,MATCH("ZOMBIES"&amp;"|"&amp;MAX(1,ROUND(COUNTIFS(MASTER!$B$4:$B$1463,"ZOMBIES",MASTER!$L$4:$L$1463,"&lt;&gt;")*$A102*100/100,0)),MASTER!$AI$4:$AI$1463,0))),NA()))))</f>
        <v>1826</v>
      </c>
      <c r="P102" s="37">
        <f>IF($B$4="RESONANCE",IFERROR(IF(INDEX(MASTER!$I$4:$I$1463,MATCH("FUCT"&amp;"|"&amp;MAX(1,ROUND(COUNTIFS(MASTER!$B$4:$B$1463,"FUCT",MASTER!$I$4:$I$1463,"&lt;&gt;")*$A102*100/100,0)),MASTER!$Y$4:$Y$1463,0))="",NA(),INDEX(MASTER!$I$4:$I$1463,MATCH("FUCT"&amp;"|"&amp;MAX(1,ROUND(COUNTIFS(MASTER!$B$4:$B$1463,"FUCT",MASTER!$I$4:$I$1463,"&lt;&gt;")*$A102*100/100,0)),MASTER!$Y$4:$Y$1463,0))),NA()),IF($B$4="COMBAT RATING",IFERROR(IF(INDEX(MASTER!$G$4:$G$1463,MATCH("FUCT"&amp;"|"&amp;MAX(1,ROUND(COUNTIFS(MASTER!$B$4:$B$1463,"FUCT",MASTER!$G$4:$G$1463,"&lt;&gt;")*$A102*100/100,0)),MASTER!$AH$4:$AH$1463,0))="",NA(),INDEX(MASTER!$G$4:$G$1463,MATCH("FUCT"&amp;"|"&amp;MAX(1,ROUND(COUNTIFS(MASTER!$B$4:$B$1463,"FUCT",MASTER!$G$4:$G$1463,"&lt;&gt;")*$A102*100/100,0)),MASTER!$AH$4:$AH$1463,0))),NA()),IF($B$4="SECONDARY",IFERROR(IF(INDEX(MASTER!$L$4:$L$1463,MATCH("FUCT"&amp;"|"&amp;MAX(1,ROUND(COUNTIFS(MASTER!$B$4:$B$1463,"FUCT",MASTER!$L$4:$L$1463,"&lt;&gt;")*$A102*100/100,0)),MASTER!$AI$4:$AI$1463,0))="",NA(),INDEX(MASTER!$L$4:$L$1463,MATCH("FUCT"&amp;"|"&amp;MAX(1,ROUND(COUNTIFS(MASTER!$B$4:$B$1463,"FUCT",MASTER!$L$4:$L$1463,"&lt;&gt;")*$A102*100/100,0)),MASTER!$AI$4:$AI$1463,0))),NA()))))</f>
        <v>4609</v>
      </c>
      <c r="Q102" s="37">
        <f>IF($B$4="RESONANCE",IFERROR(IF(INDEX(MASTER!$I$4:$I$1463,MATCH($E$4&amp;"|"&amp;MAX(1,ROUND(COUNTIFS(MASTER!$B$4:$B$1463,$E$4,MASTER!$I$4:$I$1463,"&lt;&gt;")*$A102*100/100,0)),MASTER!$Y$4:$Y$1463,0))="",NA(),INDEX(MASTER!$I$4:$I$1463,MATCH($E$4&amp;"|"&amp;MAX(1,ROUND(COUNTIFS(MASTER!$B$4:$B$1463,$E$4,MASTER!$I$4:$I$1463,"&lt;&gt;")*$A102*100/100,0)),MASTER!$Y$4:$Y$1463,0))),NA()),IF($B$4="COMBAT RATING",IFERROR(IF(INDEX(MASTER!$G$4:$G$1463,MATCH($E$4&amp;"|"&amp;MAX(1,ROUND(COUNTIFS(MASTER!$B$4:$B$1463,$E$4,MASTER!$G$4:$G$1463,"&lt;&gt;")*$A102*100/100,0)),MASTER!$AH$4:$AH$1463,0))="",NA(),INDEX(MASTER!$G$4:$G$1463,MATCH($E$4&amp;"|"&amp;MAX(1,ROUND(COUNTIFS(MASTER!$B$4:$B$1463,$E$4,MASTER!$G$4:$G$1463,"&lt;&gt;")*$A102*100/100,0)),MASTER!$AH$4:$AH$1463,0))),NA()),IF($B$4="SECONDARY",IFERROR(IF(INDEX(MASTER!$L$4:$L$1463,MATCH($E$4&amp;"|"&amp;MAX(1,ROUND(COUNTIFS(MASTER!$B$4:$B$1463,$E$4,MASTER!$L$4:$L$1463,"&lt;&gt;")*$A102*100/100,0)),MASTER!$AI$4:$AI$1463,0))="",NA(),INDEX(MASTER!$L$4:$L$1463,MATCH($E$4&amp;"|"&amp;MAX(1,ROUND(COUNTIFS(MASTER!$B$4:$B$1463,$E$4,MASTER!$L$4:$L$1463,"&lt;&gt;")*$A102*100/100,0)),MASTER!$AI$4:$AI$1463,0))),NA()))))</f>
        <v>4259</v>
      </c>
    </row>
    <row r="103" spans="1:17" hidden="1">
      <c r="A103" s="36">
        <v>0.48</v>
      </c>
      <c r="B103" s="37">
        <f>IF($B$4="RESONANCE",IFERROR(IF(INDEX(MASTER!$I$4:$I$1463,MATCH("FUCT"&amp;"|"&amp;MAX(1,ROUND(COUNTIFS(MASTER!$B$4:$B$1463,"FUCT",MASTER!$I$4:$I$1463,"&lt;&gt;")*$A103*100/100,0)),MASTER!$Y$4:$Y$1463,0))="",NA(),INDEX(MASTER!$I$4:$I$1463,MATCH("FUCT"&amp;"|"&amp;MAX(1,ROUND(COUNTIFS(MASTER!$B$4:$B$1463,"FUCT",MASTER!$I$4:$I$1463,"&lt;&gt;")*$A103*100/100,0)),MASTER!$Y$4:$Y$1463,0))),NA()),IF($B$4="COMBAT RATING",IFERROR(IF(INDEX(MASTER!$G$4:$G$1463,MATCH("FUCT"&amp;"|"&amp;MAX(1,ROUND(COUNTIFS(MASTER!$B$4:$B$1463,"FUCT",MASTER!$G$4:$G$1463,"&lt;&gt;")*$A103*100/100,0)),MASTER!$AH$4:$AH$1463,0))="",NA(),INDEX(MASTER!$G$4:$G$1463,MATCH("FUCT"&amp;"|"&amp;MAX(1,ROUND(COUNTIFS(MASTER!$B$4:$B$1463,"FUCT",MASTER!$G$4:$G$1463,"&lt;&gt;")*$A103*100/100,0)),MASTER!$AH$4:$AH$1463,0))),NA()),IF($B$4="SECONDARY",IFERROR(IF(INDEX(MASTER!$L$4:$L$1463,MATCH("FUCT"&amp;"|"&amp;MAX(1,ROUND(COUNTIFS(MASTER!$B$4:$B$1463,"FUCT",MASTER!$L$4:$L$1463,"&lt;&gt;")*$A103*100/100,0)),MASTER!$AI$4:$AI$1463,0))="",NA(),INDEX(MASTER!$L$4:$L$1463,MATCH("FUCT"&amp;"|"&amp;MAX(1,ROUND(COUNTIFS(MASTER!$B$4:$B$1463,"FUCT",MASTER!$L$4:$L$1463,"&lt;&gt;")*$A103*100/100,0)),MASTER!$AI$4:$AI$1463,0))),NA()))))</f>
        <v>4560</v>
      </c>
      <c r="C103" s="37">
        <f>IF($B$4="RESONANCE",IFERROR(IF(INDEX(MASTER!$I$4:$I$1463,MATCH("LEGENDS"&amp;"|"&amp;MAX(1,ROUND(COUNTIFS(MASTER!$B$4:$B$1463,"LEGENDS",MASTER!$I$4:$I$1463,"&lt;&gt;")*$A103*100/100,0)),MASTER!$Y$4:$Y$1463,0))="",NA(),INDEX(MASTER!$I$4:$I$1463,MATCH("LEGENDS"&amp;"|"&amp;MAX(1,ROUND(COUNTIFS(MASTER!$B$4:$B$1463,"LEGENDS",MASTER!$I$4:$I$1463,"&lt;&gt;")*$A103*100/100,0)),MASTER!$Y$4:$Y$1463,0))),NA()),IF($B$4="COMBAT RATING",IFERROR(IF(INDEX(MASTER!$G$4:$G$1463,MATCH("LEGENDS"&amp;"|"&amp;MAX(1,ROUND(COUNTIFS(MASTER!$B$4:$B$1463,"LEGENDS",MASTER!$G$4:$G$1463,"&lt;&gt;")*$A103*100/100,0)),MASTER!$AH$4:$AH$1463,0))="",NA(),INDEX(MASTER!$G$4:$G$1463,MATCH("LEGENDS"&amp;"|"&amp;MAX(1,ROUND(COUNTIFS(MASTER!$B$4:$B$1463,"LEGENDS",MASTER!$G$4:$G$1463,"&lt;&gt;")*$A103*100/100,0)),MASTER!$AH$4:$AH$1463,0))),NA()),IF($B$4="SECONDARY",IFERROR(IF(INDEX(MASTER!$L$4:$L$1463,MATCH("LEGENDS"&amp;"|"&amp;MAX(1,ROUND(COUNTIFS(MASTER!$B$4:$B$1463,"LEGENDS",MASTER!$L$4:$L$1463,"&lt;&gt;")*$A103*100/100,0)),MASTER!$AI$4:$AI$1463,0))="",NA(),INDEX(MASTER!$L$4:$L$1463,MATCH("LEGENDS"&amp;"|"&amp;MAX(1,ROUND(COUNTIFS(MASTER!$B$4:$B$1463,"LEGENDS",MASTER!$L$4:$L$1463,"&lt;&gt;")*$A103*100/100,0)),MASTER!$AI$4:$AI$1463,0))),NA()))))</f>
        <v>5148</v>
      </c>
      <c r="D103" s="37">
        <f>IF($B$4="RESONANCE",IFERROR(IF(INDEX(MASTER!$I$4:$I$1463,MATCH("VANGUARD"&amp;"|"&amp;MAX(1,ROUND(COUNTIFS(MASTER!$B$4:$B$1463,"VANGUARD",MASTER!$I$4:$I$1463,"&lt;&gt;")*$A103*100/100,0)),MASTER!$Y$4:$Y$1463,0))="",NA(),INDEX(MASTER!$I$4:$I$1463,MATCH("VANGUARD"&amp;"|"&amp;MAX(1,ROUND(COUNTIFS(MASTER!$B$4:$B$1463,"VANGUARD",MASTER!$I$4:$I$1463,"&lt;&gt;")*$A103*100/100,0)),MASTER!$Y$4:$Y$1463,0))),NA()),IF($B$4="COMBAT RATING",IFERROR(IF(INDEX(MASTER!$G$4:$G$1463,MATCH("VANGUARD"&amp;"|"&amp;MAX(1,ROUND(COUNTIFS(MASTER!$B$4:$B$1463,"VANGUARD",MASTER!$G$4:$G$1463,"&lt;&gt;")*$A103*100/100,0)),MASTER!$AH$4:$AH$1463,0))="",NA(),INDEX(MASTER!$G$4:$G$1463,MATCH("VANGUARD"&amp;"|"&amp;MAX(1,ROUND(COUNTIFS(MASTER!$B$4:$B$1463,"VANGUARD",MASTER!$G$4:$G$1463,"&lt;&gt;")*$A103*100/100,0)),MASTER!$AH$4:$AH$1463,0))),NA()),IF($B$4="SECONDARY",IFERROR(IF(INDEX(MASTER!$L$4:$L$1463,MATCH("VANGUARD"&amp;"|"&amp;MAX(1,ROUND(COUNTIFS(MASTER!$B$4:$B$1463,"VANGUARD",MASTER!$L$4:$L$1463,"&lt;&gt;")*$A103*100/100,0)),MASTER!$AI$4:$AI$1463,0))="",NA(),INDEX(MASTER!$L$4:$L$1463,MATCH("VANGUARD"&amp;"|"&amp;MAX(1,ROUND(COUNTIFS(MASTER!$B$4:$B$1463,"VANGUARD",MASTER!$L$4:$L$1463,"&lt;&gt;")*$A103*100/100,0)),MASTER!$AI$4:$AI$1463,0))),NA()))))</f>
        <v>7105</v>
      </c>
      <c r="E103" s="37">
        <f>IF($B$4="RESONANCE",IFERROR(IF(INDEX(MASTER!$I$4:$I$1463,MATCH("UNDYING"&amp;"|"&amp;MAX(1,ROUND(COUNTIFS(MASTER!$B$4:$B$1463,"UNDYING",MASTER!$I$4:$I$1463,"&lt;&gt;")*$A103*100/100,0)),MASTER!$Y$4:$Y$1463,0))="",NA(),INDEX(MASTER!$I$4:$I$1463,MATCH("UNDYING"&amp;"|"&amp;MAX(1,ROUND(COUNTIFS(MASTER!$B$4:$B$1463,"UNDYING",MASTER!$I$4:$I$1463,"&lt;&gt;")*$A103*100/100,0)),MASTER!$Y$4:$Y$1463,0))),NA()),IF($B$4="COMBAT RATING",IFERROR(IF(INDEX(MASTER!$G$4:$G$1463,MATCH("UNDYING"&amp;"|"&amp;MAX(1,ROUND(COUNTIFS(MASTER!$B$4:$B$1463,"UNDYING",MASTER!$G$4:$G$1463,"&lt;&gt;")*$A103*100/100,0)),MASTER!$AH$4:$AH$1463,0))="",NA(),INDEX(MASTER!$G$4:$G$1463,MATCH("UNDYING"&amp;"|"&amp;MAX(1,ROUND(COUNTIFS(MASTER!$B$4:$B$1463,"UNDYING",MASTER!$G$4:$G$1463,"&lt;&gt;")*$A103*100/100,0)),MASTER!$AH$4:$AH$1463,0))),NA()),IF($B$4="SECONDARY",IFERROR(IF(INDEX(MASTER!$L$4:$L$1463,MATCH("UNDYING"&amp;"|"&amp;MAX(1,ROUND(COUNTIFS(MASTER!$B$4:$B$1463,"UNDYING",MASTER!$L$4:$L$1463,"&lt;&gt;")*$A103*100/100,0)),MASTER!$AI$4:$AI$1463,0))="",NA(),INDEX(MASTER!$L$4:$L$1463,MATCH("UNDYING"&amp;"|"&amp;MAX(1,ROUND(COUNTIFS(MASTER!$B$4:$B$1463,"UNDYING",MASTER!$L$4:$L$1463,"&lt;&gt;")*$A103*100/100,0)),MASTER!$AI$4:$AI$1463,0))),NA()))))</f>
        <v>4238</v>
      </c>
      <c r="F103" s="37">
        <f>IF($B$4="RESONANCE",IFERROR(IF(INDEX(MASTER!$I$4:$I$1463,MATCH("SBG"&amp;"|"&amp;MAX(1,ROUND(COUNTIFS(MASTER!$B$4:$B$1463,"SBG",MASTER!$I$4:$I$1463,"&lt;&gt;")*$A103*100/100,0)),MASTER!$Y$4:$Y$1463,0))="",NA(),INDEX(MASTER!$I$4:$I$1463,MATCH("SBG"&amp;"|"&amp;MAX(1,ROUND(COUNTIFS(MASTER!$B$4:$B$1463,"SBG",MASTER!$I$4:$I$1463,"&lt;&gt;")*$A103*100/100,0)),MASTER!$Y$4:$Y$1463,0))),NA()),IF($B$4="COMBAT RATING",IFERROR(IF(INDEX(MASTER!$G$4:$G$1463,MATCH("SBG"&amp;"|"&amp;MAX(1,ROUND(COUNTIFS(MASTER!$B$4:$B$1463,"SBG",MASTER!$G$4:$G$1463,"&lt;&gt;")*$A103*100/100,0)),MASTER!$AH$4:$AH$1463,0))="",NA(),INDEX(MASTER!$G$4:$G$1463,MATCH("SBG"&amp;"|"&amp;MAX(1,ROUND(COUNTIFS(MASTER!$B$4:$B$1463,"SBG",MASTER!$G$4:$G$1463,"&lt;&gt;")*$A103*100/100,0)),MASTER!$AH$4:$AH$1463,0))),NA()),IF($B$4="SECONDARY",IFERROR(IF(INDEX(MASTER!$L$4:$L$1463,MATCH("SBG"&amp;"|"&amp;MAX(1,ROUND(COUNTIFS(MASTER!$B$4:$B$1463,"SBG",MASTER!$L$4:$L$1463,"&lt;&gt;")*$A103*100/100,0)),MASTER!$AI$4:$AI$1463,0))="",NA(),INDEX(MASTER!$L$4:$L$1463,MATCH("SBG"&amp;"|"&amp;MAX(1,ROUND(COUNTIFS(MASTER!$B$4:$B$1463,"SBG",MASTER!$L$4:$L$1463,"&lt;&gt;")*$A103*100/100,0)),MASTER!$AI$4:$AI$1463,0))),NA()))))</f>
        <v>5902</v>
      </c>
      <c r="G103" s="37">
        <f>IF($B$4="RESONANCE",IFERROR(IF(INDEX(MASTER!$I$4:$I$1463,MATCH("AZUKI"&amp;"|"&amp;MAX(1,ROUND(COUNTIFS(MASTER!$B$4:$B$1463,"AZUKI",MASTER!$I$4:$I$1463,"&lt;&gt;")*$A103*100/100,0)),MASTER!$Y$4:$Y$1463,0))="",NA(),INDEX(MASTER!$I$4:$I$1463,MATCH("AZUKI"&amp;"|"&amp;MAX(1,ROUND(COUNTIFS(MASTER!$B$4:$B$1463,"AZUKI",MASTER!$I$4:$I$1463,"&lt;&gt;")*$A103*100/100,0)),MASTER!$Y$4:$Y$1463,0))),NA()),IF($B$4="COMBAT RATING",IFERROR(IF(INDEX(MASTER!$G$4:$G$1463,MATCH("AZUKI"&amp;"|"&amp;MAX(1,ROUND(COUNTIFS(MASTER!$B$4:$B$1463,"AZUKI",MASTER!$G$4:$G$1463,"&lt;&gt;")*$A103*100/100,0)),MASTER!$AH$4:$AH$1463,0))="",NA(),INDEX(MASTER!$G$4:$G$1463,MATCH("AZUKI"&amp;"|"&amp;MAX(1,ROUND(COUNTIFS(MASTER!$B$4:$B$1463,"AZUKI",MASTER!$G$4:$G$1463,"&lt;&gt;")*$A103*100/100,0)),MASTER!$AH$4:$AH$1463,0))),NA()),IF($B$4="SECONDARY",IFERROR(IF(INDEX(MASTER!$L$4:$L$1463,MATCH("AZUKI"&amp;"|"&amp;MAX(1,ROUND(COUNTIFS(MASTER!$B$4:$B$1463,"AZUKI",MASTER!$L$4:$L$1463,"&lt;&gt;")*$A103*100/100,0)),MASTER!$AI$4:$AI$1463,0))="",NA(),INDEX(MASTER!$L$4:$L$1463,MATCH("AZUKI"&amp;"|"&amp;MAX(1,ROUND(COUNTIFS(MASTER!$B$4:$B$1463,"AZUKI",MASTER!$L$4:$L$1463,"&lt;&gt;")*$A103*100/100,0)),MASTER!$AI$4:$AI$1463,0))),NA()))))</f>
        <v>5052</v>
      </c>
      <c r="H103" s="37">
        <f>IF($B$4="RESONANCE",IFERROR(IF(INDEX(MASTER!$I$4:$I$1463,MATCH("RECKONING"&amp;"|"&amp;MAX(1,ROUND(COUNTIFS(MASTER!$B$4:$B$1463,"RECKONING",MASTER!$I$4:$I$1463,"&lt;&gt;")*$A103*100/100,0)),MASTER!$Y$4:$Y$1463,0))="",NA(),INDEX(MASTER!$I$4:$I$1463,MATCH("RECKONING"&amp;"|"&amp;MAX(1,ROUND(COUNTIFS(MASTER!$B$4:$B$1463,"RECKONING",MASTER!$I$4:$I$1463,"&lt;&gt;")*$A103*100/100,0)),MASTER!$Y$4:$Y$1463,0))),NA()),IF($B$4="COMBAT RATING",IFERROR(IF(INDEX(MASTER!$G$4:$G$1463,MATCH("RECKONING"&amp;"|"&amp;MAX(1,ROUND(COUNTIFS(MASTER!$B$4:$B$1463,"RECKONING",MASTER!$G$4:$G$1463,"&lt;&gt;")*$A103*100/100,0)),MASTER!$AH$4:$AH$1463,0))="",NA(),INDEX(MASTER!$G$4:$G$1463,MATCH("RECKONING"&amp;"|"&amp;MAX(1,ROUND(COUNTIFS(MASTER!$B$4:$B$1463,"RECKONING",MASTER!$G$4:$G$1463,"&lt;&gt;")*$A103*100/100,0)),MASTER!$AH$4:$AH$1463,0))),NA()),IF($B$4="SECONDARY",IFERROR(IF(INDEX(MASTER!$L$4:$L$1463,MATCH("RECKONING"&amp;"|"&amp;MAX(1,ROUND(COUNTIFS(MASTER!$B$4:$B$1463,"RECKONING",MASTER!$L$4:$L$1463,"&lt;&gt;")*$A103*100/100,0)),MASTER!$AI$4:$AI$1463,0))="",NA(),INDEX(MASTER!$L$4:$L$1463,MATCH("RECKONING"&amp;"|"&amp;MAX(1,ROUND(COUNTIFS(MASTER!$B$4:$B$1463,"RECKONING",MASTER!$L$4:$L$1463,"&lt;&gt;")*$A103*100/100,0)),MASTER!$AI$4:$AI$1463,0))),NA()))))</f>
        <v>5045</v>
      </c>
      <c r="I103" s="37">
        <f>IF($B$4="RESONANCE",IFERROR(IF(INDEX(MASTER!$I$4:$I$1463,MATCH("ACHERON"&amp;"|"&amp;MAX(1,ROUND(COUNTIFS(MASTER!$B$4:$B$1463,"ACHERON",MASTER!$I$4:$I$1463,"&lt;&gt;")*$A103*100/100,0)),MASTER!$Y$4:$Y$1463,0))="",NA(),INDEX(MASTER!$I$4:$I$1463,MATCH("ACHERON"&amp;"|"&amp;MAX(1,ROUND(COUNTIFS(MASTER!$B$4:$B$1463,"ACHERON",MASTER!$I$4:$I$1463,"&lt;&gt;")*$A103*100/100,0)),MASTER!$Y$4:$Y$1463,0))),NA()),IF($B$4="COMBAT RATING",IFERROR(IF(INDEX(MASTER!$G$4:$G$1463,MATCH("ACHERON"&amp;"|"&amp;MAX(1,ROUND(COUNTIFS(MASTER!$B$4:$B$1463,"ACHERON",MASTER!$G$4:$G$1463,"&lt;&gt;")*$A103*100/100,0)),MASTER!$AH$4:$AH$1463,0))="",NA(),INDEX(MASTER!$G$4:$G$1463,MATCH("ACHERON"&amp;"|"&amp;MAX(1,ROUND(COUNTIFS(MASTER!$B$4:$B$1463,"ACHERON",MASTER!$G$4:$G$1463,"&lt;&gt;")*$A103*100/100,0)),MASTER!$AH$4:$AH$1463,0))),NA()),IF($B$4="SECONDARY",IFERROR(IF(INDEX(MASTER!$L$4:$L$1463,MATCH("ACHERON"&amp;"|"&amp;MAX(1,ROUND(COUNTIFS(MASTER!$B$4:$B$1463,"ACHERON",MASTER!$L$4:$L$1463,"&lt;&gt;")*$A103*100/100,0)),MASTER!$AI$4:$AI$1463,0))="",NA(),INDEX(MASTER!$L$4:$L$1463,MATCH("ACHERON"&amp;"|"&amp;MAX(1,ROUND(COUNTIFS(MASTER!$B$4:$B$1463,"ACHERON",MASTER!$L$4:$L$1463,"&lt;&gt;")*$A103*100/100,0)),MASTER!$AI$4:$AI$1463,0))),NA()))))</f>
        <v>4001</v>
      </c>
      <c r="J103" s="37">
        <f>IF($B$4="RESONANCE",IFERROR(IF(INDEX(MASTER!$I$4:$I$1463,MATCH("INVICTUS"&amp;"|"&amp;MAX(1,ROUND(COUNTIFS(MASTER!$B$4:$B$1463,"INVICTUS",MASTER!$I$4:$I$1463,"&lt;&gt;")*$A103*100/100,0)),MASTER!$Y$4:$Y$1463,0))="",NA(),INDEX(MASTER!$I$4:$I$1463,MATCH("INVICTUS"&amp;"|"&amp;MAX(1,ROUND(COUNTIFS(MASTER!$B$4:$B$1463,"INVICTUS",MASTER!$I$4:$I$1463,"&lt;&gt;")*$A103*100/100,0)),MASTER!$Y$4:$Y$1463,0))),NA()),IF($B$4="COMBAT RATING",IFERROR(IF(INDEX(MASTER!$G$4:$G$1463,MATCH("INVICTUS"&amp;"|"&amp;MAX(1,ROUND(COUNTIFS(MASTER!$B$4:$B$1463,"INVICTUS",MASTER!$G$4:$G$1463,"&lt;&gt;")*$A103*100/100,0)),MASTER!$AH$4:$AH$1463,0))="",NA(),INDEX(MASTER!$G$4:$G$1463,MATCH("INVICTUS"&amp;"|"&amp;MAX(1,ROUND(COUNTIFS(MASTER!$B$4:$B$1463,"INVICTUS",MASTER!$G$4:$G$1463,"&lt;&gt;")*$A103*100/100,0)),MASTER!$AH$4:$AH$1463,0))),NA()),IF($B$4="SECONDARY",IFERROR(IF(INDEX(MASTER!$L$4:$L$1463,MATCH("INVICTUS"&amp;"|"&amp;MAX(1,ROUND(COUNTIFS(MASTER!$B$4:$B$1463,"INVICTUS",MASTER!$L$4:$L$1463,"&lt;&gt;")*$A103*100/100,0)),MASTER!$AI$4:$AI$1463,0))="",NA(),INDEX(MASTER!$L$4:$L$1463,MATCH("INVICTUS"&amp;"|"&amp;MAX(1,ROUND(COUNTIFS(MASTER!$B$4:$B$1463,"INVICTUS",MASTER!$L$4:$L$1463,"&lt;&gt;")*$A103*100/100,0)),MASTER!$AI$4:$AI$1463,0))),NA()))))</f>
        <v>3146</v>
      </c>
      <c r="K103" s="37">
        <f>IF($B$4="RESONANCE",IFERROR(IF(INDEX(MASTER!$I$4:$I$1463,MATCH("EMERALD LEAF TRIBE"&amp;"|"&amp;MAX(1,ROUND(COUNTIFS(MASTER!$B$4:$B$1463,"EMERALD LEAF TRIBE",MASTER!$I$4:$I$1463,"&lt;&gt;")*$A103*100/100,0)),MASTER!$Y$4:$Y$1463,0))="",NA(),INDEX(MASTER!$I$4:$I$1463,MATCH("EMERALD LEAF TRIBE"&amp;"|"&amp;MAX(1,ROUND(COUNTIFS(MASTER!$B$4:$B$1463,"EMERALD LEAF TRIBE",MASTER!$I$4:$I$1463,"&lt;&gt;")*$A103*100/100,0)),MASTER!$Y$4:$Y$1463,0))),NA()),IF($B$4="COMBAT RATING",IFERROR(IF(INDEX(MASTER!$G$4:$G$1463,MATCH("EMERALD LEAF TRIBE"&amp;"|"&amp;MAX(1,ROUND(COUNTIFS(MASTER!$B$4:$B$1463,"EMERALD LEAF TRIBE",MASTER!$G$4:$G$1463,"&lt;&gt;")*$A103*100/100,0)),MASTER!$AH$4:$AH$1463,0))="",NA(),INDEX(MASTER!$G$4:$G$1463,MATCH("EMERALD LEAF TRIBE"&amp;"|"&amp;MAX(1,ROUND(COUNTIFS(MASTER!$B$4:$B$1463,"EMERALD LEAF TRIBE",MASTER!$G$4:$G$1463,"&lt;&gt;")*$A103*100/100,0)),MASTER!$AH$4:$AH$1463,0))),NA()),IF($B$4="SECONDARY",IFERROR(IF(INDEX(MASTER!$L$4:$L$1463,MATCH("EMERALD LEAF TRIBE"&amp;"|"&amp;MAX(1,ROUND(COUNTIFS(MASTER!$B$4:$B$1463,"EMERALD LEAF TRIBE",MASTER!$L$4:$L$1463,"&lt;&gt;")*$A103*100/100,0)),MASTER!$AI$4:$AI$1463,0))="",NA(),INDEX(MASTER!$L$4:$L$1463,MATCH("EMERALD LEAF TRIBE"&amp;"|"&amp;MAX(1,ROUND(COUNTIFS(MASTER!$B$4:$B$1463,"EMERALD LEAF TRIBE",MASTER!$L$4:$L$1463,"&lt;&gt;")*$A103*100/100,0)),MASTER!$AI$4:$AI$1463,0))),NA()))))</f>
        <v>2292</v>
      </c>
      <c r="L103" s="37">
        <f>IF($B$4="RESONANCE",IFERROR(IF(INDEX(MASTER!$I$4:$I$1463,MATCH("SUB ROSA"&amp;"|"&amp;MAX(1,ROUND(COUNTIFS(MASTER!$B$4:$B$1463,"SUB ROSA",MASTER!$I$4:$I$1463,"&lt;&gt;")*$A103*100/100,0)),MASTER!$Y$4:$Y$1463,0))="",NA(),INDEX(MASTER!$I$4:$I$1463,MATCH("SUB ROSA"&amp;"|"&amp;MAX(1,ROUND(COUNTIFS(MASTER!$B$4:$B$1463,"SUB ROSA",MASTER!$I$4:$I$1463,"&lt;&gt;")*$A103*100/100,0)),MASTER!$Y$4:$Y$1463,0))),NA()),IF($B$4="COMBAT RATING",IFERROR(IF(INDEX(MASTER!$G$4:$G$1463,MATCH("SUB ROSA"&amp;"|"&amp;MAX(1,ROUND(COUNTIFS(MASTER!$B$4:$B$1463,"SUB ROSA",MASTER!$G$4:$G$1463,"&lt;&gt;")*$A103*100/100,0)),MASTER!$AH$4:$AH$1463,0))="",NA(),INDEX(MASTER!$G$4:$G$1463,MATCH("SUB ROSA"&amp;"|"&amp;MAX(1,ROUND(COUNTIFS(MASTER!$B$4:$B$1463,"SUB ROSA",MASTER!$G$4:$G$1463,"&lt;&gt;")*$A103*100/100,0)),MASTER!$AH$4:$AH$1463,0))),NA()),IF($B$4="SECONDARY",IFERROR(IF(INDEX(MASTER!$L$4:$L$1463,MATCH("SUB ROSA"&amp;"|"&amp;MAX(1,ROUND(COUNTIFS(MASTER!$B$4:$B$1463,"SUB ROSA",MASTER!$L$4:$L$1463,"&lt;&gt;")*$A103*100/100,0)),MASTER!$AI$4:$AI$1463,0))="",NA(),INDEX(MASTER!$L$4:$L$1463,MATCH("SUB ROSA"&amp;"|"&amp;MAX(1,ROUND(COUNTIFS(MASTER!$B$4:$B$1463,"SUB ROSA",MASTER!$L$4:$L$1463,"&lt;&gt;")*$A103*100/100,0)),MASTER!$AI$4:$AI$1463,0))),NA()))))</f>
        <v>2614</v>
      </c>
      <c r="M103" s="37">
        <f>IF($B$4="RESONANCE",IFERROR(IF(INDEX(MASTER!$I$4:$I$1463,MATCH("VENGEANCE"&amp;"|"&amp;MAX(1,ROUND(COUNTIFS(MASTER!$B$4:$B$1463,"VENGEANCE",MASTER!$I$4:$I$1463,"&lt;&gt;")*$A103*100/100,0)),MASTER!$Y$4:$Y$1463,0))="",NA(),INDEX(MASTER!$I$4:$I$1463,MATCH("VENGEANCE"&amp;"|"&amp;MAX(1,ROUND(COUNTIFS(MASTER!$B$4:$B$1463,"VENGEANCE",MASTER!$I$4:$I$1463,"&lt;&gt;")*$A103*100/100,0)),MASTER!$Y$4:$Y$1463,0))),NA()),IF($B$4="COMBAT RATING",IFERROR(IF(INDEX(MASTER!$G$4:$G$1463,MATCH("VENGEANCE"&amp;"|"&amp;MAX(1,ROUND(COUNTIFS(MASTER!$B$4:$B$1463,"VENGEANCE",MASTER!$G$4:$G$1463,"&lt;&gt;")*$A103*100/100,0)),MASTER!$AH$4:$AH$1463,0))="",NA(),INDEX(MASTER!$G$4:$G$1463,MATCH("VENGEANCE"&amp;"|"&amp;MAX(1,ROUND(COUNTIFS(MASTER!$B$4:$B$1463,"VENGEANCE",MASTER!$G$4:$G$1463,"&lt;&gt;")*$A103*100/100,0)),MASTER!$AH$4:$AH$1463,0))),NA()),IF($B$4="SECONDARY",IFERROR(IF(INDEX(MASTER!$L$4:$L$1463,MATCH("VENGEANCE"&amp;"|"&amp;MAX(1,ROUND(COUNTIFS(MASTER!$B$4:$B$1463,"VENGEANCE",MASTER!$L$4:$L$1463,"&lt;&gt;")*$A103*100/100,0)),MASTER!$AI$4:$AI$1463,0))="",NA(),INDEX(MASTER!$L$4:$L$1463,MATCH("VENGEANCE"&amp;"|"&amp;MAX(1,ROUND(COUNTIFS(MASTER!$B$4:$B$1463,"VENGEANCE",MASTER!$L$4:$L$1463,"&lt;&gt;")*$A103*100/100,0)),MASTER!$AI$4:$AI$1463,0))),NA()))))</f>
        <v>3490</v>
      </c>
      <c r="N103" s="37">
        <f>IF($B$4="RESONANCE",IFERROR(IF(INDEX(MASTER!$I$4:$I$1463,MATCH("VENDETTA"&amp;"|"&amp;MAX(1,ROUND(COUNTIFS(MASTER!$B$4:$B$1463,"VENDETTA",MASTER!$I$4:$I$1463,"&lt;&gt;")*$A103*100/100,0)),MASTER!$Y$4:$Y$1463,0))="",NA(),INDEX(MASTER!$I$4:$I$1463,MATCH("VENDETTA"&amp;"|"&amp;MAX(1,ROUND(COUNTIFS(MASTER!$B$4:$B$1463,"VENDETTA",MASTER!$I$4:$I$1463,"&lt;&gt;")*$A103*100/100,0)),MASTER!$Y$4:$Y$1463,0))),NA()),IF($B$4="COMBAT RATING",IFERROR(IF(INDEX(MASTER!$G$4:$G$1463,MATCH("VENDETTA"&amp;"|"&amp;MAX(1,ROUND(COUNTIFS(MASTER!$B$4:$B$1463,"VENDETTA",MASTER!$G$4:$G$1463,"&lt;&gt;")*$A103*100/100,0)),MASTER!$AH$4:$AH$1463,0))="",NA(),INDEX(MASTER!$G$4:$G$1463,MATCH("VENDETTA"&amp;"|"&amp;MAX(1,ROUND(COUNTIFS(MASTER!$B$4:$B$1463,"VENDETTA",MASTER!$G$4:$G$1463,"&lt;&gt;")*$A103*100/100,0)),MASTER!$AH$4:$AH$1463,0))),NA()),IF($B$4="SECONDARY",IFERROR(IF(INDEX(MASTER!$L$4:$L$1463,MATCH("VENDETTA"&amp;"|"&amp;MAX(1,ROUND(COUNTIFS(MASTER!$B$4:$B$1463,"VENDETTA",MASTER!$L$4:$L$1463,"&lt;&gt;")*$A103*100/100,0)),MASTER!$AI$4:$AI$1463,0))="",NA(),INDEX(MASTER!$L$4:$L$1463,MATCH("VENDETTA"&amp;"|"&amp;MAX(1,ROUND(COUNTIFS(MASTER!$B$4:$B$1463,"VENDETTA",MASTER!$L$4:$L$1463,"&lt;&gt;")*$A103*100/100,0)),MASTER!$AI$4:$AI$1463,0))),NA()))))</f>
        <v>2040</v>
      </c>
      <c r="O103" s="37">
        <f>IF($B$4="RESONANCE",IFERROR(IF(INDEX(MASTER!$I$4:$I$1463,MATCH("ZOMBIES"&amp;"|"&amp;MAX(1,ROUND(COUNTIFS(MASTER!$B$4:$B$1463,"ZOMBIES",MASTER!$I$4:$I$1463,"&lt;&gt;")*$A103*100/100,0)),MASTER!$Y$4:$Y$1463,0))="",NA(),INDEX(MASTER!$I$4:$I$1463,MATCH("ZOMBIES"&amp;"|"&amp;MAX(1,ROUND(COUNTIFS(MASTER!$B$4:$B$1463,"ZOMBIES",MASTER!$I$4:$I$1463,"&lt;&gt;")*$A103*100/100,0)),MASTER!$Y$4:$Y$1463,0))),NA()),IF($B$4="COMBAT RATING",IFERROR(IF(INDEX(MASTER!$G$4:$G$1463,MATCH("ZOMBIES"&amp;"|"&amp;MAX(1,ROUND(COUNTIFS(MASTER!$B$4:$B$1463,"ZOMBIES",MASTER!$G$4:$G$1463,"&lt;&gt;")*$A103*100/100,0)),MASTER!$AH$4:$AH$1463,0))="",NA(),INDEX(MASTER!$G$4:$G$1463,MATCH("ZOMBIES"&amp;"|"&amp;MAX(1,ROUND(COUNTIFS(MASTER!$B$4:$B$1463,"ZOMBIES",MASTER!$G$4:$G$1463,"&lt;&gt;")*$A103*100/100,0)),MASTER!$AH$4:$AH$1463,0))),NA()),IF($B$4="SECONDARY",IFERROR(IF(INDEX(MASTER!$L$4:$L$1463,MATCH("ZOMBIES"&amp;"|"&amp;MAX(1,ROUND(COUNTIFS(MASTER!$B$4:$B$1463,"ZOMBIES",MASTER!$L$4:$L$1463,"&lt;&gt;")*$A103*100/100,0)),MASTER!$AI$4:$AI$1463,0))="",NA(),INDEX(MASTER!$L$4:$L$1463,MATCH("ZOMBIES"&amp;"|"&amp;MAX(1,ROUND(COUNTIFS(MASTER!$B$4:$B$1463,"ZOMBIES",MASTER!$L$4:$L$1463,"&lt;&gt;")*$A103*100/100,0)),MASTER!$AI$4:$AI$1463,0))),NA()))))</f>
        <v>1820</v>
      </c>
      <c r="P103" s="37">
        <f>IF($B$4="RESONANCE",IFERROR(IF(INDEX(MASTER!$I$4:$I$1463,MATCH("FUCT"&amp;"|"&amp;MAX(1,ROUND(COUNTIFS(MASTER!$B$4:$B$1463,"FUCT",MASTER!$I$4:$I$1463,"&lt;&gt;")*$A103*100/100,0)),MASTER!$Y$4:$Y$1463,0))="",NA(),INDEX(MASTER!$I$4:$I$1463,MATCH("FUCT"&amp;"|"&amp;MAX(1,ROUND(COUNTIFS(MASTER!$B$4:$B$1463,"FUCT",MASTER!$I$4:$I$1463,"&lt;&gt;")*$A103*100/100,0)),MASTER!$Y$4:$Y$1463,0))),NA()),IF($B$4="COMBAT RATING",IFERROR(IF(INDEX(MASTER!$G$4:$G$1463,MATCH("FUCT"&amp;"|"&amp;MAX(1,ROUND(COUNTIFS(MASTER!$B$4:$B$1463,"FUCT",MASTER!$G$4:$G$1463,"&lt;&gt;")*$A103*100/100,0)),MASTER!$AH$4:$AH$1463,0))="",NA(),INDEX(MASTER!$G$4:$G$1463,MATCH("FUCT"&amp;"|"&amp;MAX(1,ROUND(COUNTIFS(MASTER!$B$4:$B$1463,"FUCT",MASTER!$G$4:$G$1463,"&lt;&gt;")*$A103*100/100,0)),MASTER!$AH$4:$AH$1463,0))),NA()),IF($B$4="SECONDARY",IFERROR(IF(INDEX(MASTER!$L$4:$L$1463,MATCH("FUCT"&amp;"|"&amp;MAX(1,ROUND(COUNTIFS(MASTER!$B$4:$B$1463,"FUCT",MASTER!$L$4:$L$1463,"&lt;&gt;")*$A103*100/100,0)),MASTER!$AI$4:$AI$1463,0))="",NA(),INDEX(MASTER!$L$4:$L$1463,MATCH("FUCT"&amp;"|"&amp;MAX(1,ROUND(COUNTIFS(MASTER!$B$4:$B$1463,"FUCT",MASTER!$L$4:$L$1463,"&lt;&gt;")*$A103*100/100,0)),MASTER!$AI$4:$AI$1463,0))),NA()))))</f>
        <v>4560</v>
      </c>
      <c r="Q103" s="37">
        <f>IF($B$4="RESONANCE",IFERROR(IF(INDEX(MASTER!$I$4:$I$1463,MATCH($E$4&amp;"|"&amp;MAX(1,ROUND(COUNTIFS(MASTER!$B$4:$B$1463,$E$4,MASTER!$I$4:$I$1463,"&lt;&gt;")*$A103*100/100,0)),MASTER!$Y$4:$Y$1463,0))="",NA(),INDEX(MASTER!$I$4:$I$1463,MATCH($E$4&amp;"|"&amp;MAX(1,ROUND(COUNTIFS(MASTER!$B$4:$B$1463,$E$4,MASTER!$I$4:$I$1463,"&lt;&gt;")*$A103*100/100,0)),MASTER!$Y$4:$Y$1463,0))),NA()),IF($B$4="COMBAT RATING",IFERROR(IF(INDEX(MASTER!$G$4:$G$1463,MATCH($E$4&amp;"|"&amp;MAX(1,ROUND(COUNTIFS(MASTER!$B$4:$B$1463,$E$4,MASTER!$G$4:$G$1463,"&lt;&gt;")*$A103*100/100,0)),MASTER!$AH$4:$AH$1463,0))="",NA(),INDEX(MASTER!$G$4:$G$1463,MATCH($E$4&amp;"|"&amp;MAX(1,ROUND(COUNTIFS(MASTER!$B$4:$B$1463,$E$4,MASTER!$G$4:$G$1463,"&lt;&gt;")*$A103*100/100,0)),MASTER!$AH$4:$AH$1463,0))),NA()),IF($B$4="SECONDARY",IFERROR(IF(INDEX(MASTER!$L$4:$L$1463,MATCH($E$4&amp;"|"&amp;MAX(1,ROUND(COUNTIFS(MASTER!$B$4:$B$1463,$E$4,MASTER!$L$4:$L$1463,"&lt;&gt;")*$A103*100/100,0)),MASTER!$AI$4:$AI$1463,0))="",NA(),INDEX(MASTER!$L$4:$L$1463,MATCH($E$4&amp;"|"&amp;MAX(1,ROUND(COUNTIFS(MASTER!$B$4:$B$1463,$E$4,MASTER!$L$4:$L$1463,"&lt;&gt;")*$A103*100/100,0)),MASTER!$AI$4:$AI$1463,0))),NA()))))</f>
        <v>4238</v>
      </c>
    </row>
    <row r="104" spans="1:17" hidden="1">
      <c r="A104" s="36">
        <v>0.49</v>
      </c>
      <c r="B104" s="37">
        <f>IF($B$4="RESONANCE",IFERROR(IF(INDEX(MASTER!$I$4:$I$1463,MATCH("FUCT"&amp;"|"&amp;MAX(1,ROUND(COUNTIFS(MASTER!$B$4:$B$1463,"FUCT",MASTER!$I$4:$I$1463,"&lt;&gt;")*$A104*100/100,0)),MASTER!$Y$4:$Y$1463,0))="",NA(),INDEX(MASTER!$I$4:$I$1463,MATCH("FUCT"&amp;"|"&amp;MAX(1,ROUND(COUNTIFS(MASTER!$B$4:$B$1463,"FUCT",MASTER!$I$4:$I$1463,"&lt;&gt;")*$A104*100/100,0)),MASTER!$Y$4:$Y$1463,0))),NA()),IF($B$4="COMBAT RATING",IFERROR(IF(INDEX(MASTER!$G$4:$G$1463,MATCH("FUCT"&amp;"|"&amp;MAX(1,ROUND(COUNTIFS(MASTER!$B$4:$B$1463,"FUCT",MASTER!$G$4:$G$1463,"&lt;&gt;")*$A104*100/100,0)),MASTER!$AH$4:$AH$1463,0))="",NA(),INDEX(MASTER!$G$4:$G$1463,MATCH("FUCT"&amp;"|"&amp;MAX(1,ROUND(COUNTIFS(MASTER!$B$4:$B$1463,"FUCT",MASTER!$G$4:$G$1463,"&lt;&gt;")*$A104*100/100,0)),MASTER!$AH$4:$AH$1463,0))),NA()),IF($B$4="SECONDARY",IFERROR(IF(INDEX(MASTER!$L$4:$L$1463,MATCH("FUCT"&amp;"|"&amp;MAX(1,ROUND(COUNTIFS(MASTER!$B$4:$B$1463,"FUCT",MASTER!$L$4:$L$1463,"&lt;&gt;")*$A104*100/100,0)),MASTER!$AI$4:$AI$1463,0))="",NA(),INDEX(MASTER!$L$4:$L$1463,MATCH("FUCT"&amp;"|"&amp;MAX(1,ROUND(COUNTIFS(MASTER!$B$4:$B$1463,"FUCT",MASTER!$L$4:$L$1463,"&lt;&gt;")*$A104*100/100,0)),MASTER!$AI$4:$AI$1463,0))),NA()))))</f>
        <v>4488</v>
      </c>
      <c r="C104" s="37">
        <f>IF($B$4="RESONANCE",IFERROR(IF(INDEX(MASTER!$I$4:$I$1463,MATCH("LEGENDS"&amp;"|"&amp;MAX(1,ROUND(COUNTIFS(MASTER!$B$4:$B$1463,"LEGENDS",MASTER!$I$4:$I$1463,"&lt;&gt;")*$A104*100/100,0)),MASTER!$Y$4:$Y$1463,0))="",NA(),INDEX(MASTER!$I$4:$I$1463,MATCH("LEGENDS"&amp;"|"&amp;MAX(1,ROUND(COUNTIFS(MASTER!$B$4:$B$1463,"LEGENDS",MASTER!$I$4:$I$1463,"&lt;&gt;")*$A104*100/100,0)),MASTER!$Y$4:$Y$1463,0))),NA()),IF($B$4="COMBAT RATING",IFERROR(IF(INDEX(MASTER!$G$4:$G$1463,MATCH("LEGENDS"&amp;"|"&amp;MAX(1,ROUND(COUNTIFS(MASTER!$B$4:$B$1463,"LEGENDS",MASTER!$G$4:$G$1463,"&lt;&gt;")*$A104*100/100,0)),MASTER!$AH$4:$AH$1463,0))="",NA(),INDEX(MASTER!$G$4:$G$1463,MATCH("LEGENDS"&amp;"|"&amp;MAX(1,ROUND(COUNTIFS(MASTER!$B$4:$B$1463,"LEGENDS",MASTER!$G$4:$G$1463,"&lt;&gt;")*$A104*100/100,0)),MASTER!$AH$4:$AH$1463,0))),NA()),IF($B$4="SECONDARY",IFERROR(IF(INDEX(MASTER!$L$4:$L$1463,MATCH("LEGENDS"&amp;"|"&amp;MAX(1,ROUND(COUNTIFS(MASTER!$B$4:$B$1463,"LEGENDS",MASTER!$L$4:$L$1463,"&lt;&gt;")*$A104*100/100,0)),MASTER!$AI$4:$AI$1463,0))="",NA(),INDEX(MASTER!$L$4:$L$1463,MATCH("LEGENDS"&amp;"|"&amp;MAX(1,ROUND(COUNTIFS(MASTER!$B$4:$B$1463,"LEGENDS",MASTER!$L$4:$L$1463,"&lt;&gt;")*$A104*100/100,0)),MASTER!$AI$4:$AI$1463,0))),NA()))))</f>
        <v>5123</v>
      </c>
      <c r="D104" s="37">
        <f>IF($B$4="RESONANCE",IFERROR(IF(INDEX(MASTER!$I$4:$I$1463,MATCH("VANGUARD"&amp;"|"&amp;MAX(1,ROUND(COUNTIFS(MASTER!$B$4:$B$1463,"VANGUARD",MASTER!$I$4:$I$1463,"&lt;&gt;")*$A104*100/100,0)),MASTER!$Y$4:$Y$1463,0))="",NA(),INDEX(MASTER!$I$4:$I$1463,MATCH("VANGUARD"&amp;"|"&amp;MAX(1,ROUND(COUNTIFS(MASTER!$B$4:$B$1463,"VANGUARD",MASTER!$I$4:$I$1463,"&lt;&gt;")*$A104*100/100,0)),MASTER!$Y$4:$Y$1463,0))),NA()),IF($B$4="COMBAT RATING",IFERROR(IF(INDEX(MASTER!$G$4:$G$1463,MATCH("VANGUARD"&amp;"|"&amp;MAX(1,ROUND(COUNTIFS(MASTER!$B$4:$B$1463,"VANGUARD",MASTER!$G$4:$G$1463,"&lt;&gt;")*$A104*100/100,0)),MASTER!$AH$4:$AH$1463,0))="",NA(),INDEX(MASTER!$G$4:$G$1463,MATCH("VANGUARD"&amp;"|"&amp;MAX(1,ROUND(COUNTIFS(MASTER!$B$4:$B$1463,"VANGUARD",MASTER!$G$4:$G$1463,"&lt;&gt;")*$A104*100/100,0)),MASTER!$AH$4:$AH$1463,0))),NA()),IF($B$4="SECONDARY",IFERROR(IF(INDEX(MASTER!$L$4:$L$1463,MATCH("VANGUARD"&amp;"|"&amp;MAX(1,ROUND(COUNTIFS(MASTER!$B$4:$B$1463,"VANGUARD",MASTER!$L$4:$L$1463,"&lt;&gt;")*$A104*100/100,0)),MASTER!$AI$4:$AI$1463,0))="",NA(),INDEX(MASTER!$L$4:$L$1463,MATCH("VANGUARD"&amp;"|"&amp;MAX(1,ROUND(COUNTIFS(MASTER!$B$4:$B$1463,"VANGUARD",MASTER!$L$4:$L$1463,"&lt;&gt;")*$A104*100/100,0)),MASTER!$AI$4:$AI$1463,0))),NA()))))</f>
        <v>6849</v>
      </c>
      <c r="E104" s="37">
        <f>IF($B$4="RESONANCE",IFERROR(IF(INDEX(MASTER!$I$4:$I$1463,MATCH("UNDYING"&amp;"|"&amp;MAX(1,ROUND(COUNTIFS(MASTER!$B$4:$B$1463,"UNDYING",MASTER!$I$4:$I$1463,"&lt;&gt;")*$A104*100/100,0)),MASTER!$Y$4:$Y$1463,0))="",NA(),INDEX(MASTER!$I$4:$I$1463,MATCH("UNDYING"&amp;"|"&amp;MAX(1,ROUND(COUNTIFS(MASTER!$B$4:$B$1463,"UNDYING",MASTER!$I$4:$I$1463,"&lt;&gt;")*$A104*100/100,0)),MASTER!$Y$4:$Y$1463,0))),NA()),IF($B$4="COMBAT RATING",IFERROR(IF(INDEX(MASTER!$G$4:$G$1463,MATCH("UNDYING"&amp;"|"&amp;MAX(1,ROUND(COUNTIFS(MASTER!$B$4:$B$1463,"UNDYING",MASTER!$G$4:$G$1463,"&lt;&gt;")*$A104*100/100,0)),MASTER!$AH$4:$AH$1463,0))="",NA(),INDEX(MASTER!$G$4:$G$1463,MATCH("UNDYING"&amp;"|"&amp;MAX(1,ROUND(COUNTIFS(MASTER!$B$4:$B$1463,"UNDYING",MASTER!$G$4:$G$1463,"&lt;&gt;")*$A104*100/100,0)),MASTER!$AH$4:$AH$1463,0))),NA()),IF($B$4="SECONDARY",IFERROR(IF(INDEX(MASTER!$L$4:$L$1463,MATCH("UNDYING"&amp;"|"&amp;MAX(1,ROUND(COUNTIFS(MASTER!$B$4:$B$1463,"UNDYING",MASTER!$L$4:$L$1463,"&lt;&gt;")*$A104*100/100,0)),MASTER!$AI$4:$AI$1463,0))="",NA(),INDEX(MASTER!$L$4:$L$1463,MATCH("UNDYING"&amp;"|"&amp;MAX(1,ROUND(COUNTIFS(MASTER!$B$4:$B$1463,"UNDYING",MASTER!$L$4:$L$1463,"&lt;&gt;")*$A104*100/100,0)),MASTER!$AI$4:$AI$1463,0))),NA()))))</f>
        <v>4230</v>
      </c>
      <c r="F104" s="37">
        <f>IF($B$4="RESONANCE",IFERROR(IF(INDEX(MASTER!$I$4:$I$1463,MATCH("SBG"&amp;"|"&amp;MAX(1,ROUND(COUNTIFS(MASTER!$B$4:$B$1463,"SBG",MASTER!$I$4:$I$1463,"&lt;&gt;")*$A104*100/100,0)),MASTER!$Y$4:$Y$1463,0))="",NA(),INDEX(MASTER!$I$4:$I$1463,MATCH("SBG"&amp;"|"&amp;MAX(1,ROUND(COUNTIFS(MASTER!$B$4:$B$1463,"SBG",MASTER!$I$4:$I$1463,"&lt;&gt;")*$A104*100/100,0)),MASTER!$Y$4:$Y$1463,0))),NA()),IF($B$4="COMBAT RATING",IFERROR(IF(INDEX(MASTER!$G$4:$G$1463,MATCH("SBG"&amp;"|"&amp;MAX(1,ROUND(COUNTIFS(MASTER!$B$4:$B$1463,"SBG",MASTER!$G$4:$G$1463,"&lt;&gt;")*$A104*100/100,0)),MASTER!$AH$4:$AH$1463,0))="",NA(),INDEX(MASTER!$G$4:$G$1463,MATCH("SBG"&amp;"|"&amp;MAX(1,ROUND(COUNTIFS(MASTER!$B$4:$B$1463,"SBG",MASTER!$G$4:$G$1463,"&lt;&gt;")*$A104*100/100,0)),MASTER!$AH$4:$AH$1463,0))),NA()),IF($B$4="SECONDARY",IFERROR(IF(INDEX(MASTER!$L$4:$L$1463,MATCH("SBG"&amp;"|"&amp;MAX(1,ROUND(COUNTIFS(MASTER!$B$4:$B$1463,"SBG",MASTER!$L$4:$L$1463,"&lt;&gt;")*$A104*100/100,0)),MASTER!$AI$4:$AI$1463,0))="",NA(),INDEX(MASTER!$L$4:$L$1463,MATCH("SBG"&amp;"|"&amp;MAX(1,ROUND(COUNTIFS(MASTER!$B$4:$B$1463,"SBG",MASTER!$L$4:$L$1463,"&lt;&gt;")*$A104*100/100,0)),MASTER!$AI$4:$AI$1463,0))),NA()))))</f>
        <v>5788</v>
      </c>
      <c r="G104" s="37">
        <f>IF($B$4="RESONANCE",IFERROR(IF(INDEX(MASTER!$I$4:$I$1463,MATCH("AZUKI"&amp;"|"&amp;MAX(1,ROUND(COUNTIFS(MASTER!$B$4:$B$1463,"AZUKI",MASTER!$I$4:$I$1463,"&lt;&gt;")*$A104*100/100,0)),MASTER!$Y$4:$Y$1463,0))="",NA(),INDEX(MASTER!$I$4:$I$1463,MATCH("AZUKI"&amp;"|"&amp;MAX(1,ROUND(COUNTIFS(MASTER!$B$4:$B$1463,"AZUKI",MASTER!$I$4:$I$1463,"&lt;&gt;")*$A104*100/100,0)),MASTER!$Y$4:$Y$1463,0))),NA()),IF($B$4="COMBAT RATING",IFERROR(IF(INDEX(MASTER!$G$4:$G$1463,MATCH("AZUKI"&amp;"|"&amp;MAX(1,ROUND(COUNTIFS(MASTER!$B$4:$B$1463,"AZUKI",MASTER!$G$4:$G$1463,"&lt;&gt;")*$A104*100/100,0)),MASTER!$AH$4:$AH$1463,0))="",NA(),INDEX(MASTER!$G$4:$G$1463,MATCH("AZUKI"&amp;"|"&amp;MAX(1,ROUND(COUNTIFS(MASTER!$B$4:$B$1463,"AZUKI",MASTER!$G$4:$G$1463,"&lt;&gt;")*$A104*100/100,0)),MASTER!$AH$4:$AH$1463,0))),NA()),IF($B$4="SECONDARY",IFERROR(IF(INDEX(MASTER!$L$4:$L$1463,MATCH("AZUKI"&amp;"|"&amp;MAX(1,ROUND(COUNTIFS(MASTER!$B$4:$B$1463,"AZUKI",MASTER!$L$4:$L$1463,"&lt;&gt;")*$A104*100/100,0)),MASTER!$AI$4:$AI$1463,0))="",NA(),INDEX(MASTER!$L$4:$L$1463,MATCH("AZUKI"&amp;"|"&amp;MAX(1,ROUND(COUNTIFS(MASTER!$B$4:$B$1463,"AZUKI",MASTER!$L$4:$L$1463,"&lt;&gt;")*$A104*100/100,0)),MASTER!$AI$4:$AI$1463,0))),NA()))))</f>
        <v>5000</v>
      </c>
      <c r="H104" s="37">
        <f>IF($B$4="RESONANCE",IFERROR(IF(INDEX(MASTER!$I$4:$I$1463,MATCH("RECKONING"&amp;"|"&amp;MAX(1,ROUND(COUNTIFS(MASTER!$B$4:$B$1463,"RECKONING",MASTER!$I$4:$I$1463,"&lt;&gt;")*$A104*100/100,0)),MASTER!$Y$4:$Y$1463,0))="",NA(),INDEX(MASTER!$I$4:$I$1463,MATCH("RECKONING"&amp;"|"&amp;MAX(1,ROUND(COUNTIFS(MASTER!$B$4:$B$1463,"RECKONING",MASTER!$I$4:$I$1463,"&lt;&gt;")*$A104*100/100,0)),MASTER!$Y$4:$Y$1463,0))),NA()),IF($B$4="COMBAT RATING",IFERROR(IF(INDEX(MASTER!$G$4:$G$1463,MATCH("RECKONING"&amp;"|"&amp;MAX(1,ROUND(COUNTIFS(MASTER!$B$4:$B$1463,"RECKONING",MASTER!$G$4:$G$1463,"&lt;&gt;")*$A104*100/100,0)),MASTER!$AH$4:$AH$1463,0))="",NA(),INDEX(MASTER!$G$4:$G$1463,MATCH("RECKONING"&amp;"|"&amp;MAX(1,ROUND(COUNTIFS(MASTER!$B$4:$B$1463,"RECKONING",MASTER!$G$4:$G$1463,"&lt;&gt;")*$A104*100/100,0)),MASTER!$AH$4:$AH$1463,0))),NA()),IF($B$4="SECONDARY",IFERROR(IF(INDEX(MASTER!$L$4:$L$1463,MATCH("RECKONING"&amp;"|"&amp;MAX(1,ROUND(COUNTIFS(MASTER!$B$4:$B$1463,"RECKONING",MASTER!$L$4:$L$1463,"&lt;&gt;")*$A104*100/100,0)),MASTER!$AI$4:$AI$1463,0))="",NA(),INDEX(MASTER!$L$4:$L$1463,MATCH("RECKONING"&amp;"|"&amp;MAX(1,ROUND(COUNTIFS(MASTER!$B$4:$B$1463,"RECKONING",MASTER!$L$4:$L$1463,"&lt;&gt;")*$A104*100/100,0)),MASTER!$AI$4:$AI$1463,0))),NA()))))</f>
        <v>4872</v>
      </c>
      <c r="I104" s="37">
        <f>IF($B$4="RESONANCE",IFERROR(IF(INDEX(MASTER!$I$4:$I$1463,MATCH("ACHERON"&amp;"|"&amp;MAX(1,ROUND(COUNTIFS(MASTER!$B$4:$B$1463,"ACHERON",MASTER!$I$4:$I$1463,"&lt;&gt;")*$A104*100/100,0)),MASTER!$Y$4:$Y$1463,0))="",NA(),INDEX(MASTER!$I$4:$I$1463,MATCH("ACHERON"&amp;"|"&amp;MAX(1,ROUND(COUNTIFS(MASTER!$B$4:$B$1463,"ACHERON",MASTER!$I$4:$I$1463,"&lt;&gt;")*$A104*100/100,0)),MASTER!$Y$4:$Y$1463,0))),NA()),IF($B$4="COMBAT RATING",IFERROR(IF(INDEX(MASTER!$G$4:$G$1463,MATCH("ACHERON"&amp;"|"&amp;MAX(1,ROUND(COUNTIFS(MASTER!$B$4:$B$1463,"ACHERON",MASTER!$G$4:$G$1463,"&lt;&gt;")*$A104*100/100,0)),MASTER!$AH$4:$AH$1463,0))="",NA(),INDEX(MASTER!$G$4:$G$1463,MATCH("ACHERON"&amp;"|"&amp;MAX(1,ROUND(COUNTIFS(MASTER!$B$4:$B$1463,"ACHERON",MASTER!$G$4:$G$1463,"&lt;&gt;")*$A104*100/100,0)),MASTER!$AH$4:$AH$1463,0))),NA()),IF($B$4="SECONDARY",IFERROR(IF(INDEX(MASTER!$L$4:$L$1463,MATCH("ACHERON"&amp;"|"&amp;MAX(1,ROUND(COUNTIFS(MASTER!$B$4:$B$1463,"ACHERON",MASTER!$L$4:$L$1463,"&lt;&gt;")*$A104*100/100,0)),MASTER!$AI$4:$AI$1463,0))="",NA(),INDEX(MASTER!$L$4:$L$1463,MATCH("ACHERON"&amp;"|"&amp;MAX(1,ROUND(COUNTIFS(MASTER!$B$4:$B$1463,"ACHERON",MASTER!$L$4:$L$1463,"&lt;&gt;")*$A104*100/100,0)),MASTER!$AI$4:$AI$1463,0))),NA()))))</f>
        <v>3933</v>
      </c>
      <c r="J104" s="37">
        <f>IF($B$4="RESONANCE",IFERROR(IF(INDEX(MASTER!$I$4:$I$1463,MATCH("INVICTUS"&amp;"|"&amp;MAX(1,ROUND(COUNTIFS(MASTER!$B$4:$B$1463,"INVICTUS",MASTER!$I$4:$I$1463,"&lt;&gt;")*$A104*100/100,0)),MASTER!$Y$4:$Y$1463,0))="",NA(),INDEX(MASTER!$I$4:$I$1463,MATCH("INVICTUS"&amp;"|"&amp;MAX(1,ROUND(COUNTIFS(MASTER!$B$4:$B$1463,"INVICTUS",MASTER!$I$4:$I$1463,"&lt;&gt;")*$A104*100/100,0)),MASTER!$Y$4:$Y$1463,0))),NA()),IF($B$4="COMBAT RATING",IFERROR(IF(INDEX(MASTER!$G$4:$G$1463,MATCH("INVICTUS"&amp;"|"&amp;MAX(1,ROUND(COUNTIFS(MASTER!$B$4:$B$1463,"INVICTUS",MASTER!$G$4:$G$1463,"&lt;&gt;")*$A104*100/100,0)),MASTER!$AH$4:$AH$1463,0))="",NA(),INDEX(MASTER!$G$4:$G$1463,MATCH("INVICTUS"&amp;"|"&amp;MAX(1,ROUND(COUNTIFS(MASTER!$B$4:$B$1463,"INVICTUS",MASTER!$G$4:$G$1463,"&lt;&gt;")*$A104*100/100,0)),MASTER!$AH$4:$AH$1463,0))),NA()),IF($B$4="SECONDARY",IFERROR(IF(INDEX(MASTER!$L$4:$L$1463,MATCH("INVICTUS"&amp;"|"&amp;MAX(1,ROUND(COUNTIFS(MASTER!$B$4:$B$1463,"INVICTUS",MASTER!$L$4:$L$1463,"&lt;&gt;")*$A104*100/100,0)),MASTER!$AI$4:$AI$1463,0))="",NA(),INDEX(MASTER!$L$4:$L$1463,MATCH("INVICTUS"&amp;"|"&amp;MAX(1,ROUND(COUNTIFS(MASTER!$B$4:$B$1463,"INVICTUS",MASTER!$L$4:$L$1463,"&lt;&gt;")*$A104*100/100,0)),MASTER!$AI$4:$AI$1463,0))),NA()))))</f>
        <v>3050</v>
      </c>
      <c r="K104" s="37">
        <f>IF($B$4="RESONANCE",IFERROR(IF(INDEX(MASTER!$I$4:$I$1463,MATCH("EMERALD LEAF TRIBE"&amp;"|"&amp;MAX(1,ROUND(COUNTIFS(MASTER!$B$4:$B$1463,"EMERALD LEAF TRIBE",MASTER!$I$4:$I$1463,"&lt;&gt;")*$A104*100/100,0)),MASTER!$Y$4:$Y$1463,0))="",NA(),INDEX(MASTER!$I$4:$I$1463,MATCH("EMERALD LEAF TRIBE"&amp;"|"&amp;MAX(1,ROUND(COUNTIFS(MASTER!$B$4:$B$1463,"EMERALD LEAF TRIBE",MASTER!$I$4:$I$1463,"&lt;&gt;")*$A104*100/100,0)),MASTER!$Y$4:$Y$1463,0))),NA()),IF($B$4="COMBAT RATING",IFERROR(IF(INDEX(MASTER!$G$4:$G$1463,MATCH("EMERALD LEAF TRIBE"&amp;"|"&amp;MAX(1,ROUND(COUNTIFS(MASTER!$B$4:$B$1463,"EMERALD LEAF TRIBE",MASTER!$G$4:$G$1463,"&lt;&gt;")*$A104*100/100,0)),MASTER!$AH$4:$AH$1463,0))="",NA(),INDEX(MASTER!$G$4:$G$1463,MATCH("EMERALD LEAF TRIBE"&amp;"|"&amp;MAX(1,ROUND(COUNTIFS(MASTER!$B$4:$B$1463,"EMERALD LEAF TRIBE",MASTER!$G$4:$G$1463,"&lt;&gt;")*$A104*100/100,0)),MASTER!$AH$4:$AH$1463,0))),NA()),IF($B$4="SECONDARY",IFERROR(IF(INDEX(MASTER!$L$4:$L$1463,MATCH("EMERALD LEAF TRIBE"&amp;"|"&amp;MAX(1,ROUND(COUNTIFS(MASTER!$B$4:$B$1463,"EMERALD LEAF TRIBE",MASTER!$L$4:$L$1463,"&lt;&gt;")*$A104*100/100,0)),MASTER!$AI$4:$AI$1463,0))="",NA(),INDEX(MASTER!$L$4:$L$1463,MATCH("EMERALD LEAF TRIBE"&amp;"|"&amp;MAX(1,ROUND(COUNTIFS(MASTER!$B$4:$B$1463,"EMERALD LEAF TRIBE",MASTER!$L$4:$L$1463,"&lt;&gt;")*$A104*100/100,0)),MASTER!$AI$4:$AI$1463,0))),NA()))))</f>
        <v>2190</v>
      </c>
      <c r="L104" s="37">
        <f>IF($B$4="RESONANCE",IFERROR(IF(INDEX(MASTER!$I$4:$I$1463,MATCH("SUB ROSA"&amp;"|"&amp;MAX(1,ROUND(COUNTIFS(MASTER!$B$4:$B$1463,"SUB ROSA",MASTER!$I$4:$I$1463,"&lt;&gt;")*$A104*100/100,0)),MASTER!$Y$4:$Y$1463,0))="",NA(),INDEX(MASTER!$I$4:$I$1463,MATCH("SUB ROSA"&amp;"|"&amp;MAX(1,ROUND(COUNTIFS(MASTER!$B$4:$B$1463,"SUB ROSA",MASTER!$I$4:$I$1463,"&lt;&gt;")*$A104*100/100,0)),MASTER!$Y$4:$Y$1463,0))),NA()),IF($B$4="COMBAT RATING",IFERROR(IF(INDEX(MASTER!$G$4:$G$1463,MATCH("SUB ROSA"&amp;"|"&amp;MAX(1,ROUND(COUNTIFS(MASTER!$B$4:$B$1463,"SUB ROSA",MASTER!$G$4:$G$1463,"&lt;&gt;")*$A104*100/100,0)),MASTER!$AH$4:$AH$1463,0))="",NA(),INDEX(MASTER!$G$4:$G$1463,MATCH("SUB ROSA"&amp;"|"&amp;MAX(1,ROUND(COUNTIFS(MASTER!$B$4:$B$1463,"SUB ROSA",MASTER!$G$4:$G$1463,"&lt;&gt;")*$A104*100/100,0)),MASTER!$AH$4:$AH$1463,0))),NA()),IF($B$4="SECONDARY",IFERROR(IF(INDEX(MASTER!$L$4:$L$1463,MATCH("SUB ROSA"&amp;"|"&amp;MAX(1,ROUND(COUNTIFS(MASTER!$B$4:$B$1463,"SUB ROSA",MASTER!$L$4:$L$1463,"&lt;&gt;")*$A104*100/100,0)),MASTER!$AI$4:$AI$1463,0))="",NA(),INDEX(MASTER!$L$4:$L$1463,MATCH("SUB ROSA"&amp;"|"&amp;MAX(1,ROUND(COUNTIFS(MASTER!$B$4:$B$1463,"SUB ROSA",MASTER!$L$4:$L$1463,"&lt;&gt;")*$A104*100/100,0)),MASTER!$AI$4:$AI$1463,0))),NA()))))</f>
        <v>2614</v>
      </c>
      <c r="M104" s="37">
        <f>IF($B$4="RESONANCE",IFERROR(IF(INDEX(MASTER!$I$4:$I$1463,MATCH("VENGEANCE"&amp;"|"&amp;MAX(1,ROUND(COUNTIFS(MASTER!$B$4:$B$1463,"VENGEANCE",MASTER!$I$4:$I$1463,"&lt;&gt;")*$A104*100/100,0)),MASTER!$Y$4:$Y$1463,0))="",NA(),INDEX(MASTER!$I$4:$I$1463,MATCH("VENGEANCE"&amp;"|"&amp;MAX(1,ROUND(COUNTIFS(MASTER!$B$4:$B$1463,"VENGEANCE",MASTER!$I$4:$I$1463,"&lt;&gt;")*$A104*100/100,0)),MASTER!$Y$4:$Y$1463,0))),NA()),IF($B$4="COMBAT RATING",IFERROR(IF(INDEX(MASTER!$G$4:$G$1463,MATCH("VENGEANCE"&amp;"|"&amp;MAX(1,ROUND(COUNTIFS(MASTER!$B$4:$B$1463,"VENGEANCE",MASTER!$G$4:$G$1463,"&lt;&gt;")*$A104*100/100,0)),MASTER!$AH$4:$AH$1463,0))="",NA(),INDEX(MASTER!$G$4:$G$1463,MATCH("VENGEANCE"&amp;"|"&amp;MAX(1,ROUND(COUNTIFS(MASTER!$B$4:$B$1463,"VENGEANCE",MASTER!$G$4:$G$1463,"&lt;&gt;")*$A104*100/100,0)),MASTER!$AH$4:$AH$1463,0))),NA()),IF($B$4="SECONDARY",IFERROR(IF(INDEX(MASTER!$L$4:$L$1463,MATCH("VENGEANCE"&amp;"|"&amp;MAX(1,ROUND(COUNTIFS(MASTER!$B$4:$B$1463,"VENGEANCE",MASTER!$L$4:$L$1463,"&lt;&gt;")*$A104*100/100,0)),MASTER!$AI$4:$AI$1463,0))="",NA(),INDEX(MASTER!$L$4:$L$1463,MATCH("VENGEANCE"&amp;"|"&amp;MAX(1,ROUND(COUNTIFS(MASTER!$B$4:$B$1463,"VENGEANCE",MASTER!$L$4:$L$1463,"&lt;&gt;")*$A104*100/100,0)),MASTER!$AI$4:$AI$1463,0))),NA()))))</f>
        <v>3422</v>
      </c>
      <c r="N104" s="37">
        <f>IF($B$4="RESONANCE",IFERROR(IF(INDEX(MASTER!$I$4:$I$1463,MATCH("VENDETTA"&amp;"|"&amp;MAX(1,ROUND(COUNTIFS(MASTER!$B$4:$B$1463,"VENDETTA",MASTER!$I$4:$I$1463,"&lt;&gt;")*$A104*100/100,0)),MASTER!$Y$4:$Y$1463,0))="",NA(),INDEX(MASTER!$I$4:$I$1463,MATCH("VENDETTA"&amp;"|"&amp;MAX(1,ROUND(COUNTIFS(MASTER!$B$4:$B$1463,"VENDETTA",MASTER!$I$4:$I$1463,"&lt;&gt;")*$A104*100/100,0)),MASTER!$Y$4:$Y$1463,0))),NA()),IF($B$4="COMBAT RATING",IFERROR(IF(INDEX(MASTER!$G$4:$G$1463,MATCH("VENDETTA"&amp;"|"&amp;MAX(1,ROUND(COUNTIFS(MASTER!$B$4:$B$1463,"VENDETTA",MASTER!$G$4:$G$1463,"&lt;&gt;")*$A104*100/100,0)),MASTER!$AH$4:$AH$1463,0))="",NA(),INDEX(MASTER!$G$4:$G$1463,MATCH("VENDETTA"&amp;"|"&amp;MAX(1,ROUND(COUNTIFS(MASTER!$B$4:$B$1463,"VENDETTA",MASTER!$G$4:$G$1463,"&lt;&gt;")*$A104*100/100,0)),MASTER!$AH$4:$AH$1463,0))),NA()),IF($B$4="SECONDARY",IFERROR(IF(INDEX(MASTER!$L$4:$L$1463,MATCH("VENDETTA"&amp;"|"&amp;MAX(1,ROUND(COUNTIFS(MASTER!$B$4:$B$1463,"VENDETTA",MASTER!$L$4:$L$1463,"&lt;&gt;")*$A104*100/100,0)),MASTER!$AI$4:$AI$1463,0))="",NA(),INDEX(MASTER!$L$4:$L$1463,MATCH("VENDETTA"&amp;"|"&amp;MAX(1,ROUND(COUNTIFS(MASTER!$B$4:$B$1463,"VENDETTA",MASTER!$L$4:$L$1463,"&lt;&gt;")*$A104*100/100,0)),MASTER!$AI$4:$AI$1463,0))),NA()))))</f>
        <v>2036</v>
      </c>
      <c r="O104" s="37">
        <f>IF($B$4="RESONANCE",IFERROR(IF(INDEX(MASTER!$I$4:$I$1463,MATCH("ZOMBIES"&amp;"|"&amp;MAX(1,ROUND(COUNTIFS(MASTER!$B$4:$B$1463,"ZOMBIES",MASTER!$I$4:$I$1463,"&lt;&gt;")*$A104*100/100,0)),MASTER!$Y$4:$Y$1463,0))="",NA(),INDEX(MASTER!$I$4:$I$1463,MATCH("ZOMBIES"&amp;"|"&amp;MAX(1,ROUND(COUNTIFS(MASTER!$B$4:$B$1463,"ZOMBIES",MASTER!$I$4:$I$1463,"&lt;&gt;")*$A104*100/100,0)),MASTER!$Y$4:$Y$1463,0))),NA()),IF($B$4="COMBAT RATING",IFERROR(IF(INDEX(MASTER!$G$4:$G$1463,MATCH("ZOMBIES"&amp;"|"&amp;MAX(1,ROUND(COUNTIFS(MASTER!$B$4:$B$1463,"ZOMBIES",MASTER!$G$4:$G$1463,"&lt;&gt;")*$A104*100/100,0)),MASTER!$AH$4:$AH$1463,0))="",NA(),INDEX(MASTER!$G$4:$G$1463,MATCH("ZOMBIES"&amp;"|"&amp;MAX(1,ROUND(COUNTIFS(MASTER!$B$4:$B$1463,"ZOMBIES",MASTER!$G$4:$G$1463,"&lt;&gt;")*$A104*100/100,0)),MASTER!$AH$4:$AH$1463,0))),NA()),IF($B$4="SECONDARY",IFERROR(IF(INDEX(MASTER!$L$4:$L$1463,MATCH("ZOMBIES"&amp;"|"&amp;MAX(1,ROUND(COUNTIFS(MASTER!$B$4:$B$1463,"ZOMBIES",MASTER!$L$4:$L$1463,"&lt;&gt;")*$A104*100/100,0)),MASTER!$AI$4:$AI$1463,0))="",NA(),INDEX(MASTER!$L$4:$L$1463,MATCH("ZOMBIES"&amp;"|"&amp;MAX(1,ROUND(COUNTIFS(MASTER!$B$4:$B$1463,"ZOMBIES",MASTER!$L$4:$L$1463,"&lt;&gt;")*$A104*100/100,0)),MASTER!$AI$4:$AI$1463,0))),NA()))))</f>
        <v>1780</v>
      </c>
      <c r="P104" s="37">
        <f>IF($B$4="RESONANCE",IFERROR(IF(INDEX(MASTER!$I$4:$I$1463,MATCH("FUCT"&amp;"|"&amp;MAX(1,ROUND(COUNTIFS(MASTER!$B$4:$B$1463,"FUCT",MASTER!$I$4:$I$1463,"&lt;&gt;")*$A104*100/100,0)),MASTER!$Y$4:$Y$1463,0))="",NA(),INDEX(MASTER!$I$4:$I$1463,MATCH("FUCT"&amp;"|"&amp;MAX(1,ROUND(COUNTIFS(MASTER!$B$4:$B$1463,"FUCT",MASTER!$I$4:$I$1463,"&lt;&gt;")*$A104*100/100,0)),MASTER!$Y$4:$Y$1463,0))),NA()),IF($B$4="COMBAT RATING",IFERROR(IF(INDEX(MASTER!$G$4:$G$1463,MATCH("FUCT"&amp;"|"&amp;MAX(1,ROUND(COUNTIFS(MASTER!$B$4:$B$1463,"FUCT",MASTER!$G$4:$G$1463,"&lt;&gt;")*$A104*100/100,0)),MASTER!$AH$4:$AH$1463,0))="",NA(),INDEX(MASTER!$G$4:$G$1463,MATCH("FUCT"&amp;"|"&amp;MAX(1,ROUND(COUNTIFS(MASTER!$B$4:$B$1463,"FUCT",MASTER!$G$4:$G$1463,"&lt;&gt;")*$A104*100/100,0)),MASTER!$AH$4:$AH$1463,0))),NA()),IF($B$4="SECONDARY",IFERROR(IF(INDEX(MASTER!$L$4:$L$1463,MATCH("FUCT"&amp;"|"&amp;MAX(1,ROUND(COUNTIFS(MASTER!$B$4:$B$1463,"FUCT",MASTER!$L$4:$L$1463,"&lt;&gt;")*$A104*100/100,0)),MASTER!$AI$4:$AI$1463,0))="",NA(),INDEX(MASTER!$L$4:$L$1463,MATCH("FUCT"&amp;"|"&amp;MAX(1,ROUND(COUNTIFS(MASTER!$B$4:$B$1463,"FUCT",MASTER!$L$4:$L$1463,"&lt;&gt;")*$A104*100/100,0)),MASTER!$AI$4:$AI$1463,0))),NA()))))</f>
        <v>4488</v>
      </c>
      <c r="Q104" s="37">
        <f>IF($B$4="RESONANCE",IFERROR(IF(INDEX(MASTER!$I$4:$I$1463,MATCH($E$4&amp;"|"&amp;MAX(1,ROUND(COUNTIFS(MASTER!$B$4:$B$1463,$E$4,MASTER!$I$4:$I$1463,"&lt;&gt;")*$A104*100/100,0)),MASTER!$Y$4:$Y$1463,0))="",NA(),INDEX(MASTER!$I$4:$I$1463,MATCH($E$4&amp;"|"&amp;MAX(1,ROUND(COUNTIFS(MASTER!$B$4:$B$1463,$E$4,MASTER!$I$4:$I$1463,"&lt;&gt;")*$A104*100/100,0)),MASTER!$Y$4:$Y$1463,0))),NA()),IF($B$4="COMBAT RATING",IFERROR(IF(INDEX(MASTER!$G$4:$G$1463,MATCH($E$4&amp;"|"&amp;MAX(1,ROUND(COUNTIFS(MASTER!$B$4:$B$1463,$E$4,MASTER!$G$4:$G$1463,"&lt;&gt;")*$A104*100/100,0)),MASTER!$AH$4:$AH$1463,0))="",NA(),INDEX(MASTER!$G$4:$G$1463,MATCH($E$4&amp;"|"&amp;MAX(1,ROUND(COUNTIFS(MASTER!$B$4:$B$1463,$E$4,MASTER!$G$4:$G$1463,"&lt;&gt;")*$A104*100/100,0)),MASTER!$AH$4:$AH$1463,0))),NA()),IF($B$4="SECONDARY",IFERROR(IF(INDEX(MASTER!$L$4:$L$1463,MATCH($E$4&amp;"|"&amp;MAX(1,ROUND(COUNTIFS(MASTER!$B$4:$B$1463,$E$4,MASTER!$L$4:$L$1463,"&lt;&gt;")*$A104*100/100,0)),MASTER!$AI$4:$AI$1463,0))="",NA(),INDEX(MASTER!$L$4:$L$1463,MATCH($E$4&amp;"|"&amp;MAX(1,ROUND(COUNTIFS(MASTER!$B$4:$B$1463,$E$4,MASTER!$L$4:$L$1463,"&lt;&gt;")*$A104*100/100,0)),MASTER!$AI$4:$AI$1463,0))),NA()))))</f>
        <v>4230</v>
      </c>
    </row>
    <row r="105" spans="1:17" hidden="1">
      <c r="A105" s="36">
        <v>0.5</v>
      </c>
      <c r="B105" s="37">
        <f>IF($B$4="RESONANCE",IFERROR(IF(INDEX(MASTER!$I$4:$I$1463,MATCH("FUCT"&amp;"|"&amp;MAX(1,ROUND(COUNTIFS(MASTER!$B$4:$B$1463,"FUCT",MASTER!$I$4:$I$1463,"&lt;&gt;")*$A105*100/100,0)),MASTER!$Y$4:$Y$1463,0))="",NA(),INDEX(MASTER!$I$4:$I$1463,MATCH("FUCT"&amp;"|"&amp;MAX(1,ROUND(COUNTIFS(MASTER!$B$4:$B$1463,"FUCT",MASTER!$I$4:$I$1463,"&lt;&gt;")*$A105*100/100,0)),MASTER!$Y$4:$Y$1463,0))),NA()),IF($B$4="COMBAT RATING",IFERROR(IF(INDEX(MASTER!$G$4:$G$1463,MATCH("FUCT"&amp;"|"&amp;MAX(1,ROUND(COUNTIFS(MASTER!$B$4:$B$1463,"FUCT",MASTER!$G$4:$G$1463,"&lt;&gt;")*$A105*100/100,0)),MASTER!$AH$4:$AH$1463,0))="",NA(),INDEX(MASTER!$G$4:$G$1463,MATCH("FUCT"&amp;"|"&amp;MAX(1,ROUND(COUNTIFS(MASTER!$B$4:$B$1463,"FUCT",MASTER!$G$4:$G$1463,"&lt;&gt;")*$A105*100/100,0)),MASTER!$AH$4:$AH$1463,0))),NA()),IF($B$4="SECONDARY",IFERROR(IF(INDEX(MASTER!$L$4:$L$1463,MATCH("FUCT"&amp;"|"&amp;MAX(1,ROUND(COUNTIFS(MASTER!$B$4:$B$1463,"FUCT",MASTER!$L$4:$L$1463,"&lt;&gt;")*$A105*100/100,0)),MASTER!$AI$4:$AI$1463,0))="",NA(),INDEX(MASTER!$L$4:$L$1463,MATCH("FUCT"&amp;"|"&amp;MAX(1,ROUND(COUNTIFS(MASTER!$B$4:$B$1463,"FUCT",MASTER!$L$4:$L$1463,"&lt;&gt;")*$A105*100/100,0)),MASTER!$AI$4:$AI$1463,0))),NA()))))</f>
        <v>4435</v>
      </c>
      <c r="C105" s="37">
        <f>IF($B$4="RESONANCE",IFERROR(IF(INDEX(MASTER!$I$4:$I$1463,MATCH("LEGENDS"&amp;"|"&amp;MAX(1,ROUND(COUNTIFS(MASTER!$B$4:$B$1463,"LEGENDS",MASTER!$I$4:$I$1463,"&lt;&gt;")*$A105*100/100,0)),MASTER!$Y$4:$Y$1463,0))="",NA(),INDEX(MASTER!$I$4:$I$1463,MATCH("LEGENDS"&amp;"|"&amp;MAX(1,ROUND(COUNTIFS(MASTER!$B$4:$B$1463,"LEGENDS",MASTER!$I$4:$I$1463,"&lt;&gt;")*$A105*100/100,0)),MASTER!$Y$4:$Y$1463,0))),NA()),IF($B$4="COMBAT RATING",IFERROR(IF(INDEX(MASTER!$G$4:$G$1463,MATCH("LEGENDS"&amp;"|"&amp;MAX(1,ROUND(COUNTIFS(MASTER!$B$4:$B$1463,"LEGENDS",MASTER!$G$4:$G$1463,"&lt;&gt;")*$A105*100/100,0)),MASTER!$AH$4:$AH$1463,0))="",NA(),INDEX(MASTER!$G$4:$G$1463,MATCH("LEGENDS"&amp;"|"&amp;MAX(1,ROUND(COUNTIFS(MASTER!$B$4:$B$1463,"LEGENDS",MASTER!$G$4:$G$1463,"&lt;&gt;")*$A105*100/100,0)),MASTER!$AH$4:$AH$1463,0))),NA()),IF($B$4="SECONDARY",IFERROR(IF(INDEX(MASTER!$L$4:$L$1463,MATCH("LEGENDS"&amp;"|"&amp;MAX(1,ROUND(COUNTIFS(MASTER!$B$4:$B$1463,"LEGENDS",MASTER!$L$4:$L$1463,"&lt;&gt;")*$A105*100/100,0)),MASTER!$AI$4:$AI$1463,0))="",NA(),INDEX(MASTER!$L$4:$L$1463,MATCH("LEGENDS"&amp;"|"&amp;MAX(1,ROUND(COUNTIFS(MASTER!$B$4:$B$1463,"LEGENDS",MASTER!$L$4:$L$1463,"&lt;&gt;")*$A105*100/100,0)),MASTER!$AI$4:$AI$1463,0))),NA()))))</f>
        <v>5099</v>
      </c>
      <c r="D105" s="37">
        <f>IF($B$4="RESONANCE",IFERROR(IF(INDEX(MASTER!$I$4:$I$1463,MATCH("VANGUARD"&amp;"|"&amp;MAX(1,ROUND(COUNTIFS(MASTER!$B$4:$B$1463,"VANGUARD",MASTER!$I$4:$I$1463,"&lt;&gt;")*$A105*100/100,0)),MASTER!$Y$4:$Y$1463,0))="",NA(),INDEX(MASTER!$I$4:$I$1463,MATCH("VANGUARD"&amp;"|"&amp;MAX(1,ROUND(COUNTIFS(MASTER!$B$4:$B$1463,"VANGUARD",MASTER!$I$4:$I$1463,"&lt;&gt;")*$A105*100/100,0)),MASTER!$Y$4:$Y$1463,0))),NA()),IF($B$4="COMBAT RATING",IFERROR(IF(INDEX(MASTER!$G$4:$G$1463,MATCH("VANGUARD"&amp;"|"&amp;MAX(1,ROUND(COUNTIFS(MASTER!$B$4:$B$1463,"VANGUARD",MASTER!$G$4:$G$1463,"&lt;&gt;")*$A105*100/100,0)),MASTER!$AH$4:$AH$1463,0))="",NA(),INDEX(MASTER!$G$4:$G$1463,MATCH("VANGUARD"&amp;"|"&amp;MAX(1,ROUND(COUNTIFS(MASTER!$B$4:$B$1463,"VANGUARD",MASTER!$G$4:$G$1463,"&lt;&gt;")*$A105*100/100,0)),MASTER!$AH$4:$AH$1463,0))),NA()),IF($B$4="SECONDARY",IFERROR(IF(INDEX(MASTER!$L$4:$L$1463,MATCH("VANGUARD"&amp;"|"&amp;MAX(1,ROUND(COUNTIFS(MASTER!$B$4:$B$1463,"VANGUARD",MASTER!$L$4:$L$1463,"&lt;&gt;")*$A105*100/100,0)),MASTER!$AI$4:$AI$1463,0))="",NA(),INDEX(MASTER!$L$4:$L$1463,MATCH("VANGUARD"&amp;"|"&amp;MAX(1,ROUND(COUNTIFS(MASTER!$B$4:$B$1463,"VANGUARD",MASTER!$L$4:$L$1463,"&lt;&gt;")*$A105*100/100,0)),MASTER!$AI$4:$AI$1463,0))),NA()))))</f>
        <v>6829</v>
      </c>
      <c r="E105" s="37">
        <f>IF($B$4="RESONANCE",IFERROR(IF(INDEX(MASTER!$I$4:$I$1463,MATCH("UNDYING"&amp;"|"&amp;MAX(1,ROUND(COUNTIFS(MASTER!$B$4:$B$1463,"UNDYING",MASTER!$I$4:$I$1463,"&lt;&gt;")*$A105*100/100,0)),MASTER!$Y$4:$Y$1463,0))="",NA(),INDEX(MASTER!$I$4:$I$1463,MATCH("UNDYING"&amp;"|"&amp;MAX(1,ROUND(COUNTIFS(MASTER!$B$4:$B$1463,"UNDYING",MASTER!$I$4:$I$1463,"&lt;&gt;")*$A105*100/100,0)),MASTER!$Y$4:$Y$1463,0))),NA()),IF($B$4="COMBAT RATING",IFERROR(IF(INDEX(MASTER!$G$4:$G$1463,MATCH("UNDYING"&amp;"|"&amp;MAX(1,ROUND(COUNTIFS(MASTER!$B$4:$B$1463,"UNDYING",MASTER!$G$4:$G$1463,"&lt;&gt;")*$A105*100/100,0)),MASTER!$AH$4:$AH$1463,0))="",NA(),INDEX(MASTER!$G$4:$G$1463,MATCH("UNDYING"&amp;"|"&amp;MAX(1,ROUND(COUNTIFS(MASTER!$B$4:$B$1463,"UNDYING",MASTER!$G$4:$G$1463,"&lt;&gt;")*$A105*100/100,0)),MASTER!$AH$4:$AH$1463,0))),NA()),IF($B$4="SECONDARY",IFERROR(IF(INDEX(MASTER!$L$4:$L$1463,MATCH("UNDYING"&amp;"|"&amp;MAX(1,ROUND(COUNTIFS(MASTER!$B$4:$B$1463,"UNDYING",MASTER!$L$4:$L$1463,"&lt;&gt;")*$A105*100/100,0)),MASTER!$AI$4:$AI$1463,0))="",NA(),INDEX(MASTER!$L$4:$L$1463,MATCH("UNDYING"&amp;"|"&amp;MAX(1,ROUND(COUNTIFS(MASTER!$B$4:$B$1463,"UNDYING",MASTER!$L$4:$L$1463,"&lt;&gt;")*$A105*100/100,0)),MASTER!$AI$4:$AI$1463,0))),NA()))))</f>
        <v>4203</v>
      </c>
      <c r="F105" s="37">
        <f>IF($B$4="RESONANCE",IFERROR(IF(INDEX(MASTER!$I$4:$I$1463,MATCH("SBG"&amp;"|"&amp;MAX(1,ROUND(COUNTIFS(MASTER!$B$4:$B$1463,"SBG",MASTER!$I$4:$I$1463,"&lt;&gt;")*$A105*100/100,0)),MASTER!$Y$4:$Y$1463,0))="",NA(),INDEX(MASTER!$I$4:$I$1463,MATCH("SBG"&amp;"|"&amp;MAX(1,ROUND(COUNTIFS(MASTER!$B$4:$B$1463,"SBG",MASTER!$I$4:$I$1463,"&lt;&gt;")*$A105*100/100,0)),MASTER!$Y$4:$Y$1463,0))),NA()),IF($B$4="COMBAT RATING",IFERROR(IF(INDEX(MASTER!$G$4:$G$1463,MATCH("SBG"&amp;"|"&amp;MAX(1,ROUND(COUNTIFS(MASTER!$B$4:$B$1463,"SBG",MASTER!$G$4:$G$1463,"&lt;&gt;")*$A105*100/100,0)),MASTER!$AH$4:$AH$1463,0))="",NA(),INDEX(MASTER!$G$4:$G$1463,MATCH("SBG"&amp;"|"&amp;MAX(1,ROUND(COUNTIFS(MASTER!$B$4:$B$1463,"SBG",MASTER!$G$4:$G$1463,"&lt;&gt;")*$A105*100/100,0)),MASTER!$AH$4:$AH$1463,0))),NA()),IF($B$4="SECONDARY",IFERROR(IF(INDEX(MASTER!$L$4:$L$1463,MATCH("SBG"&amp;"|"&amp;MAX(1,ROUND(COUNTIFS(MASTER!$B$4:$B$1463,"SBG",MASTER!$L$4:$L$1463,"&lt;&gt;")*$A105*100/100,0)),MASTER!$AI$4:$AI$1463,0))="",NA(),INDEX(MASTER!$L$4:$L$1463,MATCH("SBG"&amp;"|"&amp;MAX(1,ROUND(COUNTIFS(MASTER!$B$4:$B$1463,"SBG",MASTER!$L$4:$L$1463,"&lt;&gt;")*$A105*100/100,0)),MASTER!$AI$4:$AI$1463,0))),NA()))))</f>
        <v>5671</v>
      </c>
      <c r="G105" s="37">
        <f>IF($B$4="RESONANCE",IFERROR(IF(INDEX(MASTER!$I$4:$I$1463,MATCH("AZUKI"&amp;"|"&amp;MAX(1,ROUND(COUNTIFS(MASTER!$B$4:$B$1463,"AZUKI",MASTER!$I$4:$I$1463,"&lt;&gt;")*$A105*100/100,0)),MASTER!$Y$4:$Y$1463,0))="",NA(),INDEX(MASTER!$I$4:$I$1463,MATCH("AZUKI"&amp;"|"&amp;MAX(1,ROUND(COUNTIFS(MASTER!$B$4:$B$1463,"AZUKI",MASTER!$I$4:$I$1463,"&lt;&gt;")*$A105*100/100,0)),MASTER!$Y$4:$Y$1463,0))),NA()),IF($B$4="COMBAT RATING",IFERROR(IF(INDEX(MASTER!$G$4:$G$1463,MATCH("AZUKI"&amp;"|"&amp;MAX(1,ROUND(COUNTIFS(MASTER!$B$4:$B$1463,"AZUKI",MASTER!$G$4:$G$1463,"&lt;&gt;")*$A105*100/100,0)),MASTER!$AH$4:$AH$1463,0))="",NA(),INDEX(MASTER!$G$4:$G$1463,MATCH("AZUKI"&amp;"|"&amp;MAX(1,ROUND(COUNTIFS(MASTER!$B$4:$B$1463,"AZUKI",MASTER!$G$4:$G$1463,"&lt;&gt;")*$A105*100/100,0)),MASTER!$AH$4:$AH$1463,0))),NA()),IF($B$4="SECONDARY",IFERROR(IF(INDEX(MASTER!$L$4:$L$1463,MATCH("AZUKI"&amp;"|"&amp;MAX(1,ROUND(COUNTIFS(MASTER!$B$4:$B$1463,"AZUKI",MASTER!$L$4:$L$1463,"&lt;&gt;")*$A105*100/100,0)),MASTER!$AI$4:$AI$1463,0))="",NA(),INDEX(MASTER!$L$4:$L$1463,MATCH("AZUKI"&amp;"|"&amp;MAX(1,ROUND(COUNTIFS(MASTER!$B$4:$B$1463,"AZUKI",MASTER!$L$4:$L$1463,"&lt;&gt;")*$A105*100/100,0)),MASTER!$AI$4:$AI$1463,0))),NA()))))</f>
        <v>4939</v>
      </c>
      <c r="H105" s="37">
        <f>IF($B$4="RESONANCE",IFERROR(IF(INDEX(MASTER!$I$4:$I$1463,MATCH("RECKONING"&amp;"|"&amp;MAX(1,ROUND(COUNTIFS(MASTER!$B$4:$B$1463,"RECKONING",MASTER!$I$4:$I$1463,"&lt;&gt;")*$A105*100/100,0)),MASTER!$Y$4:$Y$1463,0))="",NA(),INDEX(MASTER!$I$4:$I$1463,MATCH("RECKONING"&amp;"|"&amp;MAX(1,ROUND(COUNTIFS(MASTER!$B$4:$B$1463,"RECKONING",MASTER!$I$4:$I$1463,"&lt;&gt;")*$A105*100/100,0)),MASTER!$Y$4:$Y$1463,0))),NA()),IF($B$4="COMBAT RATING",IFERROR(IF(INDEX(MASTER!$G$4:$G$1463,MATCH("RECKONING"&amp;"|"&amp;MAX(1,ROUND(COUNTIFS(MASTER!$B$4:$B$1463,"RECKONING",MASTER!$G$4:$G$1463,"&lt;&gt;")*$A105*100/100,0)),MASTER!$AH$4:$AH$1463,0))="",NA(),INDEX(MASTER!$G$4:$G$1463,MATCH("RECKONING"&amp;"|"&amp;MAX(1,ROUND(COUNTIFS(MASTER!$B$4:$B$1463,"RECKONING",MASTER!$G$4:$G$1463,"&lt;&gt;")*$A105*100/100,0)),MASTER!$AH$4:$AH$1463,0))),NA()),IF($B$4="SECONDARY",IFERROR(IF(INDEX(MASTER!$L$4:$L$1463,MATCH("RECKONING"&amp;"|"&amp;MAX(1,ROUND(COUNTIFS(MASTER!$B$4:$B$1463,"RECKONING",MASTER!$L$4:$L$1463,"&lt;&gt;")*$A105*100/100,0)),MASTER!$AI$4:$AI$1463,0))="",NA(),INDEX(MASTER!$L$4:$L$1463,MATCH("RECKONING"&amp;"|"&amp;MAX(1,ROUND(COUNTIFS(MASTER!$B$4:$B$1463,"RECKONING",MASTER!$L$4:$L$1463,"&lt;&gt;")*$A105*100/100,0)),MASTER!$AI$4:$AI$1463,0))),NA()))))</f>
        <v>4850</v>
      </c>
      <c r="I105" s="37">
        <f>IF($B$4="RESONANCE",IFERROR(IF(INDEX(MASTER!$I$4:$I$1463,MATCH("ACHERON"&amp;"|"&amp;MAX(1,ROUND(COUNTIFS(MASTER!$B$4:$B$1463,"ACHERON",MASTER!$I$4:$I$1463,"&lt;&gt;")*$A105*100/100,0)),MASTER!$Y$4:$Y$1463,0))="",NA(),INDEX(MASTER!$I$4:$I$1463,MATCH("ACHERON"&amp;"|"&amp;MAX(1,ROUND(COUNTIFS(MASTER!$B$4:$B$1463,"ACHERON",MASTER!$I$4:$I$1463,"&lt;&gt;")*$A105*100/100,0)),MASTER!$Y$4:$Y$1463,0))),NA()),IF($B$4="COMBAT RATING",IFERROR(IF(INDEX(MASTER!$G$4:$G$1463,MATCH("ACHERON"&amp;"|"&amp;MAX(1,ROUND(COUNTIFS(MASTER!$B$4:$B$1463,"ACHERON",MASTER!$G$4:$G$1463,"&lt;&gt;")*$A105*100/100,0)),MASTER!$AH$4:$AH$1463,0))="",NA(),INDEX(MASTER!$G$4:$G$1463,MATCH("ACHERON"&amp;"|"&amp;MAX(1,ROUND(COUNTIFS(MASTER!$B$4:$B$1463,"ACHERON",MASTER!$G$4:$G$1463,"&lt;&gt;")*$A105*100/100,0)),MASTER!$AH$4:$AH$1463,0))),NA()),IF($B$4="SECONDARY",IFERROR(IF(INDEX(MASTER!$L$4:$L$1463,MATCH("ACHERON"&amp;"|"&amp;MAX(1,ROUND(COUNTIFS(MASTER!$B$4:$B$1463,"ACHERON",MASTER!$L$4:$L$1463,"&lt;&gt;")*$A105*100/100,0)),MASTER!$AI$4:$AI$1463,0))="",NA(),INDEX(MASTER!$L$4:$L$1463,MATCH("ACHERON"&amp;"|"&amp;MAX(1,ROUND(COUNTIFS(MASTER!$B$4:$B$1463,"ACHERON",MASTER!$L$4:$L$1463,"&lt;&gt;")*$A105*100/100,0)),MASTER!$AI$4:$AI$1463,0))),NA()))))</f>
        <v>3926</v>
      </c>
      <c r="J105" s="37">
        <f>IF($B$4="RESONANCE",IFERROR(IF(INDEX(MASTER!$I$4:$I$1463,MATCH("INVICTUS"&amp;"|"&amp;MAX(1,ROUND(COUNTIFS(MASTER!$B$4:$B$1463,"INVICTUS",MASTER!$I$4:$I$1463,"&lt;&gt;")*$A105*100/100,0)),MASTER!$Y$4:$Y$1463,0))="",NA(),INDEX(MASTER!$I$4:$I$1463,MATCH("INVICTUS"&amp;"|"&amp;MAX(1,ROUND(COUNTIFS(MASTER!$B$4:$B$1463,"INVICTUS",MASTER!$I$4:$I$1463,"&lt;&gt;")*$A105*100/100,0)),MASTER!$Y$4:$Y$1463,0))),NA()),IF($B$4="COMBAT RATING",IFERROR(IF(INDEX(MASTER!$G$4:$G$1463,MATCH("INVICTUS"&amp;"|"&amp;MAX(1,ROUND(COUNTIFS(MASTER!$B$4:$B$1463,"INVICTUS",MASTER!$G$4:$G$1463,"&lt;&gt;")*$A105*100/100,0)),MASTER!$AH$4:$AH$1463,0))="",NA(),INDEX(MASTER!$G$4:$G$1463,MATCH("INVICTUS"&amp;"|"&amp;MAX(1,ROUND(COUNTIFS(MASTER!$B$4:$B$1463,"INVICTUS",MASTER!$G$4:$G$1463,"&lt;&gt;")*$A105*100/100,0)),MASTER!$AH$4:$AH$1463,0))),NA()),IF($B$4="SECONDARY",IFERROR(IF(INDEX(MASTER!$L$4:$L$1463,MATCH("INVICTUS"&amp;"|"&amp;MAX(1,ROUND(COUNTIFS(MASTER!$B$4:$B$1463,"INVICTUS",MASTER!$L$4:$L$1463,"&lt;&gt;")*$A105*100/100,0)),MASTER!$AI$4:$AI$1463,0))="",NA(),INDEX(MASTER!$L$4:$L$1463,MATCH("INVICTUS"&amp;"|"&amp;MAX(1,ROUND(COUNTIFS(MASTER!$B$4:$B$1463,"INVICTUS",MASTER!$L$4:$L$1463,"&lt;&gt;")*$A105*100/100,0)),MASTER!$AI$4:$AI$1463,0))),NA()))))</f>
        <v>3040</v>
      </c>
      <c r="K105" s="37">
        <f>IF($B$4="RESONANCE",IFERROR(IF(INDEX(MASTER!$I$4:$I$1463,MATCH("EMERALD LEAF TRIBE"&amp;"|"&amp;MAX(1,ROUND(COUNTIFS(MASTER!$B$4:$B$1463,"EMERALD LEAF TRIBE",MASTER!$I$4:$I$1463,"&lt;&gt;")*$A105*100/100,0)),MASTER!$Y$4:$Y$1463,0))="",NA(),INDEX(MASTER!$I$4:$I$1463,MATCH("EMERALD LEAF TRIBE"&amp;"|"&amp;MAX(1,ROUND(COUNTIFS(MASTER!$B$4:$B$1463,"EMERALD LEAF TRIBE",MASTER!$I$4:$I$1463,"&lt;&gt;")*$A105*100/100,0)),MASTER!$Y$4:$Y$1463,0))),NA()),IF($B$4="COMBAT RATING",IFERROR(IF(INDEX(MASTER!$G$4:$G$1463,MATCH("EMERALD LEAF TRIBE"&amp;"|"&amp;MAX(1,ROUND(COUNTIFS(MASTER!$B$4:$B$1463,"EMERALD LEAF TRIBE",MASTER!$G$4:$G$1463,"&lt;&gt;")*$A105*100/100,0)),MASTER!$AH$4:$AH$1463,0))="",NA(),INDEX(MASTER!$G$4:$G$1463,MATCH("EMERALD LEAF TRIBE"&amp;"|"&amp;MAX(1,ROUND(COUNTIFS(MASTER!$B$4:$B$1463,"EMERALD LEAF TRIBE",MASTER!$G$4:$G$1463,"&lt;&gt;")*$A105*100/100,0)),MASTER!$AH$4:$AH$1463,0))),NA()),IF($B$4="SECONDARY",IFERROR(IF(INDEX(MASTER!$L$4:$L$1463,MATCH("EMERALD LEAF TRIBE"&amp;"|"&amp;MAX(1,ROUND(COUNTIFS(MASTER!$B$4:$B$1463,"EMERALD LEAF TRIBE",MASTER!$L$4:$L$1463,"&lt;&gt;")*$A105*100/100,0)),MASTER!$AI$4:$AI$1463,0))="",NA(),INDEX(MASTER!$L$4:$L$1463,MATCH("EMERALD LEAF TRIBE"&amp;"|"&amp;MAX(1,ROUND(COUNTIFS(MASTER!$B$4:$B$1463,"EMERALD LEAF TRIBE",MASTER!$L$4:$L$1463,"&lt;&gt;")*$A105*100/100,0)),MASTER!$AI$4:$AI$1463,0))),NA()))))</f>
        <v>2180</v>
      </c>
      <c r="L105" s="37">
        <f>IF($B$4="RESONANCE",IFERROR(IF(INDEX(MASTER!$I$4:$I$1463,MATCH("SUB ROSA"&amp;"|"&amp;MAX(1,ROUND(COUNTIFS(MASTER!$B$4:$B$1463,"SUB ROSA",MASTER!$I$4:$I$1463,"&lt;&gt;")*$A105*100/100,0)),MASTER!$Y$4:$Y$1463,0))="",NA(),INDEX(MASTER!$I$4:$I$1463,MATCH("SUB ROSA"&amp;"|"&amp;MAX(1,ROUND(COUNTIFS(MASTER!$B$4:$B$1463,"SUB ROSA",MASTER!$I$4:$I$1463,"&lt;&gt;")*$A105*100/100,0)),MASTER!$Y$4:$Y$1463,0))),NA()),IF($B$4="COMBAT RATING",IFERROR(IF(INDEX(MASTER!$G$4:$G$1463,MATCH("SUB ROSA"&amp;"|"&amp;MAX(1,ROUND(COUNTIFS(MASTER!$B$4:$B$1463,"SUB ROSA",MASTER!$G$4:$G$1463,"&lt;&gt;")*$A105*100/100,0)),MASTER!$AH$4:$AH$1463,0))="",NA(),INDEX(MASTER!$G$4:$G$1463,MATCH("SUB ROSA"&amp;"|"&amp;MAX(1,ROUND(COUNTIFS(MASTER!$B$4:$B$1463,"SUB ROSA",MASTER!$G$4:$G$1463,"&lt;&gt;")*$A105*100/100,0)),MASTER!$AH$4:$AH$1463,0))),NA()),IF($B$4="SECONDARY",IFERROR(IF(INDEX(MASTER!$L$4:$L$1463,MATCH("SUB ROSA"&amp;"|"&amp;MAX(1,ROUND(COUNTIFS(MASTER!$B$4:$B$1463,"SUB ROSA",MASTER!$L$4:$L$1463,"&lt;&gt;")*$A105*100/100,0)),MASTER!$AI$4:$AI$1463,0))="",NA(),INDEX(MASTER!$L$4:$L$1463,MATCH("SUB ROSA"&amp;"|"&amp;MAX(1,ROUND(COUNTIFS(MASTER!$B$4:$B$1463,"SUB ROSA",MASTER!$L$4:$L$1463,"&lt;&gt;")*$A105*100/100,0)),MASTER!$AI$4:$AI$1463,0))),NA()))))</f>
        <v>2554</v>
      </c>
      <c r="M105" s="37">
        <f>IF($B$4="RESONANCE",IFERROR(IF(INDEX(MASTER!$I$4:$I$1463,MATCH("VENGEANCE"&amp;"|"&amp;MAX(1,ROUND(COUNTIFS(MASTER!$B$4:$B$1463,"VENGEANCE",MASTER!$I$4:$I$1463,"&lt;&gt;")*$A105*100/100,0)),MASTER!$Y$4:$Y$1463,0))="",NA(),INDEX(MASTER!$I$4:$I$1463,MATCH("VENGEANCE"&amp;"|"&amp;MAX(1,ROUND(COUNTIFS(MASTER!$B$4:$B$1463,"VENGEANCE",MASTER!$I$4:$I$1463,"&lt;&gt;")*$A105*100/100,0)),MASTER!$Y$4:$Y$1463,0))),NA()),IF($B$4="COMBAT RATING",IFERROR(IF(INDEX(MASTER!$G$4:$G$1463,MATCH("VENGEANCE"&amp;"|"&amp;MAX(1,ROUND(COUNTIFS(MASTER!$B$4:$B$1463,"VENGEANCE",MASTER!$G$4:$G$1463,"&lt;&gt;")*$A105*100/100,0)),MASTER!$AH$4:$AH$1463,0))="",NA(),INDEX(MASTER!$G$4:$G$1463,MATCH("VENGEANCE"&amp;"|"&amp;MAX(1,ROUND(COUNTIFS(MASTER!$B$4:$B$1463,"VENGEANCE",MASTER!$G$4:$G$1463,"&lt;&gt;")*$A105*100/100,0)),MASTER!$AH$4:$AH$1463,0))),NA()),IF($B$4="SECONDARY",IFERROR(IF(INDEX(MASTER!$L$4:$L$1463,MATCH("VENGEANCE"&amp;"|"&amp;MAX(1,ROUND(COUNTIFS(MASTER!$B$4:$B$1463,"VENGEANCE",MASTER!$L$4:$L$1463,"&lt;&gt;")*$A105*100/100,0)),MASTER!$AI$4:$AI$1463,0))="",NA(),INDEX(MASTER!$L$4:$L$1463,MATCH("VENGEANCE"&amp;"|"&amp;MAX(1,ROUND(COUNTIFS(MASTER!$B$4:$B$1463,"VENGEANCE",MASTER!$L$4:$L$1463,"&lt;&gt;")*$A105*100/100,0)),MASTER!$AI$4:$AI$1463,0))),NA()))))</f>
        <v>3418</v>
      </c>
      <c r="N105" s="37">
        <f>IF($B$4="RESONANCE",IFERROR(IF(INDEX(MASTER!$I$4:$I$1463,MATCH("VENDETTA"&amp;"|"&amp;MAX(1,ROUND(COUNTIFS(MASTER!$B$4:$B$1463,"VENDETTA",MASTER!$I$4:$I$1463,"&lt;&gt;")*$A105*100/100,0)),MASTER!$Y$4:$Y$1463,0))="",NA(),INDEX(MASTER!$I$4:$I$1463,MATCH("VENDETTA"&amp;"|"&amp;MAX(1,ROUND(COUNTIFS(MASTER!$B$4:$B$1463,"VENDETTA",MASTER!$I$4:$I$1463,"&lt;&gt;")*$A105*100/100,0)),MASTER!$Y$4:$Y$1463,0))),NA()),IF($B$4="COMBAT RATING",IFERROR(IF(INDEX(MASTER!$G$4:$G$1463,MATCH("VENDETTA"&amp;"|"&amp;MAX(1,ROUND(COUNTIFS(MASTER!$B$4:$B$1463,"VENDETTA",MASTER!$G$4:$G$1463,"&lt;&gt;")*$A105*100/100,0)),MASTER!$AH$4:$AH$1463,0))="",NA(),INDEX(MASTER!$G$4:$G$1463,MATCH("VENDETTA"&amp;"|"&amp;MAX(1,ROUND(COUNTIFS(MASTER!$B$4:$B$1463,"VENDETTA",MASTER!$G$4:$G$1463,"&lt;&gt;")*$A105*100/100,0)),MASTER!$AH$4:$AH$1463,0))),NA()),IF($B$4="SECONDARY",IFERROR(IF(INDEX(MASTER!$L$4:$L$1463,MATCH("VENDETTA"&amp;"|"&amp;MAX(1,ROUND(COUNTIFS(MASTER!$B$4:$B$1463,"VENDETTA",MASTER!$L$4:$L$1463,"&lt;&gt;")*$A105*100/100,0)),MASTER!$AI$4:$AI$1463,0))="",NA(),INDEX(MASTER!$L$4:$L$1463,MATCH("VENDETTA"&amp;"|"&amp;MAX(1,ROUND(COUNTIFS(MASTER!$B$4:$B$1463,"VENDETTA",MASTER!$L$4:$L$1463,"&lt;&gt;")*$A105*100/100,0)),MASTER!$AI$4:$AI$1463,0))),NA()))))</f>
        <v>2030</v>
      </c>
      <c r="O105" s="37">
        <f>IF($B$4="RESONANCE",IFERROR(IF(INDEX(MASTER!$I$4:$I$1463,MATCH("ZOMBIES"&amp;"|"&amp;MAX(1,ROUND(COUNTIFS(MASTER!$B$4:$B$1463,"ZOMBIES",MASTER!$I$4:$I$1463,"&lt;&gt;")*$A105*100/100,0)),MASTER!$Y$4:$Y$1463,0))="",NA(),INDEX(MASTER!$I$4:$I$1463,MATCH("ZOMBIES"&amp;"|"&amp;MAX(1,ROUND(COUNTIFS(MASTER!$B$4:$B$1463,"ZOMBIES",MASTER!$I$4:$I$1463,"&lt;&gt;")*$A105*100/100,0)),MASTER!$Y$4:$Y$1463,0))),NA()),IF($B$4="COMBAT RATING",IFERROR(IF(INDEX(MASTER!$G$4:$G$1463,MATCH("ZOMBIES"&amp;"|"&amp;MAX(1,ROUND(COUNTIFS(MASTER!$B$4:$B$1463,"ZOMBIES",MASTER!$G$4:$G$1463,"&lt;&gt;")*$A105*100/100,0)),MASTER!$AH$4:$AH$1463,0))="",NA(),INDEX(MASTER!$G$4:$G$1463,MATCH("ZOMBIES"&amp;"|"&amp;MAX(1,ROUND(COUNTIFS(MASTER!$B$4:$B$1463,"ZOMBIES",MASTER!$G$4:$G$1463,"&lt;&gt;")*$A105*100/100,0)),MASTER!$AH$4:$AH$1463,0))),NA()),IF($B$4="SECONDARY",IFERROR(IF(INDEX(MASTER!$L$4:$L$1463,MATCH("ZOMBIES"&amp;"|"&amp;MAX(1,ROUND(COUNTIFS(MASTER!$B$4:$B$1463,"ZOMBIES",MASTER!$L$4:$L$1463,"&lt;&gt;")*$A105*100/100,0)),MASTER!$AI$4:$AI$1463,0))="",NA(),INDEX(MASTER!$L$4:$L$1463,MATCH("ZOMBIES"&amp;"|"&amp;MAX(1,ROUND(COUNTIFS(MASTER!$B$4:$B$1463,"ZOMBIES",MASTER!$L$4:$L$1463,"&lt;&gt;")*$A105*100/100,0)),MASTER!$AI$4:$AI$1463,0))),NA()))))</f>
        <v>1740</v>
      </c>
      <c r="P105" s="37">
        <f>IF($B$4="RESONANCE",IFERROR(IF(INDEX(MASTER!$I$4:$I$1463,MATCH("FUCT"&amp;"|"&amp;MAX(1,ROUND(COUNTIFS(MASTER!$B$4:$B$1463,"FUCT",MASTER!$I$4:$I$1463,"&lt;&gt;")*$A105*100/100,0)),MASTER!$Y$4:$Y$1463,0))="",NA(),INDEX(MASTER!$I$4:$I$1463,MATCH("FUCT"&amp;"|"&amp;MAX(1,ROUND(COUNTIFS(MASTER!$B$4:$B$1463,"FUCT",MASTER!$I$4:$I$1463,"&lt;&gt;")*$A105*100/100,0)),MASTER!$Y$4:$Y$1463,0))),NA()),IF($B$4="COMBAT RATING",IFERROR(IF(INDEX(MASTER!$G$4:$G$1463,MATCH("FUCT"&amp;"|"&amp;MAX(1,ROUND(COUNTIFS(MASTER!$B$4:$B$1463,"FUCT",MASTER!$G$4:$G$1463,"&lt;&gt;")*$A105*100/100,0)),MASTER!$AH$4:$AH$1463,0))="",NA(),INDEX(MASTER!$G$4:$G$1463,MATCH("FUCT"&amp;"|"&amp;MAX(1,ROUND(COUNTIFS(MASTER!$B$4:$B$1463,"FUCT",MASTER!$G$4:$G$1463,"&lt;&gt;")*$A105*100/100,0)),MASTER!$AH$4:$AH$1463,0))),NA()),IF($B$4="SECONDARY",IFERROR(IF(INDEX(MASTER!$L$4:$L$1463,MATCH("FUCT"&amp;"|"&amp;MAX(1,ROUND(COUNTIFS(MASTER!$B$4:$B$1463,"FUCT",MASTER!$L$4:$L$1463,"&lt;&gt;")*$A105*100/100,0)),MASTER!$AI$4:$AI$1463,0))="",NA(),INDEX(MASTER!$L$4:$L$1463,MATCH("FUCT"&amp;"|"&amp;MAX(1,ROUND(COUNTIFS(MASTER!$B$4:$B$1463,"FUCT",MASTER!$L$4:$L$1463,"&lt;&gt;")*$A105*100/100,0)),MASTER!$AI$4:$AI$1463,0))),NA()))))</f>
        <v>4435</v>
      </c>
      <c r="Q105" s="37">
        <f>IF($B$4="RESONANCE",IFERROR(IF(INDEX(MASTER!$I$4:$I$1463,MATCH($E$4&amp;"|"&amp;MAX(1,ROUND(COUNTIFS(MASTER!$B$4:$B$1463,$E$4,MASTER!$I$4:$I$1463,"&lt;&gt;")*$A105*100/100,0)),MASTER!$Y$4:$Y$1463,0))="",NA(),INDEX(MASTER!$I$4:$I$1463,MATCH($E$4&amp;"|"&amp;MAX(1,ROUND(COUNTIFS(MASTER!$B$4:$B$1463,$E$4,MASTER!$I$4:$I$1463,"&lt;&gt;")*$A105*100/100,0)),MASTER!$Y$4:$Y$1463,0))),NA()),IF($B$4="COMBAT RATING",IFERROR(IF(INDEX(MASTER!$G$4:$G$1463,MATCH($E$4&amp;"|"&amp;MAX(1,ROUND(COUNTIFS(MASTER!$B$4:$B$1463,$E$4,MASTER!$G$4:$G$1463,"&lt;&gt;")*$A105*100/100,0)),MASTER!$AH$4:$AH$1463,0))="",NA(),INDEX(MASTER!$G$4:$G$1463,MATCH($E$4&amp;"|"&amp;MAX(1,ROUND(COUNTIFS(MASTER!$B$4:$B$1463,$E$4,MASTER!$G$4:$G$1463,"&lt;&gt;")*$A105*100/100,0)),MASTER!$AH$4:$AH$1463,0))),NA()),IF($B$4="SECONDARY",IFERROR(IF(INDEX(MASTER!$L$4:$L$1463,MATCH($E$4&amp;"|"&amp;MAX(1,ROUND(COUNTIFS(MASTER!$B$4:$B$1463,$E$4,MASTER!$L$4:$L$1463,"&lt;&gt;")*$A105*100/100,0)),MASTER!$AI$4:$AI$1463,0))="",NA(),INDEX(MASTER!$L$4:$L$1463,MATCH($E$4&amp;"|"&amp;MAX(1,ROUND(COUNTIFS(MASTER!$B$4:$B$1463,$E$4,MASTER!$L$4:$L$1463,"&lt;&gt;")*$A105*100/100,0)),MASTER!$AI$4:$AI$1463,0))),NA()))))</f>
        <v>4203</v>
      </c>
    </row>
    <row r="106" spans="1:17" hidden="1">
      <c r="A106" s="36">
        <v>0.51</v>
      </c>
      <c r="B106" s="37">
        <f>IF($B$4="RESONANCE",IFERROR(IF(INDEX(MASTER!$I$4:$I$1463,MATCH("FUCT"&amp;"|"&amp;MAX(1,ROUND(COUNTIFS(MASTER!$B$4:$B$1463,"FUCT",MASTER!$I$4:$I$1463,"&lt;&gt;")*$A106*100/100,0)),MASTER!$Y$4:$Y$1463,0))="",NA(),INDEX(MASTER!$I$4:$I$1463,MATCH("FUCT"&amp;"|"&amp;MAX(1,ROUND(COUNTIFS(MASTER!$B$4:$B$1463,"FUCT",MASTER!$I$4:$I$1463,"&lt;&gt;")*$A106*100/100,0)),MASTER!$Y$4:$Y$1463,0))),NA()),IF($B$4="COMBAT RATING",IFERROR(IF(INDEX(MASTER!$G$4:$G$1463,MATCH("FUCT"&amp;"|"&amp;MAX(1,ROUND(COUNTIFS(MASTER!$B$4:$B$1463,"FUCT",MASTER!$G$4:$G$1463,"&lt;&gt;")*$A106*100/100,0)),MASTER!$AH$4:$AH$1463,0))="",NA(),INDEX(MASTER!$G$4:$G$1463,MATCH("FUCT"&amp;"|"&amp;MAX(1,ROUND(COUNTIFS(MASTER!$B$4:$B$1463,"FUCT",MASTER!$G$4:$G$1463,"&lt;&gt;")*$A106*100/100,0)),MASTER!$AH$4:$AH$1463,0))),NA()),IF($B$4="SECONDARY",IFERROR(IF(INDEX(MASTER!$L$4:$L$1463,MATCH("FUCT"&amp;"|"&amp;MAX(1,ROUND(COUNTIFS(MASTER!$B$4:$B$1463,"FUCT",MASTER!$L$4:$L$1463,"&lt;&gt;")*$A106*100/100,0)),MASTER!$AI$4:$AI$1463,0))="",NA(),INDEX(MASTER!$L$4:$L$1463,MATCH("FUCT"&amp;"|"&amp;MAX(1,ROUND(COUNTIFS(MASTER!$B$4:$B$1463,"FUCT",MASTER!$L$4:$L$1463,"&lt;&gt;")*$A106*100/100,0)),MASTER!$AI$4:$AI$1463,0))),NA()))))</f>
        <v>4435</v>
      </c>
      <c r="C106" s="37">
        <f>IF($B$4="RESONANCE",IFERROR(IF(INDEX(MASTER!$I$4:$I$1463,MATCH("LEGENDS"&amp;"|"&amp;MAX(1,ROUND(COUNTIFS(MASTER!$B$4:$B$1463,"LEGENDS",MASTER!$I$4:$I$1463,"&lt;&gt;")*$A106*100/100,0)),MASTER!$Y$4:$Y$1463,0))="",NA(),INDEX(MASTER!$I$4:$I$1463,MATCH("LEGENDS"&amp;"|"&amp;MAX(1,ROUND(COUNTIFS(MASTER!$B$4:$B$1463,"LEGENDS",MASTER!$I$4:$I$1463,"&lt;&gt;")*$A106*100/100,0)),MASTER!$Y$4:$Y$1463,0))),NA()),IF($B$4="COMBAT RATING",IFERROR(IF(INDEX(MASTER!$G$4:$G$1463,MATCH("LEGENDS"&amp;"|"&amp;MAX(1,ROUND(COUNTIFS(MASTER!$B$4:$B$1463,"LEGENDS",MASTER!$G$4:$G$1463,"&lt;&gt;")*$A106*100/100,0)),MASTER!$AH$4:$AH$1463,0))="",NA(),INDEX(MASTER!$G$4:$G$1463,MATCH("LEGENDS"&amp;"|"&amp;MAX(1,ROUND(COUNTIFS(MASTER!$B$4:$B$1463,"LEGENDS",MASTER!$G$4:$G$1463,"&lt;&gt;")*$A106*100/100,0)),MASTER!$AH$4:$AH$1463,0))),NA()),IF($B$4="SECONDARY",IFERROR(IF(INDEX(MASTER!$L$4:$L$1463,MATCH("LEGENDS"&amp;"|"&amp;MAX(1,ROUND(COUNTIFS(MASTER!$B$4:$B$1463,"LEGENDS",MASTER!$L$4:$L$1463,"&lt;&gt;")*$A106*100/100,0)),MASTER!$AI$4:$AI$1463,0))="",NA(),INDEX(MASTER!$L$4:$L$1463,MATCH("LEGENDS"&amp;"|"&amp;MAX(1,ROUND(COUNTIFS(MASTER!$B$4:$B$1463,"LEGENDS",MASTER!$L$4:$L$1463,"&lt;&gt;")*$A106*100/100,0)),MASTER!$AI$4:$AI$1463,0))),NA()))))</f>
        <v>5099</v>
      </c>
      <c r="D106" s="37">
        <f>IF($B$4="RESONANCE",IFERROR(IF(INDEX(MASTER!$I$4:$I$1463,MATCH("VANGUARD"&amp;"|"&amp;MAX(1,ROUND(COUNTIFS(MASTER!$B$4:$B$1463,"VANGUARD",MASTER!$I$4:$I$1463,"&lt;&gt;")*$A106*100/100,0)),MASTER!$Y$4:$Y$1463,0))="",NA(),INDEX(MASTER!$I$4:$I$1463,MATCH("VANGUARD"&amp;"|"&amp;MAX(1,ROUND(COUNTIFS(MASTER!$B$4:$B$1463,"VANGUARD",MASTER!$I$4:$I$1463,"&lt;&gt;")*$A106*100/100,0)),MASTER!$Y$4:$Y$1463,0))),NA()),IF($B$4="COMBAT RATING",IFERROR(IF(INDEX(MASTER!$G$4:$G$1463,MATCH("VANGUARD"&amp;"|"&amp;MAX(1,ROUND(COUNTIFS(MASTER!$B$4:$B$1463,"VANGUARD",MASTER!$G$4:$G$1463,"&lt;&gt;")*$A106*100/100,0)),MASTER!$AH$4:$AH$1463,0))="",NA(),INDEX(MASTER!$G$4:$G$1463,MATCH("VANGUARD"&amp;"|"&amp;MAX(1,ROUND(COUNTIFS(MASTER!$B$4:$B$1463,"VANGUARD",MASTER!$G$4:$G$1463,"&lt;&gt;")*$A106*100/100,0)),MASTER!$AH$4:$AH$1463,0))),NA()),IF($B$4="SECONDARY",IFERROR(IF(INDEX(MASTER!$L$4:$L$1463,MATCH("VANGUARD"&amp;"|"&amp;MAX(1,ROUND(COUNTIFS(MASTER!$B$4:$B$1463,"VANGUARD",MASTER!$L$4:$L$1463,"&lt;&gt;")*$A106*100/100,0)),MASTER!$AI$4:$AI$1463,0))="",NA(),INDEX(MASTER!$L$4:$L$1463,MATCH("VANGUARD"&amp;"|"&amp;MAX(1,ROUND(COUNTIFS(MASTER!$B$4:$B$1463,"VANGUARD",MASTER!$L$4:$L$1463,"&lt;&gt;")*$A106*100/100,0)),MASTER!$AI$4:$AI$1463,0))),NA()))))</f>
        <v>6829</v>
      </c>
      <c r="E106" s="37">
        <f>IF($B$4="RESONANCE",IFERROR(IF(INDEX(MASTER!$I$4:$I$1463,MATCH("UNDYING"&amp;"|"&amp;MAX(1,ROUND(COUNTIFS(MASTER!$B$4:$B$1463,"UNDYING",MASTER!$I$4:$I$1463,"&lt;&gt;")*$A106*100/100,0)),MASTER!$Y$4:$Y$1463,0))="",NA(),INDEX(MASTER!$I$4:$I$1463,MATCH("UNDYING"&amp;"|"&amp;MAX(1,ROUND(COUNTIFS(MASTER!$B$4:$B$1463,"UNDYING",MASTER!$I$4:$I$1463,"&lt;&gt;")*$A106*100/100,0)),MASTER!$Y$4:$Y$1463,0))),NA()),IF($B$4="COMBAT RATING",IFERROR(IF(INDEX(MASTER!$G$4:$G$1463,MATCH("UNDYING"&amp;"|"&amp;MAX(1,ROUND(COUNTIFS(MASTER!$B$4:$B$1463,"UNDYING",MASTER!$G$4:$G$1463,"&lt;&gt;")*$A106*100/100,0)),MASTER!$AH$4:$AH$1463,0))="",NA(),INDEX(MASTER!$G$4:$G$1463,MATCH("UNDYING"&amp;"|"&amp;MAX(1,ROUND(COUNTIFS(MASTER!$B$4:$B$1463,"UNDYING",MASTER!$G$4:$G$1463,"&lt;&gt;")*$A106*100/100,0)),MASTER!$AH$4:$AH$1463,0))),NA()),IF($B$4="SECONDARY",IFERROR(IF(INDEX(MASTER!$L$4:$L$1463,MATCH("UNDYING"&amp;"|"&amp;MAX(1,ROUND(COUNTIFS(MASTER!$B$4:$B$1463,"UNDYING",MASTER!$L$4:$L$1463,"&lt;&gt;")*$A106*100/100,0)),MASTER!$AI$4:$AI$1463,0))="",NA(),INDEX(MASTER!$L$4:$L$1463,MATCH("UNDYING"&amp;"|"&amp;MAX(1,ROUND(COUNTIFS(MASTER!$B$4:$B$1463,"UNDYING",MASTER!$L$4:$L$1463,"&lt;&gt;")*$A106*100/100,0)),MASTER!$AI$4:$AI$1463,0))),NA()))))</f>
        <v>4202</v>
      </c>
      <c r="F106" s="37">
        <f>IF($B$4="RESONANCE",IFERROR(IF(INDEX(MASTER!$I$4:$I$1463,MATCH("SBG"&amp;"|"&amp;MAX(1,ROUND(COUNTIFS(MASTER!$B$4:$B$1463,"SBG",MASTER!$I$4:$I$1463,"&lt;&gt;")*$A106*100/100,0)),MASTER!$Y$4:$Y$1463,0))="",NA(),INDEX(MASTER!$I$4:$I$1463,MATCH("SBG"&amp;"|"&amp;MAX(1,ROUND(COUNTIFS(MASTER!$B$4:$B$1463,"SBG",MASTER!$I$4:$I$1463,"&lt;&gt;")*$A106*100/100,0)),MASTER!$Y$4:$Y$1463,0))),NA()),IF($B$4="COMBAT RATING",IFERROR(IF(INDEX(MASTER!$G$4:$G$1463,MATCH("SBG"&amp;"|"&amp;MAX(1,ROUND(COUNTIFS(MASTER!$B$4:$B$1463,"SBG",MASTER!$G$4:$G$1463,"&lt;&gt;")*$A106*100/100,0)),MASTER!$AH$4:$AH$1463,0))="",NA(),INDEX(MASTER!$G$4:$G$1463,MATCH("SBG"&amp;"|"&amp;MAX(1,ROUND(COUNTIFS(MASTER!$B$4:$B$1463,"SBG",MASTER!$G$4:$G$1463,"&lt;&gt;")*$A106*100/100,0)),MASTER!$AH$4:$AH$1463,0))),NA()),IF($B$4="SECONDARY",IFERROR(IF(INDEX(MASTER!$L$4:$L$1463,MATCH("SBG"&amp;"|"&amp;MAX(1,ROUND(COUNTIFS(MASTER!$B$4:$B$1463,"SBG",MASTER!$L$4:$L$1463,"&lt;&gt;")*$A106*100/100,0)),MASTER!$AI$4:$AI$1463,0))="",NA(),INDEX(MASTER!$L$4:$L$1463,MATCH("SBG"&amp;"|"&amp;MAX(1,ROUND(COUNTIFS(MASTER!$B$4:$B$1463,"SBG",MASTER!$L$4:$L$1463,"&lt;&gt;")*$A106*100/100,0)),MASTER!$AI$4:$AI$1463,0))),NA()))))</f>
        <v>5671</v>
      </c>
      <c r="G106" s="37">
        <f>IF($B$4="RESONANCE",IFERROR(IF(INDEX(MASTER!$I$4:$I$1463,MATCH("AZUKI"&amp;"|"&amp;MAX(1,ROUND(COUNTIFS(MASTER!$B$4:$B$1463,"AZUKI",MASTER!$I$4:$I$1463,"&lt;&gt;")*$A106*100/100,0)),MASTER!$Y$4:$Y$1463,0))="",NA(),INDEX(MASTER!$I$4:$I$1463,MATCH("AZUKI"&amp;"|"&amp;MAX(1,ROUND(COUNTIFS(MASTER!$B$4:$B$1463,"AZUKI",MASTER!$I$4:$I$1463,"&lt;&gt;")*$A106*100/100,0)),MASTER!$Y$4:$Y$1463,0))),NA()),IF($B$4="COMBAT RATING",IFERROR(IF(INDEX(MASTER!$G$4:$G$1463,MATCH("AZUKI"&amp;"|"&amp;MAX(1,ROUND(COUNTIFS(MASTER!$B$4:$B$1463,"AZUKI",MASTER!$G$4:$G$1463,"&lt;&gt;")*$A106*100/100,0)),MASTER!$AH$4:$AH$1463,0))="",NA(),INDEX(MASTER!$G$4:$G$1463,MATCH("AZUKI"&amp;"|"&amp;MAX(1,ROUND(COUNTIFS(MASTER!$B$4:$B$1463,"AZUKI",MASTER!$G$4:$G$1463,"&lt;&gt;")*$A106*100/100,0)),MASTER!$AH$4:$AH$1463,0))),NA()),IF($B$4="SECONDARY",IFERROR(IF(INDEX(MASTER!$L$4:$L$1463,MATCH("AZUKI"&amp;"|"&amp;MAX(1,ROUND(COUNTIFS(MASTER!$B$4:$B$1463,"AZUKI",MASTER!$L$4:$L$1463,"&lt;&gt;")*$A106*100/100,0)),MASTER!$AI$4:$AI$1463,0))="",NA(),INDEX(MASTER!$L$4:$L$1463,MATCH("AZUKI"&amp;"|"&amp;MAX(1,ROUND(COUNTIFS(MASTER!$B$4:$B$1463,"AZUKI",MASTER!$L$4:$L$1463,"&lt;&gt;")*$A106*100/100,0)),MASTER!$AI$4:$AI$1463,0))),NA()))))</f>
        <v>4939</v>
      </c>
      <c r="H106" s="37">
        <f>IF($B$4="RESONANCE",IFERROR(IF(INDEX(MASTER!$I$4:$I$1463,MATCH("RECKONING"&amp;"|"&amp;MAX(1,ROUND(COUNTIFS(MASTER!$B$4:$B$1463,"RECKONING",MASTER!$I$4:$I$1463,"&lt;&gt;")*$A106*100/100,0)),MASTER!$Y$4:$Y$1463,0))="",NA(),INDEX(MASTER!$I$4:$I$1463,MATCH("RECKONING"&amp;"|"&amp;MAX(1,ROUND(COUNTIFS(MASTER!$B$4:$B$1463,"RECKONING",MASTER!$I$4:$I$1463,"&lt;&gt;")*$A106*100/100,0)),MASTER!$Y$4:$Y$1463,0))),NA()),IF($B$4="COMBAT RATING",IFERROR(IF(INDEX(MASTER!$G$4:$G$1463,MATCH("RECKONING"&amp;"|"&amp;MAX(1,ROUND(COUNTIFS(MASTER!$B$4:$B$1463,"RECKONING",MASTER!$G$4:$G$1463,"&lt;&gt;")*$A106*100/100,0)),MASTER!$AH$4:$AH$1463,0))="",NA(),INDEX(MASTER!$G$4:$G$1463,MATCH("RECKONING"&amp;"|"&amp;MAX(1,ROUND(COUNTIFS(MASTER!$B$4:$B$1463,"RECKONING",MASTER!$G$4:$G$1463,"&lt;&gt;")*$A106*100/100,0)),MASTER!$AH$4:$AH$1463,0))),NA()),IF($B$4="SECONDARY",IFERROR(IF(INDEX(MASTER!$L$4:$L$1463,MATCH("RECKONING"&amp;"|"&amp;MAX(1,ROUND(COUNTIFS(MASTER!$B$4:$B$1463,"RECKONING",MASTER!$L$4:$L$1463,"&lt;&gt;")*$A106*100/100,0)),MASTER!$AI$4:$AI$1463,0))="",NA(),INDEX(MASTER!$L$4:$L$1463,MATCH("RECKONING"&amp;"|"&amp;MAX(1,ROUND(COUNTIFS(MASTER!$B$4:$B$1463,"RECKONING",MASTER!$L$4:$L$1463,"&lt;&gt;")*$A106*100/100,0)),MASTER!$AI$4:$AI$1463,0))),NA()))))</f>
        <v>4850</v>
      </c>
      <c r="I106" s="37">
        <f>IF($B$4="RESONANCE",IFERROR(IF(INDEX(MASTER!$I$4:$I$1463,MATCH("ACHERON"&amp;"|"&amp;MAX(1,ROUND(COUNTIFS(MASTER!$B$4:$B$1463,"ACHERON",MASTER!$I$4:$I$1463,"&lt;&gt;")*$A106*100/100,0)),MASTER!$Y$4:$Y$1463,0))="",NA(),INDEX(MASTER!$I$4:$I$1463,MATCH("ACHERON"&amp;"|"&amp;MAX(1,ROUND(COUNTIFS(MASTER!$B$4:$B$1463,"ACHERON",MASTER!$I$4:$I$1463,"&lt;&gt;")*$A106*100/100,0)),MASTER!$Y$4:$Y$1463,0))),NA()),IF($B$4="COMBAT RATING",IFERROR(IF(INDEX(MASTER!$G$4:$G$1463,MATCH("ACHERON"&amp;"|"&amp;MAX(1,ROUND(COUNTIFS(MASTER!$B$4:$B$1463,"ACHERON",MASTER!$G$4:$G$1463,"&lt;&gt;")*$A106*100/100,0)),MASTER!$AH$4:$AH$1463,0))="",NA(),INDEX(MASTER!$G$4:$G$1463,MATCH("ACHERON"&amp;"|"&amp;MAX(1,ROUND(COUNTIFS(MASTER!$B$4:$B$1463,"ACHERON",MASTER!$G$4:$G$1463,"&lt;&gt;")*$A106*100/100,0)),MASTER!$AH$4:$AH$1463,0))),NA()),IF($B$4="SECONDARY",IFERROR(IF(INDEX(MASTER!$L$4:$L$1463,MATCH("ACHERON"&amp;"|"&amp;MAX(1,ROUND(COUNTIFS(MASTER!$B$4:$B$1463,"ACHERON",MASTER!$L$4:$L$1463,"&lt;&gt;")*$A106*100/100,0)),MASTER!$AI$4:$AI$1463,0))="",NA(),INDEX(MASTER!$L$4:$L$1463,MATCH("ACHERON"&amp;"|"&amp;MAX(1,ROUND(COUNTIFS(MASTER!$B$4:$B$1463,"ACHERON",MASTER!$L$4:$L$1463,"&lt;&gt;")*$A106*100/100,0)),MASTER!$AI$4:$AI$1463,0))),NA()))))</f>
        <v>3863</v>
      </c>
      <c r="J106" s="37">
        <f>IF($B$4="RESONANCE",IFERROR(IF(INDEX(MASTER!$I$4:$I$1463,MATCH("INVICTUS"&amp;"|"&amp;MAX(1,ROUND(COUNTIFS(MASTER!$B$4:$B$1463,"INVICTUS",MASTER!$I$4:$I$1463,"&lt;&gt;")*$A106*100/100,0)),MASTER!$Y$4:$Y$1463,0))="",NA(),INDEX(MASTER!$I$4:$I$1463,MATCH("INVICTUS"&amp;"|"&amp;MAX(1,ROUND(COUNTIFS(MASTER!$B$4:$B$1463,"INVICTUS",MASTER!$I$4:$I$1463,"&lt;&gt;")*$A106*100/100,0)),MASTER!$Y$4:$Y$1463,0))),NA()),IF($B$4="COMBAT RATING",IFERROR(IF(INDEX(MASTER!$G$4:$G$1463,MATCH("INVICTUS"&amp;"|"&amp;MAX(1,ROUND(COUNTIFS(MASTER!$B$4:$B$1463,"INVICTUS",MASTER!$G$4:$G$1463,"&lt;&gt;")*$A106*100/100,0)),MASTER!$AH$4:$AH$1463,0))="",NA(),INDEX(MASTER!$G$4:$G$1463,MATCH("INVICTUS"&amp;"|"&amp;MAX(1,ROUND(COUNTIFS(MASTER!$B$4:$B$1463,"INVICTUS",MASTER!$G$4:$G$1463,"&lt;&gt;")*$A106*100/100,0)),MASTER!$AH$4:$AH$1463,0))),NA()),IF($B$4="SECONDARY",IFERROR(IF(INDEX(MASTER!$L$4:$L$1463,MATCH("INVICTUS"&amp;"|"&amp;MAX(1,ROUND(COUNTIFS(MASTER!$B$4:$B$1463,"INVICTUS",MASTER!$L$4:$L$1463,"&lt;&gt;")*$A106*100/100,0)),MASTER!$AI$4:$AI$1463,0))="",NA(),INDEX(MASTER!$L$4:$L$1463,MATCH("INVICTUS"&amp;"|"&amp;MAX(1,ROUND(COUNTIFS(MASTER!$B$4:$B$1463,"INVICTUS",MASTER!$L$4:$L$1463,"&lt;&gt;")*$A106*100/100,0)),MASTER!$AI$4:$AI$1463,0))),NA()))))</f>
        <v>3040</v>
      </c>
      <c r="K106" s="37">
        <f>IF($B$4="RESONANCE",IFERROR(IF(INDEX(MASTER!$I$4:$I$1463,MATCH("EMERALD LEAF TRIBE"&amp;"|"&amp;MAX(1,ROUND(COUNTIFS(MASTER!$B$4:$B$1463,"EMERALD LEAF TRIBE",MASTER!$I$4:$I$1463,"&lt;&gt;")*$A106*100/100,0)),MASTER!$Y$4:$Y$1463,0))="",NA(),INDEX(MASTER!$I$4:$I$1463,MATCH("EMERALD LEAF TRIBE"&amp;"|"&amp;MAX(1,ROUND(COUNTIFS(MASTER!$B$4:$B$1463,"EMERALD LEAF TRIBE",MASTER!$I$4:$I$1463,"&lt;&gt;")*$A106*100/100,0)),MASTER!$Y$4:$Y$1463,0))),NA()),IF($B$4="COMBAT RATING",IFERROR(IF(INDEX(MASTER!$G$4:$G$1463,MATCH("EMERALD LEAF TRIBE"&amp;"|"&amp;MAX(1,ROUND(COUNTIFS(MASTER!$B$4:$B$1463,"EMERALD LEAF TRIBE",MASTER!$G$4:$G$1463,"&lt;&gt;")*$A106*100/100,0)),MASTER!$AH$4:$AH$1463,0))="",NA(),INDEX(MASTER!$G$4:$G$1463,MATCH("EMERALD LEAF TRIBE"&amp;"|"&amp;MAX(1,ROUND(COUNTIFS(MASTER!$B$4:$B$1463,"EMERALD LEAF TRIBE",MASTER!$G$4:$G$1463,"&lt;&gt;")*$A106*100/100,0)),MASTER!$AH$4:$AH$1463,0))),NA()),IF($B$4="SECONDARY",IFERROR(IF(INDEX(MASTER!$L$4:$L$1463,MATCH("EMERALD LEAF TRIBE"&amp;"|"&amp;MAX(1,ROUND(COUNTIFS(MASTER!$B$4:$B$1463,"EMERALD LEAF TRIBE",MASTER!$L$4:$L$1463,"&lt;&gt;")*$A106*100/100,0)),MASTER!$AI$4:$AI$1463,0))="",NA(),INDEX(MASTER!$L$4:$L$1463,MATCH("EMERALD LEAF TRIBE"&amp;"|"&amp;MAX(1,ROUND(COUNTIFS(MASTER!$B$4:$B$1463,"EMERALD LEAF TRIBE",MASTER!$L$4:$L$1463,"&lt;&gt;")*$A106*100/100,0)),MASTER!$AI$4:$AI$1463,0))),NA()))))</f>
        <v>2180</v>
      </c>
      <c r="L106" s="37">
        <f>IF($B$4="RESONANCE",IFERROR(IF(INDEX(MASTER!$I$4:$I$1463,MATCH("SUB ROSA"&amp;"|"&amp;MAX(1,ROUND(COUNTIFS(MASTER!$B$4:$B$1463,"SUB ROSA",MASTER!$I$4:$I$1463,"&lt;&gt;")*$A106*100/100,0)),MASTER!$Y$4:$Y$1463,0))="",NA(),INDEX(MASTER!$I$4:$I$1463,MATCH("SUB ROSA"&amp;"|"&amp;MAX(1,ROUND(COUNTIFS(MASTER!$B$4:$B$1463,"SUB ROSA",MASTER!$I$4:$I$1463,"&lt;&gt;")*$A106*100/100,0)),MASTER!$Y$4:$Y$1463,0))),NA()),IF($B$4="COMBAT RATING",IFERROR(IF(INDEX(MASTER!$G$4:$G$1463,MATCH("SUB ROSA"&amp;"|"&amp;MAX(1,ROUND(COUNTIFS(MASTER!$B$4:$B$1463,"SUB ROSA",MASTER!$G$4:$G$1463,"&lt;&gt;")*$A106*100/100,0)),MASTER!$AH$4:$AH$1463,0))="",NA(),INDEX(MASTER!$G$4:$G$1463,MATCH("SUB ROSA"&amp;"|"&amp;MAX(1,ROUND(COUNTIFS(MASTER!$B$4:$B$1463,"SUB ROSA",MASTER!$G$4:$G$1463,"&lt;&gt;")*$A106*100/100,0)),MASTER!$AH$4:$AH$1463,0))),NA()),IF($B$4="SECONDARY",IFERROR(IF(INDEX(MASTER!$L$4:$L$1463,MATCH("SUB ROSA"&amp;"|"&amp;MAX(1,ROUND(COUNTIFS(MASTER!$B$4:$B$1463,"SUB ROSA",MASTER!$L$4:$L$1463,"&lt;&gt;")*$A106*100/100,0)),MASTER!$AI$4:$AI$1463,0))="",NA(),INDEX(MASTER!$L$4:$L$1463,MATCH("SUB ROSA"&amp;"|"&amp;MAX(1,ROUND(COUNTIFS(MASTER!$B$4:$B$1463,"SUB ROSA",MASTER!$L$4:$L$1463,"&lt;&gt;")*$A106*100/100,0)),MASTER!$AI$4:$AI$1463,0))),NA()))))</f>
        <v>2404</v>
      </c>
      <c r="M106" s="37">
        <f>IF($B$4="RESONANCE",IFERROR(IF(INDEX(MASTER!$I$4:$I$1463,MATCH("VENGEANCE"&amp;"|"&amp;MAX(1,ROUND(COUNTIFS(MASTER!$B$4:$B$1463,"VENGEANCE",MASTER!$I$4:$I$1463,"&lt;&gt;")*$A106*100/100,0)),MASTER!$Y$4:$Y$1463,0))="",NA(),INDEX(MASTER!$I$4:$I$1463,MATCH("VENGEANCE"&amp;"|"&amp;MAX(1,ROUND(COUNTIFS(MASTER!$B$4:$B$1463,"VENGEANCE",MASTER!$I$4:$I$1463,"&lt;&gt;")*$A106*100/100,0)),MASTER!$Y$4:$Y$1463,0))),NA()),IF($B$4="COMBAT RATING",IFERROR(IF(INDEX(MASTER!$G$4:$G$1463,MATCH("VENGEANCE"&amp;"|"&amp;MAX(1,ROUND(COUNTIFS(MASTER!$B$4:$B$1463,"VENGEANCE",MASTER!$G$4:$G$1463,"&lt;&gt;")*$A106*100/100,0)),MASTER!$AH$4:$AH$1463,0))="",NA(),INDEX(MASTER!$G$4:$G$1463,MATCH("VENGEANCE"&amp;"|"&amp;MAX(1,ROUND(COUNTIFS(MASTER!$B$4:$B$1463,"VENGEANCE",MASTER!$G$4:$G$1463,"&lt;&gt;")*$A106*100/100,0)),MASTER!$AH$4:$AH$1463,0))),NA()),IF($B$4="SECONDARY",IFERROR(IF(INDEX(MASTER!$L$4:$L$1463,MATCH("VENGEANCE"&amp;"|"&amp;MAX(1,ROUND(COUNTIFS(MASTER!$B$4:$B$1463,"VENGEANCE",MASTER!$L$4:$L$1463,"&lt;&gt;")*$A106*100/100,0)),MASTER!$AI$4:$AI$1463,0))="",NA(),INDEX(MASTER!$L$4:$L$1463,MATCH("VENGEANCE"&amp;"|"&amp;MAX(1,ROUND(COUNTIFS(MASTER!$B$4:$B$1463,"VENGEANCE",MASTER!$L$4:$L$1463,"&lt;&gt;")*$A106*100/100,0)),MASTER!$AI$4:$AI$1463,0))),NA()))))</f>
        <v>3408</v>
      </c>
      <c r="N106" s="37">
        <f>IF($B$4="RESONANCE",IFERROR(IF(INDEX(MASTER!$I$4:$I$1463,MATCH("VENDETTA"&amp;"|"&amp;MAX(1,ROUND(COUNTIFS(MASTER!$B$4:$B$1463,"VENDETTA",MASTER!$I$4:$I$1463,"&lt;&gt;")*$A106*100/100,0)),MASTER!$Y$4:$Y$1463,0))="",NA(),INDEX(MASTER!$I$4:$I$1463,MATCH("VENDETTA"&amp;"|"&amp;MAX(1,ROUND(COUNTIFS(MASTER!$B$4:$B$1463,"VENDETTA",MASTER!$I$4:$I$1463,"&lt;&gt;")*$A106*100/100,0)),MASTER!$Y$4:$Y$1463,0))),NA()),IF($B$4="COMBAT RATING",IFERROR(IF(INDEX(MASTER!$G$4:$G$1463,MATCH("VENDETTA"&amp;"|"&amp;MAX(1,ROUND(COUNTIFS(MASTER!$B$4:$B$1463,"VENDETTA",MASTER!$G$4:$G$1463,"&lt;&gt;")*$A106*100/100,0)),MASTER!$AH$4:$AH$1463,0))="",NA(),INDEX(MASTER!$G$4:$G$1463,MATCH("VENDETTA"&amp;"|"&amp;MAX(1,ROUND(COUNTIFS(MASTER!$B$4:$B$1463,"VENDETTA",MASTER!$G$4:$G$1463,"&lt;&gt;")*$A106*100/100,0)),MASTER!$AH$4:$AH$1463,0))),NA()),IF($B$4="SECONDARY",IFERROR(IF(INDEX(MASTER!$L$4:$L$1463,MATCH("VENDETTA"&amp;"|"&amp;MAX(1,ROUND(COUNTIFS(MASTER!$B$4:$B$1463,"VENDETTA",MASTER!$L$4:$L$1463,"&lt;&gt;")*$A106*100/100,0)),MASTER!$AI$4:$AI$1463,0))="",NA(),INDEX(MASTER!$L$4:$L$1463,MATCH("VENDETTA"&amp;"|"&amp;MAX(1,ROUND(COUNTIFS(MASTER!$B$4:$B$1463,"VENDETTA",MASTER!$L$4:$L$1463,"&lt;&gt;")*$A106*100/100,0)),MASTER!$AI$4:$AI$1463,0))),NA()))))</f>
        <v>2030</v>
      </c>
      <c r="O106" s="37">
        <f>IF($B$4="RESONANCE",IFERROR(IF(INDEX(MASTER!$I$4:$I$1463,MATCH("ZOMBIES"&amp;"|"&amp;MAX(1,ROUND(COUNTIFS(MASTER!$B$4:$B$1463,"ZOMBIES",MASTER!$I$4:$I$1463,"&lt;&gt;")*$A106*100/100,0)),MASTER!$Y$4:$Y$1463,0))="",NA(),INDEX(MASTER!$I$4:$I$1463,MATCH("ZOMBIES"&amp;"|"&amp;MAX(1,ROUND(COUNTIFS(MASTER!$B$4:$B$1463,"ZOMBIES",MASTER!$I$4:$I$1463,"&lt;&gt;")*$A106*100/100,0)),MASTER!$Y$4:$Y$1463,0))),NA()),IF($B$4="COMBAT RATING",IFERROR(IF(INDEX(MASTER!$G$4:$G$1463,MATCH("ZOMBIES"&amp;"|"&amp;MAX(1,ROUND(COUNTIFS(MASTER!$B$4:$B$1463,"ZOMBIES",MASTER!$G$4:$G$1463,"&lt;&gt;")*$A106*100/100,0)),MASTER!$AH$4:$AH$1463,0))="",NA(),INDEX(MASTER!$G$4:$G$1463,MATCH("ZOMBIES"&amp;"|"&amp;MAX(1,ROUND(COUNTIFS(MASTER!$B$4:$B$1463,"ZOMBIES",MASTER!$G$4:$G$1463,"&lt;&gt;")*$A106*100/100,0)),MASTER!$AH$4:$AH$1463,0))),NA()),IF($B$4="SECONDARY",IFERROR(IF(INDEX(MASTER!$L$4:$L$1463,MATCH("ZOMBIES"&amp;"|"&amp;MAX(1,ROUND(COUNTIFS(MASTER!$B$4:$B$1463,"ZOMBIES",MASTER!$L$4:$L$1463,"&lt;&gt;")*$A106*100/100,0)),MASTER!$AI$4:$AI$1463,0))="",NA(),INDEX(MASTER!$L$4:$L$1463,MATCH("ZOMBIES"&amp;"|"&amp;MAX(1,ROUND(COUNTIFS(MASTER!$B$4:$B$1463,"ZOMBIES",MASTER!$L$4:$L$1463,"&lt;&gt;")*$A106*100/100,0)),MASTER!$AI$4:$AI$1463,0))),NA()))))</f>
        <v>1739</v>
      </c>
      <c r="P106" s="37">
        <f>IF($B$4="RESONANCE",IFERROR(IF(INDEX(MASTER!$I$4:$I$1463,MATCH("FUCT"&amp;"|"&amp;MAX(1,ROUND(COUNTIFS(MASTER!$B$4:$B$1463,"FUCT",MASTER!$I$4:$I$1463,"&lt;&gt;")*$A106*100/100,0)),MASTER!$Y$4:$Y$1463,0))="",NA(),INDEX(MASTER!$I$4:$I$1463,MATCH("FUCT"&amp;"|"&amp;MAX(1,ROUND(COUNTIFS(MASTER!$B$4:$B$1463,"FUCT",MASTER!$I$4:$I$1463,"&lt;&gt;")*$A106*100/100,0)),MASTER!$Y$4:$Y$1463,0))),NA()),IF($B$4="COMBAT RATING",IFERROR(IF(INDEX(MASTER!$G$4:$G$1463,MATCH("FUCT"&amp;"|"&amp;MAX(1,ROUND(COUNTIFS(MASTER!$B$4:$B$1463,"FUCT",MASTER!$G$4:$G$1463,"&lt;&gt;")*$A106*100/100,0)),MASTER!$AH$4:$AH$1463,0))="",NA(),INDEX(MASTER!$G$4:$G$1463,MATCH("FUCT"&amp;"|"&amp;MAX(1,ROUND(COUNTIFS(MASTER!$B$4:$B$1463,"FUCT",MASTER!$G$4:$G$1463,"&lt;&gt;")*$A106*100/100,0)),MASTER!$AH$4:$AH$1463,0))),NA()),IF($B$4="SECONDARY",IFERROR(IF(INDEX(MASTER!$L$4:$L$1463,MATCH("FUCT"&amp;"|"&amp;MAX(1,ROUND(COUNTIFS(MASTER!$B$4:$B$1463,"FUCT",MASTER!$L$4:$L$1463,"&lt;&gt;")*$A106*100/100,0)),MASTER!$AI$4:$AI$1463,0))="",NA(),INDEX(MASTER!$L$4:$L$1463,MATCH("FUCT"&amp;"|"&amp;MAX(1,ROUND(COUNTIFS(MASTER!$B$4:$B$1463,"FUCT",MASTER!$L$4:$L$1463,"&lt;&gt;")*$A106*100/100,0)),MASTER!$AI$4:$AI$1463,0))),NA()))))</f>
        <v>4435</v>
      </c>
      <c r="Q106" s="37">
        <f>IF($B$4="RESONANCE",IFERROR(IF(INDEX(MASTER!$I$4:$I$1463,MATCH($E$4&amp;"|"&amp;MAX(1,ROUND(COUNTIFS(MASTER!$B$4:$B$1463,$E$4,MASTER!$I$4:$I$1463,"&lt;&gt;")*$A106*100/100,0)),MASTER!$Y$4:$Y$1463,0))="",NA(),INDEX(MASTER!$I$4:$I$1463,MATCH($E$4&amp;"|"&amp;MAX(1,ROUND(COUNTIFS(MASTER!$B$4:$B$1463,$E$4,MASTER!$I$4:$I$1463,"&lt;&gt;")*$A106*100/100,0)),MASTER!$Y$4:$Y$1463,0))),NA()),IF($B$4="COMBAT RATING",IFERROR(IF(INDEX(MASTER!$G$4:$G$1463,MATCH($E$4&amp;"|"&amp;MAX(1,ROUND(COUNTIFS(MASTER!$B$4:$B$1463,$E$4,MASTER!$G$4:$G$1463,"&lt;&gt;")*$A106*100/100,0)),MASTER!$AH$4:$AH$1463,0))="",NA(),INDEX(MASTER!$G$4:$G$1463,MATCH($E$4&amp;"|"&amp;MAX(1,ROUND(COUNTIFS(MASTER!$B$4:$B$1463,$E$4,MASTER!$G$4:$G$1463,"&lt;&gt;")*$A106*100/100,0)),MASTER!$AH$4:$AH$1463,0))),NA()),IF($B$4="SECONDARY",IFERROR(IF(INDEX(MASTER!$L$4:$L$1463,MATCH($E$4&amp;"|"&amp;MAX(1,ROUND(COUNTIFS(MASTER!$B$4:$B$1463,$E$4,MASTER!$L$4:$L$1463,"&lt;&gt;")*$A106*100/100,0)),MASTER!$AI$4:$AI$1463,0))="",NA(),INDEX(MASTER!$L$4:$L$1463,MATCH($E$4&amp;"|"&amp;MAX(1,ROUND(COUNTIFS(MASTER!$B$4:$B$1463,$E$4,MASTER!$L$4:$L$1463,"&lt;&gt;")*$A106*100/100,0)),MASTER!$AI$4:$AI$1463,0))),NA()))))</f>
        <v>4202</v>
      </c>
    </row>
    <row r="107" spans="1:17" hidden="1">
      <c r="A107" s="36">
        <v>0.52</v>
      </c>
      <c r="B107" s="37">
        <f>IF($B$4="RESONANCE",IFERROR(IF(INDEX(MASTER!$I$4:$I$1463,MATCH("FUCT"&amp;"|"&amp;MAX(1,ROUND(COUNTIFS(MASTER!$B$4:$B$1463,"FUCT",MASTER!$I$4:$I$1463,"&lt;&gt;")*$A107*100/100,0)),MASTER!$Y$4:$Y$1463,0))="",NA(),INDEX(MASTER!$I$4:$I$1463,MATCH("FUCT"&amp;"|"&amp;MAX(1,ROUND(COUNTIFS(MASTER!$B$4:$B$1463,"FUCT",MASTER!$I$4:$I$1463,"&lt;&gt;")*$A107*100/100,0)),MASTER!$Y$4:$Y$1463,0))),NA()),IF($B$4="COMBAT RATING",IFERROR(IF(INDEX(MASTER!$G$4:$G$1463,MATCH("FUCT"&amp;"|"&amp;MAX(1,ROUND(COUNTIFS(MASTER!$B$4:$B$1463,"FUCT",MASTER!$G$4:$G$1463,"&lt;&gt;")*$A107*100/100,0)),MASTER!$AH$4:$AH$1463,0))="",NA(),INDEX(MASTER!$G$4:$G$1463,MATCH("FUCT"&amp;"|"&amp;MAX(1,ROUND(COUNTIFS(MASTER!$B$4:$B$1463,"FUCT",MASTER!$G$4:$G$1463,"&lt;&gt;")*$A107*100/100,0)),MASTER!$AH$4:$AH$1463,0))),NA()),IF($B$4="SECONDARY",IFERROR(IF(INDEX(MASTER!$L$4:$L$1463,MATCH("FUCT"&amp;"|"&amp;MAX(1,ROUND(COUNTIFS(MASTER!$B$4:$B$1463,"FUCT",MASTER!$L$4:$L$1463,"&lt;&gt;")*$A107*100/100,0)),MASTER!$AI$4:$AI$1463,0))="",NA(),INDEX(MASTER!$L$4:$L$1463,MATCH("FUCT"&amp;"|"&amp;MAX(1,ROUND(COUNTIFS(MASTER!$B$4:$B$1463,"FUCT",MASTER!$L$4:$L$1463,"&lt;&gt;")*$A107*100/100,0)),MASTER!$AI$4:$AI$1463,0))),NA()))))</f>
        <v>4430</v>
      </c>
      <c r="C107" s="37">
        <f>IF($B$4="RESONANCE",IFERROR(IF(INDEX(MASTER!$I$4:$I$1463,MATCH("LEGENDS"&amp;"|"&amp;MAX(1,ROUND(COUNTIFS(MASTER!$B$4:$B$1463,"LEGENDS",MASTER!$I$4:$I$1463,"&lt;&gt;")*$A107*100/100,0)),MASTER!$Y$4:$Y$1463,0))="",NA(),INDEX(MASTER!$I$4:$I$1463,MATCH("LEGENDS"&amp;"|"&amp;MAX(1,ROUND(COUNTIFS(MASTER!$B$4:$B$1463,"LEGENDS",MASTER!$I$4:$I$1463,"&lt;&gt;")*$A107*100/100,0)),MASTER!$Y$4:$Y$1463,0))),NA()),IF($B$4="COMBAT RATING",IFERROR(IF(INDEX(MASTER!$G$4:$G$1463,MATCH("LEGENDS"&amp;"|"&amp;MAX(1,ROUND(COUNTIFS(MASTER!$B$4:$B$1463,"LEGENDS",MASTER!$G$4:$G$1463,"&lt;&gt;")*$A107*100/100,0)),MASTER!$AH$4:$AH$1463,0))="",NA(),INDEX(MASTER!$G$4:$G$1463,MATCH("LEGENDS"&amp;"|"&amp;MAX(1,ROUND(COUNTIFS(MASTER!$B$4:$B$1463,"LEGENDS",MASTER!$G$4:$G$1463,"&lt;&gt;")*$A107*100/100,0)),MASTER!$AH$4:$AH$1463,0))),NA()),IF($B$4="SECONDARY",IFERROR(IF(INDEX(MASTER!$L$4:$L$1463,MATCH("LEGENDS"&amp;"|"&amp;MAX(1,ROUND(COUNTIFS(MASTER!$B$4:$B$1463,"LEGENDS",MASTER!$L$4:$L$1463,"&lt;&gt;")*$A107*100/100,0)),MASTER!$AI$4:$AI$1463,0))="",NA(),INDEX(MASTER!$L$4:$L$1463,MATCH("LEGENDS"&amp;"|"&amp;MAX(1,ROUND(COUNTIFS(MASTER!$B$4:$B$1463,"LEGENDS",MASTER!$L$4:$L$1463,"&lt;&gt;")*$A107*100/100,0)),MASTER!$AI$4:$AI$1463,0))),NA()))))</f>
        <v>5093</v>
      </c>
      <c r="D107" s="37">
        <f>IF($B$4="RESONANCE",IFERROR(IF(INDEX(MASTER!$I$4:$I$1463,MATCH("VANGUARD"&amp;"|"&amp;MAX(1,ROUND(COUNTIFS(MASTER!$B$4:$B$1463,"VANGUARD",MASTER!$I$4:$I$1463,"&lt;&gt;")*$A107*100/100,0)),MASTER!$Y$4:$Y$1463,0))="",NA(),INDEX(MASTER!$I$4:$I$1463,MATCH("VANGUARD"&amp;"|"&amp;MAX(1,ROUND(COUNTIFS(MASTER!$B$4:$B$1463,"VANGUARD",MASTER!$I$4:$I$1463,"&lt;&gt;")*$A107*100/100,0)),MASTER!$Y$4:$Y$1463,0))),NA()),IF($B$4="COMBAT RATING",IFERROR(IF(INDEX(MASTER!$G$4:$G$1463,MATCH("VANGUARD"&amp;"|"&amp;MAX(1,ROUND(COUNTIFS(MASTER!$B$4:$B$1463,"VANGUARD",MASTER!$G$4:$G$1463,"&lt;&gt;")*$A107*100/100,0)),MASTER!$AH$4:$AH$1463,0))="",NA(),INDEX(MASTER!$G$4:$G$1463,MATCH("VANGUARD"&amp;"|"&amp;MAX(1,ROUND(COUNTIFS(MASTER!$B$4:$B$1463,"VANGUARD",MASTER!$G$4:$G$1463,"&lt;&gt;")*$A107*100/100,0)),MASTER!$AH$4:$AH$1463,0))),NA()),IF($B$4="SECONDARY",IFERROR(IF(INDEX(MASTER!$L$4:$L$1463,MATCH("VANGUARD"&amp;"|"&amp;MAX(1,ROUND(COUNTIFS(MASTER!$B$4:$B$1463,"VANGUARD",MASTER!$L$4:$L$1463,"&lt;&gt;")*$A107*100/100,0)),MASTER!$AI$4:$AI$1463,0))="",NA(),INDEX(MASTER!$L$4:$L$1463,MATCH("VANGUARD"&amp;"|"&amp;MAX(1,ROUND(COUNTIFS(MASTER!$B$4:$B$1463,"VANGUARD",MASTER!$L$4:$L$1463,"&lt;&gt;")*$A107*100/100,0)),MASTER!$AI$4:$AI$1463,0))),NA()))))</f>
        <v>6494</v>
      </c>
      <c r="E107" s="37">
        <f>IF($B$4="RESONANCE",IFERROR(IF(INDEX(MASTER!$I$4:$I$1463,MATCH("UNDYING"&amp;"|"&amp;MAX(1,ROUND(COUNTIFS(MASTER!$B$4:$B$1463,"UNDYING",MASTER!$I$4:$I$1463,"&lt;&gt;")*$A107*100/100,0)),MASTER!$Y$4:$Y$1463,0))="",NA(),INDEX(MASTER!$I$4:$I$1463,MATCH("UNDYING"&amp;"|"&amp;MAX(1,ROUND(COUNTIFS(MASTER!$B$4:$B$1463,"UNDYING",MASTER!$I$4:$I$1463,"&lt;&gt;")*$A107*100/100,0)),MASTER!$Y$4:$Y$1463,0))),NA()),IF($B$4="COMBAT RATING",IFERROR(IF(INDEX(MASTER!$G$4:$G$1463,MATCH("UNDYING"&amp;"|"&amp;MAX(1,ROUND(COUNTIFS(MASTER!$B$4:$B$1463,"UNDYING",MASTER!$G$4:$G$1463,"&lt;&gt;")*$A107*100/100,0)),MASTER!$AH$4:$AH$1463,0))="",NA(),INDEX(MASTER!$G$4:$G$1463,MATCH("UNDYING"&amp;"|"&amp;MAX(1,ROUND(COUNTIFS(MASTER!$B$4:$B$1463,"UNDYING",MASTER!$G$4:$G$1463,"&lt;&gt;")*$A107*100/100,0)),MASTER!$AH$4:$AH$1463,0))),NA()),IF($B$4="SECONDARY",IFERROR(IF(INDEX(MASTER!$L$4:$L$1463,MATCH("UNDYING"&amp;"|"&amp;MAX(1,ROUND(COUNTIFS(MASTER!$B$4:$B$1463,"UNDYING",MASTER!$L$4:$L$1463,"&lt;&gt;")*$A107*100/100,0)),MASTER!$AI$4:$AI$1463,0))="",NA(),INDEX(MASTER!$L$4:$L$1463,MATCH("UNDYING"&amp;"|"&amp;MAX(1,ROUND(COUNTIFS(MASTER!$B$4:$B$1463,"UNDYING",MASTER!$L$4:$L$1463,"&lt;&gt;")*$A107*100/100,0)),MASTER!$AI$4:$AI$1463,0))),NA()))))</f>
        <v>4086</v>
      </c>
      <c r="F107" s="37">
        <f>IF($B$4="RESONANCE",IFERROR(IF(INDEX(MASTER!$I$4:$I$1463,MATCH("SBG"&amp;"|"&amp;MAX(1,ROUND(COUNTIFS(MASTER!$B$4:$B$1463,"SBG",MASTER!$I$4:$I$1463,"&lt;&gt;")*$A107*100/100,0)),MASTER!$Y$4:$Y$1463,0))="",NA(),INDEX(MASTER!$I$4:$I$1463,MATCH("SBG"&amp;"|"&amp;MAX(1,ROUND(COUNTIFS(MASTER!$B$4:$B$1463,"SBG",MASTER!$I$4:$I$1463,"&lt;&gt;")*$A107*100/100,0)),MASTER!$Y$4:$Y$1463,0))),NA()),IF($B$4="COMBAT RATING",IFERROR(IF(INDEX(MASTER!$G$4:$G$1463,MATCH("SBG"&amp;"|"&amp;MAX(1,ROUND(COUNTIFS(MASTER!$B$4:$B$1463,"SBG",MASTER!$G$4:$G$1463,"&lt;&gt;")*$A107*100/100,0)),MASTER!$AH$4:$AH$1463,0))="",NA(),INDEX(MASTER!$G$4:$G$1463,MATCH("SBG"&amp;"|"&amp;MAX(1,ROUND(COUNTIFS(MASTER!$B$4:$B$1463,"SBG",MASTER!$G$4:$G$1463,"&lt;&gt;")*$A107*100/100,0)),MASTER!$AH$4:$AH$1463,0))),NA()),IF($B$4="SECONDARY",IFERROR(IF(INDEX(MASTER!$L$4:$L$1463,MATCH("SBG"&amp;"|"&amp;MAX(1,ROUND(COUNTIFS(MASTER!$B$4:$B$1463,"SBG",MASTER!$L$4:$L$1463,"&lt;&gt;")*$A107*100/100,0)),MASTER!$AI$4:$AI$1463,0))="",NA(),INDEX(MASTER!$L$4:$L$1463,MATCH("SBG"&amp;"|"&amp;MAX(1,ROUND(COUNTIFS(MASTER!$B$4:$B$1463,"SBG",MASTER!$L$4:$L$1463,"&lt;&gt;")*$A107*100/100,0)),MASTER!$AI$4:$AI$1463,0))),NA()))))</f>
        <v>5613</v>
      </c>
      <c r="G107" s="37">
        <f>IF($B$4="RESONANCE",IFERROR(IF(INDEX(MASTER!$I$4:$I$1463,MATCH("AZUKI"&amp;"|"&amp;MAX(1,ROUND(COUNTIFS(MASTER!$B$4:$B$1463,"AZUKI",MASTER!$I$4:$I$1463,"&lt;&gt;")*$A107*100/100,0)),MASTER!$Y$4:$Y$1463,0))="",NA(),INDEX(MASTER!$I$4:$I$1463,MATCH("AZUKI"&amp;"|"&amp;MAX(1,ROUND(COUNTIFS(MASTER!$B$4:$B$1463,"AZUKI",MASTER!$I$4:$I$1463,"&lt;&gt;")*$A107*100/100,0)),MASTER!$Y$4:$Y$1463,0))),NA()),IF($B$4="COMBAT RATING",IFERROR(IF(INDEX(MASTER!$G$4:$G$1463,MATCH("AZUKI"&amp;"|"&amp;MAX(1,ROUND(COUNTIFS(MASTER!$B$4:$B$1463,"AZUKI",MASTER!$G$4:$G$1463,"&lt;&gt;")*$A107*100/100,0)),MASTER!$AH$4:$AH$1463,0))="",NA(),INDEX(MASTER!$G$4:$G$1463,MATCH("AZUKI"&amp;"|"&amp;MAX(1,ROUND(COUNTIFS(MASTER!$B$4:$B$1463,"AZUKI",MASTER!$G$4:$G$1463,"&lt;&gt;")*$A107*100/100,0)),MASTER!$AH$4:$AH$1463,0))),NA()),IF($B$4="SECONDARY",IFERROR(IF(INDEX(MASTER!$L$4:$L$1463,MATCH("AZUKI"&amp;"|"&amp;MAX(1,ROUND(COUNTIFS(MASTER!$B$4:$B$1463,"AZUKI",MASTER!$L$4:$L$1463,"&lt;&gt;")*$A107*100/100,0)),MASTER!$AI$4:$AI$1463,0))="",NA(),INDEX(MASTER!$L$4:$L$1463,MATCH("AZUKI"&amp;"|"&amp;MAX(1,ROUND(COUNTIFS(MASTER!$B$4:$B$1463,"AZUKI",MASTER!$L$4:$L$1463,"&lt;&gt;")*$A107*100/100,0)),MASTER!$AI$4:$AI$1463,0))),NA()))))</f>
        <v>4881</v>
      </c>
      <c r="H107" s="37">
        <f>IF($B$4="RESONANCE",IFERROR(IF(INDEX(MASTER!$I$4:$I$1463,MATCH("RECKONING"&amp;"|"&amp;MAX(1,ROUND(COUNTIFS(MASTER!$B$4:$B$1463,"RECKONING",MASTER!$I$4:$I$1463,"&lt;&gt;")*$A107*100/100,0)),MASTER!$Y$4:$Y$1463,0))="",NA(),INDEX(MASTER!$I$4:$I$1463,MATCH("RECKONING"&amp;"|"&amp;MAX(1,ROUND(COUNTIFS(MASTER!$B$4:$B$1463,"RECKONING",MASTER!$I$4:$I$1463,"&lt;&gt;")*$A107*100/100,0)),MASTER!$Y$4:$Y$1463,0))),NA()),IF($B$4="COMBAT RATING",IFERROR(IF(INDEX(MASTER!$G$4:$G$1463,MATCH("RECKONING"&amp;"|"&amp;MAX(1,ROUND(COUNTIFS(MASTER!$B$4:$B$1463,"RECKONING",MASTER!$G$4:$G$1463,"&lt;&gt;")*$A107*100/100,0)),MASTER!$AH$4:$AH$1463,0))="",NA(),INDEX(MASTER!$G$4:$G$1463,MATCH("RECKONING"&amp;"|"&amp;MAX(1,ROUND(COUNTIFS(MASTER!$B$4:$B$1463,"RECKONING",MASTER!$G$4:$G$1463,"&lt;&gt;")*$A107*100/100,0)),MASTER!$AH$4:$AH$1463,0))),NA()),IF($B$4="SECONDARY",IFERROR(IF(INDEX(MASTER!$L$4:$L$1463,MATCH("RECKONING"&amp;"|"&amp;MAX(1,ROUND(COUNTIFS(MASTER!$B$4:$B$1463,"RECKONING",MASTER!$L$4:$L$1463,"&lt;&gt;")*$A107*100/100,0)),MASTER!$AI$4:$AI$1463,0))="",NA(),INDEX(MASTER!$L$4:$L$1463,MATCH("RECKONING"&amp;"|"&amp;MAX(1,ROUND(COUNTIFS(MASTER!$B$4:$B$1463,"RECKONING",MASTER!$L$4:$L$1463,"&lt;&gt;")*$A107*100/100,0)),MASTER!$AI$4:$AI$1463,0))),NA()))))</f>
        <v>4786</v>
      </c>
      <c r="I107" s="37">
        <f>IF($B$4="RESONANCE",IFERROR(IF(INDEX(MASTER!$I$4:$I$1463,MATCH("ACHERON"&amp;"|"&amp;MAX(1,ROUND(COUNTIFS(MASTER!$B$4:$B$1463,"ACHERON",MASTER!$I$4:$I$1463,"&lt;&gt;")*$A107*100/100,0)),MASTER!$Y$4:$Y$1463,0))="",NA(),INDEX(MASTER!$I$4:$I$1463,MATCH("ACHERON"&amp;"|"&amp;MAX(1,ROUND(COUNTIFS(MASTER!$B$4:$B$1463,"ACHERON",MASTER!$I$4:$I$1463,"&lt;&gt;")*$A107*100/100,0)),MASTER!$Y$4:$Y$1463,0))),NA()),IF($B$4="COMBAT RATING",IFERROR(IF(INDEX(MASTER!$G$4:$G$1463,MATCH("ACHERON"&amp;"|"&amp;MAX(1,ROUND(COUNTIFS(MASTER!$B$4:$B$1463,"ACHERON",MASTER!$G$4:$G$1463,"&lt;&gt;")*$A107*100/100,0)),MASTER!$AH$4:$AH$1463,0))="",NA(),INDEX(MASTER!$G$4:$G$1463,MATCH("ACHERON"&amp;"|"&amp;MAX(1,ROUND(COUNTIFS(MASTER!$B$4:$B$1463,"ACHERON",MASTER!$G$4:$G$1463,"&lt;&gt;")*$A107*100/100,0)),MASTER!$AH$4:$AH$1463,0))),NA()),IF($B$4="SECONDARY",IFERROR(IF(INDEX(MASTER!$L$4:$L$1463,MATCH("ACHERON"&amp;"|"&amp;MAX(1,ROUND(COUNTIFS(MASTER!$B$4:$B$1463,"ACHERON",MASTER!$L$4:$L$1463,"&lt;&gt;")*$A107*100/100,0)),MASTER!$AI$4:$AI$1463,0))="",NA(),INDEX(MASTER!$L$4:$L$1463,MATCH("ACHERON"&amp;"|"&amp;MAX(1,ROUND(COUNTIFS(MASTER!$B$4:$B$1463,"ACHERON",MASTER!$L$4:$L$1463,"&lt;&gt;")*$A107*100/100,0)),MASTER!$AI$4:$AI$1463,0))),NA()))))</f>
        <v>3813</v>
      </c>
      <c r="J107" s="37">
        <f>IF($B$4="RESONANCE",IFERROR(IF(INDEX(MASTER!$I$4:$I$1463,MATCH("INVICTUS"&amp;"|"&amp;MAX(1,ROUND(COUNTIFS(MASTER!$B$4:$B$1463,"INVICTUS",MASTER!$I$4:$I$1463,"&lt;&gt;")*$A107*100/100,0)),MASTER!$Y$4:$Y$1463,0))="",NA(),INDEX(MASTER!$I$4:$I$1463,MATCH("INVICTUS"&amp;"|"&amp;MAX(1,ROUND(COUNTIFS(MASTER!$B$4:$B$1463,"INVICTUS",MASTER!$I$4:$I$1463,"&lt;&gt;")*$A107*100/100,0)),MASTER!$Y$4:$Y$1463,0))),NA()),IF($B$4="COMBAT RATING",IFERROR(IF(INDEX(MASTER!$G$4:$G$1463,MATCH("INVICTUS"&amp;"|"&amp;MAX(1,ROUND(COUNTIFS(MASTER!$B$4:$B$1463,"INVICTUS",MASTER!$G$4:$G$1463,"&lt;&gt;")*$A107*100/100,0)),MASTER!$AH$4:$AH$1463,0))="",NA(),INDEX(MASTER!$G$4:$G$1463,MATCH("INVICTUS"&amp;"|"&amp;MAX(1,ROUND(COUNTIFS(MASTER!$B$4:$B$1463,"INVICTUS",MASTER!$G$4:$G$1463,"&lt;&gt;")*$A107*100/100,0)),MASTER!$AH$4:$AH$1463,0))),NA()),IF($B$4="SECONDARY",IFERROR(IF(INDEX(MASTER!$L$4:$L$1463,MATCH("INVICTUS"&amp;"|"&amp;MAX(1,ROUND(COUNTIFS(MASTER!$B$4:$B$1463,"INVICTUS",MASTER!$L$4:$L$1463,"&lt;&gt;")*$A107*100/100,0)),MASTER!$AI$4:$AI$1463,0))="",NA(),INDEX(MASTER!$L$4:$L$1463,MATCH("INVICTUS"&amp;"|"&amp;MAX(1,ROUND(COUNTIFS(MASTER!$B$4:$B$1463,"INVICTUS",MASTER!$L$4:$L$1463,"&lt;&gt;")*$A107*100/100,0)),MASTER!$AI$4:$AI$1463,0))),NA()))))</f>
        <v>3032</v>
      </c>
      <c r="K107" s="37">
        <f>IF($B$4="RESONANCE",IFERROR(IF(INDEX(MASTER!$I$4:$I$1463,MATCH("EMERALD LEAF TRIBE"&amp;"|"&amp;MAX(1,ROUND(COUNTIFS(MASTER!$B$4:$B$1463,"EMERALD LEAF TRIBE",MASTER!$I$4:$I$1463,"&lt;&gt;")*$A107*100/100,0)),MASTER!$Y$4:$Y$1463,0))="",NA(),INDEX(MASTER!$I$4:$I$1463,MATCH("EMERALD LEAF TRIBE"&amp;"|"&amp;MAX(1,ROUND(COUNTIFS(MASTER!$B$4:$B$1463,"EMERALD LEAF TRIBE",MASTER!$I$4:$I$1463,"&lt;&gt;")*$A107*100/100,0)),MASTER!$Y$4:$Y$1463,0))),NA()),IF($B$4="COMBAT RATING",IFERROR(IF(INDEX(MASTER!$G$4:$G$1463,MATCH("EMERALD LEAF TRIBE"&amp;"|"&amp;MAX(1,ROUND(COUNTIFS(MASTER!$B$4:$B$1463,"EMERALD LEAF TRIBE",MASTER!$G$4:$G$1463,"&lt;&gt;")*$A107*100/100,0)),MASTER!$AH$4:$AH$1463,0))="",NA(),INDEX(MASTER!$G$4:$G$1463,MATCH("EMERALD LEAF TRIBE"&amp;"|"&amp;MAX(1,ROUND(COUNTIFS(MASTER!$B$4:$B$1463,"EMERALD LEAF TRIBE",MASTER!$G$4:$G$1463,"&lt;&gt;")*$A107*100/100,0)),MASTER!$AH$4:$AH$1463,0))),NA()),IF($B$4="SECONDARY",IFERROR(IF(INDEX(MASTER!$L$4:$L$1463,MATCH("EMERALD LEAF TRIBE"&amp;"|"&amp;MAX(1,ROUND(COUNTIFS(MASTER!$B$4:$B$1463,"EMERALD LEAF TRIBE",MASTER!$L$4:$L$1463,"&lt;&gt;")*$A107*100/100,0)),MASTER!$AI$4:$AI$1463,0))="",NA(),INDEX(MASTER!$L$4:$L$1463,MATCH("EMERALD LEAF TRIBE"&amp;"|"&amp;MAX(1,ROUND(COUNTIFS(MASTER!$B$4:$B$1463,"EMERALD LEAF TRIBE",MASTER!$L$4:$L$1463,"&lt;&gt;")*$A107*100/100,0)),MASTER!$AI$4:$AI$1463,0))),NA()))))</f>
        <v>2172</v>
      </c>
      <c r="L107" s="37">
        <f>IF($B$4="RESONANCE",IFERROR(IF(INDEX(MASTER!$I$4:$I$1463,MATCH("SUB ROSA"&amp;"|"&amp;MAX(1,ROUND(COUNTIFS(MASTER!$B$4:$B$1463,"SUB ROSA",MASTER!$I$4:$I$1463,"&lt;&gt;")*$A107*100/100,0)),MASTER!$Y$4:$Y$1463,0))="",NA(),INDEX(MASTER!$I$4:$I$1463,MATCH("SUB ROSA"&amp;"|"&amp;MAX(1,ROUND(COUNTIFS(MASTER!$B$4:$B$1463,"SUB ROSA",MASTER!$I$4:$I$1463,"&lt;&gt;")*$A107*100/100,0)),MASTER!$Y$4:$Y$1463,0))),NA()),IF($B$4="COMBAT RATING",IFERROR(IF(INDEX(MASTER!$G$4:$G$1463,MATCH("SUB ROSA"&amp;"|"&amp;MAX(1,ROUND(COUNTIFS(MASTER!$B$4:$B$1463,"SUB ROSA",MASTER!$G$4:$G$1463,"&lt;&gt;")*$A107*100/100,0)),MASTER!$AH$4:$AH$1463,0))="",NA(),INDEX(MASTER!$G$4:$G$1463,MATCH("SUB ROSA"&amp;"|"&amp;MAX(1,ROUND(COUNTIFS(MASTER!$B$4:$B$1463,"SUB ROSA",MASTER!$G$4:$G$1463,"&lt;&gt;")*$A107*100/100,0)),MASTER!$AH$4:$AH$1463,0))),NA()),IF($B$4="SECONDARY",IFERROR(IF(INDEX(MASTER!$L$4:$L$1463,MATCH("SUB ROSA"&amp;"|"&amp;MAX(1,ROUND(COUNTIFS(MASTER!$B$4:$B$1463,"SUB ROSA",MASTER!$L$4:$L$1463,"&lt;&gt;")*$A107*100/100,0)),MASTER!$AI$4:$AI$1463,0))="",NA(),INDEX(MASTER!$L$4:$L$1463,MATCH("SUB ROSA"&amp;"|"&amp;MAX(1,ROUND(COUNTIFS(MASTER!$B$4:$B$1463,"SUB ROSA",MASTER!$L$4:$L$1463,"&lt;&gt;")*$A107*100/100,0)),MASTER!$AI$4:$AI$1463,0))),NA()))))</f>
        <v>2404</v>
      </c>
      <c r="M107" s="37">
        <f>IF($B$4="RESONANCE",IFERROR(IF(INDEX(MASTER!$I$4:$I$1463,MATCH("VENGEANCE"&amp;"|"&amp;MAX(1,ROUND(COUNTIFS(MASTER!$B$4:$B$1463,"VENGEANCE",MASTER!$I$4:$I$1463,"&lt;&gt;")*$A107*100/100,0)),MASTER!$Y$4:$Y$1463,0))="",NA(),INDEX(MASTER!$I$4:$I$1463,MATCH("VENGEANCE"&amp;"|"&amp;MAX(1,ROUND(COUNTIFS(MASTER!$B$4:$B$1463,"VENGEANCE",MASTER!$I$4:$I$1463,"&lt;&gt;")*$A107*100/100,0)),MASTER!$Y$4:$Y$1463,0))),NA()),IF($B$4="COMBAT RATING",IFERROR(IF(INDEX(MASTER!$G$4:$G$1463,MATCH("VENGEANCE"&amp;"|"&amp;MAX(1,ROUND(COUNTIFS(MASTER!$B$4:$B$1463,"VENGEANCE",MASTER!$G$4:$G$1463,"&lt;&gt;")*$A107*100/100,0)),MASTER!$AH$4:$AH$1463,0))="",NA(),INDEX(MASTER!$G$4:$G$1463,MATCH("VENGEANCE"&amp;"|"&amp;MAX(1,ROUND(COUNTIFS(MASTER!$B$4:$B$1463,"VENGEANCE",MASTER!$G$4:$G$1463,"&lt;&gt;")*$A107*100/100,0)),MASTER!$AH$4:$AH$1463,0))),NA()),IF($B$4="SECONDARY",IFERROR(IF(INDEX(MASTER!$L$4:$L$1463,MATCH("VENGEANCE"&amp;"|"&amp;MAX(1,ROUND(COUNTIFS(MASTER!$B$4:$B$1463,"VENGEANCE",MASTER!$L$4:$L$1463,"&lt;&gt;")*$A107*100/100,0)),MASTER!$AI$4:$AI$1463,0))="",NA(),INDEX(MASTER!$L$4:$L$1463,MATCH("VENGEANCE"&amp;"|"&amp;MAX(1,ROUND(COUNTIFS(MASTER!$B$4:$B$1463,"VENGEANCE",MASTER!$L$4:$L$1463,"&lt;&gt;")*$A107*100/100,0)),MASTER!$AI$4:$AI$1463,0))),NA()))))</f>
        <v>3399</v>
      </c>
      <c r="N107" s="37">
        <f>IF($B$4="RESONANCE",IFERROR(IF(INDEX(MASTER!$I$4:$I$1463,MATCH("VENDETTA"&amp;"|"&amp;MAX(1,ROUND(COUNTIFS(MASTER!$B$4:$B$1463,"VENDETTA",MASTER!$I$4:$I$1463,"&lt;&gt;")*$A107*100/100,0)),MASTER!$Y$4:$Y$1463,0))="",NA(),INDEX(MASTER!$I$4:$I$1463,MATCH("VENDETTA"&amp;"|"&amp;MAX(1,ROUND(COUNTIFS(MASTER!$B$4:$B$1463,"VENDETTA",MASTER!$I$4:$I$1463,"&lt;&gt;")*$A107*100/100,0)),MASTER!$Y$4:$Y$1463,0))),NA()),IF($B$4="COMBAT RATING",IFERROR(IF(INDEX(MASTER!$G$4:$G$1463,MATCH("VENDETTA"&amp;"|"&amp;MAX(1,ROUND(COUNTIFS(MASTER!$B$4:$B$1463,"VENDETTA",MASTER!$G$4:$G$1463,"&lt;&gt;")*$A107*100/100,0)),MASTER!$AH$4:$AH$1463,0))="",NA(),INDEX(MASTER!$G$4:$G$1463,MATCH("VENDETTA"&amp;"|"&amp;MAX(1,ROUND(COUNTIFS(MASTER!$B$4:$B$1463,"VENDETTA",MASTER!$G$4:$G$1463,"&lt;&gt;")*$A107*100/100,0)),MASTER!$AH$4:$AH$1463,0))),NA()),IF($B$4="SECONDARY",IFERROR(IF(INDEX(MASTER!$L$4:$L$1463,MATCH("VENDETTA"&amp;"|"&amp;MAX(1,ROUND(COUNTIFS(MASTER!$B$4:$B$1463,"VENDETTA",MASTER!$L$4:$L$1463,"&lt;&gt;")*$A107*100/100,0)),MASTER!$AI$4:$AI$1463,0))="",NA(),INDEX(MASTER!$L$4:$L$1463,MATCH("VENDETTA"&amp;"|"&amp;MAX(1,ROUND(COUNTIFS(MASTER!$B$4:$B$1463,"VENDETTA",MASTER!$L$4:$L$1463,"&lt;&gt;")*$A107*100/100,0)),MASTER!$AI$4:$AI$1463,0))),NA()))))</f>
        <v>1990</v>
      </c>
      <c r="O107" s="37">
        <f>IF($B$4="RESONANCE",IFERROR(IF(INDEX(MASTER!$I$4:$I$1463,MATCH("ZOMBIES"&amp;"|"&amp;MAX(1,ROUND(COUNTIFS(MASTER!$B$4:$B$1463,"ZOMBIES",MASTER!$I$4:$I$1463,"&lt;&gt;")*$A107*100/100,0)),MASTER!$Y$4:$Y$1463,0))="",NA(),INDEX(MASTER!$I$4:$I$1463,MATCH("ZOMBIES"&amp;"|"&amp;MAX(1,ROUND(COUNTIFS(MASTER!$B$4:$B$1463,"ZOMBIES",MASTER!$I$4:$I$1463,"&lt;&gt;")*$A107*100/100,0)),MASTER!$Y$4:$Y$1463,0))),NA()),IF($B$4="COMBAT RATING",IFERROR(IF(INDEX(MASTER!$G$4:$G$1463,MATCH("ZOMBIES"&amp;"|"&amp;MAX(1,ROUND(COUNTIFS(MASTER!$B$4:$B$1463,"ZOMBIES",MASTER!$G$4:$G$1463,"&lt;&gt;")*$A107*100/100,0)),MASTER!$AH$4:$AH$1463,0))="",NA(),INDEX(MASTER!$G$4:$G$1463,MATCH("ZOMBIES"&amp;"|"&amp;MAX(1,ROUND(COUNTIFS(MASTER!$B$4:$B$1463,"ZOMBIES",MASTER!$G$4:$G$1463,"&lt;&gt;")*$A107*100/100,0)),MASTER!$AH$4:$AH$1463,0))),NA()),IF($B$4="SECONDARY",IFERROR(IF(INDEX(MASTER!$L$4:$L$1463,MATCH("ZOMBIES"&amp;"|"&amp;MAX(1,ROUND(COUNTIFS(MASTER!$B$4:$B$1463,"ZOMBIES",MASTER!$L$4:$L$1463,"&lt;&gt;")*$A107*100/100,0)),MASTER!$AI$4:$AI$1463,0))="",NA(),INDEX(MASTER!$L$4:$L$1463,MATCH("ZOMBIES"&amp;"|"&amp;MAX(1,ROUND(COUNTIFS(MASTER!$B$4:$B$1463,"ZOMBIES",MASTER!$L$4:$L$1463,"&lt;&gt;")*$A107*100/100,0)),MASTER!$AI$4:$AI$1463,0))),NA()))))</f>
        <v>1686</v>
      </c>
      <c r="P107" s="37">
        <f>IF($B$4="RESONANCE",IFERROR(IF(INDEX(MASTER!$I$4:$I$1463,MATCH("FUCT"&amp;"|"&amp;MAX(1,ROUND(COUNTIFS(MASTER!$B$4:$B$1463,"FUCT",MASTER!$I$4:$I$1463,"&lt;&gt;")*$A107*100/100,0)),MASTER!$Y$4:$Y$1463,0))="",NA(),INDEX(MASTER!$I$4:$I$1463,MATCH("FUCT"&amp;"|"&amp;MAX(1,ROUND(COUNTIFS(MASTER!$B$4:$B$1463,"FUCT",MASTER!$I$4:$I$1463,"&lt;&gt;")*$A107*100/100,0)),MASTER!$Y$4:$Y$1463,0))),NA()),IF($B$4="COMBAT RATING",IFERROR(IF(INDEX(MASTER!$G$4:$G$1463,MATCH("FUCT"&amp;"|"&amp;MAX(1,ROUND(COUNTIFS(MASTER!$B$4:$B$1463,"FUCT",MASTER!$G$4:$G$1463,"&lt;&gt;")*$A107*100/100,0)),MASTER!$AH$4:$AH$1463,0))="",NA(),INDEX(MASTER!$G$4:$G$1463,MATCH("FUCT"&amp;"|"&amp;MAX(1,ROUND(COUNTIFS(MASTER!$B$4:$B$1463,"FUCT",MASTER!$G$4:$G$1463,"&lt;&gt;")*$A107*100/100,0)),MASTER!$AH$4:$AH$1463,0))),NA()),IF($B$4="SECONDARY",IFERROR(IF(INDEX(MASTER!$L$4:$L$1463,MATCH("FUCT"&amp;"|"&amp;MAX(1,ROUND(COUNTIFS(MASTER!$B$4:$B$1463,"FUCT",MASTER!$L$4:$L$1463,"&lt;&gt;")*$A107*100/100,0)),MASTER!$AI$4:$AI$1463,0))="",NA(),INDEX(MASTER!$L$4:$L$1463,MATCH("FUCT"&amp;"|"&amp;MAX(1,ROUND(COUNTIFS(MASTER!$B$4:$B$1463,"FUCT",MASTER!$L$4:$L$1463,"&lt;&gt;")*$A107*100/100,0)),MASTER!$AI$4:$AI$1463,0))),NA()))))</f>
        <v>4430</v>
      </c>
      <c r="Q107" s="37">
        <f>IF($B$4="RESONANCE",IFERROR(IF(INDEX(MASTER!$I$4:$I$1463,MATCH($E$4&amp;"|"&amp;MAX(1,ROUND(COUNTIFS(MASTER!$B$4:$B$1463,$E$4,MASTER!$I$4:$I$1463,"&lt;&gt;")*$A107*100/100,0)),MASTER!$Y$4:$Y$1463,0))="",NA(),INDEX(MASTER!$I$4:$I$1463,MATCH($E$4&amp;"|"&amp;MAX(1,ROUND(COUNTIFS(MASTER!$B$4:$B$1463,$E$4,MASTER!$I$4:$I$1463,"&lt;&gt;")*$A107*100/100,0)),MASTER!$Y$4:$Y$1463,0))),NA()),IF($B$4="COMBAT RATING",IFERROR(IF(INDEX(MASTER!$G$4:$G$1463,MATCH($E$4&amp;"|"&amp;MAX(1,ROUND(COUNTIFS(MASTER!$B$4:$B$1463,$E$4,MASTER!$G$4:$G$1463,"&lt;&gt;")*$A107*100/100,0)),MASTER!$AH$4:$AH$1463,0))="",NA(),INDEX(MASTER!$G$4:$G$1463,MATCH($E$4&amp;"|"&amp;MAX(1,ROUND(COUNTIFS(MASTER!$B$4:$B$1463,$E$4,MASTER!$G$4:$G$1463,"&lt;&gt;")*$A107*100/100,0)),MASTER!$AH$4:$AH$1463,0))),NA()),IF($B$4="SECONDARY",IFERROR(IF(INDEX(MASTER!$L$4:$L$1463,MATCH($E$4&amp;"|"&amp;MAX(1,ROUND(COUNTIFS(MASTER!$B$4:$B$1463,$E$4,MASTER!$L$4:$L$1463,"&lt;&gt;")*$A107*100/100,0)),MASTER!$AI$4:$AI$1463,0))="",NA(),INDEX(MASTER!$L$4:$L$1463,MATCH($E$4&amp;"|"&amp;MAX(1,ROUND(COUNTIFS(MASTER!$B$4:$B$1463,$E$4,MASTER!$L$4:$L$1463,"&lt;&gt;")*$A107*100/100,0)),MASTER!$AI$4:$AI$1463,0))),NA()))))</f>
        <v>4086</v>
      </c>
    </row>
    <row r="108" spans="1:17" hidden="1">
      <c r="A108" s="36">
        <v>0.53</v>
      </c>
      <c r="B108" s="37">
        <f>IF($B$4="RESONANCE",IFERROR(IF(INDEX(MASTER!$I$4:$I$1463,MATCH("FUCT"&amp;"|"&amp;MAX(1,ROUND(COUNTIFS(MASTER!$B$4:$B$1463,"FUCT",MASTER!$I$4:$I$1463,"&lt;&gt;")*$A108*100/100,0)),MASTER!$Y$4:$Y$1463,0))="",NA(),INDEX(MASTER!$I$4:$I$1463,MATCH("FUCT"&amp;"|"&amp;MAX(1,ROUND(COUNTIFS(MASTER!$B$4:$B$1463,"FUCT",MASTER!$I$4:$I$1463,"&lt;&gt;")*$A108*100/100,0)),MASTER!$Y$4:$Y$1463,0))),NA()),IF($B$4="COMBAT RATING",IFERROR(IF(INDEX(MASTER!$G$4:$G$1463,MATCH("FUCT"&amp;"|"&amp;MAX(1,ROUND(COUNTIFS(MASTER!$B$4:$B$1463,"FUCT",MASTER!$G$4:$G$1463,"&lt;&gt;")*$A108*100/100,0)),MASTER!$AH$4:$AH$1463,0))="",NA(),INDEX(MASTER!$G$4:$G$1463,MATCH("FUCT"&amp;"|"&amp;MAX(1,ROUND(COUNTIFS(MASTER!$B$4:$B$1463,"FUCT",MASTER!$G$4:$G$1463,"&lt;&gt;")*$A108*100/100,0)),MASTER!$AH$4:$AH$1463,0))),NA()),IF($B$4="SECONDARY",IFERROR(IF(INDEX(MASTER!$L$4:$L$1463,MATCH("FUCT"&amp;"|"&amp;MAX(1,ROUND(COUNTIFS(MASTER!$B$4:$B$1463,"FUCT",MASTER!$L$4:$L$1463,"&lt;&gt;")*$A108*100/100,0)),MASTER!$AI$4:$AI$1463,0))="",NA(),INDEX(MASTER!$L$4:$L$1463,MATCH("FUCT"&amp;"|"&amp;MAX(1,ROUND(COUNTIFS(MASTER!$B$4:$B$1463,"FUCT",MASTER!$L$4:$L$1463,"&lt;&gt;")*$A108*100/100,0)),MASTER!$AI$4:$AI$1463,0))),NA()))))</f>
        <v>4324</v>
      </c>
      <c r="C108" s="37">
        <f>IF($B$4="RESONANCE",IFERROR(IF(INDEX(MASTER!$I$4:$I$1463,MATCH("LEGENDS"&amp;"|"&amp;MAX(1,ROUND(COUNTIFS(MASTER!$B$4:$B$1463,"LEGENDS",MASTER!$I$4:$I$1463,"&lt;&gt;")*$A108*100/100,0)),MASTER!$Y$4:$Y$1463,0))="",NA(),INDEX(MASTER!$I$4:$I$1463,MATCH("LEGENDS"&amp;"|"&amp;MAX(1,ROUND(COUNTIFS(MASTER!$B$4:$B$1463,"LEGENDS",MASTER!$I$4:$I$1463,"&lt;&gt;")*$A108*100/100,0)),MASTER!$Y$4:$Y$1463,0))),NA()),IF($B$4="COMBAT RATING",IFERROR(IF(INDEX(MASTER!$G$4:$G$1463,MATCH("LEGENDS"&amp;"|"&amp;MAX(1,ROUND(COUNTIFS(MASTER!$B$4:$B$1463,"LEGENDS",MASTER!$G$4:$G$1463,"&lt;&gt;")*$A108*100/100,0)),MASTER!$AH$4:$AH$1463,0))="",NA(),INDEX(MASTER!$G$4:$G$1463,MATCH("LEGENDS"&amp;"|"&amp;MAX(1,ROUND(COUNTIFS(MASTER!$B$4:$B$1463,"LEGENDS",MASTER!$G$4:$G$1463,"&lt;&gt;")*$A108*100/100,0)),MASTER!$AH$4:$AH$1463,0))),NA()),IF($B$4="SECONDARY",IFERROR(IF(INDEX(MASTER!$L$4:$L$1463,MATCH("LEGENDS"&amp;"|"&amp;MAX(1,ROUND(COUNTIFS(MASTER!$B$4:$B$1463,"LEGENDS",MASTER!$L$4:$L$1463,"&lt;&gt;")*$A108*100/100,0)),MASTER!$AI$4:$AI$1463,0))="",NA(),INDEX(MASTER!$L$4:$L$1463,MATCH("LEGENDS"&amp;"|"&amp;MAX(1,ROUND(COUNTIFS(MASTER!$B$4:$B$1463,"LEGENDS",MASTER!$L$4:$L$1463,"&lt;&gt;")*$A108*100/100,0)),MASTER!$AI$4:$AI$1463,0))),NA()))))</f>
        <v>5057</v>
      </c>
      <c r="D108" s="37">
        <f>IF($B$4="RESONANCE",IFERROR(IF(INDEX(MASTER!$I$4:$I$1463,MATCH("VANGUARD"&amp;"|"&amp;MAX(1,ROUND(COUNTIFS(MASTER!$B$4:$B$1463,"VANGUARD",MASTER!$I$4:$I$1463,"&lt;&gt;")*$A108*100/100,0)),MASTER!$Y$4:$Y$1463,0))="",NA(),INDEX(MASTER!$I$4:$I$1463,MATCH("VANGUARD"&amp;"|"&amp;MAX(1,ROUND(COUNTIFS(MASTER!$B$4:$B$1463,"VANGUARD",MASTER!$I$4:$I$1463,"&lt;&gt;")*$A108*100/100,0)),MASTER!$Y$4:$Y$1463,0))),NA()),IF($B$4="COMBAT RATING",IFERROR(IF(INDEX(MASTER!$G$4:$G$1463,MATCH("VANGUARD"&amp;"|"&amp;MAX(1,ROUND(COUNTIFS(MASTER!$B$4:$B$1463,"VANGUARD",MASTER!$G$4:$G$1463,"&lt;&gt;")*$A108*100/100,0)),MASTER!$AH$4:$AH$1463,0))="",NA(),INDEX(MASTER!$G$4:$G$1463,MATCH("VANGUARD"&amp;"|"&amp;MAX(1,ROUND(COUNTIFS(MASTER!$B$4:$B$1463,"VANGUARD",MASTER!$G$4:$G$1463,"&lt;&gt;")*$A108*100/100,0)),MASTER!$AH$4:$AH$1463,0))),NA()),IF($B$4="SECONDARY",IFERROR(IF(INDEX(MASTER!$L$4:$L$1463,MATCH("VANGUARD"&amp;"|"&amp;MAX(1,ROUND(COUNTIFS(MASTER!$B$4:$B$1463,"VANGUARD",MASTER!$L$4:$L$1463,"&lt;&gt;")*$A108*100/100,0)),MASTER!$AI$4:$AI$1463,0))="",NA(),INDEX(MASTER!$L$4:$L$1463,MATCH("VANGUARD"&amp;"|"&amp;MAX(1,ROUND(COUNTIFS(MASTER!$B$4:$B$1463,"VANGUARD",MASTER!$L$4:$L$1463,"&lt;&gt;")*$A108*100/100,0)),MASTER!$AI$4:$AI$1463,0))),NA()))))</f>
        <v>6392</v>
      </c>
      <c r="E108" s="37">
        <f>IF($B$4="RESONANCE",IFERROR(IF(INDEX(MASTER!$I$4:$I$1463,MATCH("UNDYING"&amp;"|"&amp;MAX(1,ROUND(COUNTIFS(MASTER!$B$4:$B$1463,"UNDYING",MASTER!$I$4:$I$1463,"&lt;&gt;")*$A108*100/100,0)),MASTER!$Y$4:$Y$1463,0))="",NA(),INDEX(MASTER!$I$4:$I$1463,MATCH("UNDYING"&amp;"|"&amp;MAX(1,ROUND(COUNTIFS(MASTER!$B$4:$B$1463,"UNDYING",MASTER!$I$4:$I$1463,"&lt;&gt;")*$A108*100/100,0)),MASTER!$Y$4:$Y$1463,0))),NA()),IF($B$4="COMBAT RATING",IFERROR(IF(INDEX(MASTER!$G$4:$G$1463,MATCH("UNDYING"&amp;"|"&amp;MAX(1,ROUND(COUNTIFS(MASTER!$B$4:$B$1463,"UNDYING",MASTER!$G$4:$G$1463,"&lt;&gt;")*$A108*100/100,0)),MASTER!$AH$4:$AH$1463,0))="",NA(),INDEX(MASTER!$G$4:$G$1463,MATCH("UNDYING"&amp;"|"&amp;MAX(1,ROUND(COUNTIFS(MASTER!$B$4:$B$1463,"UNDYING",MASTER!$G$4:$G$1463,"&lt;&gt;")*$A108*100/100,0)),MASTER!$AH$4:$AH$1463,0))),NA()),IF($B$4="SECONDARY",IFERROR(IF(INDEX(MASTER!$L$4:$L$1463,MATCH("UNDYING"&amp;"|"&amp;MAX(1,ROUND(COUNTIFS(MASTER!$B$4:$B$1463,"UNDYING",MASTER!$L$4:$L$1463,"&lt;&gt;")*$A108*100/100,0)),MASTER!$AI$4:$AI$1463,0))="",NA(),INDEX(MASTER!$L$4:$L$1463,MATCH("UNDYING"&amp;"|"&amp;MAX(1,ROUND(COUNTIFS(MASTER!$B$4:$B$1463,"UNDYING",MASTER!$L$4:$L$1463,"&lt;&gt;")*$A108*100/100,0)),MASTER!$AI$4:$AI$1463,0))),NA()))))</f>
        <v>4037</v>
      </c>
      <c r="F108" s="37">
        <f>IF($B$4="RESONANCE",IFERROR(IF(INDEX(MASTER!$I$4:$I$1463,MATCH("SBG"&amp;"|"&amp;MAX(1,ROUND(COUNTIFS(MASTER!$B$4:$B$1463,"SBG",MASTER!$I$4:$I$1463,"&lt;&gt;")*$A108*100/100,0)),MASTER!$Y$4:$Y$1463,0))="",NA(),INDEX(MASTER!$I$4:$I$1463,MATCH("SBG"&amp;"|"&amp;MAX(1,ROUND(COUNTIFS(MASTER!$B$4:$B$1463,"SBG",MASTER!$I$4:$I$1463,"&lt;&gt;")*$A108*100/100,0)),MASTER!$Y$4:$Y$1463,0))),NA()),IF($B$4="COMBAT RATING",IFERROR(IF(INDEX(MASTER!$G$4:$G$1463,MATCH("SBG"&amp;"|"&amp;MAX(1,ROUND(COUNTIFS(MASTER!$B$4:$B$1463,"SBG",MASTER!$G$4:$G$1463,"&lt;&gt;")*$A108*100/100,0)),MASTER!$AH$4:$AH$1463,0))="",NA(),INDEX(MASTER!$G$4:$G$1463,MATCH("SBG"&amp;"|"&amp;MAX(1,ROUND(COUNTIFS(MASTER!$B$4:$B$1463,"SBG",MASTER!$G$4:$G$1463,"&lt;&gt;")*$A108*100/100,0)),MASTER!$AH$4:$AH$1463,0))),NA()),IF($B$4="SECONDARY",IFERROR(IF(INDEX(MASTER!$L$4:$L$1463,MATCH("SBG"&amp;"|"&amp;MAX(1,ROUND(COUNTIFS(MASTER!$B$4:$B$1463,"SBG",MASTER!$L$4:$L$1463,"&lt;&gt;")*$A108*100/100,0)),MASTER!$AI$4:$AI$1463,0))="",NA(),INDEX(MASTER!$L$4:$L$1463,MATCH("SBG"&amp;"|"&amp;MAX(1,ROUND(COUNTIFS(MASTER!$B$4:$B$1463,"SBG",MASTER!$L$4:$L$1463,"&lt;&gt;")*$A108*100/100,0)),MASTER!$AI$4:$AI$1463,0))),NA()))))</f>
        <v>5386</v>
      </c>
      <c r="G108" s="37">
        <f>IF($B$4="RESONANCE",IFERROR(IF(INDEX(MASTER!$I$4:$I$1463,MATCH("AZUKI"&amp;"|"&amp;MAX(1,ROUND(COUNTIFS(MASTER!$B$4:$B$1463,"AZUKI",MASTER!$I$4:$I$1463,"&lt;&gt;")*$A108*100/100,0)),MASTER!$Y$4:$Y$1463,0))="",NA(),INDEX(MASTER!$I$4:$I$1463,MATCH("AZUKI"&amp;"|"&amp;MAX(1,ROUND(COUNTIFS(MASTER!$B$4:$B$1463,"AZUKI",MASTER!$I$4:$I$1463,"&lt;&gt;")*$A108*100/100,0)),MASTER!$Y$4:$Y$1463,0))),NA()),IF($B$4="COMBAT RATING",IFERROR(IF(INDEX(MASTER!$G$4:$G$1463,MATCH("AZUKI"&amp;"|"&amp;MAX(1,ROUND(COUNTIFS(MASTER!$B$4:$B$1463,"AZUKI",MASTER!$G$4:$G$1463,"&lt;&gt;")*$A108*100/100,0)),MASTER!$AH$4:$AH$1463,0))="",NA(),INDEX(MASTER!$G$4:$G$1463,MATCH("AZUKI"&amp;"|"&amp;MAX(1,ROUND(COUNTIFS(MASTER!$B$4:$B$1463,"AZUKI",MASTER!$G$4:$G$1463,"&lt;&gt;")*$A108*100/100,0)),MASTER!$AH$4:$AH$1463,0))),NA()),IF($B$4="SECONDARY",IFERROR(IF(INDEX(MASTER!$L$4:$L$1463,MATCH("AZUKI"&amp;"|"&amp;MAX(1,ROUND(COUNTIFS(MASTER!$B$4:$B$1463,"AZUKI",MASTER!$L$4:$L$1463,"&lt;&gt;")*$A108*100/100,0)),MASTER!$AI$4:$AI$1463,0))="",NA(),INDEX(MASTER!$L$4:$L$1463,MATCH("AZUKI"&amp;"|"&amp;MAX(1,ROUND(COUNTIFS(MASTER!$B$4:$B$1463,"AZUKI",MASTER!$L$4:$L$1463,"&lt;&gt;")*$A108*100/100,0)),MASTER!$AI$4:$AI$1463,0))),NA()))))</f>
        <v>4872</v>
      </c>
      <c r="H108" s="37">
        <f>IF($B$4="RESONANCE",IFERROR(IF(INDEX(MASTER!$I$4:$I$1463,MATCH("RECKONING"&amp;"|"&amp;MAX(1,ROUND(COUNTIFS(MASTER!$B$4:$B$1463,"RECKONING",MASTER!$I$4:$I$1463,"&lt;&gt;")*$A108*100/100,0)),MASTER!$Y$4:$Y$1463,0))="",NA(),INDEX(MASTER!$I$4:$I$1463,MATCH("RECKONING"&amp;"|"&amp;MAX(1,ROUND(COUNTIFS(MASTER!$B$4:$B$1463,"RECKONING",MASTER!$I$4:$I$1463,"&lt;&gt;")*$A108*100/100,0)),MASTER!$Y$4:$Y$1463,0))),NA()),IF($B$4="COMBAT RATING",IFERROR(IF(INDEX(MASTER!$G$4:$G$1463,MATCH("RECKONING"&amp;"|"&amp;MAX(1,ROUND(COUNTIFS(MASTER!$B$4:$B$1463,"RECKONING",MASTER!$G$4:$G$1463,"&lt;&gt;")*$A108*100/100,0)),MASTER!$AH$4:$AH$1463,0))="",NA(),INDEX(MASTER!$G$4:$G$1463,MATCH("RECKONING"&amp;"|"&amp;MAX(1,ROUND(COUNTIFS(MASTER!$B$4:$B$1463,"RECKONING",MASTER!$G$4:$G$1463,"&lt;&gt;")*$A108*100/100,0)),MASTER!$AH$4:$AH$1463,0))),NA()),IF($B$4="SECONDARY",IFERROR(IF(INDEX(MASTER!$L$4:$L$1463,MATCH("RECKONING"&amp;"|"&amp;MAX(1,ROUND(COUNTIFS(MASTER!$B$4:$B$1463,"RECKONING",MASTER!$L$4:$L$1463,"&lt;&gt;")*$A108*100/100,0)),MASTER!$AI$4:$AI$1463,0))="",NA(),INDEX(MASTER!$L$4:$L$1463,MATCH("RECKONING"&amp;"|"&amp;MAX(1,ROUND(COUNTIFS(MASTER!$B$4:$B$1463,"RECKONING",MASTER!$L$4:$L$1463,"&lt;&gt;")*$A108*100/100,0)),MASTER!$AI$4:$AI$1463,0))),NA()))))</f>
        <v>4771</v>
      </c>
      <c r="I108" s="37">
        <f>IF($B$4="RESONANCE",IFERROR(IF(INDEX(MASTER!$I$4:$I$1463,MATCH("ACHERON"&amp;"|"&amp;MAX(1,ROUND(COUNTIFS(MASTER!$B$4:$B$1463,"ACHERON",MASTER!$I$4:$I$1463,"&lt;&gt;")*$A108*100/100,0)),MASTER!$Y$4:$Y$1463,0))="",NA(),INDEX(MASTER!$I$4:$I$1463,MATCH("ACHERON"&amp;"|"&amp;MAX(1,ROUND(COUNTIFS(MASTER!$B$4:$B$1463,"ACHERON",MASTER!$I$4:$I$1463,"&lt;&gt;")*$A108*100/100,0)),MASTER!$Y$4:$Y$1463,0))),NA()),IF($B$4="COMBAT RATING",IFERROR(IF(INDEX(MASTER!$G$4:$G$1463,MATCH("ACHERON"&amp;"|"&amp;MAX(1,ROUND(COUNTIFS(MASTER!$B$4:$B$1463,"ACHERON",MASTER!$G$4:$G$1463,"&lt;&gt;")*$A108*100/100,0)),MASTER!$AH$4:$AH$1463,0))="",NA(),INDEX(MASTER!$G$4:$G$1463,MATCH("ACHERON"&amp;"|"&amp;MAX(1,ROUND(COUNTIFS(MASTER!$B$4:$B$1463,"ACHERON",MASTER!$G$4:$G$1463,"&lt;&gt;")*$A108*100/100,0)),MASTER!$AH$4:$AH$1463,0))),NA()),IF($B$4="SECONDARY",IFERROR(IF(INDEX(MASTER!$L$4:$L$1463,MATCH("ACHERON"&amp;"|"&amp;MAX(1,ROUND(COUNTIFS(MASTER!$B$4:$B$1463,"ACHERON",MASTER!$L$4:$L$1463,"&lt;&gt;")*$A108*100/100,0)),MASTER!$AI$4:$AI$1463,0))="",NA(),INDEX(MASTER!$L$4:$L$1463,MATCH("ACHERON"&amp;"|"&amp;MAX(1,ROUND(COUNTIFS(MASTER!$B$4:$B$1463,"ACHERON",MASTER!$L$4:$L$1463,"&lt;&gt;")*$A108*100/100,0)),MASTER!$AI$4:$AI$1463,0))),NA()))))</f>
        <v>3702</v>
      </c>
      <c r="J108" s="37">
        <f>IF($B$4="RESONANCE",IFERROR(IF(INDEX(MASTER!$I$4:$I$1463,MATCH("INVICTUS"&amp;"|"&amp;MAX(1,ROUND(COUNTIFS(MASTER!$B$4:$B$1463,"INVICTUS",MASTER!$I$4:$I$1463,"&lt;&gt;")*$A108*100/100,0)),MASTER!$Y$4:$Y$1463,0))="",NA(),INDEX(MASTER!$I$4:$I$1463,MATCH("INVICTUS"&amp;"|"&amp;MAX(1,ROUND(COUNTIFS(MASTER!$B$4:$B$1463,"INVICTUS",MASTER!$I$4:$I$1463,"&lt;&gt;")*$A108*100/100,0)),MASTER!$Y$4:$Y$1463,0))),NA()),IF($B$4="COMBAT RATING",IFERROR(IF(INDEX(MASTER!$G$4:$G$1463,MATCH("INVICTUS"&amp;"|"&amp;MAX(1,ROUND(COUNTIFS(MASTER!$B$4:$B$1463,"INVICTUS",MASTER!$G$4:$G$1463,"&lt;&gt;")*$A108*100/100,0)),MASTER!$AH$4:$AH$1463,0))="",NA(),INDEX(MASTER!$G$4:$G$1463,MATCH("INVICTUS"&amp;"|"&amp;MAX(1,ROUND(COUNTIFS(MASTER!$B$4:$B$1463,"INVICTUS",MASTER!$G$4:$G$1463,"&lt;&gt;")*$A108*100/100,0)),MASTER!$AH$4:$AH$1463,0))),NA()),IF($B$4="SECONDARY",IFERROR(IF(INDEX(MASTER!$L$4:$L$1463,MATCH("INVICTUS"&amp;"|"&amp;MAX(1,ROUND(COUNTIFS(MASTER!$B$4:$B$1463,"INVICTUS",MASTER!$L$4:$L$1463,"&lt;&gt;")*$A108*100/100,0)),MASTER!$AI$4:$AI$1463,0))="",NA(),INDEX(MASTER!$L$4:$L$1463,MATCH("INVICTUS"&amp;"|"&amp;MAX(1,ROUND(COUNTIFS(MASTER!$B$4:$B$1463,"INVICTUS",MASTER!$L$4:$L$1463,"&lt;&gt;")*$A108*100/100,0)),MASTER!$AI$4:$AI$1463,0))),NA()))))</f>
        <v>3014</v>
      </c>
      <c r="K108" s="37">
        <f>IF($B$4="RESONANCE",IFERROR(IF(INDEX(MASTER!$I$4:$I$1463,MATCH("EMERALD LEAF TRIBE"&amp;"|"&amp;MAX(1,ROUND(COUNTIFS(MASTER!$B$4:$B$1463,"EMERALD LEAF TRIBE",MASTER!$I$4:$I$1463,"&lt;&gt;")*$A108*100/100,0)),MASTER!$Y$4:$Y$1463,0))="",NA(),INDEX(MASTER!$I$4:$I$1463,MATCH("EMERALD LEAF TRIBE"&amp;"|"&amp;MAX(1,ROUND(COUNTIFS(MASTER!$B$4:$B$1463,"EMERALD LEAF TRIBE",MASTER!$I$4:$I$1463,"&lt;&gt;")*$A108*100/100,0)),MASTER!$Y$4:$Y$1463,0))),NA()),IF($B$4="COMBAT RATING",IFERROR(IF(INDEX(MASTER!$G$4:$G$1463,MATCH("EMERALD LEAF TRIBE"&amp;"|"&amp;MAX(1,ROUND(COUNTIFS(MASTER!$B$4:$B$1463,"EMERALD LEAF TRIBE",MASTER!$G$4:$G$1463,"&lt;&gt;")*$A108*100/100,0)),MASTER!$AH$4:$AH$1463,0))="",NA(),INDEX(MASTER!$G$4:$G$1463,MATCH("EMERALD LEAF TRIBE"&amp;"|"&amp;MAX(1,ROUND(COUNTIFS(MASTER!$B$4:$B$1463,"EMERALD LEAF TRIBE",MASTER!$G$4:$G$1463,"&lt;&gt;")*$A108*100/100,0)),MASTER!$AH$4:$AH$1463,0))),NA()),IF($B$4="SECONDARY",IFERROR(IF(INDEX(MASTER!$L$4:$L$1463,MATCH("EMERALD LEAF TRIBE"&amp;"|"&amp;MAX(1,ROUND(COUNTIFS(MASTER!$B$4:$B$1463,"EMERALD LEAF TRIBE",MASTER!$L$4:$L$1463,"&lt;&gt;")*$A108*100/100,0)),MASTER!$AI$4:$AI$1463,0))="",NA(),INDEX(MASTER!$L$4:$L$1463,MATCH("EMERALD LEAF TRIBE"&amp;"|"&amp;MAX(1,ROUND(COUNTIFS(MASTER!$B$4:$B$1463,"EMERALD LEAF TRIBE",MASTER!$L$4:$L$1463,"&lt;&gt;")*$A108*100/100,0)),MASTER!$AI$4:$AI$1463,0))),NA()))))</f>
        <v>2142</v>
      </c>
      <c r="L108" s="37">
        <f>IF($B$4="RESONANCE",IFERROR(IF(INDEX(MASTER!$I$4:$I$1463,MATCH("SUB ROSA"&amp;"|"&amp;MAX(1,ROUND(COUNTIFS(MASTER!$B$4:$B$1463,"SUB ROSA",MASTER!$I$4:$I$1463,"&lt;&gt;")*$A108*100/100,0)),MASTER!$Y$4:$Y$1463,0))="",NA(),INDEX(MASTER!$I$4:$I$1463,MATCH("SUB ROSA"&amp;"|"&amp;MAX(1,ROUND(COUNTIFS(MASTER!$B$4:$B$1463,"SUB ROSA",MASTER!$I$4:$I$1463,"&lt;&gt;")*$A108*100/100,0)),MASTER!$Y$4:$Y$1463,0))),NA()),IF($B$4="COMBAT RATING",IFERROR(IF(INDEX(MASTER!$G$4:$G$1463,MATCH("SUB ROSA"&amp;"|"&amp;MAX(1,ROUND(COUNTIFS(MASTER!$B$4:$B$1463,"SUB ROSA",MASTER!$G$4:$G$1463,"&lt;&gt;")*$A108*100/100,0)),MASTER!$AH$4:$AH$1463,0))="",NA(),INDEX(MASTER!$G$4:$G$1463,MATCH("SUB ROSA"&amp;"|"&amp;MAX(1,ROUND(COUNTIFS(MASTER!$B$4:$B$1463,"SUB ROSA",MASTER!$G$4:$G$1463,"&lt;&gt;")*$A108*100/100,0)),MASTER!$AH$4:$AH$1463,0))),NA()),IF($B$4="SECONDARY",IFERROR(IF(INDEX(MASTER!$L$4:$L$1463,MATCH("SUB ROSA"&amp;"|"&amp;MAX(1,ROUND(COUNTIFS(MASTER!$B$4:$B$1463,"SUB ROSA",MASTER!$L$4:$L$1463,"&lt;&gt;")*$A108*100/100,0)),MASTER!$AI$4:$AI$1463,0))="",NA(),INDEX(MASTER!$L$4:$L$1463,MATCH("SUB ROSA"&amp;"|"&amp;MAX(1,ROUND(COUNTIFS(MASTER!$B$4:$B$1463,"SUB ROSA",MASTER!$L$4:$L$1463,"&lt;&gt;")*$A108*100/100,0)),MASTER!$AI$4:$AI$1463,0))),NA()))))</f>
        <v>2308</v>
      </c>
      <c r="M108" s="37">
        <f>IF($B$4="RESONANCE",IFERROR(IF(INDEX(MASTER!$I$4:$I$1463,MATCH("VENGEANCE"&amp;"|"&amp;MAX(1,ROUND(COUNTIFS(MASTER!$B$4:$B$1463,"VENGEANCE",MASTER!$I$4:$I$1463,"&lt;&gt;")*$A108*100/100,0)),MASTER!$Y$4:$Y$1463,0))="",NA(),INDEX(MASTER!$I$4:$I$1463,MATCH("VENGEANCE"&amp;"|"&amp;MAX(1,ROUND(COUNTIFS(MASTER!$B$4:$B$1463,"VENGEANCE",MASTER!$I$4:$I$1463,"&lt;&gt;")*$A108*100/100,0)),MASTER!$Y$4:$Y$1463,0))),NA()),IF($B$4="COMBAT RATING",IFERROR(IF(INDEX(MASTER!$G$4:$G$1463,MATCH("VENGEANCE"&amp;"|"&amp;MAX(1,ROUND(COUNTIFS(MASTER!$B$4:$B$1463,"VENGEANCE",MASTER!$G$4:$G$1463,"&lt;&gt;")*$A108*100/100,0)),MASTER!$AH$4:$AH$1463,0))="",NA(),INDEX(MASTER!$G$4:$G$1463,MATCH("VENGEANCE"&amp;"|"&amp;MAX(1,ROUND(COUNTIFS(MASTER!$B$4:$B$1463,"VENGEANCE",MASTER!$G$4:$G$1463,"&lt;&gt;")*$A108*100/100,0)),MASTER!$AH$4:$AH$1463,0))),NA()),IF($B$4="SECONDARY",IFERROR(IF(INDEX(MASTER!$L$4:$L$1463,MATCH("VENGEANCE"&amp;"|"&amp;MAX(1,ROUND(COUNTIFS(MASTER!$B$4:$B$1463,"VENGEANCE",MASTER!$L$4:$L$1463,"&lt;&gt;")*$A108*100/100,0)),MASTER!$AI$4:$AI$1463,0))="",NA(),INDEX(MASTER!$L$4:$L$1463,MATCH("VENGEANCE"&amp;"|"&amp;MAX(1,ROUND(COUNTIFS(MASTER!$B$4:$B$1463,"VENGEANCE",MASTER!$L$4:$L$1463,"&lt;&gt;")*$A108*100/100,0)),MASTER!$AI$4:$AI$1463,0))),NA()))))</f>
        <v>3302</v>
      </c>
      <c r="N108" s="37">
        <f>IF($B$4="RESONANCE",IFERROR(IF(INDEX(MASTER!$I$4:$I$1463,MATCH("VENDETTA"&amp;"|"&amp;MAX(1,ROUND(COUNTIFS(MASTER!$B$4:$B$1463,"VENDETTA",MASTER!$I$4:$I$1463,"&lt;&gt;")*$A108*100/100,0)),MASTER!$Y$4:$Y$1463,0))="",NA(),INDEX(MASTER!$I$4:$I$1463,MATCH("VENDETTA"&amp;"|"&amp;MAX(1,ROUND(COUNTIFS(MASTER!$B$4:$B$1463,"VENDETTA",MASTER!$I$4:$I$1463,"&lt;&gt;")*$A108*100/100,0)),MASTER!$Y$4:$Y$1463,0))),NA()),IF($B$4="COMBAT RATING",IFERROR(IF(INDEX(MASTER!$G$4:$G$1463,MATCH("VENDETTA"&amp;"|"&amp;MAX(1,ROUND(COUNTIFS(MASTER!$B$4:$B$1463,"VENDETTA",MASTER!$G$4:$G$1463,"&lt;&gt;")*$A108*100/100,0)),MASTER!$AH$4:$AH$1463,0))="",NA(),INDEX(MASTER!$G$4:$G$1463,MATCH("VENDETTA"&amp;"|"&amp;MAX(1,ROUND(COUNTIFS(MASTER!$B$4:$B$1463,"VENDETTA",MASTER!$G$4:$G$1463,"&lt;&gt;")*$A108*100/100,0)),MASTER!$AH$4:$AH$1463,0))),NA()),IF($B$4="SECONDARY",IFERROR(IF(INDEX(MASTER!$L$4:$L$1463,MATCH("VENDETTA"&amp;"|"&amp;MAX(1,ROUND(COUNTIFS(MASTER!$B$4:$B$1463,"VENDETTA",MASTER!$L$4:$L$1463,"&lt;&gt;")*$A108*100/100,0)),MASTER!$AI$4:$AI$1463,0))="",NA(),INDEX(MASTER!$L$4:$L$1463,MATCH("VENDETTA"&amp;"|"&amp;MAX(1,ROUND(COUNTIFS(MASTER!$B$4:$B$1463,"VENDETTA",MASTER!$L$4:$L$1463,"&lt;&gt;")*$A108*100/100,0)),MASTER!$AI$4:$AI$1463,0))),NA()))))</f>
        <v>1983</v>
      </c>
      <c r="O108" s="37">
        <f>IF($B$4="RESONANCE",IFERROR(IF(INDEX(MASTER!$I$4:$I$1463,MATCH("ZOMBIES"&amp;"|"&amp;MAX(1,ROUND(COUNTIFS(MASTER!$B$4:$B$1463,"ZOMBIES",MASTER!$I$4:$I$1463,"&lt;&gt;")*$A108*100/100,0)),MASTER!$Y$4:$Y$1463,0))="",NA(),INDEX(MASTER!$I$4:$I$1463,MATCH("ZOMBIES"&amp;"|"&amp;MAX(1,ROUND(COUNTIFS(MASTER!$B$4:$B$1463,"ZOMBIES",MASTER!$I$4:$I$1463,"&lt;&gt;")*$A108*100/100,0)),MASTER!$Y$4:$Y$1463,0))),NA()),IF($B$4="COMBAT RATING",IFERROR(IF(INDEX(MASTER!$G$4:$G$1463,MATCH("ZOMBIES"&amp;"|"&amp;MAX(1,ROUND(COUNTIFS(MASTER!$B$4:$B$1463,"ZOMBIES",MASTER!$G$4:$G$1463,"&lt;&gt;")*$A108*100/100,0)),MASTER!$AH$4:$AH$1463,0))="",NA(),INDEX(MASTER!$G$4:$G$1463,MATCH("ZOMBIES"&amp;"|"&amp;MAX(1,ROUND(COUNTIFS(MASTER!$B$4:$B$1463,"ZOMBIES",MASTER!$G$4:$G$1463,"&lt;&gt;")*$A108*100/100,0)),MASTER!$AH$4:$AH$1463,0))),NA()),IF($B$4="SECONDARY",IFERROR(IF(INDEX(MASTER!$L$4:$L$1463,MATCH("ZOMBIES"&amp;"|"&amp;MAX(1,ROUND(COUNTIFS(MASTER!$B$4:$B$1463,"ZOMBIES",MASTER!$L$4:$L$1463,"&lt;&gt;")*$A108*100/100,0)),MASTER!$AI$4:$AI$1463,0))="",NA(),INDEX(MASTER!$L$4:$L$1463,MATCH("ZOMBIES"&amp;"|"&amp;MAX(1,ROUND(COUNTIFS(MASTER!$B$4:$B$1463,"ZOMBIES",MASTER!$L$4:$L$1463,"&lt;&gt;")*$A108*100/100,0)),MASTER!$AI$4:$AI$1463,0))),NA()))))</f>
        <v>1639</v>
      </c>
      <c r="P108" s="37">
        <f>IF($B$4="RESONANCE",IFERROR(IF(INDEX(MASTER!$I$4:$I$1463,MATCH("FUCT"&amp;"|"&amp;MAX(1,ROUND(COUNTIFS(MASTER!$B$4:$B$1463,"FUCT",MASTER!$I$4:$I$1463,"&lt;&gt;")*$A108*100/100,0)),MASTER!$Y$4:$Y$1463,0))="",NA(),INDEX(MASTER!$I$4:$I$1463,MATCH("FUCT"&amp;"|"&amp;MAX(1,ROUND(COUNTIFS(MASTER!$B$4:$B$1463,"FUCT",MASTER!$I$4:$I$1463,"&lt;&gt;")*$A108*100/100,0)),MASTER!$Y$4:$Y$1463,0))),NA()),IF($B$4="COMBAT RATING",IFERROR(IF(INDEX(MASTER!$G$4:$G$1463,MATCH("FUCT"&amp;"|"&amp;MAX(1,ROUND(COUNTIFS(MASTER!$B$4:$B$1463,"FUCT",MASTER!$G$4:$G$1463,"&lt;&gt;")*$A108*100/100,0)),MASTER!$AH$4:$AH$1463,0))="",NA(),INDEX(MASTER!$G$4:$G$1463,MATCH("FUCT"&amp;"|"&amp;MAX(1,ROUND(COUNTIFS(MASTER!$B$4:$B$1463,"FUCT",MASTER!$G$4:$G$1463,"&lt;&gt;")*$A108*100/100,0)),MASTER!$AH$4:$AH$1463,0))),NA()),IF($B$4="SECONDARY",IFERROR(IF(INDEX(MASTER!$L$4:$L$1463,MATCH("FUCT"&amp;"|"&amp;MAX(1,ROUND(COUNTIFS(MASTER!$B$4:$B$1463,"FUCT",MASTER!$L$4:$L$1463,"&lt;&gt;")*$A108*100/100,0)),MASTER!$AI$4:$AI$1463,0))="",NA(),INDEX(MASTER!$L$4:$L$1463,MATCH("FUCT"&amp;"|"&amp;MAX(1,ROUND(COUNTIFS(MASTER!$B$4:$B$1463,"FUCT",MASTER!$L$4:$L$1463,"&lt;&gt;")*$A108*100/100,0)),MASTER!$AI$4:$AI$1463,0))),NA()))))</f>
        <v>4324</v>
      </c>
      <c r="Q108" s="37">
        <f>IF($B$4="RESONANCE",IFERROR(IF(INDEX(MASTER!$I$4:$I$1463,MATCH($E$4&amp;"|"&amp;MAX(1,ROUND(COUNTIFS(MASTER!$B$4:$B$1463,$E$4,MASTER!$I$4:$I$1463,"&lt;&gt;")*$A108*100/100,0)),MASTER!$Y$4:$Y$1463,0))="",NA(),INDEX(MASTER!$I$4:$I$1463,MATCH($E$4&amp;"|"&amp;MAX(1,ROUND(COUNTIFS(MASTER!$B$4:$B$1463,$E$4,MASTER!$I$4:$I$1463,"&lt;&gt;")*$A108*100/100,0)),MASTER!$Y$4:$Y$1463,0))),NA()),IF($B$4="COMBAT RATING",IFERROR(IF(INDEX(MASTER!$G$4:$G$1463,MATCH($E$4&amp;"|"&amp;MAX(1,ROUND(COUNTIFS(MASTER!$B$4:$B$1463,$E$4,MASTER!$G$4:$G$1463,"&lt;&gt;")*$A108*100/100,0)),MASTER!$AH$4:$AH$1463,0))="",NA(),INDEX(MASTER!$G$4:$G$1463,MATCH($E$4&amp;"|"&amp;MAX(1,ROUND(COUNTIFS(MASTER!$B$4:$B$1463,$E$4,MASTER!$G$4:$G$1463,"&lt;&gt;")*$A108*100/100,0)),MASTER!$AH$4:$AH$1463,0))),NA()),IF($B$4="SECONDARY",IFERROR(IF(INDEX(MASTER!$L$4:$L$1463,MATCH($E$4&amp;"|"&amp;MAX(1,ROUND(COUNTIFS(MASTER!$B$4:$B$1463,$E$4,MASTER!$L$4:$L$1463,"&lt;&gt;")*$A108*100/100,0)),MASTER!$AI$4:$AI$1463,0))="",NA(),INDEX(MASTER!$L$4:$L$1463,MATCH($E$4&amp;"|"&amp;MAX(1,ROUND(COUNTIFS(MASTER!$B$4:$B$1463,$E$4,MASTER!$L$4:$L$1463,"&lt;&gt;")*$A108*100/100,0)),MASTER!$AI$4:$AI$1463,0))),NA()))))</f>
        <v>4037</v>
      </c>
    </row>
    <row r="109" spans="1:17" hidden="1">
      <c r="A109" s="36">
        <v>0.54</v>
      </c>
      <c r="B109" s="37">
        <f>IF($B$4="RESONANCE",IFERROR(IF(INDEX(MASTER!$I$4:$I$1463,MATCH("FUCT"&amp;"|"&amp;MAX(1,ROUND(COUNTIFS(MASTER!$B$4:$B$1463,"FUCT",MASTER!$I$4:$I$1463,"&lt;&gt;")*$A109*100/100,0)),MASTER!$Y$4:$Y$1463,0))="",NA(),INDEX(MASTER!$I$4:$I$1463,MATCH("FUCT"&amp;"|"&amp;MAX(1,ROUND(COUNTIFS(MASTER!$B$4:$B$1463,"FUCT",MASTER!$I$4:$I$1463,"&lt;&gt;")*$A109*100/100,0)),MASTER!$Y$4:$Y$1463,0))),NA()),IF($B$4="COMBAT RATING",IFERROR(IF(INDEX(MASTER!$G$4:$G$1463,MATCH("FUCT"&amp;"|"&amp;MAX(1,ROUND(COUNTIFS(MASTER!$B$4:$B$1463,"FUCT",MASTER!$G$4:$G$1463,"&lt;&gt;")*$A109*100/100,0)),MASTER!$AH$4:$AH$1463,0))="",NA(),INDEX(MASTER!$G$4:$G$1463,MATCH("FUCT"&amp;"|"&amp;MAX(1,ROUND(COUNTIFS(MASTER!$B$4:$B$1463,"FUCT",MASTER!$G$4:$G$1463,"&lt;&gt;")*$A109*100/100,0)),MASTER!$AH$4:$AH$1463,0))),NA()),IF($B$4="SECONDARY",IFERROR(IF(INDEX(MASTER!$L$4:$L$1463,MATCH("FUCT"&amp;"|"&amp;MAX(1,ROUND(COUNTIFS(MASTER!$B$4:$B$1463,"FUCT",MASTER!$L$4:$L$1463,"&lt;&gt;")*$A109*100/100,0)),MASTER!$AI$4:$AI$1463,0))="",NA(),INDEX(MASTER!$L$4:$L$1463,MATCH("FUCT"&amp;"|"&amp;MAX(1,ROUND(COUNTIFS(MASTER!$B$4:$B$1463,"FUCT",MASTER!$L$4:$L$1463,"&lt;&gt;")*$A109*100/100,0)),MASTER!$AI$4:$AI$1463,0))),NA()))))</f>
        <v>4306</v>
      </c>
      <c r="C109" s="37">
        <f>IF($B$4="RESONANCE",IFERROR(IF(INDEX(MASTER!$I$4:$I$1463,MATCH("LEGENDS"&amp;"|"&amp;MAX(1,ROUND(COUNTIFS(MASTER!$B$4:$B$1463,"LEGENDS",MASTER!$I$4:$I$1463,"&lt;&gt;")*$A109*100/100,0)),MASTER!$Y$4:$Y$1463,0))="",NA(),INDEX(MASTER!$I$4:$I$1463,MATCH("LEGENDS"&amp;"|"&amp;MAX(1,ROUND(COUNTIFS(MASTER!$B$4:$B$1463,"LEGENDS",MASTER!$I$4:$I$1463,"&lt;&gt;")*$A109*100/100,0)),MASTER!$Y$4:$Y$1463,0))),NA()),IF($B$4="COMBAT RATING",IFERROR(IF(INDEX(MASTER!$G$4:$G$1463,MATCH("LEGENDS"&amp;"|"&amp;MAX(1,ROUND(COUNTIFS(MASTER!$B$4:$B$1463,"LEGENDS",MASTER!$G$4:$G$1463,"&lt;&gt;")*$A109*100/100,0)),MASTER!$AH$4:$AH$1463,0))="",NA(),INDEX(MASTER!$G$4:$G$1463,MATCH("LEGENDS"&amp;"|"&amp;MAX(1,ROUND(COUNTIFS(MASTER!$B$4:$B$1463,"LEGENDS",MASTER!$G$4:$G$1463,"&lt;&gt;")*$A109*100/100,0)),MASTER!$AH$4:$AH$1463,0))),NA()),IF($B$4="SECONDARY",IFERROR(IF(INDEX(MASTER!$L$4:$L$1463,MATCH("LEGENDS"&amp;"|"&amp;MAX(1,ROUND(COUNTIFS(MASTER!$B$4:$B$1463,"LEGENDS",MASTER!$L$4:$L$1463,"&lt;&gt;")*$A109*100/100,0)),MASTER!$AI$4:$AI$1463,0))="",NA(),INDEX(MASTER!$L$4:$L$1463,MATCH("LEGENDS"&amp;"|"&amp;MAX(1,ROUND(COUNTIFS(MASTER!$B$4:$B$1463,"LEGENDS",MASTER!$L$4:$L$1463,"&lt;&gt;")*$A109*100/100,0)),MASTER!$AI$4:$AI$1463,0))),NA()))))</f>
        <v>5001</v>
      </c>
      <c r="D109" s="37">
        <f>IF($B$4="RESONANCE",IFERROR(IF(INDEX(MASTER!$I$4:$I$1463,MATCH("VANGUARD"&amp;"|"&amp;MAX(1,ROUND(COUNTIFS(MASTER!$B$4:$B$1463,"VANGUARD",MASTER!$I$4:$I$1463,"&lt;&gt;")*$A109*100/100,0)),MASTER!$Y$4:$Y$1463,0))="",NA(),INDEX(MASTER!$I$4:$I$1463,MATCH("VANGUARD"&amp;"|"&amp;MAX(1,ROUND(COUNTIFS(MASTER!$B$4:$B$1463,"VANGUARD",MASTER!$I$4:$I$1463,"&lt;&gt;")*$A109*100/100,0)),MASTER!$Y$4:$Y$1463,0))),NA()),IF($B$4="COMBAT RATING",IFERROR(IF(INDEX(MASTER!$G$4:$G$1463,MATCH("VANGUARD"&amp;"|"&amp;MAX(1,ROUND(COUNTIFS(MASTER!$B$4:$B$1463,"VANGUARD",MASTER!$G$4:$G$1463,"&lt;&gt;")*$A109*100/100,0)),MASTER!$AH$4:$AH$1463,0))="",NA(),INDEX(MASTER!$G$4:$G$1463,MATCH("VANGUARD"&amp;"|"&amp;MAX(1,ROUND(COUNTIFS(MASTER!$B$4:$B$1463,"VANGUARD",MASTER!$G$4:$G$1463,"&lt;&gt;")*$A109*100/100,0)),MASTER!$AH$4:$AH$1463,0))),NA()),IF($B$4="SECONDARY",IFERROR(IF(INDEX(MASTER!$L$4:$L$1463,MATCH("VANGUARD"&amp;"|"&amp;MAX(1,ROUND(COUNTIFS(MASTER!$B$4:$B$1463,"VANGUARD",MASTER!$L$4:$L$1463,"&lt;&gt;")*$A109*100/100,0)),MASTER!$AI$4:$AI$1463,0))="",NA(),INDEX(MASTER!$L$4:$L$1463,MATCH("VANGUARD"&amp;"|"&amp;MAX(1,ROUND(COUNTIFS(MASTER!$B$4:$B$1463,"VANGUARD",MASTER!$L$4:$L$1463,"&lt;&gt;")*$A109*100/100,0)),MASTER!$AI$4:$AI$1463,0))),NA()))))</f>
        <v>6343</v>
      </c>
      <c r="E109" s="37">
        <f>IF($B$4="RESONANCE",IFERROR(IF(INDEX(MASTER!$I$4:$I$1463,MATCH("UNDYING"&amp;"|"&amp;MAX(1,ROUND(COUNTIFS(MASTER!$B$4:$B$1463,"UNDYING",MASTER!$I$4:$I$1463,"&lt;&gt;")*$A109*100/100,0)),MASTER!$Y$4:$Y$1463,0))="",NA(),INDEX(MASTER!$I$4:$I$1463,MATCH("UNDYING"&amp;"|"&amp;MAX(1,ROUND(COUNTIFS(MASTER!$B$4:$B$1463,"UNDYING",MASTER!$I$4:$I$1463,"&lt;&gt;")*$A109*100/100,0)),MASTER!$Y$4:$Y$1463,0))),NA()),IF($B$4="COMBAT RATING",IFERROR(IF(INDEX(MASTER!$G$4:$G$1463,MATCH("UNDYING"&amp;"|"&amp;MAX(1,ROUND(COUNTIFS(MASTER!$B$4:$B$1463,"UNDYING",MASTER!$G$4:$G$1463,"&lt;&gt;")*$A109*100/100,0)),MASTER!$AH$4:$AH$1463,0))="",NA(),INDEX(MASTER!$G$4:$G$1463,MATCH("UNDYING"&amp;"|"&amp;MAX(1,ROUND(COUNTIFS(MASTER!$B$4:$B$1463,"UNDYING",MASTER!$G$4:$G$1463,"&lt;&gt;")*$A109*100/100,0)),MASTER!$AH$4:$AH$1463,0))),NA()),IF($B$4="SECONDARY",IFERROR(IF(INDEX(MASTER!$L$4:$L$1463,MATCH("UNDYING"&amp;"|"&amp;MAX(1,ROUND(COUNTIFS(MASTER!$B$4:$B$1463,"UNDYING",MASTER!$L$4:$L$1463,"&lt;&gt;")*$A109*100/100,0)),MASTER!$AI$4:$AI$1463,0))="",NA(),INDEX(MASTER!$L$4:$L$1463,MATCH("UNDYING"&amp;"|"&amp;MAX(1,ROUND(COUNTIFS(MASTER!$B$4:$B$1463,"UNDYING",MASTER!$L$4:$L$1463,"&lt;&gt;")*$A109*100/100,0)),MASTER!$AI$4:$AI$1463,0))),NA()))))</f>
        <v>4009</v>
      </c>
      <c r="F109" s="37">
        <f>IF($B$4="RESONANCE",IFERROR(IF(INDEX(MASTER!$I$4:$I$1463,MATCH("SBG"&amp;"|"&amp;MAX(1,ROUND(COUNTIFS(MASTER!$B$4:$B$1463,"SBG",MASTER!$I$4:$I$1463,"&lt;&gt;")*$A109*100/100,0)),MASTER!$Y$4:$Y$1463,0))="",NA(),INDEX(MASTER!$I$4:$I$1463,MATCH("SBG"&amp;"|"&amp;MAX(1,ROUND(COUNTIFS(MASTER!$B$4:$B$1463,"SBG",MASTER!$I$4:$I$1463,"&lt;&gt;")*$A109*100/100,0)),MASTER!$Y$4:$Y$1463,0))),NA()),IF($B$4="COMBAT RATING",IFERROR(IF(INDEX(MASTER!$G$4:$G$1463,MATCH("SBG"&amp;"|"&amp;MAX(1,ROUND(COUNTIFS(MASTER!$B$4:$B$1463,"SBG",MASTER!$G$4:$G$1463,"&lt;&gt;")*$A109*100/100,0)),MASTER!$AH$4:$AH$1463,0))="",NA(),INDEX(MASTER!$G$4:$G$1463,MATCH("SBG"&amp;"|"&amp;MAX(1,ROUND(COUNTIFS(MASTER!$B$4:$B$1463,"SBG",MASTER!$G$4:$G$1463,"&lt;&gt;")*$A109*100/100,0)),MASTER!$AH$4:$AH$1463,0))),NA()),IF($B$4="SECONDARY",IFERROR(IF(INDEX(MASTER!$L$4:$L$1463,MATCH("SBG"&amp;"|"&amp;MAX(1,ROUND(COUNTIFS(MASTER!$B$4:$B$1463,"SBG",MASTER!$L$4:$L$1463,"&lt;&gt;")*$A109*100/100,0)),MASTER!$AI$4:$AI$1463,0))="",NA(),INDEX(MASTER!$L$4:$L$1463,MATCH("SBG"&amp;"|"&amp;MAX(1,ROUND(COUNTIFS(MASTER!$B$4:$B$1463,"SBG",MASTER!$L$4:$L$1463,"&lt;&gt;")*$A109*100/100,0)),MASTER!$AI$4:$AI$1463,0))),NA()))))</f>
        <v>5357</v>
      </c>
      <c r="G109" s="37">
        <f>IF($B$4="RESONANCE",IFERROR(IF(INDEX(MASTER!$I$4:$I$1463,MATCH("AZUKI"&amp;"|"&amp;MAX(1,ROUND(COUNTIFS(MASTER!$B$4:$B$1463,"AZUKI",MASTER!$I$4:$I$1463,"&lt;&gt;")*$A109*100/100,0)),MASTER!$Y$4:$Y$1463,0))="",NA(),INDEX(MASTER!$I$4:$I$1463,MATCH("AZUKI"&amp;"|"&amp;MAX(1,ROUND(COUNTIFS(MASTER!$B$4:$B$1463,"AZUKI",MASTER!$I$4:$I$1463,"&lt;&gt;")*$A109*100/100,0)),MASTER!$Y$4:$Y$1463,0))),NA()),IF($B$4="COMBAT RATING",IFERROR(IF(INDEX(MASTER!$G$4:$G$1463,MATCH("AZUKI"&amp;"|"&amp;MAX(1,ROUND(COUNTIFS(MASTER!$B$4:$B$1463,"AZUKI",MASTER!$G$4:$G$1463,"&lt;&gt;")*$A109*100/100,0)),MASTER!$AH$4:$AH$1463,0))="",NA(),INDEX(MASTER!$G$4:$G$1463,MATCH("AZUKI"&amp;"|"&amp;MAX(1,ROUND(COUNTIFS(MASTER!$B$4:$B$1463,"AZUKI",MASTER!$G$4:$G$1463,"&lt;&gt;")*$A109*100/100,0)),MASTER!$AH$4:$AH$1463,0))),NA()),IF($B$4="SECONDARY",IFERROR(IF(INDEX(MASTER!$L$4:$L$1463,MATCH("AZUKI"&amp;"|"&amp;MAX(1,ROUND(COUNTIFS(MASTER!$B$4:$B$1463,"AZUKI",MASTER!$L$4:$L$1463,"&lt;&gt;")*$A109*100/100,0)),MASTER!$AI$4:$AI$1463,0))="",NA(),INDEX(MASTER!$L$4:$L$1463,MATCH("AZUKI"&amp;"|"&amp;MAX(1,ROUND(COUNTIFS(MASTER!$B$4:$B$1463,"AZUKI",MASTER!$L$4:$L$1463,"&lt;&gt;")*$A109*100/100,0)),MASTER!$AI$4:$AI$1463,0))),NA()))))</f>
        <v>4580</v>
      </c>
      <c r="H109" s="37">
        <f>IF($B$4="RESONANCE",IFERROR(IF(INDEX(MASTER!$I$4:$I$1463,MATCH("RECKONING"&amp;"|"&amp;MAX(1,ROUND(COUNTIFS(MASTER!$B$4:$B$1463,"RECKONING",MASTER!$I$4:$I$1463,"&lt;&gt;")*$A109*100/100,0)),MASTER!$Y$4:$Y$1463,0))="",NA(),INDEX(MASTER!$I$4:$I$1463,MATCH("RECKONING"&amp;"|"&amp;MAX(1,ROUND(COUNTIFS(MASTER!$B$4:$B$1463,"RECKONING",MASTER!$I$4:$I$1463,"&lt;&gt;")*$A109*100/100,0)),MASTER!$Y$4:$Y$1463,0))),NA()),IF($B$4="COMBAT RATING",IFERROR(IF(INDEX(MASTER!$G$4:$G$1463,MATCH("RECKONING"&amp;"|"&amp;MAX(1,ROUND(COUNTIFS(MASTER!$B$4:$B$1463,"RECKONING",MASTER!$G$4:$G$1463,"&lt;&gt;")*$A109*100/100,0)),MASTER!$AH$4:$AH$1463,0))="",NA(),INDEX(MASTER!$G$4:$G$1463,MATCH("RECKONING"&amp;"|"&amp;MAX(1,ROUND(COUNTIFS(MASTER!$B$4:$B$1463,"RECKONING",MASTER!$G$4:$G$1463,"&lt;&gt;")*$A109*100/100,0)),MASTER!$AH$4:$AH$1463,0))),NA()),IF($B$4="SECONDARY",IFERROR(IF(INDEX(MASTER!$L$4:$L$1463,MATCH("RECKONING"&amp;"|"&amp;MAX(1,ROUND(COUNTIFS(MASTER!$B$4:$B$1463,"RECKONING",MASTER!$L$4:$L$1463,"&lt;&gt;")*$A109*100/100,0)),MASTER!$AI$4:$AI$1463,0))="",NA(),INDEX(MASTER!$L$4:$L$1463,MATCH("RECKONING"&amp;"|"&amp;MAX(1,ROUND(COUNTIFS(MASTER!$B$4:$B$1463,"RECKONING",MASTER!$L$4:$L$1463,"&lt;&gt;")*$A109*100/100,0)),MASTER!$AI$4:$AI$1463,0))),NA()))))</f>
        <v>4680</v>
      </c>
      <c r="I109" s="37">
        <f>IF($B$4="RESONANCE",IFERROR(IF(INDEX(MASTER!$I$4:$I$1463,MATCH("ACHERON"&amp;"|"&amp;MAX(1,ROUND(COUNTIFS(MASTER!$B$4:$B$1463,"ACHERON",MASTER!$I$4:$I$1463,"&lt;&gt;")*$A109*100/100,0)),MASTER!$Y$4:$Y$1463,0))="",NA(),INDEX(MASTER!$I$4:$I$1463,MATCH("ACHERON"&amp;"|"&amp;MAX(1,ROUND(COUNTIFS(MASTER!$B$4:$B$1463,"ACHERON",MASTER!$I$4:$I$1463,"&lt;&gt;")*$A109*100/100,0)),MASTER!$Y$4:$Y$1463,0))),NA()),IF($B$4="COMBAT RATING",IFERROR(IF(INDEX(MASTER!$G$4:$G$1463,MATCH("ACHERON"&amp;"|"&amp;MAX(1,ROUND(COUNTIFS(MASTER!$B$4:$B$1463,"ACHERON",MASTER!$G$4:$G$1463,"&lt;&gt;")*$A109*100/100,0)),MASTER!$AH$4:$AH$1463,0))="",NA(),INDEX(MASTER!$G$4:$G$1463,MATCH("ACHERON"&amp;"|"&amp;MAX(1,ROUND(COUNTIFS(MASTER!$B$4:$B$1463,"ACHERON",MASTER!$G$4:$G$1463,"&lt;&gt;")*$A109*100/100,0)),MASTER!$AH$4:$AH$1463,0))),NA()),IF($B$4="SECONDARY",IFERROR(IF(INDEX(MASTER!$L$4:$L$1463,MATCH("ACHERON"&amp;"|"&amp;MAX(1,ROUND(COUNTIFS(MASTER!$B$4:$B$1463,"ACHERON",MASTER!$L$4:$L$1463,"&lt;&gt;")*$A109*100/100,0)),MASTER!$AI$4:$AI$1463,0))="",NA(),INDEX(MASTER!$L$4:$L$1463,MATCH("ACHERON"&amp;"|"&amp;MAX(1,ROUND(COUNTIFS(MASTER!$B$4:$B$1463,"ACHERON",MASTER!$L$4:$L$1463,"&lt;&gt;")*$A109*100/100,0)),MASTER!$AI$4:$AI$1463,0))),NA()))))</f>
        <v>3544</v>
      </c>
      <c r="J109" s="37">
        <f>IF($B$4="RESONANCE",IFERROR(IF(INDEX(MASTER!$I$4:$I$1463,MATCH("INVICTUS"&amp;"|"&amp;MAX(1,ROUND(COUNTIFS(MASTER!$B$4:$B$1463,"INVICTUS",MASTER!$I$4:$I$1463,"&lt;&gt;")*$A109*100/100,0)),MASTER!$Y$4:$Y$1463,0))="",NA(),INDEX(MASTER!$I$4:$I$1463,MATCH("INVICTUS"&amp;"|"&amp;MAX(1,ROUND(COUNTIFS(MASTER!$B$4:$B$1463,"INVICTUS",MASTER!$I$4:$I$1463,"&lt;&gt;")*$A109*100/100,0)),MASTER!$Y$4:$Y$1463,0))),NA()),IF($B$4="COMBAT RATING",IFERROR(IF(INDEX(MASTER!$G$4:$G$1463,MATCH("INVICTUS"&amp;"|"&amp;MAX(1,ROUND(COUNTIFS(MASTER!$B$4:$B$1463,"INVICTUS",MASTER!$G$4:$G$1463,"&lt;&gt;")*$A109*100/100,0)),MASTER!$AH$4:$AH$1463,0))="",NA(),INDEX(MASTER!$G$4:$G$1463,MATCH("INVICTUS"&amp;"|"&amp;MAX(1,ROUND(COUNTIFS(MASTER!$B$4:$B$1463,"INVICTUS",MASTER!$G$4:$G$1463,"&lt;&gt;")*$A109*100/100,0)),MASTER!$AH$4:$AH$1463,0))),NA()),IF($B$4="SECONDARY",IFERROR(IF(INDEX(MASTER!$L$4:$L$1463,MATCH("INVICTUS"&amp;"|"&amp;MAX(1,ROUND(COUNTIFS(MASTER!$B$4:$B$1463,"INVICTUS",MASTER!$L$4:$L$1463,"&lt;&gt;")*$A109*100/100,0)),MASTER!$AI$4:$AI$1463,0))="",NA(),INDEX(MASTER!$L$4:$L$1463,MATCH("INVICTUS"&amp;"|"&amp;MAX(1,ROUND(COUNTIFS(MASTER!$B$4:$B$1463,"INVICTUS",MASTER!$L$4:$L$1463,"&lt;&gt;")*$A109*100/100,0)),MASTER!$AI$4:$AI$1463,0))),NA()))))</f>
        <v>2959</v>
      </c>
      <c r="K109" s="37">
        <f>IF($B$4="RESONANCE",IFERROR(IF(INDEX(MASTER!$I$4:$I$1463,MATCH("EMERALD LEAF TRIBE"&amp;"|"&amp;MAX(1,ROUND(COUNTIFS(MASTER!$B$4:$B$1463,"EMERALD LEAF TRIBE",MASTER!$I$4:$I$1463,"&lt;&gt;")*$A109*100/100,0)),MASTER!$Y$4:$Y$1463,0))="",NA(),INDEX(MASTER!$I$4:$I$1463,MATCH("EMERALD LEAF TRIBE"&amp;"|"&amp;MAX(1,ROUND(COUNTIFS(MASTER!$B$4:$B$1463,"EMERALD LEAF TRIBE",MASTER!$I$4:$I$1463,"&lt;&gt;")*$A109*100/100,0)),MASTER!$Y$4:$Y$1463,0))),NA()),IF($B$4="COMBAT RATING",IFERROR(IF(INDEX(MASTER!$G$4:$G$1463,MATCH("EMERALD LEAF TRIBE"&amp;"|"&amp;MAX(1,ROUND(COUNTIFS(MASTER!$B$4:$B$1463,"EMERALD LEAF TRIBE",MASTER!$G$4:$G$1463,"&lt;&gt;")*$A109*100/100,0)),MASTER!$AH$4:$AH$1463,0))="",NA(),INDEX(MASTER!$G$4:$G$1463,MATCH("EMERALD LEAF TRIBE"&amp;"|"&amp;MAX(1,ROUND(COUNTIFS(MASTER!$B$4:$B$1463,"EMERALD LEAF TRIBE",MASTER!$G$4:$G$1463,"&lt;&gt;")*$A109*100/100,0)),MASTER!$AH$4:$AH$1463,0))),NA()),IF($B$4="SECONDARY",IFERROR(IF(INDEX(MASTER!$L$4:$L$1463,MATCH("EMERALD LEAF TRIBE"&amp;"|"&amp;MAX(1,ROUND(COUNTIFS(MASTER!$B$4:$B$1463,"EMERALD LEAF TRIBE",MASTER!$L$4:$L$1463,"&lt;&gt;")*$A109*100/100,0)),MASTER!$AI$4:$AI$1463,0))="",NA(),INDEX(MASTER!$L$4:$L$1463,MATCH("EMERALD LEAF TRIBE"&amp;"|"&amp;MAX(1,ROUND(COUNTIFS(MASTER!$B$4:$B$1463,"EMERALD LEAF TRIBE",MASTER!$L$4:$L$1463,"&lt;&gt;")*$A109*100/100,0)),MASTER!$AI$4:$AI$1463,0))),NA()))))</f>
        <v>2110</v>
      </c>
      <c r="L109" s="37">
        <f>IF($B$4="RESONANCE",IFERROR(IF(INDEX(MASTER!$I$4:$I$1463,MATCH("SUB ROSA"&amp;"|"&amp;MAX(1,ROUND(COUNTIFS(MASTER!$B$4:$B$1463,"SUB ROSA",MASTER!$I$4:$I$1463,"&lt;&gt;")*$A109*100/100,0)),MASTER!$Y$4:$Y$1463,0))="",NA(),INDEX(MASTER!$I$4:$I$1463,MATCH("SUB ROSA"&amp;"|"&amp;MAX(1,ROUND(COUNTIFS(MASTER!$B$4:$B$1463,"SUB ROSA",MASTER!$I$4:$I$1463,"&lt;&gt;")*$A109*100/100,0)),MASTER!$Y$4:$Y$1463,0))),NA()),IF($B$4="COMBAT RATING",IFERROR(IF(INDEX(MASTER!$G$4:$G$1463,MATCH("SUB ROSA"&amp;"|"&amp;MAX(1,ROUND(COUNTIFS(MASTER!$B$4:$B$1463,"SUB ROSA",MASTER!$G$4:$G$1463,"&lt;&gt;")*$A109*100/100,0)),MASTER!$AH$4:$AH$1463,0))="",NA(),INDEX(MASTER!$G$4:$G$1463,MATCH("SUB ROSA"&amp;"|"&amp;MAX(1,ROUND(COUNTIFS(MASTER!$B$4:$B$1463,"SUB ROSA",MASTER!$G$4:$G$1463,"&lt;&gt;")*$A109*100/100,0)),MASTER!$AH$4:$AH$1463,0))),NA()),IF($B$4="SECONDARY",IFERROR(IF(INDEX(MASTER!$L$4:$L$1463,MATCH("SUB ROSA"&amp;"|"&amp;MAX(1,ROUND(COUNTIFS(MASTER!$B$4:$B$1463,"SUB ROSA",MASTER!$L$4:$L$1463,"&lt;&gt;")*$A109*100/100,0)),MASTER!$AI$4:$AI$1463,0))="",NA(),INDEX(MASTER!$L$4:$L$1463,MATCH("SUB ROSA"&amp;"|"&amp;MAX(1,ROUND(COUNTIFS(MASTER!$B$4:$B$1463,"SUB ROSA",MASTER!$L$4:$L$1463,"&lt;&gt;")*$A109*100/100,0)),MASTER!$AI$4:$AI$1463,0))),NA()))))</f>
        <v>2308</v>
      </c>
      <c r="M109" s="37">
        <f>IF($B$4="RESONANCE",IFERROR(IF(INDEX(MASTER!$I$4:$I$1463,MATCH("VENGEANCE"&amp;"|"&amp;MAX(1,ROUND(COUNTIFS(MASTER!$B$4:$B$1463,"VENGEANCE",MASTER!$I$4:$I$1463,"&lt;&gt;")*$A109*100/100,0)),MASTER!$Y$4:$Y$1463,0))="",NA(),INDEX(MASTER!$I$4:$I$1463,MATCH("VENGEANCE"&amp;"|"&amp;MAX(1,ROUND(COUNTIFS(MASTER!$B$4:$B$1463,"VENGEANCE",MASTER!$I$4:$I$1463,"&lt;&gt;")*$A109*100/100,0)),MASTER!$Y$4:$Y$1463,0))),NA()),IF($B$4="COMBAT RATING",IFERROR(IF(INDEX(MASTER!$G$4:$G$1463,MATCH("VENGEANCE"&amp;"|"&amp;MAX(1,ROUND(COUNTIFS(MASTER!$B$4:$B$1463,"VENGEANCE",MASTER!$G$4:$G$1463,"&lt;&gt;")*$A109*100/100,0)),MASTER!$AH$4:$AH$1463,0))="",NA(),INDEX(MASTER!$G$4:$G$1463,MATCH("VENGEANCE"&amp;"|"&amp;MAX(1,ROUND(COUNTIFS(MASTER!$B$4:$B$1463,"VENGEANCE",MASTER!$G$4:$G$1463,"&lt;&gt;")*$A109*100/100,0)),MASTER!$AH$4:$AH$1463,0))),NA()),IF($B$4="SECONDARY",IFERROR(IF(INDEX(MASTER!$L$4:$L$1463,MATCH("VENGEANCE"&amp;"|"&amp;MAX(1,ROUND(COUNTIFS(MASTER!$B$4:$B$1463,"VENGEANCE",MASTER!$L$4:$L$1463,"&lt;&gt;")*$A109*100/100,0)),MASTER!$AI$4:$AI$1463,0))="",NA(),INDEX(MASTER!$L$4:$L$1463,MATCH("VENGEANCE"&amp;"|"&amp;MAX(1,ROUND(COUNTIFS(MASTER!$B$4:$B$1463,"VENGEANCE",MASTER!$L$4:$L$1463,"&lt;&gt;")*$A109*100/100,0)),MASTER!$AI$4:$AI$1463,0))),NA()))))</f>
        <v>3299</v>
      </c>
      <c r="N109" s="37">
        <f>IF($B$4="RESONANCE",IFERROR(IF(INDEX(MASTER!$I$4:$I$1463,MATCH("VENDETTA"&amp;"|"&amp;MAX(1,ROUND(COUNTIFS(MASTER!$B$4:$B$1463,"VENDETTA",MASTER!$I$4:$I$1463,"&lt;&gt;")*$A109*100/100,0)),MASTER!$Y$4:$Y$1463,0))="",NA(),INDEX(MASTER!$I$4:$I$1463,MATCH("VENDETTA"&amp;"|"&amp;MAX(1,ROUND(COUNTIFS(MASTER!$B$4:$B$1463,"VENDETTA",MASTER!$I$4:$I$1463,"&lt;&gt;")*$A109*100/100,0)),MASTER!$Y$4:$Y$1463,0))),NA()),IF($B$4="COMBAT RATING",IFERROR(IF(INDEX(MASTER!$G$4:$G$1463,MATCH("VENDETTA"&amp;"|"&amp;MAX(1,ROUND(COUNTIFS(MASTER!$B$4:$B$1463,"VENDETTA",MASTER!$G$4:$G$1463,"&lt;&gt;")*$A109*100/100,0)),MASTER!$AH$4:$AH$1463,0))="",NA(),INDEX(MASTER!$G$4:$G$1463,MATCH("VENDETTA"&amp;"|"&amp;MAX(1,ROUND(COUNTIFS(MASTER!$B$4:$B$1463,"VENDETTA",MASTER!$G$4:$G$1463,"&lt;&gt;")*$A109*100/100,0)),MASTER!$AH$4:$AH$1463,0))),NA()),IF($B$4="SECONDARY",IFERROR(IF(INDEX(MASTER!$L$4:$L$1463,MATCH("VENDETTA"&amp;"|"&amp;MAX(1,ROUND(COUNTIFS(MASTER!$B$4:$B$1463,"VENDETTA",MASTER!$L$4:$L$1463,"&lt;&gt;")*$A109*100/100,0)),MASTER!$AI$4:$AI$1463,0))="",NA(),INDEX(MASTER!$L$4:$L$1463,MATCH("VENDETTA"&amp;"|"&amp;MAX(1,ROUND(COUNTIFS(MASTER!$B$4:$B$1463,"VENDETTA",MASTER!$L$4:$L$1463,"&lt;&gt;")*$A109*100/100,0)),MASTER!$AI$4:$AI$1463,0))),NA()))))</f>
        <v>1960</v>
      </c>
      <c r="O109" s="37">
        <f>IF($B$4="RESONANCE",IFERROR(IF(INDEX(MASTER!$I$4:$I$1463,MATCH("ZOMBIES"&amp;"|"&amp;MAX(1,ROUND(COUNTIFS(MASTER!$B$4:$B$1463,"ZOMBIES",MASTER!$I$4:$I$1463,"&lt;&gt;")*$A109*100/100,0)),MASTER!$Y$4:$Y$1463,0))="",NA(),INDEX(MASTER!$I$4:$I$1463,MATCH("ZOMBIES"&amp;"|"&amp;MAX(1,ROUND(COUNTIFS(MASTER!$B$4:$B$1463,"ZOMBIES",MASTER!$I$4:$I$1463,"&lt;&gt;")*$A109*100/100,0)),MASTER!$Y$4:$Y$1463,0))),NA()),IF($B$4="COMBAT RATING",IFERROR(IF(INDEX(MASTER!$G$4:$G$1463,MATCH("ZOMBIES"&amp;"|"&amp;MAX(1,ROUND(COUNTIFS(MASTER!$B$4:$B$1463,"ZOMBIES",MASTER!$G$4:$G$1463,"&lt;&gt;")*$A109*100/100,0)),MASTER!$AH$4:$AH$1463,0))="",NA(),INDEX(MASTER!$G$4:$G$1463,MATCH("ZOMBIES"&amp;"|"&amp;MAX(1,ROUND(COUNTIFS(MASTER!$B$4:$B$1463,"ZOMBIES",MASTER!$G$4:$G$1463,"&lt;&gt;")*$A109*100/100,0)),MASTER!$AH$4:$AH$1463,0))),NA()),IF($B$4="SECONDARY",IFERROR(IF(INDEX(MASTER!$L$4:$L$1463,MATCH("ZOMBIES"&amp;"|"&amp;MAX(1,ROUND(COUNTIFS(MASTER!$B$4:$B$1463,"ZOMBIES",MASTER!$L$4:$L$1463,"&lt;&gt;")*$A109*100/100,0)),MASTER!$AI$4:$AI$1463,0))="",NA(),INDEX(MASTER!$L$4:$L$1463,MATCH("ZOMBIES"&amp;"|"&amp;MAX(1,ROUND(COUNTIFS(MASTER!$B$4:$B$1463,"ZOMBIES",MASTER!$L$4:$L$1463,"&lt;&gt;")*$A109*100/100,0)),MASTER!$AI$4:$AI$1463,0))),NA()))))</f>
        <v>1630</v>
      </c>
      <c r="P109" s="37">
        <f>IF($B$4="RESONANCE",IFERROR(IF(INDEX(MASTER!$I$4:$I$1463,MATCH("FUCT"&amp;"|"&amp;MAX(1,ROUND(COUNTIFS(MASTER!$B$4:$B$1463,"FUCT",MASTER!$I$4:$I$1463,"&lt;&gt;")*$A109*100/100,0)),MASTER!$Y$4:$Y$1463,0))="",NA(),INDEX(MASTER!$I$4:$I$1463,MATCH("FUCT"&amp;"|"&amp;MAX(1,ROUND(COUNTIFS(MASTER!$B$4:$B$1463,"FUCT",MASTER!$I$4:$I$1463,"&lt;&gt;")*$A109*100/100,0)),MASTER!$Y$4:$Y$1463,0))),NA()),IF($B$4="COMBAT RATING",IFERROR(IF(INDEX(MASTER!$G$4:$G$1463,MATCH("FUCT"&amp;"|"&amp;MAX(1,ROUND(COUNTIFS(MASTER!$B$4:$B$1463,"FUCT",MASTER!$G$4:$G$1463,"&lt;&gt;")*$A109*100/100,0)),MASTER!$AH$4:$AH$1463,0))="",NA(),INDEX(MASTER!$G$4:$G$1463,MATCH("FUCT"&amp;"|"&amp;MAX(1,ROUND(COUNTIFS(MASTER!$B$4:$B$1463,"FUCT",MASTER!$G$4:$G$1463,"&lt;&gt;")*$A109*100/100,0)),MASTER!$AH$4:$AH$1463,0))),NA()),IF($B$4="SECONDARY",IFERROR(IF(INDEX(MASTER!$L$4:$L$1463,MATCH("FUCT"&amp;"|"&amp;MAX(1,ROUND(COUNTIFS(MASTER!$B$4:$B$1463,"FUCT",MASTER!$L$4:$L$1463,"&lt;&gt;")*$A109*100/100,0)),MASTER!$AI$4:$AI$1463,0))="",NA(),INDEX(MASTER!$L$4:$L$1463,MATCH("FUCT"&amp;"|"&amp;MAX(1,ROUND(COUNTIFS(MASTER!$B$4:$B$1463,"FUCT",MASTER!$L$4:$L$1463,"&lt;&gt;")*$A109*100/100,0)),MASTER!$AI$4:$AI$1463,0))),NA()))))</f>
        <v>4306</v>
      </c>
      <c r="Q109" s="37">
        <f>IF($B$4="RESONANCE",IFERROR(IF(INDEX(MASTER!$I$4:$I$1463,MATCH($E$4&amp;"|"&amp;MAX(1,ROUND(COUNTIFS(MASTER!$B$4:$B$1463,$E$4,MASTER!$I$4:$I$1463,"&lt;&gt;")*$A109*100/100,0)),MASTER!$Y$4:$Y$1463,0))="",NA(),INDEX(MASTER!$I$4:$I$1463,MATCH($E$4&amp;"|"&amp;MAX(1,ROUND(COUNTIFS(MASTER!$B$4:$B$1463,$E$4,MASTER!$I$4:$I$1463,"&lt;&gt;")*$A109*100/100,0)),MASTER!$Y$4:$Y$1463,0))),NA()),IF($B$4="COMBAT RATING",IFERROR(IF(INDEX(MASTER!$G$4:$G$1463,MATCH($E$4&amp;"|"&amp;MAX(1,ROUND(COUNTIFS(MASTER!$B$4:$B$1463,$E$4,MASTER!$G$4:$G$1463,"&lt;&gt;")*$A109*100/100,0)),MASTER!$AH$4:$AH$1463,0))="",NA(),INDEX(MASTER!$G$4:$G$1463,MATCH($E$4&amp;"|"&amp;MAX(1,ROUND(COUNTIFS(MASTER!$B$4:$B$1463,$E$4,MASTER!$G$4:$G$1463,"&lt;&gt;")*$A109*100/100,0)),MASTER!$AH$4:$AH$1463,0))),NA()),IF($B$4="SECONDARY",IFERROR(IF(INDEX(MASTER!$L$4:$L$1463,MATCH($E$4&amp;"|"&amp;MAX(1,ROUND(COUNTIFS(MASTER!$B$4:$B$1463,$E$4,MASTER!$L$4:$L$1463,"&lt;&gt;")*$A109*100/100,0)),MASTER!$AI$4:$AI$1463,0))="",NA(),INDEX(MASTER!$L$4:$L$1463,MATCH($E$4&amp;"|"&amp;MAX(1,ROUND(COUNTIFS(MASTER!$B$4:$B$1463,$E$4,MASTER!$L$4:$L$1463,"&lt;&gt;")*$A109*100/100,0)),MASTER!$AI$4:$AI$1463,0))),NA()))))</f>
        <v>4009</v>
      </c>
    </row>
    <row r="110" spans="1:17" hidden="1">
      <c r="A110" s="36">
        <v>0.55000000000000004</v>
      </c>
      <c r="B110" s="37">
        <f>IF($B$4="RESONANCE",IFERROR(IF(INDEX(MASTER!$I$4:$I$1463,MATCH("FUCT"&amp;"|"&amp;MAX(1,ROUND(COUNTIFS(MASTER!$B$4:$B$1463,"FUCT",MASTER!$I$4:$I$1463,"&lt;&gt;")*$A110*100/100,0)),MASTER!$Y$4:$Y$1463,0))="",NA(),INDEX(MASTER!$I$4:$I$1463,MATCH("FUCT"&amp;"|"&amp;MAX(1,ROUND(COUNTIFS(MASTER!$B$4:$B$1463,"FUCT",MASTER!$I$4:$I$1463,"&lt;&gt;")*$A110*100/100,0)),MASTER!$Y$4:$Y$1463,0))),NA()),IF($B$4="COMBAT RATING",IFERROR(IF(INDEX(MASTER!$G$4:$G$1463,MATCH("FUCT"&amp;"|"&amp;MAX(1,ROUND(COUNTIFS(MASTER!$B$4:$B$1463,"FUCT",MASTER!$G$4:$G$1463,"&lt;&gt;")*$A110*100/100,0)),MASTER!$AH$4:$AH$1463,0))="",NA(),INDEX(MASTER!$G$4:$G$1463,MATCH("FUCT"&amp;"|"&amp;MAX(1,ROUND(COUNTIFS(MASTER!$B$4:$B$1463,"FUCT",MASTER!$G$4:$G$1463,"&lt;&gt;")*$A110*100/100,0)),MASTER!$AH$4:$AH$1463,0))),NA()),IF($B$4="SECONDARY",IFERROR(IF(INDEX(MASTER!$L$4:$L$1463,MATCH("FUCT"&amp;"|"&amp;MAX(1,ROUND(COUNTIFS(MASTER!$B$4:$B$1463,"FUCT",MASTER!$L$4:$L$1463,"&lt;&gt;")*$A110*100/100,0)),MASTER!$AI$4:$AI$1463,0))="",NA(),INDEX(MASTER!$L$4:$L$1463,MATCH("FUCT"&amp;"|"&amp;MAX(1,ROUND(COUNTIFS(MASTER!$B$4:$B$1463,"FUCT",MASTER!$L$4:$L$1463,"&lt;&gt;")*$A110*100/100,0)),MASTER!$AI$4:$AI$1463,0))),NA()))))</f>
        <v>4185</v>
      </c>
      <c r="C110" s="37">
        <f>IF($B$4="RESONANCE",IFERROR(IF(INDEX(MASTER!$I$4:$I$1463,MATCH("LEGENDS"&amp;"|"&amp;MAX(1,ROUND(COUNTIFS(MASTER!$B$4:$B$1463,"LEGENDS",MASTER!$I$4:$I$1463,"&lt;&gt;")*$A110*100/100,0)),MASTER!$Y$4:$Y$1463,0))="",NA(),INDEX(MASTER!$I$4:$I$1463,MATCH("LEGENDS"&amp;"|"&amp;MAX(1,ROUND(COUNTIFS(MASTER!$B$4:$B$1463,"LEGENDS",MASTER!$I$4:$I$1463,"&lt;&gt;")*$A110*100/100,0)),MASTER!$Y$4:$Y$1463,0))),NA()),IF($B$4="COMBAT RATING",IFERROR(IF(INDEX(MASTER!$G$4:$G$1463,MATCH("LEGENDS"&amp;"|"&amp;MAX(1,ROUND(COUNTIFS(MASTER!$B$4:$B$1463,"LEGENDS",MASTER!$G$4:$G$1463,"&lt;&gt;")*$A110*100/100,0)),MASTER!$AH$4:$AH$1463,0))="",NA(),INDEX(MASTER!$G$4:$G$1463,MATCH("LEGENDS"&amp;"|"&amp;MAX(1,ROUND(COUNTIFS(MASTER!$B$4:$B$1463,"LEGENDS",MASTER!$G$4:$G$1463,"&lt;&gt;")*$A110*100/100,0)),MASTER!$AH$4:$AH$1463,0))),NA()),IF($B$4="SECONDARY",IFERROR(IF(INDEX(MASTER!$L$4:$L$1463,MATCH("LEGENDS"&amp;"|"&amp;MAX(1,ROUND(COUNTIFS(MASTER!$B$4:$B$1463,"LEGENDS",MASTER!$L$4:$L$1463,"&lt;&gt;")*$A110*100/100,0)),MASTER!$AI$4:$AI$1463,0))="",NA(),INDEX(MASTER!$L$4:$L$1463,MATCH("LEGENDS"&amp;"|"&amp;MAX(1,ROUND(COUNTIFS(MASTER!$B$4:$B$1463,"LEGENDS",MASTER!$L$4:$L$1463,"&lt;&gt;")*$A110*100/100,0)),MASTER!$AI$4:$AI$1463,0))),NA()))))</f>
        <v>4962</v>
      </c>
      <c r="D110" s="37">
        <f>IF($B$4="RESONANCE",IFERROR(IF(INDEX(MASTER!$I$4:$I$1463,MATCH("VANGUARD"&amp;"|"&amp;MAX(1,ROUND(COUNTIFS(MASTER!$B$4:$B$1463,"VANGUARD",MASTER!$I$4:$I$1463,"&lt;&gt;")*$A110*100/100,0)),MASTER!$Y$4:$Y$1463,0))="",NA(),INDEX(MASTER!$I$4:$I$1463,MATCH("VANGUARD"&amp;"|"&amp;MAX(1,ROUND(COUNTIFS(MASTER!$B$4:$B$1463,"VANGUARD",MASTER!$I$4:$I$1463,"&lt;&gt;")*$A110*100/100,0)),MASTER!$Y$4:$Y$1463,0))),NA()),IF($B$4="COMBAT RATING",IFERROR(IF(INDEX(MASTER!$G$4:$G$1463,MATCH("VANGUARD"&amp;"|"&amp;MAX(1,ROUND(COUNTIFS(MASTER!$B$4:$B$1463,"VANGUARD",MASTER!$G$4:$G$1463,"&lt;&gt;")*$A110*100/100,0)),MASTER!$AH$4:$AH$1463,0))="",NA(),INDEX(MASTER!$G$4:$G$1463,MATCH("VANGUARD"&amp;"|"&amp;MAX(1,ROUND(COUNTIFS(MASTER!$B$4:$B$1463,"VANGUARD",MASTER!$G$4:$G$1463,"&lt;&gt;")*$A110*100/100,0)),MASTER!$AH$4:$AH$1463,0))),NA()),IF($B$4="SECONDARY",IFERROR(IF(INDEX(MASTER!$L$4:$L$1463,MATCH("VANGUARD"&amp;"|"&amp;MAX(1,ROUND(COUNTIFS(MASTER!$B$4:$B$1463,"VANGUARD",MASTER!$L$4:$L$1463,"&lt;&gt;")*$A110*100/100,0)),MASTER!$AI$4:$AI$1463,0))="",NA(),INDEX(MASTER!$L$4:$L$1463,MATCH("VANGUARD"&amp;"|"&amp;MAX(1,ROUND(COUNTIFS(MASTER!$B$4:$B$1463,"VANGUARD",MASTER!$L$4:$L$1463,"&lt;&gt;")*$A110*100/100,0)),MASTER!$AI$4:$AI$1463,0))),NA()))))</f>
        <v>6299</v>
      </c>
      <c r="E110" s="37">
        <f>IF($B$4="RESONANCE",IFERROR(IF(INDEX(MASTER!$I$4:$I$1463,MATCH("UNDYING"&amp;"|"&amp;MAX(1,ROUND(COUNTIFS(MASTER!$B$4:$B$1463,"UNDYING",MASTER!$I$4:$I$1463,"&lt;&gt;")*$A110*100/100,0)),MASTER!$Y$4:$Y$1463,0))="",NA(),INDEX(MASTER!$I$4:$I$1463,MATCH("UNDYING"&amp;"|"&amp;MAX(1,ROUND(COUNTIFS(MASTER!$B$4:$B$1463,"UNDYING",MASTER!$I$4:$I$1463,"&lt;&gt;")*$A110*100/100,0)),MASTER!$Y$4:$Y$1463,0))),NA()),IF($B$4="COMBAT RATING",IFERROR(IF(INDEX(MASTER!$G$4:$G$1463,MATCH("UNDYING"&amp;"|"&amp;MAX(1,ROUND(COUNTIFS(MASTER!$B$4:$B$1463,"UNDYING",MASTER!$G$4:$G$1463,"&lt;&gt;")*$A110*100/100,0)),MASTER!$AH$4:$AH$1463,0))="",NA(),INDEX(MASTER!$G$4:$G$1463,MATCH("UNDYING"&amp;"|"&amp;MAX(1,ROUND(COUNTIFS(MASTER!$B$4:$B$1463,"UNDYING",MASTER!$G$4:$G$1463,"&lt;&gt;")*$A110*100/100,0)),MASTER!$AH$4:$AH$1463,0))),NA()),IF($B$4="SECONDARY",IFERROR(IF(INDEX(MASTER!$L$4:$L$1463,MATCH("UNDYING"&amp;"|"&amp;MAX(1,ROUND(COUNTIFS(MASTER!$B$4:$B$1463,"UNDYING",MASTER!$L$4:$L$1463,"&lt;&gt;")*$A110*100/100,0)),MASTER!$AI$4:$AI$1463,0))="",NA(),INDEX(MASTER!$L$4:$L$1463,MATCH("UNDYING"&amp;"|"&amp;MAX(1,ROUND(COUNTIFS(MASTER!$B$4:$B$1463,"UNDYING",MASTER!$L$4:$L$1463,"&lt;&gt;")*$A110*100/100,0)),MASTER!$AI$4:$AI$1463,0))),NA()))))</f>
        <v>3990</v>
      </c>
      <c r="F110" s="37">
        <f>IF($B$4="RESONANCE",IFERROR(IF(INDEX(MASTER!$I$4:$I$1463,MATCH("SBG"&amp;"|"&amp;MAX(1,ROUND(COUNTIFS(MASTER!$B$4:$B$1463,"SBG",MASTER!$I$4:$I$1463,"&lt;&gt;")*$A110*100/100,0)),MASTER!$Y$4:$Y$1463,0))="",NA(),INDEX(MASTER!$I$4:$I$1463,MATCH("SBG"&amp;"|"&amp;MAX(1,ROUND(COUNTIFS(MASTER!$B$4:$B$1463,"SBG",MASTER!$I$4:$I$1463,"&lt;&gt;")*$A110*100/100,0)),MASTER!$Y$4:$Y$1463,0))),NA()),IF($B$4="COMBAT RATING",IFERROR(IF(INDEX(MASTER!$G$4:$G$1463,MATCH("SBG"&amp;"|"&amp;MAX(1,ROUND(COUNTIFS(MASTER!$B$4:$B$1463,"SBG",MASTER!$G$4:$G$1463,"&lt;&gt;")*$A110*100/100,0)),MASTER!$AH$4:$AH$1463,0))="",NA(),INDEX(MASTER!$G$4:$G$1463,MATCH("SBG"&amp;"|"&amp;MAX(1,ROUND(COUNTIFS(MASTER!$B$4:$B$1463,"SBG",MASTER!$G$4:$G$1463,"&lt;&gt;")*$A110*100/100,0)),MASTER!$AH$4:$AH$1463,0))),NA()),IF($B$4="SECONDARY",IFERROR(IF(INDEX(MASTER!$L$4:$L$1463,MATCH("SBG"&amp;"|"&amp;MAX(1,ROUND(COUNTIFS(MASTER!$B$4:$B$1463,"SBG",MASTER!$L$4:$L$1463,"&lt;&gt;")*$A110*100/100,0)),MASTER!$AI$4:$AI$1463,0))="",NA(),INDEX(MASTER!$L$4:$L$1463,MATCH("SBG"&amp;"|"&amp;MAX(1,ROUND(COUNTIFS(MASTER!$B$4:$B$1463,"SBG",MASTER!$L$4:$L$1463,"&lt;&gt;")*$A110*100/100,0)),MASTER!$AI$4:$AI$1463,0))),NA()))))</f>
        <v>5303</v>
      </c>
      <c r="G110" s="37">
        <f>IF($B$4="RESONANCE",IFERROR(IF(INDEX(MASTER!$I$4:$I$1463,MATCH("AZUKI"&amp;"|"&amp;MAX(1,ROUND(COUNTIFS(MASTER!$B$4:$B$1463,"AZUKI",MASTER!$I$4:$I$1463,"&lt;&gt;")*$A110*100/100,0)),MASTER!$Y$4:$Y$1463,0))="",NA(),INDEX(MASTER!$I$4:$I$1463,MATCH("AZUKI"&amp;"|"&amp;MAX(1,ROUND(COUNTIFS(MASTER!$B$4:$B$1463,"AZUKI",MASTER!$I$4:$I$1463,"&lt;&gt;")*$A110*100/100,0)),MASTER!$Y$4:$Y$1463,0))),NA()),IF($B$4="COMBAT RATING",IFERROR(IF(INDEX(MASTER!$G$4:$G$1463,MATCH("AZUKI"&amp;"|"&amp;MAX(1,ROUND(COUNTIFS(MASTER!$B$4:$B$1463,"AZUKI",MASTER!$G$4:$G$1463,"&lt;&gt;")*$A110*100/100,0)),MASTER!$AH$4:$AH$1463,0))="",NA(),INDEX(MASTER!$G$4:$G$1463,MATCH("AZUKI"&amp;"|"&amp;MAX(1,ROUND(COUNTIFS(MASTER!$B$4:$B$1463,"AZUKI",MASTER!$G$4:$G$1463,"&lt;&gt;")*$A110*100/100,0)),MASTER!$AH$4:$AH$1463,0))),NA()),IF($B$4="SECONDARY",IFERROR(IF(INDEX(MASTER!$L$4:$L$1463,MATCH("AZUKI"&amp;"|"&amp;MAX(1,ROUND(COUNTIFS(MASTER!$B$4:$B$1463,"AZUKI",MASTER!$L$4:$L$1463,"&lt;&gt;")*$A110*100/100,0)),MASTER!$AI$4:$AI$1463,0))="",NA(),INDEX(MASTER!$L$4:$L$1463,MATCH("AZUKI"&amp;"|"&amp;MAX(1,ROUND(COUNTIFS(MASTER!$B$4:$B$1463,"AZUKI",MASTER!$L$4:$L$1463,"&lt;&gt;")*$A110*100/100,0)),MASTER!$AI$4:$AI$1463,0))),NA()))))</f>
        <v>4577</v>
      </c>
      <c r="H110" s="37">
        <f>IF($B$4="RESONANCE",IFERROR(IF(INDEX(MASTER!$I$4:$I$1463,MATCH("RECKONING"&amp;"|"&amp;MAX(1,ROUND(COUNTIFS(MASTER!$B$4:$B$1463,"RECKONING",MASTER!$I$4:$I$1463,"&lt;&gt;")*$A110*100/100,0)),MASTER!$Y$4:$Y$1463,0))="",NA(),INDEX(MASTER!$I$4:$I$1463,MATCH("RECKONING"&amp;"|"&amp;MAX(1,ROUND(COUNTIFS(MASTER!$B$4:$B$1463,"RECKONING",MASTER!$I$4:$I$1463,"&lt;&gt;")*$A110*100/100,0)),MASTER!$Y$4:$Y$1463,0))),NA()),IF($B$4="COMBAT RATING",IFERROR(IF(INDEX(MASTER!$G$4:$G$1463,MATCH("RECKONING"&amp;"|"&amp;MAX(1,ROUND(COUNTIFS(MASTER!$B$4:$B$1463,"RECKONING",MASTER!$G$4:$G$1463,"&lt;&gt;")*$A110*100/100,0)),MASTER!$AH$4:$AH$1463,0))="",NA(),INDEX(MASTER!$G$4:$G$1463,MATCH("RECKONING"&amp;"|"&amp;MAX(1,ROUND(COUNTIFS(MASTER!$B$4:$B$1463,"RECKONING",MASTER!$G$4:$G$1463,"&lt;&gt;")*$A110*100/100,0)),MASTER!$AH$4:$AH$1463,0))),NA()),IF($B$4="SECONDARY",IFERROR(IF(INDEX(MASTER!$L$4:$L$1463,MATCH("RECKONING"&amp;"|"&amp;MAX(1,ROUND(COUNTIFS(MASTER!$B$4:$B$1463,"RECKONING",MASTER!$L$4:$L$1463,"&lt;&gt;")*$A110*100/100,0)),MASTER!$AI$4:$AI$1463,0))="",NA(),INDEX(MASTER!$L$4:$L$1463,MATCH("RECKONING"&amp;"|"&amp;MAX(1,ROUND(COUNTIFS(MASTER!$B$4:$B$1463,"RECKONING",MASTER!$L$4:$L$1463,"&lt;&gt;")*$A110*100/100,0)),MASTER!$AI$4:$AI$1463,0))),NA()))))</f>
        <v>4520</v>
      </c>
      <c r="I110" s="37">
        <f>IF($B$4="RESONANCE",IFERROR(IF(INDEX(MASTER!$I$4:$I$1463,MATCH("ACHERON"&amp;"|"&amp;MAX(1,ROUND(COUNTIFS(MASTER!$B$4:$B$1463,"ACHERON",MASTER!$I$4:$I$1463,"&lt;&gt;")*$A110*100/100,0)),MASTER!$Y$4:$Y$1463,0))="",NA(),INDEX(MASTER!$I$4:$I$1463,MATCH("ACHERON"&amp;"|"&amp;MAX(1,ROUND(COUNTIFS(MASTER!$B$4:$B$1463,"ACHERON",MASTER!$I$4:$I$1463,"&lt;&gt;")*$A110*100/100,0)),MASTER!$Y$4:$Y$1463,0))),NA()),IF($B$4="COMBAT RATING",IFERROR(IF(INDEX(MASTER!$G$4:$G$1463,MATCH("ACHERON"&amp;"|"&amp;MAX(1,ROUND(COUNTIFS(MASTER!$B$4:$B$1463,"ACHERON",MASTER!$G$4:$G$1463,"&lt;&gt;")*$A110*100/100,0)),MASTER!$AH$4:$AH$1463,0))="",NA(),INDEX(MASTER!$G$4:$G$1463,MATCH("ACHERON"&amp;"|"&amp;MAX(1,ROUND(COUNTIFS(MASTER!$B$4:$B$1463,"ACHERON",MASTER!$G$4:$G$1463,"&lt;&gt;")*$A110*100/100,0)),MASTER!$AH$4:$AH$1463,0))),NA()),IF($B$4="SECONDARY",IFERROR(IF(INDEX(MASTER!$L$4:$L$1463,MATCH("ACHERON"&amp;"|"&amp;MAX(1,ROUND(COUNTIFS(MASTER!$B$4:$B$1463,"ACHERON",MASTER!$L$4:$L$1463,"&lt;&gt;")*$A110*100/100,0)),MASTER!$AI$4:$AI$1463,0))="",NA(),INDEX(MASTER!$L$4:$L$1463,MATCH("ACHERON"&amp;"|"&amp;MAX(1,ROUND(COUNTIFS(MASTER!$B$4:$B$1463,"ACHERON",MASTER!$L$4:$L$1463,"&lt;&gt;")*$A110*100/100,0)),MASTER!$AI$4:$AI$1463,0))),NA()))))</f>
        <v>3470</v>
      </c>
      <c r="J110" s="37">
        <f>IF($B$4="RESONANCE",IFERROR(IF(INDEX(MASTER!$I$4:$I$1463,MATCH("INVICTUS"&amp;"|"&amp;MAX(1,ROUND(COUNTIFS(MASTER!$B$4:$B$1463,"INVICTUS",MASTER!$I$4:$I$1463,"&lt;&gt;")*$A110*100/100,0)),MASTER!$Y$4:$Y$1463,0))="",NA(),INDEX(MASTER!$I$4:$I$1463,MATCH("INVICTUS"&amp;"|"&amp;MAX(1,ROUND(COUNTIFS(MASTER!$B$4:$B$1463,"INVICTUS",MASTER!$I$4:$I$1463,"&lt;&gt;")*$A110*100/100,0)),MASTER!$Y$4:$Y$1463,0))),NA()),IF($B$4="COMBAT RATING",IFERROR(IF(INDEX(MASTER!$G$4:$G$1463,MATCH("INVICTUS"&amp;"|"&amp;MAX(1,ROUND(COUNTIFS(MASTER!$B$4:$B$1463,"INVICTUS",MASTER!$G$4:$G$1463,"&lt;&gt;")*$A110*100/100,0)),MASTER!$AH$4:$AH$1463,0))="",NA(),INDEX(MASTER!$G$4:$G$1463,MATCH("INVICTUS"&amp;"|"&amp;MAX(1,ROUND(COUNTIFS(MASTER!$B$4:$B$1463,"INVICTUS",MASTER!$G$4:$G$1463,"&lt;&gt;")*$A110*100/100,0)),MASTER!$AH$4:$AH$1463,0))),NA()),IF($B$4="SECONDARY",IFERROR(IF(INDEX(MASTER!$L$4:$L$1463,MATCH("INVICTUS"&amp;"|"&amp;MAX(1,ROUND(COUNTIFS(MASTER!$B$4:$B$1463,"INVICTUS",MASTER!$L$4:$L$1463,"&lt;&gt;")*$A110*100/100,0)),MASTER!$AI$4:$AI$1463,0))="",NA(),INDEX(MASTER!$L$4:$L$1463,MATCH("INVICTUS"&amp;"|"&amp;MAX(1,ROUND(COUNTIFS(MASTER!$B$4:$B$1463,"INVICTUS",MASTER!$L$4:$L$1463,"&lt;&gt;")*$A110*100/100,0)),MASTER!$AI$4:$AI$1463,0))),NA()))))</f>
        <v>2906</v>
      </c>
      <c r="K110" s="37">
        <f>IF($B$4="RESONANCE",IFERROR(IF(INDEX(MASTER!$I$4:$I$1463,MATCH("EMERALD LEAF TRIBE"&amp;"|"&amp;MAX(1,ROUND(COUNTIFS(MASTER!$B$4:$B$1463,"EMERALD LEAF TRIBE",MASTER!$I$4:$I$1463,"&lt;&gt;")*$A110*100/100,0)),MASTER!$Y$4:$Y$1463,0))="",NA(),INDEX(MASTER!$I$4:$I$1463,MATCH("EMERALD LEAF TRIBE"&amp;"|"&amp;MAX(1,ROUND(COUNTIFS(MASTER!$B$4:$B$1463,"EMERALD LEAF TRIBE",MASTER!$I$4:$I$1463,"&lt;&gt;")*$A110*100/100,0)),MASTER!$Y$4:$Y$1463,0))),NA()),IF($B$4="COMBAT RATING",IFERROR(IF(INDEX(MASTER!$G$4:$G$1463,MATCH("EMERALD LEAF TRIBE"&amp;"|"&amp;MAX(1,ROUND(COUNTIFS(MASTER!$B$4:$B$1463,"EMERALD LEAF TRIBE",MASTER!$G$4:$G$1463,"&lt;&gt;")*$A110*100/100,0)),MASTER!$AH$4:$AH$1463,0))="",NA(),INDEX(MASTER!$G$4:$G$1463,MATCH("EMERALD LEAF TRIBE"&amp;"|"&amp;MAX(1,ROUND(COUNTIFS(MASTER!$B$4:$B$1463,"EMERALD LEAF TRIBE",MASTER!$G$4:$G$1463,"&lt;&gt;")*$A110*100/100,0)),MASTER!$AH$4:$AH$1463,0))),NA()),IF($B$4="SECONDARY",IFERROR(IF(INDEX(MASTER!$L$4:$L$1463,MATCH("EMERALD LEAF TRIBE"&amp;"|"&amp;MAX(1,ROUND(COUNTIFS(MASTER!$B$4:$B$1463,"EMERALD LEAF TRIBE",MASTER!$L$4:$L$1463,"&lt;&gt;")*$A110*100/100,0)),MASTER!$AI$4:$AI$1463,0))="",NA(),INDEX(MASTER!$L$4:$L$1463,MATCH("EMERALD LEAF TRIBE"&amp;"|"&amp;MAX(1,ROUND(COUNTIFS(MASTER!$B$4:$B$1463,"EMERALD LEAF TRIBE",MASTER!$L$4:$L$1463,"&lt;&gt;")*$A110*100/100,0)),MASTER!$AI$4:$AI$1463,0))),NA()))))</f>
        <v>2030</v>
      </c>
      <c r="L110" s="37">
        <f>IF($B$4="RESONANCE",IFERROR(IF(INDEX(MASTER!$I$4:$I$1463,MATCH("SUB ROSA"&amp;"|"&amp;MAX(1,ROUND(COUNTIFS(MASTER!$B$4:$B$1463,"SUB ROSA",MASTER!$I$4:$I$1463,"&lt;&gt;")*$A110*100/100,0)),MASTER!$Y$4:$Y$1463,0))="",NA(),INDEX(MASTER!$I$4:$I$1463,MATCH("SUB ROSA"&amp;"|"&amp;MAX(1,ROUND(COUNTIFS(MASTER!$B$4:$B$1463,"SUB ROSA",MASTER!$I$4:$I$1463,"&lt;&gt;")*$A110*100/100,0)),MASTER!$Y$4:$Y$1463,0))),NA()),IF($B$4="COMBAT RATING",IFERROR(IF(INDEX(MASTER!$G$4:$G$1463,MATCH("SUB ROSA"&amp;"|"&amp;MAX(1,ROUND(COUNTIFS(MASTER!$B$4:$B$1463,"SUB ROSA",MASTER!$G$4:$G$1463,"&lt;&gt;")*$A110*100/100,0)),MASTER!$AH$4:$AH$1463,0))="",NA(),INDEX(MASTER!$G$4:$G$1463,MATCH("SUB ROSA"&amp;"|"&amp;MAX(1,ROUND(COUNTIFS(MASTER!$B$4:$B$1463,"SUB ROSA",MASTER!$G$4:$G$1463,"&lt;&gt;")*$A110*100/100,0)),MASTER!$AH$4:$AH$1463,0))),NA()),IF($B$4="SECONDARY",IFERROR(IF(INDEX(MASTER!$L$4:$L$1463,MATCH("SUB ROSA"&amp;"|"&amp;MAX(1,ROUND(COUNTIFS(MASTER!$B$4:$B$1463,"SUB ROSA",MASTER!$L$4:$L$1463,"&lt;&gt;")*$A110*100/100,0)),MASTER!$AI$4:$AI$1463,0))="",NA(),INDEX(MASTER!$L$4:$L$1463,MATCH("SUB ROSA"&amp;"|"&amp;MAX(1,ROUND(COUNTIFS(MASTER!$B$4:$B$1463,"SUB ROSA",MASTER!$L$4:$L$1463,"&lt;&gt;")*$A110*100/100,0)),MASTER!$AI$4:$AI$1463,0))),NA()))))</f>
        <v>2308</v>
      </c>
      <c r="M110" s="37">
        <f>IF($B$4="RESONANCE",IFERROR(IF(INDEX(MASTER!$I$4:$I$1463,MATCH("VENGEANCE"&amp;"|"&amp;MAX(1,ROUND(COUNTIFS(MASTER!$B$4:$B$1463,"VENGEANCE",MASTER!$I$4:$I$1463,"&lt;&gt;")*$A110*100/100,0)),MASTER!$Y$4:$Y$1463,0))="",NA(),INDEX(MASTER!$I$4:$I$1463,MATCH("VENGEANCE"&amp;"|"&amp;MAX(1,ROUND(COUNTIFS(MASTER!$B$4:$B$1463,"VENGEANCE",MASTER!$I$4:$I$1463,"&lt;&gt;")*$A110*100/100,0)),MASTER!$Y$4:$Y$1463,0))),NA()),IF($B$4="COMBAT RATING",IFERROR(IF(INDEX(MASTER!$G$4:$G$1463,MATCH("VENGEANCE"&amp;"|"&amp;MAX(1,ROUND(COUNTIFS(MASTER!$B$4:$B$1463,"VENGEANCE",MASTER!$G$4:$G$1463,"&lt;&gt;")*$A110*100/100,0)),MASTER!$AH$4:$AH$1463,0))="",NA(),INDEX(MASTER!$G$4:$G$1463,MATCH("VENGEANCE"&amp;"|"&amp;MAX(1,ROUND(COUNTIFS(MASTER!$B$4:$B$1463,"VENGEANCE",MASTER!$G$4:$G$1463,"&lt;&gt;")*$A110*100/100,0)),MASTER!$AH$4:$AH$1463,0))),NA()),IF($B$4="SECONDARY",IFERROR(IF(INDEX(MASTER!$L$4:$L$1463,MATCH("VENGEANCE"&amp;"|"&amp;MAX(1,ROUND(COUNTIFS(MASTER!$B$4:$B$1463,"VENGEANCE",MASTER!$L$4:$L$1463,"&lt;&gt;")*$A110*100/100,0)),MASTER!$AI$4:$AI$1463,0))="",NA(),INDEX(MASTER!$L$4:$L$1463,MATCH("VENGEANCE"&amp;"|"&amp;MAX(1,ROUND(COUNTIFS(MASTER!$B$4:$B$1463,"VENGEANCE",MASTER!$L$4:$L$1463,"&lt;&gt;")*$A110*100/100,0)),MASTER!$AI$4:$AI$1463,0))),NA()))))</f>
        <v>3250</v>
      </c>
      <c r="N110" s="37">
        <f>IF($B$4="RESONANCE",IFERROR(IF(INDEX(MASTER!$I$4:$I$1463,MATCH("VENDETTA"&amp;"|"&amp;MAX(1,ROUND(COUNTIFS(MASTER!$B$4:$B$1463,"VENDETTA",MASTER!$I$4:$I$1463,"&lt;&gt;")*$A110*100/100,0)),MASTER!$Y$4:$Y$1463,0))="",NA(),INDEX(MASTER!$I$4:$I$1463,MATCH("VENDETTA"&amp;"|"&amp;MAX(1,ROUND(COUNTIFS(MASTER!$B$4:$B$1463,"VENDETTA",MASTER!$I$4:$I$1463,"&lt;&gt;")*$A110*100/100,0)),MASTER!$Y$4:$Y$1463,0))),NA()),IF($B$4="COMBAT RATING",IFERROR(IF(INDEX(MASTER!$G$4:$G$1463,MATCH("VENDETTA"&amp;"|"&amp;MAX(1,ROUND(COUNTIFS(MASTER!$B$4:$B$1463,"VENDETTA",MASTER!$G$4:$G$1463,"&lt;&gt;")*$A110*100/100,0)),MASTER!$AH$4:$AH$1463,0))="",NA(),INDEX(MASTER!$G$4:$G$1463,MATCH("VENDETTA"&amp;"|"&amp;MAX(1,ROUND(COUNTIFS(MASTER!$B$4:$B$1463,"VENDETTA",MASTER!$G$4:$G$1463,"&lt;&gt;")*$A110*100/100,0)),MASTER!$AH$4:$AH$1463,0))),NA()),IF($B$4="SECONDARY",IFERROR(IF(INDEX(MASTER!$L$4:$L$1463,MATCH("VENDETTA"&amp;"|"&amp;MAX(1,ROUND(COUNTIFS(MASTER!$B$4:$B$1463,"VENDETTA",MASTER!$L$4:$L$1463,"&lt;&gt;")*$A110*100/100,0)),MASTER!$AI$4:$AI$1463,0))="",NA(),INDEX(MASTER!$L$4:$L$1463,MATCH("VENDETTA"&amp;"|"&amp;MAX(1,ROUND(COUNTIFS(MASTER!$B$4:$B$1463,"VENDETTA",MASTER!$L$4:$L$1463,"&lt;&gt;")*$A110*100/100,0)),MASTER!$AI$4:$AI$1463,0))),NA()))))</f>
        <v>1947</v>
      </c>
      <c r="O110" s="37">
        <f>IF($B$4="RESONANCE",IFERROR(IF(INDEX(MASTER!$I$4:$I$1463,MATCH("ZOMBIES"&amp;"|"&amp;MAX(1,ROUND(COUNTIFS(MASTER!$B$4:$B$1463,"ZOMBIES",MASTER!$I$4:$I$1463,"&lt;&gt;")*$A110*100/100,0)),MASTER!$Y$4:$Y$1463,0))="",NA(),INDEX(MASTER!$I$4:$I$1463,MATCH("ZOMBIES"&amp;"|"&amp;MAX(1,ROUND(COUNTIFS(MASTER!$B$4:$B$1463,"ZOMBIES",MASTER!$I$4:$I$1463,"&lt;&gt;")*$A110*100/100,0)),MASTER!$Y$4:$Y$1463,0))),NA()),IF($B$4="COMBAT RATING",IFERROR(IF(INDEX(MASTER!$G$4:$G$1463,MATCH("ZOMBIES"&amp;"|"&amp;MAX(1,ROUND(COUNTIFS(MASTER!$B$4:$B$1463,"ZOMBIES",MASTER!$G$4:$G$1463,"&lt;&gt;")*$A110*100/100,0)),MASTER!$AH$4:$AH$1463,0))="",NA(),INDEX(MASTER!$G$4:$G$1463,MATCH("ZOMBIES"&amp;"|"&amp;MAX(1,ROUND(COUNTIFS(MASTER!$B$4:$B$1463,"ZOMBIES",MASTER!$G$4:$G$1463,"&lt;&gt;")*$A110*100/100,0)),MASTER!$AH$4:$AH$1463,0))),NA()),IF($B$4="SECONDARY",IFERROR(IF(INDEX(MASTER!$L$4:$L$1463,MATCH("ZOMBIES"&amp;"|"&amp;MAX(1,ROUND(COUNTIFS(MASTER!$B$4:$B$1463,"ZOMBIES",MASTER!$L$4:$L$1463,"&lt;&gt;")*$A110*100/100,0)),MASTER!$AI$4:$AI$1463,0))="",NA(),INDEX(MASTER!$L$4:$L$1463,MATCH("ZOMBIES"&amp;"|"&amp;MAX(1,ROUND(COUNTIFS(MASTER!$B$4:$B$1463,"ZOMBIES",MASTER!$L$4:$L$1463,"&lt;&gt;")*$A110*100/100,0)),MASTER!$AI$4:$AI$1463,0))),NA()))))</f>
        <v>1630</v>
      </c>
      <c r="P110" s="37">
        <f>IF($B$4="RESONANCE",IFERROR(IF(INDEX(MASTER!$I$4:$I$1463,MATCH("FUCT"&amp;"|"&amp;MAX(1,ROUND(COUNTIFS(MASTER!$B$4:$B$1463,"FUCT",MASTER!$I$4:$I$1463,"&lt;&gt;")*$A110*100/100,0)),MASTER!$Y$4:$Y$1463,0))="",NA(),INDEX(MASTER!$I$4:$I$1463,MATCH("FUCT"&amp;"|"&amp;MAX(1,ROUND(COUNTIFS(MASTER!$B$4:$B$1463,"FUCT",MASTER!$I$4:$I$1463,"&lt;&gt;")*$A110*100/100,0)),MASTER!$Y$4:$Y$1463,0))),NA()),IF($B$4="COMBAT RATING",IFERROR(IF(INDEX(MASTER!$G$4:$G$1463,MATCH("FUCT"&amp;"|"&amp;MAX(1,ROUND(COUNTIFS(MASTER!$B$4:$B$1463,"FUCT",MASTER!$G$4:$G$1463,"&lt;&gt;")*$A110*100/100,0)),MASTER!$AH$4:$AH$1463,0))="",NA(),INDEX(MASTER!$G$4:$G$1463,MATCH("FUCT"&amp;"|"&amp;MAX(1,ROUND(COUNTIFS(MASTER!$B$4:$B$1463,"FUCT",MASTER!$G$4:$G$1463,"&lt;&gt;")*$A110*100/100,0)),MASTER!$AH$4:$AH$1463,0))),NA()),IF($B$4="SECONDARY",IFERROR(IF(INDEX(MASTER!$L$4:$L$1463,MATCH("FUCT"&amp;"|"&amp;MAX(1,ROUND(COUNTIFS(MASTER!$B$4:$B$1463,"FUCT",MASTER!$L$4:$L$1463,"&lt;&gt;")*$A110*100/100,0)),MASTER!$AI$4:$AI$1463,0))="",NA(),INDEX(MASTER!$L$4:$L$1463,MATCH("FUCT"&amp;"|"&amp;MAX(1,ROUND(COUNTIFS(MASTER!$B$4:$B$1463,"FUCT",MASTER!$L$4:$L$1463,"&lt;&gt;")*$A110*100/100,0)),MASTER!$AI$4:$AI$1463,0))),NA()))))</f>
        <v>4185</v>
      </c>
      <c r="Q110" s="37">
        <f>IF($B$4="RESONANCE",IFERROR(IF(INDEX(MASTER!$I$4:$I$1463,MATCH($E$4&amp;"|"&amp;MAX(1,ROUND(COUNTIFS(MASTER!$B$4:$B$1463,$E$4,MASTER!$I$4:$I$1463,"&lt;&gt;")*$A110*100/100,0)),MASTER!$Y$4:$Y$1463,0))="",NA(),INDEX(MASTER!$I$4:$I$1463,MATCH($E$4&amp;"|"&amp;MAX(1,ROUND(COUNTIFS(MASTER!$B$4:$B$1463,$E$4,MASTER!$I$4:$I$1463,"&lt;&gt;")*$A110*100/100,0)),MASTER!$Y$4:$Y$1463,0))),NA()),IF($B$4="COMBAT RATING",IFERROR(IF(INDEX(MASTER!$G$4:$G$1463,MATCH($E$4&amp;"|"&amp;MAX(1,ROUND(COUNTIFS(MASTER!$B$4:$B$1463,$E$4,MASTER!$G$4:$G$1463,"&lt;&gt;")*$A110*100/100,0)),MASTER!$AH$4:$AH$1463,0))="",NA(),INDEX(MASTER!$G$4:$G$1463,MATCH($E$4&amp;"|"&amp;MAX(1,ROUND(COUNTIFS(MASTER!$B$4:$B$1463,$E$4,MASTER!$G$4:$G$1463,"&lt;&gt;")*$A110*100/100,0)),MASTER!$AH$4:$AH$1463,0))),NA()),IF($B$4="SECONDARY",IFERROR(IF(INDEX(MASTER!$L$4:$L$1463,MATCH($E$4&amp;"|"&amp;MAX(1,ROUND(COUNTIFS(MASTER!$B$4:$B$1463,$E$4,MASTER!$L$4:$L$1463,"&lt;&gt;")*$A110*100/100,0)),MASTER!$AI$4:$AI$1463,0))="",NA(),INDEX(MASTER!$L$4:$L$1463,MATCH($E$4&amp;"|"&amp;MAX(1,ROUND(COUNTIFS(MASTER!$B$4:$B$1463,$E$4,MASTER!$L$4:$L$1463,"&lt;&gt;")*$A110*100/100,0)),MASTER!$AI$4:$AI$1463,0))),NA()))))</f>
        <v>3990</v>
      </c>
    </row>
    <row r="111" spans="1:17" hidden="1">
      <c r="A111" s="36">
        <v>0.56000000000000005</v>
      </c>
      <c r="B111" s="37">
        <f>IF($B$4="RESONANCE",IFERROR(IF(INDEX(MASTER!$I$4:$I$1463,MATCH("FUCT"&amp;"|"&amp;MAX(1,ROUND(COUNTIFS(MASTER!$B$4:$B$1463,"FUCT",MASTER!$I$4:$I$1463,"&lt;&gt;")*$A111*100/100,0)),MASTER!$Y$4:$Y$1463,0))="",NA(),INDEX(MASTER!$I$4:$I$1463,MATCH("FUCT"&amp;"|"&amp;MAX(1,ROUND(COUNTIFS(MASTER!$B$4:$B$1463,"FUCT",MASTER!$I$4:$I$1463,"&lt;&gt;")*$A111*100/100,0)),MASTER!$Y$4:$Y$1463,0))),NA()),IF($B$4="COMBAT RATING",IFERROR(IF(INDEX(MASTER!$G$4:$G$1463,MATCH("FUCT"&amp;"|"&amp;MAX(1,ROUND(COUNTIFS(MASTER!$B$4:$B$1463,"FUCT",MASTER!$G$4:$G$1463,"&lt;&gt;")*$A111*100/100,0)),MASTER!$AH$4:$AH$1463,0))="",NA(),INDEX(MASTER!$G$4:$G$1463,MATCH("FUCT"&amp;"|"&amp;MAX(1,ROUND(COUNTIFS(MASTER!$B$4:$B$1463,"FUCT",MASTER!$G$4:$G$1463,"&lt;&gt;")*$A111*100/100,0)),MASTER!$AH$4:$AH$1463,0))),NA()),IF($B$4="SECONDARY",IFERROR(IF(INDEX(MASTER!$L$4:$L$1463,MATCH("FUCT"&amp;"|"&amp;MAX(1,ROUND(COUNTIFS(MASTER!$B$4:$B$1463,"FUCT",MASTER!$L$4:$L$1463,"&lt;&gt;")*$A111*100/100,0)),MASTER!$AI$4:$AI$1463,0))="",NA(),INDEX(MASTER!$L$4:$L$1463,MATCH("FUCT"&amp;"|"&amp;MAX(1,ROUND(COUNTIFS(MASTER!$B$4:$B$1463,"FUCT",MASTER!$L$4:$L$1463,"&lt;&gt;")*$A111*100/100,0)),MASTER!$AI$4:$AI$1463,0))),NA()))))</f>
        <v>4164</v>
      </c>
      <c r="C111" s="37">
        <f>IF($B$4="RESONANCE",IFERROR(IF(INDEX(MASTER!$I$4:$I$1463,MATCH("LEGENDS"&amp;"|"&amp;MAX(1,ROUND(COUNTIFS(MASTER!$B$4:$B$1463,"LEGENDS",MASTER!$I$4:$I$1463,"&lt;&gt;")*$A111*100/100,0)),MASTER!$Y$4:$Y$1463,0))="",NA(),INDEX(MASTER!$I$4:$I$1463,MATCH("LEGENDS"&amp;"|"&amp;MAX(1,ROUND(COUNTIFS(MASTER!$B$4:$B$1463,"LEGENDS",MASTER!$I$4:$I$1463,"&lt;&gt;")*$A111*100/100,0)),MASTER!$Y$4:$Y$1463,0))),NA()),IF($B$4="COMBAT RATING",IFERROR(IF(INDEX(MASTER!$G$4:$G$1463,MATCH("LEGENDS"&amp;"|"&amp;MAX(1,ROUND(COUNTIFS(MASTER!$B$4:$B$1463,"LEGENDS",MASTER!$G$4:$G$1463,"&lt;&gt;")*$A111*100/100,0)),MASTER!$AH$4:$AH$1463,0))="",NA(),INDEX(MASTER!$G$4:$G$1463,MATCH("LEGENDS"&amp;"|"&amp;MAX(1,ROUND(COUNTIFS(MASTER!$B$4:$B$1463,"LEGENDS",MASTER!$G$4:$G$1463,"&lt;&gt;")*$A111*100/100,0)),MASTER!$AH$4:$AH$1463,0))),NA()),IF($B$4="SECONDARY",IFERROR(IF(INDEX(MASTER!$L$4:$L$1463,MATCH("LEGENDS"&amp;"|"&amp;MAX(1,ROUND(COUNTIFS(MASTER!$B$4:$B$1463,"LEGENDS",MASTER!$L$4:$L$1463,"&lt;&gt;")*$A111*100/100,0)),MASTER!$AI$4:$AI$1463,0))="",NA(),INDEX(MASTER!$L$4:$L$1463,MATCH("LEGENDS"&amp;"|"&amp;MAX(1,ROUND(COUNTIFS(MASTER!$B$4:$B$1463,"LEGENDS",MASTER!$L$4:$L$1463,"&lt;&gt;")*$A111*100/100,0)),MASTER!$AI$4:$AI$1463,0))),NA()))))</f>
        <v>4843</v>
      </c>
      <c r="D111" s="37">
        <f>IF($B$4="RESONANCE",IFERROR(IF(INDEX(MASTER!$I$4:$I$1463,MATCH("VANGUARD"&amp;"|"&amp;MAX(1,ROUND(COUNTIFS(MASTER!$B$4:$B$1463,"VANGUARD",MASTER!$I$4:$I$1463,"&lt;&gt;")*$A111*100/100,0)),MASTER!$Y$4:$Y$1463,0))="",NA(),INDEX(MASTER!$I$4:$I$1463,MATCH("VANGUARD"&amp;"|"&amp;MAX(1,ROUND(COUNTIFS(MASTER!$B$4:$B$1463,"VANGUARD",MASTER!$I$4:$I$1463,"&lt;&gt;")*$A111*100/100,0)),MASTER!$Y$4:$Y$1463,0))),NA()),IF($B$4="COMBAT RATING",IFERROR(IF(INDEX(MASTER!$G$4:$G$1463,MATCH("VANGUARD"&amp;"|"&amp;MAX(1,ROUND(COUNTIFS(MASTER!$B$4:$B$1463,"VANGUARD",MASTER!$G$4:$G$1463,"&lt;&gt;")*$A111*100/100,0)),MASTER!$AH$4:$AH$1463,0))="",NA(),INDEX(MASTER!$G$4:$G$1463,MATCH("VANGUARD"&amp;"|"&amp;MAX(1,ROUND(COUNTIFS(MASTER!$B$4:$B$1463,"VANGUARD",MASTER!$G$4:$G$1463,"&lt;&gt;")*$A111*100/100,0)),MASTER!$AH$4:$AH$1463,0))),NA()),IF($B$4="SECONDARY",IFERROR(IF(INDEX(MASTER!$L$4:$L$1463,MATCH("VANGUARD"&amp;"|"&amp;MAX(1,ROUND(COUNTIFS(MASTER!$B$4:$B$1463,"VANGUARD",MASTER!$L$4:$L$1463,"&lt;&gt;")*$A111*100/100,0)),MASTER!$AI$4:$AI$1463,0))="",NA(),INDEX(MASTER!$L$4:$L$1463,MATCH("VANGUARD"&amp;"|"&amp;MAX(1,ROUND(COUNTIFS(MASTER!$B$4:$B$1463,"VANGUARD",MASTER!$L$4:$L$1463,"&lt;&gt;")*$A111*100/100,0)),MASTER!$AI$4:$AI$1463,0))),NA()))))</f>
        <v>6269</v>
      </c>
      <c r="E111" s="37">
        <f>IF($B$4="RESONANCE",IFERROR(IF(INDEX(MASTER!$I$4:$I$1463,MATCH("UNDYING"&amp;"|"&amp;MAX(1,ROUND(COUNTIFS(MASTER!$B$4:$B$1463,"UNDYING",MASTER!$I$4:$I$1463,"&lt;&gt;")*$A111*100/100,0)),MASTER!$Y$4:$Y$1463,0))="",NA(),INDEX(MASTER!$I$4:$I$1463,MATCH("UNDYING"&amp;"|"&amp;MAX(1,ROUND(COUNTIFS(MASTER!$B$4:$B$1463,"UNDYING",MASTER!$I$4:$I$1463,"&lt;&gt;")*$A111*100/100,0)),MASTER!$Y$4:$Y$1463,0))),NA()),IF($B$4="COMBAT RATING",IFERROR(IF(INDEX(MASTER!$G$4:$G$1463,MATCH("UNDYING"&amp;"|"&amp;MAX(1,ROUND(COUNTIFS(MASTER!$B$4:$B$1463,"UNDYING",MASTER!$G$4:$G$1463,"&lt;&gt;")*$A111*100/100,0)),MASTER!$AH$4:$AH$1463,0))="",NA(),INDEX(MASTER!$G$4:$G$1463,MATCH("UNDYING"&amp;"|"&amp;MAX(1,ROUND(COUNTIFS(MASTER!$B$4:$B$1463,"UNDYING",MASTER!$G$4:$G$1463,"&lt;&gt;")*$A111*100/100,0)),MASTER!$AH$4:$AH$1463,0))),NA()),IF($B$4="SECONDARY",IFERROR(IF(INDEX(MASTER!$L$4:$L$1463,MATCH("UNDYING"&amp;"|"&amp;MAX(1,ROUND(COUNTIFS(MASTER!$B$4:$B$1463,"UNDYING",MASTER!$L$4:$L$1463,"&lt;&gt;")*$A111*100/100,0)),MASTER!$AI$4:$AI$1463,0))="",NA(),INDEX(MASTER!$L$4:$L$1463,MATCH("UNDYING"&amp;"|"&amp;MAX(1,ROUND(COUNTIFS(MASTER!$B$4:$B$1463,"UNDYING",MASTER!$L$4:$L$1463,"&lt;&gt;")*$A111*100/100,0)),MASTER!$AI$4:$AI$1463,0))),NA()))))</f>
        <v>3905</v>
      </c>
      <c r="F111" s="37">
        <f>IF($B$4="RESONANCE",IFERROR(IF(INDEX(MASTER!$I$4:$I$1463,MATCH("SBG"&amp;"|"&amp;MAX(1,ROUND(COUNTIFS(MASTER!$B$4:$B$1463,"SBG",MASTER!$I$4:$I$1463,"&lt;&gt;")*$A111*100/100,0)),MASTER!$Y$4:$Y$1463,0))="",NA(),INDEX(MASTER!$I$4:$I$1463,MATCH("SBG"&amp;"|"&amp;MAX(1,ROUND(COUNTIFS(MASTER!$B$4:$B$1463,"SBG",MASTER!$I$4:$I$1463,"&lt;&gt;")*$A111*100/100,0)),MASTER!$Y$4:$Y$1463,0))),NA()),IF($B$4="COMBAT RATING",IFERROR(IF(INDEX(MASTER!$G$4:$G$1463,MATCH("SBG"&amp;"|"&amp;MAX(1,ROUND(COUNTIFS(MASTER!$B$4:$B$1463,"SBG",MASTER!$G$4:$G$1463,"&lt;&gt;")*$A111*100/100,0)),MASTER!$AH$4:$AH$1463,0))="",NA(),INDEX(MASTER!$G$4:$G$1463,MATCH("SBG"&amp;"|"&amp;MAX(1,ROUND(COUNTIFS(MASTER!$B$4:$B$1463,"SBG",MASTER!$G$4:$G$1463,"&lt;&gt;")*$A111*100/100,0)),MASTER!$AH$4:$AH$1463,0))),NA()),IF($B$4="SECONDARY",IFERROR(IF(INDEX(MASTER!$L$4:$L$1463,MATCH("SBG"&amp;"|"&amp;MAX(1,ROUND(COUNTIFS(MASTER!$B$4:$B$1463,"SBG",MASTER!$L$4:$L$1463,"&lt;&gt;")*$A111*100/100,0)),MASTER!$AI$4:$AI$1463,0))="",NA(),INDEX(MASTER!$L$4:$L$1463,MATCH("SBG"&amp;"|"&amp;MAX(1,ROUND(COUNTIFS(MASTER!$B$4:$B$1463,"SBG",MASTER!$L$4:$L$1463,"&lt;&gt;")*$A111*100/100,0)),MASTER!$AI$4:$AI$1463,0))),NA()))))</f>
        <v>5290</v>
      </c>
      <c r="G111" s="37">
        <f>IF($B$4="RESONANCE",IFERROR(IF(INDEX(MASTER!$I$4:$I$1463,MATCH("AZUKI"&amp;"|"&amp;MAX(1,ROUND(COUNTIFS(MASTER!$B$4:$B$1463,"AZUKI",MASTER!$I$4:$I$1463,"&lt;&gt;")*$A111*100/100,0)),MASTER!$Y$4:$Y$1463,0))="",NA(),INDEX(MASTER!$I$4:$I$1463,MATCH("AZUKI"&amp;"|"&amp;MAX(1,ROUND(COUNTIFS(MASTER!$B$4:$B$1463,"AZUKI",MASTER!$I$4:$I$1463,"&lt;&gt;")*$A111*100/100,0)),MASTER!$Y$4:$Y$1463,0))),NA()),IF($B$4="COMBAT RATING",IFERROR(IF(INDEX(MASTER!$G$4:$G$1463,MATCH("AZUKI"&amp;"|"&amp;MAX(1,ROUND(COUNTIFS(MASTER!$B$4:$B$1463,"AZUKI",MASTER!$G$4:$G$1463,"&lt;&gt;")*$A111*100/100,0)),MASTER!$AH$4:$AH$1463,0))="",NA(),INDEX(MASTER!$G$4:$G$1463,MATCH("AZUKI"&amp;"|"&amp;MAX(1,ROUND(COUNTIFS(MASTER!$B$4:$B$1463,"AZUKI",MASTER!$G$4:$G$1463,"&lt;&gt;")*$A111*100/100,0)),MASTER!$AH$4:$AH$1463,0))),NA()),IF($B$4="SECONDARY",IFERROR(IF(INDEX(MASTER!$L$4:$L$1463,MATCH("AZUKI"&amp;"|"&amp;MAX(1,ROUND(COUNTIFS(MASTER!$B$4:$B$1463,"AZUKI",MASTER!$L$4:$L$1463,"&lt;&gt;")*$A111*100/100,0)),MASTER!$AI$4:$AI$1463,0))="",NA(),INDEX(MASTER!$L$4:$L$1463,MATCH("AZUKI"&amp;"|"&amp;MAX(1,ROUND(COUNTIFS(MASTER!$B$4:$B$1463,"AZUKI",MASTER!$L$4:$L$1463,"&lt;&gt;")*$A111*100/100,0)),MASTER!$AI$4:$AI$1463,0))),NA()))))</f>
        <v>4309</v>
      </c>
      <c r="H111" s="37">
        <f>IF($B$4="RESONANCE",IFERROR(IF(INDEX(MASTER!$I$4:$I$1463,MATCH("RECKONING"&amp;"|"&amp;MAX(1,ROUND(COUNTIFS(MASTER!$B$4:$B$1463,"RECKONING",MASTER!$I$4:$I$1463,"&lt;&gt;")*$A111*100/100,0)),MASTER!$Y$4:$Y$1463,0))="",NA(),INDEX(MASTER!$I$4:$I$1463,MATCH("RECKONING"&amp;"|"&amp;MAX(1,ROUND(COUNTIFS(MASTER!$B$4:$B$1463,"RECKONING",MASTER!$I$4:$I$1463,"&lt;&gt;")*$A111*100/100,0)),MASTER!$Y$4:$Y$1463,0))),NA()),IF($B$4="COMBAT RATING",IFERROR(IF(INDEX(MASTER!$G$4:$G$1463,MATCH("RECKONING"&amp;"|"&amp;MAX(1,ROUND(COUNTIFS(MASTER!$B$4:$B$1463,"RECKONING",MASTER!$G$4:$G$1463,"&lt;&gt;")*$A111*100/100,0)),MASTER!$AH$4:$AH$1463,0))="",NA(),INDEX(MASTER!$G$4:$G$1463,MATCH("RECKONING"&amp;"|"&amp;MAX(1,ROUND(COUNTIFS(MASTER!$B$4:$B$1463,"RECKONING",MASTER!$G$4:$G$1463,"&lt;&gt;")*$A111*100/100,0)),MASTER!$AH$4:$AH$1463,0))),NA()),IF($B$4="SECONDARY",IFERROR(IF(INDEX(MASTER!$L$4:$L$1463,MATCH("RECKONING"&amp;"|"&amp;MAX(1,ROUND(COUNTIFS(MASTER!$B$4:$B$1463,"RECKONING",MASTER!$L$4:$L$1463,"&lt;&gt;")*$A111*100/100,0)),MASTER!$AI$4:$AI$1463,0))="",NA(),INDEX(MASTER!$L$4:$L$1463,MATCH("RECKONING"&amp;"|"&amp;MAX(1,ROUND(COUNTIFS(MASTER!$B$4:$B$1463,"RECKONING",MASTER!$L$4:$L$1463,"&lt;&gt;")*$A111*100/100,0)),MASTER!$AI$4:$AI$1463,0))),NA()))))</f>
        <v>4454</v>
      </c>
      <c r="I111" s="37">
        <f>IF($B$4="RESONANCE",IFERROR(IF(INDEX(MASTER!$I$4:$I$1463,MATCH("ACHERON"&amp;"|"&amp;MAX(1,ROUND(COUNTIFS(MASTER!$B$4:$B$1463,"ACHERON",MASTER!$I$4:$I$1463,"&lt;&gt;")*$A111*100/100,0)),MASTER!$Y$4:$Y$1463,0))="",NA(),INDEX(MASTER!$I$4:$I$1463,MATCH("ACHERON"&amp;"|"&amp;MAX(1,ROUND(COUNTIFS(MASTER!$B$4:$B$1463,"ACHERON",MASTER!$I$4:$I$1463,"&lt;&gt;")*$A111*100/100,0)),MASTER!$Y$4:$Y$1463,0))),NA()),IF($B$4="COMBAT RATING",IFERROR(IF(INDEX(MASTER!$G$4:$G$1463,MATCH("ACHERON"&amp;"|"&amp;MAX(1,ROUND(COUNTIFS(MASTER!$B$4:$B$1463,"ACHERON",MASTER!$G$4:$G$1463,"&lt;&gt;")*$A111*100/100,0)),MASTER!$AH$4:$AH$1463,0))="",NA(),INDEX(MASTER!$G$4:$G$1463,MATCH("ACHERON"&amp;"|"&amp;MAX(1,ROUND(COUNTIFS(MASTER!$B$4:$B$1463,"ACHERON",MASTER!$G$4:$G$1463,"&lt;&gt;")*$A111*100/100,0)),MASTER!$AH$4:$AH$1463,0))),NA()),IF($B$4="SECONDARY",IFERROR(IF(INDEX(MASTER!$L$4:$L$1463,MATCH("ACHERON"&amp;"|"&amp;MAX(1,ROUND(COUNTIFS(MASTER!$B$4:$B$1463,"ACHERON",MASTER!$L$4:$L$1463,"&lt;&gt;")*$A111*100/100,0)),MASTER!$AI$4:$AI$1463,0))="",NA(),INDEX(MASTER!$L$4:$L$1463,MATCH("ACHERON"&amp;"|"&amp;MAX(1,ROUND(COUNTIFS(MASTER!$B$4:$B$1463,"ACHERON",MASTER!$L$4:$L$1463,"&lt;&gt;")*$A111*100/100,0)),MASTER!$AI$4:$AI$1463,0))),NA()))))</f>
        <v>3454</v>
      </c>
      <c r="J111" s="37">
        <f>IF($B$4="RESONANCE",IFERROR(IF(INDEX(MASTER!$I$4:$I$1463,MATCH("INVICTUS"&amp;"|"&amp;MAX(1,ROUND(COUNTIFS(MASTER!$B$4:$B$1463,"INVICTUS",MASTER!$I$4:$I$1463,"&lt;&gt;")*$A111*100/100,0)),MASTER!$Y$4:$Y$1463,0))="",NA(),INDEX(MASTER!$I$4:$I$1463,MATCH("INVICTUS"&amp;"|"&amp;MAX(1,ROUND(COUNTIFS(MASTER!$B$4:$B$1463,"INVICTUS",MASTER!$I$4:$I$1463,"&lt;&gt;")*$A111*100/100,0)),MASTER!$Y$4:$Y$1463,0))),NA()),IF($B$4="COMBAT RATING",IFERROR(IF(INDEX(MASTER!$G$4:$G$1463,MATCH("INVICTUS"&amp;"|"&amp;MAX(1,ROUND(COUNTIFS(MASTER!$B$4:$B$1463,"INVICTUS",MASTER!$G$4:$G$1463,"&lt;&gt;")*$A111*100/100,0)),MASTER!$AH$4:$AH$1463,0))="",NA(),INDEX(MASTER!$G$4:$G$1463,MATCH("INVICTUS"&amp;"|"&amp;MAX(1,ROUND(COUNTIFS(MASTER!$B$4:$B$1463,"INVICTUS",MASTER!$G$4:$G$1463,"&lt;&gt;")*$A111*100/100,0)),MASTER!$AH$4:$AH$1463,0))),NA()),IF($B$4="SECONDARY",IFERROR(IF(INDEX(MASTER!$L$4:$L$1463,MATCH("INVICTUS"&amp;"|"&amp;MAX(1,ROUND(COUNTIFS(MASTER!$B$4:$B$1463,"INVICTUS",MASTER!$L$4:$L$1463,"&lt;&gt;")*$A111*100/100,0)),MASTER!$AI$4:$AI$1463,0))="",NA(),INDEX(MASTER!$L$4:$L$1463,MATCH("INVICTUS"&amp;"|"&amp;MAX(1,ROUND(COUNTIFS(MASTER!$B$4:$B$1463,"INVICTUS",MASTER!$L$4:$L$1463,"&lt;&gt;")*$A111*100/100,0)),MASTER!$AI$4:$AI$1463,0))),NA()))))</f>
        <v>2900</v>
      </c>
      <c r="K111" s="37">
        <f>IF($B$4="RESONANCE",IFERROR(IF(INDEX(MASTER!$I$4:$I$1463,MATCH("EMERALD LEAF TRIBE"&amp;"|"&amp;MAX(1,ROUND(COUNTIFS(MASTER!$B$4:$B$1463,"EMERALD LEAF TRIBE",MASTER!$I$4:$I$1463,"&lt;&gt;")*$A111*100/100,0)),MASTER!$Y$4:$Y$1463,0))="",NA(),INDEX(MASTER!$I$4:$I$1463,MATCH("EMERALD LEAF TRIBE"&amp;"|"&amp;MAX(1,ROUND(COUNTIFS(MASTER!$B$4:$B$1463,"EMERALD LEAF TRIBE",MASTER!$I$4:$I$1463,"&lt;&gt;")*$A111*100/100,0)),MASTER!$Y$4:$Y$1463,0))),NA()),IF($B$4="COMBAT RATING",IFERROR(IF(INDEX(MASTER!$G$4:$G$1463,MATCH("EMERALD LEAF TRIBE"&amp;"|"&amp;MAX(1,ROUND(COUNTIFS(MASTER!$B$4:$B$1463,"EMERALD LEAF TRIBE",MASTER!$G$4:$G$1463,"&lt;&gt;")*$A111*100/100,0)),MASTER!$AH$4:$AH$1463,0))="",NA(),INDEX(MASTER!$G$4:$G$1463,MATCH("EMERALD LEAF TRIBE"&amp;"|"&amp;MAX(1,ROUND(COUNTIFS(MASTER!$B$4:$B$1463,"EMERALD LEAF TRIBE",MASTER!$G$4:$G$1463,"&lt;&gt;")*$A111*100/100,0)),MASTER!$AH$4:$AH$1463,0))),NA()),IF($B$4="SECONDARY",IFERROR(IF(INDEX(MASTER!$L$4:$L$1463,MATCH("EMERALD LEAF TRIBE"&amp;"|"&amp;MAX(1,ROUND(COUNTIFS(MASTER!$B$4:$B$1463,"EMERALD LEAF TRIBE",MASTER!$L$4:$L$1463,"&lt;&gt;")*$A111*100/100,0)),MASTER!$AI$4:$AI$1463,0))="",NA(),INDEX(MASTER!$L$4:$L$1463,MATCH("EMERALD LEAF TRIBE"&amp;"|"&amp;MAX(1,ROUND(COUNTIFS(MASTER!$B$4:$B$1463,"EMERALD LEAF TRIBE",MASTER!$L$4:$L$1463,"&lt;&gt;")*$A111*100/100,0)),MASTER!$AI$4:$AI$1463,0))),NA()))))</f>
        <v>2015</v>
      </c>
      <c r="L111" s="37">
        <f>IF($B$4="RESONANCE",IFERROR(IF(INDEX(MASTER!$I$4:$I$1463,MATCH("SUB ROSA"&amp;"|"&amp;MAX(1,ROUND(COUNTIFS(MASTER!$B$4:$B$1463,"SUB ROSA",MASTER!$I$4:$I$1463,"&lt;&gt;")*$A111*100/100,0)),MASTER!$Y$4:$Y$1463,0))="",NA(),INDEX(MASTER!$I$4:$I$1463,MATCH("SUB ROSA"&amp;"|"&amp;MAX(1,ROUND(COUNTIFS(MASTER!$B$4:$B$1463,"SUB ROSA",MASTER!$I$4:$I$1463,"&lt;&gt;")*$A111*100/100,0)),MASTER!$Y$4:$Y$1463,0))),NA()),IF($B$4="COMBAT RATING",IFERROR(IF(INDEX(MASTER!$G$4:$G$1463,MATCH("SUB ROSA"&amp;"|"&amp;MAX(1,ROUND(COUNTIFS(MASTER!$B$4:$B$1463,"SUB ROSA",MASTER!$G$4:$G$1463,"&lt;&gt;")*$A111*100/100,0)),MASTER!$AH$4:$AH$1463,0))="",NA(),INDEX(MASTER!$G$4:$G$1463,MATCH("SUB ROSA"&amp;"|"&amp;MAX(1,ROUND(COUNTIFS(MASTER!$B$4:$B$1463,"SUB ROSA",MASTER!$G$4:$G$1463,"&lt;&gt;")*$A111*100/100,0)),MASTER!$AH$4:$AH$1463,0))),NA()),IF($B$4="SECONDARY",IFERROR(IF(INDEX(MASTER!$L$4:$L$1463,MATCH("SUB ROSA"&amp;"|"&amp;MAX(1,ROUND(COUNTIFS(MASTER!$B$4:$B$1463,"SUB ROSA",MASTER!$L$4:$L$1463,"&lt;&gt;")*$A111*100/100,0)),MASTER!$AI$4:$AI$1463,0))="",NA(),INDEX(MASTER!$L$4:$L$1463,MATCH("SUB ROSA"&amp;"|"&amp;MAX(1,ROUND(COUNTIFS(MASTER!$B$4:$B$1463,"SUB ROSA",MASTER!$L$4:$L$1463,"&lt;&gt;")*$A111*100/100,0)),MASTER!$AI$4:$AI$1463,0))),NA()))))</f>
        <v>2296</v>
      </c>
      <c r="M111" s="37">
        <f>IF($B$4="RESONANCE",IFERROR(IF(INDEX(MASTER!$I$4:$I$1463,MATCH("VENGEANCE"&amp;"|"&amp;MAX(1,ROUND(COUNTIFS(MASTER!$B$4:$B$1463,"VENGEANCE",MASTER!$I$4:$I$1463,"&lt;&gt;")*$A111*100/100,0)),MASTER!$Y$4:$Y$1463,0))="",NA(),INDEX(MASTER!$I$4:$I$1463,MATCH("VENGEANCE"&amp;"|"&amp;MAX(1,ROUND(COUNTIFS(MASTER!$B$4:$B$1463,"VENGEANCE",MASTER!$I$4:$I$1463,"&lt;&gt;")*$A111*100/100,0)),MASTER!$Y$4:$Y$1463,0))),NA()),IF($B$4="COMBAT RATING",IFERROR(IF(INDEX(MASTER!$G$4:$G$1463,MATCH("VENGEANCE"&amp;"|"&amp;MAX(1,ROUND(COUNTIFS(MASTER!$B$4:$B$1463,"VENGEANCE",MASTER!$G$4:$G$1463,"&lt;&gt;")*$A111*100/100,0)),MASTER!$AH$4:$AH$1463,0))="",NA(),INDEX(MASTER!$G$4:$G$1463,MATCH("VENGEANCE"&amp;"|"&amp;MAX(1,ROUND(COUNTIFS(MASTER!$B$4:$B$1463,"VENGEANCE",MASTER!$G$4:$G$1463,"&lt;&gt;")*$A111*100/100,0)),MASTER!$AH$4:$AH$1463,0))),NA()),IF($B$4="SECONDARY",IFERROR(IF(INDEX(MASTER!$L$4:$L$1463,MATCH("VENGEANCE"&amp;"|"&amp;MAX(1,ROUND(COUNTIFS(MASTER!$B$4:$B$1463,"VENGEANCE",MASTER!$L$4:$L$1463,"&lt;&gt;")*$A111*100/100,0)),MASTER!$AI$4:$AI$1463,0))="",NA(),INDEX(MASTER!$L$4:$L$1463,MATCH("VENGEANCE"&amp;"|"&amp;MAX(1,ROUND(COUNTIFS(MASTER!$B$4:$B$1463,"VENGEANCE",MASTER!$L$4:$L$1463,"&lt;&gt;")*$A111*100/100,0)),MASTER!$AI$4:$AI$1463,0))),NA()))))</f>
        <v>3239</v>
      </c>
      <c r="N111" s="37">
        <f>IF($B$4="RESONANCE",IFERROR(IF(INDEX(MASTER!$I$4:$I$1463,MATCH("VENDETTA"&amp;"|"&amp;MAX(1,ROUND(COUNTIFS(MASTER!$B$4:$B$1463,"VENDETTA",MASTER!$I$4:$I$1463,"&lt;&gt;")*$A111*100/100,0)),MASTER!$Y$4:$Y$1463,0))="",NA(),INDEX(MASTER!$I$4:$I$1463,MATCH("VENDETTA"&amp;"|"&amp;MAX(1,ROUND(COUNTIFS(MASTER!$B$4:$B$1463,"VENDETTA",MASTER!$I$4:$I$1463,"&lt;&gt;")*$A111*100/100,0)),MASTER!$Y$4:$Y$1463,0))),NA()),IF($B$4="COMBAT RATING",IFERROR(IF(INDEX(MASTER!$G$4:$G$1463,MATCH("VENDETTA"&amp;"|"&amp;MAX(1,ROUND(COUNTIFS(MASTER!$B$4:$B$1463,"VENDETTA",MASTER!$G$4:$G$1463,"&lt;&gt;")*$A111*100/100,0)),MASTER!$AH$4:$AH$1463,0))="",NA(),INDEX(MASTER!$G$4:$G$1463,MATCH("VENDETTA"&amp;"|"&amp;MAX(1,ROUND(COUNTIFS(MASTER!$B$4:$B$1463,"VENDETTA",MASTER!$G$4:$G$1463,"&lt;&gt;")*$A111*100/100,0)),MASTER!$AH$4:$AH$1463,0))),NA()),IF($B$4="SECONDARY",IFERROR(IF(INDEX(MASTER!$L$4:$L$1463,MATCH("VENDETTA"&amp;"|"&amp;MAX(1,ROUND(COUNTIFS(MASTER!$B$4:$B$1463,"VENDETTA",MASTER!$L$4:$L$1463,"&lt;&gt;")*$A111*100/100,0)),MASTER!$AI$4:$AI$1463,0))="",NA(),INDEX(MASTER!$L$4:$L$1463,MATCH("VENDETTA"&amp;"|"&amp;MAX(1,ROUND(COUNTIFS(MASTER!$B$4:$B$1463,"VENDETTA",MASTER!$L$4:$L$1463,"&lt;&gt;")*$A111*100/100,0)),MASTER!$AI$4:$AI$1463,0))),NA()))))</f>
        <v>1910</v>
      </c>
      <c r="O111" s="37">
        <f>IF($B$4="RESONANCE",IFERROR(IF(INDEX(MASTER!$I$4:$I$1463,MATCH("ZOMBIES"&amp;"|"&amp;MAX(1,ROUND(COUNTIFS(MASTER!$B$4:$B$1463,"ZOMBIES",MASTER!$I$4:$I$1463,"&lt;&gt;")*$A111*100/100,0)),MASTER!$Y$4:$Y$1463,0))="",NA(),INDEX(MASTER!$I$4:$I$1463,MATCH("ZOMBIES"&amp;"|"&amp;MAX(1,ROUND(COUNTIFS(MASTER!$B$4:$B$1463,"ZOMBIES",MASTER!$I$4:$I$1463,"&lt;&gt;")*$A111*100/100,0)),MASTER!$Y$4:$Y$1463,0))),NA()),IF($B$4="COMBAT RATING",IFERROR(IF(INDEX(MASTER!$G$4:$G$1463,MATCH("ZOMBIES"&amp;"|"&amp;MAX(1,ROUND(COUNTIFS(MASTER!$B$4:$B$1463,"ZOMBIES",MASTER!$G$4:$G$1463,"&lt;&gt;")*$A111*100/100,0)),MASTER!$AH$4:$AH$1463,0))="",NA(),INDEX(MASTER!$G$4:$G$1463,MATCH("ZOMBIES"&amp;"|"&amp;MAX(1,ROUND(COUNTIFS(MASTER!$B$4:$B$1463,"ZOMBIES",MASTER!$G$4:$G$1463,"&lt;&gt;")*$A111*100/100,0)),MASTER!$AH$4:$AH$1463,0))),NA()),IF($B$4="SECONDARY",IFERROR(IF(INDEX(MASTER!$L$4:$L$1463,MATCH("ZOMBIES"&amp;"|"&amp;MAX(1,ROUND(COUNTIFS(MASTER!$B$4:$B$1463,"ZOMBIES",MASTER!$L$4:$L$1463,"&lt;&gt;")*$A111*100/100,0)),MASTER!$AI$4:$AI$1463,0))="",NA(),INDEX(MASTER!$L$4:$L$1463,MATCH("ZOMBIES"&amp;"|"&amp;MAX(1,ROUND(COUNTIFS(MASTER!$B$4:$B$1463,"ZOMBIES",MASTER!$L$4:$L$1463,"&lt;&gt;")*$A111*100/100,0)),MASTER!$AI$4:$AI$1463,0))),NA()))))</f>
        <v>1619</v>
      </c>
      <c r="P111" s="37">
        <f>IF($B$4="RESONANCE",IFERROR(IF(INDEX(MASTER!$I$4:$I$1463,MATCH("FUCT"&amp;"|"&amp;MAX(1,ROUND(COUNTIFS(MASTER!$B$4:$B$1463,"FUCT",MASTER!$I$4:$I$1463,"&lt;&gt;")*$A111*100/100,0)),MASTER!$Y$4:$Y$1463,0))="",NA(),INDEX(MASTER!$I$4:$I$1463,MATCH("FUCT"&amp;"|"&amp;MAX(1,ROUND(COUNTIFS(MASTER!$B$4:$B$1463,"FUCT",MASTER!$I$4:$I$1463,"&lt;&gt;")*$A111*100/100,0)),MASTER!$Y$4:$Y$1463,0))),NA()),IF($B$4="COMBAT RATING",IFERROR(IF(INDEX(MASTER!$G$4:$G$1463,MATCH("FUCT"&amp;"|"&amp;MAX(1,ROUND(COUNTIFS(MASTER!$B$4:$B$1463,"FUCT",MASTER!$G$4:$G$1463,"&lt;&gt;")*$A111*100/100,0)),MASTER!$AH$4:$AH$1463,0))="",NA(),INDEX(MASTER!$G$4:$G$1463,MATCH("FUCT"&amp;"|"&amp;MAX(1,ROUND(COUNTIFS(MASTER!$B$4:$B$1463,"FUCT",MASTER!$G$4:$G$1463,"&lt;&gt;")*$A111*100/100,0)),MASTER!$AH$4:$AH$1463,0))),NA()),IF($B$4="SECONDARY",IFERROR(IF(INDEX(MASTER!$L$4:$L$1463,MATCH("FUCT"&amp;"|"&amp;MAX(1,ROUND(COUNTIFS(MASTER!$B$4:$B$1463,"FUCT",MASTER!$L$4:$L$1463,"&lt;&gt;")*$A111*100/100,0)),MASTER!$AI$4:$AI$1463,0))="",NA(),INDEX(MASTER!$L$4:$L$1463,MATCH("FUCT"&amp;"|"&amp;MAX(1,ROUND(COUNTIFS(MASTER!$B$4:$B$1463,"FUCT",MASTER!$L$4:$L$1463,"&lt;&gt;")*$A111*100/100,0)),MASTER!$AI$4:$AI$1463,0))),NA()))))</f>
        <v>4164</v>
      </c>
      <c r="Q111" s="37">
        <f>IF($B$4="RESONANCE",IFERROR(IF(INDEX(MASTER!$I$4:$I$1463,MATCH($E$4&amp;"|"&amp;MAX(1,ROUND(COUNTIFS(MASTER!$B$4:$B$1463,$E$4,MASTER!$I$4:$I$1463,"&lt;&gt;")*$A111*100/100,0)),MASTER!$Y$4:$Y$1463,0))="",NA(),INDEX(MASTER!$I$4:$I$1463,MATCH($E$4&amp;"|"&amp;MAX(1,ROUND(COUNTIFS(MASTER!$B$4:$B$1463,$E$4,MASTER!$I$4:$I$1463,"&lt;&gt;")*$A111*100/100,0)),MASTER!$Y$4:$Y$1463,0))),NA()),IF($B$4="COMBAT RATING",IFERROR(IF(INDEX(MASTER!$G$4:$G$1463,MATCH($E$4&amp;"|"&amp;MAX(1,ROUND(COUNTIFS(MASTER!$B$4:$B$1463,$E$4,MASTER!$G$4:$G$1463,"&lt;&gt;")*$A111*100/100,0)),MASTER!$AH$4:$AH$1463,0))="",NA(),INDEX(MASTER!$G$4:$G$1463,MATCH($E$4&amp;"|"&amp;MAX(1,ROUND(COUNTIFS(MASTER!$B$4:$B$1463,$E$4,MASTER!$G$4:$G$1463,"&lt;&gt;")*$A111*100/100,0)),MASTER!$AH$4:$AH$1463,0))),NA()),IF($B$4="SECONDARY",IFERROR(IF(INDEX(MASTER!$L$4:$L$1463,MATCH($E$4&amp;"|"&amp;MAX(1,ROUND(COUNTIFS(MASTER!$B$4:$B$1463,$E$4,MASTER!$L$4:$L$1463,"&lt;&gt;")*$A111*100/100,0)),MASTER!$AI$4:$AI$1463,0))="",NA(),INDEX(MASTER!$L$4:$L$1463,MATCH($E$4&amp;"|"&amp;MAX(1,ROUND(COUNTIFS(MASTER!$B$4:$B$1463,$E$4,MASTER!$L$4:$L$1463,"&lt;&gt;")*$A111*100/100,0)),MASTER!$AI$4:$AI$1463,0))),NA()))))</f>
        <v>3905</v>
      </c>
    </row>
    <row r="112" spans="1:17" hidden="1">
      <c r="A112" s="36">
        <v>0.56999999999999995</v>
      </c>
      <c r="B112" s="37">
        <f>IF($B$4="RESONANCE",IFERROR(IF(INDEX(MASTER!$I$4:$I$1463,MATCH("FUCT"&amp;"|"&amp;MAX(1,ROUND(COUNTIFS(MASTER!$B$4:$B$1463,"FUCT",MASTER!$I$4:$I$1463,"&lt;&gt;")*$A112*100/100,0)),MASTER!$Y$4:$Y$1463,0))="",NA(),INDEX(MASTER!$I$4:$I$1463,MATCH("FUCT"&amp;"|"&amp;MAX(1,ROUND(COUNTIFS(MASTER!$B$4:$B$1463,"FUCT",MASTER!$I$4:$I$1463,"&lt;&gt;")*$A112*100/100,0)),MASTER!$Y$4:$Y$1463,0))),NA()),IF($B$4="COMBAT RATING",IFERROR(IF(INDEX(MASTER!$G$4:$G$1463,MATCH("FUCT"&amp;"|"&amp;MAX(1,ROUND(COUNTIFS(MASTER!$B$4:$B$1463,"FUCT",MASTER!$G$4:$G$1463,"&lt;&gt;")*$A112*100/100,0)),MASTER!$AH$4:$AH$1463,0))="",NA(),INDEX(MASTER!$G$4:$G$1463,MATCH("FUCT"&amp;"|"&amp;MAX(1,ROUND(COUNTIFS(MASTER!$B$4:$B$1463,"FUCT",MASTER!$G$4:$G$1463,"&lt;&gt;")*$A112*100/100,0)),MASTER!$AH$4:$AH$1463,0))),NA()),IF($B$4="SECONDARY",IFERROR(IF(INDEX(MASTER!$L$4:$L$1463,MATCH("FUCT"&amp;"|"&amp;MAX(1,ROUND(COUNTIFS(MASTER!$B$4:$B$1463,"FUCT",MASTER!$L$4:$L$1463,"&lt;&gt;")*$A112*100/100,0)),MASTER!$AI$4:$AI$1463,0))="",NA(),INDEX(MASTER!$L$4:$L$1463,MATCH("FUCT"&amp;"|"&amp;MAX(1,ROUND(COUNTIFS(MASTER!$B$4:$B$1463,"FUCT",MASTER!$L$4:$L$1463,"&lt;&gt;")*$A112*100/100,0)),MASTER!$AI$4:$AI$1463,0))),NA()))))</f>
        <v>4147</v>
      </c>
      <c r="C112" s="37">
        <f>IF($B$4="RESONANCE",IFERROR(IF(INDEX(MASTER!$I$4:$I$1463,MATCH("LEGENDS"&amp;"|"&amp;MAX(1,ROUND(COUNTIFS(MASTER!$B$4:$B$1463,"LEGENDS",MASTER!$I$4:$I$1463,"&lt;&gt;")*$A112*100/100,0)),MASTER!$Y$4:$Y$1463,0))="",NA(),INDEX(MASTER!$I$4:$I$1463,MATCH("LEGENDS"&amp;"|"&amp;MAX(1,ROUND(COUNTIFS(MASTER!$B$4:$B$1463,"LEGENDS",MASTER!$I$4:$I$1463,"&lt;&gt;")*$A112*100/100,0)),MASTER!$Y$4:$Y$1463,0))),NA()),IF($B$4="COMBAT RATING",IFERROR(IF(INDEX(MASTER!$G$4:$G$1463,MATCH("LEGENDS"&amp;"|"&amp;MAX(1,ROUND(COUNTIFS(MASTER!$B$4:$B$1463,"LEGENDS",MASTER!$G$4:$G$1463,"&lt;&gt;")*$A112*100/100,0)),MASTER!$AH$4:$AH$1463,0))="",NA(),INDEX(MASTER!$G$4:$G$1463,MATCH("LEGENDS"&amp;"|"&amp;MAX(1,ROUND(COUNTIFS(MASTER!$B$4:$B$1463,"LEGENDS",MASTER!$G$4:$G$1463,"&lt;&gt;")*$A112*100/100,0)),MASTER!$AH$4:$AH$1463,0))),NA()),IF($B$4="SECONDARY",IFERROR(IF(INDEX(MASTER!$L$4:$L$1463,MATCH("LEGENDS"&amp;"|"&amp;MAX(1,ROUND(COUNTIFS(MASTER!$B$4:$B$1463,"LEGENDS",MASTER!$L$4:$L$1463,"&lt;&gt;")*$A112*100/100,0)),MASTER!$AI$4:$AI$1463,0))="",NA(),INDEX(MASTER!$L$4:$L$1463,MATCH("LEGENDS"&amp;"|"&amp;MAX(1,ROUND(COUNTIFS(MASTER!$B$4:$B$1463,"LEGENDS",MASTER!$L$4:$L$1463,"&lt;&gt;")*$A112*100/100,0)),MASTER!$AI$4:$AI$1463,0))),NA()))))</f>
        <v>4825</v>
      </c>
      <c r="D112" s="37">
        <f>IF($B$4="RESONANCE",IFERROR(IF(INDEX(MASTER!$I$4:$I$1463,MATCH("VANGUARD"&amp;"|"&amp;MAX(1,ROUND(COUNTIFS(MASTER!$B$4:$B$1463,"VANGUARD",MASTER!$I$4:$I$1463,"&lt;&gt;")*$A112*100/100,0)),MASTER!$Y$4:$Y$1463,0))="",NA(),INDEX(MASTER!$I$4:$I$1463,MATCH("VANGUARD"&amp;"|"&amp;MAX(1,ROUND(COUNTIFS(MASTER!$B$4:$B$1463,"VANGUARD",MASTER!$I$4:$I$1463,"&lt;&gt;")*$A112*100/100,0)),MASTER!$Y$4:$Y$1463,0))),NA()),IF($B$4="COMBAT RATING",IFERROR(IF(INDEX(MASTER!$G$4:$G$1463,MATCH("VANGUARD"&amp;"|"&amp;MAX(1,ROUND(COUNTIFS(MASTER!$B$4:$B$1463,"VANGUARD",MASTER!$G$4:$G$1463,"&lt;&gt;")*$A112*100/100,0)),MASTER!$AH$4:$AH$1463,0))="",NA(),INDEX(MASTER!$G$4:$G$1463,MATCH("VANGUARD"&amp;"|"&amp;MAX(1,ROUND(COUNTIFS(MASTER!$B$4:$B$1463,"VANGUARD",MASTER!$G$4:$G$1463,"&lt;&gt;")*$A112*100/100,0)),MASTER!$AH$4:$AH$1463,0))),NA()),IF($B$4="SECONDARY",IFERROR(IF(INDEX(MASTER!$L$4:$L$1463,MATCH("VANGUARD"&amp;"|"&amp;MAX(1,ROUND(COUNTIFS(MASTER!$B$4:$B$1463,"VANGUARD",MASTER!$L$4:$L$1463,"&lt;&gt;")*$A112*100/100,0)),MASTER!$AI$4:$AI$1463,0))="",NA(),INDEX(MASTER!$L$4:$L$1463,MATCH("VANGUARD"&amp;"|"&amp;MAX(1,ROUND(COUNTIFS(MASTER!$B$4:$B$1463,"VANGUARD",MASTER!$L$4:$L$1463,"&lt;&gt;")*$A112*100/100,0)),MASTER!$AI$4:$AI$1463,0))),NA()))))</f>
        <v>6220</v>
      </c>
      <c r="E112" s="37">
        <f>IF($B$4="RESONANCE",IFERROR(IF(INDEX(MASTER!$I$4:$I$1463,MATCH("UNDYING"&amp;"|"&amp;MAX(1,ROUND(COUNTIFS(MASTER!$B$4:$B$1463,"UNDYING",MASTER!$I$4:$I$1463,"&lt;&gt;")*$A112*100/100,0)),MASTER!$Y$4:$Y$1463,0))="",NA(),INDEX(MASTER!$I$4:$I$1463,MATCH("UNDYING"&amp;"|"&amp;MAX(1,ROUND(COUNTIFS(MASTER!$B$4:$B$1463,"UNDYING",MASTER!$I$4:$I$1463,"&lt;&gt;")*$A112*100/100,0)),MASTER!$Y$4:$Y$1463,0))),NA()),IF($B$4="COMBAT RATING",IFERROR(IF(INDEX(MASTER!$G$4:$G$1463,MATCH("UNDYING"&amp;"|"&amp;MAX(1,ROUND(COUNTIFS(MASTER!$B$4:$B$1463,"UNDYING",MASTER!$G$4:$G$1463,"&lt;&gt;")*$A112*100/100,0)),MASTER!$AH$4:$AH$1463,0))="",NA(),INDEX(MASTER!$G$4:$G$1463,MATCH("UNDYING"&amp;"|"&amp;MAX(1,ROUND(COUNTIFS(MASTER!$B$4:$B$1463,"UNDYING",MASTER!$G$4:$G$1463,"&lt;&gt;")*$A112*100/100,0)),MASTER!$AH$4:$AH$1463,0))),NA()),IF($B$4="SECONDARY",IFERROR(IF(INDEX(MASTER!$L$4:$L$1463,MATCH("UNDYING"&amp;"|"&amp;MAX(1,ROUND(COUNTIFS(MASTER!$B$4:$B$1463,"UNDYING",MASTER!$L$4:$L$1463,"&lt;&gt;")*$A112*100/100,0)),MASTER!$AI$4:$AI$1463,0))="",NA(),INDEX(MASTER!$L$4:$L$1463,MATCH("UNDYING"&amp;"|"&amp;MAX(1,ROUND(COUNTIFS(MASTER!$B$4:$B$1463,"UNDYING",MASTER!$L$4:$L$1463,"&lt;&gt;")*$A112*100/100,0)),MASTER!$AI$4:$AI$1463,0))),NA()))))</f>
        <v>3847</v>
      </c>
      <c r="F112" s="37">
        <f>IF($B$4="RESONANCE",IFERROR(IF(INDEX(MASTER!$I$4:$I$1463,MATCH("SBG"&amp;"|"&amp;MAX(1,ROUND(COUNTIFS(MASTER!$B$4:$B$1463,"SBG",MASTER!$I$4:$I$1463,"&lt;&gt;")*$A112*100/100,0)),MASTER!$Y$4:$Y$1463,0))="",NA(),INDEX(MASTER!$I$4:$I$1463,MATCH("SBG"&amp;"|"&amp;MAX(1,ROUND(COUNTIFS(MASTER!$B$4:$B$1463,"SBG",MASTER!$I$4:$I$1463,"&lt;&gt;")*$A112*100/100,0)),MASTER!$Y$4:$Y$1463,0))),NA()),IF($B$4="COMBAT RATING",IFERROR(IF(INDEX(MASTER!$G$4:$G$1463,MATCH("SBG"&amp;"|"&amp;MAX(1,ROUND(COUNTIFS(MASTER!$B$4:$B$1463,"SBG",MASTER!$G$4:$G$1463,"&lt;&gt;")*$A112*100/100,0)),MASTER!$AH$4:$AH$1463,0))="",NA(),INDEX(MASTER!$G$4:$G$1463,MATCH("SBG"&amp;"|"&amp;MAX(1,ROUND(COUNTIFS(MASTER!$B$4:$B$1463,"SBG",MASTER!$G$4:$G$1463,"&lt;&gt;")*$A112*100/100,0)),MASTER!$AH$4:$AH$1463,0))),NA()),IF($B$4="SECONDARY",IFERROR(IF(INDEX(MASTER!$L$4:$L$1463,MATCH("SBG"&amp;"|"&amp;MAX(1,ROUND(COUNTIFS(MASTER!$B$4:$B$1463,"SBG",MASTER!$L$4:$L$1463,"&lt;&gt;")*$A112*100/100,0)),MASTER!$AI$4:$AI$1463,0))="",NA(),INDEX(MASTER!$L$4:$L$1463,MATCH("SBG"&amp;"|"&amp;MAX(1,ROUND(COUNTIFS(MASTER!$B$4:$B$1463,"SBG",MASTER!$L$4:$L$1463,"&lt;&gt;")*$A112*100/100,0)),MASTER!$AI$4:$AI$1463,0))),NA()))))</f>
        <v>5226</v>
      </c>
      <c r="G112" s="37">
        <f>IF($B$4="RESONANCE",IFERROR(IF(INDEX(MASTER!$I$4:$I$1463,MATCH("AZUKI"&amp;"|"&amp;MAX(1,ROUND(COUNTIFS(MASTER!$B$4:$B$1463,"AZUKI",MASTER!$I$4:$I$1463,"&lt;&gt;")*$A112*100/100,0)),MASTER!$Y$4:$Y$1463,0))="",NA(),INDEX(MASTER!$I$4:$I$1463,MATCH("AZUKI"&amp;"|"&amp;MAX(1,ROUND(COUNTIFS(MASTER!$B$4:$B$1463,"AZUKI",MASTER!$I$4:$I$1463,"&lt;&gt;")*$A112*100/100,0)),MASTER!$Y$4:$Y$1463,0))),NA()),IF($B$4="COMBAT RATING",IFERROR(IF(INDEX(MASTER!$G$4:$G$1463,MATCH("AZUKI"&amp;"|"&amp;MAX(1,ROUND(COUNTIFS(MASTER!$B$4:$B$1463,"AZUKI",MASTER!$G$4:$G$1463,"&lt;&gt;")*$A112*100/100,0)),MASTER!$AH$4:$AH$1463,0))="",NA(),INDEX(MASTER!$G$4:$G$1463,MATCH("AZUKI"&amp;"|"&amp;MAX(1,ROUND(COUNTIFS(MASTER!$B$4:$B$1463,"AZUKI",MASTER!$G$4:$G$1463,"&lt;&gt;")*$A112*100/100,0)),MASTER!$AH$4:$AH$1463,0))),NA()),IF($B$4="SECONDARY",IFERROR(IF(INDEX(MASTER!$L$4:$L$1463,MATCH("AZUKI"&amp;"|"&amp;MAX(1,ROUND(COUNTIFS(MASTER!$B$4:$B$1463,"AZUKI",MASTER!$L$4:$L$1463,"&lt;&gt;")*$A112*100/100,0)),MASTER!$AI$4:$AI$1463,0))="",NA(),INDEX(MASTER!$L$4:$L$1463,MATCH("AZUKI"&amp;"|"&amp;MAX(1,ROUND(COUNTIFS(MASTER!$B$4:$B$1463,"AZUKI",MASTER!$L$4:$L$1463,"&lt;&gt;")*$A112*100/100,0)),MASTER!$AI$4:$AI$1463,0))),NA()))))</f>
        <v>4200</v>
      </c>
      <c r="H112" s="37">
        <f>IF($B$4="RESONANCE",IFERROR(IF(INDEX(MASTER!$I$4:$I$1463,MATCH("RECKONING"&amp;"|"&amp;MAX(1,ROUND(COUNTIFS(MASTER!$B$4:$B$1463,"RECKONING",MASTER!$I$4:$I$1463,"&lt;&gt;")*$A112*100/100,0)),MASTER!$Y$4:$Y$1463,0))="",NA(),INDEX(MASTER!$I$4:$I$1463,MATCH("RECKONING"&amp;"|"&amp;MAX(1,ROUND(COUNTIFS(MASTER!$B$4:$B$1463,"RECKONING",MASTER!$I$4:$I$1463,"&lt;&gt;")*$A112*100/100,0)),MASTER!$Y$4:$Y$1463,0))),NA()),IF($B$4="COMBAT RATING",IFERROR(IF(INDEX(MASTER!$G$4:$G$1463,MATCH("RECKONING"&amp;"|"&amp;MAX(1,ROUND(COUNTIFS(MASTER!$B$4:$B$1463,"RECKONING",MASTER!$G$4:$G$1463,"&lt;&gt;")*$A112*100/100,0)),MASTER!$AH$4:$AH$1463,0))="",NA(),INDEX(MASTER!$G$4:$G$1463,MATCH("RECKONING"&amp;"|"&amp;MAX(1,ROUND(COUNTIFS(MASTER!$B$4:$B$1463,"RECKONING",MASTER!$G$4:$G$1463,"&lt;&gt;")*$A112*100/100,0)),MASTER!$AH$4:$AH$1463,0))),NA()),IF($B$4="SECONDARY",IFERROR(IF(INDEX(MASTER!$L$4:$L$1463,MATCH("RECKONING"&amp;"|"&amp;MAX(1,ROUND(COUNTIFS(MASTER!$B$4:$B$1463,"RECKONING",MASTER!$L$4:$L$1463,"&lt;&gt;")*$A112*100/100,0)),MASTER!$AI$4:$AI$1463,0))="",NA(),INDEX(MASTER!$L$4:$L$1463,MATCH("RECKONING"&amp;"|"&amp;MAX(1,ROUND(COUNTIFS(MASTER!$B$4:$B$1463,"RECKONING",MASTER!$L$4:$L$1463,"&lt;&gt;")*$A112*100/100,0)),MASTER!$AI$4:$AI$1463,0))),NA()))))</f>
        <v>4305</v>
      </c>
      <c r="I112" s="37">
        <f>IF($B$4="RESONANCE",IFERROR(IF(INDEX(MASTER!$I$4:$I$1463,MATCH("ACHERON"&amp;"|"&amp;MAX(1,ROUND(COUNTIFS(MASTER!$B$4:$B$1463,"ACHERON",MASTER!$I$4:$I$1463,"&lt;&gt;")*$A112*100/100,0)),MASTER!$Y$4:$Y$1463,0))="",NA(),INDEX(MASTER!$I$4:$I$1463,MATCH("ACHERON"&amp;"|"&amp;MAX(1,ROUND(COUNTIFS(MASTER!$B$4:$B$1463,"ACHERON",MASTER!$I$4:$I$1463,"&lt;&gt;")*$A112*100/100,0)),MASTER!$Y$4:$Y$1463,0))),NA()),IF($B$4="COMBAT RATING",IFERROR(IF(INDEX(MASTER!$G$4:$G$1463,MATCH("ACHERON"&amp;"|"&amp;MAX(1,ROUND(COUNTIFS(MASTER!$B$4:$B$1463,"ACHERON",MASTER!$G$4:$G$1463,"&lt;&gt;")*$A112*100/100,0)),MASTER!$AH$4:$AH$1463,0))="",NA(),INDEX(MASTER!$G$4:$G$1463,MATCH("ACHERON"&amp;"|"&amp;MAX(1,ROUND(COUNTIFS(MASTER!$B$4:$B$1463,"ACHERON",MASTER!$G$4:$G$1463,"&lt;&gt;")*$A112*100/100,0)),MASTER!$AH$4:$AH$1463,0))),NA()),IF($B$4="SECONDARY",IFERROR(IF(INDEX(MASTER!$L$4:$L$1463,MATCH("ACHERON"&amp;"|"&amp;MAX(1,ROUND(COUNTIFS(MASTER!$B$4:$B$1463,"ACHERON",MASTER!$L$4:$L$1463,"&lt;&gt;")*$A112*100/100,0)),MASTER!$AI$4:$AI$1463,0))="",NA(),INDEX(MASTER!$L$4:$L$1463,MATCH("ACHERON"&amp;"|"&amp;MAX(1,ROUND(COUNTIFS(MASTER!$B$4:$B$1463,"ACHERON",MASTER!$L$4:$L$1463,"&lt;&gt;")*$A112*100/100,0)),MASTER!$AI$4:$AI$1463,0))),NA()))))</f>
        <v>3435</v>
      </c>
      <c r="J112" s="37">
        <f>IF($B$4="RESONANCE",IFERROR(IF(INDEX(MASTER!$I$4:$I$1463,MATCH("INVICTUS"&amp;"|"&amp;MAX(1,ROUND(COUNTIFS(MASTER!$B$4:$B$1463,"INVICTUS",MASTER!$I$4:$I$1463,"&lt;&gt;")*$A112*100/100,0)),MASTER!$Y$4:$Y$1463,0))="",NA(),INDEX(MASTER!$I$4:$I$1463,MATCH("INVICTUS"&amp;"|"&amp;MAX(1,ROUND(COUNTIFS(MASTER!$B$4:$B$1463,"INVICTUS",MASTER!$I$4:$I$1463,"&lt;&gt;")*$A112*100/100,0)),MASTER!$Y$4:$Y$1463,0))),NA()),IF($B$4="COMBAT RATING",IFERROR(IF(INDEX(MASTER!$G$4:$G$1463,MATCH("INVICTUS"&amp;"|"&amp;MAX(1,ROUND(COUNTIFS(MASTER!$B$4:$B$1463,"INVICTUS",MASTER!$G$4:$G$1463,"&lt;&gt;")*$A112*100/100,0)),MASTER!$AH$4:$AH$1463,0))="",NA(),INDEX(MASTER!$G$4:$G$1463,MATCH("INVICTUS"&amp;"|"&amp;MAX(1,ROUND(COUNTIFS(MASTER!$B$4:$B$1463,"INVICTUS",MASTER!$G$4:$G$1463,"&lt;&gt;")*$A112*100/100,0)),MASTER!$AH$4:$AH$1463,0))),NA()),IF($B$4="SECONDARY",IFERROR(IF(INDEX(MASTER!$L$4:$L$1463,MATCH("INVICTUS"&amp;"|"&amp;MAX(1,ROUND(COUNTIFS(MASTER!$B$4:$B$1463,"INVICTUS",MASTER!$L$4:$L$1463,"&lt;&gt;")*$A112*100/100,0)),MASTER!$AI$4:$AI$1463,0))="",NA(),INDEX(MASTER!$L$4:$L$1463,MATCH("INVICTUS"&amp;"|"&amp;MAX(1,ROUND(COUNTIFS(MASTER!$B$4:$B$1463,"INVICTUS",MASTER!$L$4:$L$1463,"&lt;&gt;")*$A112*100/100,0)),MASTER!$AI$4:$AI$1463,0))),NA()))))</f>
        <v>2882</v>
      </c>
      <c r="K112" s="37">
        <f>IF($B$4="RESONANCE",IFERROR(IF(INDEX(MASTER!$I$4:$I$1463,MATCH("EMERALD LEAF TRIBE"&amp;"|"&amp;MAX(1,ROUND(COUNTIFS(MASTER!$B$4:$B$1463,"EMERALD LEAF TRIBE",MASTER!$I$4:$I$1463,"&lt;&gt;")*$A112*100/100,0)),MASTER!$Y$4:$Y$1463,0))="",NA(),INDEX(MASTER!$I$4:$I$1463,MATCH("EMERALD LEAF TRIBE"&amp;"|"&amp;MAX(1,ROUND(COUNTIFS(MASTER!$B$4:$B$1463,"EMERALD LEAF TRIBE",MASTER!$I$4:$I$1463,"&lt;&gt;")*$A112*100/100,0)),MASTER!$Y$4:$Y$1463,0))),NA()),IF($B$4="COMBAT RATING",IFERROR(IF(INDEX(MASTER!$G$4:$G$1463,MATCH("EMERALD LEAF TRIBE"&amp;"|"&amp;MAX(1,ROUND(COUNTIFS(MASTER!$B$4:$B$1463,"EMERALD LEAF TRIBE",MASTER!$G$4:$G$1463,"&lt;&gt;")*$A112*100/100,0)),MASTER!$AH$4:$AH$1463,0))="",NA(),INDEX(MASTER!$G$4:$G$1463,MATCH("EMERALD LEAF TRIBE"&amp;"|"&amp;MAX(1,ROUND(COUNTIFS(MASTER!$B$4:$B$1463,"EMERALD LEAF TRIBE",MASTER!$G$4:$G$1463,"&lt;&gt;")*$A112*100/100,0)),MASTER!$AH$4:$AH$1463,0))),NA()),IF($B$4="SECONDARY",IFERROR(IF(INDEX(MASTER!$L$4:$L$1463,MATCH("EMERALD LEAF TRIBE"&amp;"|"&amp;MAX(1,ROUND(COUNTIFS(MASTER!$B$4:$B$1463,"EMERALD LEAF TRIBE",MASTER!$L$4:$L$1463,"&lt;&gt;")*$A112*100/100,0)),MASTER!$AI$4:$AI$1463,0))="",NA(),INDEX(MASTER!$L$4:$L$1463,MATCH("EMERALD LEAF TRIBE"&amp;"|"&amp;MAX(1,ROUND(COUNTIFS(MASTER!$B$4:$B$1463,"EMERALD LEAF TRIBE",MASTER!$L$4:$L$1463,"&lt;&gt;")*$A112*100/100,0)),MASTER!$AI$4:$AI$1463,0))),NA()))))</f>
        <v>1999</v>
      </c>
      <c r="L112" s="37">
        <f>IF($B$4="RESONANCE",IFERROR(IF(INDEX(MASTER!$I$4:$I$1463,MATCH("SUB ROSA"&amp;"|"&amp;MAX(1,ROUND(COUNTIFS(MASTER!$B$4:$B$1463,"SUB ROSA",MASTER!$I$4:$I$1463,"&lt;&gt;")*$A112*100/100,0)),MASTER!$Y$4:$Y$1463,0))="",NA(),INDEX(MASTER!$I$4:$I$1463,MATCH("SUB ROSA"&amp;"|"&amp;MAX(1,ROUND(COUNTIFS(MASTER!$B$4:$B$1463,"SUB ROSA",MASTER!$I$4:$I$1463,"&lt;&gt;")*$A112*100/100,0)),MASTER!$Y$4:$Y$1463,0))),NA()),IF($B$4="COMBAT RATING",IFERROR(IF(INDEX(MASTER!$G$4:$G$1463,MATCH("SUB ROSA"&amp;"|"&amp;MAX(1,ROUND(COUNTIFS(MASTER!$B$4:$B$1463,"SUB ROSA",MASTER!$G$4:$G$1463,"&lt;&gt;")*$A112*100/100,0)),MASTER!$AH$4:$AH$1463,0))="",NA(),INDEX(MASTER!$G$4:$G$1463,MATCH("SUB ROSA"&amp;"|"&amp;MAX(1,ROUND(COUNTIFS(MASTER!$B$4:$B$1463,"SUB ROSA",MASTER!$G$4:$G$1463,"&lt;&gt;")*$A112*100/100,0)),MASTER!$AH$4:$AH$1463,0))),NA()),IF($B$4="SECONDARY",IFERROR(IF(INDEX(MASTER!$L$4:$L$1463,MATCH("SUB ROSA"&amp;"|"&amp;MAX(1,ROUND(COUNTIFS(MASTER!$B$4:$B$1463,"SUB ROSA",MASTER!$L$4:$L$1463,"&lt;&gt;")*$A112*100/100,0)),MASTER!$AI$4:$AI$1463,0))="",NA(),INDEX(MASTER!$L$4:$L$1463,MATCH("SUB ROSA"&amp;"|"&amp;MAX(1,ROUND(COUNTIFS(MASTER!$B$4:$B$1463,"SUB ROSA",MASTER!$L$4:$L$1463,"&lt;&gt;")*$A112*100/100,0)),MASTER!$AI$4:$AI$1463,0))),NA()))))</f>
        <v>2260</v>
      </c>
      <c r="M112" s="37">
        <f>IF($B$4="RESONANCE",IFERROR(IF(INDEX(MASTER!$I$4:$I$1463,MATCH("VENGEANCE"&amp;"|"&amp;MAX(1,ROUND(COUNTIFS(MASTER!$B$4:$B$1463,"VENGEANCE",MASTER!$I$4:$I$1463,"&lt;&gt;")*$A112*100/100,0)),MASTER!$Y$4:$Y$1463,0))="",NA(),INDEX(MASTER!$I$4:$I$1463,MATCH("VENGEANCE"&amp;"|"&amp;MAX(1,ROUND(COUNTIFS(MASTER!$B$4:$B$1463,"VENGEANCE",MASTER!$I$4:$I$1463,"&lt;&gt;")*$A112*100/100,0)),MASTER!$Y$4:$Y$1463,0))),NA()),IF($B$4="COMBAT RATING",IFERROR(IF(INDEX(MASTER!$G$4:$G$1463,MATCH("VENGEANCE"&amp;"|"&amp;MAX(1,ROUND(COUNTIFS(MASTER!$B$4:$B$1463,"VENGEANCE",MASTER!$G$4:$G$1463,"&lt;&gt;")*$A112*100/100,0)),MASTER!$AH$4:$AH$1463,0))="",NA(),INDEX(MASTER!$G$4:$G$1463,MATCH("VENGEANCE"&amp;"|"&amp;MAX(1,ROUND(COUNTIFS(MASTER!$B$4:$B$1463,"VENGEANCE",MASTER!$G$4:$G$1463,"&lt;&gt;")*$A112*100/100,0)),MASTER!$AH$4:$AH$1463,0))),NA()),IF($B$4="SECONDARY",IFERROR(IF(INDEX(MASTER!$L$4:$L$1463,MATCH("VENGEANCE"&amp;"|"&amp;MAX(1,ROUND(COUNTIFS(MASTER!$B$4:$B$1463,"VENGEANCE",MASTER!$L$4:$L$1463,"&lt;&gt;")*$A112*100/100,0)),MASTER!$AI$4:$AI$1463,0))="",NA(),INDEX(MASTER!$L$4:$L$1463,MATCH("VENGEANCE"&amp;"|"&amp;MAX(1,ROUND(COUNTIFS(MASTER!$B$4:$B$1463,"VENGEANCE",MASTER!$L$4:$L$1463,"&lt;&gt;")*$A112*100/100,0)),MASTER!$AI$4:$AI$1463,0))),NA()))))</f>
        <v>3198</v>
      </c>
      <c r="N112" s="37">
        <f>IF($B$4="RESONANCE",IFERROR(IF(INDEX(MASTER!$I$4:$I$1463,MATCH("VENDETTA"&amp;"|"&amp;MAX(1,ROUND(COUNTIFS(MASTER!$B$4:$B$1463,"VENDETTA",MASTER!$I$4:$I$1463,"&lt;&gt;")*$A112*100/100,0)),MASTER!$Y$4:$Y$1463,0))="",NA(),INDEX(MASTER!$I$4:$I$1463,MATCH("VENDETTA"&amp;"|"&amp;MAX(1,ROUND(COUNTIFS(MASTER!$B$4:$B$1463,"VENDETTA",MASTER!$I$4:$I$1463,"&lt;&gt;")*$A112*100/100,0)),MASTER!$Y$4:$Y$1463,0))),NA()),IF($B$4="COMBAT RATING",IFERROR(IF(INDEX(MASTER!$G$4:$G$1463,MATCH("VENDETTA"&amp;"|"&amp;MAX(1,ROUND(COUNTIFS(MASTER!$B$4:$B$1463,"VENDETTA",MASTER!$G$4:$G$1463,"&lt;&gt;")*$A112*100/100,0)),MASTER!$AH$4:$AH$1463,0))="",NA(),INDEX(MASTER!$G$4:$G$1463,MATCH("VENDETTA"&amp;"|"&amp;MAX(1,ROUND(COUNTIFS(MASTER!$B$4:$B$1463,"VENDETTA",MASTER!$G$4:$G$1463,"&lt;&gt;")*$A112*100/100,0)),MASTER!$AH$4:$AH$1463,0))),NA()),IF($B$4="SECONDARY",IFERROR(IF(INDEX(MASTER!$L$4:$L$1463,MATCH("VENDETTA"&amp;"|"&amp;MAX(1,ROUND(COUNTIFS(MASTER!$B$4:$B$1463,"VENDETTA",MASTER!$L$4:$L$1463,"&lt;&gt;")*$A112*100/100,0)),MASTER!$AI$4:$AI$1463,0))="",NA(),INDEX(MASTER!$L$4:$L$1463,MATCH("VENDETTA"&amp;"|"&amp;MAX(1,ROUND(COUNTIFS(MASTER!$B$4:$B$1463,"VENDETTA",MASTER!$L$4:$L$1463,"&lt;&gt;")*$A112*100/100,0)),MASTER!$AI$4:$AI$1463,0))),NA()))))</f>
        <v>1854</v>
      </c>
      <c r="O112" s="37">
        <f>IF($B$4="RESONANCE",IFERROR(IF(INDEX(MASTER!$I$4:$I$1463,MATCH("ZOMBIES"&amp;"|"&amp;MAX(1,ROUND(COUNTIFS(MASTER!$B$4:$B$1463,"ZOMBIES",MASTER!$I$4:$I$1463,"&lt;&gt;")*$A112*100/100,0)),MASTER!$Y$4:$Y$1463,0))="",NA(),INDEX(MASTER!$I$4:$I$1463,MATCH("ZOMBIES"&amp;"|"&amp;MAX(1,ROUND(COUNTIFS(MASTER!$B$4:$B$1463,"ZOMBIES",MASTER!$I$4:$I$1463,"&lt;&gt;")*$A112*100/100,0)),MASTER!$Y$4:$Y$1463,0))),NA()),IF($B$4="COMBAT RATING",IFERROR(IF(INDEX(MASTER!$G$4:$G$1463,MATCH("ZOMBIES"&amp;"|"&amp;MAX(1,ROUND(COUNTIFS(MASTER!$B$4:$B$1463,"ZOMBIES",MASTER!$G$4:$G$1463,"&lt;&gt;")*$A112*100/100,0)),MASTER!$AH$4:$AH$1463,0))="",NA(),INDEX(MASTER!$G$4:$G$1463,MATCH("ZOMBIES"&amp;"|"&amp;MAX(1,ROUND(COUNTIFS(MASTER!$B$4:$B$1463,"ZOMBIES",MASTER!$G$4:$G$1463,"&lt;&gt;")*$A112*100/100,0)),MASTER!$AH$4:$AH$1463,0))),NA()),IF($B$4="SECONDARY",IFERROR(IF(INDEX(MASTER!$L$4:$L$1463,MATCH("ZOMBIES"&amp;"|"&amp;MAX(1,ROUND(COUNTIFS(MASTER!$B$4:$B$1463,"ZOMBIES",MASTER!$L$4:$L$1463,"&lt;&gt;")*$A112*100/100,0)),MASTER!$AI$4:$AI$1463,0))="",NA(),INDEX(MASTER!$L$4:$L$1463,MATCH("ZOMBIES"&amp;"|"&amp;MAX(1,ROUND(COUNTIFS(MASTER!$B$4:$B$1463,"ZOMBIES",MASTER!$L$4:$L$1463,"&lt;&gt;")*$A112*100/100,0)),MASTER!$AI$4:$AI$1463,0))),NA()))))</f>
        <v>1560</v>
      </c>
      <c r="P112" s="37">
        <f>IF($B$4="RESONANCE",IFERROR(IF(INDEX(MASTER!$I$4:$I$1463,MATCH("FUCT"&amp;"|"&amp;MAX(1,ROUND(COUNTIFS(MASTER!$B$4:$B$1463,"FUCT",MASTER!$I$4:$I$1463,"&lt;&gt;")*$A112*100/100,0)),MASTER!$Y$4:$Y$1463,0))="",NA(),INDEX(MASTER!$I$4:$I$1463,MATCH("FUCT"&amp;"|"&amp;MAX(1,ROUND(COUNTIFS(MASTER!$B$4:$B$1463,"FUCT",MASTER!$I$4:$I$1463,"&lt;&gt;")*$A112*100/100,0)),MASTER!$Y$4:$Y$1463,0))),NA()),IF($B$4="COMBAT RATING",IFERROR(IF(INDEX(MASTER!$G$4:$G$1463,MATCH("FUCT"&amp;"|"&amp;MAX(1,ROUND(COUNTIFS(MASTER!$B$4:$B$1463,"FUCT",MASTER!$G$4:$G$1463,"&lt;&gt;")*$A112*100/100,0)),MASTER!$AH$4:$AH$1463,0))="",NA(),INDEX(MASTER!$G$4:$G$1463,MATCH("FUCT"&amp;"|"&amp;MAX(1,ROUND(COUNTIFS(MASTER!$B$4:$B$1463,"FUCT",MASTER!$G$4:$G$1463,"&lt;&gt;")*$A112*100/100,0)),MASTER!$AH$4:$AH$1463,0))),NA()),IF($B$4="SECONDARY",IFERROR(IF(INDEX(MASTER!$L$4:$L$1463,MATCH("FUCT"&amp;"|"&amp;MAX(1,ROUND(COUNTIFS(MASTER!$B$4:$B$1463,"FUCT",MASTER!$L$4:$L$1463,"&lt;&gt;")*$A112*100/100,0)),MASTER!$AI$4:$AI$1463,0))="",NA(),INDEX(MASTER!$L$4:$L$1463,MATCH("FUCT"&amp;"|"&amp;MAX(1,ROUND(COUNTIFS(MASTER!$B$4:$B$1463,"FUCT",MASTER!$L$4:$L$1463,"&lt;&gt;")*$A112*100/100,0)),MASTER!$AI$4:$AI$1463,0))),NA()))))</f>
        <v>4147</v>
      </c>
      <c r="Q112" s="37">
        <f>IF($B$4="RESONANCE",IFERROR(IF(INDEX(MASTER!$I$4:$I$1463,MATCH($E$4&amp;"|"&amp;MAX(1,ROUND(COUNTIFS(MASTER!$B$4:$B$1463,$E$4,MASTER!$I$4:$I$1463,"&lt;&gt;")*$A112*100/100,0)),MASTER!$Y$4:$Y$1463,0))="",NA(),INDEX(MASTER!$I$4:$I$1463,MATCH($E$4&amp;"|"&amp;MAX(1,ROUND(COUNTIFS(MASTER!$B$4:$B$1463,$E$4,MASTER!$I$4:$I$1463,"&lt;&gt;")*$A112*100/100,0)),MASTER!$Y$4:$Y$1463,0))),NA()),IF($B$4="COMBAT RATING",IFERROR(IF(INDEX(MASTER!$G$4:$G$1463,MATCH($E$4&amp;"|"&amp;MAX(1,ROUND(COUNTIFS(MASTER!$B$4:$B$1463,$E$4,MASTER!$G$4:$G$1463,"&lt;&gt;")*$A112*100/100,0)),MASTER!$AH$4:$AH$1463,0))="",NA(),INDEX(MASTER!$G$4:$G$1463,MATCH($E$4&amp;"|"&amp;MAX(1,ROUND(COUNTIFS(MASTER!$B$4:$B$1463,$E$4,MASTER!$G$4:$G$1463,"&lt;&gt;")*$A112*100/100,0)),MASTER!$AH$4:$AH$1463,0))),NA()),IF($B$4="SECONDARY",IFERROR(IF(INDEX(MASTER!$L$4:$L$1463,MATCH($E$4&amp;"|"&amp;MAX(1,ROUND(COUNTIFS(MASTER!$B$4:$B$1463,$E$4,MASTER!$L$4:$L$1463,"&lt;&gt;")*$A112*100/100,0)),MASTER!$AI$4:$AI$1463,0))="",NA(),INDEX(MASTER!$L$4:$L$1463,MATCH($E$4&amp;"|"&amp;MAX(1,ROUND(COUNTIFS(MASTER!$B$4:$B$1463,$E$4,MASTER!$L$4:$L$1463,"&lt;&gt;")*$A112*100/100,0)),MASTER!$AI$4:$AI$1463,0))),NA()))))</f>
        <v>3847</v>
      </c>
    </row>
    <row r="113" spans="1:17" hidden="1">
      <c r="A113" s="36">
        <v>0.57999999999999996</v>
      </c>
      <c r="B113" s="37">
        <f>IF($B$4="RESONANCE",IFERROR(IF(INDEX(MASTER!$I$4:$I$1463,MATCH("FUCT"&amp;"|"&amp;MAX(1,ROUND(COUNTIFS(MASTER!$B$4:$B$1463,"FUCT",MASTER!$I$4:$I$1463,"&lt;&gt;")*$A113*100/100,0)),MASTER!$Y$4:$Y$1463,0))="",NA(),INDEX(MASTER!$I$4:$I$1463,MATCH("FUCT"&amp;"|"&amp;MAX(1,ROUND(COUNTIFS(MASTER!$B$4:$B$1463,"FUCT",MASTER!$I$4:$I$1463,"&lt;&gt;")*$A113*100/100,0)),MASTER!$Y$4:$Y$1463,0))),NA()),IF($B$4="COMBAT RATING",IFERROR(IF(INDEX(MASTER!$G$4:$G$1463,MATCH("FUCT"&amp;"|"&amp;MAX(1,ROUND(COUNTIFS(MASTER!$B$4:$B$1463,"FUCT",MASTER!$G$4:$G$1463,"&lt;&gt;")*$A113*100/100,0)),MASTER!$AH$4:$AH$1463,0))="",NA(),INDEX(MASTER!$G$4:$G$1463,MATCH("FUCT"&amp;"|"&amp;MAX(1,ROUND(COUNTIFS(MASTER!$B$4:$B$1463,"FUCT",MASTER!$G$4:$G$1463,"&lt;&gt;")*$A113*100/100,0)),MASTER!$AH$4:$AH$1463,0))),NA()),IF($B$4="SECONDARY",IFERROR(IF(INDEX(MASTER!$L$4:$L$1463,MATCH("FUCT"&amp;"|"&amp;MAX(1,ROUND(COUNTIFS(MASTER!$B$4:$B$1463,"FUCT",MASTER!$L$4:$L$1463,"&lt;&gt;")*$A113*100/100,0)),MASTER!$AI$4:$AI$1463,0))="",NA(),INDEX(MASTER!$L$4:$L$1463,MATCH("FUCT"&amp;"|"&amp;MAX(1,ROUND(COUNTIFS(MASTER!$B$4:$B$1463,"FUCT",MASTER!$L$4:$L$1463,"&lt;&gt;")*$A113*100/100,0)),MASTER!$AI$4:$AI$1463,0))),NA()))))</f>
        <v>4098</v>
      </c>
      <c r="C113" s="37">
        <f>IF($B$4="RESONANCE",IFERROR(IF(INDEX(MASTER!$I$4:$I$1463,MATCH("LEGENDS"&amp;"|"&amp;MAX(1,ROUND(COUNTIFS(MASTER!$B$4:$B$1463,"LEGENDS",MASTER!$I$4:$I$1463,"&lt;&gt;")*$A113*100/100,0)),MASTER!$Y$4:$Y$1463,0))="",NA(),INDEX(MASTER!$I$4:$I$1463,MATCH("LEGENDS"&amp;"|"&amp;MAX(1,ROUND(COUNTIFS(MASTER!$B$4:$B$1463,"LEGENDS",MASTER!$I$4:$I$1463,"&lt;&gt;")*$A113*100/100,0)),MASTER!$Y$4:$Y$1463,0))),NA()),IF($B$4="COMBAT RATING",IFERROR(IF(INDEX(MASTER!$G$4:$G$1463,MATCH("LEGENDS"&amp;"|"&amp;MAX(1,ROUND(COUNTIFS(MASTER!$B$4:$B$1463,"LEGENDS",MASTER!$G$4:$G$1463,"&lt;&gt;")*$A113*100/100,0)),MASTER!$AH$4:$AH$1463,0))="",NA(),INDEX(MASTER!$G$4:$G$1463,MATCH("LEGENDS"&amp;"|"&amp;MAX(1,ROUND(COUNTIFS(MASTER!$B$4:$B$1463,"LEGENDS",MASTER!$G$4:$G$1463,"&lt;&gt;")*$A113*100/100,0)),MASTER!$AH$4:$AH$1463,0))),NA()),IF($B$4="SECONDARY",IFERROR(IF(INDEX(MASTER!$L$4:$L$1463,MATCH("LEGENDS"&amp;"|"&amp;MAX(1,ROUND(COUNTIFS(MASTER!$B$4:$B$1463,"LEGENDS",MASTER!$L$4:$L$1463,"&lt;&gt;")*$A113*100/100,0)),MASTER!$AI$4:$AI$1463,0))="",NA(),INDEX(MASTER!$L$4:$L$1463,MATCH("LEGENDS"&amp;"|"&amp;MAX(1,ROUND(COUNTIFS(MASTER!$B$4:$B$1463,"LEGENDS",MASTER!$L$4:$L$1463,"&lt;&gt;")*$A113*100/100,0)),MASTER!$AI$4:$AI$1463,0))),NA()))))</f>
        <v>4770</v>
      </c>
      <c r="D113" s="37">
        <f>IF($B$4="RESONANCE",IFERROR(IF(INDEX(MASTER!$I$4:$I$1463,MATCH("VANGUARD"&amp;"|"&amp;MAX(1,ROUND(COUNTIFS(MASTER!$B$4:$B$1463,"VANGUARD",MASTER!$I$4:$I$1463,"&lt;&gt;")*$A113*100/100,0)),MASTER!$Y$4:$Y$1463,0))="",NA(),INDEX(MASTER!$I$4:$I$1463,MATCH("VANGUARD"&amp;"|"&amp;MAX(1,ROUND(COUNTIFS(MASTER!$B$4:$B$1463,"VANGUARD",MASTER!$I$4:$I$1463,"&lt;&gt;")*$A113*100/100,0)),MASTER!$Y$4:$Y$1463,0))),NA()),IF($B$4="COMBAT RATING",IFERROR(IF(INDEX(MASTER!$G$4:$G$1463,MATCH("VANGUARD"&amp;"|"&amp;MAX(1,ROUND(COUNTIFS(MASTER!$B$4:$B$1463,"VANGUARD",MASTER!$G$4:$G$1463,"&lt;&gt;")*$A113*100/100,0)),MASTER!$AH$4:$AH$1463,0))="",NA(),INDEX(MASTER!$G$4:$G$1463,MATCH("VANGUARD"&amp;"|"&amp;MAX(1,ROUND(COUNTIFS(MASTER!$B$4:$B$1463,"VANGUARD",MASTER!$G$4:$G$1463,"&lt;&gt;")*$A113*100/100,0)),MASTER!$AH$4:$AH$1463,0))),NA()),IF($B$4="SECONDARY",IFERROR(IF(INDEX(MASTER!$L$4:$L$1463,MATCH("VANGUARD"&amp;"|"&amp;MAX(1,ROUND(COUNTIFS(MASTER!$B$4:$B$1463,"VANGUARD",MASTER!$L$4:$L$1463,"&lt;&gt;")*$A113*100/100,0)),MASTER!$AI$4:$AI$1463,0))="",NA(),INDEX(MASTER!$L$4:$L$1463,MATCH("VANGUARD"&amp;"|"&amp;MAX(1,ROUND(COUNTIFS(MASTER!$B$4:$B$1463,"VANGUARD",MASTER!$L$4:$L$1463,"&lt;&gt;")*$A113*100/100,0)),MASTER!$AI$4:$AI$1463,0))),NA()))))</f>
        <v>6192</v>
      </c>
      <c r="E113" s="37">
        <f>IF($B$4="RESONANCE",IFERROR(IF(INDEX(MASTER!$I$4:$I$1463,MATCH("UNDYING"&amp;"|"&amp;MAX(1,ROUND(COUNTIFS(MASTER!$B$4:$B$1463,"UNDYING",MASTER!$I$4:$I$1463,"&lt;&gt;")*$A113*100/100,0)),MASTER!$Y$4:$Y$1463,0))="",NA(),INDEX(MASTER!$I$4:$I$1463,MATCH("UNDYING"&amp;"|"&amp;MAX(1,ROUND(COUNTIFS(MASTER!$B$4:$B$1463,"UNDYING",MASTER!$I$4:$I$1463,"&lt;&gt;")*$A113*100/100,0)),MASTER!$Y$4:$Y$1463,0))),NA()),IF($B$4="COMBAT RATING",IFERROR(IF(INDEX(MASTER!$G$4:$G$1463,MATCH("UNDYING"&amp;"|"&amp;MAX(1,ROUND(COUNTIFS(MASTER!$B$4:$B$1463,"UNDYING",MASTER!$G$4:$G$1463,"&lt;&gt;")*$A113*100/100,0)),MASTER!$AH$4:$AH$1463,0))="",NA(),INDEX(MASTER!$G$4:$G$1463,MATCH("UNDYING"&amp;"|"&amp;MAX(1,ROUND(COUNTIFS(MASTER!$B$4:$B$1463,"UNDYING",MASTER!$G$4:$G$1463,"&lt;&gt;")*$A113*100/100,0)),MASTER!$AH$4:$AH$1463,0))),NA()),IF($B$4="SECONDARY",IFERROR(IF(INDEX(MASTER!$L$4:$L$1463,MATCH("UNDYING"&amp;"|"&amp;MAX(1,ROUND(COUNTIFS(MASTER!$B$4:$B$1463,"UNDYING",MASTER!$L$4:$L$1463,"&lt;&gt;")*$A113*100/100,0)),MASTER!$AI$4:$AI$1463,0))="",NA(),INDEX(MASTER!$L$4:$L$1463,MATCH("UNDYING"&amp;"|"&amp;MAX(1,ROUND(COUNTIFS(MASTER!$B$4:$B$1463,"UNDYING",MASTER!$L$4:$L$1463,"&lt;&gt;")*$A113*100/100,0)),MASTER!$AI$4:$AI$1463,0))),NA()))))</f>
        <v>3794</v>
      </c>
      <c r="F113" s="37">
        <f>IF($B$4="RESONANCE",IFERROR(IF(INDEX(MASTER!$I$4:$I$1463,MATCH("SBG"&amp;"|"&amp;MAX(1,ROUND(COUNTIFS(MASTER!$B$4:$B$1463,"SBG",MASTER!$I$4:$I$1463,"&lt;&gt;")*$A113*100/100,0)),MASTER!$Y$4:$Y$1463,0))="",NA(),INDEX(MASTER!$I$4:$I$1463,MATCH("SBG"&amp;"|"&amp;MAX(1,ROUND(COUNTIFS(MASTER!$B$4:$B$1463,"SBG",MASTER!$I$4:$I$1463,"&lt;&gt;")*$A113*100/100,0)),MASTER!$Y$4:$Y$1463,0))),NA()),IF($B$4="COMBAT RATING",IFERROR(IF(INDEX(MASTER!$G$4:$G$1463,MATCH("SBG"&amp;"|"&amp;MAX(1,ROUND(COUNTIFS(MASTER!$B$4:$B$1463,"SBG",MASTER!$G$4:$G$1463,"&lt;&gt;")*$A113*100/100,0)),MASTER!$AH$4:$AH$1463,0))="",NA(),INDEX(MASTER!$G$4:$G$1463,MATCH("SBG"&amp;"|"&amp;MAX(1,ROUND(COUNTIFS(MASTER!$B$4:$B$1463,"SBG",MASTER!$G$4:$G$1463,"&lt;&gt;")*$A113*100/100,0)),MASTER!$AH$4:$AH$1463,0))),NA()),IF($B$4="SECONDARY",IFERROR(IF(INDEX(MASTER!$L$4:$L$1463,MATCH("SBG"&amp;"|"&amp;MAX(1,ROUND(COUNTIFS(MASTER!$B$4:$B$1463,"SBG",MASTER!$L$4:$L$1463,"&lt;&gt;")*$A113*100/100,0)),MASTER!$AI$4:$AI$1463,0))="",NA(),INDEX(MASTER!$L$4:$L$1463,MATCH("SBG"&amp;"|"&amp;MAX(1,ROUND(COUNTIFS(MASTER!$B$4:$B$1463,"SBG",MASTER!$L$4:$L$1463,"&lt;&gt;")*$A113*100/100,0)),MASTER!$AI$4:$AI$1463,0))),NA()))))</f>
        <v>5064</v>
      </c>
      <c r="G113" s="37">
        <f>IF($B$4="RESONANCE",IFERROR(IF(INDEX(MASTER!$I$4:$I$1463,MATCH("AZUKI"&amp;"|"&amp;MAX(1,ROUND(COUNTIFS(MASTER!$B$4:$B$1463,"AZUKI",MASTER!$I$4:$I$1463,"&lt;&gt;")*$A113*100/100,0)),MASTER!$Y$4:$Y$1463,0))="",NA(),INDEX(MASTER!$I$4:$I$1463,MATCH("AZUKI"&amp;"|"&amp;MAX(1,ROUND(COUNTIFS(MASTER!$B$4:$B$1463,"AZUKI",MASTER!$I$4:$I$1463,"&lt;&gt;")*$A113*100/100,0)),MASTER!$Y$4:$Y$1463,0))),NA()),IF($B$4="COMBAT RATING",IFERROR(IF(INDEX(MASTER!$G$4:$G$1463,MATCH("AZUKI"&amp;"|"&amp;MAX(1,ROUND(COUNTIFS(MASTER!$B$4:$B$1463,"AZUKI",MASTER!$G$4:$G$1463,"&lt;&gt;")*$A113*100/100,0)),MASTER!$AH$4:$AH$1463,0))="",NA(),INDEX(MASTER!$G$4:$G$1463,MATCH("AZUKI"&amp;"|"&amp;MAX(1,ROUND(COUNTIFS(MASTER!$B$4:$B$1463,"AZUKI",MASTER!$G$4:$G$1463,"&lt;&gt;")*$A113*100/100,0)),MASTER!$AH$4:$AH$1463,0))),NA()),IF($B$4="SECONDARY",IFERROR(IF(INDEX(MASTER!$L$4:$L$1463,MATCH("AZUKI"&amp;"|"&amp;MAX(1,ROUND(COUNTIFS(MASTER!$B$4:$B$1463,"AZUKI",MASTER!$L$4:$L$1463,"&lt;&gt;")*$A113*100/100,0)),MASTER!$AI$4:$AI$1463,0))="",NA(),INDEX(MASTER!$L$4:$L$1463,MATCH("AZUKI"&amp;"|"&amp;MAX(1,ROUND(COUNTIFS(MASTER!$B$4:$B$1463,"AZUKI",MASTER!$L$4:$L$1463,"&lt;&gt;")*$A113*100/100,0)),MASTER!$AI$4:$AI$1463,0))),NA()))))</f>
        <v>4177</v>
      </c>
      <c r="H113" s="37">
        <f>IF($B$4="RESONANCE",IFERROR(IF(INDEX(MASTER!$I$4:$I$1463,MATCH("RECKONING"&amp;"|"&amp;MAX(1,ROUND(COUNTIFS(MASTER!$B$4:$B$1463,"RECKONING",MASTER!$I$4:$I$1463,"&lt;&gt;")*$A113*100/100,0)),MASTER!$Y$4:$Y$1463,0))="",NA(),INDEX(MASTER!$I$4:$I$1463,MATCH("RECKONING"&amp;"|"&amp;MAX(1,ROUND(COUNTIFS(MASTER!$B$4:$B$1463,"RECKONING",MASTER!$I$4:$I$1463,"&lt;&gt;")*$A113*100/100,0)),MASTER!$Y$4:$Y$1463,0))),NA()),IF($B$4="COMBAT RATING",IFERROR(IF(INDEX(MASTER!$G$4:$G$1463,MATCH("RECKONING"&amp;"|"&amp;MAX(1,ROUND(COUNTIFS(MASTER!$B$4:$B$1463,"RECKONING",MASTER!$G$4:$G$1463,"&lt;&gt;")*$A113*100/100,0)),MASTER!$AH$4:$AH$1463,0))="",NA(),INDEX(MASTER!$G$4:$G$1463,MATCH("RECKONING"&amp;"|"&amp;MAX(1,ROUND(COUNTIFS(MASTER!$B$4:$B$1463,"RECKONING",MASTER!$G$4:$G$1463,"&lt;&gt;")*$A113*100/100,0)),MASTER!$AH$4:$AH$1463,0))),NA()),IF($B$4="SECONDARY",IFERROR(IF(INDEX(MASTER!$L$4:$L$1463,MATCH("RECKONING"&amp;"|"&amp;MAX(1,ROUND(COUNTIFS(MASTER!$B$4:$B$1463,"RECKONING",MASTER!$L$4:$L$1463,"&lt;&gt;")*$A113*100/100,0)),MASTER!$AI$4:$AI$1463,0))="",NA(),INDEX(MASTER!$L$4:$L$1463,MATCH("RECKONING"&amp;"|"&amp;MAX(1,ROUND(COUNTIFS(MASTER!$B$4:$B$1463,"RECKONING",MASTER!$L$4:$L$1463,"&lt;&gt;")*$A113*100/100,0)),MASTER!$AI$4:$AI$1463,0))),NA()))))</f>
        <v>4278</v>
      </c>
      <c r="I113" s="37">
        <f>IF($B$4="RESONANCE",IFERROR(IF(INDEX(MASTER!$I$4:$I$1463,MATCH("ACHERON"&amp;"|"&amp;MAX(1,ROUND(COUNTIFS(MASTER!$B$4:$B$1463,"ACHERON",MASTER!$I$4:$I$1463,"&lt;&gt;")*$A113*100/100,0)),MASTER!$Y$4:$Y$1463,0))="",NA(),INDEX(MASTER!$I$4:$I$1463,MATCH("ACHERON"&amp;"|"&amp;MAX(1,ROUND(COUNTIFS(MASTER!$B$4:$B$1463,"ACHERON",MASTER!$I$4:$I$1463,"&lt;&gt;")*$A113*100/100,0)),MASTER!$Y$4:$Y$1463,0))),NA()),IF($B$4="COMBAT RATING",IFERROR(IF(INDEX(MASTER!$G$4:$G$1463,MATCH("ACHERON"&amp;"|"&amp;MAX(1,ROUND(COUNTIFS(MASTER!$B$4:$B$1463,"ACHERON",MASTER!$G$4:$G$1463,"&lt;&gt;")*$A113*100/100,0)),MASTER!$AH$4:$AH$1463,0))="",NA(),INDEX(MASTER!$G$4:$G$1463,MATCH("ACHERON"&amp;"|"&amp;MAX(1,ROUND(COUNTIFS(MASTER!$B$4:$B$1463,"ACHERON",MASTER!$G$4:$G$1463,"&lt;&gt;")*$A113*100/100,0)),MASTER!$AH$4:$AH$1463,0))),NA()),IF($B$4="SECONDARY",IFERROR(IF(INDEX(MASTER!$L$4:$L$1463,MATCH("ACHERON"&amp;"|"&amp;MAX(1,ROUND(COUNTIFS(MASTER!$B$4:$B$1463,"ACHERON",MASTER!$L$4:$L$1463,"&lt;&gt;")*$A113*100/100,0)),MASTER!$AI$4:$AI$1463,0))="",NA(),INDEX(MASTER!$L$4:$L$1463,MATCH("ACHERON"&amp;"|"&amp;MAX(1,ROUND(COUNTIFS(MASTER!$B$4:$B$1463,"ACHERON",MASTER!$L$4:$L$1463,"&lt;&gt;")*$A113*100/100,0)),MASTER!$AI$4:$AI$1463,0))),NA()))))</f>
        <v>3423</v>
      </c>
      <c r="J113" s="37">
        <f>IF($B$4="RESONANCE",IFERROR(IF(INDEX(MASTER!$I$4:$I$1463,MATCH("INVICTUS"&amp;"|"&amp;MAX(1,ROUND(COUNTIFS(MASTER!$B$4:$B$1463,"INVICTUS",MASTER!$I$4:$I$1463,"&lt;&gt;")*$A113*100/100,0)),MASTER!$Y$4:$Y$1463,0))="",NA(),INDEX(MASTER!$I$4:$I$1463,MATCH("INVICTUS"&amp;"|"&amp;MAX(1,ROUND(COUNTIFS(MASTER!$B$4:$B$1463,"INVICTUS",MASTER!$I$4:$I$1463,"&lt;&gt;")*$A113*100/100,0)),MASTER!$Y$4:$Y$1463,0))),NA()),IF($B$4="COMBAT RATING",IFERROR(IF(INDEX(MASTER!$G$4:$G$1463,MATCH("INVICTUS"&amp;"|"&amp;MAX(1,ROUND(COUNTIFS(MASTER!$B$4:$B$1463,"INVICTUS",MASTER!$G$4:$G$1463,"&lt;&gt;")*$A113*100/100,0)),MASTER!$AH$4:$AH$1463,0))="",NA(),INDEX(MASTER!$G$4:$G$1463,MATCH("INVICTUS"&amp;"|"&amp;MAX(1,ROUND(COUNTIFS(MASTER!$B$4:$B$1463,"INVICTUS",MASTER!$G$4:$G$1463,"&lt;&gt;")*$A113*100/100,0)),MASTER!$AH$4:$AH$1463,0))),NA()),IF($B$4="SECONDARY",IFERROR(IF(INDEX(MASTER!$L$4:$L$1463,MATCH("INVICTUS"&amp;"|"&amp;MAX(1,ROUND(COUNTIFS(MASTER!$B$4:$B$1463,"INVICTUS",MASTER!$L$4:$L$1463,"&lt;&gt;")*$A113*100/100,0)),MASTER!$AI$4:$AI$1463,0))="",NA(),INDEX(MASTER!$L$4:$L$1463,MATCH("INVICTUS"&amp;"|"&amp;MAX(1,ROUND(COUNTIFS(MASTER!$B$4:$B$1463,"INVICTUS",MASTER!$L$4:$L$1463,"&lt;&gt;")*$A113*100/100,0)),MASTER!$AI$4:$AI$1463,0))),NA()))))</f>
        <v>2874</v>
      </c>
      <c r="K113" s="37">
        <f>IF($B$4="RESONANCE",IFERROR(IF(INDEX(MASTER!$I$4:$I$1463,MATCH("EMERALD LEAF TRIBE"&amp;"|"&amp;MAX(1,ROUND(COUNTIFS(MASTER!$B$4:$B$1463,"EMERALD LEAF TRIBE",MASTER!$I$4:$I$1463,"&lt;&gt;")*$A113*100/100,0)),MASTER!$Y$4:$Y$1463,0))="",NA(),INDEX(MASTER!$I$4:$I$1463,MATCH("EMERALD LEAF TRIBE"&amp;"|"&amp;MAX(1,ROUND(COUNTIFS(MASTER!$B$4:$B$1463,"EMERALD LEAF TRIBE",MASTER!$I$4:$I$1463,"&lt;&gt;")*$A113*100/100,0)),MASTER!$Y$4:$Y$1463,0))),NA()),IF($B$4="COMBAT RATING",IFERROR(IF(INDEX(MASTER!$G$4:$G$1463,MATCH("EMERALD LEAF TRIBE"&amp;"|"&amp;MAX(1,ROUND(COUNTIFS(MASTER!$B$4:$B$1463,"EMERALD LEAF TRIBE",MASTER!$G$4:$G$1463,"&lt;&gt;")*$A113*100/100,0)),MASTER!$AH$4:$AH$1463,0))="",NA(),INDEX(MASTER!$G$4:$G$1463,MATCH("EMERALD LEAF TRIBE"&amp;"|"&amp;MAX(1,ROUND(COUNTIFS(MASTER!$B$4:$B$1463,"EMERALD LEAF TRIBE",MASTER!$G$4:$G$1463,"&lt;&gt;")*$A113*100/100,0)),MASTER!$AH$4:$AH$1463,0))),NA()),IF($B$4="SECONDARY",IFERROR(IF(INDEX(MASTER!$L$4:$L$1463,MATCH("EMERALD LEAF TRIBE"&amp;"|"&amp;MAX(1,ROUND(COUNTIFS(MASTER!$B$4:$B$1463,"EMERALD LEAF TRIBE",MASTER!$L$4:$L$1463,"&lt;&gt;")*$A113*100/100,0)),MASTER!$AI$4:$AI$1463,0))="",NA(),INDEX(MASTER!$L$4:$L$1463,MATCH("EMERALD LEAF TRIBE"&amp;"|"&amp;MAX(1,ROUND(COUNTIFS(MASTER!$B$4:$B$1463,"EMERALD LEAF TRIBE",MASTER!$L$4:$L$1463,"&lt;&gt;")*$A113*100/100,0)),MASTER!$AI$4:$AI$1463,0))),NA()))))</f>
        <v>1969</v>
      </c>
      <c r="L113" s="37">
        <f>IF($B$4="RESONANCE",IFERROR(IF(INDEX(MASTER!$I$4:$I$1463,MATCH("SUB ROSA"&amp;"|"&amp;MAX(1,ROUND(COUNTIFS(MASTER!$B$4:$B$1463,"SUB ROSA",MASTER!$I$4:$I$1463,"&lt;&gt;")*$A113*100/100,0)),MASTER!$Y$4:$Y$1463,0))="",NA(),INDEX(MASTER!$I$4:$I$1463,MATCH("SUB ROSA"&amp;"|"&amp;MAX(1,ROUND(COUNTIFS(MASTER!$B$4:$B$1463,"SUB ROSA",MASTER!$I$4:$I$1463,"&lt;&gt;")*$A113*100/100,0)),MASTER!$Y$4:$Y$1463,0))),NA()),IF($B$4="COMBAT RATING",IFERROR(IF(INDEX(MASTER!$G$4:$G$1463,MATCH("SUB ROSA"&amp;"|"&amp;MAX(1,ROUND(COUNTIFS(MASTER!$B$4:$B$1463,"SUB ROSA",MASTER!$G$4:$G$1463,"&lt;&gt;")*$A113*100/100,0)),MASTER!$AH$4:$AH$1463,0))="",NA(),INDEX(MASTER!$G$4:$G$1463,MATCH("SUB ROSA"&amp;"|"&amp;MAX(1,ROUND(COUNTIFS(MASTER!$B$4:$B$1463,"SUB ROSA",MASTER!$G$4:$G$1463,"&lt;&gt;")*$A113*100/100,0)),MASTER!$AH$4:$AH$1463,0))),NA()),IF($B$4="SECONDARY",IFERROR(IF(INDEX(MASTER!$L$4:$L$1463,MATCH("SUB ROSA"&amp;"|"&amp;MAX(1,ROUND(COUNTIFS(MASTER!$B$4:$B$1463,"SUB ROSA",MASTER!$L$4:$L$1463,"&lt;&gt;")*$A113*100/100,0)),MASTER!$AI$4:$AI$1463,0))="",NA(),INDEX(MASTER!$L$4:$L$1463,MATCH("SUB ROSA"&amp;"|"&amp;MAX(1,ROUND(COUNTIFS(MASTER!$B$4:$B$1463,"SUB ROSA",MASTER!$L$4:$L$1463,"&lt;&gt;")*$A113*100/100,0)),MASTER!$AI$4:$AI$1463,0))),NA()))))</f>
        <v>2260</v>
      </c>
      <c r="M113" s="37">
        <f>IF($B$4="RESONANCE",IFERROR(IF(INDEX(MASTER!$I$4:$I$1463,MATCH("VENGEANCE"&amp;"|"&amp;MAX(1,ROUND(COUNTIFS(MASTER!$B$4:$B$1463,"VENGEANCE",MASTER!$I$4:$I$1463,"&lt;&gt;")*$A113*100/100,0)),MASTER!$Y$4:$Y$1463,0))="",NA(),INDEX(MASTER!$I$4:$I$1463,MATCH("VENGEANCE"&amp;"|"&amp;MAX(1,ROUND(COUNTIFS(MASTER!$B$4:$B$1463,"VENGEANCE",MASTER!$I$4:$I$1463,"&lt;&gt;")*$A113*100/100,0)),MASTER!$Y$4:$Y$1463,0))),NA()),IF($B$4="COMBAT RATING",IFERROR(IF(INDEX(MASTER!$G$4:$G$1463,MATCH("VENGEANCE"&amp;"|"&amp;MAX(1,ROUND(COUNTIFS(MASTER!$B$4:$B$1463,"VENGEANCE",MASTER!$G$4:$G$1463,"&lt;&gt;")*$A113*100/100,0)),MASTER!$AH$4:$AH$1463,0))="",NA(),INDEX(MASTER!$G$4:$G$1463,MATCH("VENGEANCE"&amp;"|"&amp;MAX(1,ROUND(COUNTIFS(MASTER!$B$4:$B$1463,"VENGEANCE",MASTER!$G$4:$G$1463,"&lt;&gt;")*$A113*100/100,0)),MASTER!$AH$4:$AH$1463,0))),NA()),IF($B$4="SECONDARY",IFERROR(IF(INDEX(MASTER!$L$4:$L$1463,MATCH("VENGEANCE"&amp;"|"&amp;MAX(1,ROUND(COUNTIFS(MASTER!$B$4:$B$1463,"VENGEANCE",MASTER!$L$4:$L$1463,"&lt;&gt;")*$A113*100/100,0)),MASTER!$AI$4:$AI$1463,0))="",NA(),INDEX(MASTER!$L$4:$L$1463,MATCH("VENGEANCE"&amp;"|"&amp;MAX(1,ROUND(COUNTIFS(MASTER!$B$4:$B$1463,"VENGEANCE",MASTER!$L$4:$L$1463,"&lt;&gt;")*$A113*100/100,0)),MASTER!$AI$4:$AI$1463,0))),NA()))))</f>
        <v>3172</v>
      </c>
      <c r="N113" s="37">
        <f>IF($B$4="RESONANCE",IFERROR(IF(INDEX(MASTER!$I$4:$I$1463,MATCH("VENDETTA"&amp;"|"&amp;MAX(1,ROUND(COUNTIFS(MASTER!$B$4:$B$1463,"VENDETTA",MASTER!$I$4:$I$1463,"&lt;&gt;")*$A113*100/100,0)),MASTER!$Y$4:$Y$1463,0))="",NA(),INDEX(MASTER!$I$4:$I$1463,MATCH("VENDETTA"&amp;"|"&amp;MAX(1,ROUND(COUNTIFS(MASTER!$B$4:$B$1463,"VENDETTA",MASTER!$I$4:$I$1463,"&lt;&gt;")*$A113*100/100,0)),MASTER!$Y$4:$Y$1463,0))),NA()),IF($B$4="COMBAT RATING",IFERROR(IF(INDEX(MASTER!$G$4:$G$1463,MATCH("VENDETTA"&amp;"|"&amp;MAX(1,ROUND(COUNTIFS(MASTER!$B$4:$B$1463,"VENDETTA",MASTER!$G$4:$G$1463,"&lt;&gt;")*$A113*100/100,0)),MASTER!$AH$4:$AH$1463,0))="",NA(),INDEX(MASTER!$G$4:$G$1463,MATCH("VENDETTA"&amp;"|"&amp;MAX(1,ROUND(COUNTIFS(MASTER!$B$4:$B$1463,"VENDETTA",MASTER!$G$4:$G$1463,"&lt;&gt;")*$A113*100/100,0)),MASTER!$AH$4:$AH$1463,0))),NA()),IF($B$4="SECONDARY",IFERROR(IF(INDEX(MASTER!$L$4:$L$1463,MATCH("VENDETTA"&amp;"|"&amp;MAX(1,ROUND(COUNTIFS(MASTER!$B$4:$B$1463,"VENDETTA",MASTER!$L$4:$L$1463,"&lt;&gt;")*$A113*100/100,0)),MASTER!$AI$4:$AI$1463,0))="",NA(),INDEX(MASTER!$L$4:$L$1463,MATCH("VENDETTA"&amp;"|"&amp;MAX(1,ROUND(COUNTIFS(MASTER!$B$4:$B$1463,"VENDETTA",MASTER!$L$4:$L$1463,"&lt;&gt;")*$A113*100/100,0)),MASTER!$AI$4:$AI$1463,0))),NA()))))</f>
        <v>1836</v>
      </c>
      <c r="O113" s="37">
        <f>IF($B$4="RESONANCE",IFERROR(IF(INDEX(MASTER!$I$4:$I$1463,MATCH("ZOMBIES"&amp;"|"&amp;MAX(1,ROUND(COUNTIFS(MASTER!$B$4:$B$1463,"ZOMBIES",MASTER!$I$4:$I$1463,"&lt;&gt;")*$A113*100/100,0)),MASTER!$Y$4:$Y$1463,0))="",NA(),INDEX(MASTER!$I$4:$I$1463,MATCH("ZOMBIES"&amp;"|"&amp;MAX(1,ROUND(COUNTIFS(MASTER!$B$4:$B$1463,"ZOMBIES",MASTER!$I$4:$I$1463,"&lt;&gt;")*$A113*100/100,0)),MASTER!$Y$4:$Y$1463,0))),NA()),IF($B$4="COMBAT RATING",IFERROR(IF(INDEX(MASTER!$G$4:$G$1463,MATCH("ZOMBIES"&amp;"|"&amp;MAX(1,ROUND(COUNTIFS(MASTER!$B$4:$B$1463,"ZOMBIES",MASTER!$G$4:$G$1463,"&lt;&gt;")*$A113*100/100,0)),MASTER!$AH$4:$AH$1463,0))="",NA(),INDEX(MASTER!$G$4:$G$1463,MATCH("ZOMBIES"&amp;"|"&amp;MAX(1,ROUND(COUNTIFS(MASTER!$B$4:$B$1463,"ZOMBIES",MASTER!$G$4:$G$1463,"&lt;&gt;")*$A113*100/100,0)),MASTER!$AH$4:$AH$1463,0))),NA()),IF($B$4="SECONDARY",IFERROR(IF(INDEX(MASTER!$L$4:$L$1463,MATCH("ZOMBIES"&amp;"|"&amp;MAX(1,ROUND(COUNTIFS(MASTER!$B$4:$B$1463,"ZOMBIES",MASTER!$L$4:$L$1463,"&lt;&gt;")*$A113*100/100,0)),MASTER!$AI$4:$AI$1463,0))="",NA(),INDEX(MASTER!$L$4:$L$1463,MATCH("ZOMBIES"&amp;"|"&amp;MAX(1,ROUND(COUNTIFS(MASTER!$B$4:$B$1463,"ZOMBIES",MASTER!$L$4:$L$1463,"&lt;&gt;")*$A113*100/100,0)),MASTER!$AI$4:$AI$1463,0))),NA()))))</f>
        <v>1528</v>
      </c>
      <c r="P113" s="37">
        <f>IF($B$4="RESONANCE",IFERROR(IF(INDEX(MASTER!$I$4:$I$1463,MATCH("FUCT"&amp;"|"&amp;MAX(1,ROUND(COUNTIFS(MASTER!$B$4:$B$1463,"FUCT",MASTER!$I$4:$I$1463,"&lt;&gt;")*$A113*100/100,0)),MASTER!$Y$4:$Y$1463,0))="",NA(),INDEX(MASTER!$I$4:$I$1463,MATCH("FUCT"&amp;"|"&amp;MAX(1,ROUND(COUNTIFS(MASTER!$B$4:$B$1463,"FUCT",MASTER!$I$4:$I$1463,"&lt;&gt;")*$A113*100/100,0)),MASTER!$Y$4:$Y$1463,0))),NA()),IF($B$4="COMBAT RATING",IFERROR(IF(INDEX(MASTER!$G$4:$G$1463,MATCH("FUCT"&amp;"|"&amp;MAX(1,ROUND(COUNTIFS(MASTER!$B$4:$B$1463,"FUCT",MASTER!$G$4:$G$1463,"&lt;&gt;")*$A113*100/100,0)),MASTER!$AH$4:$AH$1463,0))="",NA(),INDEX(MASTER!$G$4:$G$1463,MATCH("FUCT"&amp;"|"&amp;MAX(1,ROUND(COUNTIFS(MASTER!$B$4:$B$1463,"FUCT",MASTER!$G$4:$G$1463,"&lt;&gt;")*$A113*100/100,0)),MASTER!$AH$4:$AH$1463,0))),NA()),IF($B$4="SECONDARY",IFERROR(IF(INDEX(MASTER!$L$4:$L$1463,MATCH("FUCT"&amp;"|"&amp;MAX(1,ROUND(COUNTIFS(MASTER!$B$4:$B$1463,"FUCT",MASTER!$L$4:$L$1463,"&lt;&gt;")*$A113*100/100,0)),MASTER!$AI$4:$AI$1463,0))="",NA(),INDEX(MASTER!$L$4:$L$1463,MATCH("FUCT"&amp;"|"&amp;MAX(1,ROUND(COUNTIFS(MASTER!$B$4:$B$1463,"FUCT",MASTER!$L$4:$L$1463,"&lt;&gt;")*$A113*100/100,0)),MASTER!$AI$4:$AI$1463,0))),NA()))))</f>
        <v>4098</v>
      </c>
      <c r="Q113" s="37">
        <f>IF($B$4="RESONANCE",IFERROR(IF(INDEX(MASTER!$I$4:$I$1463,MATCH($E$4&amp;"|"&amp;MAX(1,ROUND(COUNTIFS(MASTER!$B$4:$B$1463,$E$4,MASTER!$I$4:$I$1463,"&lt;&gt;")*$A113*100/100,0)),MASTER!$Y$4:$Y$1463,0))="",NA(),INDEX(MASTER!$I$4:$I$1463,MATCH($E$4&amp;"|"&amp;MAX(1,ROUND(COUNTIFS(MASTER!$B$4:$B$1463,$E$4,MASTER!$I$4:$I$1463,"&lt;&gt;")*$A113*100/100,0)),MASTER!$Y$4:$Y$1463,0))),NA()),IF($B$4="COMBAT RATING",IFERROR(IF(INDEX(MASTER!$G$4:$G$1463,MATCH($E$4&amp;"|"&amp;MAX(1,ROUND(COUNTIFS(MASTER!$B$4:$B$1463,$E$4,MASTER!$G$4:$G$1463,"&lt;&gt;")*$A113*100/100,0)),MASTER!$AH$4:$AH$1463,0))="",NA(),INDEX(MASTER!$G$4:$G$1463,MATCH($E$4&amp;"|"&amp;MAX(1,ROUND(COUNTIFS(MASTER!$B$4:$B$1463,$E$4,MASTER!$G$4:$G$1463,"&lt;&gt;")*$A113*100/100,0)),MASTER!$AH$4:$AH$1463,0))),NA()),IF($B$4="SECONDARY",IFERROR(IF(INDEX(MASTER!$L$4:$L$1463,MATCH($E$4&amp;"|"&amp;MAX(1,ROUND(COUNTIFS(MASTER!$B$4:$B$1463,$E$4,MASTER!$L$4:$L$1463,"&lt;&gt;")*$A113*100/100,0)),MASTER!$AI$4:$AI$1463,0))="",NA(),INDEX(MASTER!$L$4:$L$1463,MATCH($E$4&amp;"|"&amp;MAX(1,ROUND(COUNTIFS(MASTER!$B$4:$B$1463,$E$4,MASTER!$L$4:$L$1463,"&lt;&gt;")*$A113*100/100,0)),MASTER!$AI$4:$AI$1463,0))),NA()))))</f>
        <v>3794</v>
      </c>
    </row>
    <row r="114" spans="1:17" hidden="1">
      <c r="A114" s="36">
        <v>0.59</v>
      </c>
      <c r="B114" s="37">
        <f>IF($B$4="RESONANCE",IFERROR(IF(INDEX(MASTER!$I$4:$I$1463,MATCH("FUCT"&amp;"|"&amp;MAX(1,ROUND(COUNTIFS(MASTER!$B$4:$B$1463,"FUCT",MASTER!$I$4:$I$1463,"&lt;&gt;")*$A114*100/100,0)),MASTER!$Y$4:$Y$1463,0))="",NA(),INDEX(MASTER!$I$4:$I$1463,MATCH("FUCT"&amp;"|"&amp;MAX(1,ROUND(COUNTIFS(MASTER!$B$4:$B$1463,"FUCT",MASTER!$I$4:$I$1463,"&lt;&gt;")*$A114*100/100,0)),MASTER!$Y$4:$Y$1463,0))),NA()),IF($B$4="COMBAT RATING",IFERROR(IF(INDEX(MASTER!$G$4:$G$1463,MATCH("FUCT"&amp;"|"&amp;MAX(1,ROUND(COUNTIFS(MASTER!$B$4:$B$1463,"FUCT",MASTER!$G$4:$G$1463,"&lt;&gt;")*$A114*100/100,0)),MASTER!$AH$4:$AH$1463,0))="",NA(),INDEX(MASTER!$G$4:$G$1463,MATCH("FUCT"&amp;"|"&amp;MAX(1,ROUND(COUNTIFS(MASTER!$B$4:$B$1463,"FUCT",MASTER!$G$4:$G$1463,"&lt;&gt;")*$A114*100/100,0)),MASTER!$AH$4:$AH$1463,0))),NA()),IF($B$4="SECONDARY",IFERROR(IF(INDEX(MASTER!$L$4:$L$1463,MATCH("FUCT"&amp;"|"&amp;MAX(1,ROUND(COUNTIFS(MASTER!$B$4:$B$1463,"FUCT",MASTER!$L$4:$L$1463,"&lt;&gt;")*$A114*100/100,0)),MASTER!$AI$4:$AI$1463,0))="",NA(),INDEX(MASTER!$L$4:$L$1463,MATCH("FUCT"&amp;"|"&amp;MAX(1,ROUND(COUNTIFS(MASTER!$B$4:$B$1463,"FUCT",MASTER!$L$4:$L$1463,"&lt;&gt;")*$A114*100/100,0)),MASTER!$AI$4:$AI$1463,0))),NA()))))</f>
        <v>4065</v>
      </c>
      <c r="C114" s="37">
        <f>IF($B$4="RESONANCE",IFERROR(IF(INDEX(MASTER!$I$4:$I$1463,MATCH("LEGENDS"&amp;"|"&amp;MAX(1,ROUND(COUNTIFS(MASTER!$B$4:$B$1463,"LEGENDS",MASTER!$I$4:$I$1463,"&lt;&gt;")*$A114*100/100,0)),MASTER!$Y$4:$Y$1463,0))="",NA(),INDEX(MASTER!$I$4:$I$1463,MATCH("LEGENDS"&amp;"|"&amp;MAX(1,ROUND(COUNTIFS(MASTER!$B$4:$B$1463,"LEGENDS",MASTER!$I$4:$I$1463,"&lt;&gt;")*$A114*100/100,0)),MASTER!$Y$4:$Y$1463,0))),NA()),IF($B$4="COMBAT RATING",IFERROR(IF(INDEX(MASTER!$G$4:$G$1463,MATCH("LEGENDS"&amp;"|"&amp;MAX(1,ROUND(COUNTIFS(MASTER!$B$4:$B$1463,"LEGENDS",MASTER!$G$4:$G$1463,"&lt;&gt;")*$A114*100/100,0)),MASTER!$AH$4:$AH$1463,0))="",NA(),INDEX(MASTER!$G$4:$G$1463,MATCH("LEGENDS"&amp;"|"&amp;MAX(1,ROUND(COUNTIFS(MASTER!$B$4:$B$1463,"LEGENDS",MASTER!$G$4:$G$1463,"&lt;&gt;")*$A114*100/100,0)),MASTER!$AH$4:$AH$1463,0))),NA()),IF($B$4="SECONDARY",IFERROR(IF(INDEX(MASTER!$L$4:$L$1463,MATCH("LEGENDS"&amp;"|"&amp;MAX(1,ROUND(COUNTIFS(MASTER!$B$4:$B$1463,"LEGENDS",MASTER!$L$4:$L$1463,"&lt;&gt;")*$A114*100/100,0)),MASTER!$AI$4:$AI$1463,0))="",NA(),INDEX(MASTER!$L$4:$L$1463,MATCH("LEGENDS"&amp;"|"&amp;MAX(1,ROUND(COUNTIFS(MASTER!$B$4:$B$1463,"LEGENDS",MASTER!$L$4:$L$1463,"&lt;&gt;")*$A114*100/100,0)),MASTER!$AI$4:$AI$1463,0))),NA()))))</f>
        <v>4769</v>
      </c>
      <c r="D114" s="37">
        <f>IF($B$4="RESONANCE",IFERROR(IF(INDEX(MASTER!$I$4:$I$1463,MATCH("VANGUARD"&amp;"|"&amp;MAX(1,ROUND(COUNTIFS(MASTER!$B$4:$B$1463,"VANGUARD",MASTER!$I$4:$I$1463,"&lt;&gt;")*$A114*100/100,0)),MASTER!$Y$4:$Y$1463,0))="",NA(),INDEX(MASTER!$I$4:$I$1463,MATCH("VANGUARD"&amp;"|"&amp;MAX(1,ROUND(COUNTIFS(MASTER!$B$4:$B$1463,"VANGUARD",MASTER!$I$4:$I$1463,"&lt;&gt;")*$A114*100/100,0)),MASTER!$Y$4:$Y$1463,0))),NA()),IF($B$4="COMBAT RATING",IFERROR(IF(INDEX(MASTER!$G$4:$G$1463,MATCH("VANGUARD"&amp;"|"&amp;MAX(1,ROUND(COUNTIFS(MASTER!$B$4:$B$1463,"VANGUARD",MASTER!$G$4:$G$1463,"&lt;&gt;")*$A114*100/100,0)),MASTER!$AH$4:$AH$1463,0))="",NA(),INDEX(MASTER!$G$4:$G$1463,MATCH("VANGUARD"&amp;"|"&amp;MAX(1,ROUND(COUNTIFS(MASTER!$B$4:$B$1463,"VANGUARD",MASTER!$G$4:$G$1463,"&lt;&gt;")*$A114*100/100,0)),MASTER!$AH$4:$AH$1463,0))),NA()),IF($B$4="SECONDARY",IFERROR(IF(INDEX(MASTER!$L$4:$L$1463,MATCH("VANGUARD"&amp;"|"&amp;MAX(1,ROUND(COUNTIFS(MASTER!$B$4:$B$1463,"VANGUARD",MASTER!$L$4:$L$1463,"&lt;&gt;")*$A114*100/100,0)),MASTER!$AI$4:$AI$1463,0))="",NA(),INDEX(MASTER!$L$4:$L$1463,MATCH("VANGUARD"&amp;"|"&amp;MAX(1,ROUND(COUNTIFS(MASTER!$B$4:$B$1463,"VANGUARD",MASTER!$L$4:$L$1463,"&lt;&gt;")*$A114*100/100,0)),MASTER!$AI$4:$AI$1463,0))),NA()))))</f>
        <v>6148</v>
      </c>
      <c r="E114" s="37">
        <f>IF($B$4="RESONANCE",IFERROR(IF(INDEX(MASTER!$I$4:$I$1463,MATCH("UNDYING"&amp;"|"&amp;MAX(1,ROUND(COUNTIFS(MASTER!$B$4:$B$1463,"UNDYING",MASTER!$I$4:$I$1463,"&lt;&gt;")*$A114*100/100,0)),MASTER!$Y$4:$Y$1463,0))="",NA(),INDEX(MASTER!$I$4:$I$1463,MATCH("UNDYING"&amp;"|"&amp;MAX(1,ROUND(COUNTIFS(MASTER!$B$4:$B$1463,"UNDYING",MASTER!$I$4:$I$1463,"&lt;&gt;")*$A114*100/100,0)),MASTER!$Y$4:$Y$1463,0))),NA()),IF($B$4="COMBAT RATING",IFERROR(IF(INDEX(MASTER!$G$4:$G$1463,MATCH("UNDYING"&amp;"|"&amp;MAX(1,ROUND(COUNTIFS(MASTER!$B$4:$B$1463,"UNDYING",MASTER!$G$4:$G$1463,"&lt;&gt;")*$A114*100/100,0)),MASTER!$AH$4:$AH$1463,0))="",NA(),INDEX(MASTER!$G$4:$G$1463,MATCH("UNDYING"&amp;"|"&amp;MAX(1,ROUND(COUNTIFS(MASTER!$B$4:$B$1463,"UNDYING",MASTER!$G$4:$G$1463,"&lt;&gt;")*$A114*100/100,0)),MASTER!$AH$4:$AH$1463,0))),NA()),IF($B$4="SECONDARY",IFERROR(IF(INDEX(MASTER!$L$4:$L$1463,MATCH("UNDYING"&amp;"|"&amp;MAX(1,ROUND(COUNTIFS(MASTER!$B$4:$B$1463,"UNDYING",MASTER!$L$4:$L$1463,"&lt;&gt;")*$A114*100/100,0)),MASTER!$AI$4:$AI$1463,0))="",NA(),INDEX(MASTER!$L$4:$L$1463,MATCH("UNDYING"&amp;"|"&amp;MAX(1,ROUND(COUNTIFS(MASTER!$B$4:$B$1463,"UNDYING",MASTER!$L$4:$L$1463,"&lt;&gt;")*$A114*100/100,0)),MASTER!$AI$4:$AI$1463,0))),NA()))))</f>
        <v>3767</v>
      </c>
      <c r="F114" s="37">
        <f>IF($B$4="RESONANCE",IFERROR(IF(INDEX(MASTER!$I$4:$I$1463,MATCH("SBG"&amp;"|"&amp;MAX(1,ROUND(COUNTIFS(MASTER!$B$4:$B$1463,"SBG",MASTER!$I$4:$I$1463,"&lt;&gt;")*$A114*100/100,0)),MASTER!$Y$4:$Y$1463,0))="",NA(),INDEX(MASTER!$I$4:$I$1463,MATCH("SBG"&amp;"|"&amp;MAX(1,ROUND(COUNTIFS(MASTER!$B$4:$B$1463,"SBG",MASTER!$I$4:$I$1463,"&lt;&gt;")*$A114*100/100,0)),MASTER!$Y$4:$Y$1463,0))),NA()),IF($B$4="COMBAT RATING",IFERROR(IF(INDEX(MASTER!$G$4:$G$1463,MATCH("SBG"&amp;"|"&amp;MAX(1,ROUND(COUNTIFS(MASTER!$B$4:$B$1463,"SBG",MASTER!$G$4:$G$1463,"&lt;&gt;")*$A114*100/100,0)),MASTER!$AH$4:$AH$1463,0))="",NA(),INDEX(MASTER!$G$4:$G$1463,MATCH("SBG"&amp;"|"&amp;MAX(1,ROUND(COUNTIFS(MASTER!$B$4:$B$1463,"SBG",MASTER!$G$4:$G$1463,"&lt;&gt;")*$A114*100/100,0)),MASTER!$AH$4:$AH$1463,0))),NA()),IF($B$4="SECONDARY",IFERROR(IF(INDEX(MASTER!$L$4:$L$1463,MATCH("SBG"&amp;"|"&amp;MAX(1,ROUND(COUNTIFS(MASTER!$B$4:$B$1463,"SBG",MASTER!$L$4:$L$1463,"&lt;&gt;")*$A114*100/100,0)),MASTER!$AI$4:$AI$1463,0))="",NA(),INDEX(MASTER!$L$4:$L$1463,MATCH("SBG"&amp;"|"&amp;MAX(1,ROUND(COUNTIFS(MASTER!$B$4:$B$1463,"SBG",MASTER!$L$4:$L$1463,"&lt;&gt;")*$A114*100/100,0)),MASTER!$AI$4:$AI$1463,0))),NA()))))</f>
        <v>5031</v>
      </c>
      <c r="G114" s="37">
        <f>IF($B$4="RESONANCE",IFERROR(IF(INDEX(MASTER!$I$4:$I$1463,MATCH("AZUKI"&amp;"|"&amp;MAX(1,ROUND(COUNTIFS(MASTER!$B$4:$B$1463,"AZUKI",MASTER!$I$4:$I$1463,"&lt;&gt;")*$A114*100/100,0)),MASTER!$Y$4:$Y$1463,0))="",NA(),INDEX(MASTER!$I$4:$I$1463,MATCH("AZUKI"&amp;"|"&amp;MAX(1,ROUND(COUNTIFS(MASTER!$B$4:$B$1463,"AZUKI",MASTER!$I$4:$I$1463,"&lt;&gt;")*$A114*100/100,0)),MASTER!$Y$4:$Y$1463,0))),NA()),IF($B$4="COMBAT RATING",IFERROR(IF(INDEX(MASTER!$G$4:$G$1463,MATCH("AZUKI"&amp;"|"&amp;MAX(1,ROUND(COUNTIFS(MASTER!$B$4:$B$1463,"AZUKI",MASTER!$G$4:$G$1463,"&lt;&gt;")*$A114*100/100,0)),MASTER!$AH$4:$AH$1463,0))="",NA(),INDEX(MASTER!$G$4:$G$1463,MATCH("AZUKI"&amp;"|"&amp;MAX(1,ROUND(COUNTIFS(MASTER!$B$4:$B$1463,"AZUKI",MASTER!$G$4:$G$1463,"&lt;&gt;")*$A114*100/100,0)),MASTER!$AH$4:$AH$1463,0))),NA()),IF($B$4="SECONDARY",IFERROR(IF(INDEX(MASTER!$L$4:$L$1463,MATCH("AZUKI"&amp;"|"&amp;MAX(1,ROUND(COUNTIFS(MASTER!$B$4:$B$1463,"AZUKI",MASTER!$L$4:$L$1463,"&lt;&gt;")*$A114*100/100,0)),MASTER!$AI$4:$AI$1463,0))="",NA(),INDEX(MASTER!$L$4:$L$1463,MATCH("AZUKI"&amp;"|"&amp;MAX(1,ROUND(COUNTIFS(MASTER!$B$4:$B$1463,"AZUKI",MASTER!$L$4:$L$1463,"&lt;&gt;")*$A114*100/100,0)),MASTER!$AI$4:$AI$1463,0))),NA()))))</f>
        <v>4163</v>
      </c>
      <c r="H114" s="37">
        <f>IF($B$4="RESONANCE",IFERROR(IF(INDEX(MASTER!$I$4:$I$1463,MATCH("RECKONING"&amp;"|"&amp;MAX(1,ROUND(COUNTIFS(MASTER!$B$4:$B$1463,"RECKONING",MASTER!$I$4:$I$1463,"&lt;&gt;")*$A114*100/100,0)),MASTER!$Y$4:$Y$1463,0))="",NA(),INDEX(MASTER!$I$4:$I$1463,MATCH("RECKONING"&amp;"|"&amp;MAX(1,ROUND(COUNTIFS(MASTER!$B$4:$B$1463,"RECKONING",MASTER!$I$4:$I$1463,"&lt;&gt;")*$A114*100/100,0)),MASTER!$Y$4:$Y$1463,0))),NA()),IF($B$4="COMBAT RATING",IFERROR(IF(INDEX(MASTER!$G$4:$G$1463,MATCH("RECKONING"&amp;"|"&amp;MAX(1,ROUND(COUNTIFS(MASTER!$B$4:$B$1463,"RECKONING",MASTER!$G$4:$G$1463,"&lt;&gt;")*$A114*100/100,0)),MASTER!$AH$4:$AH$1463,0))="",NA(),INDEX(MASTER!$G$4:$G$1463,MATCH("RECKONING"&amp;"|"&amp;MAX(1,ROUND(COUNTIFS(MASTER!$B$4:$B$1463,"RECKONING",MASTER!$G$4:$G$1463,"&lt;&gt;")*$A114*100/100,0)),MASTER!$AH$4:$AH$1463,0))),NA()),IF($B$4="SECONDARY",IFERROR(IF(INDEX(MASTER!$L$4:$L$1463,MATCH("RECKONING"&amp;"|"&amp;MAX(1,ROUND(COUNTIFS(MASTER!$B$4:$B$1463,"RECKONING",MASTER!$L$4:$L$1463,"&lt;&gt;")*$A114*100/100,0)),MASTER!$AI$4:$AI$1463,0))="",NA(),INDEX(MASTER!$L$4:$L$1463,MATCH("RECKONING"&amp;"|"&amp;MAX(1,ROUND(COUNTIFS(MASTER!$B$4:$B$1463,"RECKONING",MASTER!$L$4:$L$1463,"&lt;&gt;")*$A114*100/100,0)),MASTER!$AI$4:$AI$1463,0))),NA()))))</f>
        <v>4278</v>
      </c>
      <c r="I114" s="37">
        <f>IF($B$4="RESONANCE",IFERROR(IF(INDEX(MASTER!$I$4:$I$1463,MATCH("ACHERON"&amp;"|"&amp;MAX(1,ROUND(COUNTIFS(MASTER!$B$4:$B$1463,"ACHERON",MASTER!$I$4:$I$1463,"&lt;&gt;")*$A114*100/100,0)),MASTER!$Y$4:$Y$1463,0))="",NA(),INDEX(MASTER!$I$4:$I$1463,MATCH("ACHERON"&amp;"|"&amp;MAX(1,ROUND(COUNTIFS(MASTER!$B$4:$B$1463,"ACHERON",MASTER!$I$4:$I$1463,"&lt;&gt;")*$A114*100/100,0)),MASTER!$Y$4:$Y$1463,0))),NA()),IF($B$4="COMBAT RATING",IFERROR(IF(INDEX(MASTER!$G$4:$G$1463,MATCH("ACHERON"&amp;"|"&amp;MAX(1,ROUND(COUNTIFS(MASTER!$B$4:$B$1463,"ACHERON",MASTER!$G$4:$G$1463,"&lt;&gt;")*$A114*100/100,0)),MASTER!$AH$4:$AH$1463,0))="",NA(),INDEX(MASTER!$G$4:$G$1463,MATCH("ACHERON"&amp;"|"&amp;MAX(1,ROUND(COUNTIFS(MASTER!$B$4:$B$1463,"ACHERON",MASTER!$G$4:$G$1463,"&lt;&gt;")*$A114*100/100,0)),MASTER!$AH$4:$AH$1463,0))),NA()),IF($B$4="SECONDARY",IFERROR(IF(INDEX(MASTER!$L$4:$L$1463,MATCH("ACHERON"&amp;"|"&amp;MAX(1,ROUND(COUNTIFS(MASTER!$B$4:$B$1463,"ACHERON",MASTER!$L$4:$L$1463,"&lt;&gt;")*$A114*100/100,0)),MASTER!$AI$4:$AI$1463,0))="",NA(),INDEX(MASTER!$L$4:$L$1463,MATCH("ACHERON"&amp;"|"&amp;MAX(1,ROUND(COUNTIFS(MASTER!$B$4:$B$1463,"ACHERON",MASTER!$L$4:$L$1463,"&lt;&gt;")*$A114*100/100,0)),MASTER!$AI$4:$AI$1463,0))),NA()))))</f>
        <v>3423</v>
      </c>
      <c r="J114" s="37">
        <f>IF($B$4="RESONANCE",IFERROR(IF(INDEX(MASTER!$I$4:$I$1463,MATCH("INVICTUS"&amp;"|"&amp;MAX(1,ROUND(COUNTIFS(MASTER!$B$4:$B$1463,"INVICTUS",MASTER!$I$4:$I$1463,"&lt;&gt;")*$A114*100/100,0)),MASTER!$Y$4:$Y$1463,0))="",NA(),INDEX(MASTER!$I$4:$I$1463,MATCH("INVICTUS"&amp;"|"&amp;MAX(1,ROUND(COUNTIFS(MASTER!$B$4:$B$1463,"INVICTUS",MASTER!$I$4:$I$1463,"&lt;&gt;")*$A114*100/100,0)),MASTER!$Y$4:$Y$1463,0))),NA()),IF($B$4="COMBAT RATING",IFERROR(IF(INDEX(MASTER!$G$4:$G$1463,MATCH("INVICTUS"&amp;"|"&amp;MAX(1,ROUND(COUNTIFS(MASTER!$B$4:$B$1463,"INVICTUS",MASTER!$G$4:$G$1463,"&lt;&gt;")*$A114*100/100,0)),MASTER!$AH$4:$AH$1463,0))="",NA(),INDEX(MASTER!$G$4:$G$1463,MATCH("INVICTUS"&amp;"|"&amp;MAX(1,ROUND(COUNTIFS(MASTER!$B$4:$B$1463,"INVICTUS",MASTER!$G$4:$G$1463,"&lt;&gt;")*$A114*100/100,0)),MASTER!$AH$4:$AH$1463,0))),NA()),IF($B$4="SECONDARY",IFERROR(IF(INDEX(MASTER!$L$4:$L$1463,MATCH("INVICTUS"&amp;"|"&amp;MAX(1,ROUND(COUNTIFS(MASTER!$B$4:$B$1463,"INVICTUS",MASTER!$L$4:$L$1463,"&lt;&gt;")*$A114*100/100,0)),MASTER!$AI$4:$AI$1463,0))="",NA(),INDEX(MASTER!$L$4:$L$1463,MATCH("INVICTUS"&amp;"|"&amp;MAX(1,ROUND(COUNTIFS(MASTER!$B$4:$B$1463,"INVICTUS",MASTER!$L$4:$L$1463,"&lt;&gt;")*$A114*100/100,0)),MASTER!$AI$4:$AI$1463,0))),NA()))))</f>
        <v>2830</v>
      </c>
      <c r="K114" s="37">
        <f>IF($B$4="RESONANCE",IFERROR(IF(INDEX(MASTER!$I$4:$I$1463,MATCH("EMERALD LEAF TRIBE"&amp;"|"&amp;MAX(1,ROUND(COUNTIFS(MASTER!$B$4:$B$1463,"EMERALD LEAF TRIBE",MASTER!$I$4:$I$1463,"&lt;&gt;")*$A114*100/100,0)),MASTER!$Y$4:$Y$1463,0))="",NA(),INDEX(MASTER!$I$4:$I$1463,MATCH("EMERALD LEAF TRIBE"&amp;"|"&amp;MAX(1,ROUND(COUNTIFS(MASTER!$B$4:$B$1463,"EMERALD LEAF TRIBE",MASTER!$I$4:$I$1463,"&lt;&gt;")*$A114*100/100,0)),MASTER!$Y$4:$Y$1463,0))),NA()),IF($B$4="COMBAT RATING",IFERROR(IF(INDEX(MASTER!$G$4:$G$1463,MATCH("EMERALD LEAF TRIBE"&amp;"|"&amp;MAX(1,ROUND(COUNTIFS(MASTER!$B$4:$B$1463,"EMERALD LEAF TRIBE",MASTER!$G$4:$G$1463,"&lt;&gt;")*$A114*100/100,0)),MASTER!$AH$4:$AH$1463,0))="",NA(),INDEX(MASTER!$G$4:$G$1463,MATCH("EMERALD LEAF TRIBE"&amp;"|"&amp;MAX(1,ROUND(COUNTIFS(MASTER!$B$4:$B$1463,"EMERALD LEAF TRIBE",MASTER!$G$4:$G$1463,"&lt;&gt;")*$A114*100/100,0)),MASTER!$AH$4:$AH$1463,0))),NA()),IF($B$4="SECONDARY",IFERROR(IF(INDEX(MASTER!$L$4:$L$1463,MATCH("EMERALD LEAF TRIBE"&amp;"|"&amp;MAX(1,ROUND(COUNTIFS(MASTER!$B$4:$B$1463,"EMERALD LEAF TRIBE",MASTER!$L$4:$L$1463,"&lt;&gt;")*$A114*100/100,0)),MASTER!$AI$4:$AI$1463,0))="",NA(),INDEX(MASTER!$L$4:$L$1463,MATCH("EMERALD LEAF TRIBE"&amp;"|"&amp;MAX(1,ROUND(COUNTIFS(MASTER!$B$4:$B$1463,"EMERALD LEAF TRIBE",MASTER!$L$4:$L$1463,"&lt;&gt;")*$A114*100/100,0)),MASTER!$AI$4:$AI$1463,0))),NA()))))</f>
        <v>1960</v>
      </c>
      <c r="L114" s="37">
        <f>IF($B$4="RESONANCE",IFERROR(IF(INDEX(MASTER!$I$4:$I$1463,MATCH("SUB ROSA"&amp;"|"&amp;MAX(1,ROUND(COUNTIFS(MASTER!$B$4:$B$1463,"SUB ROSA",MASTER!$I$4:$I$1463,"&lt;&gt;")*$A114*100/100,0)),MASTER!$Y$4:$Y$1463,0))="",NA(),INDEX(MASTER!$I$4:$I$1463,MATCH("SUB ROSA"&amp;"|"&amp;MAX(1,ROUND(COUNTIFS(MASTER!$B$4:$B$1463,"SUB ROSA",MASTER!$I$4:$I$1463,"&lt;&gt;")*$A114*100/100,0)),MASTER!$Y$4:$Y$1463,0))),NA()),IF($B$4="COMBAT RATING",IFERROR(IF(INDEX(MASTER!$G$4:$G$1463,MATCH("SUB ROSA"&amp;"|"&amp;MAX(1,ROUND(COUNTIFS(MASTER!$B$4:$B$1463,"SUB ROSA",MASTER!$G$4:$G$1463,"&lt;&gt;")*$A114*100/100,0)),MASTER!$AH$4:$AH$1463,0))="",NA(),INDEX(MASTER!$G$4:$G$1463,MATCH("SUB ROSA"&amp;"|"&amp;MAX(1,ROUND(COUNTIFS(MASTER!$B$4:$B$1463,"SUB ROSA",MASTER!$G$4:$G$1463,"&lt;&gt;")*$A114*100/100,0)),MASTER!$AH$4:$AH$1463,0))),NA()),IF($B$4="SECONDARY",IFERROR(IF(INDEX(MASTER!$L$4:$L$1463,MATCH("SUB ROSA"&amp;"|"&amp;MAX(1,ROUND(COUNTIFS(MASTER!$B$4:$B$1463,"SUB ROSA",MASTER!$L$4:$L$1463,"&lt;&gt;")*$A114*100/100,0)),MASTER!$AI$4:$AI$1463,0))="",NA(),INDEX(MASTER!$L$4:$L$1463,MATCH("SUB ROSA"&amp;"|"&amp;MAX(1,ROUND(COUNTIFS(MASTER!$B$4:$B$1463,"SUB ROSA",MASTER!$L$4:$L$1463,"&lt;&gt;")*$A114*100/100,0)),MASTER!$AI$4:$AI$1463,0))),NA()))))</f>
        <v>2192</v>
      </c>
      <c r="M114" s="37">
        <f>IF($B$4="RESONANCE",IFERROR(IF(INDEX(MASTER!$I$4:$I$1463,MATCH("VENGEANCE"&amp;"|"&amp;MAX(1,ROUND(COUNTIFS(MASTER!$B$4:$B$1463,"VENGEANCE",MASTER!$I$4:$I$1463,"&lt;&gt;")*$A114*100/100,0)),MASTER!$Y$4:$Y$1463,0))="",NA(),INDEX(MASTER!$I$4:$I$1463,MATCH("VENGEANCE"&amp;"|"&amp;MAX(1,ROUND(COUNTIFS(MASTER!$B$4:$B$1463,"VENGEANCE",MASTER!$I$4:$I$1463,"&lt;&gt;")*$A114*100/100,0)),MASTER!$Y$4:$Y$1463,0))),NA()),IF($B$4="COMBAT RATING",IFERROR(IF(INDEX(MASTER!$G$4:$G$1463,MATCH("VENGEANCE"&amp;"|"&amp;MAX(1,ROUND(COUNTIFS(MASTER!$B$4:$B$1463,"VENGEANCE",MASTER!$G$4:$G$1463,"&lt;&gt;")*$A114*100/100,0)),MASTER!$AH$4:$AH$1463,0))="",NA(),INDEX(MASTER!$G$4:$G$1463,MATCH("VENGEANCE"&amp;"|"&amp;MAX(1,ROUND(COUNTIFS(MASTER!$B$4:$B$1463,"VENGEANCE",MASTER!$G$4:$G$1463,"&lt;&gt;")*$A114*100/100,0)),MASTER!$AH$4:$AH$1463,0))),NA()),IF($B$4="SECONDARY",IFERROR(IF(INDEX(MASTER!$L$4:$L$1463,MATCH("VENGEANCE"&amp;"|"&amp;MAX(1,ROUND(COUNTIFS(MASTER!$B$4:$B$1463,"VENGEANCE",MASTER!$L$4:$L$1463,"&lt;&gt;")*$A114*100/100,0)),MASTER!$AI$4:$AI$1463,0))="",NA(),INDEX(MASTER!$L$4:$L$1463,MATCH("VENGEANCE"&amp;"|"&amp;MAX(1,ROUND(COUNTIFS(MASTER!$B$4:$B$1463,"VENGEANCE",MASTER!$L$4:$L$1463,"&lt;&gt;")*$A114*100/100,0)),MASTER!$AI$4:$AI$1463,0))),NA()))))</f>
        <v>3172</v>
      </c>
      <c r="N114" s="37">
        <f>IF($B$4="RESONANCE",IFERROR(IF(INDEX(MASTER!$I$4:$I$1463,MATCH("VENDETTA"&amp;"|"&amp;MAX(1,ROUND(COUNTIFS(MASTER!$B$4:$B$1463,"VENDETTA",MASTER!$I$4:$I$1463,"&lt;&gt;")*$A114*100/100,0)),MASTER!$Y$4:$Y$1463,0))="",NA(),INDEX(MASTER!$I$4:$I$1463,MATCH("VENDETTA"&amp;"|"&amp;MAX(1,ROUND(COUNTIFS(MASTER!$B$4:$B$1463,"VENDETTA",MASTER!$I$4:$I$1463,"&lt;&gt;")*$A114*100/100,0)),MASTER!$Y$4:$Y$1463,0))),NA()),IF($B$4="COMBAT RATING",IFERROR(IF(INDEX(MASTER!$G$4:$G$1463,MATCH("VENDETTA"&amp;"|"&amp;MAX(1,ROUND(COUNTIFS(MASTER!$B$4:$B$1463,"VENDETTA",MASTER!$G$4:$G$1463,"&lt;&gt;")*$A114*100/100,0)),MASTER!$AH$4:$AH$1463,0))="",NA(),INDEX(MASTER!$G$4:$G$1463,MATCH("VENDETTA"&amp;"|"&amp;MAX(1,ROUND(COUNTIFS(MASTER!$B$4:$B$1463,"VENDETTA",MASTER!$G$4:$G$1463,"&lt;&gt;")*$A114*100/100,0)),MASTER!$AH$4:$AH$1463,0))),NA()),IF($B$4="SECONDARY",IFERROR(IF(INDEX(MASTER!$L$4:$L$1463,MATCH("VENDETTA"&amp;"|"&amp;MAX(1,ROUND(COUNTIFS(MASTER!$B$4:$B$1463,"VENDETTA",MASTER!$L$4:$L$1463,"&lt;&gt;")*$A114*100/100,0)),MASTER!$AI$4:$AI$1463,0))="",NA(),INDEX(MASTER!$L$4:$L$1463,MATCH("VENDETTA"&amp;"|"&amp;MAX(1,ROUND(COUNTIFS(MASTER!$B$4:$B$1463,"VENDETTA",MASTER!$L$4:$L$1463,"&lt;&gt;")*$A114*100/100,0)),MASTER!$AI$4:$AI$1463,0))),NA()))))</f>
        <v>1827</v>
      </c>
      <c r="O114" s="37">
        <f>IF($B$4="RESONANCE",IFERROR(IF(INDEX(MASTER!$I$4:$I$1463,MATCH("ZOMBIES"&amp;"|"&amp;MAX(1,ROUND(COUNTIFS(MASTER!$B$4:$B$1463,"ZOMBIES",MASTER!$I$4:$I$1463,"&lt;&gt;")*$A114*100/100,0)),MASTER!$Y$4:$Y$1463,0))="",NA(),INDEX(MASTER!$I$4:$I$1463,MATCH("ZOMBIES"&amp;"|"&amp;MAX(1,ROUND(COUNTIFS(MASTER!$B$4:$B$1463,"ZOMBIES",MASTER!$I$4:$I$1463,"&lt;&gt;")*$A114*100/100,0)),MASTER!$Y$4:$Y$1463,0))),NA()),IF($B$4="COMBAT RATING",IFERROR(IF(INDEX(MASTER!$G$4:$G$1463,MATCH("ZOMBIES"&amp;"|"&amp;MAX(1,ROUND(COUNTIFS(MASTER!$B$4:$B$1463,"ZOMBIES",MASTER!$G$4:$G$1463,"&lt;&gt;")*$A114*100/100,0)),MASTER!$AH$4:$AH$1463,0))="",NA(),INDEX(MASTER!$G$4:$G$1463,MATCH("ZOMBIES"&amp;"|"&amp;MAX(1,ROUND(COUNTIFS(MASTER!$B$4:$B$1463,"ZOMBIES",MASTER!$G$4:$G$1463,"&lt;&gt;")*$A114*100/100,0)),MASTER!$AH$4:$AH$1463,0))),NA()),IF($B$4="SECONDARY",IFERROR(IF(INDEX(MASTER!$L$4:$L$1463,MATCH("ZOMBIES"&amp;"|"&amp;MAX(1,ROUND(COUNTIFS(MASTER!$B$4:$B$1463,"ZOMBIES",MASTER!$L$4:$L$1463,"&lt;&gt;")*$A114*100/100,0)),MASTER!$AI$4:$AI$1463,0))="",NA(),INDEX(MASTER!$L$4:$L$1463,MATCH("ZOMBIES"&amp;"|"&amp;MAX(1,ROUND(COUNTIFS(MASTER!$B$4:$B$1463,"ZOMBIES",MASTER!$L$4:$L$1463,"&lt;&gt;")*$A114*100/100,0)),MASTER!$AI$4:$AI$1463,0))),NA()))))</f>
        <v>1484</v>
      </c>
      <c r="P114" s="37">
        <f>IF($B$4="RESONANCE",IFERROR(IF(INDEX(MASTER!$I$4:$I$1463,MATCH("FUCT"&amp;"|"&amp;MAX(1,ROUND(COUNTIFS(MASTER!$B$4:$B$1463,"FUCT",MASTER!$I$4:$I$1463,"&lt;&gt;")*$A114*100/100,0)),MASTER!$Y$4:$Y$1463,0))="",NA(),INDEX(MASTER!$I$4:$I$1463,MATCH("FUCT"&amp;"|"&amp;MAX(1,ROUND(COUNTIFS(MASTER!$B$4:$B$1463,"FUCT",MASTER!$I$4:$I$1463,"&lt;&gt;")*$A114*100/100,0)),MASTER!$Y$4:$Y$1463,0))),NA()),IF($B$4="COMBAT RATING",IFERROR(IF(INDEX(MASTER!$G$4:$G$1463,MATCH("FUCT"&amp;"|"&amp;MAX(1,ROUND(COUNTIFS(MASTER!$B$4:$B$1463,"FUCT",MASTER!$G$4:$G$1463,"&lt;&gt;")*$A114*100/100,0)),MASTER!$AH$4:$AH$1463,0))="",NA(),INDEX(MASTER!$G$4:$G$1463,MATCH("FUCT"&amp;"|"&amp;MAX(1,ROUND(COUNTIFS(MASTER!$B$4:$B$1463,"FUCT",MASTER!$G$4:$G$1463,"&lt;&gt;")*$A114*100/100,0)),MASTER!$AH$4:$AH$1463,0))),NA()),IF($B$4="SECONDARY",IFERROR(IF(INDEX(MASTER!$L$4:$L$1463,MATCH("FUCT"&amp;"|"&amp;MAX(1,ROUND(COUNTIFS(MASTER!$B$4:$B$1463,"FUCT",MASTER!$L$4:$L$1463,"&lt;&gt;")*$A114*100/100,0)),MASTER!$AI$4:$AI$1463,0))="",NA(),INDEX(MASTER!$L$4:$L$1463,MATCH("FUCT"&amp;"|"&amp;MAX(1,ROUND(COUNTIFS(MASTER!$B$4:$B$1463,"FUCT",MASTER!$L$4:$L$1463,"&lt;&gt;")*$A114*100/100,0)),MASTER!$AI$4:$AI$1463,0))),NA()))))</f>
        <v>4065</v>
      </c>
      <c r="Q114" s="37">
        <f>IF($B$4="RESONANCE",IFERROR(IF(INDEX(MASTER!$I$4:$I$1463,MATCH($E$4&amp;"|"&amp;MAX(1,ROUND(COUNTIFS(MASTER!$B$4:$B$1463,$E$4,MASTER!$I$4:$I$1463,"&lt;&gt;")*$A114*100/100,0)),MASTER!$Y$4:$Y$1463,0))="",NA(),INDEX(MASTER!$I$4:$I$1463,MATCH($E$4&amp;"|"&amp;MAX(1,ROUND(COUNTIFS(MASTER!$B$4:$B$1463,$E$4,MASTER!$I$4:$I$1463,"&lt;&gt;")*$A114*100/100,0)),MASTER!$Y$4:$Y$1463,0))),NA()),IF($B$4="COMBAT RATING",IFERROR(IF(INDEX(MASTER!$G$4:$G$1463,MATCH($E$4&amp;"|"&amp;MAX(1,ROUND(COUNTIFS(MASTER!$B$4:$B$1463,$E$4,MASTER!$G$4:$G$1463,"&lt;&gt;")*$A114*100/100,0)),MASTER!$AH$4:$AH$1463,0))="",NA(),INDEX(MASTER!$G$4:$G$1463,MATCH($E$4&amp;"|"&amp;MAX(1,ROUND(COUNTIFS(MASTER!$B$4:$B$1463,$E$4,MASTER!$G$4:$G$1463,"&lt;&gt;")*$A114*100/100,0)),MASTER!$AH$4:$AH$1463,0))),NA()),IF($B$4="SECONDARY",IFERROR(IF(INDEX(MASTER!$L$4:$L$1463,MATCH($E$4&amp;"|"&amp;MAX(1,ROUND(COUNTIFS(MASTER!$B$4:$B$1463,$E$4,MASTER!$L$4:$L$1463,"&lt;&gt;")*$A114*100/100,0)),MASTER!$AI$4:$AI$1463,0))="",NA(),INDEX(MASTER!$L$4:$L$1463,MATCH($E$4&amp;"|"&amp;MAX(1,ROUND(COUNTIFS(MASTER!$B$4:$B$1463,$E$4,MASTER!$L$4:$L$1463,"&lt;&gt;")*$A114*100/100,0)),MASTER!$AI$4:$AI$1463,0))),NA()))))</f>
        <v>3767</v>
      </c>
    </row>
    <row r="115" spans="1:17" hidden="1">
      <c r="A115" s="36">
        <v>0.6</v>
      </c>
      <c r="B115" s="37">
        <f>IF($B$4="RESONANCE",IFERROR(IF(INDEX(MASTER!$I$4:$I$1463,MATCH("FUCT"&amp;"|"&amp;MAX(1,ROUND(COUNTIFS(MASTER!$B$4:$B$1463,"FUCT",MASTER!$I$4:$I$1463,"&lt;&gt;")*$A115*100/100,0)),MASTER!$Y$4:$Y$1463,0))="",NA(),INDEX(MASTER!$I$4:$I$1463,MATCH("FUCT"&amp;"|"&amp;MAX(1,ROUND(COUNTIFS(MASTER!$B$4:$B$1463,"FUCT",MASTER!$I$4:$I$1463,"&lt;&gt;")*$A115*100/100,0)),MASTER!$Y$4:$Y$1463,0))),NA()),IF($B$4="COMBAT RATING",IFERROR(IF(INDEX(MASTER!$G$4:$G$1463,MATCH("FUCT"&amp;"|"&amp;MAX(1,ROUND(COUNTIFS(MASTER!$B$4:$B$1463,"FUCT",MASTER!$G$4:$G$1463,"&lt;&gt;")*$A115*100/100,0)),MASTER!$AH$4:$AH$1463,0))="",NA(),INDEX(MASTER!$G$4:$G$1463,MATCH("FUCT"&amp;"|"&amp;MAX(1,ROUND(COUNTIFS(MASTER!$B$4:$B$1463,"FUCT",MASTER!$G$4:$G$1463,"&lt;&gt;")*$A115*100/100,0)),MASTER!$AH$4:$AH$1463,0))),NA()),IF($B$4="SECONDARY",IFERROR(IF(INDEX(MASTER!$L$4:$L$1463,MATCH("FUCT"&amp;"|"&amp;MAX(1,ROUND(COUNTIFS(MASTER!$B$4:$B$1463,"FUCT",MASTER!$L$4:$L$1463,"&lt;&gt;")*$A115*100/100,0)),MASTER!$AI$4:$AI$1463,0))="",NA(),INDEX(MASTER!$L$4:$L$1463,MATCH("FUCT"&amp;"|"&amp;MAX(1,ROUND(COUNTIFS(MASTER!$B$4:$B$1463,"FUCT",MASTER!$L$4:$L$1463,"&lt;&gt;")*$A115*100/100,0)),MASTER!$AI$4:$AI$1463,0))),NA()))))</f>
        <v>4055</v>
      </c>
      <c r="C115" s="37">
        <f>IF($B$4="RESONANCE",IFERROR(IF(INDEX(MASTER!$I$4:$I$1463,MATCH("LEGENDS"&amp;"|"&amp;MAX(1,ROUND(COUNTIFS(MASTER!$B$4:$B$1463,"LEGENDS",MASTER!$I$4:$I$1463,"&lt;&gt;")*$A115*100/100,0)),MASTER!$Y$4:$Y$1463,0))="",NA(),INDEX(MASTER!$I$4:$I$1463,MATCH("LEGENDS"&amp;"|"&amp;MAX(1,ROUND(COUNTIFS(MASTER!$B$4:$B$1463,"LEGENDS",MASTER!$I$4:$I$1463,"&lt;&gt;")*$A115*100/100,0)),MASTER!$Y$4:$Y$1463,0))),NA()),IF($B$4="COMBAT RATING",IFERROR(IF(INDEX(MASTER!$G$4:$G$1463,MATCH("LEGENDS"&amp;"|"&amp;MAX(1,ROUND(COUNTIFS(MASTER!$B$4:$B$1463,"LEGENDS",MASTER!$G$4:$G$1463,"&lt;&gt;")*$A115*100/100,0)),MASTER!$AH$4:$AH$1463,0))="",NA(),INDEX(MASTER!$G$4:$G$1463,MATCH("LEGENDS"&amp;"|"&amp;MAX(1,ROUND(COUNTIFS(MASTER!$B$4:$B$1463,"LEGENDS",MASTER!$G$4:$G$1463,"&lt;&gt;")*$A115*100/100,0)),MASTER!$AH$4:$AH$1463,0))),NA()),IF($B$4="SECONDARY",IFERROR(IF(INDEX(MASTER!$L$4:$L$1463,MATCH("LEGENDS"&amp;"|"&amp;MAX(1,ROUND(COUNTIFS(MASTER!$B$4:$B$1463,"LEGENDS",MASTER!$L$4:$L$1463,"&lt;&gt;")*$A115*100/100,0)),MASTER!$AI$4:$AI$1463,0))="",NA(),INDEX(MASTER!$L$4:$L$1463,MATCH("LEGENDS"&amp;"|"&amp;MAX(1,ROUND(COUNTIFS(MASTER!$B$4:$B$1463,"LEGENDS",MASTER!$L$4:$L$1463,"&lt;&gt;")*$A115*100/100,0)),MASTER!$AI$4:$AI$1463,0))),NA()))))</f>
        <v>4630</v>
      </c>
      <c r="D115" s="37">
        <f>IF($B$4="RESONANCE",IFERROR(IF(INDEX(MASTER!$I$4:$I$1463,MATCH("VANGUARD"&amp;"|"&amp;MAX(1,ROUND(COUNTIFS(MASTER!$B$4:$B$1463,"VANGUARD",MASTER!$I$4:$I$1463,"&lt;&gt;")*$A115*100/100,0)),MASTER!$Y$4:$Y$1463,0))="",NA(),INDEX(MASTER!$I$4:$I$1463,MATCH("VANGUARD"&amp;"|"&amp;MAX(1,ROUND(COUNTIFS(MASTER!$B$4:$B$1463,"VANGUARD",MASTER!$I$4:$I$1463,"&lt;&gt;")*$A115*100/100,0)),MASTER!$Y$4:$Y$1463,0))),NA()),IF($B$4="COMBAT RATING",IFERROR(IF(INDEX(MASTER!$G$4:$G$1463,MATCH("VANGUARD"&amp;"|"&amp;MAX(1,ROUND(COUNTIFS(MASTER!$B$4:$B$1463,"VANGUARD",MASTER!$G$4:$G$1463,"&lt;&gt;")*$A115*100/100,0)),MASTER!$AH$4:$AH$1463,0))="",NA(),INDEX(MASTER!$G$4:$G$1463,MATCH("VANGUARD"&amp;"|"&amp;MAX(1,ROUND(COUNTIFS(MASTER!$B$4:$B$1463,"VANGUARD",MASTER!$G$4:$G$1463,"&lt;&gt;")*$A115*100/100,0)),MASTER!$AH$4:$AH$1463,0))),NA()),IF($B$4="SECONDARY",IFERROR(IF(INDEX(MASTER!$L$4:$L$1463,MATCH("VANGUARD"&amp;"|"&amp;MAX(1,ROUND(COUNTIFS(MASTER!$B$4:$B$1463,"VANGUARD",MASTER!$L$4:$L$1463,"&lt;&gt;")*$A115*100/100,0)),MASTER!$AI$4:$AI$1463,0))="",NA(),INDEX(MASTER!$L$4:$L$1463,MATCH("VANGUARD"&amp;"|"&amp;MAX(1,ROUND(COUNTIFS(MASTER!$B$4:$B$1463,"VANGUARD",MASTER!$L$4:$L$1463,"&lt;&gt;")*$A115*100/100,0)),MASTER!$AI$4:$AI$1463,0))),NA()))))</f>
        <v>6045</v>
      </c>
      <c r="E115" s="37">
        <f>IF($B$4="RESONANCE",IFERROR(IF(INDEX(MASTER!$I$4:$I$1463,MATCH("UNDYING"&amp;"|"&amp;MAX(1,ROUND(COUNTIFS(MASTER!$B$4:$B$1463,"UNDYING",MASTER!$I$4:$I$1463,"&lt;&gt;")*$A115*100/100,0)),MASTER!$Y$4:$Y$1463,0))="",NA(),INDEX(MASTER!$I$4:$I$1463,MATCH("UNDYING"&amp;"|"&amp;MAX(1,ROUND(COUNTIFS(MASTER!$B$4:$B$1463,"UNDYING",MASTER!$I$4:$I$1463,"&lt;&gt;")*$A115*100/100,0)),MASTER!$Y$4:$Y$1463,0))),NA()),IF($B$4="COMBAT RATING",IFERROR(IF(INDEX(MASTER!$G$4:$G$1463,MATCH("UNDYING"&amp;"|"&amp;MAX(1,ROUND(COUNTIFS(MASTER!$B$4:$B$1463,"UNDYING",MASTER!$G$4:$G$1463,"&lt;&gt;")*$A115*100/100,0)),MASTER!$AH$4:$AH$1463,0))="",NA(),INDEX(MASTER!$G$4:$G$1463,MATCH("UNDYING"&amp;"|"&amp;MAX(1,ROUND(COUNTIFS(MASTER!$B$4:$B$1463,"UNDYING",MASTER!$G$4:$G$1463,"&lt;&gt;")*$A115*100/100,0)),MASTER!$AH$4:$AH$1463,0))),NA()),IF($B$4="SECONDARY",IFERROR(IF(INDEX(MASTER!$L$4:$L$1463,MATCH("UNDYING"&amp;"|"&amp;MAX(1,ROUND(COUNTIFS(MASTER!$B$4:$B$1463,"UNDYING",MASTER!$L$4:$L$1463,"&lt;&gt;")*$A115*100/100,0)),MASTER!$AI$4:$AI$1463,0))="",NA(),INDEX(MASTER!$L$4:$L$1463,MATCH("UNDYING"&amp;"|"&amp;MAX(1,ROUND(COUNTIFS(MASTER!$B$4:$B$1463,"UNDYING",MASTER!$L$4:$L$1463,"&lt;&gt;")*$A115*100/100,0)),MASTER!$AI$4:$AI$1463,0))),NA()))))</f>
        <v>3747</v>
      </c>
      <c r="F115" s="37">
        <f>IF($B$4="RESONANCE",IFERROR(IF(INDEX(MASTER!$I$4:$I$1463,MATCH("SBG"&amp;"|"&amp;MAX(1,ROUND(COUNTIFS(MASTER!$B$4:$B$1463,"SBG",MASTER!$I$4:$I$1463,"&lt;&gt;")*$A115*100/100,0)),MASTER!$Y$4:$Y$1463,0))="",NA(),INDEX(MASTER!$I$4:$I$1463,MATCH("SBG"&amp;"|"&amp;MAX(1,ROUND(COUNTIFS(MASTER!$B$4:$B$1463,"SBG",MASTER!$I$4:$I$1463,"&lt;&gt;")*$A115*100/100,0)),MASTER!$Y$4:$Y$1463,0))),NA()),IF($B$4="COMBAT RATING",IFERROR(IF(INDEX(MASTER!$G$4:$G$1463,MATCH("SBG"&amp;"|"&amp;MAX(1,ROUND(COUNTIFS(MASTER!$B$4:$B$1463,"SBG",MASTER!$G$4:$G$1463,"&lt;&gt;")*$A115*100/100,0)),MASTER!$AH$4:$AH$1463,0))="",NA(),INDEX(MASTER!$G$4:$G$1463,MATCH("SBG"&amp;"|"&amp;MAX(1,ROUND(COUNTIFS(MASTER!$B$4:$B$1463,"SBG",MASTER!$G$4:$G$1463,"&lt;&gt;")*$A115*100/100,0)),MASTER!$AH$4:$AH$1463,0))),NA()),IF($B$4="SECONDARY",IFERROR(IF(INDEX(MASTER!$L$4:$L$1463,MATCH("SBG"&amp;"|"&amp;MAX(1,ROUND(COUNTIFS(MASTER!$B$4:$B$1463,"SBG",MASTER!$L$4:$L$1463,"&lt;&gt;")*$A115*100/100,0)),MASTER!$AI$4:$AI$1463,0))="",NA(),INDEX(MASTER!$L$4:$L$1463,MATCH("SBG"&amp;"|"&amp;MAX(1,ROUND(COUNTIFS(MASTER!$B$4:$B$1463,"SBG",MASTER!$L$4:$L$1463,"&lt;&gt;")*$A115*100/100,0)),MASTER!$AI$4:$AI$1463,0))),NA()))))</f>
        <v>5030</v>
      </c>
      <c r="G115" s="37">
        <f>IF($B$4="RESONANCE",IFERROR(IF(INDEX(MASTER!$I$4:$I$1463,MATCH("AZUKI"&amp;"|"&amp;MAX(1,ROUND(COUNTIFS(MASTER!$B$4:$B$1463,"AZUKI",MASTER!$I$4:$I$1463,"&lt;&gt;")*$A115*100/100,0)),MASTER!$Y$4:$Y$1463,0))="",NA(),INDEX(MASTER!$I$4:$I$1463,MATCH("AZUKI"&amp;"|"&amp;MAX(1,ROUND(COUNTIFS(MASTER!$B$4:$B$1463,"AZUKI",MASTER!$I$4:$I$1463,"&lt;&gt;")*$A115*100/100,0)),MASTER!$Y$4:$Y$1463,0))),NA()),IF($B$4="COMBAT RATING",IFERROR(IF(INDEX(MASTER!$G$4:$G$1463,MATCH("AZUKI"&amp;"|"&amp;MAX(1,ROUND(COUNTIFS(MASTER!$B$4:$B$1463,"AZUKI",MASTER!$G$4:$G$1463,"&lt;&gt;")*$A115*100/100,0)),MASTER!$AH$4:$AH$1463,0))="",NA(),INDEX(MASTER!$G$4:$G$1463,MATCH("AZUKI"&amp;"|"&amp;MAX(1,ROUND(COUNTIFS(MASTER!$B$4:$B$1463,"AZUKI",MASTER!$G$4:$G$1463,"&lt;&gt;")*$A115*100/100,0)),MASTER!$AH$4:$AH$1463,0))),NA()),IF($B$4="SECONDARY",IFERROR(IF(INDEX(MASTER!$L$4:$L$1463,MATCH("AZUKI"&amp;"|"&amp;MAX(1,ROUND(COUNTIFS(MASTER!$B$4:$B$1463,"AZUKI",MASTER!$L$4:$L$1463,"&lt;&gt;")*$A115*100/100,0)),MASTER!$AI$4:$AI$1463,0))="",NA(),INDEX(MASTER!$L$4:$L$1463,MATCH("AZUKI"&amp;"|"&amp;MAX(1,ROUND(COUNTIFS(MASTER!$B$4:$B$1463,"AZUKI",MASTER!$L$4:$L$1463,"&lt;&gt;")*$A115*100/100,0)),MASTER!$AI$4:$AI$1463,0))),NA()))))</f>
        <v>4155</v>
      </c>
      <c r="H115" s="37">
        <f>IF($B$4="RESONANCE",IFERROR(IF(INDEX(MASTER!$I$4:$I$1463,MATCH("RECKONING"&amp;"|"&amp;MAX(1,ROUND(COUNTIFS(MASTER!$B$4:$B$1463,"RECKONING",MASTER!$I$4:$I$1463,"&lt;&gt;")*$A115*100/100,0)),MASTER!$Y$4:$Y$1463,0))="",NA(),INDEX(MASTER!$I$4:$I$1463,MATCH("RECKONING"&amp;"|"&amp;MAX(1,ROUND(COUNTIFS(MASTER!$B$4:$B$1463,"RECKONING",MASTER!$I$4:$I$1463,"&lt;&gt;")*$A115*100/100,0)),MASTER!$Y$4:$Y$1463,0))),NA()),IF($B$4="COMBAT RATING",IFERROR(IF(INDEX(MASTER!$G$4:$G$1463,MATCH("RECKONING"&amp;"|"&amp;MAX(1,ROUND(COUNTIFS(MASTER!$B$4:$B$1463,"RECKONING",MASTER!$G$4:$G$1463,"&lt;&gt;")*$A115*100/100,0)),MASTER!$AH$4:$AH$1463,0))="",NA(),INDEX(MASTER!$G$4:$G$1463,MATCH("RECKONING"&amp;"|"&amp;MAX(1,ROUND(COUNTIFS(MASTER!$B$4:$B$1463,"RECKONING",MASTER!$G$4:$G$1463,"&lt;&gt;")*$A115*100/100,0)),MASTER!$AH$4:$AH$1463,0))),NA()),IF($B$4="SECONDARY",IFERROR(IF(INDEX(MASTER!$L$4:$L$1463,MATCH("RECKONING"&amp;"|"&amp;MAX(1,ROUND(COUNTIFS(MASTER!$B$4:$B$1463,"RECKONING",MASTER!$L$4:$L$1463,"&lt;&gt;")*$A115*100/100,0)),MASTER!$AI$4:$AI$1463,0))="",NA(),INDEX(MASTER!$L$4:$L$1463,MATCH("RECKONING"&amp;"|"&amp;MAX(1,ROUND(COUNTIFS(MASTER!$B$4:$B$1463,"RECKONING",MASTER!$L$4:$L$1463,"&lt;&gt;")*$A115*100/100,0)),MASTER!$AI$4:$AI$1463,0))),NA()))))</f>
        <v>4276</v>
      </c>
      <c r="I115" s="37">
        <f>IF($B$4="RESONANCE",IFERROR(IF(INDEX(MASTER!$I$4:$I$1463,MATCH("ACHERON"&amp;"|"&amp;MAX(1,ROUND(COUNTIFS(MASTER!$B$4:$B$1463,"ACHERON",MASTER!$I$4:$I$1463,"&lt;&gt;")*$A115*100/100,0)),MASTER!$Y$4:$Y$1463,0))="",NA(),INDEX(MASTER!$I$4:$I$1463,MATCH("ACHERON"&amp;"|"&amp;MAX(1,ROUND(COUNTIFS(MASTER!$B$4:$B$1463,"ACHERON",MASTER!$I$4:$I$1463,"&lt;&gt;")*$A115*100/100,0)),MASTER!$Y$4:$Y$1463,0))),NA()),IF($B$4="COMBAT RATING",IFERROR(IF(INDEX(MASTER!$G$4:$G$1463,MATCH("ACHERON"&amp;"|"&amp;MAX(1,ROUND(COUNTIFS(MASTER!$B$4:$B$1463,"ACHERON",MASTER!$G$4:$G$1463,"&lt;&gt;")*$A115*100/100,0)),MASTER!$AH$4:$AH$1463,0))="",NA(),INDEX(MASTER!$G$4:$G$1463,MATCH("ACHERON"&amp;"|"&amp;MAX(1,ROUND(COUNTIFS(MASTER!$B$4:$B$1463,"ACHERON",MASTER!$G$4:$G$1463,"&lt;&gt;")*$A115*100/100,0)),MASTER!$AH$4:$AH$1463,0))),NA()),IF($B$4="SECONDARY",IFERROR(IF(INDEX(MASTER!$L$4:$L$1463,MATCH("ACHERON"&amp;"|"&amp;MAX(1,ROUND(COUNTIFS(MASTER!$B$4:$B$1463,"ACHERON",MASTER!$L$4:$L$1463,"&lt;&gt;")*$A115*100/100,0)),MASTER!$AI$4:$AI$1463,0))="",NA(),INDEX(MASTER!$L$4:$L$1463,MATCH("ACHERON"&amp;"|"&amp;MAX(1,ROUND(COUNTIFS(MASTER!$B$4:$B$1463,"ACHERON",MASTER!$L$4:$L$1463,"&lt;&gt;")*$A115*100/100,0)),MASTER!$AI$4:$AI$1463,0))),NA()))))</f>
        <v>3368</v>
      </c>
      <c r="J115" s="37">
        <f>IF($B$4="RESONANCE",IFERROR(IF(INDEX(MASTER!$I$4:$I$1463,MATCH("INVICTUS"&amp;"|"&amp;MAX(1,ROUND(COUNTIFS(MASTER!$B$4:$B$1463,"INVICTUS",MASTER!$I$4:$I$1463,"&lt;&gt;")*$A115*100/100,0)),MASTER!$Y$4:$Y$1463,0))="",NA(),INDEX(MASTER!$I$4:$I$1463,MATCH("INVICTUS"&amp;"|"&amp;MAX(1,ROUND(COUNTIFS(MASTER!$B$4:$B$1463,"INVICTUS",MASTER!$I$4:$I$1463,"&lt;&gt;")*$A115*100/100,0)),MASTER!$Y$4:$Y$1463,0))),NA()),IF($B$4="COMBAT RATING",IFERROR(IF(INDEX(MASTER!$G$4:$G$1463,MATCH("INVICTUS"&amp;"|"&amp;MAX(1,ROUND(COUNTIFS(MASTER!$B$4:$B$1463,"INVICTUS",MASTER!$G$4:$G$1463,"&lt;&gt;")*$A115*100/100,0)),MASTER!$AH$4:$AH$1463,0))="",NA(),INDEX(MASTER!$G$4:$G$1463,MATCH("INVICTUS"&amp;"|"&amp;MAX(1,ROUND(COUNTIFS(MASTER!$B$4:$B$1463,"INVICTUS",MASTER!$G$4:$G$1463,"&lt;&gt;")*$A115*100/100,0)),MASTER!$AH$4:$AH$1463,0))),NA()),IF($B$4="SECONDARY",IFERROR(IF(INDEX(MASTER!$L$4:$L$1463,MATCH("INVICTUS"&amp;"|"&amp;MAX(1,ROUND(COUNTIFS(MASTER!$B$4:$B$1463,"INVICTUS",MASTER!$L$4:$L$1463,"&lt;&gt;")*$A115*100/100,0)),MASTER!$AI$4:$AI$1463,0))="",NA(),INDEX(MASTER!$L$4:$L$1463,MATCH("INVICTUS"&amp;"|"&amp;MAX(1,ROUND(COUNTIFS(MASTER!$B$4:$B$1463,"INVICTUS",MASTER!$L$4:$L$1463,"&lt;&gt;")*$A115*100/100,0)),MASTER!$AI$4:$AI$1463,0))),NA()))))</f>
        <v>2782</v>
      </c>
      <c r="K115" s="37">
        <f>IF($B$4="RESONANCE",IFERROR(IF(INDEX(MASTER!$I$4:$I$1463,MATCH("EMERALD LEAF TRIBE"&amp;"|"&amp;MAX(1,ROUND(COUNTIFS(MASTER!$B$4:$B$1463,"EMERALD LEAF TRIBE",MASTER!$I$4:$I$1463,"&lt;&gt;")*$A115*100/100,0)),MASTER!$Y$4:$Y$1463,0))="",NA(),INDEX(MASTER!$I$4:$I$1463,MATCH("EMERALD LEAF TRIBE"&amp;"|"&amp;MAX(1,ROUND(COUNTIFS(MASTER!$B$4:$B$1463,"EMERALD LEAF TRIBE",MASTER!$I$4:$I$1463,"&lt;&gt;")*$A115*100/100,0)),MASTER!$Y$4:$Y$1463,0))),NA()),IF($B$4="COMBAT RATING",IFERROR(IF(INDEX(MASTER!$G$4:$G$1463,MATCH("EMERALD LEAF TRIBE"&amp;"|"&amp;MAX(1,ROUND(COUNTIFS(MASTER!$B$4:$B$1463,"EMERALD LEAF TRIBE",MASTER!$G$4:$G$1463,"&lt;&gt;")*$A115*100/100,0)),MASTER!$AH$4:$AH$1463,0))="",NA(),INDEX(MASTER!$G$4:$G$1463,MATCH("EMERALD LEAF TRIBE"&amp;"|"&amp;MAX(1,ROUND(COUNTIFS(MASTER!$B$4:$B$1463,"EMERALD LEAF TRIBE",MASTER!$G$4:$G$1463,"&lt;&gt;")*$A115*100/100,0)),MASTER!$AH$4:$AH$1463,0))),NA()),IF($B$4="SECONDARY",IFERROR(IF(INDEX(MASTER!$L$4:$L$1463,MATCH("EMERALD LEAF TRIBE"&amp;"|"&amp;MAX(1,ROUND(COUNTIFS(MASTER!$B$4:$B$1463,"EMERALD LEAF TRIBE",MASTER!$L$4:$L$1463,"&lt;&gt;")*$A115*100/100,0)),MASTER!$AI$4:$AI$1463,0))="",NA(),INDEX(MASTER!$L$4:$L$1463,MATCH("EMERALD LEAF TRIBE"&amp;"|"&amp;MAX(1,ROUND(COUNTIFS(MASTER!$B$4:$B$1463,"EMERALD LEAF TRIBE",MASTER!$L$4:$L$1463,"&lt;&gt;")*$A115*100/100,0)),MASTER!$AI$4:$AI$1463,0))),NA()))))</f>
        <v>1890</v>
      </c>
      <c r="L115" s="37">
        <f>IF($B$4="RESONANCE",IFERROR(IF(INDEX(MASTER!$I$4:$I$1463,MATCH("SUB ROSA"&amp;"|"&amp;MAX(1,ROUND(COUNTIFS(MASTER!$B$4:$B$1463,"SUB ROSA",MASTER!$I$4:$I$1463,"&lt;&gt;")*$A115*100/100,0)),MASTER!$Y$4:$Y$1463,0))="",NA(),INDEX(MASTER!$I$4:$I$1463,MATCH("SUB ROSA"&amp;"|"&amp;MAX(1,ROUND(COUNTIFS(MASTER!$B$4:$B$1463,"SUB ROSA",MASTER!$I$4:$I$1463,"&lt;&gt;")*$A115*100/100,0)),MASTER!$Y$4:$Y$1463,0))),NA()),IF($B$4="COMBAT RATING",IFERROR(IF(INDEX(MASTER!$G$4:$G$1463,MATCH("SUB ROSA"&amp;"|"&amp;MAX(1,ROUND(COUNTIFS(MASTER!$B$4:$B$1463,"SUB ROSA",MASTER!$G$4:$G$1463,"&lt;&gt;")*$A115*100/100,0)),MASTER!$AH$4:$AH$1463,0))="",NA(),INDEX(MASTER!$G$4:$G$1463,MATCH("SUB ROSA"&amp;"|"&amp;MAX(1,ROUND(COUNTIFS(MASTER!$B$4:$B$1463,"SUB ROSA",MASTER!$G$4:$G$1463,"&lt;&gt;")*$A115*100/100,0)),MASTER!$AH$4:$AH$1463,0))),NA()),IF($B$4="SECONDARY",IFERROR(IF(INDEX(MASTER!$L$4:$L$1463,MATCH("SUB ROSA"&amp;"|"&amp;MAX(1,ROUND(COUNTIFS(MASTER!$B$4:$B$1463,"SUB ROSA",MASTER!$L$4:$L$1463,"&lt;&gt;")*$A115*100/100,0)),MASTER!$AI$4:$AI$1463,0))="",NA(),INDEX(MASTER!$L$4:$L$1463,MATCH("SUB ROSA"&amp;"|"&amp;MAX(1,ROUND(COUNTIFS(MASTER!$B$4:$B$1463,"SUB ROSA",MASTER!$L$4:$L$1463,"&lt;&gt;")*$A115*100/100,0)),MASTER!$AI$4:$AI$1463,0))),NA()))))</f>
        <v>2139</v>
      </c>
      <c r="M115" s="37">
        <f>IF($B$4="RESONANCE",IFERROR(IF(INDEX(MASTER!$I$4:$I$1463,MATCH("VENGEANCE"&amp;"|"&amp;MAX(1,ROUND(COUNTIFS(MASTER!$B$4:$B$1463,"VENGEANCE",MASTER!$I$4:$I$1463,"&lt;&gt;")*$A115*100/100,0)),MASTER!$Y$4:$Y$1463,0))="",NA(),INDEX(MASTER!$I$4:$I$1463,MATCH("VENGEANCE"&amp;"|"&amp;MAX(1,ROUND(COUNTIFS(MASTER!$B$4:$B$1463,"VENGEANCE",MASTER!$I$4:$I$1463,"&lt;&gt;")*$A115*100/100,0)),MASTER!$Y$4:$Y$1463,0))),NA()),IF($B$4="COMBAT RATING",IFERROR(IF(INDEX(MASTER!$G$4:$G$1463,MATCH("VENGEANCE"&amp;"|"&amp;MAX(1,ROUND(COUNTIFS(MASTER!$B$4:$B$1463,"VENGEANCE",MASTER!$G$4:$G$1463,"&lt;&gt;")*$A115*100/100,0)),MASTER!$AH$4:$AH$1463,0))="",NA(),INDEX(MASTER!$G$4:$G$1463,MATCH("VENGEANCE"&amp;"|"&amp;MAX(1,ROUND(COUNTIFS(MASTER!$B$4:$B$1463,"VENGEANCE",MASTER!$G$4:$G$1463,"&lt;&gt;")*$A115*100/100,0)),MASTER!$AH$4:$AH$1463,0))),NA()),IF($B$4="SECONDARY",IFERROR(IF(INDEX(MASTER!$L$4:$L$1463,MATCH("VENGEANCE"&amp;"|"&amp;MAX(1,ROUND(COUNTIFS(MASTER!$B$4:$B$1463,"VENGEANCE",MASTER!$L$4:$L$1463,"&lt;&gt;")*$A115*100/100,0)),MASTER!$AI$4:$AI$1463,0))="",NA(),INDEX(MASTER!$L$4:$L$1463,MATCH("VENGEANCE"&amp;"|"&amp;MAX(1,ROUND(COUNTIFS(MASTER!$B$4:$B$1463,"VENGEANCE",MASTER!$L$4:$L$1463,"&lt;&gt;")*$A115*100/100,0)),MASTER!$AI$4:$AI$1463,0))),NA()))))</f>
        <v>3104</v>
      </c>
      <c r="N115" s="37">
        <f>IF($B$4="RESONANCE",IFERROR(IF(INDEX(MASTER!$I$4:$I$1463,MATCH("VENDETTA"&amp;"|"&amp;MAX(1,ROUND(COUNTIFS(MASTER!$B$4:$B$1463,"VENDETTA",MASTER!$I$4:$I$1463,"&lt;&gt;")*$A115*100/100,0)),MASTER!$Y$4:$Y$1463,0))="",NA(),INDEX(MASTER!$I$4:$I$1463,MATCH("VENDETTA"&amp;"|"&amp;MAX(1,ROUND(COUNTIFS(MASTER!$B$4:$B$1463,"VENDETTA",MASTER!$I$4:$I$1463,"&lt;&gt;")*$A115*100/100,0)),MASTER!$Y$4:$Y$1463,0))),NA()),IF($B$4="COMBAT RATING",IFERROR(IF(INDEX(MASTER!$G$4:$G$1463,MATCH("VENDETTA"&amp;"|"&amp;MAX(1,ROUND(COUNTIFS(MASTER!$B$4:$B$1463,"VENDETTA",MASTER!$G$4:$G$1463,"&lt;&gt;")*$A115*100/100,0)),MASTER!$AH$4:$AH$1463,0))="",NA(),INDEX(MASTER!$G$4:$G$1463,MATCH("VENDETTA"&amp;"|"&amp;MAX(1,ROUND(COUNTIFS(MASTER!$B$4:$B$1463,"VENDETTA",MASTER!$G$4:$G$1463,"&lt;&gt;")*$A115*100/100,0)),MASTER!$AH$4:$AH$1463,0))),NA()),IF($B$4="SECONDARY",IFERROR(IF(INDEX(MASTER!$L$4:$L$1463,MATCH("VENDETTA"&amp;"|"&amp;MAX(1,ROUND(COUNTIFS(MASTER!$B$4:$B$1463,"VENDETTA",MASTER!$L$4:$L$1463,"&lt;&gt;")*$A115*100/100,0)),MASTER!$AI$4:$AI$1463,0))="",NA(),INDEX(MASTER!$L$4:$L$1463,MATCH("VENDETTA"&amp;"|"&amp;MAX(1,ROUND(COUNTIFS(MASTER!$B$4:$B$1463,"VENDETTA",MASTER!$L$4:$L$1463,"&lt;&gt;")*$A115*100/100,0)),MASTER!$AI$4:$AI$1463,0))),NA()))))</f>
        <v>1755</v>
      </c>
      <c r="O115" s="37">
        <f>IF($B$4="RESONANCE",IFERROR(IF(INDEX(MASTER!$I$4:$I$1463,MATCH("ZOMBIES"&amp;"|"&amp;MAX(1,ROUND(COUNTIFS(MASTER!$B$4:$B$1463,"ZOMBIES",MASTER!$I$4:$I$1463,"&lt;&gt;")*$A115*100/100,0)),MASTER!$Y$4:$Y$1463,0))="",NA(),INDEX(MASTER!$I$4:$I$1463,MATCH("ZOMBIES"&amp;"|"&amp;MAX(1,ROUND(COUNTIFS(MASTER!$B$4:$B$1463,"ZOMBIES",MASTER!$I$4:$I$1463,"&lt;&gt;")*$A115*100/100,0)),MASTER!$Y$4:$Y$1463,0))),NA()),IF($B$4="COMBAT RATING",IFERROR(IF(INDEX(MASTER!$G$4:$G$1463,MATCH("ZOMBIES"&amp;"|"&amp;MAX(1,ROUND(COUNTIFS(MASTER!$B$4:$B$1463,"ZOMBIES",MASTER!$G$4:$G$1463,"&lt;&gt;")*$A115*100/100,0)),MASTER!$AH$4:$AH$1463,0))="",NA(),INDEX(MASTER!$G$4:$G$1463,MATCH("ZOMBIES"&amp;"|"&amp;MAX(1,ROUND(COUNTIFS(MASTER!$B$4:$B$1463,"ZOMBIES",MASTER!$G$4:$G$1463,"&lt;&gt;")*$A115*100/100,0)),MASTER!$AH$4:$AH$1463,0))),NA()),IF($B$4="SECONDARY",IFERROR(IF(INDEX(MASTER!$L$4:$L$1463,MATCH("ZOMBIES"&amp;"|"&amp;MAX(1,ROUND(COUNTIFS(MASTER!$B$4:$B$1463,"ZOMBIES",MASTER!$L$4:$L$1463,"&lt;&gt;")*$A115*100/100,0)),MASTER!$AI$4:$AI$1463,0))="",NA(),INDEX(MASTER!$L$4:$L$1463,MATCH("ZOMBIES"&amp;"|"&amp;MAX(1,ROUND(COUNTIFS(MASTER!$B$4:$B$1463,"ZOMBIES",MASTER!$L$4:$L$1463,"&lt;&gt;")*$A115*100/100,0)),MASTER!$AI$4:$AI$1463,0))),NA()))))</f>
        <v>1481</v>
      </c>
      <c r="P115" s="37">
        <f>IF($B$4="RESONANCE",IFERROR(IF(INDEX(MASTER!$I$4:$I$1463,MATCH("FUCT"&amp;"|"&amp;MAX(1,ROUND(COUNTIFS(MASTER!$B$4:$B$1463,"FUCT",MASTER!$I$4:$I$1463,"&lt;&gt;")*$A115*100/100,0)),MASTER!$Y$4:$Y$1463,0))="",NA(),INDEX(MASTER!$I$4:$I$1463,MATCH("FUCT"&amp;"|"&amp;MAX(1,ROUND(COUNTIFS(MASTER!$B$4:$B$1463,"FUCT",MASTER!$I$4:$I$1463,"&lt;&gt;")*$A115*100/100,0)),MASTER!$Y$4:$Y$1463,0))),NA()),IF($B$4="COMBAT RATING",IFERROR(IF(INDEX(MASTER!$G$4:$G$1463,MATCH("FUCT"&amp;"|"&amp;MAX(1,ROUND(COUNTIFS(MASTER!$B$4:$B$1463,"FUCT",MASTER!$G$4:$G$1463,"&lt;&gt;")*$A115*100/100,0)),MASTER!$AH$4:$AH$1463,0))="",NA(),INDEX(MASTER!$G$4:$G$1463,MATCH("FUCT"&amp;"|"&amp;MAX(1,ROUND(COUNTIFS(MASTER!$B$4:$B$1463,"FUCT",MASTER!$G$4:$G$1463,"&lt;&gt;")*$A115*100/100,0)),MASTER!$AH$4:$AH$1463,0))),NA()),IF($B$4="SECONDARY",IFERROR(IF(INDEX(MASTER!$L$4:$L$1463,MATCH("FUCT"&amp;"|"&amp;MAX(1,ROUND(COUNTIFS(MASTER!$B$4:$B$1463,"FUCT",MASTER!$L$4:$L$1463,"&lt;&gt;")*$A115*100/100,0)),MASTER!$AI$4:$AI$1463,0))="",NA(),INDEX(MASTER!$L$4:$L$1463,MATCH("FUCT"&amp;"|"&amp;MAX(1,ROUND(COUNTIFS(MASTER!$B$4:$B$1463,"FUCT",MASTER!$L$4:$L$1463,"&lt;&gt;")*$A115*100/100,0)),MASTER!$AI$4:$AI$1463,0))),NA()))))</f>
        <v>4055</v>
      </c>
      <c r="Q115" s="37">
        <f>IF($B$4="RESONANCE",IFERROR(IF(INDEX(MASTER!$I$4:$I$1463,MATCH($E$4&amp;"|"&amp;MAX(1,ROUND(COUNTIFS(MASTER!$B$4:$B$1463,$E$4,MASTER!$I$4:$I$1463,"&lt;&gt;")*$A115*100/100,0)),MASTER!$Y$4:$Y$1463,0))="",NA(),INDEX(MASTER!$I$4:$I$1463,MATCH($E$4&amp;"|"&amp;MAX(1,ROUND(COUNTIFS(MASTER!$B$4:$B$1463,$E$4,MASTER!$I$4:$I$1463,"&lt;&gt;")*$A115*100/100,0)),MASTER!$Y$4:$Y$1463,0))),NA()),IF($B$4="COMBAT RATING",IFERROR(IF(INDEX(MASTER!$G$4:$G$1463,MATCH($E$4&amp;"|"&amp;MAX(1,ROUND(COUNTIFS(MASTER!$B$4:$B$1463,$E$4,MASTER!$G$4:$G$1463,"&lt;&gt;")*$A115*100/100,0)),MASTER!$AH$4:$AH$1463,0))="",NA(),INDEX(MASTER!$G$4:$G$1463,MATCH($E$4&amp;"|"&amp;MAX(1,ROUND(COUNTIFS(MASTER!$B$4:$B$1463,$E$4,MASTER!$G$4:$G$1463,"&lt;&gt;")*$A115*100/100,0)),MASTER!$AH$4:$AH$1463,0))),NA()),IF($B$4="SECONDARY",IFERROR(IF(INDEX(MASTER!$L$4:$L$1463,MATCH($E$4&amp;"|"&amp;MAX(1,ROUND(COUNTIFS(MASTER!$B$4:$B$1463,$E$4,MASTER!$L$4:$L$1463,"&lt;&gt;")*$A115*100/100,0)),MASTER!$AI$4:$AI$1463,0))="",NA(),INDEX(MASTER!$L$4:$L$1463,MATCH($E$4&amp;"|"&amp;MAX(1,ROUND(COUNTIFS(MASTER!$B$4:$B$1463,$E$4,MASTER!$L$4:$L$1463,"&lt;&gt;")*$A115*100/100,0)),MASTER!$AI$4:$AI$1463,0))),NA()))))</f>
        <v>3747</v>
      </c>
    </row>
    <row r="116" spans="1:17" hidden="1">
      <c r="A116" s="36">
        <v>0.61</v>
      </c>
      <c r="B116" s="37">
        <f>IF($B$4="RESONANCE",IFERROR(IF(INDEX(MASTER!$I$4:$I$1463,MATCH("FUCT"&amp;"|"&amp;MAX(1,ROUND(COUNTIFS(MASTER!$B$4:$B$1463,"FUCT",MASTER!$I$4:$I$1463,"&lt;&gt;")*$A116*100/100,0)),MASTER!$Y$4:$Y$1463,0))="",NA(),INDEX(MASTER!$I$4:$I$1463,MATCH("FUCT"&amp;"|"&amp;MAX(1,ROUND(COUNTIFS(MASTER!$B$4:$B$1463,"FUCT",MASTER!$I$4:$I$1463,"&lt;&gt;")*$A116*100/100,0)),MASTER!$Y$4:$Y$1463,0))),NA()),IF($B$4="COMBAT RATING",IFERROR(IF(INDEX(MASTER!$G$4:$G$1463,MATCH("FUCT"&amp;"|"&amp;MAX(1,ROUND(COUNTIFS(MASTER!$B$4:$B$1463,"FUCT",MASTER!$G$4:$G$1463,"&lt;&gt;")*$A116*100/100,0)),MASTER!$AH$4:$AH$1463,0))="",NA(),INDEX(MASTER!$G$4:$G$1463,MATCH("FUCT"&amp;"|"&amp;MAX(1,ROUND(COUNTIFS(MASTER!$B$4:$B$1463,"FUCT",MASTER!$G$4:$G$1463,"&lt;&gt;")*$A116*100/100,0)),MASTER!$AH$4:$AH$1463,0))),NA()),IF($B$4="SECONDARY",IFERROR(IF(INDEX(MASTER!$L$4:$L$1463,MATCH("FUCT"&amp;"|"&amp;MAX(1,ROUND(COUNTIFS(MASTER!$B$4:$B$1463,"FUCT",MASTER!$L$4:$L$1463,"&lt;&gt;")*$A116*100/100,0)),MASTER!$AI$4:$AI$1463,0))="",NA(),INDEX(MASTER!$L$4:$L$1463,MATCH("FUCT"&amp;"|"&amp;MAX(1,ROUND(COUNTIFS(MASTER!$B$4:$B$1463,"FUCT",MASTER!$L$4:$L$1463,"&lt;&gt;")*$A116*100/100,0)),MASTER!$AI$4:$AI$1463,0))),NA()))))</f>
        <v>4042</v>
      </c>
      <c r="C116" s="37">
        <f>IF($B$4="RESONANCE",IFERROR(IF(INDEX(MASTER!$I$4:$I$1463,MATCH("LEGENDS"&amp;"|"&amp;MAX(1,ROUND(COUNTIFS(MASTER!$B$4:$B$1463,"LEGENDS",MASTER!$I$4:$I$1463,"&lt;&gt;")*$A116*100/100,0)),MASTER!$Y$4:$Y$1463,0))="",NA(),INDEX(MASTER!$I$4:$I$1463,MATCH("LEGENDS"&amp;"|"&amp;MAX(1,ROUND(COUNTIFS(MASTER!$B$4:$B$1463,"LEGENDS",MASTER!$I$4:$I$1463,"&lt;&gt;")*$A116*100/100,0)),MASTER!$Y$4:$Y$1463,0))),NA()),IF($B$4="COMBAT RATING",IFERROR(IF(INDEX(MASTER!$G$4:$G$1463,MATCH("LEGENDS"&amp;"|"&amp;MAX(1,ROUND(COUNTIFS(MASTER!$B$4:$B$1463,"LEGENDS",MASTER!$G$4:$G$1463,"&lt;&gt;")*$A116*100/100,0)),MASTER!$AH$4:$AH$1463,0))="",NA(),INDEX(MASTER!$G$4:$G$1463,MATCH("LEGENDS"&amp;"|"&amp;MAX(1,ROUND(COUNTIFS(MASTER!$B$4:$B$1463,"LEGENDS",MASTER!$G$4:$G$1463,"&lt;&gt;")*$A116*100/100,0)),MASTER!$AH$4:$AH$1463,0))),NA()),IF($B$4="SECONDARY",IFERROR(IF(INDEX(MASTER!$L$4:$L$1463,MATCH("LEGENDS"&amp;"|"&amp;MAX(1,ROUND(COUNTIFS(MASTER!$B$4:$B$1463,"LEGENDS",MASTER!$L$4:$L$1463,"&lt;&gt;")*$A116*100/100,0)),MASTER!$AI$4:$AI$1463,0))="",NA(),INDEX(MASTER!$L$4:$L$1463,MATCH("LEGENDS"&amp;"|"&amp;MAX(1,ROUND(COUNTIFS(MASTER!$B$4:$B$1463,"LEGENDS",MASTER!$L$4:$L$1463,"&lt;&gt;")*$A116*100/100,0)),MASTER!$AI$4:$AI$1463,0))),NA()))))</f>
        <v>4607</v>
      </c>
      <c r="D116" s="37">
        <f>IF($B$4="RESONANCE",IFERROR(IF(INDEX(MASTER!$I$4:$I$1463,MATCH("VANGUARD"&amp;"|"&amp;MAX(1,ROUND(COUNTIFS(MASTER!$B$4:$B$1463,"VANGUARD",MASTER!$I$4:$I$1463,"&lt;&gt;")*$A116*100/100,0)),MASTER!$Y$4:$Y$1463,0))="",NA(),INDEX(MASTER!$I$4:$I$1463,MATCH("VANGUARD"&amp;"|"&amp;MAX(1,ROUND(COUNTIFS(MASTER!$B$4:$B$1463,"VANGUARD",MASTER!$I$4:$I$1463,"&lt;&gt;")*$A116*100/100,0)),MASTER!$Y$4:$Y$1463,0))),NA()),IF($B$4="COMBAT RATING",IFERROR(IF(INDEX(MASTER!$G$4:$G$1463,MATCH("VANGUARD"&amp;"|"&amp;MAX(1,ROUND(COUNTIFS(MASTER!$B$4:$B$1463,"VANGUARD",MASTER!$G$4:$G$1463,"&lt;&gt;")*$A116*100/100,0)),MASTER!$AH$4:$AH$1463,0))="",NA(),INDEX(MASTER!$G$4:$G$1463,MATCH("VANGUARD"&amp;"|"&amp;MAX(1,ROUND(COUNTIFS(MASTER!$B$4:$B$1463,"VANGUARD",MASTER!$G$4:$G$1463,"&lt;&gt;")*$A116*100/100,0)),MASTER!$AH$4:$AH$1463,0))),NA()),IF($B$4="SECONDARY",IFERROR(IF(INDEX(MASTER!$L$4:$L$1463,MATCH("VANGUARD"&amp;"|"&amp;MAX(1,ROUND(COUNTIFS(MASTER!$B$4:$B$1463,"VANGUARD",MASTER!$L$4:$L$1463,"&lt;&gt;")*$A116*100/100,0)),MASTER!$AI$4:$AI$1463,0))="",NA(),INDEX(MASTER!$L$4:$L$1463,MATCH("VANGUARD"&amp;"|"&amp;MAX(1,ROUND(COUNTIFS(MASTER!$B$4:$B$1463,"VANGUARD",MASTER!$L$4:$L$1463,"&lt;&gt;")*$A116*100/100,0)),MASTER!$AI$4:$AI$1463,0))),NA()))))</f>
        <v>6009</v>
      </c>
      <c r="E116" s="37">
        <f>IF($B$4="RESONANCE",IFERROR(IF(INDEX(MASTER!$I$4:$I$1463,MATCH("UNDYING"&amp;"|"&amp;MAX(1,ROUND(COUNTIFS(MASTER!$B$4:$B$1463,"UNDYING",MASTER!$I$4:$I$1463,"&lt;&gt;")*$A116*100/100,0)),MASTER!$Y$4:$Y$1463,0))="",NA(),INDEX(MASTER!$I$4:$I$1463,MATCH("UNDYING"&amp;"|"&amp;MAX(1,ROUND(COUNTIFS(MASTER!$B$4:$B$1463,"UNDYING",MASTER!$I$4:$I$1463,"&lt;&gt;")*$A116*100/100,0)),MASTER!$Y$4:$Y$1463,0))),NA()),IF($B$4="COMBAT RATING",IFERROR(IF(INDEX(MASTER!$G$4:$G$1463,MATCH("UNDYING"&amp;"|"&amp;MAX(1,ROUND(COUNTIFS(MASTER!$B$4:$B$1463,"UNDYING",MASTER!$G$4:$G$1463,"&lt;&gt;")*$A116*100/100,0)),MASTER!$AH$4:$AH$1463,0))="",NA(),INDEX(MASTER!$G$4:$G$1463,MATCH("UNDYING"&amp;"|"&amp;MAX(1,ROUND(COUNTIFS(MASTER!$B$4:$B$1463,"UNDYING",MASTER!$G$4:$G$1463,"&lt;&gt;")*$A116*100/100,0)),MASTER!$AH$4:$AH$1463,0))),NA()),IF($B$4="SECONDARY",IFERROR(IF(INDEX(MASTER!$L$4:$L$1463,MATCH("UNDYING"&amp;"|"&amp;MAX(1,ROUND(COUNTIFS(MASTER!$B$4:$B$1463,"UNDYING",MASTER!$L$4:$L$1463,"&lt;&gt;")*$A116*100/100,0)),MASTER!$AI$4:$AI$1463,0))="",NA(),INDEX(MASTER!$L$4:$L$1463,MATCH("UNDYING"&amp;"|"&amp;MAX(1,ROUND(COUNTIFS(MASTER!$B$4:$B$1463,"UNDYING",MASTER!$L$4:$L$1463,"&lt;&gt;")*$A116*100/100,0)),MASTER!$AI$4:$AI$1463,0))),NA()))))</f>
        <v>3723</v>
      </c>
      <c r="F116" s="37">
        <f>IF($B$4="RESONANCE",IFERROR(IF(INDEX(MASTER!$I$4:$I$1463,MATCH("SBG"&amp;"|"&amp;MAX(1,ROUND(COUNTIFS(MASTER!$B$4:$B$1463,"SBG",MASTER!$I$4:$I$1463,"&lt;&gt;")*$A116*100/100,0)),MASTER!$Y$4:$Y$1463,0))="",NA(),INDEX(MASTER!$I$4:$I$1463,MATCH("SBG"&amp;"|"&amp;MAX(1,ROUND(COUNTIFS(MASTER!$B$4:$B$1463,"SBG",MASTER!$I$4:$I$1463,"&lt;&gt;")*$A116*100/100,0)),MASTER!$Y$4:$Y$1463,0))),NA()),IF($B$4="COMBAT RATING",IFERROR(IF(INDEX(MASTER!$G$4:$G$1463,MATCH("SBG"&amp;"|"&amp;MAX(1,ROUND(COUNTIFS(MASTER!$B$4:$B$1463,"SBG",MASTER!$G$4:$G$1463,"&lt;&gt;")*$A116*100/100,0)),MASTER!$AH$4:$AH$1463,0))="",NA(),INDEX(MASTER!$G$4:$G$1463,MATCH("SBG"&amp;"|"&amp;MAX(1,ROUND(COUNTIFS(MASTER!$B$4:$B$1463,"SBG",MASTER!$G$4:$G$1463,"&lt;&gt;")*$A116*100/100,0)),MASTER!$AH$4:$AH$1463,0))),NA()),IF($B$4="SECONDARY",IFERROR(IF(INDEX(MASTER!$L$4:$L$1463,MATCH("SBG"&amp;"|"&amp;MAX(1,ROUND(COUNTIFS(MASTER!$B$4:$B$1463,"SBG",MASTER!$L$4:$L$1463,"&lt;&gt;")*$A116*100/100,0)),MASTER!$AI$4:$AI$1463,0))="",NA(),INDEX(MASTER!$L$4:$L$1463,MATCH("SBG"&amp;"|"&amp;MAX(1,ROUND(COUNTIFS(MASTER!$B$4:$B$1463,"SBG",MASTER!$L$4:$L$1463,"&lt;&gt;")*$A116*100/100,0)),MASTER!$AI$4:$AI$1463,0))),NA()))))</f>
        <v>4931</v>
      </c>
      <c r="G116" s="37">
        <f>IF($B$4="RESONANCE",IFERROR(IF(INDEX(MASTER!$I$4:$I$1463,MATCH("AZUKI"&amp;"|"&amp;MAX(1,ROUND(COUNTIFS(MASTER!$B$4:$B$1463,"AZUKI",MASTER!$I$4:$I$1463,"&lt;&gt;")*$A116*100/100,0)),MASTER!$Y$4:$Y$1463,0))="",NA(),INDEX(MASTER!$I$4:$I$1463,MATCH("AZUKI"&amp;"|"&amp;MAX(1,ROUND(COUNTIFS(MASTER!$B$4:$B$1463,"AZUKI",MASTER!$I$4:$I$1463,"&lt;&gt;")*$A116*100/100,0)),MASTER!$Y$4:$Y$1463,0))),NA()),IF($B$4="COMBAT RATING",IFERROR(IF(INDEX(MASTER!$G$4:$G$1463,MATCH("AZUKI"&amp;"|"&amp;MAX(1,ROUND(COUNTIFS(MASTER!$B$4:$B$1463,"AZUKI",MASTER!$G$4:$G$1463,"&lt;&gt;")*$A116*100/100,0)),MASTER!$AH$4:$AH$1463,0))="",NA(),INDEX(MASTER!$G$4:$G$1463,MATCH("AZUKI"&amp;"|"&amp;MAX(1,ROUND(COUNTIFS(MASTER!$B$4:$B$1463,"AZUKI",MASTER!$G$4:$G$1463,"&lt;&gt;")*$A116*100/100,0)),MASTER!$AH$4:$AH$1463,0))),NA()),IF($B$4="SECONDARY",IFERROR(IF(INDEX(MASTER!$L$4:$L$1463,MATCH("AZUKI"&amp;"|"&amp;MAX(1,ROUND(COUNTIFS(MASTER!$B$4:$B$1463,"AZUKI",MASTER!$L$4:$L$1463,"&lt;&gt;")*$A116*100/100,0)),MASTER!$AI$4:$AI$1463,0))="",NA(),INDEX(MASTER!$L$4:$L$1463,MATCH("AZUKI"&amp;"|"&amp;MAX(1,ROUND(COUNTIFS(MASTER!$B$4:$B$1463,"AZUKI",MASTER!$L$4:$L$1463,"&lt;&gt;")*$A116*100/100,0)),MASTER!$AI$4:$AI$1463,0))),NA()))))</f>
        <v>4150</v>
      </c>
      <c r="H116" s="37">
        <f>IF($B$4="RESONANCE",IFERROR(IF(INDEX(MASTER!$I$4:$I$1463,MATCH("RECKONING"&amp;"|"&amp;MAX(1,ROUND(COUNTIFS(MASTER!$B$4:$B$1463,"RECKONING",MASTER!$I$4:$I$1463,"&lt;&gt;")*$A116*100/100,0)),MASTER!$Y$4:$Y$1463,0))="",NA(),INDEX(MASTER!$I$4:$I$1463,MATCH("RECKONING"&amp;"|"&amp;MAX(1,ROUND(COUNTIFS(MASTER!$B$4:$B$1463,"RECKONING",MASTER!$I$4:$I$1463,"&lt;&gt;")*$A116*100/100,0)),MASTER!$Y$4:$Y$1463,0))),NA()),IF($B$4="COMBAT RATING",IFERROR(IF(INDEX(MASTER!$G$4:$G$1463,MATCH("RECKONING"&amp;"|"&amp;MAX(1,ROUND(COUNTIFS(MASTER!$B$4:$B$1463,"RECKONING",MASTER!$G$4:$G$1463,"&lt;&gt;")*$A116*100/100,0)),MASTER!$AH$4:$AH$1463,0))="",NA(),INDEX(MASTER!$G$4:$G$1463,MATCH("RECKONING"&amp;"|"&amp;MAX(1,ROUND(COUNTIFS(MASTER!$B$4:$B$1463,"RECKONING",MASTER!$G$4:$G$1463,"&lt;&gt;")*$A116*100/100,0)),MASTER!$AH$4:$AH$1463,0))),NA()),IF($B$4="SECONDARY",IFERROR(IF(INDEX(MASTER!$L$4:$L$1463,MATCH("RECKONING"&amp;"|"&amp;MAX(1,ROUND(COUNTIFS(MASTER!$B$4:$B$1463,"RECKONING",MASTER!$L$4:$L$1463,"&lt;&gt;")*$A116*100/100,0)),MASTER!$AI$4:$AI$1463,0))="",NA(),INDEX(MASTER!$L$4:$L$1463,MATCH("RECKONING"&amp;"|"&amp;MAX(1,ROUND(COUNTIFS(MASTER!$B$4:$B$1463,"RECKONING",MASTER!$L$4:$L$1463,"&lt;&gt;")*$A116*100/100,0)),MASTER!$AI$4:$AI$1463,0))),NA()))))</f>
        <v>4209</v>
      </c>
      <c r="I116" s="37">
        <f>IF($B$4="RESONANCE",IFERROR(IF(INDEX(MASTER!$I$4:$I$1463,MATCH("ACHERON"&amp;"|"&amp;MAX(1,ROUND(COUNTIFS(MASTER!$B$4:$B$1463,"ACHERON",MASTER!$I$4:$I$1463,"&lt;&gt;")*$A116*100/100,0)),MASTER!$Y$4:$Y$1463,0))="",NA(),INDEX(MASTER!$I$4:$I$1463,MATCH("ACHERON"&amp;"|"&amp;MAX(1,ROUND(COUNTIFS(MASTER!$B$4:$B$1463,"ACHERON",MASTER!$I$4:$I$1463,"&lt;&gt;")*$A116*100/100,0)),MASTER!$Y$4:$Y$1463,0))),NA()),IF($B$4="COMBAT RATING",IFERROR(IF(INDEX(MASTER!$G$4:$G$1463,MATCH("ACHERON"&amp;"|"&amp;MAX(1,ROUND(COUNTIFS(MASTER!$B$4:$B$1463,"ACHERON",MASTER!$G$4:$G$1463,"&lt;&gt;")*$A116*100/100,0)),MASTER!$AH$4:$AH$1463,0))="",NA(),INDEX(MASTER!$G$4:$G$1463,MATCH("ACHERON"&amp;"|"&amp;MAX(1,ROUND(COUNTIFS(MASTER!$B$4:$B$1463,"ACHERON",MASTER!$G$4:$G$1463,"&lt;&gt;")*$A116*100/100,0)),MASTER!$AH$4:$AH$1463,0))),NA()),IF($B$4="SECONDARY",IFERROR(IF(INDEX(MASTER!$L$4:$L$1463,MATCH("ACHERON"&amp;"|"&amp;MAX(1,ROUND(COUNTIFS(MASTER!$B$4:$B$1463,"ACHERON",MASTER!$L$4:$L$1463,"&lt;&gt;")*$A116*100/100,0)),MASTER!$AI$4:$AI$1463,0))="",NA(),INDEX(MASTER!$L$4:$L$1463,MATCH("ACHERON"&amp;"|"&amp;MAX(1,ROUND(COUNTIFS(MASTER!$B$4:$B$1463,"ACHERON",MASTER!$L$4:$L$1463,"&lt;&gt;")*$A116*100/100,0)),MASTER!$AI$4:$AI$1463,0))),NA()))))</f>
        <v>3347</v>
      </c>
      <c r="J116" s="37">
        <f>IF($B$4="RESONANCE",IFERROR(IF(INDEX(MASTER!$I$4:$I$1463,MATCH("INVICTUS"&amp;"|"&amp;MAX(1,ROUND(COUNTIFS(MASTER!$B$4:$B$1463,"INVICTUS",MASTER!$I$4:$I$1463,"&lt;&gt;")*$A116*100/100,0)),MASTER!$Y$4:$Y$1463,0))="",NA(),INDEX(MASTER!$I$4:$I$1463,MATCH("INVICTUS"&amp;"|"&amp;MAX(1,ROUND(COUNTIFS(MASTER!$B$4:$B$1463,"INVICTUS",MASTER!$I$4:$I$1463,"&lt;&gt;")*$A116*100/100,0)),MASTER!$Y$4:$Y$1463,0))),NA()),IF($B$4="COMBAT RATING",IFERROR(IF(INDEX(MASTER!$G$4:$G$1463,MATCH("INVICTUS"&amp;"|"&amp;MAX(1,ROUND(COUNTIFS(MASTER!$B$4:$B$1463,"INVICTUS",MASTER!$G$4:$G$1463,"&lt;&gt;")*$A116*100/100,0)),MASTER!$AH$4:$AH$1463,0))="",NA(),INDEX(MASTER!$G$4:$G$1463,MATCH("INVICTUS"&amp;"|"&amp;MAX(1,ROUND(COUNTIFS(MASTER!$B$4:$B$1463,"INVICTUS",MASTER!$G$4:$G$1463,"&lt;&gt;")*$A116*100/100,0)),MASTER!$AH$4:$AH$1463,0))),NA()),IF($B$4="SECONDARY",IFERROR(IF(INDEX(MASTER!$L$4:$L$1463,MATCH("INVICTUS"&amp;"|"&amp;MAX(1,ROUND(COUNTIFS(MASTER!$B$4:$B$1463,"INVICTUS",MASTER!$L$4:$L$1463,"&lt;&gt;")*$A116*100/100,0)),MASTER!$AI$4:$AI$1463,0))="",NA(),INDEX(MASTER!$L$4:$L$1463,MATCH("INVICTUS"&amp;"|"&amp;MAX(1,ROUND(COUNTIFS(MASTER!$B$4:$B$1463,"INVICTUS",MASTER!$L$4:$L$1463,"&lt;&gt;")*$A116*100/100,0)),MASTER!$AI$4:$AI$1463,0))),NA()))))</f>
        <v>2770</v>
      </c>
      <c r="K116" s="37">
        <f>IF($B$4="RESONANCE",IFERROR(IF(INDEX(MASTER!$I$4:$I$1463,MATCH("EMERALD LEAF TRIBE"&amp;"|"&amp;MAX(1,ROUND(COUNTIFS(MASTER!$B$4:$B$1463,"EMERALD LEAF TRIBE",MASTER!$I$4:$I$1463,"&lt;&gt;")*$A116*100/100,0)),MASTER!$Y$4:$Y$1463,0))="",NA(),INDEX(MASTER!$I$4:$I$1463,MATCH("EMERALD LEAF TRIBE"&amp;"|"&amp;MAX(1,ROUND(COUNTIFS(MASTER!$B$4:$B$1463,"EMERALD LEAF TRIBE",MASTER!$I$4:$I$1463,"&lt;&gt;")*$A116*100/100,0)),MASTER!$Y$4:$Y$1463,0))),NA()),IF($B$4="COMBAT RATING",IFERROR(IF(INDEX(MASTER!$G$4:$G$1463,MATCH("EMERALD LEAF TRIBE"&amp;"|"&amp;MAX(1,ROUND(COUNTIFS(MASTER!$B$4:$B$1463,"EMERALD LEAF TRIBE",MASTER!$G$4:$G$1463,"&lt;&gt;")*$A116*100/100,0)),MASTER!$AH$4:$AH$1463,0))="",NA(),INDEX(MASTER!$G$4:$G$1463,MATCH("EMERALD LEAF TRIBE"&amp;"|"&amp;MAX(1,ROUND(COUNTIFS(MASTER!$B$4:$B$1463,"EMERALD LEAF TRIBE",MASTER!$G$4:$G$1463,"&lt;&gt;")*$A116*100/100,0)),MASTER!$AH$4:$AH$1463,0))),NA()),IF($B$4="SECONDARY",IFERROR(IF(INDEX(MASTER!$L$4:$L$1463,MATCH("EMERALD LEAF TRIBE"&amp;"|"&amp;MAX(1,ROUND(COUNTIFS(MASTER!$B$4:$B$1463,"EMERALD LEAF TRIBE",MASTER!$L$4:$L$1463,"&lt;&gt;")*$A116*100/100,0)),MASTER!$AI$4:$AI$1463,0))="",NA(),INDEX(MASTER!$L$4:$L$1463,MATCH("EMERALD LEAF TRIBE"&amp;"|"&amp;MAX(1,ROUND(COUNTIFS(MASTER!$B$4:$B$1463,"EMERALD LEAF TRIBE",MASTER!$L$4:$L$1463,"&lt;&gt;")*$A116*100/100,0)),MASTER!$AI$4:$AI$1463,0))),NA()))))</f>
        <v>1859</v>
      </c>
      <c r="L116" s="37">
        <f>IF($B$4="RESONANCE",IFERROR(IF(INDEX(MASTER!$I$4:$I$1463,MATCH("SUB ROSA"&amp;"|"&amp;MAX(1,ROUND(COUNTIFS(MASTER!$B$4:$B$1463,"SUB ROSA",MASTER!$I$4:$I$1463,"&lt;&gt;")*$A116*100/100,0)),MASTER!$Y$4:$Y$1463,0))="",NA(),INDEX(MASTER!$I$4:$I$1463,MATCH("SUB ROSA"&amp;"|"&amp;MAX(1,ROUND(COUNTIFS(MASTER!$B$4:$B$1463,"SUB ROSA",MASTER!$I$4:$I$1463,"&lt;&gt;")*$A116*100/100,0)),MASTER!$Y$4:$Y$1463,0))),NA()),IF($B$4="COMBAT RATING",IFERROR(IF(INDEX(MASTER!$G$4:$G$1463,MATCH("SUB ROSA"&amp;"|"&amp;MAX(1,ROUND(COUNTIFS(MASTER!$B$4:$B$1463,"SUB ROSA",MASTER!$G$4:$G$1463,"&lt;&gt;")*$A116*100/100,0)),MASTER!$AH$4:$AH$1463,0))="",NA(),INDEX(MASTER!$G$4:$G$1463,MATCH("SUB ROSA"&amp;"|"&amp;MAX(1,ROUND(COUNTIFS(MASTER!$B$4:$B$1463,"SUB ROSA",MASTER!$G$4:$G$1463,"&lt;&gt;")*$A116*100/100,0)),MASTER!$AH$4:$AH$1463,0))),NA()),IF($B$4="SECONDARY",IFERROR(IF(INDEX(MASTER!$L$4:$L$1463,MATCH("SUB ROSA"&amp;"|"&amp;MAX(1,ROUND(COUNTIFS(MASTER!$B$4:$B$1463,"SUB ROSA",MASTER!$L$4:$L$1463,"&lt;&gt;")*$A116*100/100,0)),MASTER!$AI$4:$AI$1463,0))="",NA(),INDEX(MASTER!$L$4:$L$1463,MATCH("SUB ROSA"&amp;"|"&amp;MAX(1,ROUND(COUNTIFS(MASTER!$B$4:$B$1463,"SUB ROSA",MASTER!$L$4:$L$1463,"&lt;&gt;")*$A116*100/100,0)),MASTER!$AI$4:$AI$1463,0))),NA()))))</f>
        <v>2139</v>
      </c>
      <c r="M116" s="37">
        <f>IF($B$4="RESONANCE",IFERROR(IF(INDEX(MASTER!$I$4:$I$1463,MATCH("VENGEANCE"&amp;"|"&amp;MAX(1,ROUND(COUNTIFS(MASTER!$B$4:$B$1463,"VENGEANCE",MASTER!$I$4:$I$1463,"&lt;&gt;")*$A116*100/100,0)),MASTER!$Y$4:$Y$1463,0))="",NA(),INDEX(MASTER!$I$4:$I$1463,MATCH("VENGEANCE"&amp;"|"&amp;MAX(1,ROUND(COUNTIFS(MASTER!$B$4:$B$1463,"VENGEANCE",MASTER!$I$4:$I$1463,"&lt;&gt;")*$A116*100/100,0)),MASTER!$Y$4:$Y$1463,0))),NA()),IF($B$4="COMBAT RATING",IFERROR(IF(INDEX(MASTER!$G$4:$G$1463,MATCH("VENGEANCE"&amp;"|"&amp;MAX(1,ROUND(COUNTIFS(MASTER!$B$4:$B$1463,"VENGEANCE",MASTER!$G$4:$G$1463,"&lt;&gt;")*$A116*100/100,0)),MASTER!$AH$4:$AH$1463,0))="",NA(),INDEX(MASTER!$G$4:$G$1463,MATCH("VENGEANCE"&amp;"|"&amp;MAX(1,ROUND(COUNTIFS(MASTER!$B$4:$B$1463,"VENGEANCE",MASTER!$G$4:$G$1463,"&lt;&gt;")*$A116*100/100,0)),MASTER!$AH$4:$AH$1463,0))),NA()),IF($B$4="SECONDARY",IFERROR(IF(INDEX(MASTER!$L$4:$L$1463,MATCH("VENGEANCE"&amp;"|"&amp;MAX(1,ROUND(COUNTIFS(MASTER!$B$4:$B$1463,"VENGEANCE",MASTER!$L$4:$L$1463,"&lt;&gt;")*$A116*100/100,0)),MASTER!$AI$4:$AI$1463,0))="",NA(),INDEX(MASTER!$L$4:$L$1463,MATCH("VENGEANCE"&amp;"|"&amp;MAX(1,ROUND(COUNTIFS(MASTER!$B$4:$B$1463,"VENGEANCE",MASTER!$L$4:$L$1463,"&lt;&gt;")*$A116*100/100,0)),MASTER!$AI$4:$AI$1463,0))),NA()))))</f>
        <v>3002</v>
      </c>
      <c r="N116" s="37">
        <f>IF($B$4="RESONANCE",IFERROR(IF(INDEX(MASTER!$I$4:$I$1463,MATCH("VENDETTA"&amp;"|"&amp;MAX(1,ROUND(COUNTIFS(MASTER!$B$4:$B$1463,"VENDETTA",MASTER!$I$4:$I$1463,"&lt;&gt;")*$A116*100/100,0)),MASTER!$Y$4:$Y$1463,0))="",NA(),INDEX(MASTER!$I$4:$I$1463,MATCH("VENDETTA"&amp;"|"&amp;MAX(1,ROUND(COUNTIFS(MASTER!$B$4:$B$1463,"VENDETTA",MASTER!$I$4:$I$1463,"&lt;&gt;")*$A116*100/100,0)),MASTER!$Y$4:$Y$1463,0))),NA()),IF($B$4="COMBAT RATING",IFERROR(IF(INDEX(MASTER!$G$4:$G$1463,MATCH("VENDETTA"&amp;"|"&amp;MAX(1,ROUND(COUNTIFS(MASTER!$B$4:$B$1463,"VENDETTA",MASTER!$G$4:$G$1463,"&lt;&gt;")*$A116*100/100,0)),MASTER!$AH$4:$AH$1463,0))="",NA(),INDEX(MASTER!$G$4:$G$1463,MATCH("VENDETTA"&amp;"|"&amp;MAX(1,ROUND(COUNTIFS(MASTER!$B$4:$B$1463,"VENDETTA",MASTER!$G$4:$G$1463,"&lt;&gt;")*$A116*100/100,0)),MASTER!$AH$4:$AH$1463,0))),NA()),IF($B$4="SECONDARY",IFERROR(IF(INDEX(MASTER!$L$4:$L$1463,MATCH("VENDETTA"&amp;"|"&amp;MAX(1,ROUND(COUNTIFS(MASTER!$B$4:$B$1463,"VENDETTA",MASTER!$L$4:$L$1463,"&lt;&gt;")*$A116*100/100,0)),MASTER!$AI$4:$AI$1463,0))="",NA(),INDEX(MASTER!$L$4:$L$1463,MATCH("VENDETTA"&amp;"|"&amp;MAX(1,ROUND(COUNTIFS(MASTER!$B$4:$B$1463,"VENDETTA",MASTER!$L$4:$L$1463,"&lt;&gt;")*$A116*100/100,0)),MASTER!$AI$4:$AI$1463,0))),NA()))))</f>
        <v>1749</v>
      </c>
      <c r="O116" s="37">
        <f>IF($B$4="RESONANCE",IFERROR(IF(INDEX(MASTER!$I$4:$I$1463,MATCH("ZOMBIES"&amp;"|"&amp;MAX(1,ROUND(COUNTIFS(MASTER!$B$4:$B$1463,"ZOMBIES",MASTER!$I$4:$I$1463,"&lt;&gt;")*$A116*100/100,0)),MASTER!$Y$4:$Y$1463,0))="",NA(),INDEX(MASTER!$I$4:$I$1463,MATCH("ZOMBIES"&amp;"|"&amp;MAX(1,ROUND(COUNTIFS(MASTER!$B$4:$B$1463,"ZOMBIES",MASTER!$I$4:$I$1463,"&lt;&gt;")*$A116*100/100,0)),MASTER!$Y$4:$Y$1463,0))),NA()),IF($B$4="COMBAT RATING",IFERROR(IF(INDEX(MASTER!$G$4:$G$1463,MATCH("ZOMBIES"&amp;"|"&amp;MAX(1,ROUND(COUNTIFS(MASTER!$B$4:$B$1463,"ZOMBIES",MASTER!$G$4:$G$1463,"&lt;&gt;")*$A116*100/100,0)),MASTER!$AH$4:$AH$1463,0))="",NA(),INDEX(MASTER!$G$4:$G$1463,MATCH("ZOMBIES"&amp;"|"&amp;MAX(1,ROUND(COUNTIFS(MASTER!$B$4:$B$1463,"ZOMBIES",MASTER!$G$4:$G$1463,"&lt;&gt;")*$A116*100/100,0)),MASTER!$AH$4:$AH$1463,0))),NA()),IF($B$4="SECONDARY",IFERROR(IF(INDEX(MASTER!$L$4:$L$1463,MATCH("ZOMBIES"&amp;"|"&amp;MAX(1,ROUND(COUNTIFS(MASTER!$B$4:$B$1463,"ZOMBIES",MASTER!$L$4:$L$1463,"&lt;&gt;")*$A116*100/100,0)),MASTER!$AI$4:$AI$1463,0))="",NA(),INDEX(MASTER!$L$4:$L$1463,MATCH("ZOMBIES"&amp;"|"&amp;MAX(1,ROUND(COUNTIFS(MASTER!$B$4:$B$1463,"ZOMBIES",MASTER!$L$4:$L$1463,"&lt;&gt;")*$A116*100/100,0)),MASTER!$AI$4:$AI$1463,0))),NA()))))</f>
        <v>1468</v>
      </c>
      <c r="P116" s="37">
        <f>IF($B$4="RESONANCE",IFERROR(IF(INDEX(MASTER!$I$4:$I$1463,MATCH("FUCT"&amp;"|"&amp;MAX(1,ROUND(COUNTIFS(MASTER!$B$4:$B$1463,"FUCT",MASTER!$I$4:$I$1463,"&lt;&gt;")*$A116*100/100,0)),MASTER!$Y$4:$Y$1463,0))="",NA(),INDEX(MASTER!$I$4:$I$1463,MATCH("FUCT"&amp;"|"&amp;MAX(1,ROUND(COUNTIFS(MASTER!$B$4:$B$1463,"FUCT",MASTER!$I$4:$I$1463,"&lt;&gt;")*$A116*100/100,0)),MASTER!$Y$4:$Y$1463,0))),NA()),IF($B$4="COMBAT RATING",IFERROR(IF(INDEX(MASTER!$G$4:$G$1463,MATCH("FUCT"&amp;"|"&amp;MAX(1,ROUND(COUNTIFS(MASTER!$B$4:$B$1463,"FUCT",MASTER!$G$4:$G$1463,"&lt;&gt;")*$A116*100/100,0)),MASTER!$AH$4:$AH$1463,0))="",NA(),INDEX(MASTER!$G$4:$G$1463,MATCH("FUCT"&amp;"|"&amp;MAX(1,ROUND(COUNTIFS(MASTER!$B$4:$B$1463,"FUCT",MASTER!$G$4:$G$1463,"&lt;&gt;")*$A116*100/100,0)),MASTER!$AH$4:$AH$1463,0))),NA()),IF($B$4="SECONDARY",IFERROR(IF(INDEX(MASTER!$L$4:$L$1463,MATCH("FUCT"&amp;"|"&amp;MAX(1,ROUND(COUNTIFS(MASTER!$B$4:$B$1463,"FUCT",MASTER!$L$4:$L$1463,"&lt;&gt;")*$A116*100/100,0)),MASTER!$AI$4:$AI$1463,0))="",NA(),INDEX(MASTER!$L$4:$L$1463,MATCH("FUCT"&amp;"|"&amp;MAX(1,ROUND(COUNTIFS(MASTER!$B$4:$B$1463,"FUCT",MASTER!$L$4:$L$1463,"&lt;&gt;")*$A116*100/100,0)),MASTER!$AI$4:$AI$1463,0))),NA()))))</f>
        <v>4042</v>
      </c>
      <c r="Q116" s="37">
        <f>IF($B$4="RESONANCE",IFERROR(IF(INDEX(MASTER!$I$4:$I$1463,MATCH($E$4&amp;"|"&amp;MAX(1,ROUND(COUNTIFS(MASTER!$B$4:$B$1463,$E$4,MASTER!$I$4:$I$1463,"&lt;&gt;")*$A116*100/100,0)),MASTER!$Y$4:$Y$1463,0))="",NA(),INDEX(MASTER!$I$4:$I$1463,MATCH($E$4&amp;"|"&amp;MAX(1,ROUND(COUNTIFS(MASTER!$B$4:$B$1463,$E$4,MASTER!$I$4:$I$1463,"&lt;&gt;")*$A116*100/100,0)),MASTER!$Y$4:$Y$1463,0))),NA()),IF($B$4="COMBAT RATING",IFERROR(IF(INDEX(MASTER!$G$4:$G$1463,MATCH($E$4&amp;"|"&amp;MAX(1,ROUND(COUNTIFS(MASTER!$B$4:$B$1463,$E$4,MASTER!$G$4:$G$1463,"&lt;&gt;")*$A116*100/100,0)),MASTER!$AH$4:$AH$1463,0))="",NA(),INDEX(MASTER!$G$4:$G$1463,MATCH($E$4&amp;"|"&amp;MAX(1,ROUND(COUNTIFS(MASTER!$B$4:$B$1463,$E$4,MASTER!$G$4:$G$1463,"&lt;&gt;")*$A116*100/100,0)),MASTER!$AH$4:$AH$1463,0))),NA()),IF($B$4="SECONDARY",IFERROR(IF(INDEX(MASTER!$L$4:$L$1463,MATCH($E$4&amp;"|"&amp;MAX(1,ROUND(COUNTIFS(MASTER!$B$4:$B$1463,$E$4,MASTER!$L$4:$L$1463,"&lt;&gt;")*$A116*100/100,0)),MASTER!$AI$4:$AI$1463,0))="",NA(),INDEX(MASTER!$L$4:$L$1463,MATCH($E$4&amp;"|"&amp;MAX(1,ROUND(COUNTIFS(MASTER!$B$4:$B$1463,$E$4,MASTER!$L$4:$L$1463,"&lt;&gt;")*$A116*100/100,0)),MASTER!$AI$4:$AI$1463,0))),NA()))))</f>
        <v>3723</v>
      </c>
    </row>
    <row r="117" spans="1:17" hidden="1">
      <c r="A117" s="36">
        <v>0.62</v>
      </c>
      <c r="B117" s="37">
        <f>IF($B$4="RESONANCE",IFERROR(IF(INDEX(MASTER!$I$4:$I$1463,MATCH("FUCT"&amp;"|"&amp;MAX(1,ROUND(COUNTIFS(MASTER!$B$4:$B$1463,"FUCT",MASTER!$I$4:$I$1463,"&lt;&gt;")*$A117*100/100,0)),MASTER!$Y$4:$Y$1463,0))="",NA(),INDEX(MASTER!$I$4:$I$1463,MATCH("FUCT"&amp;"|"&amp;MAX(1,ROUND(COUNTIFS(MASTER!$B$4:$B$1463,"FUCT",MASTER!$I$4:$I$1463,"&lt;&gt;")*$A117*100/100,0)),MASTER!$Y$4:$Y$1463,0))),NA()),IF($B$4="COMBAT RATING",IFERROR(IF(INDEX(MASTER!$G$4:$G$1463,MATCH("FUCT"&amp;"|"&amp;MAX(1,ROUND(COUNTIFS(MASTER!$B$4:$B$1463,"FUCT",MASTER!$G$4:$G$1463,"&lt;&gt;")*$A117*100/100,0)),MASTER!$AH$4:$AH$1463,0))="",NA(),INDEX(MASTER!$G$4:$G$1463,MATCH("FUCT"&amp;"|"&amp;MAX(1,ROUND(COUNTIFS(MASTER!$B$4:$B$1463,"FUCT",MASTER!$G$4:$G$1463,"&lt;&gt;")*$A117*100/100,0)),MASTER!$AH$4:$AH$1463,0))),NA()),IF($B$4="SECONDARY",IFERROR(IF(INDEX(MASTER!$L$4:$L$1463,MATCH("FUCT"&amp;"|"&amp;MAX(1,ROUND(COUNTIFS(MASTER!$B$4:$B$1463,"FUCT",MASTER!$L$4:$L$1463,"&lt;&gt;")*$A117*100/100,0)),MASTER!$AI$4:$AI$1463,0))="",NA(),INDEX(MASTER!$L$4:$L$1463,MATCH("FUCT"&amp;"|"&amp;MAX(1,ROUND(COUNTIFS(MASTER!$B$4:$B$1463,"FUCT",MASTER!$L$4:$L$1463,"&lt;&gt;")*$A117*100/100,0)),MASTER!$AI$4:$AI$1463,0))),NA()))))</f>
        <v>4027</v>
      </c>
      <c r="C117" s="37">
        <f>IF($B$4="RESONANCE",IFERROR(IF(INDEX(MASTER!$I$4:$I$1463,MATCH("LEGENDS"&amp;"|"&amp;MAX(1,ROUND(COUNTIFS(MASTER!$B$4:$B$1463,"LEGENDS",MASTER!$I$4:$I$1463,"&lt;&gt;")*$A117*100/100,0)),MASTER!$Y$4:$Y$1463,0))="",NA(),INDEX(MASTER!$I$4:$I$1463,MATCH("LEGENDS"&amp;"|"&amp;MAX(1,ROUND(COUNTIFS(MASTER!$B$4:$B$1463,"LEGENDS",MASTER!$I$4:$I$1463,"&lt;&gt;")*$A117*100/100,0)),MASTER!$Y$4:$Y$1463,0))),NA()),IF($B$4="COMBAT RATING",IFERROR(IF(INDEX(MASTER!$G$4:$G$1463,MATCH("LEGENDS"&amp;"|"&amp;MAX(1,ROUND(COUNTIFS(MASTER!$B$4:$B$1463,"LEGENDS",MASTER!$G$4:$G$1463,"&lt;&gt;")*$A117*100/100,0)),MASTER!$AH$4:$AH$1463,0))="",NA(),INDEX(MASTER!$G$4:$G$1463,MATCH("LEGENDS"&amp;"|"&amp;MAX(1,ROUND(COUNTIFS(MASTER!$B$4:$B$1463,"LEGENDS",MASTER!$G$4:$G$1463,"&lt;&gt;")*$A117*100/100,0)),MASTER!$AH$4:$AH$1463,0))),NA()),IF($B$4="SECONDARY",IFERROR(IF(INDEX(MASTER!$L$4:$L$1463,MATCH("LEGENDS"&amp;"|"&amp;MAX(1,ROUND(COUNTIFS(MASTER!$B$4:$B$1463,"LEGENDS",MASTER!$L$4:$L$1463,"&lt;&gt;")*$A117*100/100,0)),MASTER!$AI$4:$AI$1463,0))="",NA(),INDEX(MASTER!$L$4:$L$1463,MATCH("LEGENDS"&amp;"|"&amp;MAX(1,ROUND(COUNTIFS(MASTER!$B$4:$B$1463,"LEGENDS",MASTER!$L$4:$L$1463,"&lt;&gt;")*$A117*100/100,0)),MASTER!$AI$4:$AI$1463,0))),NA()))))</f>
        <v>4594</v>
      </c>
      <c r="D117" s="37">
        <f>IF($B$4="RESONANCE",IFERROR(IF(INDEX(MASTER!$I$4:$I$1463,MATCH("VANGUARD"&amp;"|"&amp;MAX(1,ROUND(COUNTIFS(MASTER!$B$4:$B$1463,"VANGUARD",MASTER!$I$4:$I$1463,"&lt;&gt;")*$A117*100/100,0)),MASTER!$Y$4:$Y$1463,0))="",NA(),INDEX(MASTER!$I$4:$I$1463,MATCH("VANGUARD"&amp;"|"&amp;MAX(1,ROUND(COUNTIFS(MASTER!$B$4:$B$1463,"VANGUARD",MASTER!$I$4:$I$1463,"&lt;&gt;")*$A117*100/100,0)),MASTER!$Y$4:$Y$1463,0))),NA()),IF($B$4="COMBAT RATING",IFERROR(IF(INDEX(MASTER!$G$4:$G$1463,MATCH("VANGUARD"&amp;"|"&amp;MAX(1,ROUND(COUNTIFS(MASTER!$B$4:$B$1463,"VANGUARD",MASTER!$G$4:$G$1463,"&lt;&gt;")*$A117*100/100,0)),MASTER!$AH$4:$AH$1463,0))="",NA(),INDEX(MASTER!$G$4:$G$1463,MATCH("VANGUARD"&amp;"|"&amp;MAX(1,ROUND(COUNTIFS(MASTER!$B$4:$B$1463,"VANGUARD",MASTER!$G$4:$G$1463,"&lt;&gt;")*$A117*100/100,0)),MASTER!$AH$4:$AH$1463,0))),NA()),IF($B$4="SECONDARY",IFERROR(IF(INDEX(MASTER!$L$4:$L$1463,MATCH("VANGUARD"&amp;"|"&amp;MAX(1,ROUND(COUNTIFS(MASTER!$B$4:$B$1463,"VANGUARD",MASTER!$L$4:$L$1463,"&lt;&gt;")*$A117*100/100,0)),MASTER!$AI$4:$AI$1463,0))="",NA(),INDEX(MASTER!$L$4:$L$1463,MATCH("VANGUARD"&amp;"|"&amp;MAX(1,ROUND(COUNTIFS(MASTER!$B$4:$B$1463,"VANGUARD",MASTER!$L$4:$L$1463,"&lt;&gt;")*$A117*100/100,0)),MASTER!$AI$4:$AI$1463,0))),NA()))))</f>
        <v>5701</v>
      </c>
      <c r="E117" s="37">
        <f>IF($B$4="RESONANCE",IFERROR(IF(INDEX(MASTER!$I$4:$I$1463,MATCH("UNDYING"&amp;"|"&amp;MAX(1,ROUND(COUNTIFS(MASTER!$B$4:$B$1463,"UNDYING",MASTER!$I$4:$I$1463,"&lt;&gt;")*$A117*100/100,0)),MASTER!$Y$4:$Y$1463,0))="",NA(),INDEX(MASTER!$I$4:$I$1463,MATCH("UNDYING"&amp;"|"&amp;MAX(1,ROUND(COUNTIFS(MASTER!$B$4:$B$1463,"UNDYING",MASTER!$I$4:$I$1463,"&lt;&gt;")*$A117*100/100,0)),MASTER!$Y$4:$Y$1463,0))),NA()),IF($B$4="COMBAT RATING",IFERROR(IF(INDEX(MASTER!$G$4:$G$1463,MATCH("UNDYING"&amp;"|"&amp;MAX(1,ROUND(COUNTIFS(MASTER!$B$4:$B$1463,"UNDYING",MASTER!$G$4:$G$1463,"&lt;&gt;")*$A117*100/100,0)),MASTER!$AH$4:$AH$1463,0))="",NA(),INDEX(MASTER!$G$4:$G$1463,MATCH("UNDYING"&amp;"|"&amp;MAX(1,ROUND(COUNTIFS(MASTER!$B$4:$B$1463,"UNDYING",MASTER!$G$4:$G$1463,"&lt;&gt;")*$A117*100/100,0)),MASTER!$AH$4:$AH$1463,0))),NA()),IF($B$4="SECONDARY",IFERROR(IF(INDEX(MASTER!$L$4:$L$1463,MATCH("UNDYING"&amp;"|"&amp;MAX(1,ROUND(COUNTIFS(MASTER!$B$4:$B$1463,"UNDYING",MASTER!$L$4:$L$1463,"&lt;&gt;")*$A117*100/100,0)),MASTER!$AI$4:$AI$1463,0))="",NA(),INDEX(MASTER!$L$4:$L$1463,MATCH("UNDYING"&amp;"|"&amp;MAX(1,ROUND(COUNTIFS(MASTER!$B$4:$B$1463,"UNDYING",MASTER!$L$4:$L$1463,"&lt;&gt;")*$A117*100/100,0)),MASTER!$AI$4:$AI$1463,0))),NA()))))</f>
        <v>3678</v>
      </c>
      <c r="F117" s="37">
        <f>IF($B$4="RESONANCE",IFERROR(IF(INDEX(MASTER!$I$4:$I$1463,MATCH("SBG"&amp;"|"&amp;MAX(1,ROUND(COUNTIFS(MASTER!$B$4:$B$1463,"SBG",MASTER!$I$4:$I$1463,"&lt;&gt;")*$A117*100/100,0)),MASTER!$Y$4:$Y$1463,0))="",NA(),INDEX(MASTER!$I$4:$I$1463,MATCH("SBG"&amp;"|"&amp;MAX(1,ROUND(COUNTIFS(MASTER!$B$4:$B$1463,"SBG",MASTER!$I$4:$I$1463,"&lt;&gt;")*$A117*100/100,0)),MASTER!$Y$4:$Y$1463,0))),NA()),IF($B$4="COMBAT RATING",IFERROR(IF(INDEX(MASTER!$G$4:$G$1463,MATCH("SBG"&amp;"|"&amp;MAX(1,ROUND(COUNTIFS(MASTER!$B$4:$B$1463,"SBG",MASTER!$G$4:$G$1463,"&lt;&gt;")*$A117*100/100,0)),MASTER!$AH$4:$AH$1463,0))="",NA(),INDEX(MASTER!$G$4:$G$1463,MATCH("SBG"&amp;"|"&amp;MAX(1,ROUND(COUNTIFS(MASTER!$B$4:$B$1463,"SBG",MASTER!$G$4:$G$1463,"&lt;&gt;")*$A117*100/100,0)),MASTER!$AH$4:$AH$1463,0))),NA()),IF($B$4="SECONDARY",IFERROR(IF(INDEX(MASTER!$L$4:$L$1463,MATCH("SBG"&amp;"|"&amp;MAX(1,ROUND(COUNTIFS(MASTER!$B$4:$B$1463,"SBG",MASTER!$L$4:$L$1463,"&lt;&gt;")*$A117*100/100,0)),MASTER!$AI$4:$AI$1463,0))="",NA(),INDEX(MASTER!$L$4:$L$1463,MATCH("SBG"&amp;"|"&amp;MAX(1,ROUND(COUNTIFS(MASTER!$B$4:$B$1463,"SBG",MASTER!$L$4:$L$1463,"&lt;&gt;")*$A117*100/100,0)),MASTER!$AI$4:$AI$1463,0))),NA()))))</f>
        <v>4751</v>
      </c>
      <c r="G117" s="37">
        <f>IF($B$4="RESONANCE",IFERROR(IF(INDEX(MASTER!$I$4:$I$1463,MATCH("AZUKI"&amp;"|"&amp;MAX(1,ROUND(COUNTIFS(MASTER!$B$4:$B$1463,"AZUKI",MASTER!$I$4:$I$1463,"&lt;&gt;")*$A117*100/100,0)),MASTER!$Y$4:$Y$1463,0))="",NA(),INDEX(MASTER!$I$4:$I$1463,MATCH("AZUKI"&amp;"|"&amp;MAX(1,ROUND(COUNTIFS(MASTER!$B$4:$B$1463,"AZUKI",MASTER!$I$4:$I$1463,"&lt;&gt;")*$A117*100/100,0)),MASTER!$Y$4:$Y$1463,0))),NA()),IF($B$4="COMBAT RATING",IFERROR(IF(INDEX(MASTER!$G$4:$G$1463,MATCH("AZUKI"&amp;"|"&amp;MAX(1,ROUND(COUNTIFS(MASTER!$B$4:$B$1463,"AZUKI",MASTER!$G$4:$G$1463,"&lt;&gt;")*$A117*100/100,0)),MASTER!$AH$4:$AH$1463,0))="",NA(),INDEX(MASTER!$G$4:$G$1463,MATCH("AZUKI"&amp;"|"&amp;MAX(1,ROUND(COUNTIFS(MASTER!$B$4:$B$1463,"AZUKI",MASTER!$G$4:$G$1463,"&lt;&gt;")*$A117*100/100,0)),MASTER!$AH$4:$AH$1463,0))),NA()),IF($B$4="SECONDARY",IFERROR(IF(INDEX(MASTER!$L$4:$L$1463,MATCH("AZUKI"&amp;"|"&amp;MAX(1,ROUND(COUNTIFS(MASTER!$B$4:$B$1463,"AZUKI",MASTER!$L$4:$L$1463,"&lt;&gt;")*$A117*100/100,0)),MASTER!$AI$4:$AI$1463,0))="",NA(),INDEX(MASTER!$L$4:$L$1463,MATCH("AZUKI"&amp;"|"&amp;MAX(1,ROUND(COUNTIFS(MASTER!$B$4:$B$1463,"AZUKI",MASTER!$L$4:$L$1463,"&lt;&gt;")*$A117*100/100,0)),MASTER!$AI$4:$AI$1463,0))),NA()))))</f>
        <v>4034</v>
      </c>
      <c r="H117" s="37">
        <f>IF($B$4="RESONANCE",IFERROR(IF(INDEX(MASTER!$I$4:$I$1463,MATCH("RECKONING"&amp;"|"&amp;MAX(1,ROUND(COUNTIFS(MASTER!$B$4:$B$1463,"RECKONING",MASTER!$I$4:$I$1463,"&lt;&gt;")*$A117*100/100,0)),MASTER!$Y$4:$Y$1463,0))="",NA(),INDEX(MASTER!$I$4:$I$1463,MATCH("RECKONING"&amp;"|"&amp;MAX(1,ROUND(COUNTIFS(MASTER!$B$4:$B$1463,"RECKONING",MASTER!$I$4:$I$1463,"&lt;&gt;")*$A117*100/100,0)),MASTER!$Y$4:$Y$1463,0))),NA()),IF($B$4="COMBAT RATING",IFERROR(IF(INDEX(MASTER!$G$4:$G$1463,MATCH("RECKONING"&amp;"|"&amp;MAX(1,ROUND(COUNTIFS(MASTER!$B$4:$B$1463,"RECKONING",MASTER!$G$4:$G$1463,"&lt;&gt;")*$A117*100/100,0)),MASTER!$AH$4:$AH$1463,0))="",NA(),INDEX(MASTER!$G$4:$G$1463,MATCH("RECKONING"&amp;"|"&amp;MAX(1,ROUND(COUNTIFS(MASTER!$B$4:$B$1463,"RECKONING",MASTER!$G$4:$G$1463,"&lt;&gt;")*$A117*100/100,0)),MASTER!$AH$4:$AH$1463,0))),NA()),IF($B$4="SECONDARY",IFERROR(IF(INDEX(MASTER!$L$4:$L$1463,MATCH("RECKONING"&amp;"|"&amp;MAX(1,ROUND(COUNTIFS(MASTER!$B$4:$B$1463,"RECKONING",MASTER!$L$4:$L$1463,"&lt;&gt;")*$A117*100/100,0)),MASTER!$AI$4:$AI$1463,0))="",NA(),INDEX(MASTER!$L$4:$L$1463,MATCH("RECKONING"&amp;"|"&amp;MAX(1,ROUND(COUNTIFS(MASTER!$B$4:$B$1463,"RECKONING",MASTER!$L$4:$L$1463,"&lt;&gt;")*$A117*100/100,0)),MASTER!$AI$4:$AI$1463,0))),NA()))))</f>
        <v>4144</v>
      </c>
      <c r="I117" s="37">
        <f>IF($B$4="RESONANCE",IFERROR(IF(INDEX(MASTER!$I$4:$I$1463,MATCH("ACHERON"&amp;"|"&amp;MAX(1,ROUND(COUNTIFS(MASTER!$B$4:$B$1463,"ACHERON",MASTER!$I$4:$I$1463,"&lt;&gt;")*$A117*100/100,0)),MASTER!$Y$4:$Y$1463,0))="",NA(),INDEX(MASTER!$I$4:$I$1463,MATCH("ACHERON"&amp;"|"&amp;MAX(1,ROUND(COUNTIFS(MASTER!$B$4:$B$1463,"ACHERON",MASTER!$I$4:$I$1463,"&lt;&gt;")*$A117*100/100,0)),MASTER!$Y$4:$Y$1463,0))),NA()),IF($B$4="COMBAT RATING",IFERROR(IF(INDEX(MASTER!$G$4:$G$1463,MATCH("ACHERON"&amp;"|"&amp;MAX(1,ROUND(COUNTIFS(MASTER!$B$4:$B$1463,"ACHERON",MASTER!$G$4:$G$1463,"&lt;&gt;")*$A117*100/100,0)),MASTER!$AH$4:$AH$1463,0))="",NA(),INDEX(MASTER!$G$4:$G$1463,MATCH("ACHERON"&amp;"|"&amp;MAX(1,ROUND(COUNTIFS(MASTER!$B$4:$B$1463,"ACHERON",MASTER!$G$4:$G$1463,"&lt;&gt;")*$A117*100/100,0)),MASTER!$AH$4:$AH$1463,0))),NA()),IF($B$4="SECONDARY",IFERROR(IF(INDEX(MASTER!$L$4:$L$1463,MATCH("ACHERON"&amp;"|"&amp;MAX(1,ROUND(COUNTIFS(MASTER!$B$4:$B$1463,"ACHERON",MASTER!$L$4:$L$1463,"&lt;&gt;")*$A117*100/100,0)),MASTER!$AI$4:$AI$1463,0))="",NA(),INDEX(MASTER!$L$4:$L$1463,MATCH("ACHERON"&amp;"|"&amp;MAX(1,ROUND(COUNTIFS(MASTER!$B$4:$B$1463,"ACHERON",MASTER!$L$4:$L$1463,"&lt;&gt;")*$A117*100/100,0)),MASTER!$AI$4:$AI$1463,0))),NA()))))</f>
        <v>3343</v>
      </c>
      <c r="J117" s="37">
        <f>IF($B$4="RESONANCE",IFERROR(IF(INDEX(MASTER!$I$4:$I$1463,MATCH("INVICTUS"&amp;"|"&amp;MAX(1,ROUND(COUNTIFS(MASTER!$B$4:$B$1463,"INVICTUS",MASTER!$I$4:$I$1463,"&lt;&gt;")*$A117*100/100,0)),MASTER!$Y$4:$Y$1463,0))="",NA(),INDEX(MASTER!$I$4:$I$1463,MATCH("INVICTUS"&amp;"|"&amp;MAX(1,ROUND(COUNTIFS(MASTER!$B$4:$B$1463,"INVICTUS",MASTER!$I$4:$I$1463,"&lt;&gt;")*$A117*100/100,0)),MASTER!$Y$4:$Y$1463,0))),NA()),IF($B$4="COMBAT RATING",IFERROR(IF(INDEX(MASTER!$G$4:$G$1463,MATCH("INVICTUS"&amp;"|"&amp;MAX(1,ROUND(COUNTIFS(MASTER!$B$4:$B$1463,"INVICTUS",MASTER!$G$4:$G$1463,"&lt;&gt;")*$A117*100/100,0)),MASTER!$AH$4:$AH$1463,0))="",NA(),INDEX(MASTER!$G$4:$G$1463,MATCH("INVICTUS"&amp;"|"&amp;MAX(1,ROUND(COUNTIFS(MASTER!$B$4:$B$1463,"INVICTUS",MASTER!$G$4:$G$1463,"&lt;&gt;")*$A117*100/100,0)),MASTER!$AH$4:$AH$1463,0))),NA()),IF($B$4="SECONDARY",IFERROR(IF(INDEX(MASTER!$L$4:$L$1463,MATCH("INVICTUS"&amp;"|"&amp;MAX(1,ROUND(COUNTIFS(MASTER!$B$4:$B$1463,"INVICTUS",MASTER!$L$4:$L$1463,"&lt;&gt;")*$A117*100/100,0)),MASTER!$AI$4:$AI$1463,0))="",NA(),INDEX(MASTER!$L$4:$L$1463,MATCH("INVICTUS"&amp;"|"&amp;MAX(1,ROUND(COUNTIFS(MASTER!$B$4:$B$1463,"INVICTUS",MASTER!$L$4:$L$1463,"&lt;&gt;")*$A117*100/100,0)),MASTER!$AI$4:$AI$1463,0))),NA()))))</f>
        <v>2750</v>
      </c>
      <c r="K117" s="37">
        <f>IF($B$4="RESONANCE",IFERROR(IF(INDEX(MASTER!$I$4:$I$1463,MATCH("EMERALD LEAF TRIBE"&amp;"|"&amp;MAX(1,ROUND(COUNTIFS(MASTER!$B$4:$B$1463,"EMERALD LEAF TRIBE",MASTER!$I$4:$I$1463,"&lt;&gt;")*$A117*100/100,0)),MASTER!$Y$4:$Y$1463,0))="",NA(),INDEX(MASTER!$I$4:$I$1463,MATCH("EMERALD LEAF TRIBE"&amp;"|"&amp;MAX(1,ROUND(COUNTIFS(MASTER!$B$4:$B$1463,"EMERALD LEAF TRIBE",MASTER!$I$4:$I$1463,"&lt;&gt;")*$A117*100/100,0)),MASTER!$Y$4:$Y$1463,0))),NA()),IF($B$4="COMBAT RATING",IFERROR(IF(INDEX(MASTER!$G$4:$G$1463,MATCH("EMERALD LEAF TRIBE"&amp;"|"&amp;MAX(1,ROUND(COUNTIFS(MASTER!$B$4:$B$1463,"EMERALD LEAF TRIBE",MASTER!$G$4:$G$1463,"&lt;&gt;")*$A117*100/100,0)),MASTER!$AH$4:$AH$1463,0))="",NA(),INDEX(MASTER!$G$4:$G$1463,MATCH("EMERALD LEAF TRIBE"&amp;"|"&amp;MAX(1,ROUND(COUNTIFS(MASTER!$B$4:$B$1463,"EMERALD LEAF TRIBE",MASTER!$G$4:$G$1463,"&lt;&gt;")*$A117*100/100,0)),MASTER!$AH$4:$AH$1463,0))),NA()),IF($B$4="SECONDARY",IFERROR(IF(INDEX(MASTER!$L$4:$L$1463,MATCH("EMERALD LEAF TRIBE"&amp;"|"&amp;MAX(1,ROUND(COUNTIFS(MASTER!$B$4:$B$1463,"EMERALD LEAF TRIBE",MASTER!$L$4:$L$1463,"&lt;&gt;")*$A117*100/100,0)),MASTER!$AI$4:$AI$1463,0))="",NA(),INDEX(MASTER!$L$4:$L$1463,MATCH("EMERALD LEAF TRIBE"&amp;"|"&amp;MAX(1,ROUND(COUNTIFS(MASTER!$B$4:$B$1463,"EMERALD LEAF TRIBE",MASTER!$L$4:$L$1463,"&lt;&gt;")*$A117*100/100,0)),MASTER!$AI$4:$AI$1463,0))),NA()))))</f>
        <v>1766</v>
      </c>
      <c r="L117" s="37">
        <f>IF($B$4="RESONANCE",IFERROR(IF(INDEX(MASTER!$I$4:$I$1463,MATCH("SUB ROSA"&amp;"|"&amp;MAX(1,ROUND(COUNTIFS(MASTER!$B$4:$B$1463,"SUB ROSA",MASTER!$I$4:$I$1463,"&lt;&gt;")*$A117*100/100,0)),MASTER!$Y$4:$Y$1463,0))="",NA(),INDEX(MASTER!$I$4:$I$1463,MATCH("SUB ROSA"&amp;"|"&amp;MAX(1,ROUND(COUNTIFS(MASTER!$B$4:$B$1463,"SUB ROSA",MASTER!$I$4:$I$1463,"&lt;&gt;")*$A117*100/100,0)),MASTER!$Y$4:$Y$1463,0))),NA()),IF($B$4="COMBAT RATING",IFERROR(IF(INDEX(MASTER!$G$4:$G$1463,MATCH("SUB ROSA"&amp;"|"&amp;MAX(1,ROUND(COUNTIFS(MASTER!$B$4:$B$1463,"SUB ROSA",MASTER!$G$4:$G$1463,"&lt;&gt;")*$A117*100/100,0)),MASTER!$AH$4:$AH$1463,0))="",NA(),INDEX(MASTER!$G$4:$G$1463,MATCH("SUB ROSA"&amp;"|"&amp;MAX(1,ROUND(COUNTIFS(MASTER!$B$4:$B$1463,"SUB ROSA",MASTER!$G$4:$G$1463,"&lt;&gt;")*$A117*100/100,0)),MASTER!$AH$4:$AH$1463,0))),NA()),IF($B$4="SECONDARY",IFERROR(IF(INDEX(MASTER!$L$4:$L$1463,MATCH("SUB ROSA"&amp;"|"&amp;MAX(1,ROUND(COUNTIFS(MASTER!$B$4:$B$1463,"SUB ROSA",MASTER!$L$4:$L$1463,"&lt;&gt;")*$A117*100/100,0)),MASTER!$AI$4:$AI$1463,0))="",NA(),INDEX(MASTER!$L$4:$L$1463,MATCH("SUB ROSA"&amp;"|"&amp;MAX(1,ROUND(COUNTIFS(MASTER!$B$4:$B$1463,"SUB ROSA",MASTER!$L$4:$L$1463,"&lt;&gt;")*$A117*100/100,0)),MASTER!$AI$4:$AI$1463,0))),NA()))))</f>
        <v>2100</v>
      </c>
      <c r="M117" s="37">
        <f>IF($B$4="RESONANCE",IFERROR(IF(INDEX(MASTER!$I$4:$I$1463,MATCH("VENGEANCE"&amp;"|"&amp;MAX(1,ROUND(COUNTIFS(MASTER!$B$4:$B$1463,"VENGEANCE",MASTER!$I$4:$I$1463,"&lt;&gt;")*$A117*100/100,0)),MASTER!$Y$4:$Y$1463,0))="",NA(),INDEX(MASTER!$I$4:$I$1463,MATCH("VENGEANCE"&amp;"|"&amp;MAX(1,ROUND(COUNTIFS(MASTER!$B$4:$B$1463,"VENGEANCE",MASTER!$I$4:$I$1463,"&lt;&gt;")*$A117*100/100,0)),MASTER!$Y$4:$Y$1463,0))),NA()),IF($B$4="COMBAT RATING",IFERROR(IF(INDEX(MASTER!$G$4:$G$1463,MATCH("VENGEANCE"&amp;"|"&amp;MAX(1,ROUND(COUNTIFS(MASTER!$B$4:$B$1463,"VENGEANCE",MASTER!$G$4:$G$1463,"&lt;&gt;")*$A117*100/100,0)),MASTER!$AH$4:$AH$1463,0))="",NA(),INDEX(MASTER!$G$4:$G$1463,MATCH("VENGEANCE"&amp;"|"&amp;MAX(1,ROUND(COUNTIFS(MASTER!$B$4:$B$1463,"VENGEANCE",MASTER!$G$4:$G$1463,"&lt;&gt;")*$A117*100/100,0)),MASTER!$AH$4:$AH$1463,0))),NA()),IF($B$4="SECONDARY",IFERROR(IF(INDEX(MASTER!$L$4:$L$1463,MATCH("VENGEANCE"&amp;"|"&amp;MAX(1,ROUND(COUNTIFS(MASTER!$B$4:$B$1463,"VENGEANCE",MASTER!$L$4:$L$1463,"&lt;&gt;")*$A117*100/100,0)),MASTER!$AI$4:$AI$1463,0))="",NA(),INDEX(MASTER!$L$4:$L$1463,MATCH("VENGEANCE"&amp;"|"&amp;MAX(1,ROUND(COUNTIFS(MASTER!$B$4:$B$1463,"VENGEANCE",MASTER!$L$4:$L$1463,"&lt;&gt;")*$A117*100/100,0)),MASTER!$AI$4:$AI$1463,0))),NA()))))</f>
        <v>2981</v>
      </c>
      <c r="N117" s="37">
        <f>IF($B$4="RESONANCE",IFERROR(IF(INDEX(MASTER!$I$4:$I$1463,MATCH("VENDETTA"&amp;"|"&amp;MAX(1,ROUND(COUNTIFS(MASTER!$B$4:$B$1463,"VENDETTA",MASTER!$I$4:$I$1463,"&lt;&gt;")*$A117*100/100,0)),MASTER!$Y$4:$Y$1463,0))="",NA(),INDEX(MASTER!$I$4:$I$1463,MATCH("VENDETTA"&amp;"|"&amp;MAX(1,ROUND(COUNTIFS(MASTER!$B$4:$B$1463,"VENDETTA",MASTER!$I$4:$I$1463,"&lt;&gt;")*$A117*100/100,0)),MASTER!$Y$4:$Y$1463,0))),NA()),IF($B$4="COMBAT RATING",IFERROR(IF(INDEX(MASTER!$G$4:$G$1463,MATCH("VENDETTA"&amp;"|"&amp;MAX(1,ROUND(COUNTIFS(MASTER!$B$4:$B$1463,"VENDETTA",MASTER!$G$4:$G$1463,"&lt;&gt;")*$A117*100/100,0)),MASTER!$AH$4:$AH$1463,0))="",NA(),INDEX(MASTER!$G$4:$G$1463,MATCH("VENDETTA"&amp;"|"&amp;MAX(1,ROUND(COUNTIFS(MASTER!$B$4:$B$1463,"VENDETTA",MASTER!$G$4:$G$1463,"&lt;&gt;")*$A117*100/100,0)),MASTER!$AH$4:$AH$1463,0))),NA()),IF($B$4="SECONDARY",IFERROR(IF(INDEX(MASTER!$L$4:$L$1463,MATCH("VENDETTA"&amp;"|"&amp;MAX(1,ROUND(COUNTIFS(MASTER!$B$4:$B$1463,"VENDETTA",MASTER!$L$4:$L$1463,"&lt;&gt;")*$A117*100/100,0)),MASTER!$AI$4:$AI$1463,0))="",NA(),INDEX(MASTER!$L$4:$L$1463,MATCH("VENDETTA"&amp;"|"&amp;MAX(1,ROUND(COUNTIFS(MASTER!$B$4:$B$1463,"VENDETTA",MASTER!$L$4:$L$1463,"&lt;&gt;")*$A117*100/100,0)),MASTER!$AI$4:$AI$1463,0))),NA()))))</f>
        <v>1744</v>
      </c>
      <c r="O117" s="37">
        <f>IF($B$4="RESONANCE",IFERROR(IF(INDEX(MASTER!$I$4:$I$1463,MATCH("ZOMBIES"&amp;"|"&amp;MAX(1,ROUND(COUNTIFS(MASTER!$B$4:$B$1463,"ZOMBIES",MASTER!$I$4:$I$1463,"&lt;&gt;")*$A117*100/100,0)),MASTER!$Y$4:$Y$1463,0))="",NA(),INDEX(MASTER!$I$4:$I$1463,MATCH("ZOMBIES"&amp;"|"&amp;MAX(1,ROUND(COUNTIFS(MASTER!$B$4:$B$1463,"ZOMBIES",MASTER!$I$4:$I$1463,"&lt;&gt;")*$A117*100/100,0)),MASTER!$Y$4:$Y$1463,0))),NA()),IF($B$4="COMBAT RATING",IFERROR(IF(INDEX(MASTER!$G$4:$G$1463,MATCH("ZOMBIES"&amp;"|"&amp;MAX(1,ROUND(COUNTIFS(MASTER!$B$4:$B$1463,"ZOMBIES",MASTER!$G$4:$G$1463,"&lt;&gt;")*$A117*100/100,0)),MASTER!$AH$4:$AH$1463,0))="",NA(),INDEX(MASTER!$G$4:$G$1463,MATCH("ZOMBIES"&amp;"|"&amp;MAX(1,ROUND(COUNTIFS(MASTER!$B$4:$B$1463,"ZOMBIES",MASTER!$G$4:$G$1463,"&lt;&gt;")*$A117*100/100,0)),MASTER!$AH$4:$AH$1463,0))),NA()),IF($B$4="SECONDARY",IFERROR(IF(INDEX(MASTER!$L$4:$L$1463,MATCH("ZOMBIES"&amp;"|"&amp;MAX(1,ROUND(COUNTIFS(MASTER!$B$4:$B$1463,"ZOMBIES",MASTER!$L$4:$L$1463,"&lt;&gt;")*$A117*100/100,0)),MASTER!$AI$4:$AI$1463,0))="",NA(),INDEX(MASTER!$L$4:$L$1463,MATCH("ZOMBIES"&amp;"|"&amp;MAX(1,ROUND(COUNTIFS(MASTER!$B$4:$B$1463,"ZOMBIES",MASTER!$L$4:$L$1463,"&lt;&gt;")*$A117*100/100,0)),MASTER!$AI$4:$AI$1463,0))),NA()))))</f>
        <v>1422</v>
      </c>
      <c r="P117" s="37">
        <f>IF($B$4="RESONANCE",IFERROR(IF(INDEX(MASTER!$I$4:$I$1463,MATCH("FUCT"&amp;"|"&amp;MAX(1,ROUND(COUNTIFS(MASTER!$B$4:$B$1463,"FUCT",MASTER!$I$4:$I$1463,"&lt;&gt;")*$A117*100/100,0)),MASTER!$Y$4:$Y$1463,0))="",NA(),INDEX(MASTER!$I$4:$I$1463,MATCH("FUCT"&amp;"|"&amp;MAX(1,ROUND(COUNTIFS(MASTER!$B$4:$B$1463,"FUCT",MASTER!$I$4:$I$1463,"&lt;&gt;")*$A117*100/100,0)),MASTER!$Y$4:$Y$1463,0))),NA()),IF($B$4="COMBAT RATING",IFERROR(IF(INDEX(MASTER!$G$4:$G$1463,MATCH("FUCT"&amp;"|"&amp;MAX(1,ROUND(COUNTIFS(MASTER!$B$4:$B$1463,"FUCT",MASTER!$G$4:$G$1463,"&lt;&gt;")*$A117*100/100,0)),MASTER!$AH$4:$AH$1463,0))="",NA(),INDEX(MASTER!$G$4:$G$1463,MATCH("FUCT"&amp;"|"&amp;MAX(1,ROUND(COUNTIFS(MASTER!$B$4:$B$1463,"FUCT",MASTER!$G$4:$G$1463,"&lt;&gt;")*$A117*100/100,0)),MASTER!$AH$4:$AH$1463,0))),NA()),IF($B$4="SECONDARY",IFERROR(IF(INDEX(MASTER!$L$4:$L$1463,MATCH("FUCT"&amp;"|"&amp;MAX(1,ROUND(COUNTIFS(MASTER!$B$4:$B$1463,"FUCT",MASTER!$L$4:$L$1463,"&lt;&gt;")*$A117*100/100,0)),MASTER!$AI$4:$AI$1463,0))="",NA(),INDEX(MASTER!$L$4:$L$1463,MATCH("FUCT"&amp;"|"&amp;MAX(1,ROUND(COUNTIFS(MASTER!$B$4:$B$1463,"FUCT",MASTER!$L$4:$L$1463,"&lt;&gt;")*$A117*100/100,0)),MASTER!$AI$4:$AI$1463,0))),NA()))))</f>
        <v>4027</v>
      </c>
      <c r="Q117" s="37">
        <f>IF($B$4="RESONANCE",IFERROR(IF(INDEX(MASTER!$I$4:$I$1463,MATCH($E$4&amp;"|"&amp;MAX(1,ROUND(COUNTIFS(MASTER!$B$4:$B$1463,$E$4,MASTER!$I$4:$I$1463,"&lt;&gt;")*$A117*100/100,0)),MASTER!$Y$4:$Y$1463,0))="",NA(),INDEX(MASTER!$I$4:$I$1463,MATCH($E$4&amp;"|"&amp;MAX(1,ROUND(COUNTIFS(MASTER!$B$4:$B$1463,$E$4,MASTER!$I$4:$I$1463,"&lt;&gt;")*$A117*100/100,0)),MASTER!$Y$4:$Y$1463,0))),NA()),IF($B$4="COMBAT RATING",IFERROR(IF(INDEX(MASTER!$G$4:$G$1463,MATCH($E$4&amp;"|"&amp;MAX(1,ROUND(COUNTIFS(MASTER!$B$4:$B$1463,$E$4,MASTER!$G$4:$G$1463,"&lt;&gt;")*$A117*100/100,0)),MASTER!$AH$4:$AH$1463,0))="",NA(),INDEX(MASTER!$G$4:$G$1463,MATCH($E$4&amp;"|"&amp;MAX(1,ROUND(COUNTIFS(MASTER!$B$4:$B$1463,$E$4,MASTER!$G$4:$G$1463,"&lt;&gt;")*$A117*100/100,0)),MASTER!$AH$4:$AH$1463,0))),NA()),IF($B$4="SECONDARY",IFERROR(IF(INDEX(MASTER!$L$4:$L$1463,MATCH($E$4&amp;"|"&amp;MAX(1,ROUND(COUNTIFS(MASTER!$B$4:$B$1463,$E$4,MASTER!$L$4:$L$1463,"&lt;&gt;")*$A117*100/100,0)),MASTER!$AI$4:$AI$1463,0))="",NA(),INDEX(MASTER!$L$4:$L$1463,MATCH($E$4&amp;"|"&amp;MAX(1,ROUND(COUNTIFS(MASTER!$B$4:$B$1463,$E$4,MASTER!$L$4:$L$1463,"&lt;&gt;")*$A117*100/100,0)),MASTER!$AI$4:$AI$1463,0))),NA()))))</f>
        <v>3678</v>
      </c>
    </row>
    <row r="118" spans="1:17" hidden="1">
      <c r="A118" s="36">
        <v>0.63</v>
      </c>
      <c r="B118" s="37">
        <f>IF($B$4="RESONANCE",IFERROR(IF(INDEX(MASTER!$I$4:$I$1463,MATCH("FUCT"&amp;"|"&amp;MAX(1,ROUND(COUNTIFS(MASTER!$B$4:$B$1463,"FUCT",MASTER!$I$4:$I$1463,"&lt;&gt;")*$A118*100/100,0)),MASTER!$Y$4:$Y$1463,0))="",NA(),INDEX(MASTER!$I$4:$I$1463,MATCH("FUCT"&amp;"|"&amp;MAX(1,ROUND(COUNTIFS(MASTER!$B$4:$B$1463,"FUCT",MASTER!$I$4:$I$1463,"&lt;&gt;")*$A118*100/100,0)),MASTER!$Y$4:$Y$1463,0))),NA()),IF($B$4="COMBAT RATING",IFERROR(IF(INDEX(MASTER!$G$4:$G$1463,MATCH("FUCT"&amp;"|"&amp;MAX(1,ROUND(COUNTIFS(MASTER!$B$4:$B$1463,"FUCT",MASTER!$G$4:$G$1463,"&lt;&gt;")*$A118*100/100,0)),MASTER!$AH$4:$AH$1463,0))="",NA(),INDEX(MASTER!$G$4:$G$1463,MATCH("FUCT"&amp;"|"&amp;MAX(1,ROUND(COUNTIFS(MASTER!$B$4:$B$1463,"FUCT",MASTER!$G$4:$G$1463,"&lt;&gt;")*$A118*100/100,0)),MASTER!$AH$4:$AH$1463,0))),NA()),IF($B$4="SECONDARY",IFERROR(IF(INDEX(MASTER!$L$4:$L$1463,MATCH("FUCT"&amp;"|"&amp;MAX(1,ROUND(COUNTIFS(MASTER!$B$4:$B$1463,"FUCT",MASTER!$L$4:$L$1463,"&lt;&gt;")*$A118*100/100,0)),MASTER!$AI$4:$AI$1463,0))="",NA(),INDEX(MASTER!$L$4:$L$1463,MATCH("FUCT"&amp;"|"&amp;MAX(1,ROUND(COUNTIFS(MASTER!$B$4:$B$1463,"FUCT",MASTER!$L$4:$L$1463,"&lt;&gt;")*$A118*100/100,0)),MASTER!$AI$4:$AI$1463,0))),NA()))))</f>
        <v>3958</v>
      </c>
      <c r="C118" s="37">
        <f>IF($B$4="RESONANCE",IFERROR(IF(INDEX(MASTER!$I$4:$I$1463,MATCH("LEGENDS"&amp;"|"&amp;MAX(1,ROUND(COUNTIFS(MASTER!$B$4:$B$1463,"LEGENDS",MASTER!$I$4:$I$1463,"&lt;&gt;")*$A118*100/100,0)),MASTER!$Y$4:$Y$1463,0))="",NA(),INDEX(MASTER!$I$4:$I$1463,MATCH("LEGENDS"&amp;"|"&amp;MAX(1,ROUND(COUNTIFS(MASTER!$B$4:$B$1463,"LEGENDS",MASTER!$I$4:$I$1463,"&lt;&gt;")*$A118*100/100,0)),MASTER!$Y$4:$Y$1463,0))),NA()),IF($B$4="COMBAT RATING",IFERROR(IF(INDEX(MASTER!$G$4:$G$1463,MATCH("LEGENDS"&amp;"|"&amp;MAX(1,ROUND(COUNTIFS(MASTER!$B$4:$B$1463,"LEGENDS",MASTER!$G$4:$G$1463,"&lt;&gt;")*$A118*100/100,0)),MASTER!$AH$4:$AH$1463,0))="",NA(),INDEX(MASTER!$G$4:$G$1463,MATCH("LEGENDS"&amp;"|"&amp;MAX(1,ROUND(COUNTIFS(MASTER!$B$4:$B$1463,"LEGENDS",MASTER!$G$4:$G$1463,"&lt;&gt;")*$A118*100/100,0)),MASTER!$AH$4:$AH$1463,0))),NA()),IF($B$4="SECONDARY",IFERROR(IF(INDEX(MASTER!$L$4:$L$1463,MATCH("LEGENDS"&amp;"|"&amp;MAX(1,ROUND(COUNTIFS(MASTER!$B$4:$B$1463,"LEGENDS",MASTER!$L$4:$L$1463,"&lt;&gt;")*$A118*100/100,0)),MASTER!$AI$4:$AI$1463,0))="",NA(),INDEX(MASTER!$L$4:$L$1463,MATCH("LEGENDS"&amp;"|"&amp;MAX(1,ROUND(COUNTIFS(MASTER!$B$4:$B$1463,"LEGENDS",MASTER!$L$4:$L$1463,"&lt;&gt;")*$A118*100/100,0)),MASTER!$AI$4:$AI$1463,0))),NA()))))</f>
        <v>4557</v>
      </c>
      <c r="D118" s="37">
        <f>IF($B$4="RESONANCE",IFERROR(IF(INDEX(MASTER!$I$4:$I$1463,MATCH("VANGUARD"&amp;"|"&amp;MAX(1,ROUND(COUNTIFS(MASTER!$B$4:$B$1463,"VANGUARD",MASTER!$I$4:$I$1463,"&lt;&gt;")*$A118*100/100,0)),MASTER!$Y$4:$Y$1463,0))="",NA(),INDEX(MASTER!$I$4:$I$1463,MATCH("VANGUARD"&amp;"|"&amp;MAX(1,ROUND(COUNTIFS(MASTER!$B$4:$B$1463,"VANGUARD",MASTER!$I$4:$I$1463,"&lt;&gt;")*$A118*100/100,0)),MASTER!$Y$4:$Y$1463,0))),NA()),IF($B$4="COMBAT RATING",IFERROR(IF(INDEX(MASTER!$G$4:$G$1463,MATCH("VANGUARD"&amp;"|"&amp;MAX(1,ROUND(COUNTIFS(MASTER!$B$4:$B$1463,"VANGUARD",MASTER!$G$4:$G$1463,"&lt;&gt;")*$A118*100/100,0)),MASTER!$AH$4:$AH$1463,0))="",NA(),INDEX(MASTER!$G$4:$G$1463,MATCH("VANGUARD"&amp;"|"&amp;MAX(1,ROUND(COUNTIFS(MASTER!$B$4:$B$1463,"VANGUARD",MASTER!$G$4:$G$1463,"&lt;&gt;")*$A118*100/100,0)),MASTER!$AH$4:$AH$1463,0))),NA()),IF($B$4="SECONDARY",IFERROR(IF(INDEX(MASTER!$L$4:$L$1463,MATCH("VANGUARD"&amp;"|"&amp;MAX(1,ROUND(COUNTIFS(MASTER!$B$4:$B$1463,"VANGUARD",MASTER!$L$4:$L$1463,"&lt;&gt;")*$A118*100/100,0)),MASTER!$AI$4:$AI$1463,0))="",NA(),INDEX(MASTER!$L$4:$L$1463,MATCH("VANGUARD"&amp;"|"&amp;MAX(1,ROUND(COUNTIFS(MASTER!$B$4:$B$1463,"VANGUARD",MASTER!$L$4:$L$1463,"&lt;&gt;")*$A118*100/100,0)),MASTER!$AI$4:$AI$1463,0))),NA()))))</f>
        <v>5585</v>
      </c>
      <c r="E118" s="37">
        <f>IF($B$4="RESONANCE",IFERROR(IF(INDEX(MASTER!$I$4:$I$1463,MATCH("UNDYING"&amp;"|"&amp;MAX(1,ROUND(COUNTIFS(MASTER!$B$4:$B$1463,"UNDYING",MASTER!$I$4:$I$1463,"&lt;&gt;")*$A118*100/100,0)),MASTER!$Y$4:$Y$1463,0))="",NA(),INDEX(MASTER!$I$4:$I$1463,MATCH("UNDYING"&amp;"|"&amp;MAX(1,ROUND(COUNTIFS(MASTER!$B$4:$B$1463,"UNDYING",MASTER!$I$4:$I$1463,"&lt;&gt;")*$A118*100/100,0)),MASTER!$Y$4:$Y$1463,0))),NA()),IF($B$4="COMBAT RATING",IFERROR(IF(INDEX(MASTER!$G$4:$G$1463,MATCH("UNDYING"&amp;"|"&amp;MAX(1,ROUND(COUNTIFS(MASTER!$B$4:$B$1463,"UNDYING",MASTER!$G$4:$G$1463,"&lt;&gt;")*$A118*100/100,0)),MASTER!$AH$4:$AH$1463,0))="",NA(),INDEX(MASTER!$G$4:$G$1463,MATCH("UNDYING"&amp;"|"&amp;MAX(1,ROUND(COUNTIFS(MASTER!$B$4:$B$1463,"UNDYING",MASTER!$G$4:$G$1463,"&lt;&gt;")*$A118*100/100,0)),MASTER!$AH$4:$AH$1463,0))),NA()),IF($B$4="SECONDARY",IFERROR(IF(INDEX(MASTER!$L$4:$L$1463,MATCH("UNDYING"&amp;"|"&amp;MAX(1,ROUND(COUNTIFS(MASTER!$B$4:$B$1463,"UNDYING",MASTER!$L$4:$L$1463,"&lt;&gt;")*$A118*100/100,0)),MASTER!$AI$4:$AI$1463,0))="",NA(),INDEX(MASTER!$L$4:$L$1463,MATCH("UNDYING"&amp;"|"&amp;MAX(1,ROUND(COUNTIFS(MASTER!$B$4:$B$1463,"UNDYING",MASTER!$L$4:$L$1463,"&lt;&gt;")*$A118*100/100,0)),MASTER!$AI$4:$AI$1463,0))),NA()))))</f>
        <v>3678</v>
      </c>
      <c r="F118" s="37">
        <f>IF($B$4="RESONANCE",IFERROR(IF(INDEX(MASTER!$I$4:$I$1463,MATCH("SBG"&amp;"|"&amp;MAX(1,ROUND(COUNTIFS(MASTER!$B$4:$B$1463,"SBG",MASTER!$I$4:$I$1463,"&lt;&gt;")*$A118*100/100,0)),MASTER!$Y$4:$Y$1463,0))="",NA(),INDEX(MASTER!$I$4:$I$1463,MATCH("SBG"&amp;"|"&amp;MAX(1,ROUND(COUNTIFS(MASTER!$B$4:$B$1463,"SBG",MASTER!$I$4:$I$1463,"&lt;&gt;")*$A118*100/100,0)),MASTER!$Y$4:$Y$1463,0))),NA()),IF($B$4="COMBAT RATING",IFERROR(IF(INDEX(MASTER!$G$4:$G$1463,MATCH("SBG"&amp;"|"&amp;MAX(1,ROUND(COUNTIFS(MASTER!$B$4:$B$1463,"SBG",MASTER!$G$4:$G$1463,"&lt;&gt;")*$A118*100/100,0)),MASTER!$AH$4:$AH$1463,0))="",NA(),INDEX(MASTER!$G$4:$G$1463,MATCH("SBG"&amp;"|"&amp;MAX(1,ROUND(COUNTIFS(MASTER!$B$4:$B$1463,"SBG",MASTER!$G$4:$G$1463,"&lt;&gt;")*$A118*100/100,0)),MASTER!$AH$4:$AH$1463,0))),NA()),IF($B$4="SECONDARY",IFERROR(IF(INDEX(MASTER!$L$4:$L$1463,MATCH("SBG"&amp;"|"&amp;MAX(1,ROUND(COUNTIFS(MASTER!$B$4:$B$1463,"SBG",MASTER!$L$4:$L$1463,"&lt;&gt;")*$A118*100/100,0)),MASTER!$AI$4:$AI$1463,0))="",NA(),INDEX(MASTER!$L$4:$L$1463,MATCH("SBG"&amp;"|"&amp;MAX(1,ROUND(COUNTIFS(MASTER!$B$4:$B$1463,"SBG",MASTER!$L$4:$L$1463,"&lt;&gt;")*$A118*100/100,0)),MASTER!$AI$4:$AI$1463,0))),NA()))))</f>
        <v>4748</v>
      </c>
      <c r="G118" s="37">
        <f>IF($B$4="RESONANCE",IFERROR(IF(INDEX(MASTER!$I$4:$I$1463,MATCH("AZUKI"&amp;"|"&amp;MAX(1,ROUND(COUNTIFS(MASTER!$B$4:$B$1463,"AZUKI",MASTER!$I$4:$I$1463,"&lt;&gt;")*$A118*100/100,0)),MASTER!$Y$4:$Y$1463,0))="",NA(),INDEX(MASTER!$I$4:$I$1463,MATCH("AZUKI"&amp;"|"&amp;MAX(1,ROUND(COUNTIFS(MASTER!$B$4:$B$1463,"AZUKI",MASTER!$I$4:$I$1463,"&lt;&gt;")*$A118*100/100,0)),MASTER!$Y$4:$Y$1463,0))),NA()),IF($B$4="COMBAT RATING",IFERROR(IF(INDEX(MASTER!$G$4:$G$1463,MATCH("AZUKI"&amp;"|"&amp;MAX(1,ROUND(COUNTIFS(MASTER!$B$4:$B$1463,"AZUKI",MASTER!$G$4:$G$1463,"&lt;&gt;")*$A118*100/100,0)),MASTER!$AH$4:$AH$1463,0))="",NA(),INDEX(MASTER!$G$4:$G$1463,MATCH("AZUKI"&amp;"|"&amp;MAX(1,ROUND(COUNTIFS(MASTER!$B$4:$B$1463,"AZUKI",MASTER!$G$4:$G$1463,"&lt;&gt;")*$A118*100/100,0)),MASTER!$AH$4:$AH$1463,0))),NA()),IF($B$4="SECONDARY",IFERROR(IF(INDEX(MASTER!$L$4:$L$1463,MATCH("AZUKI"&amp;"|"&amp;MAX(1,ROUND(COUNTIFS(MASTER!$B$4:$B$1463,"AZUKI",MASTER!$L$4:$L$1463,"&lt;&gt;")*$A118*100/100,0)),MASTER!$AI$4:$AI$1463,0))="",NA(),INDEX(MASTER!$L$4:$L$1463,MATCH("AZUKI"&amp;"|"&amp;MAX(1,ROUND(COUNTIFS(MASTER!$B$4:$B$1463,"AZUKI",MASTER!$L$4:$L$1463,"&lt;&gt;")*$A118*100/100,0)),MASTER!$AI$4:$AI$1463,0))),NA()))))</f>
        <v>4002</v>
      </c>
      <c r="H118" s="37">
        <f>IF($B$4="RESONANCE",IFERROR(IF(INDEX(MASTER!$I$4:$I$1463,MATCH("RECKONING"&amp;"|"&amp;MAX(1,ROUND(COUNTIFS(MASTER!$B$4:$B$1463,"RECKONING",MASTER!$I$4:$I$1463,"&lt;&gt;")*$A118*100/100,0)),MASTER!$Y$4:$Y$1463,0))="",NA(),INDEX(MASTER!$I$4:$I$1463,MATCH("RECKONING"&amp;"|"&amp;MAX(1,ROUND(COUNTIFS(MASTER!$B$4:$B$1463,"RECKONING",MASTER!$I$4:$I$1463,"&lt;&gt;")*$A118*100/100,0)),MASTER!$Y$4:$Y$1463,0))),NA()),IF($B$4="COMBAT RATING",IFERROR(IF(INDEX(MASTER!$G$4:$G$1463,MATCH("RECKONING"&amp;"|"&amp;MAX(1,ROUND(COUNTIFS(MASTER!$B$4:$B$1463,"RECKONING",MASTER!$G$4:$G$1463,"&lt;&gt;")*$A118*100/100,0)),MASTER!$AH$4:$AH$1463,0))="",NA(),INDEX(MASTER!$G$4:$G$1463,MATCH("RECKONING"&amp;"|"&amp;MAX(1,ROUND(COUNTIFS(MASTER!$B$4:$B$1463,"RECKONING",MASTER!$G$4:$G$1463,"&lt;&gt;")*$A118*100/100,0)),MASTER!$AH$4:$AH$1463,0))),NA()),IF($B$4="SECONDARY",IFERROR(IF(INDEX(MASTER!$L$4:$L$1463,MATCH("RECKONING"&amp;"|"&amp;MAX(1,ROUND(COUNTIFS(MASTER!$B$4:$B$1463,"RECKONING",MASTER!$L$4:$L$1463,"&lt;&gt;")*$A118*100/100,0)),MASTER!$AI$4:$AI$1463,0))="",NA(),INDEX(MASTER!$L$4:$L$1463,MATCH("RECKONING"&amp;"|"&amp;MAX(1,ROUND(COUNTIFS(MASTER!$B$4:$B$1463,"RECKONING",MASTER!$L$4:$L$1463,"&lt;&gt;")*$A118*100/100,0)),MASTER!$AI$4:$AI$1463,0))),NA()))))</f>
        <v>4075</v>
      </c>
      <c r="I118" s="37">
        <f>IF($B$4="RESONANCE",IFERROR(IF(INDEX(MASTER!$I$4:$I$1463,MATCH("ACHERON"&amp;"|"&amp;MAX(1,ROUND(COUNTIFS(MASTER!$B$4:$B$1463,"ACHERON",MASTER!$I$4:$I$1463,"&lt;&gt;")*$A118*100/100,0)),MASTER!$Y$4:$Y$1463,0))="",NA(),INDEX(MASTER!$I$4:$I$1463,MATCH("ACHERON"&amp;"|"&amp;MAX(1,ROUND(COUNTIFS(MASTER!$B$4:$B$1463,"ACHERON",MASTER!$I$4:$I$1463,"&lt;&gt;")*$A118*100/100,0)),MASTER!$Y$4:$Y$1463,0))),NA()),IF($B$4="COMBAT RATING",IFERROR(IF(INDEX(MASTER!$G$4:$G$1463,MATCH("ACHERON"&amp;"|"&amp;MAX(1,ROUND(COUNTIFS(MASTER!$B$4:$B$1463,"ACHERON",MASTER!$G$4:$G$1463,"&lt;&gt;")*$A118*100/100,0)),MASTER!$AH$4:$AH$1463,0))="",NA(),INDEX(MASTER!$G$4:$G$1463,MATCH("ACHERON"&amp;"|"&amp;MAX(1,ROUND(COUNTIFS(MASTER!$B$4:$B$1463,"ACHERON",MASTER!$G$4:$G$1463,"&lt;&gt;")*$A118*100/100,0)),MASTER!$AH$4:$AH$1463,0))),NA()),IF($B$4="SECONDARY",IFERROR(IF(INDEX(MASTER!$L$4:$L$1463,MATCH("ACHERON"&amp;"|"&amp;MAX(1,ROUND(COUNTIFS(MASTER!$B$4:$B$1463,"ACHERON",MASTER!$L$4:$L$1463,"&lt;&gt;")*$A118*100/100,0)),MASTER!$AI$4:$AI$1463,0))="",NA(),INDEX(MASTER!$L$4:$L$1463,MATCH("ACHERON"&amp;"|"&amp;MAX(1,ROUND(COUNTIFS(MASTER!$B$4:$B$1463,"ACHERON",MASTER!$L$4:$L$1463,"&lt;&gt;")*$A118*100/100,0)),MASTER!$AI$4:$AI$1463,0))),NA()))))</f>
        <v>3333</v>
      </c>
      <c r="J118" s="37">
        <f>IF($B$4="RESONANCE",IFERROR(IF(INDEX(MASTER!$I$4:$I$1463,MATCH("INVICTUS"&amp;"|"&amp;MAX(1,ROUND(COUNTIFS(MASTER!$B$4:$B$1463,"INVICTUS",MASTER!$I$4:$I$1463,"&lt;&gt;")*$A118*100/100,0)),MASTER!$Y$4:$Y$1463,0))="",NA(),INDEX(MASTER!$I$4:$I$1463,MATCH("INVICTUS"&amp;"|"&amp;MAX(1,ROUND(COUNTIFS(MASTER!$B$4:$B$1463,"INVICTUS",MASTER!$I$4:$I$1463,"&lt;&gt;")*$A118*100/100,0)),MASTER!$Y$4:$Y$1463,0))),NA()),IF($B$4="COMBAT RATING",IFERROR(IF(INDEX(MASTER!$G$4:$G$1463,MATCH("INVICTUS"&amp;"|"&amp;MAX(1,ROUND(COUNTIFS(MASTER!$B$4:$B$1463,"INVICTUS",MASTER!$G$4:$G$1463,"&lt;&gt;")*$A118*100/100,0)),MASTER!$AH$4:$AH$1463,0))="",NA(),INDEX(MASTER!$G$4:$G$1463,MATCH("INVICTUS"&amp;"|"&amp;MAX(1,ROUND(COUNTIFS(MASTER!$B$4:$B$1463,"INVICTUS",MASTER!$G$4:$G$1463,"&lt;&gt;")*$A118*100/100,0)),MASTER!$AH$4:$AH$1463,0))),NA()),IF($B$4="SECONDARY",IFERROR(IF(INDEX(MASTER!$L$4:$L$1463,MATCH("INVICTUS"&amp;"|"&amp;MAX(1,ROUND(COUNTIFS(MASTER!$B$4:$B$1463,"INVICTUS",MASTER!$L$4:$L$1463,"&lt;&gt;")*$A118*100/100,0)),MASTER!$AI$4:$AI$1463,0))="",NA(),INDEX(MASTER!$L$4:$L$1463,MATCH("INVICTUS"&amp;"|"&amp;MAX(1,ROUND(COUNTIFS(MASTER!$B$4:$B$1463,"INVICTUS",MASTER!$L$4:$L$1463,"&lt;&gt;")*$A118*100/100,0)),MASTER!$AI$4:$AI$1463,0))),NA()))))</f>
        <v>2742</v>
      </c>
      <c r="K118" s="37">
        <f>IF($B$4="RESONANCE",IFERROR(IF(INDEX(MASTER!$I$4:$I$1463,MATCH("EMERALD LEAF TRIBE"&amp;"|"&amp;MAX(1,ROUND(COUNTIFS(MASTER!$B$4:$B$1463,"EMERALD LEAF TRIBE",MASTER!$I$4:$I$1463,"&lt;&gt;")*$A118*100/100,0)),MASTER!$Y$4:$Y$1463,0))="",NA(),INDEX(MASTER!$I$4:$I$1463,MATCH("EMERALD LEAF TRIBE"&amp;"|"&amp;MAX(1,ROUND(COUNTIFS(MASTER!$B$4:$B$1463,"EMERALD LEAF TRIBE",MASTER!$I$4:$I$1463,"&lt;&gt;")*$A118*100/100,0)),MASTER!$Y$4:$Y$1463,0))),NA()),IF($B$4="COMBAT RATING",IFERROR(IF(INDEX(MASTER!$G$4:$G$1463,MATCH("EMERALD LEAF TRIBE"&amp;"|"&amp;MAX(1,ROUND(COUNTIFS(MASTER!$B$4:$B$1463,"EMERALD LEAF TRIBE",MASTER!$G$4:$G$1463,"&lt;&gt;")*$A118*100/100,0)),MASTER!$AH$4:$AH$1463,0))="",NA(),INDEX(MASTER!$G$4:$G$1463,MATCH("EMERALD LEAF TRIBE"&amp;"|"&amp;MAX(1,ROUND(COUNTIFS(MASTER!$B$4:$B$1463,"EMERALD LEAF TRIBE",MASTER!$G$4:$G$1463,"&lt;&gt;")*$A118*100/100,0)),MASTER!$AH$4:$AH$1463,0))),NA()),IF($B$4="SECONDARY",IFERROR(IF(INDEX(MASTER!$L$4:$L$1463,MATCH("EMERALD LEAF TRIBE"&amp;"|"&amp;MAX(1,ROUND(COUNTIFS(MASTER!$B$4:$B$1463,"EMERALD LEAF TRIBE",MASTER!$L$4:$L$1463,"&lt;&gt;")*$A118*100/100,0)),MASTER!$AI$4:$AI$1463,0))="",NA(),INDEX(MASTER!$L$4:$L$1463,MATCH("EMERALD LEAF TRIBE"&amp;"|"&amp;MAX(1,ROUND(COUNTIFS(MASTER!$B$4:$B$1463,"EMERALD LEAF TRIBE",MASTER!$L$4:$L$1463,"&lt;&gt;")*$A118*100/100,0)),MASTER!$AI$4:$AI$1463,0))),NA()))))</f>
        <v>1740</v>
      </c>
      <c r="L118" s="37">
        <f>IF($B$4="RESONANCE",IFERROR(IF(INDEX(MASTER!$I$4:$I$1463,MATCH("SUB ROSA"&amp;"|"&amp;MAX(1,ROUND(COUNTIFS(MASTER!$B$4:$B$1463,"SUB ROSA",MASTER!$I$4:$I$1463,"&lt;&gt;")*$A118*100/100,0)),MASTER!$Y$4:$Y$1463,0))="",NA(),INDEX(MASTER!$I$4:$I$1463,MATCH("SUB ROSA"&amp;"|"&amp;MAX(1,ROUND(COUNTIFS(MASTER!$B$4:$B$1463,"SUB ROSA",MASTER!$I$4:$I$1463,"&lt;&gt;")*$A118*100/100,0)),MASTER!$Y$4:$Y$1463,0))),NA()),IF($B$4="COMBAT RATING",IFERROR(IF(INDEX(MASTER!$G$4:$G$1463,MATCH("SUB ROSA"&amp;"|"&amp;MAX(1,ROUND(COUNTIFS(MASTER!$B$4:$B$1463,"SUB ROSA",MASTER!$G$4:$G$1463,"&lt;&gt;")*$A118*100/100,0)),MASTER!$AH$4:$AH$1463,0))="",NA(),INDEX(MASTER!$G$4:$G$1463,MATCH("SUB ROSA"&amp;"|"&amp;MAX(1,ROUND(COUNTIFS(MASTER!$B$4:$B$1463,"SUB ROSA",MASTER!$G$4:$G$1463,"&lt;&gt;")*$A118*100/100,0)),MASTER!$AH$4:$AH$1463,0))),NA()),IF($B$4="SECONDARY",IFERROR(IF(INDEX(MASTER!$L$4:$L$1463,MATCH("SUB ROSA"&amp;"|"&amp;MAX(1,ROUND(COUNTIFS(MASTER!$B$4:$B$1463,"SUB ROSA",MASTER!$L$4:$L$1463,"&lt;&gt;")*$A118*100/100,0)),MASTER!$AI$4:$AI$1463,0))="",NA(),INDEX(MASTER!$L$4:$L$1463,MATCH("SUB ROSA"&amp;"|"&amp;MAX(1,ROUND(COUNTIFS(MASTER!$B$4:$B$1463,"SUB ROSA",MASTER!$L$4:$L$1463,"&lt;&gt;")*$A118*100/100,0)),MASTER!$AI$4:$AI$1463,0))),NA()))))</f>
        <v>2100</v>
      </c>
      <c r="M118" s="37">
        <f>IF($B$4="RESONANCE",IFERROR(IF(INDEX(MASTER!$I$4:$I$1463,MATCH("VENGEANCE"&amp;"|"&amp;MAX(1,ROUND(COUNTIFS(MASTER!$B$4:$B$1463,"VENGEANCE",MASTER!$I$4:$I$1463,"&lt;&gt;")*$A118*100/100,0)),MASTER!$Y$4:$Y$1463,0))="",NA(),INDEX(MASTER!$I$4:$I$1463,MATCH("VENGEANCE"&amp;"|"&amp;MAX(1,ROUND(COUNTIFS(MASTER!$B$4:$B$1463,"VENGEANCE",MASTER!$I$4:$I$1463,"&lt;&gt;")*$A118*100/100,0)),MASTER!$Y$4:$Y$1463,0))),NA()),IF($B$4="COMBAT RATING",IFERROR(IF(INDEX(MASTER!$G$4:$G$1463,MATCH("VENGEANCE"&amp;"|"&amp;MAX(1,ROUND(COUNTIFS(MASTER!$B$4:$B$1463,"VENGEANCE",MASTER!$G$4:$G$1463,"&lt;&gt;")*$A118*100/100,0)),MASTER!$AH$4:$AH$1463,0))="",NA(),INDEX(MASTER!$G$4:$G$1463,MATCH("VENGEANCE"&amp;"|"&amp;MAX(1,ROUND(COUNTIFS(MASTER!$B$4:$B$1463,"VENGEANCE",MASTER!$G$4:$G$1463,"&lt;&gt;")*$A118*100/100,0)),MASTER!$AH$4:$AH$1463,0))),NA()),IF($B$4="SECONDARY",IFERROR(IF(INDEX(MASTER!$L$4:$L$1463,MATCH("VENGEANCE"&amp;"|"&amp;MAX(1,ROUND(COUNTIFS(MASTER!$B$4:$B$1463,"VENGEANCE",MASTER!$L$4:$L$1463,"&lt;&gt;")*$A118*100/100,0)),MASTER!$AI$4:$AI$1463,0))="",NA(),INDEX(MASTER!$L$4:$L$1463,MATCH("VENGEANCE"&amp;"|"&amp;MAX(1,ROUND(COUNTIFS(MASTER!$B$4:$B$1463,"VENGEANCE",MASTER!$L$4:$L$1463,"&lt;&gt;")*$A118*100/100,0)),MASTER!$AI$4:$AI$1463,0))),NA()))))</f>
        <v>2977</v>
      </c>
      <c r="N118" s="37">
        <f>IF($B$4="RESONANCE",IFERROR(IF(INDEX(MASTER!$I$4:$I$1463,MATCH("VENDETTA"&amp;"|"&amp;MAX(1,ROUND(COUNTIFS(MASTER!$B$4:$B$1463,"VENDETTA",MASTER!$I$4:$I$1463,"&lt;&gt;")*$A118*100/100,0)),MASTER!$Y$4:$Y$1463,0))="",NA(),INDEX(MASTER!$I$4:$I$1463,MATCH("VENDETTA"&amp;"|"&amp;MAX(1,ROUND(COUNTIFS(MASTER!$B$4:$B$1463,"VENDETTA",MASTER!$I$4:$I$1463,"&lt;&gt;")*$A118*100/100,0)),MASTER!$Y$4:$Y$1463,0))),NA()),IF($B$4="COMBAT RATING",IFERROR(IF(INDEX(MASTER!$G$4:$G$1463,MATCH("VENDETTA"&amp;"|"&amp;MAX(1,ROUND(COUNTIFS(MASTER!$B$4:$B$1463,"VENDETTA",MASTER!$G$4:$G$1463,"&lt;&gt;")*$A118*100/100,0)),MASTER!$AH$4:$AH$1463,0))="",NA(),INDEX(MASTER!$G$4:$G$1463,MATCH("VENDETTA"&amp;"|"&amp;MAX(1,ROUND(COUNTIFS(MASTER!$B$4:$B$1463,"VENDETTA",MASTER!$G$4:$G$1463,"&lt;&gt;")*$A118*100/100,0)),MASTER!$AH$4:$AH$1463,0))),NA()),IF($B$4="SECONDARY",IFERROR(IF(INDEX(MASTER!$L$4:$L$1463,MATCH("VENDETTA"&amp;"|"&amp;MAX(1,ROUND(COUNTIFS(MASTER!$B$4:$B$1463,"VENDETTA",MASTER!$L$4:$L$1463,"&lt;&gt;")*$A118*100/100,0)),MASTER!$AI$4:$AI$1463,0))="",NA(),INDEX(MASTER!$L$4:$L$1463,MATCH("VENDETTA"&amp;"|"&amp;MAX(1,ROUND(COUNTIFS(MASTER!$B$4:$B$1463,"VENDETTA",MASTER!$L$4:$L$1463,"&lt;&gt;")*$A118*100/100,0)),MASTER!$AI$4:$AI$1463,0))),NA()))))</f>
        <v>1680</v>
      </c>
      <c r="O118" s="37">
        <f>IF($B$4="RESONANCE",IFERROR(IF(INDEX(MASTER!$I$4:$I$1463,MATCH("ZOMBIES"&amp;"|"&amp;MAX(1,ROUND(COUNTIFS(MASTER!$B$4:$B$1463,"ZOMBIES",MASTER!$I$4:$I$1463,"&lt;&gt;")*$A118*100/100,0)),MASTER!$Y$4:$Y$1463,0))="",NA(),INDEX(MASTER!$I$4:$I$1463,MATCH("ZOMBIES"&amp;"|"&amp;MAX(1,ROUND(COUNTIFS(MASTER!$B$4:$B$1463,"ZOMBIES",MASTER!$I$4:$I$1463,"&lt;&gt;")*$A118*100/100,0)),MASTER!$Y$4:$Y$1463,0))),NA()),IF($B$4="COMBAT RATING",IFERROR(IF(INDEX(MASTER!$G$4:$G$1463,MATCH("ZOMBIES"&amp;"|"&amp;MAX(1,ROUND(COUNTIFS(MASTER!$B$4:$B$1463,"ZOMBIES",MASTER!$G$4:$G$1463,"&lt;&gt;")*$A118*100/100,0)),MASTER!$AH$4:$AH$1463,0))="",NA(),INDEX(MASTER!$G$4:$G$1463,MATCH("ZOMBIES"&amp;"|"&amp;MAX(1,ROUND(COUNTIFS(MASTER!$B$4:$B$1463,"ZOMBIES",MASTER!$G$4:$G$1463,"&lt;&gt;")*$A118*100/100,0)),MASTER!$AH$4:$AH$1463,0))),NA()),IF($B$4="SECONDARY",IFERROR(IF(INDEX(MASTER!$L$4:$L$1463,MATCH("ZOMBIES"&amp;"|"&amp;MAX(1,ROUND(COUNTIFS(MASTER!$B$4:$B$1463,"ZOMBIES",MASTER!$L$4:$L$1463,"&lt;&gt;")*$A118*100/100,0)),MASTER!$AI$4:$AI$1463,0))="",NA(),INDEX(MASTER!$L$4:$L$1463,MATCH("ZOMBIES"&amp;"|"&amp;MAX(1,ROUND(COUNTIFS(MASTER!$B$4:$B$1463,"ZOMBIES",MASTER!$L$4:$L$1463,"&lt;&gt;")*$A118*100/100,0)),MASTER!$AI$4:$AI$1463,0))),NA()))))</f>
        <v>1420</v>
      </c>
      <c r="P118" s="37">
        <f>IF($B$4="RESONANCE",IFERROR(IF(INDEX(MASTER!$I$4:$I$1463,MATCH("FUCT"&amp;"|"&amp;MAX(1,ROUND(COUNTIFS(MASTER!$B$4:$B$1463,"FUCT",MASTER!$I$4:$I$1463,"&lt;&gt;")*$A118*100/100,0)),MASTER!$Y$4:$Y$1463,0))="",NA(),INDEX(MASTER!$I$4:$I$1463,MATCH("FUCT"&amp;"|"&amp;MAX(1,ROUND(COUNTIFS(MASTER!$B$4:$B$1463,"FUCT",MASTER!$I$4:$I$1463,"&lt;&gt;")*$A118*100/100,0)),MASTER!$Y$4:$Y$1463,0))),NA()),IF($B$4="COMBAT RATING",IFERROR(IF(INDEX(MASTER!$G$4:$G$1463,MATCH("FUCT"&amp;"|"&amp;MAX(1,ROUND(COUNTIFS(MASTER!$B$4:$B$1463,"FUCT",MASTER!$G$4:$G$1463,"&lt;&gt;")*$A118*100/100,0)),MASTER!$AH$4:$AH$1463,0))="",NA(),INDEX(MASTER!$G$4:$G$1463,MATCH("FUCT"&amp;"|"&amp;MAX(1,ROUND(COUNTIFS(MASTER!$B$4:$B$1463,"FUCT",MASTER!$G$4:$G$1463,"&lt;&gt;")*$A118*100/100,0)),MASTER!$AH$4:$AH$1463,0))),NA()),IF($B$4="SECONDARY",IFERROR(IF(INDEX(MASTER!$L$4:$L$1463,MATCH("FUCT"&amp;"|"&amp;MAX(1,ROUND(COUNTIFS(MASTER!$B$4:$B$1463,"FUCT",MASTER!$L$4:$L$1463,"&lt;&gt;")*$A118*100/100,0)),MASTER!$AI$4:$AI$1463,0))="",NA(),INDEX(MASTER!$L$4:$L$1463,MATCH("FUCT"&amp;"|"&amp;MAX(1,ROUND(COUNTIFS(MASTER!$B$4:$B$1463,"FUCT",MASTER!$L$4:$L$1463,"&lt;&gt;")*$A118*100/100,0)),MASTER!$AI$4:$AI$1463,0))),NA()))))</f>
        <v>3958</v>
      </c>
      <c r="Q118" s="37">
        <f>IF($B$4="RESONANCE",IFERROR(IF(INDEX(MASTER!$I$4:$I$1463,MATCH($E$4&amp;"|"&amp;MAX(1,ROUND(COUNTIFS(MASTER!$B$4:$B$1463,$E$4,MASTER!$I$4:$I$1463,"&lt;&gt;")*$A118*100/100,0)),MASTER!$Y$4:$Y$1463,0))="",NA(),INDEX(MASTER!$I$4:$I$1463,MATCH($E$4&amp;"|"&amp;MAX(1,ROUND(COUNTIFS(MASTER!$B$4:$B$1463,$E$4,MASTER!$I$4:$I$1463,"&lt;&gt;")*$A118*100/100,0)),MASTER!$Y$4:$Y$1463,0))),NA()),IF($B$4="COMBAT RATING",IFERROR(IF(INDEX(MASTER!$G$4:$G$1463,MATCH($E$4&amp;"|"&amp;MAX(1,ROUND(COUNTIFS(MASTER!$B$4:$B$1463,$E$4,MASTER!$G$4:$G$1463,"&lt;&gt;")*$A118*100/100,0)),MASTER!$AH$4:$AH$1463,0))="",NA(),INDEX(MASTER!$G$4:$G$1463,MATCH($E$4&amp;"|"&amp;MAX(1,ROUND(COUNTIFS(MASTER!$B$4:$B$1463,$E$4,MASTER!$G$4:$G$1463,"&lt;&gt;")*$A118*100/100,0)),MASTER!$AH$4:$AH$1463,0))),NA()),IF($B$4="SECONDARY",IFERROR(IF(INDEX(MASTER!$L$4:$L$1463,MATCH($E$4&amp;"|"&amp;MAX(1,ROUND(COUNTIFS(MASTER!$B$4:$B$1463,$E$4,MASTER!$L$4:$L$1463,"&lt;&gt;")*$A118*100/100,0)),MASTER!$AI$4:$AI$1463,0))="",NA(),INDEX(MASTER!$L$4:$L$1463,MATCH($E$4&amp;"|"&amp;MAX(1,ROUND(COUNTIFS(MASTER!$B$4:$B$1463,$E$4,MASTER!$L$4:$L$1463,"&lt;&gt;")*$A118*100/100,0)),MASTER!$AI$4:$AI$1463,0))),NA()))))</f>
        <v>3678</v>
      </c>
    </row>
    <row r="119" spans="1:17" hidden="1">
      <c r="A119" s="36">
        <v>0.64</v>
      </c>
      <c r="B119" s="37">
        <f>IF($B$4="RESONANCE",IFERROR(IF(INDEX(MASTER!$I$4:$I$1463,MATCH("FUCT"&amp;"|"&amp;MAX(1,ROUND(COUNTIFS(MASTER!$B$4:$B$1463,"FUCT",MASTER!$I$4:$I$1463,"&lt;&gt;")*$A119*100/100,0)),MASTER!$Y$4:$Y$1463,0))="",NA(),INDEX(MASTER!$I$4:$I$1463,MATCH("FUCT"&amp;"|"&amp;MAX(1,ROUND(COUNTIFS(MASTER!$B$4:$B$1463,"FUCT",MASTER!$I$4:$I$1463,"&lt;&gt;")*$A119*100/100,0)),MASTER!$Y$4:$Y$1463,0))),NA()),IF($B$4="COMBAT RATING",IFERROR(IF(INDEX(MASTER!$G$4:$G$1463,MATCH("FUCT"&amp;"|"&amp;MAX(1,ROUND(COUNTIFS(MASTER!$B$4:$B$1463,"FUCT",MASTER!$G$4:$G$1463,"&lt;&gt;")*$A119*100/100,0)),MASTER!$AH$4:$AH$1463,0))="",NA(),INDEX(MASTER!$G$4:$G$1463,MATCH("FUCT"&amp;"|"&amp;MAX(1,ROUND(COUNTIFS(MASTER!$B$4:$B$1463,"FUCT",MASTER!$G$4:$G$1463,"&lt;&gt;")*$A119*100/100,0)),MASTER!$AH$4:$AH$1463,0))),NA()),IF($B$4="SECONDARY",IFERROR(IF(INDEX(MASTER!$L$4:$L$1463,MATCH("FUCT"&amp;"|"&amp;MAX(1,ROUND(COUNTIFS(MASTER!$B$4:$B$1463,"FUCT",MASTER!$L$4:$L$1463,"&lt;&gt;")*$A119*100/100,0)),MASTER!$AI$4:$AI$1463,0))="",NA(),INDEX(MASTER!$L$4:$L$1463,MATCH("FUCT"&amp;"|"&amp;MAX(1,ROUND(COUNTIFS(MASTER!$B$4:$B$1463,"FUCT",MASTER!$L$4:$L$1463,"&lt;&gt;")*$A119*100/100,0)),MASTER!$AI$4:$AI$1463,0))),NA()))))</f>
        <v>3948</v>
      </c>
      <c r="C119" s="37">
        <f>IF($B$4="RESONANCE",IFERROR(IF(INDEX(MASTER!$I$4:$I$1463,MATCH("LEGENDS"&amp;"|"&amp;MAX(1,ROUND(COUNTIFS(MASTER!$B$4:$B$1463,"LEGENDS",MASTER!$I$4:$I$1463,"&lt;&gt;")*$A119*100/100,0)),MASTER!$Y$4:$Y$1463,0))="",NA(),INDEX(MASTER!$I$4:$I$1463,MATCH("LEGENDS"&amp;"|"&amp;MAX(1,ROUND(COUNTIFS(MASTER!$B$4:$B$1463,"LEGENDS",MASTER!$I$4:$I$1463,"&lt;&gt;")*$A119*100/100,0)),MASTER!$Y$4:$Y$1463,0))),NA()),IF($B$4="COMBAT RATING",IFERROR(IF(INDEX(MASTER!$G$4:$G$1463,MATCH("LEGENDS"&amp;"|"&amp;MAX(1,ROUND(COUNTIFS(MASTER!$B$4:$B$1463,"LEGENDS",MASTER!$G$4:$G$1463,"&lt;&gt;")*$A119*100/100,0)),MASTER!$AH$4:$AH$1463,0))="",NA(),INDEX(MASTER!$G$4:$G$1463,MATCH("LEGENDS"&amp;"|"&amp;MAX(1,ROUND(COUNTIFS(MASTER!$B$4:$B$1463,"LEGENDS",MASTER!$G$4:$G$1463,"&lt;&gt;")*$A119*100/100,0)),MASTER!$AH$4:$AH$1463,0))),NA()),IF($B$4="SECONDARY",IFERROR(IF(INDEX(MASTER!$L$4:$L$1463,MATCH("LEGENDS"&amp;"|"&amp;MAX(1,ROUND(COUNTIFS(MASTER!$B$4:$B$1463,"LEGENDS",MASTER!$L$4:$L$1463,"&lt;&gt;")*$A119*100/100,0)),MASTER!$AI$4:$AI$1463,0))="",NA(),INDEX(MASTER!$L$4:$L$1463,MATCH("LEGENDS"&amp;"|"&amp;MAX(1,ROUND(COUNTIFS(MASTER!$B$4:$B$1463,"LEGENDS",MASTER!$L$4:$L$1463,"&lt;&gt;")*$A119*100/100,0)),MASTER!$AI$4:$AI$1463,0))),NA()))))</f>
        <v>4549</v>
      </c>
      <c r="D119" s="37">
        <f>IF($B$4="RESONANCE",IFERROR(IF(INDEX(MASTER!$I$4:$I$1463,MATCH("VANGUARD"&amp;"|"&amp;MAX(1,ROUND(COUNTIFS(MASTER!$B$4:$B$1463,"VANGUARD",MASTER!$I$4:$I$1463,"&lt;&gt;")*$A119*100/100,0)),MASTER!$Y$4:$Y$1463,0))="",NA(),INDEX(MASTER!$I$4:$I$1463,MATCH("VANGUARD"&amp;"|"&amp;MAX(1,ROUND(COUNTIFS(MASTER!$B$4:$B$1463,"VANGUARD",MASTER!$I$4:$I$1463,"&lt;&gt;")*$A119*100/100,0)),MASTER!$Y$4:$Y$1463,0))),NA()),IF($B$4="COMBAT RATING",IFERROR(IF(INDEX(MASTER!$G$4:$G$1463,MATCH("VANGUARD"&amp;"|"&amp;MAX(1,ROUND(COUNTIFS(MASTER!$B$4:$B$1463,"VANGUARD",MASTER!$G$4:$G$1463,"&lt;&gt;")*$A119*100/100,0)),MASTER!$AH$4:$AH$1463,0))="",NA(),INDEX(MASTER!$G$4:$G$1463,MATCH("VANGUARD"&amp;"|"&amp;MAX(1,ROUND(COUNTIFS(MASTER!$B$4:$B$1463,"VANGUARD",MASTER!$G$4:$G$1463,"&lt;&gt;")*$A119*100/100,0)),MASTER!$AH$4:$AH$1463,0))),NA()),IF($B$4="SECONDARY",IFERROR(IF(INDEX(MASTER!$L$4:$L$1463,MATCH("VANGUARD"&amp;"|"&amp;MAX(1,ROUND(COUNTIFS(MASTER!$B$4:$B$1463,"VANGUARD",MASTER!$L$4:$L$1463,"&lt;&gt;")*$A119*100/100,0)),MASTER!$AI$4:$AI$1463,0))="",NA(),INDEX(MASTER!$L$4:$L$1463,MATCH("VANGUARD"&amp;"|"&amp;MAX(1,ROUND(COUNTIFS(MASTER!$B$4:$B$1463,"VANGUARD",MASTER!$L$4:$L$1463,"&lt;&gt;")*$A119*100/100,0)),MASTER!$AI$4:$AI$1463,0))),NA()))))</f>
        <v>5544</v>
      </c>
      <c r="E119" s="37">
        <f>IF($B$4="RESONANCE",IFERROR(IF(INDEX(MASTER!$I$4:$I$1463,MATCH("UNDYING"&amp;"|"&amp;MAX(1,ROUND(COUNTIFS(MASTER!$B$4:$B$1463,"UNDYING",MASTER!$I$4:$I$1463,"&lt;&gt;")*$A119*100/100,0)),MASTER!$Y$4:$Y$1463,0))="",NA(),INDEX(MASTER!$I$4:$I$1463,MATCH("UNDYING"&amp;"|"&amp;MAX(1,ROUND(COUNTIFS(MASTER!$B$4:$B$1463,"UNDYING",MASTER!$I$4:$I$1463,"&lt;&gt;")*$A119*100/100,0)),MASTER!$Y$4:$Y$1463,0))),NA()),IF($B$4="COMBAT RATING",IFERROR(IF(INDEX(MASTER!$G$4:$G$1463,MATCH("UNDYING"&amp;"|"&amp;MAX(1,ROUND(COUNTIFS(MASTER!$B$4:$B$1463,"UNDYING",MASTER!$G$4:$G$1463,"&lt;&gt;")*$A119*100/100,0)),MASTER!$AH$4:$AH$1463,0))="",NA(),INDEX(MASTER!$G$4:$G$1463,MATCH("UNDYING"&amp;"|"&amp;MAX(1,ROUND(COUNTIFS(MASTER!$B$4:$B$1463,"UNDYING",MASTER!$G$4:$G$1463,"&lt;&gt;")*$A119*100/100,0)),MASTER!$AH$4:$AH$1463,0))),NA()),IF($B$4="SECONDARY",IFERROR(IF(INDEX(MASTER!$L$4:$L$1463,MATCH("UNDYING"&amp;"|"&amp;MAX(1,ROUND(COUNTIFS(MASTER!$B$4:$B$1463,"UNDYING",MASTER!$L$4:$L$1463,"&lt;&gt;")*$A119*100/100,0)),MASTER!$AI$4:$AI$1463,0))="",NA(),INDEX(MASTER!$L$4:$L$1463,MATCH("UNDYING"&amp;"|"&amp;MAX(1,ROUND(COUNTIFS(MASTER!$B$4:$B$1463,"UNDYING",MASTER!$L$4:$L$1463,"&lt;&gt;")*$A119*100/100,0)),MASTER!$AI$4:$AI$1463,0))),NA()))))</f>
        <v>3670</v>
      </c>
      <c r="F119" s="37">
        <f>IF($B$4="RESONANCE",IFERROR(IF(INDEX(MASTER!$I$4:$I$1463,MATCH("SBG"&amp;"|"&amp;MAX(1,ROUND(COUNTIFS(MASTER!$B$4:$B$1463,"SBG",MASTER!$I$4:$I$1463,"&lt;&gt;")*$A119*100/100,0)),MASTER!$Y$4:$Y$1463,0))="",NA(),INDEX(MASTER!$I$4:$I$1463,MATCH("SBG"&amp;"|"&amp;MAX(1,ROUND(COUNTIFS(MASTER!$B$4:$B$1463,"SBG",MASTER!$I$4:$I$1463,"&lt;&gt;")*$A119*100/100,0)),MASTER!$Y$4:$Y$1463,0))),NA()),IF($B$4="COMBAT RATING",IFERROR(IF(INDEX(MASTER!$G$4:$G$1463,MATCH("SBG"&amp;"|"&amp;MAX(1,ROUND(COUNTIFS(MASTER!$B$4:$B$1463,"SBG",MASTER!$G$4:$G$1463,"&lt;&gt;")*$A119*100/100,0)),MASTER!$AH$4:$AH$1463,0))="",NA(),INDEX(MASTER!$G$4:$G$1463,MATCH("SBG"&amp;"|"&amp;MAX(1,ROUND(COUNTIFS(MASTER!$B$4:$B$1463,"SBG",MASTER!$G$4:$G$1463,"&lt;&gt;")*$A119*100/100,0)),MASTER!$AH$4:$AH$1463,0))),NA()),IF($B$4="SECONDARY",IFERROR(IF(INDEX(MASTER!$L$4:$L$1463,MATCH("SBG"&amp;"|"&amp;MAX(1,ROUND(COUNTIFS(MASTER!$B$4:$B$1463,"SBG",MASTER!$L$4:$L$1463,"&lt;&gt;")*$A119*100/100,0)),MASTER!$AI$4:$AI$1463,0))="",NA(),INDEX(MASTER!$L$4:$L$1463,MATCH("SBG"&amp;"|"&amp;MAX(1,ROUND(COUNTIFS(MASTER!$B$4:$B$1463,"SBG",MASTER!$L$4:$L$1463,"&lt;&gt;")*$A119*100/100,0)),MASTER!$AI$4:$AI$1463,0))),NA()))))</f>
        <v>4549</v>
      </c>
      <c r="G119" s="37">
        <f>IF($B$4="RESONANCE",IFERROR(IF(INDEX(MASTER!$I$4:$I$1463,MATCH("AZUKI"&amp;"|"&amp;MAX(1,ROUND(COUNTIFS(MASTER!$B$4:$B$1463,"AZUKI",MASTER!$I$4:$I$1463,"&lt;&gt;")*$A119*100/100,0)),MASTER!$Y$4:$Y$1463,0))="",NA(),INDEX(MASTER!$I$4:$I$1463,MATCH("AZUKI"&amp;"|"&amp;MAX(1,ROUND(COUNTIFS(MASTER!$B$4:$B$1463,"AZUKI",MASTER!$I$4:$I$1463,"&lt;&gt;")*$A119*100/100,0)),MASTER!$Y$4:$Y$1463,0))),NA()),IF($B$4="COMBAT RATING",IFERROR(IF(INDEX(MASTER!$G$4:$G$1463,MATCH("AZUKI"&amp;"|"&amp;MAX(1,ROUND(COUNTIFS(MASTER!$B$4:$B$1463,"AZUKI",MASTER!$G$4:$G$1463,"&lt;&gt;")*$A119*100/100,0)),MASTER!$AH$4:$AH$1463,0))="",NA(),INDEX(MASTER!$G$4:$G$1463,MATCH("AZUKI"&amp;"|"&amp;MAX(1,ROUND(COUNTIFS(MASTER!$B$4:$B$1463,"AZUKI",MASTER!$G$4:$G$1463,"&lt;&gt;")*$A119*100/100,0)),MASTER!$AH$4:$AH$1463,0))),NA()),IF($B$4="SECONDARY",IFERROR(IF(INDEX(MASTER!$L$4:$L$1463,MATCH("AZUKI"&amp;"|"&amp;MAX(1,ROUND(COUNTIFS(MASTER!$B$4:$B$1463,"AZUKI",MASTER!$L$4:$L$1463,"&lt;&gt;")*$A119*100/100,0)),MASTER!$AI$4:$AI$1463,0))="",NA(),INDEX(MASTER!$L$4:$L$1463,MATCH("AZUKI"&amp;"|"&amp;MAX(1,ROUND(COUNTIFS(MASTER!$B$4:$B$1463,"AZUKI",MASTER!$L$4:$L$1463,"&lt;&gt;")*$A119*100/100,0)),MASTER!$AI$4:$AI$1463,0))),NA()))))</f>
        <v>3860</v>
      </c>
      <c r="H119" s="37">
        <f>IF($B$4="RESONANCE",IFERROR(IF(INDEX(MASTER!$I$4:$I$1463,MATCH("RECKONING"&amp;"|"&amp;MAX(1,ROUND(COUNTIFS(MASTER!$B$4:$B$1463,"RECKONING",MASTER!$I$4:$I$1463,"&lt;&gt;")*$A119*100/100,0)),MASTER!$Y$4:$Y$1463,0))="",NA(),INDEX(MASTER!$I$4:$I$1463,MATCH("RECKONING"&amp;"|"&amp;MAX(1,ROUND(COUNTIFS(MASTER!$B$4:$B$1463,"RECKONING",MASTER!$I$4:$I$1463,"&lt;&gt;")*$A119*100/100,0)),MASTER!$Y$4:$Y$1463,0))),NA()),IF($B$4="COMBAT RATING",IFERROR(IF(INDEX(MASTER!$G$4:$G$1463,MATCH("RECKONING"&amp;"|"&amp;MAX(1,ROUND(COUNTIFS(MASTER!$B$4:$B$1463,"RECKONING",MASTER!$G$4:$G$1463,"&lt;&gt;")*$A119*100/100,0)),MASTER!$AH$4:$AH$1463,0))="",NA(),INDEX(MASTER!$G$4:$G$1463,MATCH("RECKONING"&amp;"|"&amp;MAX(1,ROUND(COUNTIFS(MASTER!$B$4:$B$1463,"RECKONING",MASTER!$G$4:$G$1463,"&lt;&gt;")*$A119*100/100,0)),MASTER!$AH$4:$AH$1463,0))),NA()),IF($B$4="SECONDARY",IFERROR(IF(INDEX(MASTER!$L$4:$L$1463,MATCH("RECKONING"&amp;"|"&amp;MAX(1,ROUND(COUNTIFS(MASTER!$B$4:$B$1463,"RECKONING",MASTER!$L$4:$L$1463,"&lt;&gt;")*$A119*100/100,0)),MASTER!$AI$4:$AI$1463,0))="",NA(),INDEX(MASTER!$L$4:$L$1463,MATCH("RECKONING"&amp;"|"&amp;MAX(1,ROUND(COUNTIFS(MASTER!$B$4:$B$1463,"RECKONING",MASTER!$L$4:$L$1463,"&lt;&gt;")*$A119*100/100,0)),MASTER!$AI$4:$AI$1463,0))),NA()))))</f>
        <v>4031</v>
      </c>
      <c r="I119" s="37">
        <f>IF($B$4="RESONANCE",IFERROR(IF(INDEX(MASTER!$I$4:$I$1463,MATCH("ACHERON"&amp;"|"&amp;MAX(1,ROUND(COUNTIFS(MASTER!$B$4:$B$1463,"ACHERON",MASTER!$I$4:$I$1463,"&lt;&gt;")*$A119*100/100,0)),MASTER!$Y$4:$Y$1463,0))="",NA(),INDEX(MASTER!$I$4:$I$1463,MATCH("ACHERON"&amp;"|"&amp;MAX(1,ROUND(COUNTIFS(MASTER!$B$4:$B$1463,"ACHERON",MASTER!$I$4:$I$1463,"&lt;&gt;")*$A119*100/100,0)),MASTER!$Y$4:$Y$1463,0))),NA()),IF($B$4="COMBAT RATING",IFERROR(IF(INDEX(MASTER!$G$4:$G$1463,MATCH("ACHERON"&amp;"|"&amp;MAX(1,ROUND(COUNTIFS(MASTER!$B$4:$B$1463,"ACHERON",MASTER!$G$4:$G$1463,"&lt;&gt;")*$A119*100/100,0)),MASTER!$AH$4:$AH$1463,0))="",NA(),INDEX(MASTER!$G$4:$G$1463,MATCH("ACHERON"&amp;"|"&amp;MAX(1,ROUND(COUNTIFS(MASTER!$B$4:$B$1463,"ACHERON",MASTER!$G$4:$G$1463,"&lt;&gt;")*$A119*100/100,0)),MASTER!$AH$4:$AH$1463,0))),NA()),IF($B$4="SECONDARY",IFERROR(IF(INDEX(MASTER!$L$4:$L$1463,MATCH("ACHERON"&amp;"|"&amp;MAX(1,ROUND(COUNTIFS(MASTER!$B$4:$B$1463,"ACHERON",MASTER!$L$4:$L$1463,"&lt;&gt;")*$A119*100/100,0)),MASTER!$AI$4:$AI$1463,0))="",NA(),INDEX(MASTER!$L$4:$L$1463,MATCH("ACHERON"&amp;"|"&amp;MAX(1,ROUND(COUNTIFS(MASTER!$B$4:$B$1463,"ACHERON",MASTER!$L$4:$L$1463,"&lt;&gt;")*$A119*100/100,0)),MASTER!$AI$4:$AI$1463,0))),NA()))))</f>
        <v>3221</v>
      </c>
      <c r="J119" s="37">
        <f>IF($B$4="RESONANCE",IFERROR(IF(INDEX(MASTER!$I$4:$I$1463,MATCH("INVICTUS"&amp;"|"&amp;MAX(1,ROUND(COUNTIFS(MASTER!$B$4:$B$1463,"INVICTUS",MASTER!$I$4:$I$1463,"&lt;&gt;")*$A119*100/100,0)),MASTER!$Y$4:$Y$1463,0))="",NA(),INDEX(MASTER!$I$4:$I$1463,MATCH("INVICTUS"&amp;"|"&amp;MAX(1,ROUND(COUNTIFS(MASTER!$B$4:$B$1463,"INVICTUS",MASTER!$I$4:$I$1463,"&lt;&gt;")*$A119*100/100,0)),MASTER!$Y$4:$Y$1463,0))),NA()),IF($B$4="COMBAT RATING",IFERROR(IF(INDEX(MASTER!$G$4:$G$1463,MATCH("INVICTUS"&amp;"|"&amp;MAX(1,ROUND(COUNTIFS(MASTER!$B$4:$B$1463,"INVICTUS",MASTER!$G$4:$G$1463,"&lt;&gt;")*$A119*100/100,0)),MASTER!$AH$4:$AH$1463,0))="",NA(),INDEX(MASTER!$G$4:$G$1463,MATCH("INVICTUS"&amp;"|"&amp;MAX(1,ROUND(COUNTIFS(MASTER!$B$4:$B$1463,"INVICTUS",MASTER!$G$4:$G$1463,"&lt;&gt;")*$A119*100/100,0)),MASTER!$AH$4:$AH$1463,0))),NA()),IF($B$4="SECONDARY",IFERROR(IF(INDEX(MASTER!$L$4:$L$1463,MATCH("INVICTUS"&amp;"|"&amp;MAX(1,ROUND(COUNTIFS(MASTER!$B$4:$B$1463,"INVICTUS",MASTER!$L$4:$L$1463,"&lt;&gt;")*$A119*100/100,0)),MASTER!$AI$4:$AI$1463,0))="",NA(),INDEX(MASTER!$L$4:$L$1463,MATCH("INVICTUS"&amp;"|"&amp;MAX(1,ROUND(COUNTIFS(MASTER!$B$4:$B$1463,"INVICTUS",MASTER!$L$4:$L$1463,"&lt;&gt;")*$A119*100/100,0)),MASTER!$AI$4:$AI$1463,0))),NA()))))</f>
        <v>2688</v>
      </c>
      <c r="K119" s="37">
        <f>IF($B$4="RESONANCE",IFERROR(IF(INDEX(MASTER!$I$4:$I$1463,MATCH("EMERALD LEAF TRIBE"&amp;"|"&amp;MAX(1,ROUND(COUNTIFS(MASTER!$B$4:$B$1463,"EMERALD LEAF TRIBE",MASTER!$I$4:$I$1463,"&lt;&gt;")*$A119*100/100,0)),MASTER!$Y$4:$Y$1463,0))="",NA(),INDEX(MASTER!$I$4:$I$1463,MATCH("EMERALD LEAF TRIBE"&amp;"|"&amp;MAX(1,ROUND(COUNTIFS(MASTER!$B$4:$B$1463,"EMERALD LEAF TRIBE",MASTER!$I$4:$I$1463,"&lt;&gt;")*$A119*100/100,0)),MASTER!$Y$4:$Y$1463,0))),NA()),IF($B$4="COMBAT RATING",IFERROR(IF(INDEX(MASTER!$G$4:$G$1463,MATCH("EMERALD LEAF TRIBE"&amp;"|"&amp;MAX(1,ROUND(COUNTIFS(MASTER!$B$4:$B$1463,"EMERALD LEAF TRIBE",MASTER!$G$4:$G$1463,"&lt;&gt;")*$A119*100/100,0)),MASTER!$AH$4:$AH$1463,0))="",NA(),INDEX(MASTER!$G$4:$G$1463,MATCH("EMERALD LEAF TRIBE"&amp;"|"&amp;MAX(1,ROUND(COUNTIFS(MASTER!$B$4:$B$1463,"EMERALD LEAF TRIBE",MASTER!$G$4:$G$1463,"&lt;&gt;")*$A119*100/100,0)),MASTER!$AH$4:$AH$1463,0))),NA()),IF($B$4="SECONDARY",IFERROR(IF(INDEX(MASTER!$L$4:$L$1463,MATCH("EMERALD LEAF TRIBE"&amp;"|"&amp;MAX(1,ROUND(COUNTIFS(MASTER!$B$4:$B$1463,"EMERALD LEAF TRIBE",MASTER!$L$4:$L$1463,"&lt;&gt;")*$A119*100/100,0)),MASTER!$AI$4:$AI$1463,0))="",NA(),INDEX(MASTER!$L$4:$L$1463,MATCH("EMERALD LEAF TRIBE"&amp;"|"&amp;MAX(1,ROUND(COUNTIFS(MASTER!$B$4:$B$1463,"EMERALD LEAF TRIBE",MASTER!$L$4:$L$1463,"&lt;&gt;")*$A119*100/100,0)),MASTER!$AI$4:$AI$1463,0))),NA()))))</f>
        <v>1683</v>
      </c>
      <c r="L119" s="37">
        <f>IF($B$4="RESONANCE",IFERROR(IF(INDEX(MASTER!$I$4:$I$1463,MATCH("SUB ROSA"&amp;"|"&amp;MAX(1,ROUND(COUNTIFS(MASTER!$B$4:$B$1463,"SUB ROSA",MASTER!$I$4:$I$1463,"&lt;&gt;")*$A119*100/100,0)),MASTER!$Y$4:$Y$1463,0))="",NA(),INDEX(MASTER!$I$4:$I$1463,MATCH("SUB ROSA"&amp;"|"&amp;MAX(1,ROUND(COUNTIFS(MASTER!$B$4:$B$1463,"SUB ROSA",MASTER!$I$4:$I$1463,"&lt;&gt;")*$A119*100/100,0)),MASTER!$Y$4:$Y$1463,0))),NA()),IF($B$4="COMBAT RATING",IFERROR(IF(INDEX(MASTER!$G$4:$G$1463,MATCH("SUB ROSA"&amp;"|"&amp;MAX(1,ROUND(COUNTIFS(MASTER!$B$4:$B$1463,"SUB ROSA",MASTER!$G$4:$G$1463,"&lt;&gt;")*$A119*100/100,0)),MASTER!$AH$4:$AH$1463,0))="",NA(),INDEX(MASTER!$G$4:$G$1463,MATCH("SUB ROSA"&amp;"|"&amp;MAX(1,ROUND(COUNTIFS(MASTER!$B$4:$B$1463,"SUB ROSA",MASTER!$G$4:$G$1463,"&lt;&gt;")*$A119*100/100,0)),MASTER!$AH$4:$AH$1463,0))),NA()),IF($B$4="SECONDARY",IFERROR(IF(INDEX(MASTER!$L$4:$L$1463,MATCH("SUB ROSA"&amp;"|"&amp;MAX(1,ROUND(COUNTIFS(MASTER!$B$4:$B$1463,"SUB ROSA",MASTER!$L$4:$L$1463,"&lt;&gt;")*$A119*100/100,0)),MASTER!$AI$4:$AI$1463,0))="",NA(),INDEX(MASTER!$L$4:$L$1463,MATCH("SUB ROSA"&amp;"|"&amp;MAX(1,ROUND(COUNTIFS(MASTER!$B$4:$B$1463,"SUB ROSA",MASTER!$L$4:$L$1463,"&lt;&gt;")*$A119*100/100,0)),MASTER!$AI$4:$AI$1463,0))),NA()))))</f>
        <v>2057</v>
      </c>
      <c r="M119" s="37">
        <f>IF($B$4="RESONANCE",IFERROR(IF(INDEX(MASTER!$I$4:$I$1463,MATCH("VENGEANCE"&amp;"|"&amp;MAX(1,ROUND(COUNTIFS(MASTER!$B$4:$B$1463,"VENGEANCE",MASTER!$I$4:$I$1463,"&lt;&gt;")*$A119*100/100,0)),MASTER!$Y$4:$Y$1463,0))="",NA(),INDEX(MASTER!$I$4:$I$1463,MATCH("VENGEANCE"&amp;"|"&amp;MAX(1,ROUND(COUNTIFS(MASTER!$B$4:$B$1463,"VENGEANCE",MASTER!$I$4:$I$1463,"&lt;&gt;")*$A119*100/100,0)),MASTER!$Y$4:$Y$1463,0))),NA()),IF($B$4="COMBAT RATING",IFERROR(IF(INDEX(MASTER!$G$4:$G$1463,MATCH("VENGEANCE"&amp;"|"&amp;MAX(1,ROUND(COUNTIFS(MASTER!$B$4:$B$1463,"VENGEANCE",MASTER!$G$4:$G$1463,"&lt;&gt;")*$A119*100/100,0)),MASTER!$AH$4:$AH$1463,0))="",NA(),INDEX(MASTER!$G$4:$G$1463,MATCH("VENGEANCE"&amp;"|"&amp;MAX(1,ROUND(COUNTIFS(MASTER!$B$4:$B$1463,"VENGEANCE",MASTER!$G$4:$G$1463,"&lt;&gt;")*$A119*100/100,0)),MASTER!$AH$4:$AH$1463,0))),NA()),IF($B$4="SECONDARY",IFERROR(IF(INDEX(MASTER!$L$4:$L$1463,MATCH("VENGEANCE"&amp;"|"&amp;MAX(1,ROUND(COUNTIFS(MASTER!$B$4:$B$1463,"VENGEANCE",MASTER!$L$4:$L$1463,"&lt;&gt;")*$A119*100/100,0)),MASTER!$AI$4:$AI$1463,0))="",NA(),INDEX(MASTER!$L$4:$L$1463,MATCH("VENGEANCE"&amp;"|"&amp;MAX(1,ROUND(COUNTIFS(MASTER!$B$4:$B$1463,"VENGEANCE",MASTER!$L$4:$L$1463,"&lt;&gt;")*$A119*100/100,0)),MASTER!$AI$4:$AI$1463,0))),NA()))))</f>
        <v>2895</v>
      </c>
      <c r="N119" s="37">
        <f>IF($B$4="RESONANCE",IFERROR(IF(INDEX(MASTER!$I$4:$I$1463,MATCH("VENDETTA"&amp;"|"&amp;MAX(1,ROUND(COUNTIFS(MASTER!$B$4:$B$1463,"VENDETTA",MASTER!$I$4:$I$1463,"&lt;&gt;")*$A119*100/100,0)),MASTER!$Y$4:$Y$1463,0))="",NA(),INDEX(MASTER!$I$4:$I$1463,MATCH("VENDETTA"&amp;"|"&amp;MAX(1,ROUND(COUNTIFS(MASTER!$B$4:$B$1463,"VENDETTA",MASTER!$I$4:$I$1463,"&lt;&gt;")*$A119*100/100,0)),MASTER!$Y$4:$Y$1463,0))),NA()),IF($B$4="COMBAT RATING",IFERROR(IF(INDEX(MASTER!$G$4:$G$1463,MATCH("VENDETTA"&amp;"|"&amp;MAX(1,ROUND(COUNTIFS(MASTER!$B$4:$B$1463,"VENDETTA",MASTER!$G$4:$G$1463,"&lt;&gt;")*$A119*100/100,0)),MASTER!$AH$4:$AH$1463,0))="",NA(),INDEX(MASTER!$G$4:$G$1463,MATCH("VENDETTA"&amp;"|"&amp;MAX(1,ROUND(COUNTIFS(MASTER!$B$4:$B$1463,"VENDETTA",MASTER!$G$4:$G$1463,"&lt;&gt;")*$A119*100/100,0)),MASTER!$AH$4:$AH$1463,0))),NA()),IF($B$4="SECONDARY",IFERROR(IF(INDEX(MASTER!$L$4:$L$1463,MATCH("VENDETTA"&amp;"|"&amp;MAX(1,ROUND(COUNTIFS(MASTER!$B$4:$B$1463,"VENDETTA",MASTER!$L$4:$L$1463,"&lt;&gt;")*$A119*100/100,0)),MASTER!$AI$4:$AI$1463,0))="",NA(),INDEX(MASTER!$L$4:$L$1463,MATCH("VENDETTA"&amp;"|"&amp;MAX(1,ROUND(COUNTIFS(MASTER!$B$4:$B$1463,"VENDETTA",MASTER!$L$4:$L$1463,"&lt;&gt;")*$A119*100/100,0)),MASTER!$AI$4:$AI$1463,0))),NA()))))</f>
        <v>1610</v>
      </c>
      <c r="O119" s="37">
        <f>IF($B$4="RESONANCE",IFERROR(IF(INDEX(MASTER!$I$4:$I$1463,MATCH("ZOMBIES"&amp;"|"&amp;MAX(1,ROUND(COUNTIFS(MASTER!$B$4:$B$1463,"ZOMBIES",MASTER!$I$4:$I$1463,"&lt;&gt;")*$A119*100/100,0)),MASTER!$Y$4:$Y$1463,0))="",NA(),INDEX(MASTER!$I$4:$I$1463,MATCH("ZOMBIES"&amp;"|"&amp;MAX(1,ROUND(COUNTIFS(MASTER!$B$4:$B$1463,"ZOMBIES",MASTER!$I$4:$I$1463,"&lt;&gt;")*$A119*100/100,0)),MASTER!$Y$4:$Y$1463,0))),NA()),IF($B$4="COMBAT RATING",IFERROR(IF(INDEX(MASTER!$G$4:$G$1463,MATCH("ZOMBIES"&amp;"|"&amp;MAX(1,ROUND(COUNTIFS(MASTER!$B$4:$B$1463,"ZOMBIES",MASTER!$G$4:$G$1463,"&lt;&gt;")*$A119*100/100,0)),MASTER!$AH$4:$AH$1463,0))="",NA(),INDEX(MASTER!$G$4:$G$1463,MATCH("ZOMBIES"&amp;"|"&amp;MAX(1,ROUND(COUNTIFS(MASTER!$B$4:$B$1463,"ZOMBIES",MASTER!$G$4:$G$1463,"&lt;&gt;")*$A119*100/100,0)),MASTER!$AH$4:$AH$1463,0))),NA()),IF($B$4="SECONDARY",IFERROR(IF(INDEX(MASTER!$L$4:$L$1463,MATCH("ZOMBIES"&amp;"|"&amp;MAX(1,ROUND(COUNTIFS(MASTER!$B$4:$B$1463,"ZOMBIES",MASTER!$L$4:$L$1463,"&lt;&gt;")*$A119*100/100,0)),MASTER!$AI$4:$AI$1463,0))="",NA(),INDEX(MASTER!$L$4:$L$1463,MATCH("ZOMBIES"&amp;"|"&amp;MAX(1,ROUND(COUNTIFS(MASTER!$B$4:$B$1463,"ZOMBIES",MASTER!$L$4:$L$1463,"&lt;&gt;")*$A119*100/100,0)),MASTER!$AI$4:$AI$1463,0))),NA()))))</f>
        <v>1416</v>
      </c>
      <c r="P119" s="37">
        <f>IF($B$4="RESONANCE",IFERROR(IF(INDEX(MASTER!$I$4:$I$1463,MATCH("FUCT"&amp;"|"&amp;MAX(1,ROUND(COUNTIFS(MASTER!$B$4:$B$1463,"FUCT",MASTER!$I$4:$I$1463,"&lt;&gt;")*$A119*100/100,0)),MASTER!$Y$4:$Y$1463,0))="",NA(),INDEX(MASTER!$I$4:$I$1463,MATCH("FUCT"&amp;"|"&amp;MAX(1,ROUND(COUNTIFS(MASTER!$B$4:$B$1463,"FUCT",MASTER!$I$4:$I$1463,"&lt;&gt;")*$A119*100/100,0)),MASTER!$Y$4:$Y$1463,0))),NA()),IF($B$4="COMBAT RATING",IFERROR(IF(INDEX(MASTER!$G$4:$G$1463,MATCH("FUCT"&amp;"|"&amp;MAX(1,ROUND(COUNTIFS(MASTER!$B$4:$B$1463,"FUCT",MASTER!$G$4:$G$1463,"&lt;&gt;")*$A119*100/100,0)),MASTER!$AH$4:$AH$1463,0))="",NA(),INDEX(MASTER!$G$4:$G$1463,MATCH("FUCT"&amp;"|"&amp;MAX(1,ROUND(COUNTIFS(MASTER!$B$4:$B$1463,"FUCT",MASTER!$G$4:$G$1463,"&lt;&gt;")*$A119*100/100,0)),MASTER!$AH$4:$AH$1463,0))),NA()),IF($B$4="SECONDARY",IFERROR(IF(INDEX(MASTER!$L$4:$L$1463,MATCH("FUCT"&amp;"|"&amp;MAX(1,ROUND(COUNTIFS(MASTER!$B$4:$B$1463,"FUCT",MASTER!$L$4:$L$1463,"&lt;&gt;")*$A119*100/100,0)),MASTER!$AI$4:$AI$1463,0))="",NA(),INDEX(MASTER!$L$4:$L$1463,MATCH("FUCT"&amp;"|"&amp;MAX(1,ROUND(COUNTIFS(MASTER!$B$4:$B$1463,"FUCT",MASTER!$L$4:$L$1463,"&lt;&gt;")*$A119*100/100,0)),MASTER!$AI$4:$AI$1463,0))),NA()))))</f>
        <v>3948</v>
      </c>
      <c r="Q119" s="37">
        <f>IF($B$4="RESONANCE",IFERROR(IF(INDEX(MASTER!$I$4:$I$1463,MATCH($E$4&amp;"|"&amp;MAX(1,ROUND(COUNTIFS(MASTER!$B$4:$B$1463,$E$4,MASTER!$I$4:$I$1463,"&lt;&gt;")*$A119*100/100,0)),MASTER!$Y$4:$Y$1463,0))="",NA(),INDEX(MASTER!$I$4:$I$1463,MATCH($E$4&amp;"|"&amp;MAX(1,ROUND(COUNTIFS(MASTER!$B$4:$B$1463,$E$4,MASTER!$I$4:$I$1463,"&lt;&gt;")*$A119*100/100,0)),MASTER!$Y$4:$Y$1463,0))),NA()),IF($B$4="COMBAT RATING",IFERROR(IF(INDEX(MASTER!$G$4:$G$1463,MATCH($E$4&amp;"|"&amp;MAX(1,ROUND(COUNTIFS(MASTER!$B$4:$B$1463,$E$4,MASTER!$G$4:$G$1463,"&lt;&gt;")*$A119*100/100,0)),MASTER!$AH$4:$AH$1463,0))="",NA(),INDEX(MASTER!$G$4:$G$1463,MATCH($E$4&amp;"|"&amp;MAX(1,ROUND(COUNTIFS(MASTER!$B$4:$B$1463,$E$4,MASTER!$G$4:$G$1463,"&lt;&gt;")*$A119*100/100,0)),MASTER!$AH$4:$AH$1463,0))),NA()),IF($B$4="SECONDARY",IFERROR(IF(INDEX(MASTER!$L$4:$L$1463,MATCH($E$4&amp;"|"&amp;MAX(1,ROUND(COUNTIFS(MASTER!$B$4:$B$1463,$E$4,MASTER!$L$4:$L$1463,"&lt;&gt;")*$A119*100/100,0)),MASTER!$AI$4:$AI$1463,0))="",NA(),INDEX(MASTER!$L$4:$L$1463,MATCH($E$4&amp;"|"&amp;MAX(1,ROUND(COUNTIFS(MASTER!$B$4:$B$1463,$E$4,MASTER!$L$4:$L$1463,"&lt;&gt;")*$A119*100/100,0)),MASTER!$AI$4:$AI$1463,0))),NA()))))</f>
        <v>3670</v>
      </c>
    </row>
    <row r="120" spans="1:17" hidden="1">
      <c r="A120" s="36">
        <v>0.65</v>
      </c>
      <c r="B120" s="37">
        <f>IF($B$4="RESONANCE",IFERROR(IF(INDEX(MASTER!$I$4:$I$1463,MATCH("FUCT"&amp;"|"&amp;MAX(1,ROUND(COUNTIFS(MASTER!$B$4:$B$1463,"FUCT",MASTER!$I$4:$I$1463,"&lt;&gt;")*$A120*100/100,0)),MASTER!$Y$4:$Y$1463,0))="",NA(),INDEX(MASTER!$I$4:$I$1463,MATCH("FUCT"&amp;"|"&amp;MAX(1,ROUND(COUNTIFS(MASTER!$B$4:$B$1463,"FUCT",MASTER!$I$4:$I$1463,"&lt;&gt;")*$A120*100/100,0)),MASTER!$Y$4:$Y$1463,0))),NA()),IF($B$4="COMBAT RATING",IFERROR(IF(INDEX(MASTER!$G$4:$G$1463,MATCH("FUCT"&amp;"|"&amp;MAX(1,ROUND(COUNTIFS(MASTER!$B$4:$B$1463,"FUCT",MASTER!$G$4:$G$1463,"&lt;&gt;")*$A120*100/100,0)),MASTER!$AH$4:$AH$1463,0))="",NA(),INDEX(MASTER!$G$4:$G$1463,MATCH("FUCT"&amp;"|"&amp;MAX(1,ROUND(COUNTIFS(MASTER!$B$4:$B$1463,"FUCT",MASTER!$G$4:$G$1463,"&lt;&gt;")*$A120*100/100,0)),MASTER!$AH$4:$AH$1463,0))),NA()),IF($B$4="SECONDARY",IFERROR(IF(INDEX(MASTER!$L$4:$L$1463,MATCH("FUCT"&amp;"|"&amp;MAX(1,ROUND(COUNTIFS(MASTER!$B$4:$B$1463,"FUCT",MASTER!$L$4:$L$1463,"&lt;&gt;")*$A120*100/100,0)),MASTER!$AI$4:$AI$1463,0))="",NA(),INDEX(MASTER!$L$4:$L$1463,MATCH("FUCT"&amp;"|"&amp;MAX(1,ROUND(COUNTIFS(MASTER!$B$4:$B$1463,"FUCT",MASTER!$L$4:$L$1463,"&lt;&gt;")*$A120*100/100,0)),MASTER!$AI$4:$AI$1463,0))),NA()))))</f>
        <v>3867</v>
      </c>
      <c r="C120" s="37">
        <f>IF($B$4="RESONANCE",IFERROR(IF(INDEX(MASTER!$I$4:$I$1463,MATCH("LEGENDS"&amp;"|"&amp;MAX(1,ROUND(COUNTIFS(MASTER!$B$4:$B$1463,"LEGENDS",MASTER!$I$4:$I$1463,"&lt;&gt;")*$A120*100/100,0)),MASTER!$Y$4:$Y$1463,0))="",NA(),INDEX(MASTER!$I$4:$I$1463,MATCH("LEGENDS"&amp;"|"&amp;MAX(1,ROUND(COUNTIFS(MASTER!$B$4:$B$1463,"LEGENDS",MASTER!$I$4:$I$1463,"&lt;&gt;")*$A120*100/100,0)),MASTER!$Y$4:$Y$1463,0))),NA()),IF($B$4="COMBAT RATING",IFERROR(IF(INDEX(MASTER!$G$4:$G$1463,MATCH("LEGENDS"&amp;"|"&amp;MAX(1,ROUND(COUNTIFS(MASTER!$B$4:$B$1463,"LEGENDS",MASTER!$G$4:$G$1463,"&lt;&gt;")*$A120*100/100,0)),MASTER!$AH$4:$AH$1463,0))="",NA(),INDEX(MASTER!$G$4:$G$1463,MATCH("LEGENDS"&amp;"|"&amp;MAX(1,ROUND(COUNTIFS(MASTER!$B$4:$B$1463,"LEGENDS",MASTER!$G$4:$G$1463,"&lt;&gt;")*$A120*100/100,0)),MASTER!$AH$4:$AH$1463,0))),NA()),IF($B$4="SECONDARY",IFERROR(IF(INDEX(MASTER!$L$4:$L$1463,MATCH("LEGENDS"&amp;"|"&amp;MAX(1,ROUND(COUNTIFS(MASTER!$B$4:$B$1463,"LEGENDS",MASTER!$L$4:$L$1463,"&lt;&gt;")*$A120*100/100,0)),MASTER!$AI$4:$AI$1463,0))="",NA(),INDEX(MASTER!$L$4:$L$1463,MATCH("LEGENDS"&amp;"|"&amp;MAX(1,ROUND(COUNTIFS(MASTER!$B$4:$B$1463,"LEGENDS",MASTER!$L$4:$L$1463,"&lt;&gt;")*$A120*100/100,0)),MASTER!$AI$4:$AI$1463,0))),NA()))))</f>
        <v>4518</v>
      </c>
      <c r="D120" s="37">
        <f>IF($B$4="RESONANCE",IFERROR(IF(INDEX(MASTER!$I$4:$I$1463,MATCH("VANGUARD"&amp;"|"&amp;MAX(1,ROUND(COUNTIFS(MASTER!$B$4:$B$1463,"VANGUARD",MASTER!$I$4:$I$1463,"&lt;&gt;")*$A120*100/100,0)),MASTER!$Y$4:$Y$1463,0))="",NA(),INDEX(MASTER!$I$4:$I$1463,MATCH("VANGUARD"&amp;"|"&amp;MAX(1,ROUND(COUNTIFS(MASTER!$B$4:$B$1463,"VANGUARD",MASTER!$I$4:$I$1463,"&lt;&gt;")*$A120*100/100,0)),MASTER!$Y$4:$Y$1463,0))),NA()),IF($B$4="COMBAT RATING",IFERROR(IF(INDEX(MASTER!$G$4:$G$1463,MATCH("VANGUARD"&amp;"|"&amp;MAX(1,ROUND(COUNTIFS(MASTER!$B$4:$B$1463,"VANGUARD",MASTER!$G$4:$G$1463,"&lt;&gt;")*$A120*100/100,0)),MASTER!$AH$4:$AH$1463,0))="",NA(),INDEX(MASTER!$G$4:$G$1463,MATCH("VANGUARD"&amp;"|"&amp;MAX(1,ROUND(COUNTIFS(MASTER!$B$4:$B$1463,"VANGUARD",MASTER!$G$4:$G$1463,"&lt;&gt;")*$A120*100/100,0)),MASTER!$AH$4:$AH$1463,0))),NA()),IF($B$4="SECONDARY",IFERROR(IF(INDEX(MASTER!$L$4:$L$1463,MATCH("VANGUARD"&amp;"|"&amp;MAX(1,ROUND(COUNTIFS(MASTER!$B$4:$B$1463,"VANGUARD",MASTER!$L$4:$L$1463,"&lt;&gt;")*$A120*100/100,0)),MASTER!$AI$4:$AI$1463,0))="",NA(),INDEX(MASTER!$L$4:$L$1463,MATCH("VANGUARD"&amp;"|"&amp;MAX(1,ROUND(COUNTIFS(MASTER!$B$4:$B$1463,"VANGUARD",MASTER!$L$4:$L$1463,"&lt;&gt;")*$A120*100/100,0)),MASTER!$AI$4:$AI$1463,0))),NA()))))</f>
        <v>5371</v>
      </c>
      <c r="E120" s="37">
        <f>IF($B$4="RESONANCE",IFERROR(IF(INDEX(MASTER!$I$4:$I$1463,MATCH("UNDYING"&amp;"|"&amp;MAX(1,ROUND(COUNTIFS(MASTER!$B$4:$B$1463,"UNDYING",MASTER!$I$4:$I$1463,"&lt;&gt;")*$A120*100/100,0)),MASTER!$Y$4:$Y$1463,0))="",NA(),INDEX(MASTER!$I$4:$I$1463,MATCH("UNDYING"&amp;"|"&amp;MAX(1,ROUND(COUNTIFS(MASTER!$B$4:$B$1463,"UNDYING",MASTER!$I$4:$I$1463,"&lt;&gt;")*$A120*100/100,0)),MASTER!$Y$4:$Y$1463,0))),NA()),IF($B$4="COMBAT RATING",IFERROR(IF(INDEX(MASTER!$G$4:$G$1463,MATCH("UNDYING"&amp;"|"&amp;MAX(1,ROUND(COUNTIFS(MASTER!$B$4:$B$1463,"UNDYING",MASTER!$G$4:$G$1463,"&lt;&gt;")*$A120*100/100,0)),MASTER!$AH$4:$AH$1463,0))="",NA(),INDEX(MASTER!$G$4:$G$1463,MATCH("UNDYING"&amp;"|"&amp;MAX(1,ROUND(COUNTIFS(MASTER!$B$4:$B$1463,"UNDYING",MASTER!$G$4:$G$1463,"&lt;&gt;")*$A120*100/100,0)),MASTER!$AH$4:$AH$1463,0))),NA()),IF($B$4="SECONDARY",IFERROR(IF(INDEX(MASTER!$L$4:$L$1463,MATCH("UNDYING"&amp;"|"&amp;MAX(1,ROUND(COUNTIFS(MASTER!$B$4:$B$1463,"UNDYING",MASTER!$L$4:$L$1463,"&lt;&gt;")*$A120*100/100,0)),MASTER!$AI$4:$AI$1463,0))="",NA(),INDEX(MASTER!$L$4:$L$1463,MATCH("UNDYING"&amp;"|"&amp;MAX(1,ROUND(COUNTIFS(MASTER!$B$4:$B$1463,"UNDYING",MASTER!$L$4:$L$1463,"&lt;&gt;")*$A120*100/100,0)),MASTER!$AI$4:$AI$1463,0))),NA()))))</f>
        <v>3649</v>
      </c>
      <c r="F120" s="37">
        <f>IF($B$4="RESONANCE",IFERROR(IF(INDEX(MASTER!$I$4:$I$1463,MATCH("SBG"&amp;"|"&amp;MAX(1,ROUND(COUNTIFS(MASTER!$B$4:$B$1463,"SBG",MASTER!$I$4:$I$1463,"&lt;&gt;")*$A120*100/100,0)),MASTER!$Y$4:$Y$1463,0))="",NA(),INDEX(MASTER!$I$4:$I$1463,MATCH("SBG"&amp;"|"&amp;MAX(1,ROUND(COUNTIFS(MASTER!$B$4:$B$1463,"SBG",MASTER!$I$4:$I$1463,"&lt;&gt;")*$A120*100/100,0)),MASTER!$Y$4:$Y$1463,0))),NA()),IF($B$4="COMBAT RATING",IFERROR(IF(INDEX(MASTER!$G$4:$G$1463,MATCH("SBG"&amp;"|"&amp;MAX(1,ROUND(COUNTIFS(MASTER!$B$4:$B$1463,"SBG",MASTER!$G$4:$G$1463,"&lt;&gt;")*$A120*100/100,0)),MASTER!$AH$4:$AH$1463,0))="",NA(),INDEX(MASTER!$G$4:$G$1463,MATCH("SBG"&amp;"|"&amp;MAX(1,ROUND(COUNTIFS(MASTER!$B$4:$B$1463,"SBG",MASTER!$G$4:$G$1463,"&lt;&gt;")*$A120*100/100,0)),MASTER!$AH$4:$AH$1463,0))),NA()),IF($B$4="SECONDARY",IFERROR(IF(INDEX(MASTER!$L$4:$L$1463,MATCH("SBG"&amp;"|"&amp;MAX(1,ROUND(COUNTIFS(MASTER!$B$4:$B$1463,"SBG",MASTER!$L$4:$L$1463,"&lt;&gt;")*$A120*100/100,0)),MASTER!$AI$4:$AI$1463,0))="",NA(),INDEX(MASTER!$L$4:$L$1463,MATCH("SBG"&amp;"|"&amp;MAX(1,ROUND(COUNTIFS(MASTER!$B$4:$B$1463,"SBG",MASTER!$L$4:$L$1463,"&lt;&gt;")*$A120*100/100,0)),MASTER!$AI$4:$AI$1463,0))),NA()))))</f>
        <v>4411</v>
      </c>
      <c r="G120" s="37">
        <f>IF($B$4="RESONANCE",IFERROR(IF(INDEX(MASTER!$I$4:$I$1463,MATCH("AZUKI"&amp;"|"&amp;MAX(1,ROUND(COUNTIFS(MASTER!$B$4:$B$1463,"AZUKI",MASTER!$I$4:$I$1463,"&lt;&gt;")*$A120*100/100,0)),MASTER!$Y$4:$Y$1463,0))="",NA(),INDEX(MASTER!$I$4:$I$1463,MATCH("AZUKI"&amp;"|"&amp;MAX(1,ROUND(COUNTIFS(MASTER!$B$4:$B$1463,"AZUKI",MASTER!$I$4:$I$1463,"&lt;&gt;")*$A120*100/100,0)),MASTER!$Y$4:$Y$1463,0))),NA()),IF($B$4="COMBAT RATING",IFERROR(IF(INDEX(MASTER!$G$4:$G$1463,MATCH("AZUKI"&amp;"|"&amp;MAX(1,ROUND(COUNTIFS(MASTER!$B$4:$B$1463,"AZUKI",MASTER!$G$4:$G$1463,"&lt;&gt;")*$A120*100/100,0)),MASTER!$AH$4:$AH$1463,0))="",NA(),INDEX(MASTER!$G$4:$G$1463,MATCH("AZUKI"&amp;"|"&amp;MAX(1,ROUND(COUNTIFS(MASTER!$B$4:$B$1463,"AZUKI",MASTER!$G$4:$G$1463,"&lt;&gt;")*$A120*100/100,0)),MASTER!$AH$4:$AH$1463,0))),NA()),IF($B$4="SECONDARY",IFERROR(IF(INDEX(MASTER!$L$4:$L$1463,MATCH("AZUKI"&amp;"|"&amp;MAX(1,ROUND(COUNTIFS(MASTER!$B$4:$B$1463,"AZUKI",MASTER!$L$4:$L$1463,"&lt;&gt;")*$A120*100/100,0)),MASTER!$AI$4:$AI$1463,0))="",NA(),INDEX(MASTER!$L$4:$L$1463,MATCH("AZUKI"&amp;"|"&amp;MAX(1,ROUND(COUNTIFS(MASTER!$B$4:$B$1463,"AZUKI",MASTER!$L$4:$L$1463,"&lt;&gt;")*$A120*100/100,0)),MASTER!$AI$4:$AI$1463,0))),NA()))))</f>
        <v>3846</v>
      </c>
      <c r="H120" s="37">
        <f>IF($B$4="RESONANCE",IFERROR(IF(INDEX(MASTER!$I$4:$I$1463,MATCH("RECKONING"&amp;"|"&amp;MAX(1,ROUND(COUNTIFS(MASTER!$B$4:$B$1463,"RECKONING",MASTER!$I$4:$I$1463,"&lt;&gt;")*$A120*100/100,0)),MASTER!$Y$4:$Y$1463,0))="",NA(),INDEX(MASTER!$I$4:$I$1463,MATCH("RECKONING"&amp;"|"&amp;MAX(1,ROUND(COUNTIFS(MASTER!$B$4:$B$1463,"RECKONING",MASTER!$I$4:$I$1463,"&lt;&gt;")*$A120*100/100,0)),MASTER!$Y$4:$Y$1463,0))),NA()),IF($B$4="COMBAT RATING",IFERROR(IF(INDEX(MASTER!$G$4:$G$1463,MATCH("RECKONING"&amp;"|"&amp;MAX(1,ROUND(COUNTIFS(MASTER!$B$4:$B$1463,"RECKONING",MASTER!$G$4:$G$1463,"&lt;&gt;")*$A120*100/100,0)),MASTER!$AH$4:$AH$1463,0))="",NA(),INDEX(MASTER!$G$4:$G$1463,MATCH("RECKONING"&amp;"|"&amp;MAX(1,ROUND(COUNTIFS(MASTER!$B$4:$B$1463,"RECKONING",MASTER!$G$4:$G$1463,"&lt;&gt;")*$A120*100/100,0)),MASTER!$AH$4:$AH$1463,0))),NA()),IF($B$4="SECONDARY",IFERROR(IF(INDEX(MASTER!$L$4:$L$1463,MATCH("RECKONING"&amp;"|"&amp;MAX(1,ROUND(COUNTIFS(MASTER!$B$4:$B$1463,"RECKONING",MASTER!$L$4:$L$1463,"&lt;&gt;")*$A120*100/100,0)),MASTER!$AI$4:$AI$1463,0))="",NA(),INDEX(MASTER!$L$4:$L$1463,MATCH("RECKONING"&amp;"|"&amp;MAX(1,ROUND(COUNTIFS(MASTER!$B$4:$B$1463,"RECKONING",MASTER!$L$4:$L$1463,"&lt;&gt;")*$A120*100/100,0)),MASTER!$AI$4:$AI$1463,0))),NA()))))</f>
        <v>4000</v>
      </c>
      <c r="I120" s="37">
        <f>IF($B$4="RESONANCE",IFERROR(IF(INDEX(MASTER!$I$4:$I$1463,MATCH("ACHERON"&amp;"|"&amp;MAX(1,ROUND(COUNTIFS(MASTER!$B$4:$B$1463,"ACHERON",MASTER!$I$4:$I$1463,"&lt;&gt;")*$A120*100/100,0)),MASTER!$Y$4:$Y$1463,0))="",NA(),INDEX(MASTER!$I$4:$I$1463,MATCH("ACHERON"&amp;"|"&amp;MAX(1,ROUND(COUNTIFS(MASTER!$B$4:$B$1463,"ACHERON",MASTER!$I$4:$I$1463,"&lt;&gt;")*$A120*100/100,0)),MASTER!$Y$4:$Y$1463,0))),NA()),IF($B$4="COMBAT RATING",IFERROR(IF(INDEX(MASTER!$G$4:$G$1463,MATCH("ACHERON"&amp;"|"&amp;MAX(1,ROUND(COUNTIFS(MASTER!$B$4:$B$1463,"ACHERON",MASTER!$G$4:$G$1463,"&lt;&gt;")*$A120*100/100,0)),MASTER!$AH$4:$AH$1463,0))="",NA(),INDEX(MASTER!$G$4:$G$1463,MATCH("ACHERON"&amp;"|"&amp;MAX(1,ROUND(COUNTIFS(MASTER!$B$4:$B$1463,"ACHERON",MASTER!$G$4:$G$1463,"&lt;&gt;")*$A120*100/100,0)),MASTER!$AH$4:$AH$1463,0))),NA()),IF($B$4="SECONDARY",IFERROR(IF(INDEX(MASTER!$L$4:$L$1463,MATCH("ACHERON"&amp;"|"&amp;MAX(1,ROUND(COUNTIFS(MASTER!$B$4:$B$1463,"ACHERON",MASTER!$L$4:$L$1463,"&lt;&gt;")*$A120*100/100,0)),MASTER!$AI$4:$AI$1463,0))="",NA(),INDEX(MASTER!$L$4:$L$1463,MATCH("ACHERON"&amp;"|"&amp;MAX(1,ROUND(COUNTIFS(MASTER!$B$4:$B$1463,"ACHERON",MASTER!$L$4:$L$1463,"&lt;&gt;")*$A120*100/100,0)),MASTER!$AI$4:$AI$1463,0))),NA()))))</f>
        <v>3214</v>
      </c>
      <c r="J120" s="37">
        <f>IF($B$4="RESONANCE",IFERROR(IF(INDEX(MASTER!$I$4:$I$1463,MATCH("INVICTUS"&amp;"|"&amp;MAX(1,ROUND(COUNTIFS(MASTER!$B$4:$B$1463,"INVICTUS",MASTER!$I$4:$I$1463,"&lt;&gt;")*$A120*100/100,0)),MASTER!$Y$4:$Y$1463,0))="",NA(),INDEX(MASTER!$I$4:$I$1463,MATCH("INVICTUS"&amp;"|"&amp;MAX(1,ROUND(COUNTIFS(MASTER!$B$4:$B$1463,"INVICTUS",MASTER!$I$4:$I$1463,"&lt;&gt;")*$A120*100/100,0)),MASTER!$Y$4:$Y$1463,0))),NA()),IF($B$4="COMBAT RATING",IFERROR(IF(INDEX(MASTER!$G$4:$G$1463,MATCH("INVICTUS"&amp;"|"&amp;MAX(1,ROUND(COUNTIFS(MASTER!$B$4:$B$1463,"INVICTUS",MASTER!$G$4:$G$1463,"&lt;&gt;")*$A120*100/100,0)),MASTER!$AH$4:$AH$1463,0))="",NA(),INDEX(MASTER!$G$4:$G$1463,MATCH("INVICTUS"&amp;"|"&amp;MAX(1,ROUND(COUNTIFS(MASTER!$B$4:$B$1463,"INVICTUS",MASTER!$G$4:$G$1463,"&lt;&gt;")*$A120*100/100,0)),MASTER!$AH$4:$AH$1463,0))),NA()),IF($B$4="SECONDARY",IFERROR(IF(INDEX(MASTER!$L$4:$L$1463,MATCH("INVICTUS"&amp;"|"&amp;MAX(1,ROUND(COUNTIFS(MASTER!$B$4:$B$1463,"INVICTUS",MASTER!$L$4:$L$1463,"&lt;&gt;")*$A120*100/100,0)),MASTER!$AI$4:$AI$1463,0))="",NA(),INDEX(MASTER!$L$4:$L$1463,MATCH("INVICTUS"&amp;"|"&amp;MAX(1,ROUND(COUNTIFS(MASTER!$B$4:$B$1463,"INVICTUS",MASTER!$L$4:$L$1463,"&lt;&gt;")*$A120*100/100,0)),MASTER!$AI$4:$AI$1463,0))),NA()))))</f>
        <v>2684</v>
      </c>
      <c r="K120" s="37">
        <f>IF($B$4="RESONANCE",IFERROR(IF(INDEX(MASTER!$I$4:$I$1463,MATCH("EMERALD LEAF TRIBE"&amp;"|"&amp;MAX(1,ROUND(COUNTIFS(MASTER!$B$4:$B$1463,"EMERALD LEAF TRIBE",MASTER!$I$4:$I$1463,"&lt;&gt;")*$A120*100/100,0)),MASTER!$Y$4:$Y$1463,0))="",NA(),INDEX(MASTER!$I$4:$I$1463,MATCH("EMERALD LEAF TRIBE"&amp;"|"&amp;MAX(1,ROUND(COUNTIFS(MASTER!$B$4:$B$1463,"EMERALD LEAF TRIBE",MASTER!$I$4:$I$1463,"&lt;&gt;")*$A120*100/100,0)),MASTER!$Y$4:$Y$1463,0))),NA()),IF($B$4="COMBAT RATING",IFERROR(IF(INDEX(MASTER!$G$4:$G$1463,MATCH("EMERALD LEAF TRIBE"&amp;"|"&amp;MAX(1,ROUND(COUNTIFS(MASTER!$B$4:$B$1463,"EMERALD LEAF TRIBE",MASTER!$G$4:$G$1463,"&lt;&gt;")*$A120*100/100,0)),MASTER!$AH$4:$AH$1463,0))="",NA(),INDEX(MASTER!$G$4:$G$1463,MATCH("EMERALD LEAF TRIBE"&amp;"|"&amp;MAX(1,ROUND(COUNTIFS(MASTER!$B$4:$B$1463,"EMERALD LEAF TRIBE",MASTER!$G$4:$G$1463,"&lt;&gt;")*$A120*100/100,0)),MASTER!$AH$4:$AH$1463,0))),NA()),IF($B$4="SECONDARY",IFERROR(IF(INDEX(MASTER!$L$4:$L$1463,MATCH("EMERALD LEAF TRIBE"&amp;"|"&amp;MAX(1,ROUND(COUNTIFS(MASTER!$B$4:$B$1463,"EMERALD LEAF TRIBE",MASTER!$L$4:$L$1463,"&lt;&gt;")*$A120*100/100,0)),MASTER!$AI$4:$AI$1463,0))="",NA(),INDEX(MASTER!$L$4:$L$1463,MATCH("EMERALD LEAF TRIBE"&amp;"|"&amp;MAX(1,ROUND(COUNTIFS(MASTER!$B$4:$B$1463,"EMERALD LEAF TRIBE",MASTER!$L$4:$L$1463,"&lt;&gt;")*$A120*100/100,0)),MASTER!$AI$4:$AI$1463,0))),NA()))))</f>
        <v>1676</v>
      </c>
      <c r="L120" s="37">
        <f>IF($B$4="RESONANCE",IFERROR(IF(INDEX(MASTER!$I$4:$I$1463,MATCH("SUB ROSA"&amp;"|"&amp;MAX(1,ROUND(COUNTIFS(MASTER!$B$4:$B$1463,"SUB ROSA",MASTER!$I$4:$I$1463,"&lt;&gt;")*$A120*100/100,0)),MASTER!$Y$4:$Y$1463,0))="",NA(),INDEX(MASTER!$I$4:$I$1463,MATCH("SUB ROSA"&amp;"|"&amp;MAX(1,ROUND(COUNTIFS(MASTER!$B$4:$B$1463,"SUB ROSA",MASTER!$I$4:$I$1463,"&lt;&gt;")*$A120*100/100,0)),MASTER!$Y$4:$Y$1463,0))),NA()),IF($B$4="COMBAT RATING",IFERROR(IF(INDEX(MASTER!$G$4:$G$1463,MATCH("SUB ROSA"&amp;"|"&amp;MAX(1,ROUND(COUNTIFS(MASTER!$B$4:$B$1463,"SUB ROSA",MASTER!$G$4:$G$1463,"&lt;&gt;")*$A120*100/100,0)),MASTER!$AH$4:$AH$1463,0))="",NA(),INDEX(MASTER!$G$4:$G$1463,MATCH("SUB ROSA"&amp;"|"&amp;MAX(1,ROUND(COUNTIFS(MASTER!$B$4:$B$1463,"SUB ROSA",MASTER!$G$4:$G$1463,"&lt;&gt;")*$A120*100/100,0)),MASTER!$AH$4:$AH$1463,0))),NA()),IF($B$4="SECONDARY",IFERROR(IF(INDEX(MASTER!$L$4:$L$1463,MATCH("SUB ROSA"&amp;"|"&amp;MAX(1,ROUND(COUNTIFS(MASTER!$B$4:$B$1463,"SUB ROSA",MASTER!$L$4:$L$1463,"&lt;&gt;")*$A120*100/100,0)),MASTER!$AI$4:$AI$1463,0))="",NA(),INDEX(MASTER!$L$4:$L$1463,MATCH("SUB ROSA"&amp;"|"&amp;MAX(1,ROUND(COUNTIFS(MASTER!$B$4:$B$1463,"SUB ROSA",MASTER!$L$4:$L$1463,"&lt;&gt;")*$A120*100/100,0)),MASTER!$AI$4:$AI$1463,0))),NA()))))</f>
        <v>2057</v>
      </c>
      <c r="M120" s="37">
        <f>IF($B$4="RESONANCE",IFERROR(IF(INDEX(MASTER!$I$4:$I$1463,MATCH("VENGEANCE"&amp;"|"&amp;MAX(1,ROUND(COUNTIFS(MASTER!$B$4:$B$1463,"VENGEANCE",MASTER!$I$4:$I$1463,"&lt;&gt;")*$A120*100/100,0)),MASTER!$Y$4:$Y$1463,0))="",NA(),INDEX(MASTER!$I$4:$I$1463,MATCH("VENGEANCE"&amp;"|"&amp;MAX(1,ROUND(COUNTIFS(MASTER!$B$4:$B$1463,"VENGEANCE",MASTER!$I$4:$I$1463,"&lt;&gt;")*$A120*100/100,0)),MASTER!$Y$4:$Y$1463,0))),NA()),IF($B$4="COMBAT RATING",IFERROR(IF(INDEX(MASTER!$G$4:$G$1463,MATCH("VENGEANCE"&amp;"|"&amp;MAX(1,ROUND(COUNTIFS(MASTER!$B$4:$B$1463,"VENGEANCE",MASTER!$G$4:$G$1463,"&lt;&gt;")*$A120*100/100,0)),MASTER!$AH$4:$AH$1463,0))="",NA(),INDEX(MASTER!$G$4:$G$1463,MATCH("VENGEANCE"&amp;"|"&amp;MAX(1,ROUND(COUNTIFS(MASTER!$B$4:$B$1463,"VENGEANCE",MASTER!$G$4:$G$1463,"&lt;&gt;")*$A120*100/100,0)),MASTER!$AH$4:$AH$1463,0))),NA()),IF($B$4="SECONDARY",IFERROR(IF(INDEX(MASTER!$L$4:$L$1463,MATCH("VENGEANCE"&amp;"|"&amp;MAX(1,ROUND(COUNTIFS(MASTER!$B$4:$B$1463,"VENGEANCE",MASTER!$L$4:$L$1463,"&lt;&gt;")*$A120*100/100,0)),MASTER!$AI$4:$AI$1463,0))="",NA(),INDEX(MASTER!$L$4:$L$1463,MATCH("VENGEANCE"&amp;"|"&amp;MAX(1,ROUND(COUNTIFS(MASTER!$B$4:$B$1463,"VENGEANCE",MASTER!$L$4:$L$1463,"&lt;&gt;")*$A120*100/100,0)),MASTER!$AI$4:$AI$1463,0))),NA()))))</f>
        <v>2806</v>
      </c>
      <c r="N120" s="37">
        <f>IF($B$4="RESONANCE",IFERROR(IF(INDEX(MASTER!$I$4:$I$1463,MATCH("VENDETTA"&amp;"|"&amp;MAX(1,ROUND(COUNTIFS(MASTER!$B$4:$B$1463,"VENDETTA",MASTER!$I$4:$I$1463,"&lt;&gt;")*$A120*100/100,0)),MASTER!$Y$4:$Y$1463,0))="",NA(),INDEX(MASTER!$I$4:$I$1463,MATCH("VENDETTA"&amp;"|"&amp;MAX(1,ROUND(COUNTIFS(MASTER!$B$4:$B$1463,"VENDETTA",MASTER!$I$4:$I$1463,"&lt;&gt;")*$A120*100/100,0)),MASTER!$Y$4:$Y$1463,0))),NA()),IF($B$4="COMBAT RATING",IFERROR(IF(INDEX(MASTER!$G$4:$G$1463,MATCH("VENDETTA"&amp;"|"&amp;MAX(1,ROUND(COUNTIFS(MASTER!$B$4:$B$1463,"VENDETTA",MASTER!$G$4:$G$1463,"&lt;&gt;")*$A120*100/100,0)),MASTER!$AH$4:$AH$1463,0))="",NA(),INDEX(MASTER!$G$4:$G$1463,MATCH("VENDETTA"&amp;"|"&amp;MAX(1,ROUND(COUNTIFS(MASTER!$B$4:$B$1463,"VENDETTA",MASTER!$G$4:$G$1463,"&lt;&gt;")*$A120*100/100,0)),MASTER!$AH$4:$AH$1463,0))),NA()),IF($B$4="SECONDARY",IFERROR(IF(INDEX(MASTER!$L$4:$L$1463,MATCH("VENDETTA"&amp;"|"&amp;MAX(1,ROUND(COUNTIFS(MASTER!$B$4:$B$1463,"VENDETTA",MASTER!$L$4:$L$1463,"&lt;&gt;")*$A120*100/100,0)),MASTER!$AI$4:$AI$1463,0))="",NA(),INDEX(MASTER!$L$4:$L$1463,MATCH("VENDETTA"&amp;"|"&amp;MAX(1,ROUND(COUNTIFS(MASTER!$B$4:$B$1463,"VENDETTA",MASTER!$L$4:$L$1463,"&lt;&gt;")*$A120*100/100,0)),MASTER!$AI$4:$AI$1463,0))),NA()))))</f>
        <v>1610</v>
      </c>
      <c r="O120" s="37">
        <f>IF($B$4="RESONANCE",IFERROR(IF(INDEX(MASTER!$I$4:$I$1463,MATCH("ZOMBIES"&amp;"|"&amp;MAX(1,ROUND(COUNTIFS(MASTER!$B$4:$B$1463,"ZOMBIES",MASTER!$I$4:$I$1463,"&lt;&gt;")*$A120*100/100,0)),MASTER!$Y$4:$Y$1463,0))="",NA(),INDEX(MASTER!$I$4:$I$1463,MATCH("ZOMBIES"&amp;"|"&amp;MAX(1,ROUND(COUNTIFS(MASTER!$B$4:$B$1463,"ZOMBIES",MASTER!$I$4:$I$1463,"&lt;&gt;")*$A120*100/100,0)),MASTER!$Y$4:$Y$1463,0))),NA()),IF($B$4="COMBAT RATING",IFERROR(IF(INDEX(MASTER!$G$4:$G$1463,MATCH("ZOMBIES"&amp;"|"&amp;MAX(1,ROUND(COUNTIFS(MASTER!$B$4:$B$1463,"ZOMBIES",MASTER!$G$4:$G$1463,"&lt;&gt;")*$A120*100/100,0)),MASTER!$AH$4:$AH$1463,0))="",NA(),INDEX(MASTER!$G$4:$G$1463,MATCH("ZOMBIES"&amp;"|"&amp;MAX(1,ROUND(COUNTIFS(MASTER!$B$4:$B$1463,"ZOMBIES",MASTER!$G$4:$G$1463,"&lt;&gt;")*$A120*100/100,0)),MASTER!$AH$4:$AH$1463,0))),NA()),IF($B$4="SECONDARY",IFERROR(IF(INDEX(MASTER!$L$4:$L$1463,MATCH("ZOMBIES"&amp;"|"&amp;MAX(1,ROUND(COUNTIFS(MASTER!$B$4:$B$1463,"ZOMBIES",MASTER!$L$4:$L$1463,"&lt;&gt;")*$A120*100/100,0)),MASTER!$AI$4:$AI$1463,0))="",NA(),INDEX(MASTER!$L$4:$L$1463,MATCH("ZOMBIES"&amp;"|"&amp;MAX(1,ROUND(COUNTIFS(MASTER!$B$4:$B$1463,"ZOMBIES",MASTER!$L$4:$L$1463,"&lt;&gt;")*$A120*100/100,0)),MASTER!$AI$4:$AI$1463,0))),NA()))))</f>
        <v>1405</v>
      </c>
      <c r="P120" s="37">
        <f>IF($B$4="RESONANCE",IFERROR(IF(INDEX(MASTER!$I$4:$I$1463,MATCH("FUCT"&amp;"|"&amp;MAX(1,ROUND(COUNTIFS(MASTER!$B$4:$B$1463,"FUCT",MASTER!$I$4:$I$1463,"&lt;&gt;")*$A120*100/100,0)),MASTER!$Y$4:$Y$1463,0))="",NA(),INDEX(MASTER!$I$4:$I$1463,MATCH("FUCT"&amp;"|"&amp;MAX(1,ROUND(COUNTIFS(MASTER!$B$4:$B$1463,"FUCT",MASTER!$I$4:$I$1463,"&lt;&gt;")*$A120*100/100,0)),MASTER!$Y$4:$Y$1463,0))),NA()),IF($B$4="COMBAT RATING",IFERROR(IF(INDEX(MASTER!$G$4:$G$1463,MATCH("FUCT"&amp;"|"&amp;MAX(1,ROUND(COUNTIFS(MASTER!$B$4:$B$1463,"FUCT",MASTER!$G$4:$G$1463,"&lt;&gt;")*$A120*100/100,0)),MASTER!$AH$4:$AH$1463,0))="",NA(),INDEX(MASTER!$G$4:$G$1463,MATCH("FUCT"&amp;"|"&amp;MAX(1,ROUND(COUNTIFS(MASTER!$B$4:$B$1463,"FUCT",MASTER!$G$4:$G$1463,"&lt;&gt;")*$A120*100/100,0)),MASTER!$AH$4:$AH$1463,0))),NA()),IF($B$4="SECONDARY",IFERROR(IF(INDEX(MASTER!$L$4:$L$1463,MATCH("FUCT"&amp;"|"&amp;MAX(1,ROUND(COUNTIFS(MASTER!$B$4:$B$1463,"FUCT",MASTER!$L$4:$L$1463,"&lt;&gt;")*$A120*100/100,0)),MASTER!$AI$4:$AI$1463,0))="",NA(),INDEX(MASTER!$L$4:$L$1463,MATCH("FUCT"&amp;"|"&amp;MAX(1,ROUND(COUNTIFS(MASTER!$B$4:$B$1463,"FUCT",MASTER!$L$4:$L$1463,"&lt;&gt;")*$A120*100/100,0)),MASTER!$AI$4:$AI$1463,0))),NA()))))</f>
        <v>3867</v>
      </c>
      <c r="Q120" s="37">
        <f>IF($B$4="RESONANCE",IFERROR(IF(INDEX(MASTER!$I$4:$I$1463,MATCH($E$4&amp;"|"&amp;MAX(1,ROUND(COUNTIFS(MASTER!$B$4:$B$1463,$E$4,MASTER!$I$4:$I$1463,"&lt;&gt;")*$A120*100/100,0)),MASTER!$Y$4:$Y$1463,0))="",NA(),INDEX(MASTER!$I$4:$I$1463,MATCH($E$4&amp;"|"&amp;MAX(1,ROUND(COUNTIFS(MASTER!$B$4:$B$1463,$E$4,MASTER!$I$4:$I$1463,"&lt;&gt;")*$A120*100/100,0)),MASTER!$Y$4:$Y$1463,0))),NA()),IF($B$4="COMBAT RATING",IFERROR(IF(INDEX(MASTER!$G$4:$G$1463,MATCH($E$4&amp;"|"&amp;MAX(1,ROUND(COUNTIFS(MASTER!$B$4:$B$1463,$E$4,MASTER!$G$4:$G$1463,"&lt;&gt;")*$A120*100/100,0)),MASTER!$AH$4:$AH$1463,0))="",NA(),INDEX(MASTER!$G$4:$G$1463,MATCH($E$4&amp;"|"&amp;MAX(1,ROUND(COUNTIFS(MASTER!$B$4:$B$1463,$E$4,MASTER!$G$4:$G$1463,"&lt;&gt;")*$A120*100/100,0)),MASTER!$AH$4:$AH$1463,0))),NA()),IF($B$4="SECONDARY",IFERROR(IF(INDEX(MASTER!$L$4:$L$1463,MATCH($E$4&amp;"|"&amp;MAX(1,ROUND(COUNTIFS(MASTER!$B$4:$B$1463,$E$4,MASTER!$L$4:$L$1463,"&lt;&gt;")*$A120*100/100,0)),MASTER!$AI$4:$AI$1463,0))="",NA(),INDEX(MASTER!$L$4:$L$1463,MATCH($E$4&amp;"|"&amp;MAX(1,ROUND(COUNTIFS(MASTER!$B$4:$B$1463,$E$4,MASTER!$L$4:$L$1463,"&lt;&gt;")*$A120*100/100,0)),MASTER!$AI$4:$AI$1463,0))),NA()))))</f>
        <v>3649</v>
      </c>
    </row>
    <row r="121" spans="1:17" hidden="1">
      <c r="A121" s="36">
        <v>0.66</v>
      </c>
      <c r="B121" s="37">
        <f>IF($B$4="RESONANCE",IFERROR(IF(INDEX(MASTER!$I$4:$I$1463,MATCH("FUCT"&amp;"|"&amp;MAX(1,ROUND(COUNTIFS(MASTER!$B$4:$B$1463,"FUCT",MASTER!$I$4:$I$1463,"&lt;&gt;")*$A121*100/100,0)),MASTER!$Y$4:$Y$1463,0))="",NA(),INDEX(MASTER!$I$4:$I$1463,MATCH("FUCT"&amp;"|"&amp;MAX(1,ROUND(COUNTIFS(MASTER!$B$4:$B$1463,"FUCT",MASTER!$I$4:$I$1463,"&lt;&gt;")*$A121*100/100,0)),MASTER!$Y$4:$Y$1463,0))),NA()),IF($B$4="COMBAT RATING",IFERROR(IF(INDEX(MASTER!$G$4:$G$1463,MATCH("FUCT"&amp;"|"&amp;MAX(1,ROUND(COUNTIFS(MASTER!$B$4:$B$1463,"FUCT",MASTER!$G$4:$G$1463,"&lt;&gt;")*$A121*100/100,0)),MASTER!$AH$4:$AH$1463,0))="",NA(),INDEX(MASTER!$G$4:$G$1463,MATCH("FUCT"&amp;"|"&amp;MAX(1,ROUND(COUNTIFS(MASTER!$B$4:$B$1463,"FUCT",MASTER!$G$4:$G$1463,"&lt;&gt;")*$A121*100/100,0)),MASTER!$AH$4:$AH$1463,0))),NA()),IF($B$4="SECONDARY",IFERROR(IF(INDEX(MASTER!$L$4:$L$1463,MATCH("FUCT"&amp;"|"&amp;MAX(1,ROUND(COUNTIFS(MASTER!$B$4:$B$1463,"FUCT",MASTER!$L$4:$L$1463,"&lt;&gt;")*$A121*100/100,0)),MASTER!$AI$4:$AI$1463,0))="",NA(),INDEX(MASTER!$L$4:$L$1463,MATCH("FUCT"&amp;"|"&amp;MAX(1,ROUND(COUNTIFS(MASTER!$B$4:$B$1463,"FUCT",MASTER!$L$4:$L$1463,"&lt;&gt;")*$A121*100/100,0)),MASTER!$AI$4:$AI$1463,0))),NA()))))</f>
        <v>3832</v>
      </c>
      <c r="C121" s="37">
        <f>IF($B$4="RESONANCE",IFERROR(IF(INDEX(MASTER!$I$4:$I$1463,MATCH("LEGENDS"&amp;"|"&amp;MAX(1,ROUND(COUNTIFS(MASTER!$B$4:$B$1463,"LEGENDS",MASTER!$I$4:$I$1463,"&lt;&gt;")*$A121*100/100,0)),MASTER!$Y$4:$Y$1463,0))="",NA(),INDEX(MASTER!$I$4:$I$1463,MATCH("LEGENDS"&amp;"|"&amp;MAX(1,ROUND(COUNTIFS(MASTER!$B$4:$B$1463,"LEGENDS",MASTER!$I$4:$I$1463,"&lt;&gt;")*$A121*100/100,0)),MASTER!$Y$4:$Y$1463,0))),NA()),IF($B$4="COMBAT RATING",IFERROR(IF(INDEX(MASTER!$G$4:$G$1463,MATCH("LEGENDS"&amp;"|"&amp;MAX(1,ROUND(COUNTIFS(MASTER!$B$4:$B$1463,"LEGENDS",MASTER!$G$4:$G$1463,"&lt;&gt;")*$A121*100/100,0)),MASTER!$AH$4:$AH$1463,0))="",NA(),INDEX(MASTER!$G$4:$G$1463,MATCH("LEGENDS"&amp;"|"&amp;MAX(1,ROUND(COUNTIFS(MASTER!$B$4:$B$1463,"LEGENDS",MASTER!$G$4:$G$1463,"&lt;&gt;")*$A121*100/100,0)),MASTER!$AH$4:$AH$1463,0))),NA()),IF($B$4="SECONDARY",IFERROR(IF(INDEX(MASTER!$L$4:$L$1463,MATCH("LEGENDS"&amp;"|"&amp;MAX(1,ROUND(COUNTIFS(MASTER!$B$4:$B$1463,"LEGENDS",MASTER!$L$4:$L$1463,"&lt;&gt;")*$A121*100/100,0)),MASTER!$AI$4:$AI$1463,0))="",NA(),INDEX(MASTER!$L$4:$L$1463,MATCH("LEGENDS"&amp;"|"&amp;MAX(1,ROUND(COUNTIFS(MASTER!$B$4:$B$1463,"LEGENDS",MASTER!$L$4:$L$1463,"&lt;&gt;")*$A121*100/100,0)),MASTER!$AI$4:$AI$1463,0))),NA()))))</f>
        <v>4518</v>
      </c>
      <c r="D121" s="37">
        <f>IF($B$4="RESONANCE",IFERROR(IF(INDEX(MASTER!$I$4:$I$1463,MATCH("VANGUARD"&amp;"|"&amp;MAX(1,ROUND(COUNTIFS(MASTER!$B$4:$B$1463,"VANGUARD",MASTER!$I$4:$I$1463,"&lt;&gt;")*$A121*100/100,0)),MASTER!$Y$4:$Y$1463,0))="",NA(),INDEX(MASTER!$I$4:$I$1463,MATCH("VANGUARD"&amp;"|"&amp;MAX(1,ROUND(COUNTIFS(MASTER!$B$4:$B$1463,"VANGUARD",MASTER!$I$4:$I$1463,"&lt;&gt;")*$A121*100/100,0)),MASTER!$Y$4:$Y$1463,0))),NA()),IF($B$4="COMBAT RATING",IFERROR(IF(INDEX(MASTER!$G$4:$G$1463,MATCH("VANGUARD"&amp;"|"&amp;MAX(1,ROUND(COUNTIFS(MASTER!$B$4:$B$1463,"VANGUARD",MASTER!$G$4:$G$1463,"&lt;&gt;")*$A121*100/100,0)),MASTER!$AH$4:$AH$1463,0))="",NA(),INDEX(MASTER!$G$4:$G$1463,MATCH("VANGUARD"&amp;"|"&amp;MAX(1,ROUND(COUNTIFS(MASTER!$B$4:$B$1463,"VANGUARD",MASTER!$G$4:$G$1463,"&lt;&gt;")*$A121*100/100,0)),MASTER!$AH$4:$AH$1463,0))),NA()),IF($B$4="SECONDARY",IFERROR(IF(INDEX(MASTER!$L$4:$L$1463,MATCH("VANGUARD"&amp;"|"&amp;MAX(1,ROUND(COUNTIFS(MASTER!$B$4:$B$1463,"VANGUARD",MASTER!$L$4:$L$1463,"&lt;&gt;")*$A121*100/100,0)),MASTER!$AI$4:$AI$1463,0))="",NA(),INDEX(MASTER!$L$4:$L$1463,MATCH("VANGUARD"&amp;"|"&amp;MAX(1,ROUND(COUNTIFS(MASTER!$B$4:$B$1463,"VANGUARD",MASTER!$L$4:$L$1463,"&lt;&gt;")*$A121*100/100,0)),MASTER!$AI$4:$AI$1463,0))),NA()))))</f>
        <v>5270</v>
      </c>
      <c r="E121" s="37">
        <f>IF($B$4="RESONANCE",IFERROR(IF(INDEX(MASTER!$I$4:$I$1463,MATCH("UNDYING"&amp;"|"&amp;MAX(1,ROUND(COUNTIFS(MASTER!$B$4:$B$1463,"UNDYING",MASTER!$I$4:$I$1463,"&lt;&gt;")*$A121*100/100,0)),MASTER!$Y$4:$Y$1463,0))="",NA(),INDEX(MASTER!$I$4:$I$1463,MATCH("UNDYING"&amp;"|"&amp;MAX(1,ROUND(COUNTIFS(MASTER!$B$4:$B$1463,"UNDYING",MASTER!$I$4:$I$1463,"&lt;&gt;")*$A121*100/100,0)),MASTER!$Y$4:$Y$1463,0))),NA()),IF($B$4="COMBAT RATING",IFERROR(IF(INDEX(MASTER!$G$4:$G$1463,MATCH("UNDYING"&amp;"|"&amp;MAX(1,ROUND(COUNTIFS(MASTER!$B$4:$B$1463,"UNDYING",MASTER!$G$4:$G$1463,"&lt;&gt;")*$A121*100/100,0)),MASTER!$AH$4:$AH$1463,0))="",NA(),INDEX(MASTER!$G$4:$G$1463,MATCH("UNDYING"&amp;"|"&amp;MAX(1,ROUND(COUNTIFS(MASTER!$B$4:$B$1463,"UNDYING",MASTER!$G$4:$G$1463,"&lt;&gt;")*$A121*100/100,0)),MASTER!$AH$4:$AH$1463,0))),NA()),IF($B$4="SECONDARY",IFERROR(IF(INDEX(MASTER!$L$4:$L$1463,MATCH("UNDYING"&amp;"|"&amp;MAX(1,ROUND(COUNTIFS(MASTER!$B$4:$B$1463,"UNDYING",MASTER!$L$4:$L$1463,"&lt;&gt;")*$A121*100/100,0)),MASTER!$AI$4:$AI$1463,0))="",NA(),INDEX(MASTER!$L$4:$L$1463,MATCH("UNDYING"&amp;"|"&amp;MAX(1,ROUND(COUNTIFS(MASTER!$B$4:$B$1463,"UNDYING",MASTER!$L$4:$L$1463,"&lt;&gt;")*$A121*100/100,0)),MASTER!$AI$4:$AI$1463,0))),NA()))))</f>
        <v>3632</v>
      </c>
      <c r="F121" s="37">
        <f>IF($B$4="RESONANCE",IFERROR(IF(INDEX(MASTER!$I$4:$I$1463,MATCH("SBG"&amp;"|"&amp;MAX(1,ROUND(COUNTIFS(MASTER!$B$4:$B$1463,"SBG",MASTER!$I$4:$I$1463,"&lt;&gt;")*$A121*100/100,0)),MASTER!$Y$4:$Y$1463,0))="",NA(),INDEX(MASTER!$I$4:$I$1463,MATCH("SBG"&amp;"|"&amp;MAX(1,ROUND(COUNTIFS(MASTER!$B$4:$B$1463,"SBG",MASTER!$I$4:$I$1463,"&lt;&gt;")*$A121*100/100,0)),MASTER!$Y$4:$Y$1463,0))),NA()),IF($B$4="COMBAT RATING",IFERROR(IF(INDEX(MASTER!$G$4:$G$1463,MATCH("SBG"&amp;"|"&amp;MAX(1,ROUND(COUNTIFS(MASTER!$B$4:$B$1463,"SBG",MASTER!$G$4:$G$1463,"&lt;&gt;")*$A121*100/100,0)),MASTER!$AH$4:$AH$1463,0))="",NA(),INDEX(MASTER!$G$4:$G$1463,MATCH("SBG"&amp;"|"&amp;MAX(1,ROUND(COUNTIFS(MASTER!$B$4:$B$1463,"SBG",MASTER!$G$4:$G$1463,"&lt;&gt;")*$A121*100/100,0)),MASTER!$AH$4:$AH$1463,0))),NA()),IF($B$4="SECONDARY",IFERROR(IF(INDEX(MASTER!$L$4:$L$1463,MATCH("SBG"&amp;"|"&amp;MAX(1,ROUND(COUNTIFS(MASTER!$B$4:$B$1463,"SBG",MASTER!$L$4:$L$1463,"&lt;&gt;")*$A121*100/100,0)),MASTER!$AI$4:$AI$1463,0))="",NA(),INDEX(MASTER!$L$4:$L$1463,MATCH("SBG"&amp;"|"&amp;MAX(1,ROUND(COUNTIFS(MASTER!$B$4:$B$1463,"SBG",MASTER!$L$4:$L$1463,"&lt;&gt;")*$A121*100/100,0)),MASTER!$AI$4:$AI$1463,0))),NA()))))</f>
        <v>4408</v>
      </c>
      <c r="G121" s="37">
        <f>IF($B$4="RESONANCE",IFERROR(IF(INDEX(MASTER!$I$4:$I$1463,MATCH("AZUKI"&amp;"|"&amp;MAX(1,ROUND(COUNTIFS(MASTER!$B$4:$B$1463,"AZUKI",MASTER!$I$4:$I$1463,"&lt;&gt;")*$A121*100/100,0)),MASTER!$Y$4:$Y$1463,0))="",NA(),INDEX(MASTER!$I$4:$I$1463,MATCH("AZUKI"&amp;"|"&amp;MAX(1,ROUND(COUNTIFS(MASTER!$B$4:$B$1463,"AZUKI",MASTER!$I$4:$I$1463,"&lt;&gt;")*$A121*100/100,0)),MASTER!$Y$4:$Y$1463,0))),NA()),IF($B$4="COMBAT RATING",IFERROR(IF(INDEX(MASTER!$G$4:$G$1463,MATCH("AZUKI"&amp;"|"&amp;MAX(1,ROUND(COUNTIFS(MASTER!$B$4:$B$1463,"AZUKI",MASTER!$G$4:$G$1463,"&lt;&gt;")*$A121*100/100,0)),MASTER!$AH$4:$AH$1463,0))="",NA(),INDEX(MASTER!$G$4:$G$1463,MATCH("AZUKI"&amp;"|"&amp;MAX(1,ROUND(COUNTIFS(MASTER!$B$4:$B$1463,"AZUKI",MASTER!$G$4:$G$1463,"&lt;&gt;")*$A121*100/100,0)),MASTER!$AH$4:$AH$1463,0))),NA()),IF($B$4="SECONDARY",IFERROR(IF(INDEX(MASTER!$L$4:$L$1463,MATCH("AZUKI"&amp;"|"&amp;MAX(1,ROUND(COUNTIFS(MASTER!$B$4:$B$1463,"AZUKI",MASTER!$L$4:$L$1463,"&lt;&gt;")*$A121*100/100,0)),MASTER!$AI$4:$AI$1463,0))="",NA(),INDEX(MASTER!$L$4:$L$1463,MATCH("AZUKI"&amp;"|"&amp;MAX(1,ROUND(COUNTIFS(MASTER!$B$4:$B$1463,"AZUKI",MASTER!$L$4:$L$1463,"&lt;&gt;")*$A121*100/100,0)),MASTER!$AI$4:$AI$1463,0))),NA()))))</f>
        <v>3758</v>
      </c>
      <c r="H121" s="37">
        <f>IF($B$4="RESONANCE",IFERROR(IF(INDEX(MASTER!$I$4:$I$1463,MATCH("RECKONING"&amp;"|"&amp;MAX(1,ROUND(COUNTIFS(MASTER!$B$4:$B$1463,"RECKONING",MASTER!$I$4:$I$1463,"&lt;&gt;")*$A121*100/100,0)),MASTER!$Y$4:$Y$1463,0))="",NA(),INDEX(MASTER!$I$4:$I$1463,MATCH("RECKONING"&amp;"|"&amp;MAX(1,ROUND(COUNTIFS(MASTER!$B$4:$B$1463,"RECKONING",MASTER!$I$4:$I$1463,"&lt;&gt;")*$A121*100/100,0)),MASTER!$Y$4:$Y$1463,0))),NA()),IF($B$4="COMBAT RATING",IFERROR(IF(INDEX(MASTER!$G$4:$G$1463,MATCH("RECKONING"&amp;"|"&amp;MAX(1,ROUND(COUNTIFS(MASTER!$B$4:$B$1463,"RECKONING",MASTER!$G$4:$G$1463,"&lt;&gt;")*$A121*100/100,0)),MASTER!$AH$4:$AH$1463,0))="",NA(),INDEX(MASTER!$G$4:$G$1463,MATCH("RECKONING"&amp;"|"&amp;MAX(1,ROUND(COUNTIFS(MASTER!$B$4:$B$1463,"RECKONING",MASTER!$G$4:$G$1463,"&lt;&gt;")*$A121*100/100,0)),MASTER!$AH$4:$AH$1463,0))),NA()),IF($B$4="SECONDARY",IFERROR(IF(INDEX(MASTER!$L$4:$L$1463,MATCH("RECKONING"&amp;"|"&amp;MAX(1,ROUND(COUNTIFS(MASTER!$B$4:$B$1463,"RECKONING",MASTER!$L$4:$L$1463,"&lt;&gt;")*$A121*100/100,0)),MASTER!$AI$4:$AI$1463,0))="",NA(),INDEX(MASTER!$L$4:$L$1463,MATCH("RECKONING"&amp;"|"&amp;MAX(1,ROUND(COUNTIFS(MASTER!$B$4:$B$1463,"RECKONING",MASTER!$L$4:$L$1463,"&lt;&gt;")*$A121*100/100,0)),MASTER!$AI$4:$AI$1463,0))),NA()))))</f>
        <v>3948</v>
      </c>
      <c r="I121" s="37">
        <f>IF($B$4="RESONANCE",IFERROR(IF(INDEX(MASTER!$I$4:$I$1463,MATCH("ACHERON"&amp;"|"&amp;MAX(1,ROUND(COUNTIFS(MASTER!$B$4:$B$1463,"ACHERON",MASTER!$I$4:$I$1463,"&lt;&gt;")*$A121*100/100,0)),MASTER!$Y$4:$Y$1463,0))="",NA(),INDEX(MASTER!$I$4:$I$1463,MATCH("ACHERON"&amp;"|"&amp;MAX(1,ROUND(COUNTIFS(MASTER!$B$4:$B$1463,"ACHERON",MASTER!$I$4:$I$1463,"&lt;&gt;")*$A121*100/100,0)),MASTER!$Y$4:$Y$1463,0))),NA()),IF($B$4="COMBAT RATING",IFERROR(IF(INDEX(MASTER!$G$4:$G$1463,MATCH("ACHERON"&amp;"|"&amp;MAX(1,ROUND(COUNTIFS(MASTER!$B$4:$B$1463,"ACHERON",MASTER!$G$4:$G$1463,"&lt;&gt;")*$A121*100/100,0)),MASTER!$AH$4:$AH$1463,0))="",NA(),INDEX(MASTER!$G$4:$G$1463,MATCH("ACHERON"&amp;"|"&amp;MAX(1,ROUND(COUNTIFS(MASTER!$B$4:$B$1463,"ACHERON",MASTER!$G$4:$G$1463,"&lt;&gt;")*$A121*100/100,0)),MASTER!$AH$4:$AH$1463,0))),NA()),IF($B$4="SECONDARY",IFERROR(IF(INDEX(MASTER!$L$4:$L$1463,MATCH("ACHERON"&amp;"|"&amp;MAX(1,ROUND(COUNTIFS(MASTER!$B$4:$B$1463,"ACHERON",MASTER!$L$4:$L$1463,"&lt;&gt;")*$A121*100/100,0)),MASTER!$AI$4:$AI$1463,0))="",NA(),INDEX(MASTER!$L$4:$L$1463,MATCH("ACHERON"&amp;"|"&amp;MAX(1,ROUND(COUNTIFS(MASTER!$B$4:$B$1463,"ACHERON",MASTER!$L$4:$L$1463,"&lt;&gt;")*$A121*100/100,0)),MASTER!$AI$4:$AI$1463,0))),NA()))))</f>
        <v>3172</v>
      </c>
      <c r="J121" s="37">
        <f>IF($B$4="RESONANCE",IFERROR(IF(INDEX(MASTER!$I$4:$I$1463,MATCH("INVICTUS"&amp;"|"&amp;MAX(1,ROUND(COUNTIFS(MASTER!$B$4:$B$1463,"INVICTUS",MASTER!$I$4:$I$1463,"&lt;&gt;")*$A121*100/100,0)),MASTER!$Y$4:$Y$1463,0))="",NA(),INDEX(MASTER!$I$4:$I$1463,MATCH("INVICTUS"&amp;"|"&amp;MAX(1,ROUND(COUNTIFS(MASTER!$B$4:$B$1463,"INVICTUS",MASTER!$I$4:$I$1463,"&lt;&gt;")*$A121*100/100,0)),MASTER!$Y$4:$Y$1463,0))),NA()),IF($B$4="COMBAT RATING",IFERROR(IF(INDEX(MASTER!$G$4:$G$1463,MATCH("INVICTUS"&amp;"|"&amp;MAX(1,ROUND(COUNTIFS(MASTER!$B$4:$B$1463,"INVICTUS",MASTER!$G$4:$G$1463,"&lt;&gt;")*$A121*100/100,0)),MASTER!$AH$4:$AH$1463,0))="",NA(),INDEX(MASTER!$G$4:$G$1463,MATCH("INVICTUS"&amp;"|"&amp;MAX(1,ROUND(COUNTIFS(MASTER!$B$4:$B$1463,"INVICTUS",MASTER!$G$4:$G$1463,"&lt;&gt;")*$A121*100/100,0)),MASTER!$AH$4:$AH$1463,0))),NA()),IF($B$4="SECONDARY",IFERROR(IF(INDEX(MASTER!$L$4:$L$1463,MATCH("INVICTUS"&amp;"|"&amp;MAX(1,ROUND(COUNTIFS(MASTER!$B$4:$B$1463,"INVICTUS",MASTER!$L$4:$L$1463,"&lt;&gt;")*$A121*100/100,0)),MASTER!$AI$4:$AI$1463,0))="",NA(),INDEX(MASTER!$L$4:$L$1463,MATCH("INVICTUS"&amp;"|"&amp;MAX(1,ROUND(COUNTIFS(MASTER!$B$4:$B$1463,"INVICTUS",MASTER!$L$4:$L$1463,"&lt;&gt;")*$A121*100/100,0)),MASTER!$AI$4:$AI$1463,0))),NA()))))</f>
        <v>2634</v>
      </c>
      <c r="K121" s="37">
        <f>IF($B$4="RESONANCE",IFERROR(IF(INDEX(MASTER!$I$4:$I$1463,MATCH("EMERALD LEAF TRIBE"&amp;"|"&amp;MAX(1,ROUND(COUNTIFS(MASTER!$B$4:$B$1463,"EMERALD LEAF TRIBE",MASTER!$I$4:$I$1463,"&lt;&gt;")*$A121*100/100,0)),MASTER!$Y$4:$Y$1463,0))="",NA(),INDEX(MASTER!$I$4:$I$1463,MATCH("EMERALD LEAF TRIBE"&amp;"|"&amp;MAX(1,ROUND(COUNTIFS(MASTER!$B$4:$B$1463,"EMERALD LEAF TRIBE",MASTER!$I$4:$I$1463,"&lt;&gt;")*$A121*100/100,0)),MASTER!$Y$4:$Y$1463,0))),NA()),IF($B$4="COMBAT RATING",IFERROR(IF(INDEX(MASTER!$G$4:$G$1463,MATCH("EMERALD LEAF TRIBE"&amp;"|"&amp;MAX(1,ROUND(COUNTIFS(MASTER!$B$4:$B$1463,"EMERALD LEAF TRIBE",MASTER!$G$4:$G$1463,"&lt;&gt;")*$A121*100/100,0)),MASTER!$AH$4:$AH$1463,0))="",NA(),INDEX(MASTER!$G$4:$G$1463,MATCH("EMERALD LEAF TRIBE"&amp;"|"&amp;MAX(1,ROUND(COUNTIFS(MASTER!$B$4:$B$1463,"EMERALD LEAF TRIBE",MASTER!$G$4:$G$1463,"&lt;&gt;")*$A121*100/100,0)),MASTER!$AH$4:$AH$1463,0))),NA()),IF($B$4="SECONDARY",IFERROR(IF(INDEX(MASTER!$L$4:$L$1463,MATCH("EMERALD LEAF TRIBE"&amp;"|"&amp;MAX(1,ROUND(COUNTIFS(MASTER!$B$4:$B$1463,"EMERALD LEAF TRIBE",MASTER!$L$4:$L$1463,"&lt;&gt;")*$A121*100/100,0)),MASTER!$AI$4:$AI$1463,0))="",NA(),INDEX(MASTER!$L$4:$L$1463,MATCH("EMERALD LEAF TRIBE"&amp;"|"&amp;MAX(1,ROUND(COUNTIFS(MASTER!$B$4:$B$1463,"EMERALD LEAF TRIBE",MASTER!$L$4:$L$1463,"&lt;&gt;")*$A121*100/100,0)),MASTER!$AI$4:$AI$1463,0))),NA()))))</f>
        <v>1662</v>
      </c>
      <c r="L121" s="37">
        <f>IF($B$4="RESONANCE",IFERROR(IF(INDEX(MASTER!$I$4:$I$1463,MATCH("SUB ROSA"&amp;"|"&amp;MAX(1,ROUND(COUNTIFS(MASTER!$B$4:$B$1463,"SUB ROSA",MASTER!$I$4:$I$1463,"&lt;&gt;")*$A121*100/100,0)),MASTER!$Y$4:$Y$1463,0))="",NA(),INDEX(MASTER!$I$4:$I$1463,MATCH("SUB ROSA"&amp;"|"&amp;MAX(1,ROUND(COUNTIFS(MASTER!$B$4:$B$1463,"SUB ROSA",MASTER!$I$4:$I$1463,"&lt;&gt;")*$A121*100/100,0)),MASTER!$Y$4:$Y$1463,0))),NA()),IF($B$4="COMBAT RATING",IFERROR(IF(INDEX(MASTER!$G$4:$G$1463,MATCH("SUB ROSA"&amp;"|"&amp;MAX(1,ROUND(COUNTIFS(MASTER!$B$4:$B$1463,"SUB ROSA",MASTER!$G$4:$G$1463,"&lt;&gt;")*$A121*100/100,0)),MASTER!$AH$4:$AH$1463,0))="",NA(),INDEX(MASTER!$G$4:$G$1463,MATCH("SUB ROSA"&amp;"|"&amp;MAX(1,ROUND(COUNTIFS(MASTER!$B$4:$B$1463,"SUB ROSA",MASTER!$G$4:$G$1463,"&lt;&gt;")*$A121*100/100,0)),MASTER!$AH$4:$AH$1463,0))),NA()),IF($B$4="SECONDARY",IFERROR(IF(INDEX(MASTER!$L$4:$L$1463,MATCH("SUB ROSA"&amp;"|"&amp;MAX(1,ROUND(COUNTIFS(MASTER!$B$4:$B$1463,"SUB ROSA",MASTER!$L$4:$L$1463,"&lt;&gt;")*$A121*100/100,0)),MASTER!$AI$4:$AI$1463,0))="",NA(),INDEX(MASTER!$L$4:$L$1463,MATCH("SUB ROSA"&amp;"|"&amp;MAX(1,ROUND(COUNTIFS(MASTER!$B$4:$B$1463,"SUB ROSA",MASTER!$L$4:$L$1463,"&lt;&gt;")*$A121*100/100,0)),MASTER!$AI$4:$AI$1463,0))),NA()))))</f>
        <v>1969</v>
      </c>
      <c r="M121" s="37">
        <f>IF($B$4="RESONANCE",IFERROR(IF(INDEX(MASTER!$I$4:$I$1463,MATCH("VENGEANCE"&amp;"|"&amp;MAX(1,ROUND(COUNTIFS(MASTER!$B$4:$B$1463,"VENGEANCE",MASTER!$I$4:$I$1463,"&lt;&gt;")*$A121*100/100,0)),MASTER!$Y$4:$Y$1463,0))="",NA(),INDEX(MASTER!$I$4:$I$1463,MATCH("VENGEANCE"&amp;"|"&amp;MAX(1,ROUND(COUNTIFS(MASTER!$B$4:$B$1463,"VENGEANCE",MASTER!$I$4:$I$1463,"&lt;&gt;")*$A121*100/100,0)),MASTER!$Y$4:$Y$1463,0))),NA()),IF($B$4="COMBAT RATING",IFERROR(IF(INDEX(MASTER!$G$4:$G$1463,MATCH("VENGEANCE"&amp;"|"&amp;MAX(1,ROUND(COUNTIFS(MASTER!$B$4:$B$1463,"VENGEANCE",MASTER!$G$4:$G$1463,"&lt;&gt;")*$A121*100/100,0)),MASTER!$AH$4:$AH$1463,0))="",NA(),INDEX(MASTER!$G$4:$G$1463,MATCH("VENGEANCE"&amp;"|"&amp;MAX(1,ROUND(COUNTIFS(MASTER!$B$4:$B$1463,"VENGEANCE",MASTER!$G$4:$G$1463,"&lt;&gt;")*$A121*100/100,0)),MASTER!$AH$4:$AH$1463,0))),NA()),IF($B$4="SECONDARY",IFERROR(IF(INDEX(MASTER!$L$4:$L$1463,MATCH("VENGEANCE"&amp;"|"&amp;MAX(1,ROUND(COUNTIFS(MASTER!$B$4:$B$1463,"VENGEANCE",MASTER!$L$4:$L$1463,"&lt;&gt;")*$A121*100/100,0)),MASTER!$AI$4:$AI$1463,0))="",NA(),INDEX(MASTER!$L$4:$L$1463,MATCH("VENGEANCE"&amp;"|"&amp;MAX(1,ROUND(COUNTIFS(MASTER!$B$4:$B$1463,"VENGEANCE",MASTER!$L$4:$L$1463,"&lt;&gt;")*$A121*100/100,0)),MASTER!$AI$4:$AI$1463,0))),NA()))))</f>
        <v>2803</v>
      </c>
      <c r="N121" s="37">
        <f>IF($B$4="RESONANCE",IFERROR(IF(INDEX(MASTER!$I$4:$I$1463,MATCH("VENDETTA"&amp;"|"&amp;MAX(1,ROUND(COUNTIFS(MASTER!$B$4:$B$1463,"VENDETTA",MASTER!$I$4:$I$1463,"&lt;&gt;")*$A121*100/100,0)),MASTER!$Y$4:$Y$1463,0))="",NA(),INDEX(MASTER!$I$4:$I$1463,MATCH("VENDETTA"&amp;"|"&amp;MAX(1,ROUND(COUNTIFS(MASTER!$B$4:$B$1463,"VENDETTA",MASTER!$I$4:$I$1463,"&lt;&gt;")*$A121*100/100,0)),MASTER!$Y$4:$Y$1463,0))),NA()),IF($B$4="COMBAT RATING",IFERROR(IF(INDEX(MASTER!$G$4:$G$1463,MATCH("VENDETTA"&amp;"|"&amp;MAX(1,ROUND(COUNTIFS(MASTER!$B$4:$B$1463,"VENDETTA",MASTER!$G$4:$G$1463,"&lt;&gt;")*$A121*100/100,0)),MASTER!$AH$4:$AH$1463,0))="",NA(),INDEX(MASTER!$G$4:$G$1463,MATCH("VENDETTA"&amp;"|"&amp;MAX(1,ROUND(COUNTIFS(MASTER!$B$4:$B$1463,"VENDETTA",MASTER!$G$4:$G$1463,"&lt;&gt;")*$A121*100/100,0)),MASTER!$AH$4:$AH$1463,0))),NA()),IF($B$4="SECONDARY",IFERROR(IF(INDEX(MASTER!$L$4:$L$1463,MATCH("VENDETTA"&amp;"|"&amp;MAX(1,ROUND(COUNTIFS(MASTER!$B$4:$B$1463,"VENDETTA",MASTER!$L$4:$L$1463,"&lt;&gt;")*$A121*100/100,0)),MASTER!$AI$4:$AI$1463,0))="",NA(),INDEX(MASTER!$L$4:$L$1463,MATCH("VENDETTA"&amp;"|"&amp;MAX(1,ROUND(COUNTIFS(MASTER!$B$4:$B$1463,"VENDETTA",MASTER!$L$4:$L$1463,"&lt;&gt;")*$A121*100/100,0)),MASTER!$AI$4:$AI$1463,0))),NA()))))</f>
        <v>1570</v>
      </c>
      <c r="O121" s="37">
        <f>IF($B$4="RESONANCE",IFERROR(IF(INDEX(MASTER!$I$4:$I$1463,MATCH("ZOMBIES"&amp;"|"&amp;MAX(1,ROUND(COUNTIFS(MASTER!$B$4:$B$1463,"ZOMBIES",MASTER!$I$4:$I$1463,"&lt;&gt;")*$A121*100/100,0)),MASTER!$Y$4:$Y$1463,0))="",NA(),INDEX(MASTER!$I$4:$I$1463,MATCH("ZOMBIES"&amp;"|"&amp;MAX(1,ROUND(COUNTIFS(MASTER!$B$4:$B$1463,"ZOMBIES",MASTER!$I$4:$I$1463,"&lt;&gt;")*$A121*100/100,0)),MASTER!$Y$4:$Y$1463,0))),NA()),IF($B$4="COMBAT RATING",IFERROR(IF(INDEX(MASTER!$G$4:$G$1463,MATCH("ZOMBIES"&amp;"|"&amp;MAX(1,ROUND(COUNTIFS(MASTER!$B$4:$B$1463,"ZOMBIES",MASTER!$G$4:$G$1463,"&lt;&gt;")*$A121*100/100,0)),MASTER!$AH$4:$AH$1463,0))="",NA(),INDEX(MASTER!$G$4:$G$1463,MATCH("ZOMBIES"&amp;"|"&amp;MAX(1,ROUND(COUNTIFS(MASTER!$B$4:$B$1463,"ZOMBIES",MASTER!$G$4:$G$1463,"&lt;&gt;")*$A121*100/100,0)),MASTER!$AH$4:$AH$1463,0))),NA()),IF($B$4="SECONDARY",IFERROR(IF(INDEX(MASTER!$L$4:$L$1463,MATCH("ZOMBIES"&amp;"|"&amp;MAX(1,ROUND(COUNTIFS(MASTER!$B$4:$B$1463,"ZOMBIES",MASTER!$L$4:$L$1463,"&lt;&gt;")*$A121*100/100,0)),MASTER!$AI$4:$AI$1463,0))="",NA(),INDEX(MASTER!$L$4:$L$1463,MATCH("ZOMBIES"&amp;"|"&amp;MAX(1,ROUND(COUNTIFS(MASTER!$B$4:$B$1463,"ZOMBIES",MASTER!$L$4:$L$1463,"&lt;&gt;")*$A121*100/100,0)),MASTER!$AI$4:$AI$1463,0))),NA()))))</f>
        <v>1404</v>
      </c>
      <c r="P121" s="37">
        <f>IF($B$4="RESONANCE",IFERROR(IF(INDEX(MASTER!$I$4:$I$1463,MATCH("FUCT"&amp;"|"&amp;MAX(1,ROUND(COUNTIFS(MASTER!$B$4:$B$1463,"FUCT",MASTER!$I$4:$I$1463,"&lt;&gt;")*$A121*100/100,0)),MASTER!$Y$4:$Y$1463,0))="",NA(),INDEX(MASTER!$I$4:$I$1463,MATCH("FUCT"&amp;"|"&amp;MAX(1,ROUND(COUNTIFS(MASTER!$B$4:$B$1463,"FUCT",MASTER!$I$4:$I$1463,"&lt;&gt;")*$A121*100/100,0)),MASTER!$Y$4:$Y$1463,0))),NA()),IF($B$4="COMBAT RATING",IFERROR(IF(INDEX(MASTER!$G$4:$G$1463,MATCH("FUCT"&amp;"|"&amp;MAX(1,ROUND(COUNTIFS(MASTER!$B$4:$B$1463,"FUCT",MASTER!$G$4:$G$1463,"&lt;&gt;")*$A121*100/100,0)),MASTER!$AH$4:$AH$1463,0))="",NA(),INDEX(MASTER!$G$4:$G$1463,MATCH("FUCT"&amp;"|"&amp;MAX(1,ROUND(COUNTIFS(MASTER!$B$4:$B$1463,"FUCT",MASTER!$G$4:$G$1463,"&lt;&gt;")*$A121*100/100,0)),MASTER!$AH$4:$AH$1463,0))),NA()),IF($B$4="SECONDARY",IFERROR(IF(INDEX(MASTER!$L$4:$L$1463,MATCH("FUCT"&amp;"|"&amp;MAX(1,ROUND(COUNTIFS(MASTER!$B$4:$B$1463,"FUCT",MASTER!$L$4:$L$1463,"&lt;&gt;")*$A121*100/100,0)),MASTER!$AI$4:$AI$1463,0))="",NA(),INDEX(MASTER!$L$4:$L$1463,MATCH("FUCT"&amp;"|"&amp;MAX(1,ROUND(COUNTIFS(MASTER!$B$4:$B$1463,"FUCT",MASTER!$L$4:$L$1463,"&lt;&gt;")*$A121*100/100,0)),MASTER!$AI$4:$AI$1463,0))),NA()))))</f>
        <v>3832</v>
      </c>
      <c r="Q121" s="37">
        <f>IF($B$4="RESONANCE",IFERROR(IF(INDEX(MASTER!$I$4:$I$1463,MATCH($E$4&amp;"|"&amp;MAX(1,ROUND(COUNTIFS(MASTER!$B$4:$B$1463,$E$4,MASTER!$I$4:$I$1463,"&lt;&gt;")*$A121*100/100,0)),MASTER!$Y$4:$Y$1463,0))="",NA(),INDEX(MASTER!$I$4:$I$1463,MATCH($E$4&amp;"|"&amp;MAX(1,ROUND(COUNTIFS(MASTER!$B$4:$B$1463,$E$4,MASTER!$I$4:$I$1463,"&lt;&gt;")*$A121*100/100,0)),MASTER!$Y$4:$Y$1463,0))),NA()),IF($B$4="COMBAT RATING",IFERROR(IF(INDEX(MASTER!$G$4:$G$1463,MATCH($E$4&amp;"|"&amp;MAX(1,ROUND(COUNTIFS(MASTER!$B$4:$B$1463,$E$4,MASTER!$G$4:$G$1463,"&lt;&gt;")*$A121*100/100,0)),MASTER!$AH$4:$AH$1463,0))="",NA(),INDEX(MASTER!$G$4:$G$1463,MATCH($E$4&amp;"|"&amp;MAX(1,ROUND(COUNTIFS(MASTER!$B$4:$B$1463,$E$4,MASTER!$G$4:$G$1463,"&lt;&gt;")*$A121*100/100,0)),MASTER!$AH$4:$AH$1463,0))),NA()),IF($B$4="SECONDARY",IFERROR(IF(INDEX(MASTER!$L$4:$L$1463,MATCH($E$4&amp;"|"&amp;MAX(1,ROUND(COUNTIFS(MASTER!$B$4:$B$1463,$E$4,MASTER!$L$4:$L$1463,"&lt;&gt;")*$A121*100/100,0)),MASTER!$AI$4:$AI$1463,0))="",NA(),INDEX(MASTER!$L$4:$L$1463,MATCH($E$4&amp;"|"&amp;MAX(1,ROUND(COUNTIFS(MASTER!$B$4:$B$1463,$E$4,MASTER!$L$4:$L$1463,"&lt;&gt;")*$A121*100/100,0)),MASTER!$AI$4:$AI$1463,0))),NA()))))</f>
        <v>3632</v>
      </c>
    </row>
    <row r="122" spans="1:17" hidden="1">
      <c r="A122" s="36">
        <v>0.67</v>
      </c>
      <c r="B122" s="37">
        <f>IF($B$4="RESONANCE",IFERROR(IF(INDEX(MASTER!$I$4:$I$1463,MATCH("FUCT"&amp;"|"&amp;MAX(1,ROUND(COUNTIFS(MASTER!$B$4:$B$1463,"FUCT",MASTER!$I$4:$I$1463,"&lt;&gt;")*$A122*100/100,0)),MASTER!$Y$4:$Y$1463,0))="",NA(),INDEX(MASTER!$I$4:$I$1463,MATCH("FUCT"&amp;"|"&amp;MAX(1,ROUND(COUNTIFS(MASTER!$B$4:$B$1463,"FUCT",MASTER!$I$4:$I$1463,"&lt;&gt;")*$A122*100/100,0)),MASTER!$Y$4:$Y$1463,0))),NA()),IF($B$4="COMBAT RATING",IFERROR(IF(INDEX(MASTER!$G$4:$G$1463,MATCH("FUCT"&amp;"|"&amp;MAX(1,ROUND(COUNTIFS(MASTER!$B$4:$B$1463,"FUCT",MASTER!$G$4:$G$1463,"&lt;&gt;")*$A122*100/100,0)),MASTER!$AH$4:$AH$1463,0))="",NA(),INDEX(MASTER!$G$4:$G$1463,MATCH("FUCT"&amp;"|"&amp;MAX(1,ROUND(COUNTIFS(MASTER!$B$4:$B$1463,"FUCT",MASTER!$G$4:$G$1463,"&lt;&gt;")*$A122*100/100,0)),MASTER!$AH$4:$AH$1463,0))),NA()),IF($B$4="SECONDARY",IFERROR(IF(INDEX(MASTER!$L$4:$L$1463,MATCH("FUCT"&amp;"|"&amp;MAX(1,ROUND(COUNTIFS(MASTER!$B$4:$B$1463,"FUCT",MASTER!$L$4:$L$1463,"&lt;&gt;")*$A122*100/100,0)),MASTER!$AI$4:$AI$1463,0))="",NA(),INDEX(MASTER!$L$4:$L$1463,MATCH("FUCT"&amp;"|"&amp;MAX(1,ROUND(COUNTIFS(MASTER!$B$4:$B$1463,"FUCT",MASTER!$L$4:$L$1463,"&lt;&gt;")*$A122*100/100,0)),MASTER!$AI$4:$AI$1463,0))),NA()))))</f>
        <v>3823</v>
      </c>
      <c r="C122" s="37">
        <f>IF($B$4="RESONANCE",IFERROR(IF(INDEX(MASTER!$I$4:$I$1463,MATCH("LEGENDS"&amp;"|"&amp;MAX(1,ROUND(COUNTIFS(MASTER!$B$4:$B$1463,"LEGENDS",MASTER!$I$4:$I$1463,"&lt;&gt;")*$A122*100/100,0)),MASTER!$Y$4:$Y$1463,0))="",NA(),INDEX(MASTER!$I$4:$I$1463,MATCH("LEGENDS"&amp;"|"&amp;MAX(1,ROUND(COUNTIFS(MASTER!$B$4:$B$1463,"LEGENDS",MASTER!$I$4:$I$1463,"&lt;&gt;")*$A122*100/100,0)),MASTER!$Y$4:$Y$1463,0))),NA()),IF($B$4="COMBAT RATING",IFERROR(IF(INDEX(MASTER!$G$4:$G$1463,MATCH("LEGENDS"&amp;"|"&amp;MAX(1,ROUND(COUNTIFS(MASTER!$B$4:$B$1463,"LEGENDS",MASTER!$G$4:$G$1463,"&lt;&gt;")*$A122*100/100,0)),MASTER!$AH$4:$AH$1463,0))="",NA(),INDEX(MASTER!$G$4:$G$1463,MATCH("LEGENDS"&amp;"|"&amp;MAX(1,ROUND(COUNTIFS(MASTER!$B$4:$B$1463,"LEGENDS",MASTER!$G$4:$G$1463,"&lt;&gt;")*$A122*100/100,0)),MASTER!$AH$4:$AH$1463,0))),NA()),IF($B$4="SECONDARY",IFERROR(IF(INDEX(MASTER!$L$4:$L$1463,MATCH("LEGENDS"&amp;"|"&amp;MAX(1,ROUND(COUNTIFS(MASTER!$B$4:$B$1463,"LEGENDS",MASTER!$L$4:$L$1463,"&lt;&gt;")*$A122*100/100,0)),MASTER!$AI$4:$AI$1463,0))="",NA(),INDEX(MASTER!$L$4:$L$1463,MATCH("LEGENDS"&amp;"|"&amp;MAX(1,ROUND(COUNTIFS(MASTER!$B$4:$B$1463,"LEGENDS",MASTER!$L$4:$L$1463,"&lt;&gt;")*$A122*100/100,0)),MASTER!$AI$4:$AI$1463,0))),NA()))))</f>
        <v>4469</v>
      </c>
      <c r="D122" s="37">
        <f>IF($B$4="RESONANCE",IFERROR(IF(INDEX(MASTER!$I$4:$I$1463,MATCH("VANGUARD"&amp;"|"&amp;MAX(1,ROUND(COUNTIFS(MASTER!$B$4:$B$1463,"VANGUARD",MASTER!$I$4:$I$1463,"&lt;&gt;")*$A122*100/100,0)),MASTER!$Y$4:$Y$1463,0))="",NA(),INDEX(MASTER!$I$4:$I$1463,MATCH("VANGUARD"&amp;"|"&amp;MAX(1,ROUND(COUNTIFS(MASTER!$B$4:$B$1463,"VANGUARD",MASTER!$I$4:$I$1463,"&lt;&gt;")*$A122*100/100,0)),MASTER!$Y$4:$Y$1463,0))),NA()),IF($B$4="COMBAT RATING",IFERROR(IF(INDEX(MASTER!$G$4:$G$1463,MATCH("VANGUARD"&amp;"|"&amp;MAX(1,ROUND(COUNTIFS(MASTER!$B$4:$B$1463,"VANGUARD",MASTER!$G$4:$G$1463,"&lt;&gt;")*$A122*100/100,0)),MASTER!$AH$4:$AH$1463,0))="",NA(),INDEX(MASTER!$G$4:$G$1463,MATCH("VANGUARD"&amp;"|"&amp;MAX(1,ROUND(COUNTIFS(MASTER!$B$4:$B$1463,"VANGUARD",MASTER!$G$4:$G$1463,"&lt;&gt;")*$A122*100/100,0)),MASTER!$AH$4:$AH$1463,0))),NA()),IF($B$4="SECONDARY",IFERROR(IF(INDEX(MASTER!$L$4:$L$1463,MATCH("VANGUARD"&amp;"|"&amp;MAX(1,ROUND(COUNTIFS(MASTER!$B$4:$B$1463,"VANGUARD",MASTER!$L$4:$L$1463,"&lt;&gt;")*$A122*100/100,0)),MASTER!$AI$4:$AI$1463,0))="",NA(),INDEX(MASTER!$L$4:$L$1463,MATCH("VANGUARD"&amp;"|"&amp;MAX(1,ROUND(COUNTIFS(MASTER!$B$4:$B$1463,"VANGUARD",MASTER!$L$4:$L$1463,"&lt;&gt;")*$A122*100/100,0)),MASTER!$AI$4:$AI$1463,0))),NA()))))</f>
        <v>5179</v>
      </c>
      <c r="E122" s="37">
        <f>IF($B$4="RESONANCE",IFERROR(IF(INDEX(MASTER!$I$4:$I$1463,MATCH("UNDYING"&amp;"|"&amp;MAX(1,ROUND(COUNTIFS(MASTER!$B$4:$B$1463,"UNDYING",MASTER!$I$4:$I$1463,"&lt;&gt;")*$A122*100/100,0)),MASTER!$Y$4:$Y$1463,0))="",NA(),INDEX(MASTER!$I$4:$I$1463,MATCH("UNDYING"&amp;"|"&amp;MAX(1,ROUND(COUNTIFS(MASTER!$B$4:$B$1463,"UNDYING",MASTER!$I$4:$I$1463,"&lt;&gt;")*$A122*100/100,0)),MASTER!$Y$4:$Y$1463,0))),NA()),IF($B$4="COMBAT RATING",IFERROR(IF(INDEX(MASTER!$G$4:$G$1463,MATCH("UNDYING"&amp;"|"&amp;MAX(1,ROUND(COUNTIFS(MASTER!$B$4:$B$1463,"UNDYING",MASTER!$G$4:$G$1463,"&lt;&gt;")*$A122*100/100,0)),MASTER!$AH$4:$AH$1463,0))="",NA(),INDEX(MASTER!$G$4:$G$1463,MATCH("UNDYING"&amp;"|"&amp;MAX(1,ROUND(COUNTIFS(MASTER!$B$4:$B$1463,"UNDYING",MASTER!$G$4:$G$1463,"&lt;&gt;")*$A122*100/100,0)),MASTER!$AH$4:$AH$1463,0))),NA()),IF($B$4="SECONDARY",IFERROR(IF(INDEX(MASTER!$L$4:$L$1463,MATCH("UNDYING"&amp;"|"&amp;MAX(1,ROUND(COUNTIFS(MASTER!$B$4:$B$1463,"UNDYING",MASTER!$L$4:$L$1463,"&lt;&gt;")*$A122*100/100,0)),MASTER!$AI$4:$AI$1463,0))="",NA(),INDEX(MASTER!$L$4:$L$1463,MATCH("UNDYING"&amp;"|"&amp;MAX(1,ROUND(COUNTIFS(MASTER!$B$4:$B$1463,"UNDYING",MASTER!$L$4:$L$1463,"&lt;&gt;")*$A122*100/100,0)),MASTER!$AI$4:$AI$1463,0))),NA()))))</f>
        <v>3611</v>
      </c>
      <c r="F122" s="37">
        <f>IF($B$4="RESONANCE",IFERROR(IF(INDEX(MASTER!$I$4:$I$1463,MATCH("SBG"&amp;"|"&amp;MAX(1,ROUND(COUNTIFS(MASTER!$B$4:$B$1463,"SBG",MASTER!$I$4:$I$1463,"&lt;&gt;")*$A122*100/100,0)),MASTER!$Y$4:$Y$1463,0))="",NA(),INDEX(MASTER!$I$4:$I$1463,MATCH("SBG"&amp;"|"&amp;MAX(1,ROUND(COUNTIFS(MASTER!$B$4:$B$1463,"SBG",MASTER!$I$4:$I$1463,"&lt;&gt;")*$A122*100/100,0)),MASTER!$Y$4:$Y$1463,0))),NA()),IF($B$4="COMBAT RATING",IFERROR(IF(INDEX(MASTER!$G$4:$G$1463,MATCH("SBG"&amp;"|"&amp;MAX(1,ROUND(COUNTIFS(MASTER!$B$4:$B$1463,"SBG",MASTER!$G$4:$G$1463,"&lt;&gt;")*$A122*100/100,0)),MASTER!$AH$4:$AH$1463,0))="",NA(),INDEX(MASTER!$G$4:$G$1463,MATCH("SBG"&amp;"|"&amp;MAX(1,ROUND(COUNTIFS(MASTER!$B$4:$B$1463,"SBG",MASTER!$G$4:$G$1463,"&lt;&gt;")*$A122*100/100,0)),MASTER!$AH$4:$AH$1463,0))),NA()),IF($B$4="SECONDARY",IFERROR(IF(INDEX(MASTER!$L$4:$L$1463,MATCH("SBG"&amp;"|"&amp;MAX(1,ROUND(COUNTIFS(MASTER!$B$4:$B$1463,"SBG",MASTER!$L$4:$L$1463,"&lt;&gt;")*$A122*100/100,0)),MASTER!$AI$4:$AI$1463,0))="",NA(),INDEX(MASTER!$L$4:$L$1463,MATCH("SBG"&amp;"|"&amp;MAX(1,ROUND(COUNTIFS(MASTER!$B$4:$B$1463,"SBG",MASTER!$L$4:$L$1463,"&lt;&gt;")*$A122*100/100,0)),MASTER!$AI$4:$AI$1463,0))),NA()))))</f>
        <v>4317</v>
      </c>
      <c r="G122" s="37">
        <f>IF($B$4="RESONANCE",IFERROR(IF(INDEX(MASTER!$I$4:$I$1463,MATCH("AZUKI"&amp;"|"&amp;MAX(1,ROUND(COUNTIFS(MASTER!$B$4:$B$1463,"AZUKI",MASTER!$I$4:$I$1463,"&lt;&gt;")*$A122*100/100,0)),MASTER!$Y$4:$Y$1463,0))="",NA(),INDEX(MASTER!$I$4:$I$1463,MATCH("AZUKI"&amp;"|"&amp;MAX(1,ROUND(COUNTIFS(MASTER!$B$4:$B$1463,"AZUKI",MASTER!$I$4:$I$1463,"&lt;&gt;")*$A122*100/100,0)),MASTER!$Y$4:$Y$1463,0))),NA()),IF($B$4="COMBAT RATING",IFERROR(IF(INDEX(MASTER!$G$4:$G$1463,MATCH("AZUKI"&amp;"|"&amp;MAX(1,ROUND(COUNTIFS(MASTER!$B$4:$B$1463,"AZUKI",MASTER!$G$4:$G$1463,"&lt;&gt;")*$A122*100/100,0)),MASTER!$AH$4:$AH$1463,0))="",NA(),INDEX(MASTER!$G$4:$G$1463,MATCH("AZUKI"&amp;"|"&amp;MAX(1,ROUND(COUNTIFS(MASTER!$B$4:$B$1463,"AZUKI",MASTER!$G$4:$G$1463,"&lt;&gt;")*$A122*100/100,0)),MASTER!$AH$4:$AH$1463,0))),NA()),IF($B$4="SECONDARY",IFERROR(IF(INDEX(MASTER!$L$4:$L$1463,MATCH("AZUKI"&amp;"|"&amp;MAX(1,ROUND(COUNTIFS(MASTER!$B$4:$B$1463,"AZUKI",MASTER!$L$4:$L$1463,"&lt;&gt;")*$A122*100/100,0)),MASTER!$AI$4:$AI$1463,0))="",NA(),INDEX(MASTER!$L$4:$L$1463,MATCH("AZUKI"&amp;"|"&amp;MAX(1,ROUND(COUNTIFS(MASTER!$B$4:$B$1463,"AZUKI",MASTER!$L$4:$L$1463,"&lt;&gt;")*$A122*100/100,0)),MASTER!$AI$4:$AI$1463,0))),NA()))))</f>
        <v>3716</v>
      </c>
      <c r="H122" s="37">
        <f>IF($B$4="RESONANCE",IFERROR(IF(INDEX(MASTER!$I$4:$I$1463,MATCH("RECKONING"&amp;"|"&amp;MAX(1,ROUND(COUNTIFS(MASTER!$B$4:$B$1463,"RECKONING",MASTER!$I$4:$I$1463,"&lt;&gt;")*$A122*100/100,0)),MASTER!$Y$4:$Y$1463,0))="",NA(),INDEX(MASTER!$I$4:$I$1463,MATCH("RECKONING"&amp;"|"&amp;MAX(1,ROUND(COUNTIFS(MASTER!$B$4:$B$1463,"RECKONING",MASTER!$I$4:$I$1463,"&lt;&gt;")*$A122*100/100,0)),MASTER!$Y$4:$Y$1463,0))),NA()),IF($B$4="COMBAT RATING",IFERROR(IF(INDEX(MASTER!$G$4:$G$1463,MATCH("RECKONING"&amp;"|"&amp;MAX(1,ROUND(COUNTIFS(MASTER!$B$4:$B$1463,"RECKONING",MASTER!$G$4:$G$1463,"&lt;&gt;")*$A122*100/100,0)),MASTER!$AH$4:$AH$1463,0))="",NA(),INDEX(MASTER!$G$4:$G$1463,MATCH("RECKONING"&amp;"|"&amp;MAX(1,ROUND(COUNTIFS(MASTER!$B$4:$B$1463,"RECKONING",MASTER!$G$4:$G$1463,"&lt;&gt;")*$A122*100/100,0)),MASTER!$AH$4:$AH$1463,0))),NA()),IF($B$4="SECONDARY",IFERROR(IF(INDEX(MASTER!$L$4:$L$1463,MATCH("RECKONING"&amp;"|"&amp;MAX(1,ROUND(COUNTIFS(MASTER!$B$4:$B$1463,"RECKONING",MASTER!$L$4:$L$1463,"&lt;&gt;")*$A122*100/100,0)),MASTER!$AI$4:$AI$1463,0))="",NA(),INDEX(MASTER!$L$4:$L$1463,MATCH("RECKONING"&amp;"|"&amp;MAX(1,ROUND(COUNTIFS(MASTER!$B$4:$B$1463,"RECKONING",MASTER!$L$4:$L$1463,"&lt;&gt;")*$A122*100/100,0)),MASTER!$AI$4:$AI$1463,0))),NA()))))</f>
        <v>3918</v>
      </c>
      <c r="I122" s="37">
        <f>IF($B$4="RESONANCE",IFERROR(IF(INDEX(MASTER!$I$4:$I$1463,MATCH("ACHERON"&amp;"|"&amp;MAX(1,ROUND(COUNTIFS(MASTER!$B$4:$B$1463,"ACHERON",MASTER!$I$4:$I$1463,"&lt;&gt;")*$A122*100/100,0)),MASTER!$Y$4:$Y$1463,0))="",NA(),INDEX(MASTER!$I$4:$I$1463,MATCH("ACHERON"&amp;"|"&amp;MAX(1,ROUND(COUNTIFS(MASTER!$B$4:$B$1463,"ACHERON",MASTER!$I$4:$I$1463,"&lt;&gt;")*$A122*100/100,0)),MASTER!$Y$4:$Y$1463,0))),NA()),IF($B$4="COMBAT RATING",IFERROR(IF(INDEX(MASTER!$G$4:$G$1463,MATCH("ACHERON"&amp;"|"&amp;MAX(1,ROUND(COUNTIFS(MASTER!$B$4:$B$1463,"ACHERON",MASTER!$G$4:$G$1463,"&lt;&gt;")*$A122*100/100,0)),MASTER!$AH$4:$AH$1463,0))="",NA(),INDEX(MASTER!$G$4:$G$1463,MATCH("ACHERON"&amp;"|"&amp;MAX(1,ROUND(COUNTIFS(MASTER!$B$4:$B$1463,"ACHERON",MASTER!$G$4:$G$1463,"&lt;&gt;")*$A122*100/100,0)),MASTER!$AH$4:$AH$1463,0))),NA()),IF($B$4="SECONDARY",IFERROR(IF(INDEX(MASTER!$L$4:$L$1463,MATCH("ACHERON"&amp;"|"&amp;MAX(1,ROUND(COUNTIFS(MASTER!$B$4:$B$1463,"ACHERON",MASTER!$L$4:$L$1463,"&lt;&gt;")*$A122*100/100,0)),MASTER!$AI$4:$AI$1463,0))="",NA(),INDEX(MASTER!$L$4:$L$1463,MATCH("ACHERON"&amp;"|"&amp;MAX(1,ROUND(COUNTIFS(MASTER!$B$4:$B$1463,"ACHERON",MASTER!$L$4:$L$1463,"&lt;&gt;")*$A122*100/100,0)),MASTER!$AI$4:$AI$1463,0))),NA()))))</f>
        <v>3166</v>
      </c>
      <c r="J122" s="37">
        <f>IF($B$4="RESONANCE",IFERROR(IF(INDEX(MASTER!$I$4:$I$1463,MATCH("INVICTUS"&amp;"|"&amp;MAX(1,ROUND(COUNTIFS(MASTER!$B$4:$B$1463,"INVICTUS",MASTER!$I$4:$I$1463,"&lt;&gt;")*$A122*100/100,0)),MASTER!$Y$4:$Y$1463,0))="",NA(),INDEX(MASTER!$I$4:$I$1463,MATCH("INVICTUS"&amp;"|"&amp;MAX(1,ROUND(COUNTIFS(MASTER!$B$4:$B$1463,"INVICTUS",MASTER!$I$4:$I$1463,"&lt;&gt;")*$A122*100/100,0)),MASTER!$Y$4:$Y$1463,0))),NA()),IF($B$4="COMBAT RATING",IFERROR(IF(INDEX(MASTER!$G$4:$G$1463,MATCH("INVICTUS"&amp;"|"&amp;MAX(1,ROUND(COUNTIFS(MASTER!$B$4:$B$1463,"INVICTUS",MASTER!$G$4:$G$1463,"&lt;&gt;")*$A122*100/100,0)),MASTER!$AH$4:$AH$1463,0))="",NA(),INDEX(MASTER!$G$4:$G$1463,MATCH("INVICTUS"&amp;"|"&amp;MAX(1,ROUND(COUNTIFS(MASTER!$B$4:$B$1463,"INVICTUS",MASTER!$G$4:$G$1463,"&lt;&gt;")*$A122*100/100,0)),MASTER!$AH$4:$AH$1463,0))),NA()),IF($B$4="SECONDARY",IFERROR(IF(INDEX(MASTER!$L$4:$L$1463,MATCH("INVICTUS"&amp;"|"&amp;MAX(1,ROUND(COUNTIFS(MASTER!$B$4:$B$1463,"INVICTUS",MASTER!$L$4:$L$1463,"&lt;&gt;")*$A122*100/100,0)),MASTER!$AI$4:$AI$1463,0))="",NA(),INDEX(MASTER!$L$4:$L$1463,MATCH("INVICTUS"&amp;"|"&amp;MAX(1,ROUND(COUNTIFS(MASTER!$B$4:$B$1463,"INVICTUS",MASTER!$L$4:$L$1463,"&lt;&gt;")*$A122*100/100,0)),MASTER!$AI$4:$AI$1463,0))),NA()))))</f>
        <v>2592</v>
      </c>
      <c r="K122" s="37">
        <f>IF($B$4="RESONANCE",IFERROR(IF(INDEX(MASTER!$I$4:$I$1463,MATCH("EMERALD LEAF TRIBE"&amp;"|"&amp;MAX(1,ROUND(COUNTIFS(MASTER!$B$4:$B$1463,"EMERALD LEAF TRIBE",MASTER!$I$4:$I$1463,"&lt;&gt;")*$A122*100/100,0)),MASTER!$Y$4:$Y$1463,0))="",NA(),INDEX(MASTER!$I$4:$I$1463,MATCH("EMERALD LEAF TRIBE"&amp;"|"&amp;MAX(1,ROUND(COUNTIFS(MASTER!$B$4:$B$1463,"EMERALD LEAF TRIBE",MASTER!$I$4:$I$1463,"&lt;&gt;")*$A122*100/100,0)),MASTER!$Y$4:$Y$1463,0))),NA()),IF($B$4="COMBAT RATING",IFERROR(IF(INDEX(MASTER!$G$4:$G$1463,MATCH("EMERALD LEAF TRIBE"&amp;"|"&amp;MAX(1,ROUND(COUNTIFS(MASTER!$B$4:$B$1463,"EMERALD LEAF TRIBE",MASTER!$G$4:$G$1463,"&lt;&gt;")*$A122*100/100,0)),MASTER!$AH$4:$AH$1463,0))="",NA(),INDEX(MASTER!$G$4:$G$1463,MATCH("EMERALD LEAF TRIBE"&amp;"|"&amp;MAX(1,ROUND(COUNTIFS(MASTER!$B$4:$B$1463,"EMERALD LEAF TRIBE",MASTER!$G$4:$G$1463,"&lt;&gt;")*$A122*100/100,0)),MASTER!$AH$4:$AH$1463,0))),NA()),IF($B$4="SECONDARY",IFERROR(IF(INDEX(MASTER!$L$4:$L$1463,MATCH("EMERALD LEAF TRIBE"&amp;"|"&amp;MAX(1,ROUND(COUNTIFS(MASTER!$B$4:$B$1463,"EMERALD LEAF TRIBE",MASTER!$L$4:$L$1463,"&lt;&gt;")*$A122*100/100,0)),MASTER!$AI$4:$AI$1463,0))="",NA(),INDEX(MASTER!$L$4:$L$1463,MATCH("EMERALD LEAF TRIBE"&amp;"|"&amp;MAX(1,ROUND(COUNTIFS(MASTER!$B$4:$B$1463,"EMERALD LEAF TRIBE",MASTER!$L$4:$L$1463,"&lt;&gt;")*$A122*100/100,0)),MASTER!$AI$4:$AI$1463,0))),NA()))))</f>
        <v>1645</v>
      </c>
      <c r="L122" s="37">
        <f>IF($B$4="RESONANCE",IFERROR(IF(INDEX(MASTER!$I$4:$I$1463,MATCH("SUB ROSA"&amp;"|"&amp;MAX(1,ROUND(COUNTIFS(MASTER!$B$4:$B$1463,"SUB ROSA",MASTER!$I$4:$I$1463,"&lt;&gt;")*$A122*100/100,0)),MASTER!$Y$4:$Y$1463,0))="",NA(),INDEX(MASTER!$I$4:$I$1463,MATCH("SUB ROSA"&amp;"|"&amp;MAX(1,ROUND(COUNTIFS(MASTER!$B$4:$B$1463,"SUB ROSA",MASTER!$I$4:$I$1463,"&lt;&gt;")*$A122*100/100,0)),MASTER!$Y$4:$Y$1463,0))),NA()),IF($B$4="COMBAT RATING",IFERROR(IF(INDEX(MASTER!$G$4:$G$1463,MATCH("SUB ROSA"&amp;"|"&amp;MAX(1,ROUND(COUNTIFS(MASTER!$B$4:$B$1463,"SUB ROSA",MASTER!$G$4:$G$1463,"&lt;&gt;")*$A122*100/100,0)),MASTER!$AH$4:$AH$1463,0))="",NA(),INDEX(MASTER!$G$4:$G$1463,MATCH("SUB ROSA"&amp;"|"&amp;MAX(1,ROUND(COUNTIFS(MASTER!$B$4:$B$1463,"SUB ROSA",MASTER!$G$4:$G$1463,"&lt;&gt;")*$A122*100/100,0)),MASTER!$AH$4:$AH$1463,0))),NA()),IF($B$4="SECONDARY",IFERROR(IF(INDEX(MASTER!$L$4:$L$1463,MATCH("SUB ROSA"&amp;"|"&amp;MAX(1,ROUND(COUNTIFS(MASTER!$B$4:$B$1463,"SUB ROSA",MASTER!$L$4:$L$1463,"&lt;&gt;")*$A122*100/100,0)),MASTER!$AI$4:$AI$1463,0))="",NA(),INDEX(MASTER!$L$4:$L$1463,MATCH("SUB ROSA"&amp;"|"&amp;MAX(1,ROUND(COUNTIFS(MASTER!$B$4:$B$1463,"SUB ROSA",MASTER!$L$4:$L$1463,"&lt;&gt;")*$A122*100/100,0)),MASTER!$AI$4:$AI$1463,0))),NA()))))</f>
        <v>1920</v>
      </c>
      <c r="M122" s="37">
        <f>IF($B$4="RESONANCE",IFERROR(IF(INDEX(MASTER!$I$4:$I$1463,MATCH("VENGEANCE"&amp;"|"&amp;MAX(1,ROUND(COUNTIFS(MASTER!$B$4:$B$1463,"VENGEANCE",MASTER!$I$4:$I$1463,"&lt;&gt;")*$A122*100/100,0)),MASTER!$Y$4:$Y$1463,0))="",NA(),INDEX(MASTER!$I$4:$I$1463,MATCH("VENGEANCE"&amp;"|"&amp;MAX(1,ROUND(COUNTIFS(MASTER!$B$4:$B$1463,"VENGEANCE",MASTER!$I$4:$I$1463,"&lt;&gt;")*$A122*100/100,0)),MASTER!$Y$4:$Y$1463,0))),NA()),IF($B$4="COMBAT RATING",IFERROR(IF(INDEX(MASTER!$G$4:$G$1463,MATCH("VENGEANCE"&amp;"|"&amp;MAX(1,ROUND(COUNTIFS(MASTER!$B$4:$B$1463,"VENGEANCE",MASTER!$G$4:$G$1463,"&lt;&gt;")*$A122*100/100,0)),MASTER!$AH$4:$AH$1463,0))="",NA(),INDEX(MASTER!$G$4:$G$1463,MATCH("VENGEANCE"&amp;"|"&amp;MAX(1,ROUND(COUNTIFS(MASTER!$B$4:$B$1463,"VENGEANCE",MASTER!$G$4:$G$1463,"&lt;&gt;")*$A122*100/100,0)),MASTER!$AH$4:$AH$1463,0))),NA()),IF($B$4="SECONDARY",IFERROR(IF(INDEX(MASTER!$L$4:$L$1463,MATCH("VENGEANCE"&amp;"|"&amp;MAX(1,ROUND(COUNTIFS(MASTER!$B$4:$B$1463,"VENGEANCE",MASTER!$L$4:$L$1463,"&lt;&gt;")*$A122*100/100,0)),MASTER!$AI$4:$AI$1463,0))="",NA(),INDEX(MASTER!$L$4:$L$1463,MATCH("VENGEANCE"&amp;"|"&amp;MAX(1,ROUND(COUNTIFS(MASTER!$B$4:$B$1463,"VENGEANCE",MASTER!$L$4:$L$1463,"&lt;&gt;")*$A122*100/100,0)),MASTER!$AI$4:$AI$1463,0))),NA()))))</f>
        <v>2707</v>
      </c>
      <c r="N122" s="37">
        <f>IF($B$4="RESONANCE",IFERROR(IF(INDEX(MASTER!$I$4:$I$1463,MATCH("VENDETTA"&amp;"|"&amp;MAX(1,ROUND(COUNTIFS(MASTER!$B$4:$B$1463,"VENDETTA",MASTER!$I$4:$I$1463,"&lt;&gt;")*$A122*100/100,0)),MASTER!$Y$4:$Y$1463,0))="",NA(),INDEX(MASTER!$I$4:$I$1463,MATCH("VENDETTA"&amp;"|"&amp;MAX(1,ROUND(COUNTIFS(MASTER!$B$4:$B$1463,"VENDETTA",MASTER!$I$4:$I$1463,"&lt;&gt;")*$A122*100/100,0)),MASTER!$Y$4:$Y$1463,0))),NA()),IF($B$4="COMBAT RATING",IFERROR(IF(INDEX(MASTER!$G$4:$G$1463,MATCH("VENDETTA"&amp;"|"&amp;MAX(1,ROUND(COUNTIFS(MASTER!$B$4:$B$1463,"VENDETTA",MASTER!$G$4:$G$1463,"&lt;&gt;")*$A122*100/100,0)),MASTER!$AH$4:$AH$1463,0))="",NA(),INDEX(MASTER!$G$4:$G$1463,MATCH("VENDETTA"&amp;"|"&amp;MAX(1,ROUND(COUNTIFS(MASTER!$B$4:$B$1463,"VENDETTA",MASTER!$G$4:$G$1463,"&lt;&gt;")*$A122*100/100,0)),MASTER!$AH$4:$AH$1463,0))),NA()),IF($B$4="SECONDARY",IFERROR(IF(INDEX(MASTER!$L$4:$L$1463,MATCH("VENDETTA"&amp;"|"&amp;MAX(1,ROUND(COUNTIFS(MASTER!$B$4:$B$1463,"VENDETTA",MASTER!$L$4:$L$1463,"&lt;&gt;")*$A122*100/100,0)),MASTER!$AI$4:$AI$1463,0))="",NA(),INDEX(MASTER!$L$4:$L$1463,MATCH("VENDETTA"&amp;"|"&amp;MAX(1,ROUND(COUNTIFS(MASTER!$B$4:$B$1463,"VENDETTA",MASTER!$L$4:$L$1463,"&lt;&gt;")*$A122*100/100,0)),MASTER!$AI$4:$AI$1463,0))),NA()))))</f>
        <v>1550</v>
      </c>
      <c r="O122" s="37">
        <f>IF($B$4="RESONANCE",IFERROR(IF(INDEX(MASTER!$I$4:$I$1463,MATCH("ZOMBIES"&amp;"|"&amp;MAX(1,ROUND(COUNTIFS(MASTER!$B$4:$B$1463,"ZOMBIES",MASTER!$I$4:$I$1463,"&lt;&gt;")*$A122*100/100,0)),MASTER!$Y$4:$Y$1463,0))="",NA(),INDEX(MASTER!$I$4:$I$1463,MATCH("ZOMBIES"&amp;"|"&amp;MAX(1,ROUND(COUNTIFS(MASTER!$B$4:$B$1463,"ZOMBIES",MASTER!$I$4:$I$1463,"&lt;&gt;")*$A122*100/100,0)),MASTER!$Y$4:$Y$1463,0))),NA()),IF($B$4="COMBAT RATING",IFERROR(IF(INDEX(MASTER!$G$4:$G$1463,MATCH("ZOMBIES"&amp;"|"&amp;MAX(1,ROUND(COUNTIFS(MASTER!$B$4:$B$1463,"ZOMBIES",MASTER!$G$4:$G$1463,"&lt;&gt;")*$A122*100/100,0)),MASTER!$AH$4:$AH$1463,0))="",NA(),INDEX(MASTER!$G$4:$G$1463,MATCH("ZOMBIES"&amp;"|"&amp;MAX(1,ROUND(COUNTIFS(MASTER!$B$4:$B$1463,"ZOMBIES",MASTER!$G$4:$G$1463,"&lt;&gt;")*$A122*100/100,0)),MASTER!$AH$4:$AH$1463,0))),NA()),IF($B$4="SECONDARY",IFERROR(IF(INDEX(MASTER!$L$4:$L$1463,MATCH("ZOMBIES"&amp;"|"&amp;MAX(1,ROUND(COUNTIFS(MASTER!$B$4:$B$1463,"ZOMBIES",MASTER!$L$4:$L$1463,"&lt;&gt;")*$A122*100/100,0)),MASTER!$AI$4:$AI$1463,0))="",NA(),INDEX(MASTER!$L$4:$L$1463,MATCH("ZOMBIES"&amp;"|"&amp;MAX(1,ROUND(COUNTIFS(MASTER!$B$4:$B$1463,"ZOMBIES",MASTER!$L$4:$L$1463,"&lt;&gt;")*$A122*100/100,0)),MASTER!$AI$4:$AI$1463,0))),NA()))))</f>
        <v>1382</v>
      </c>
      <c r="P122" s="37">
        <f>IF($B$4="RESONANCE",IFERROR(IF(INDEX(MASTER!$I$4:$I$1463,MATCH("FUCT"&amp;"|"&amp;MAX(1,ROUND(COUNTIFS(MASTER!$B$4:$B$1463,"FUCT",MASTER!$I$4:$I$1463,"&lt;&gt;")*$A122*100/100,0)),MASTER!$Y$4:$Y$1463,0))="",NA(),INDEX(MASTER!$I$4:$I$1463,MATCH("FUCT"&amp;"|"&amp;MAX(1,ROUND(COUNTIFS(MASTER!$B$4:$B$1463,"FUCT",MASTER!$I$4:$I$1463,"&lt;&gt;")*$A122*100/100,0)),MASTER!$Y$4:$Y$1463,0))),NA()),IF($B$4="COMBAT RATING",IFERROR(IF(INDEX(MASTER!$G$4:$G$1463,MATCH("FUCT"&amp;"|"&amp;MAX(1,ROUND(COUNTIFS(MASTER!$B$4:$B$1463,"FUCT",MASTER!$G$4:$G$1463,"&lt;&gt;")*$A122*100/100,0)),MASTER!$AH$4:$AH$1463,0))="",NA(),INDEX(MASTER!$G$4:$G$1463,MATCH("FUCT"&amp;"|"&amp;MAX(1,ROUND(COUNTIFS(MASTER!$B$4:$B$1463,"FUCT",MASTER!$G$4:$G$1463,"&lt;&gt;")*$A122*100/100,0)),MASTER!$AH$4:$AH$1463,0))),NA()),IF($B$4="SECONDARY",IFERROR(IF(INDEX(MASTER!$L$4:$L$1463,MATCH("FUCT"&amp;"|"&amp;MAX(1,ROUND(COUNTIFS(MASTER!$B$4:$B$1463,"FUCT",MASTER!$L$4:$L$1463,"&lt;&gt;")*$A122*100/100,0)),MASTER!$AI$4:$AI$1463,0))="",NA(),INDEX(MASTER!$L$4:$L$1463,MATCH("FUCT"&amp;"|"&amp;MAX(1,ROUND(COUNTIFS(MASTER!$B$4:$B$1463,"FUCT",MASTER!$L$4:$L$1463,"&lt;&gt;")*$A122*100/100,0)),MASTER!$AI$4:$AI$1463,0))),NA()))))</f>
        <v>3823</v>
      </c>
      <c r="Q122" s="37">
        <f>IF($B$4="RESONANCE",IFERROR(IF(INDEX(MASTER!$I$4:$I$1463,MATCH($E$4&amp;"|"&amp;MAX(1,ROUND(COUNTIFS(MASTER!$B$4:$B$1463,$E$4,MASTER!$I$4:$I$1463,"&lt;&gt;")*$A122*100/100,0)),MASTER!$Y$4:$Y$1463,0))="",NA(),INDEX(MASTER!$I$4:$I$1463,MATCH($E$4&amp;"|"&amp;MAX(1,ROUND(COUNTIFS(MASTER!$B$4:$B$1463,$E$4,MASTER!$I$4:$I$1463,"&lt;&gt;")*$A122*100/100,0)),MASTER!$Y$4:$Y$1463,0))),NA()),IF($B$4="COMBAT RATING",IFERROR(IF(INDEX(MASTER!$G$4:$G$1463,MATCH($E$4&amp;"|"&amp;MAX(1,ROUND(COUNTIFS(MASTER!$B$4:$B$1463,$E$4,MASTER!$G$4:$G$1463,"&lt;&gt;")*$A122*100/100,0)),MASTER!$AH$4:$AH$1463,0))="",NA(),INDEX(MASTER!$G$4:$G$1463,MATCH($E$4&amp;"|"&amp;MAX(1,ROUND(COUNTIFS(MASTER!$B$4:$B$1463,$E$4,MASTER!$G$4:$G$1463,"&lt;&gt;")*$A122*100/100,0)),MASTER!$AH$4:$AH$1463,0))),NA()),IF($B$4="SECONDARY",IFERROR(IF(INDEX(MASTER!$L$4:$L$1463,MATCH($E$4&amp;"|"&amp;MAX(1,ROUND(COUNTIFS(MASTER!$B$4:$B$1463,$E$4,MASTER!$L$4:$L$1463,"&lt;&gt;")*$A122*100/100,0)),MASTER!$AI$4:$AI$1463,0))="",NA(),INDEX(MASTER!$L$4:$L$1463,MATCH($E$4&amp;"|"&amp;MAX(1,ROUND(COUNTIFS(MASTER!$B$4:$B$1463,$E$4,MASTER!$L$4:$L$1463,"&lt;&gt;")*$A122*100/100,0)),MASTER!$AI$4:$AI$1463,0))),NA()))))</f>
        <v>3611</v>
      </c>
    </row>
    <row r="123" spans="1:17" hidden="1">
      <c r="A123" s="36">
        <v>0.68</v>
      </c>
      <c r="B123" s="37">
        <f>IF($B$4="RESONANCE",IFERROR(IF(INDEX(MASTER!$I$4:$I$1463,MATCH("FUCT"&amp;"|"&amp;MAX(1,ROUND(COUNTIFS(MASTER!$B$4:$B$1463,"FUCT",MASTER!$I$4:$I$1463,"&lt;&gt;")*$A123*100/100,0)),MASTER!$Y$4:$Y$1463,0))="",NA(),INDEX(MASTER!$I$4:$I$1463,MATCH("FUCT"&amp;"|"&amp;MAX(1,ROUND(COUNTIFS(MASTER!$B$4:$B$1463,"FUCT",MASTER!$I$4:$I$1463,"&lt;&gt;")*$A123*100/100,0)),MASTER!$Y$4:$Y$1463,0))),NA()),IF($B$4="COMBAT RATING",IFERROR(IF(INDEX(MASTER!$G$4:$G$1463,MATCH("FUCT"&amp;"|"&amp;MAX(1,ROUND(COUNTIFS(MASTER!$B$4:$B$1463,"FUCT",MASTER!$G$4:$G$1463,"&lt;&gt;")*$A123*100/100,0)),MASTER!$AH$4:$AH$1463,0))="",NA(),INDEX(MASTER!$G$4:$G$1463,MATCH("FUCT"&amp;"|"&amp;MAX(1,ROUND(COUNTIFS(MASTER!$B$4:$B$1463,"FUCT",MASTER!$G$4:$G$1463,"&lt;&gt;")*$A123*100/100,0)),MASTER!$AH$4:$AH$1463,0))),NA()),IF($B$4="SECONDARY",IFERROR(IF(INDEX(MASTER!$L$4:$L$1463,MATCH("FUCT"&amp;"|"&amp;MAX(1,ROUND(COUNTIFS(MASTER!$B$4:$B$1463,"FUCT",MASTER!$L$4:$L$1463,"&lt;&gt;")*$A123*100/100,0)),MASTER!$AI$4:$AI$1463,0))="",NA(),INDEX(MASTER!$L$4:$L$1463,MATCH("FUCT"&amp;"|"&amp;MAX(1,ROUND(COUNTIFS(MASTER!$B$4:$B$1463,"FUCT",MASTER!$L$4:$L$1463,"&lt;&gt;")*$A123*100/100,0)),MASTER!$AI$4:$AI$1463,0))),NA()))))</f>
        <v>3776</v>
      </c>
      <c r="C123" s="37">
        <f>IF($B$4="RESONANCE",IFERROR(IF(INDEX(MASTER!$I$4:$I$1463,MATCH("LEGENDS"&amp;"|"&amp;MAX(1,ROUND(COUNTIFS(MASTER!$B$4:$B$1463,"LEGENDS",MASTER!$I$4:$I$1463,"&lt;&gt;")*$A123*100/100,0)),MASTER!$Y$4:$Y$1463,0))="",NA(),INDEX(MASTER!$I$4:$I$1463,MATCH("LEGENDS"&amp;"|"&amp;MAX(1,ROUND(COUNTIFS(MASTER!$B$4:$B$1463,"LEGENDS",MASTER!$I$4:$I$1463,"&lt;&gt;")*$A123*100/100,0)),MASTER!$Y$4:$Y$1463,0))),NA()),IF($B$4="COMBAT RATING",IFERROR(IF(INDEX(MASTER!$G$4:$G$1463,MATCH("LEGENDS"&amp;"|"&amp;MAX(1,ROUND(COUNTIFS(MASTER!$B$4:$B$1463,"LEGENDS",MASTER!$G$4:$G$1463,"&lt;&gt;")*$A123*100/100,0)),MASTER!$AH$4:$AH$1463,0))="",NA(),INDEX(MASTER!$G$4:$G$1463,MATCH("LEGENDS"&amp;"|"&amp;MAX(1,ROUND(COUNTIFS(MASTER!$B$4:$B$1463,"LEGENDS",MASTER!$G$4:$G$1463,"&lt;&gt;")*$A123*100/100,0)),MASTER!$AH$4:$AH$1463,0))),NA()),IF($B$4="SECONDARY",IFERROR(IF(INDEX(MASTER!$L$4:$L$1463,MATCH("LEGENDS"&amp;"|"&amp;MAX(1,ROUND(COUNTIFS(MASTER!$B$4:$B$1463,"LEGENDS",MASTER!$L$4:$L$1463,"&lt;&gt;")*$A123*100/100,0)),MASTER!$AI$4:$AI$1463,0))="",NA(),INDEX(MASTER!$L$4:$L$1463,MATCH("LEGENDS"&amp;"|"&amp;MAX(1,ROUND(COUNTIFS(MASTER!$B$4:$B$1463,"LEGENDS",MASTER!$L$4:$L$1463,"&lt;&gt;")*$A123*100/100,0)),MASTER!$AI$4:$AI$1463,0))),NA()))))</f>
        <v>4408</v>
      </c>
      <c r="D123" s="37">
        <f>IF($B$4="RESONANCE",IFERROR(IF(INDEX(MASTER!$I$4:$I$1463,MATCH("VANGUARD"&amp;"|"&amp;MAX(1,ROUND(COUNTIFS(MASTER!$B$4:$B$1463,"VANGUARD",MASTER!$I$4:$I$1463,"&lt;&gt;")*$A123*100/100,0)),MASTER!$Y$4:$Y$1463,0))="",NA(),INDEX(MASTER!$I$4:$I$1463,MATCH("VANGUARD"&amp;"|"&amp;MAX(1,ROUND(COUNTIFS(MASTER!$B$4:$B$1463,"VANGUARD",MASTER!$I$4:$I$1463,"&lt;&gt;")*$A123*100/100,0)),MASTER!$Y$4:$Y$1463,0))),NA()),IF($B$4="COMBAT RATING",IFERROR(IF(INDEX(MASTER!$G$4:$G$1463,MATCH("VANGUARD"&amp;"|"&amp;MAX(1,ROUND(COUNTIFS(MASTER!$B$4:$B$1463,"VANGUARD",MASTER!$G$4:$G$1463,"&lt;&gt;")*$A123*100/100,0)),MASTER!$AH$4:$AH$1463,0))="",NA(),INDEX(MASTER!$G$4:$G$1463,MATCH("VANGUARD"&amp;"|"&amp;MAX(1,ROUND(COUNTIFS(MASTER!$B$4:$B$1463,"VANGUARD",MASTER!$G$4:$G$1463,"&lt;&gt;")*$A123*100/100,0)),MASTER!$AH$4:$AH$1463,0))),NA()),IF($B$4="SECONDARY",IFERROR(IF(INDEX(MASTER!$L$4:$L$1463,MATCH("VANGUARD"&amp;"|"&amp;MAX(1,ROUND(COUNTIFS(MASTER!$B$4:$B$1463,"VANGUARD",MASTER!$L$4:$L$1463,"&lt;&gt;")*$A123*100/100,0)),MASTER!$AI$4:$AI$1463,0))="",NA(),INDEX(MASTER!$L$4:$L$1463,MATCH("VANGUARD"&amp;"|"&amp;MAX(1,ROUND(COUNTIFS(MASTER!$B$4:$B$1463,"VANGUARD",MASTER!$L$4:$L$1463,"&lt;&gt;")*$A123*100/100,0)),MASTER!$AI$4:$AI$1463,0))),NA()))))</f>
        <v>5147</v>
      </c>
      <c r="E123" s="37">
        <f>IF($B$4="RESONANCE",IFERROR(IF(INDEX(MASTER!$I$4:$I$1463,MATCH("UNDYING"&amp;"|"&amp;MAX(1,ROUND(COUNTIFS(MASTER!$B$4:$B$1463,"UNDYING",MASTER!$I$4:$I$1463,"&lt;&gt;")*$A123*100/100,0)),MASTER!$Y$4:$Y$1463,0))="",NA(),INDEX(MASTER!$I$4:$I$1463,MATCH("UNDYING"&amp;"|"&amp;MAX(1,ROUND(COUNTIFS(MASTER!$B$4:$B$1463,"UNDYING",MASTER!$I$4:$I$1463,"&lt;&gt;")*$A123*100/100,0)),MASTER!$Y$4:$Y$1463,0))),NA()),IF($B$4="COMBAT RATING",IFERROR(IF(INDEX(MASTER!$G$4:$G$1463,MATCH("UNDYING"&amp;"|"&amp;MAX(1,ROUND(COUNTIFS(MASTER!$B$4:$B$1463,"UNDYING",MASTER!$G$4:$G$1463,"&lt;&gt;")*$A123*100/100,0)),MASTER!$AH$4:$AH$1463,0))="",NA(),INDEX(MASTER!$G$4:$G$1463,MATCH("UNDYING"&amp;"|"&amp;MAX(1,ROUND(COUNTIFS(MASTER!$B$4:$B$1463,"UNDYING",MASTER!$G$4:$G$1463,"&lt;&gt;")*$A123*100/100,0)),MASTER!$AH$4:$AH$1463,0))),NA()),IF($B$4="SECONDARY",IFERROR(IF(INDEX(MASTER!$L$4:$L$1463,MATCH("UNDYING"&amp;"|"&amp;MAX(1,ROUND(COUNTIFS(MASTER!$B$4:$B$1463,"UNDYING",MASTER!$L$4:$L$1463,"&lt;&gt;")*$A123*100/100,0)),MASTER!$AI$4:$AI$1463,0))="",NA(),INDEX(MASTER!$L$4:$L$1463,MATCH("UNDYING"&amp;"|"&amp;MAX(1,ROUND(COUNTIFS(MASTER!$B$4:$B$1463,"UNDYING",MASTER!$L$4:$L$1463,"&lt;&gt;")*$A123*100/100,0)),MASTER!$AI$4:$AI$1463,0))),NA()))))</f>
        <v>3574</v>
      </c>
      <c r="F123" s="37">
        <f>IF($B$4="RESONANCE",IFERROR(IF(INDEX(MASTER!$I$4:$I$1463,MATCH("SBG"&amp;"|"&amp;MAX(1,ROUND(COUNTIFS(MASTER!$B$4:$B$1463,"SBG",MASTER!$I$4:$I$1463,"&lt;&gt;")*$A123*100/100,0)),MASTER!$Y$4:$Y$1463,0))="",NA(),INDEX(MASTER!$I$4:$I$1463,MATCH("SBG"&amp;"|"&amp;MAX(1,ROUND(COUNTIFS(MASTER!$B$4:$B$1463,"SBG",MASTER!$I$4:$I$1463,"&lt;&gt;")*$A123*100/100,0)),MASTER!$Y$4:$Y$1463,0))),NA()),IF($B$4="COMBAT RATING",IFERROR(IF(INDEX(MASTER!$G$4:$G$1463,MATCH("SBG"&amp;"|"&amp;MAX(1,ROUND(COUNTIFS(MASTER!$B$4:$B$1463,"SBG",MASTER!$G$4:$G$1463,"&lt;&gt;")*$A123*100/100,0)),MASTER!$AH$4:$AH$1463,0))="",NA(),INDEX(MASTER!$G$4:$G$1463,MATCH("SBG"&amp;"|"&amp;MAX(1,ROUND(COUNTIFS(MASTER!$B$4:$B$1463,"SBG",MASTER!$G$4:$G$1463,"&lt;&gt;")*$A123*100/100,0)),MASTER!$AH$4:$AH$1463,0))),NA()),IF($B$4="SECONDARY",IFERROR(IF(INDEX(MASTER!$L$4:$L$1463,MATCH("SBG"&amp;"|"&amp;MAX(1,ROUND(COUNTIFS(MASTER!$B$4:$B$1463,"SBG",MASTER!$L$4:$L$1463,"&lt;&gt;")*$A123*100/100,0)),MASTER!$AI$4:$AI$1463,0))="",NA(),INDEX(MASTER!$L$4:$L$1463,MATCH("SBG"&amp;"|"&amp;MAX(1,ROUND(COUNTIFS(MASTER!$B$4:$B$1463,"SBG",MASTER!$L$4:$L$1463,"&lt;&gt;")*$A123*100/100,0)),MASTER!$AI$4:$AI$1463,0))),NA()))))</f>
        <v>4266</v>
      </c>
      <c r="G123" s="37">
        <f>IF($B$4="RESONANCE",IFERROR(IF(INDEX(MASTER!$I$4:$I$1463,MATCH("AZUKI"&amp;"|"&amp;MAX(1,ROUND(COUNTIFS(MASTER!$B$4:$B$1463,"AZUKI",MASTER!$I$4:$I$1463,"&lt;&gt;")*$A123*100/100,0)),MASTER!$Y$4:$Y$1463,0))="",NA(),INDEX(MASTER!$I$4:$I$1463,MATCH("AZUKI"&amp;"|"&amp;MAX(1,ROUND(COUNTIFS(MASTER!$B$4:$B$1463,"AZUKI",MASTER!$I$4:$I$1463,"&lt;&gt;")*$A123*100/100,0)),MASTER!$Y$4:$Y$1463,0))),NA()),IF($B$4="COMBAT RATING",IFERROR(IF(INDEX(MASTER!$G$4:$G$1463,MATCH("AZUKI"&amp;"|"&amp;MAX(1,ROUND(COUNTIFS(MASTER!$B$4:$B$1463,"AZUKI",MASTER!$G$4:$G$1463,"&lt;&gt;")*$A123*100/100,0)),MASTER!$AH$4:$AH$1463,0))="",NA(),INDEX(MASTER!$G$4:$G$1463,MATCH("AZUKI"&amp;"|"&amp;MAX(1,ROUND(COUNTIFS(MASTER!$B$4:$B$1463,"AZUKI",MASTER!$G$4:$G$1463,"&lt;&gt;")*$A123*100/100,0)),MASTER!$AH$4:$AH$1463,0))),NA()),IF($B$4="SECONDARY",IFERROR(IF(INDEX(MASTER!$L$4:$L$1463,MATCH("AZUKI"&amp;"|"&amp;MAX(1,ROUND(COUNTIFS(MASTER!$B$4:$B$1463,"AZUKI",MASTER!$L$4:$L$1463,"&lt;&gt;")*$A123*100/100,0)),MASTER!$AI$4:$AI$1463,0))="",NA(),INDEX(MASTER!$L$4:$L$1463,MATCH("AZUKI"&amp;"|"&amp;MAX(1,ROUND(COUNTIFS(MASTER!$B$4:$B$1463,"AZUKI",MASTER!$L$4:$L$1463,"&lt;&gt;")*$A123*100/100,0)),MASTER!$AI$4:$AI$1463,0))),NA()))))</f>
        <v>3655</v>
      </c>
      <c r="H123" s="37">
        <f>IF($B$4="RESONANCE",IFERROR(IF(INDEX(MASTER!$I$4:$I$1463,MATCH("RECKONING"&amp;"|"&amp;MAX(1,ROUND(COUNTIFS(MASTER!$B$4:$B$1463,"RECKONING",MASTER!$I$4:$I$1463,"&lt;&gt;")*$A123*100/100,0)),MASTER!$Y$4:$Y$1463,0))="",NA(),INDEX(MASTER!$I$4:$I$1463,MATCH("RECKONING"&amp;"|"&amp;MAX(1,ROUND(COUNTIFS(MASTER!$B$4:$B$1463,"RECKONING",MASTER!$I$4:$I$1463,"&lt;&gt;")*$A123*100/100,0)),MASTER!$Y$4:$Y$1463,0))),NA()),IF($B$4="COMBAT RATING",IFERROR(IF(INDEX(MASTER!$G$4:$G$1463,MATCH("RECKONING"&amp;"|"&amp;MAX(1,ROUND(COUNTIFS(MASTER!$B$4:$B$1463,"RECKONING",MASTER!$G$4:$G$1463,"&lt;&gt;")*$A123*100/100,0)),MASTER!$AH$4:$AH$1463,0))="",NA(),INDEX(MASTER!$G$4:$G$1463,MATCH("RECKONING"&amp;"|"&amp;MAX(1,ROUND(COUNTIFS(MASTER!$B$4:$B$1463,"RECKONING",MASTER!$G$4:$G$1463,"&lt;&gt;")*$A123*100/100,0)),MASTER!$AH$4:$AH$1463,0))),NA()),IF($B$4="SECONDARY",IFERROR(IF(INDEX(MASTER!$L$4:$L$1463,MATCH("RECKONING"&amp;"|"&amp;MAX(1,ROUND(COUNTIFS(MASTER!$B$4:$B$1463,"RECKONING",MASTER!$L$4:$L$1463,"&lt;&gt;")*$A123*100/100,0)),MASTER!$AI$4:$AI$1463,0))="",NA(),INDEX(MASTER!$L$4:$L$1463,MATCH("RECKONING"&amp;"|"&amp;MAX(1,ROUND(COUNTIFS(MASTER!$B$4:$B$1463,"RECKONING",MASTER!$L$4:$L$1463,"&lt;&gt;")*$A123*100/100,0)),MASTER!$AI$4:$AI$1463,0))),NA()))))</f>
        <v>3910</v>
      </c>
      <c r="I123" s="37">
        <f>IF($B$4="RESONANCE",IFERROR(IF(INDEX(MASTER!$I$4:$I$1463,MATCH("ACHERON"&amp;"|"&amp;MAX(1,ROUND(COUNTIFS(MASTER!$B$4:$B$1463,"ACHERON",MASTER!$I$4:$I$1463,"&lt;&gt;")*$A123*100/100,0)),MASTER!$Y$4:$Y$1463,0))="",NA(),INDEX(MASTER!$I$4:$I$1463,MATCH("ACHERON"&amp;"|"&amp;MAX(1,ROUND(COUNTIFS(MASTER!$B$4:$B$1463,"ACHERON",MASTER!$I$4:$I$1463,"&lt;&gt;")*$A123*100/100,0)),MASTER!$Y$4:$Y$1463,0))),NA()),IF($B$4="COMBAT RATING",IFERROR(IF(INDEX(MASTER!$G$4:$G$1463,MATCH("ACHERON"&amp;"|"&amp;MAX(1,ROUND(COUNTIFS(MASTER!$B$4:$B$1463,"ACHERON",MASTER!$G$4:$G$1463,"&lt;&gt;")*$A123*100/100,0)),MASTER!$AH$4:$AH$1463,0))="",NA(),INDEX(MASTER!$G$4:$G$1463,MATCH("ACHERON"&amp;"|"&amp;MAX(1,ROUND(COUNTIFS(MASTER!$B$4:$B$1463,"ACHERON",MASTER!$G$4:$G$1463,"&lt;&gt;")*$A123*100/100,0)),MASTER!$AH$4:$AH$1463,0))),NA()),IF($B$4="SECONDARY",IFERROR(IF(INDEX(MASTER!$L$4:$L$1463,MATCH("ACHERON"&amp;"|"&amp;MAX(1,ROUND(COUNTIFS(MASTER!$B$4:$B$1463,"ACHERON",MASTER!$L$4:$L$1463,"&lt;&gt;")*$A123*100/100,0)),MASTER!$AI$4:$AI$1463,0))="",NA(),INDEX(MASTER!$L$4:$L$1463,MATCH("ACHERON"&amp;"|"&amp;MAX(1,ROUND(COUNTIFS(MASTER!$B$4:$B$1463,"ACHERON",MASTER!$L$4:$L$1463,"&lt;&gt;")*$A123*100/100,0)),MASTER!$AI$4:$AI$1463,0))),NA()))))</f>
        <v>3150</v>
      </c>
      <c r="J123" s="37">
        <f>IF($B$4="RESONANCE",IFERROR(IF(INDEX(MASTER!$I$4:$I$1463,MATCH("INVICTUS"&amp;"|"&amp;MAX(1,ROUND(COUNTIFS(MASTER!$B$4:$B$1463,"INVICTUS",MASTER!$I$4:$I$1463,"&lt;&gt;")*$A123*100/100,0)),MASTER!$Y$4:$Y$1463,0))="",NA(),INDEX(MASTER!$I$4:$I$1463,MATCH("INVICTUS"&amp;"|"&amp;MAX(1,ROUND(COUNTIFS(MASTER!$B$4:$B$1463,"INVICTUS",MASTER!$I$4:$I$1463,"&lt;&gt;")*$A123*100/100,0)),MASTER!$Y$4:$Y$1463,0))),NA()),IF($B$4="COMBAT RATING",IFERROR(IF(INDEX(MASTER!$G$4:$G$1463,MATCH("INVICTUS"&amp;"|"&amp;MAX(1,ROUND(COUNTIFS(MASTER!$B$4:$B$1463,"INVICTUS",MASTER!$G$4:$G$1463,"&lt;&gt;")*$A123*100/100,0)),MASTER!$AH$4:$AH$1463,0))="",NA(),INDEX(MASTER!$G$4:$G$1463,MATCH("INVICTUS"&amp;"|"&amp;MAX(1,ROUND(COUNTIFS(MASTER!$B$4:$B$1463,"INVICTUS",MASTER!$G$4:$G$1463,"&lt;&gt;")*$A123*100/100,0)),MASTER!$AH$4:$AH$1463,0))),NA()),IF($B$4="SECONDARY",IFERROR(IF(INDEX(MASTER!$L$4:$L$1463,MATCH("INVICTUS"&amp;"|"&amp;MAX(1,ROUND(COUNTIFS(MASTER!$B$4:$B$1463,"INVICTUS",MASTER!$L$4:$L$1463,"&lt;&gt;")*$A123*100/100,0)),MASTER!$AI$4:$AI$1463,0))="",NA(),INDEX(MASTER!$L$4:$L$1463,MATCH("INVICTUS"&amp;"|"&amp;MAX(1,ROUND(COUNTIFS(MASTER!$B$4:$B$1463,"INVICTUS",MASTER!$L$4:$L$1463,"&lt;&gt;")*$A123*100/100,0)),MASTER!$AI$4:$AI$1463,0))),NA()))))</f>
        <v>2568</v>
      </c>
      <c r="K123" s="37">
        <f>IF($B$4="RESONANCE",IFERROR(IF(INDEX(MASTER!$I$4:$I$1463,MATCH("EMERALD LEAF TRIBE"&amp;"|"&amp;MAX(1,ROUND(COUNTIFS(MASTER!$B$4:$B$1463,"EMERALD LEAF TRIBE",MASTER!$I$4:$I$1463,"&lt;&gt;")*$A123*100/100,0)),MASTER!$Y$4:$Y$1463,0))="",NA(),INDEX(MASTER!$I$4:$I$1463,MATCH("EMERALD LEAF TRIBE"&amp;"|"&amp;MAX(1,ROUND(COUNTIFS(MASTER!$B$4:$B$1463,"EMERALD LEAF TRIBE",MASTER!$I$4:$I$1463,"&lt;&gt;")*$A123*100/100,0)),MASTER!$Y$4:$Y$1463,0))),NA()),IF($B$4="COMBAT RATING",IFERROR(IF(INDEX(MASTER!$G$4:$G$1463,MATCH("EMERALD LEAF TRIBE"&amp;"|"&amp;MAX(1,ROUND(COUNTIFS(MASTER!$B$4:$B$1463,"EMERALD LEAF TRIBE",MASTER!$G$4:$G$1463,"&lt;&gt;")*$A123*100/100,0)),MASTER!$AH$4:$AH$1463,0))="",NA(),INDEX(MASTER!$G$4:$G$1463,MATCH("EMERALD LEAF TRIBE"&amp;"|"&amp;MAX(1,ROUND(COUNTIFS(MASTER!$B$4:$B$1463,"EMERALD LEAF TRIBE",MASTER!$G$4:$G$1463,"&lt;&gt;")*$A123*100/100,0)),MASTER!$AH$4:$AH$1463,0))),NA()),IF($B$4="SECONDARY",IFERROR(IF(INDEX(MASTER!$L$4:$L$1463,MATCH("EMERALD LEAF TRIBE"&amp;"|"&amp;MAX(1,ROUND(COUNTIFS(MASTER!$B$4:$B$1463,"EMERALD LEAF TRIBE",MASTER!$L$4:$L$1463,"&lt;&gt;")*$A123*100/100,0)),MASTER!$AI$4:$AI$1463,0))="",NA(),INDEX(MASTER!$L$4:$L$1463,MATCH("EMERALD LEAF TRIBE"&amp;"|"&amp;MAX(1,ROUND(COUNTIFS(MASTER!$B$4:$B$1463,"EMERALD LEAF TRIBE",MASTER!$L$4:$L$1463,"&lt;&gt;")*$A123*100/100,0)),MASTER!$AI$4:$AI$1463,0))),NA()))))</f>
        <v>1639</v>
      </c>
      <c r="L123" s="37">
        <f>IF($B$4="RESONANCE",IFERROR(IF(INDEX(MASTER!$I$4:$I$1463,MATCH("SUB ROSA"&amp;"|"&amp;MAX(1,ROUND(COUNTIFS(MASTER!$B$4:$B$1463,"SUB ROSA",MASTER!$I$4:$I$1463,"&lt;&gt;")*$A123*100/100,0)),MASTER!$Y$4:$Y$1463,0))="",NA(),INDEX(MASTER!$I$4:$I$1463,MATCH("SUB ROSA"&amp;"|"&amp;MAX(1,ROUND(COUNTIFS(MASTER!$B$4:$B$1463,"SUB ROSA",MASTER!$I$4:$I$1463,"&lt;&gt;")*$A123*100/100,0)),MASTER!$Y$4:$Y$1463,0))),NA()),IF($B$4="COMBAT RATING",IFERROR(IF(INDEX(MASTER!$G$4:$G$1463,MATCH("SUB ROSA"&amp;"|"&amp;MAX(1,ROUND(COUNTIFS(MASTER!$B$4:$B$1463,"SUB ROSA",MASTER!$G$4:$G$1463,"&lt;&gt;")*$A123*100/100,0)),MASTER!$AH$4:$AH$1463,0))="",NA(),INDEX(MASTER!$G$4:$G$1463,MATCH("SUB ROSA"&amp;"|"&amp;MAX(1,ROUND(COUNTIFS(MASTER!$B$4:$B$1463,"SUB ROSA",MASTER!$G$4:$G$1463,"&lt;&gt;")*$A123*100/100,0)),MASTER!$AH$4:$AH$1463,0))),NA()),IF($B$4="SECONDARY",IFERROR(IF(INDEX(MASTER!$L$4:$L$1463,MATCH("SUB ROSA"&amp;"|"&amp;MAX(1,ROUND(COUNTIFS(MASTER!$B$4:$B$1463,"SUB ROSA",MASTER!$L$4:$L$1463,"&lt;&gt;")*$A123*100/100,0)),MASTER!$AI$4:$AI$1463,0))="",NA(),INDEX(MASTER!$L$4:$L$1463,MATCH("SUB ROSA"&amp;"|"&amp;MAX(1,ROUND(COUNTIFS(MASTER!$B$4:$B$1463,"SUB ROSA",MASTER!$L$4:$L$1463,"&lt;&gt;")*$A123*100/100,0)),MASTER!$AI$4:$AI$1463,0))),NA()))))</f>
        <v>1920</v>
      </c>
      <c r="M123" s="37">
        <f>IF($B$4="RESONANCE",IFERROR(IF(INDEX(MASTER!$I$4:$I$1463,MATCH("VENGEANCE"&amp;"|"&amp;MAX(1,ROUND(COUNTIFS(MASTER!$B$4:$B$1463,"VENGEANCE",MASTER!$I$4:$I$1463,"&lt;&gt;")*$A123*100/100,0)),MASTER!$Y$4:$Y$1463,0))="",NA(),INDEX(MASTER!$I$4:$I$1463,MATCH("VENGEANCE"&amp;"|"&amp;MAX(1,ROUND(COUNTIFS(MASTER!$B$4:$B$1463,"VENGEANCE",MASTER!$I$4:$I$1463,"&lt;&gt;")*$A123*100/100,0)),MASTER!$Y$4:$Y$1463,0))),NA()),IF($B$4="COMBAT RATING",IFERROR(IF(INDEX(MASTER!$G$4:$G$1463,MATCH("VENGEANCE"&amp;"|"&amp;MAX(1,ROUND(COUNTIFS(MASTER!$B$4:$B$1463,"VENGEANCE",MASTER!$G$4:$G$1463,"&lt;&gt;")*$A123*100/100,0)),MASTER!$AH$4:$AH$1463,0))="",NA(),INDEX(MASTER!$G$4:$G$1463,MATCH("VENGEANCE"&amp;"|"&amp;MAX(1,ROUND(COUNTIFS(MASTER!$B$4:$B$1463,"VENGEANCE",MASTER!$G$4:$G$1463,"&lt;&gt;")*$A123*100/100,0)),MASTER!$AH$4:$AH$1463,0))),NA()),IF($B$4="SECONDARY",IFERROR(IF(INDEX(MASTER!$L$4:$L$1463,MATCH("VENGEANCE"&amp;"|"&amp;MAX(1,ROUND(COUNTIFS(MASTER!$B$4:$B$1463,"VENGEANCE",MASTER!$L$4:$L$1463,"&lt;&gt;")*$A123*100/100,0)),MASTER!$AI$4:$AI$1463,0))="",NA(),INDEX(MASTER!$L$4:$L$1463,MATCH("VENGEANCE"&amp;"|"&amp;MAX(1,ROUND(COUNTIFS(MASTER!$B$4:$B$1463,"VENGEANCE",MASTER!$L$4:$L$1463,"&lt;&gt;")*$A123*100/100,0)),MASTER!$AI$4:$AI$1463,0))),NA()))))</f>
        <v>2688</v>
      </c>
      <c r="N123" s="37">
        <f>IF($B$4="RESONANCE",IFERROR(IF(INDEX(MASTER!$I$4:$I$1463,MATCH("VENDETTA"&amp;"|"&amp;MAX(1,ROUND(COUNTIFS(MASTER!$B$4:$B$1463,"VENDETTA",MASTER!$I$4:$I$1463,"&lt;&gt;")*$A123*100/100,0)),MASTER!$Y$4:$Y$1463,0))="",NA(),INDEX(MASTER!$I$4:$I$1463,MATCH("VENDETTA"&amp;"|"&amp;MAX(1,ROUND(COUNTIFS(MASTER!$B$4:$B$1463,"VENDETTA",MASTER!$I$4:$I$1463,"&lt;&gt;")*$A123*100/100,0)),MASTER!$Y$4:$Y$1463,0))),NA()),IF($B$4="COMBAT RATING",IFERROR(IF(INDEX(MASTER!$G$4:$G$1463,MATCH("VENDETTA"&amp;"|"&amp;MAX(1,ROUND(COUNTIFS(MASTER!$B$4:$B$1463,"VENDETTA",MASTER!$G$4:$G$1463,"&lt;&gt;")*$A123*100/100,0)),MASTER!$AH$4:$AH$1463,0))="",NA(),INDEX(MASTER!$G$4:$G$1463,MATCH("VENDETTA"&amp;"|"&amp;MAX(1,ROUND(COUNTIFS(MASTER!$B$4:$B$1463,"VENDETTA",MASTER!$G$4:$G$1463,"&lt;&gt;")*$A123*100/100,0)),MASTER!$AH$4:$AH$1463,0))),NA()),IF($B$4="SECONDARY",IFERROR(IF(INDEX(MASTER!$L$4:$L$1463,MATCH("VENDETTA"&amp;"|"&amp;MAX(1,ROUND(COUNTIFS(MASTER!$B$4:$B$1463,"VENDETTA",MASTER!$L$4:$L$1463,"&lt;&gt;")*$A123*100/100,0)),MASTER!$AI$4:$AI$1463,0))="",NA(),INDEX(MASTER!$L$4:$L$1463,MATCH("VENDETTA"&amp;"|"&amp;MAX(1,ROUND(COUNTIFS(MASTER!$B$4:$B$1463,"VENDETTA",MASTER!$L$4:$L$1463,"&lt;&gt;")*$A123*100/100,0)),MASTER!$AI$4:$AI$1463,0))),NA()))))</f>
        <v>1526</v>
      </c>
      <c r="O123" s="37">
        <f>IF($B$4="RESONANCE",IFERROR(IF(INDEX(MASTER!$I$4:$I$1463,MATCH("ZOMBIES"&amp;"|"&amp;MAX(1,ROUND(COUNTIFS(MASTER!$B$4:$B$1463,"ZOMBIES",MASTER!$I$4:$I$1463,"&lt;&gt;")*$A123*100/100,0)),MASTER!$Y$4:$Y$1463,0))="",NA(),INDEX(MASTER!$I$4:$I$1463,MATCH("ZOMBIES"&amp;"|"&amp;MAX(1,ROUND(COUNTIFS(MASTER!$B$4:$B$1463,"ZOMBIES",MASTER!$I$4:$I$1463,"&lt;&gt;")*$A123*100/100,0)),MASTER!$Y$4:$Y$1463,0))),NA()),IF($B$4="COMBAT RATING",IFERROR(IF(INDEX(MASTER!$G$4:$G$1463,MATCH("ZOMBIES"&amp;"|"&amp;MAX(1,ROUND(COUNTIFS(MASTER!$B$4:$B$1463,"ZOMBIES",MASTER!$G$4:$G$1463,"&lt;&gt;")*$A123*100/100,0)),MASTER!$AH$4:$AH$1463,0))="",NA(),INDEX(MASTER!$G$4:$G$1463,MATCH("ZOMBIES"&amp;"|"&amp;MAX(1,ROUND(COUNTIFS(MASTER!$B$4:$B$1463,"ZOMBIES",MASTER!$G$4:$G$1463,"&lt;&gt;")*$A123*100/100,0)),MASTER!$AH$4:$AH$1463,0))),NA()),IF($B$4="SECONDARY",IFERROR(IF(INDEX(MASTER!$L$4:$L$1463,MATCH("ZOMBIES"&amp;"|"&amp;MAX(1,ROUND(COUNTIFS(MASTER!$B$4:$B$1463,"ZOMBIES",MASTER!$L$4:$L$1463,"&lt;&gt;")*$A123*100/100,0)),MASTER!$AI$4:$AI$1463,0))="",NA(),INDEX(MASTER!$L$4:$L$1463,MATCH("ZOMBIES"&amp;"|"&amp;MAX(1,ROUND(COUNTIFS(MASTER!$B$4:$B$1463,"ZOMBIES",MASTER!$L$4:$L$1463,"&lt;&gt;")*$A123*100/100,0)),MASTER!$AI$4:$AI$1463,0))),NA()))))</f>
        <v>1340</v>
      </c>
      <c r="P123" s="37">
        <f>IF($B$4="RESONANCE",IFERROR(IF(INDEX(MASTER!$I$4:$I$1463,MATCH("FUCT"&amp;"|"&amp;MAX(1,ROUND(COUNTIFS(MASTER!$B$4:$B$1463,"FUCT",MASTER!$I$4:$I$1463,"&lt;&gt;")*$A123*100/100,0)),MASTER!$Y$4:$Y$1463,0))="",NA(),INDEX(MASTER!$I$4:$I$1463,MATCH("FUCT"&amp;"|"&amp;MAX(1,ROUND(COUNTIFS(MASTER!$B$4:$B$1463,"FUCT",MASTER!$I$4:$I$1463,"&lt;&gt;")*$A123*100/100,0)),MASTER!$Y$4:$Y$1463,0))),NA()),IF($B$4="COMBAT RATING",IFERROR(IF(INDEX(MASTER!$G$4:$G$1463,MATCH("FUCT"&amp;"|"&amp;MAX(1,ROUND(COUNTIFS(MASTER!$B$4:$B$1463,"FUCT",MASTER!$G$4:$G$1463,"&lt;&gt;")*$A123*100/100,0)),MASTER!$AH$4:$AH$1463,0))="",NA(),INDEX(MASTER!$G$4:$G$1463,MATCH("FUCT"&amp;"|"&amp;MAX(1,ROUND(COUNTIFS(MASTER!$B$4:$B$1463,"FUCT",MASTER!$G$4:$G$1463,"&lt;&gt;")*$A123*100/100,0)),MASTER!$AH$4:$AH$1463,0))),NA()),IF($B$4="SECONDARY",IFERROR(IF(INDEX(MASTER!$L$4:$L$1463,MATCH("FUCT"&amp;"|"&amp;MAX(1,ROUND(COUNTIFS(MASTER!$B$4:$B$1463,"FUCT",MASTER!$L$4:$L$1463,"&lt;&gt;")*$A123*100/100,0)),MASTER!$AI$4:$AI$1463,0))="",NA(),INDEX(MASTER!$L$4:$L$1463,MATCH("FUCT"&amp;"|"&amp;MAX(1,ROUND(COUNTIFS(MASTER!$B$4:$B$1463,"FUCT",MASTER!$L$4:$L$1463,"&lt;&gt;")*$A123*100/100,0)),MASTER!$AI$4:$AI$1463,0))),NA()))))</f>
        <v>3776</v>
      </c>
      <c r="Q123" s="37">
        <f>IF($B$4="RESONANCE",IFERROR(IF(INDEX(MASTER!$I$4:$I$1463,MATCH($E$4&amp;"|"&amp;MAX(1,ROUND(COUNTIFS(MASTER!$B$4:$B$1463,$E$4,MASTER!$I$4:$I$1463,"&lt;&gt;")*$A123*100/100,0)),MASTER!$Y$4:$Y$1463,0))="",NA(),INDEX(MASTER!$I$4:$I$1463,MATCH($E$4&amp;"|"&amp;MAX(1,ROUND(COUNTIFS(MASTER!$B$4:$B$1463,$E$4,MASTER!$I$4:$I$1463,"&lt;&gt;")*$A123*100/100,0)),MASTER!$Y$4:$Y$1463,0))),NA()),IF($B$4="COMBAT RATING",IFERROR(IF(INDEX(MASTER!$G$4:$G$1463,MATCH($E$4&amp;"|"&amp;MAX(1,ROUND(COUNTIFS(MASTER!$B$4:$B$1463,$E$4,MASTER!$G$4:$G$1463,"&lt;&gt;")*$A123*100/100,0)),MASTER!$AH$4:$AH$1463,0))="",NA(),INDEX(MASTER!$G$4:$G$1463,MATCH($E$4&amp;"|"&amp;MAX(1,ROUND(COUNTIFS(MASTER!$B$4:$B$1463,$E$4,MASTER!$G$4:$G$1463,"&lt;&gt;")*$A123*100/100,0)),MASTER!$AH$4:$AH$1463,0))),NA()),IF($B$4="SECONDARY",IFERROR(IF(INDEX(MASTER!$L$4:$L$1463,MATCH($E$4&amp;"|"&amp;MAX(1,ROUND(COUNTIFS(MASTER!$B$4:$B$1463,$E$4,MASTER!$L$4:$L$1463,"&lt;&gt;")*$A123*100/100,0)),MASTER!$AI$4:$AI$1463,0))="",NA(),INDEX(MASTER!$L$4:$L$1463,MATCH($E$4&amp;"|"&amp;MAX(1,ROUND(COUNTIFS(MASTER!$B$4:$B$1463,$E$4,MASTER!$L$4:$L$1463,"&lt;&gt;")*$A123*100/100,0)),MASTER!$AI$4:$AI$1463,0))),NA()))))</f>
        <v>3574</v>
      </c>
    </row>
    <row r="124" spans="1:17" hidden="1">
      <c r="A124" s="36">
        <v>0.69</v>
      </c>
      <c r="B124" s="37">
        <f>IF($B$4="RESONANCE",IFERROR(IF(INDEX(MASTER!$I$4:$I$1463,MATCH("FUCT"&amp;"|"&amp;MAX(1,ROUND(COUNTIFS(MASTER!$B$4:$B$1463,"FUCT",MASTER!$I$4:$I$1463,"&lt;&gt;")*$A124*100/100,0)),MASTER!$Y$4:$Y$1463,0))="",NA(),INDEX(MASTER!$I$4:$I$1463,MATCH("FUCT"&amp;"|"&amp;MAX(1,ROUND(COUNTIFS(MASTER!$B$4:$B$1463,"FUCT",MASTER!$I$4:$I$1463,"&lt;&gt;")*$A124*100/100,0)),MASTER!$Y$4:$Y$1463,0))),NA()),IF($B$4="COMBAT RATING",IFERROR(IF(INDEX(MASTER!$G$4:$G$1463,MATCH("FUCT"&amp;"|"&amp;MAX(1,ROUND(COUNTIFS(MASTER!$B$4:$B$1463,"FUCT",MASTER!$G$4:$G$1463,"&lt;&gt;")*$A124*100/100,0)),MASTER!$AH$4:$AH$1463,0))="",NA(),INDEX(MASTER!$G$4:$G$1463,MATCH("FUCT"&amp;"|"&amp;MAX(1,ROUND(COUNTIFS(MASTER!$B$4:$B$1463,"FUCT",MASTER!$G$4:$G$1463,"&lt;&gt;")*$A124*100/100,0)),MASTER!$AH$4:$AH$1463,0))),NA()),IF($B$4="SECONDARY",IFERROR(IF(INDEX(MASTER!$L$4:$L$1463,MATCH("FUCT"&amp;"|"&amp;MAX(1,ROUND(COUNTIFS(MASTER!$B$4:$B$1463,"FUCT",MASTER!$L$4:$L$1463,"&lt;&gt;")*$A124*100/100,0)),MASTER!$AI$4:$AI$1463,0))="",NA(),INDEX(MASTER!$L$4:$L$1463,MATCH("FUCT"&amp;"|"&amp;MAX(1,ROUND(COUNTIFS(MASTER!$B$4:$B$1463,"FUCT",MASTER!$L$4:$L$1463,"&lt;&gt;")*$A124*100/100,0)),MASTER!$AI$4:$AI$1463,0))),NA()))))</f>
        <v>3726</v>
      </c>
      <c r="C124" s="37">
        <f>IF($B$4="RESONANCE",IFERROR(IF(INDEX(MASTER!$I$4:$I$1463,MATCH("LEGENDS"&amp;"|"&amp;MAX(1,ROUND(COUNTIFS(MASTER!$B$4:$B$1463,"LEGENDS",MASTER!$I$4:$I$1463,"&lt;&gt;")*$A124*100/100,0)),MASTER!$Y$4:$Y$1463,0))="",NA(),INDEX(MASTER!$I$4:$I$1463,MATCH("LEGENDS"&amp;"|"&amp;MAX(1,ROUND(COUNTIFS(MASTER!$B$4:$B$1463,"LEGENDS",MASTER!$I$4:$I$1463,"&lt;&gt;")*$A124*100/100,0)),MASTER!$Y$4:$Y$1463,0))),NA()),IF($B$4="COMBAT RATING",IFERROR(IF(INDEX(MASTER!$G$4:$G$1463,MATCH("LEGENDS"&amp;"|"&amp;MAX(1,ROUND(COUNTIFS(MASTER!$B$4:$B$1463,"LEGENDS",MASTER!$G$4:$G$1463,"&lt;&gt;")*$A124*100/100,0)),MASTER!$AH$4:$AH$1463,0))="",NA(),INDEX(MASTER!$G$4:$G$1463,MATCH("LEGENDS"&amp;"|"&amp;MAX(1,ROUND(COUNTIFS(MASTER!$B$4:$B$1463,"LEGENDS",MASTER!$G$4:$G$1463,"&lt;&gt;")*$A124*100/100,0)),MASTER!$AH$4:$AH$1463,0))),NA()),IF($B$4="SECONDARY",IFERROR(IF(INDEX(MASTER!$L$4:$L$1463,MATCH("LEGENDS"&amp;"|"&amp;MAX(1,ROUND(COUNTIFS(MASTER!$B$4:$B$1463,"LEGENDS",MASTER!$L$4:$L$1463,"&lt;&gt;")*$A124*100/100,0)),MASTER!$AI$4:$AI$1463,0))="",NA(),INDEX(MASTER!$L$4:$L$1463,MATCH("LEGENDS"&amp;"|"&amp;MAX(1,ROUND(COUNTIFS(MASTER!$B$4:$B$1463,"LEGENDS",MASTER!$L$4:$L$1463,"&lt;&gt;")*$A124*100/100,0)),MASTER!$AI$4:$AI$1463,0))),NA()))))</f>
        <v>4326</v>
      </c>
      <c r="D124" s="37">
        <f>IF($B$4="RESONANCE",IFERROR(IF(INDEX(MASTER!$I$4:$I$1463,MATCH("VANGUARD"&amp;"|"&amp;MAX(1,ROUND(COUNTIFS(MASTER!$B$4:$B$1463,"VANGUARD",MASTER!$I$4:$I$1463,"&lt;&gt;")*$A124*100/100,0)),MASTER!$Y$4:$Y$1463,0))="",NA(),INDEX(MASTER!$I$4:$I$1463,MATCH("VANGUARD"&amp;"|"&amp;MAX(1,ROUND(COUNTIFS(MASTER!$B$4:$B$1463,"VANGUARD",MASTER!$I$4:$I$1463,"&lt;&gt;")*$A124*100/100,0)),MASTER!$Y$4:$Y$1463,0))),NA()),IF($B$4="COMBAT RATING",IFERROR(IF(INDEX(MASTER!$G$4:$G$1463,MATCH("VANGUARD"&amp;"|"&amp;MAX(1,ROUND(COUNTIFS(MASTER!$B$4:$B$1463,"VANGUARD",MASTER!$G$4:$G$1463,"&lt;&gt;")*$A124*100/100,0)),MASTER!$AH$4:$AH$1463,0))="",NA(),INDEX(MASTER!$G$4:$G$1463,MATCH("VANGUARD"&amp;"|"&amp;MAX(1,ROUND(COUNTIFS(MASTER!$B$4:$B$1463,"VANGUARD",MASTER!$G$4:$G$1463,"&lt;&gt;")*$A124*100/100,0)),MASTER!$AH$4:$AH$1463,0))),NA()),IF($B$4="SECONDARY",IFERROR(IF(INDEX(MASTER!$L$4:$L$1463,MATCH("VANGUARD"&amp;"|"&amp;MAX(1,ROUND(COUNTIFS(MASTER!$B$4:$B$1463,"VANGUARD",MASTER!$L$4:$L$1463,"&lt;&gt;")*$A124*100/100,0)),MASTER!$AI$4:$AI$1463,0))="",NA(),INDEX(MASTER!$L$4:$L$1463,MATCH("VANGUARD"&amp;"|"&amp;MAX(1,ROUND(COUNTIFS(MASTER!$B$4:$B$1463,"VANGUARD",MASTER!$L$4:$L$1463,"&lt;&gt;")*$A124*100/100,0)),MASTER!$AI$4:$AI$1463,0))),NA()))))</f>
        <v>5111</v>
      </c>
      <c r="E124" s="37">
        <f>IF($B$4="RESONANCE",IFERROR(IF(INDEX(MASTER!$I$4:$I$1463,MATCH("UNDYING"&amp;"|"&amp;MAX(1,ROUND(COUNTIFS(MASTER!$B$4:$B$1463,"UNDYING",MASTER!$I$4:$I$1463,"&lt;&gt;")*$A124*100/100,0)),MASTER!$Y$4:$Y$1463,0))="",NA(),INDEX(MASTER!$I$4:$I$1463,MATCH("UNDYING"&amp;"|"&amp;MAX(1,ROUND(COUNTIFS(MASTER!$B$4:$B$1463,"UNDYING",MASTER!$I$4:$I$1463,"&lt;&gt;")*$A124*100/100,0)),MASTER!$Y$4:$Y$1463,0))),NA()),IF($B$4="COMBAT RATING",IFERROR(IF(INDEX(MASTER!$G$4:$G$1463,MATCH("UNDYING"&amp;"|"&amp;MAX(1,ROUND(COUNTIFS(MASTER!$B$4:$B$1463,"UNDYING",MASTER!$G$4:$G$1463,"&lt;&gt;")*$A124*100/100,0)),MASTER!$AH$4:$AH$1463,0))="",NA(),INDEX(MASTER!$G$4:$G$1463,MATCH("UNDYING"&amp;"|"&amp;MAX(1,ROUND(COUNTIFS(MASTER!$B$4:$B$1463,"UNDYING",MASTER!$G$4:$G$1463,"&lt;&gt;")*$A124*100/100,0)),MASTER!$AH$4:$AH$1463,0))),NA()),IF($B$4="SECONDARY",IFERROR(IF(INDEX(MASTER!$L$4:$L$1463,MATCH("UNDYING"&amp;"|"&amp;MAX(1,ROUND(COUNTIFS(MASTER!$B$4:$B$1463,"UNDYING",MASTER!$L$4:$L$1463,"&lt;&gt;")*$A124*100/100,0)),MASTER!$AI$4:$AI$1463,0))="",NA(),INDEX(MASTER!$L$4:$L$1463,MATCH("UNDYING"&amp;"|"&amp;MAX(1,ROUND(COUNTIFS(MASTER!$B$4:$B$1463,"UNDYING",MASTER!$L$4:$L$1463,"&lt;&gt;")*$A124*100/100,0)),MASTER!$AI$4:$AI$1463,0))),NA()))))</f>
        <v>3563</v>
      </c>
      <c r="F124" s="37">
        <f>IF($B$4="RESONANCE",IFERROR(IF(INDEX(MASTER!$I$4:$I$1463,MATCH("SBG"&amp;"|"&amp;MAX(1,ROUND(COUNTIFS(MASTER!$B$4:$B$1463,"SBG",MASTER!$I$4:$I$1463,"&lt;&gt;")*$A124*100/100,0)),MASTER!$Y$4:$Y$1463,0))="",NA(),INDEX(MASTER!$I$4:$I$1463,MATCH("SBG"&amp;"|"&amp;MAX(1,ROUND(COUNTIFS(MASTER!$B$4:$B$1463,"SBG",MASTER!$I$4:$I$1463,"&lt;&gt;")*$A124*100/100,0)),MASTER!$Y$4:$Y$1463,0))),NA()),IF($B$4="COMBAT RATING",IFERROR(IF(INDEX(MASTER!$G$4:$G$1463,MATCH("SBG"&amp;"|"&amp;MAX(1,ROUND(COUNTIFS(MASTER!$B$4:$B$1463,"SBG",MASTER!$G$4:$G$1463,"&lt;&gt;")*$A124*100/100,0)),MASTER!$AH$4:$AH$1463,0))="",NA(),INDEX(MASTER!$G$4:$G$1463,MATCH("SBG"&amp;"|"&amp;MAX(1,ROUND(COUNTIFS(MASTER!$B$4:$B$1463,"SBG",MASTER!$G$4:$G$1463,"&lt;&gt;")*$A124*100/100,0)),MASTER!$AH$4:$AH$1463,0))),NA()),IF($B$4="SECONDARY",IFERROR(IF(INDEX(MASTER!$L$4:$L$1463,MATCH("SBG"&amp;"|"&amp;MAX(1,ROUND(COUNTIFS(MASTER!$B$4:$B$1463,"SBG",MASTER!$L$4:$L$1463,"&lt;&gt;")*$A124*100/100,0)),MASTER!$AI$4:$AI$1463,0))="",NA(),INDEX(MASTER!$L$4:$L$1463,MATCH("SBG"&amp;"|"&amp;MAX(1,ROUND(COUNTIFS(MASTER!$B$4:$B$1463,"SBG",MASTER!$L$4:$L$1463,"&lt;&gt;")*$A124*100/100,0)),MASTER!$AI$4:$AI$1463,0))),NA()))))</f>
        <v>4151</v>
      </c>
      <c r="G124" s="37">
        <f>IF($B$4="RESONANCE",IFERROR(IF(INDEX(MASTER!$I$4:$I$1463,MATCH("AZUKI"&amp;"|"&amp;MAX(1,ROUND(COUNTIFS(MASTER!$B$4:$B$1463,"AZUKI",MASTER!$I$4:$I$1463,"&lt;&gt;")*$A124*100/100,0)),MASTER!$Y$4:$Y$1463,0))="",NA(),INDEX(MASTER!$I$4:$I$1463,MATCH("AZUKI"&amp;"|"&amp;MAX(1,ROUND(COUNTIFS(MASTER!$B$4:$B$1463,"AZUKI",MASTER!$I$4:$I$1463,"&lt;&gt;")*$A124*100/100,0)),MASTER!$Y$4:$Y$1463,0))),NA()),IF($B$4="COMBAT RATING",IFERROR(IF(INDEX(MASTER!$G$4:$G$1463,MATCH("AZUKI"&amp;"|"&amp;MAX(1,ROUND(COUNTIFS(MASTER!$B$4:$B$1463,"AZUKI",MASTER!$G$4:$G$1463,"&lt;&gt;")*$A124*100/100,0)),MASTER!$AH$4:$AH$1463,0))="",NA(),INDEX(MASTER!$G$4:$G$1463,MATCH("AZUKI"&amp;"|"&amp;MAX(1,ROUND(COUNTIFS(MASTER!$B$4:$B$1463,"AZUKI",MASTER!$G$4:$G$1463,"&lt;&gt;")*$A124*100/100,0)),MASTER!$AH$4:$AH$1463,0))),NA()),IF($B$4="SECONDARY",IFERROR(IF(INDEX(MASTER!$L$4:$L$1463,MATCH("AZUKI"&amp;"|"&amp;MAX(1,ROUND(COUNTIFS(MASTER!$B$4:$B$1463,"AZUKI",MASTER!$L$4:$L$1463,"&lt;&gt;")*$A124*100/100,0)),MASTER!$AI$4:$AI$1463,0))="",NA(),INDEX(MASTER!$L$4:$L$1463,MATCH("AZUKI"&amp;"|"&amp;MAX(1,ROUND(COUNTIFS(MASTER!$B$4:$B$1463,"AZUKI",MASTER!$L$4:$L$1463,"&lt;&gt;")*$A124*100/100,0)),MASTER!$AI$4:$AI$1463,0))),NA()))))</f>
        <v>3609</v>
      </c>
      <c r="H124" s="37">
        <f>IF($B$4="RESONANCE",IFERROR(IF(INDEX(MASTER!$I$4:$I$1463,MATCH("RECKONING"&amp;"|"&amp;MAX(1,ROUND(COUNTIFS(MASTER!$B$4:$B$1463,"RECKONING",MASTER!$I$4:$I$1463,"&lt;&gt;")*$A124*100/100,0)),MASTER!$Y$4:$Y$1463,0))="",NA(),INDEX(MASTER!$I$4:$I$1463,MATCH("RECKONING"&amp;"|"&amp;MAX(1,ROUND(COUNTIFS(MASTER!$B$4:$B$1463,"RECKONING",MASTER!$I$4:$I$1463,"&lt;&gt;")*$A124*100/100,0)),MASTER!$Y$4:$Y$1463,0))),NA()),IF($B$4="COMBAT RATING",IFERROR(IF(INDEX(MASTER!$G$4:$G$1463,MATCH("RECKONING"&amp;"|"&amp;MAX(1,ROUND(COUNTIFS(MASTER!$B$4:$B$1463,"RECKONING",MASTER!$G$4:$G$1463,"&lt;&gt;")*$A124*100/100,0)),MASTER!$AH$4:$AH$1463,0))="",NA(),INDEX(MASTER!$G$4:$G$1463,MATCH("RECKONING"&amp;"|"&amp;MAX(1,ROUND(COUNTIFS(MASTER!$B$4:$B$1463,"RECKONING",MASTER!$G$4:$G$1463,"&lt;&gt;")*$A124*100/100,0)),MASTER!$AH$4:$AH$1463,0))),NA()),IF($B$4="SECONDARY",IFERROR(IF(INDEX(MASTER!$L$4:$L$1463,MATCH("RECKONING"&amp;"|"&amp;MAX(1,ROUND(COUNTIFS(MASTER!$B$4:$B$1463,"RECKONING",MASTER!$L$4:$L$1463,"&lt;&gt;")*$A124*100/100,0)),MASTER!$AI$4:$AI$1463,0))="",NA(),INDEX(MASTER!$L$4:$L$1463,MATCH("RECKONING"&amp;"|"&amp;MAX(1,ROUND(COUNTIFS(MASTER!$B$4:$B$1463,"RECKONING",MASTER!$L$4:$L$1463,"&lt;&gt;")*$A124*100/100,0)),MASTER!$AI$4:$AI$1463,0))),NA()))))</f>
        <v>3878</v>
      </c>
      <c r="I124" s="37">
        <f>IF($B$4="RESONANCE",IFERROR(IF(INDEX(MASTER!$I$4:$I$1463,MATCH("ACHERON"&amp;"|"&amp;MAX(1,ROUND(COUNTIFS(MASTER!$B$4:$B$1463,"ACHERON",MASTER!$I$4:$I$1463,"&lt;&gt;")*$A124*100/100,0)),MASTER!$Y$4:$Y$1463,0))="",NA(),INDEX(MASTER!$I$4:$I$1463,MATCH("ACHERON"&amp;"|"&amp;MAX(1,ROUND(COUNTIFS(MASTER!$B$4:$B$1463,"ACHERON",MASTER!$I$4:$I$1463,"&lt;&gt;")*$A124*100/100,0)),MASTER!$Y$4:$Y$1463,0))),NA()),IF($B$4="COMBAT RATING",IFERROR(IF(INDEX(MASTER!$G$4:$G$1463,MATCH("ACHERON"&amp;"|"&amp;MAX(1,ROUND(COUNTIFS(MASTER!$B$4:$B$1463,"ACHERON",MASTER!$G$4:$G$1463,"&lt;&gt;")*$A124*100/100,0)),MASTER!$AH$4:$AH$1463,0))="",NA(),INDEX(MASTER!$G$4:$G$1463,MATCH("ACHERON"&amp;"|"&amp;MAX(1,ROUND(COUNTIFS(MASTER!$B$4:$B$1463,"ACHERON",MASTER!$G$4:$G$1463,"&lt;&gt;")*$A124*100/100,0)),MASTER!$AH$4:$AH$1463,0))),NA()),IF($B$4="SECONDARY",IFERROR(IF(INDEX(MASTER!$L$4:$L$1463,MATCH("ACHERON"&amp;"|"&amp;MAX(1,ROUND(COUNTIFS(MASTER!$B$4:$B$1463,"ACHERON",MASTER!$L$4:$L$1463,"&lt;&gt;")*$A124*100/100,0)),MASTER!$AI$4:$AI$1463,0))="",NA(),INDEX(MASTER!$L$4:$L$1463,MATCH("ACHERON"&amp;"|"&amp;MAX(1,ROUND(COUNTIFS(MASTER!$B$4:$B$1463,"ACHERON",MASTER!$L$4:$L$1463,"&lt;&gt;")*$A124*100/100,0)),MASTER!$AI$4:$AI$1463,0))),NA()))))</f>
        <v>3144</v>
      </c>
      <c r="J124" s="37">
        <f>IF($B$4="RESONANCE",IFERROR(IF(INDEX(MASTER!$I$4:$I$1463,MATCH("INVICTUS"&amp;"|"&amp;MAX(1,ROUND(COUNTIFS(MASTER!$B$4:$B$1463,"INVICTUS",MASTER!$I$4:$I$1463,"&lt;&gt;")*$A124*100/100,0)),MASTER!$Y$4:$Y$1463,0))="",NA(),INDEX(MASTER!$I$4:$I$1463,MATCH("INVICTUS"&amp;"|"&amp;MAX(1,ROUND(COUNTIFS(MASTER!$B$4:$B$1463,"INVICTUS",MASTER!$I$4:$I$1463,"&lt;&gt;")*$A124*100/100,0)),MASTER!$Y$4:$Y$1463,0))),NA()),IF($B$4="COMBAT RATING",IFERROR(IF(INDEX(MASTER!$G$4:$G$1463,MATCH("INVICTUS"&amp;"|"&amp;MAX(1,ROUND(COUNTIFS(MASTER!$B$4:$B$1463,"INVICTUS",MASTER!$G$4:$G$1463,"&lt;&gt;")*$A124*100/100,0)),MASTER!$AH$4:$AH$1463,0))="",NA(),INDEX(MASTER!$G$4:$G$1463,MATCH("INVICTUS"&amp;"|"&amp;MAX(1,ROUND(COUNTIFS(MASTER!$B$4:$B$1463,"INVICTUS",MASTER!$G$4:$G$1463,"&lt;&gt;")*$A124*100/100,0)),MASTER!$AH$4:$AH$1463,0))),NA()),IF($B$4="SECONDARY",IFERROR(IF(INDEX(MASTER!$L$4:$L$1463,MATCH("INVICTUS"&amp;"|"&amp;MAX(1,ROUND(COUNTIFS(MASTER!$B$4:$B$1463,"INVICTUS",MASTER!$L$4:$L$1463,"&lt;&gt;")*$A124*100/100,0)),MASTER!$AI$4:$AI$1463,0))="",NA(),INDEX(MASTER!$L$4:$L$1463,MATCH("INVICTUS"&amp;"|"&amp;MAX(1,ROUND(COUNTIFS(MASTER!$B$4:$B$1463,"INVICTUS",MASTER!$L$4:$L$1463,"&lt;&gt;")*$A124*100/100,0)),MASTER!$AI$4:$AI$1463,0))),NA()))))</f>
        <v>2541</v>
      </c>
      <c r="K124" s="37">
        <f>IF($B$4="RESONANCE",IFERROR(IF(INDEX(MASTER!$I$4:$I$1463,MATCH("EMERALD LEAF TRIBE"&amp;"|"&amp;MAX(1,ROUND(COUNTIFS(MASTER!$B$4:$B$1463,"EMERALD LEAF TRIBE",MASTER!$I$4:$I$1463,"&lt;&gt;")*$A124*100/100,0)),MASTER!$Y$4:$Y$1463,0))="",NA(),INDEX(MASTER!$I$4:$I$1463,MATCH("EMERALD LEAF TRIBE"&amp;"|"&amp;MAX(1,ROUND(COUNTIFS(MASTER!$B$4:$B$1463,"EMERALD LEAF TRIBE",MASTER!$I$4:$I$1463,"&lt;&gt;")*$A124*100/100,0)),MASTER!$Y$4:$Y$1463,0))),NA()),IF($B$4="COMBAT RATING",IFERROR(IF(INDEX(MASTER!$G$4:$G$1463,MATCH("EMERALD LEAF TRIBE"&amp;"|"&amp;MAX(1,ROUND(COUNTIFS(MASTER!$B$4:$B$1463,"EMERALD LEAF TRIBE",MASTER!$G$4:$G$1463,"&lt;&gt;")*$A124*100/100,0)),MASTER!$AH$4:$AH$1463,0))="",NA(),INDEX(MASTER!$G$4:$G$1463,MATCH("EMERALD LEAF TRIBE"&amp;"|"&amp;MAX(1,ROUND(COUNTIFS(MASTER!$B$4:$B$1463,"EMERALD LEAF TRIBE",MASTER!$G$4:$G$1463,"&lt;&gt;")*$A124*100/100,0)),MASTER!$AH$4:$AH$1463,0))),NA()),IF($B$4="SECONDARY",IFERROR(IF(INDEX(MASTER!$L$4:$L$1463,MATCH("EMERALD LEAF TRIBE"&amp;"|"&amp;MAX(1,ROUND(COUNTIFS(MASTER!$B$4:$B$1463,"EMERALD LEAF TRIBE",MASTER!$L$4:$L$1463,"&lt;&gt;")*$A124*100/100,0)),MASTER!$AI$4:$AI$1463,0))="",NA(),INDEX(MASTER!$L$4:$L$1463,MATCH("EMERALD LEAF TRIBE"&amp;"|"&amp;MAX(1,ROUND(COUNTIFS(MASTER!$B$4:$B$1463,"EMERALD LEAF TRIBE",MASTER!$L$4:$L$1463,"&lt;&gt;")*$A124*100/100,0)),MASTER!$AI$4:$AI$1463,0))),NA()))))</f>
        <v>1591</v>
      </c>
      <c r="L124" s="37">
        <f>IF($B$4="RESONANCE",IFERROR(IF(INDEX(MASTER!$I$4:$I$1463,MATCH("SUB ROSA"&amp;"|"&amp;MAX(1,ROUND(COUNTIFS(MASTER!$B$4:$B$1463,"SUB ROSA",MASTER!$I$4:$I$1463,"&lt;&gt;")*$A124*100/100,0)),MASTER!$Y$4:$Y$1463,0))="",NA(),INDEX(MASTER!$I$4:$I$1463,MATCH("SUB ROSA"&amp;"|"&amp;MAX(1,ROUND(COUNTIFS(MASTER!$B$4:$B$1463,"SUB ROSA",MASTER!$I$4:$I$1463,"&lt;&gt;")*$A124*100/100,0)),MASTER!$Y$4:$Y$1463,0))),NA()),IF($B$4="COMBAT RATING",IFERROR(IF(INDEX(MASTER!$G$4:$G$1463,MATCH("SUB ROSA"&amp;"|"&amp;MAX(1,ROUND(COUNTIFS(MASTER!$B$4:$B$1463,"SUB ROSA",MASTER!$G$4:$G$1463,"&lt;&gt;")*$A124*100/100,0)),MASTER!$AH$4:$AH$1463,0))="",NA(),INDEX(MASTER!$G$4:$G$1463,MATCH("SUB ROSA"&amp;"|"&amp;MAX(1,ROUND(COUNTIFS(MASTER!$B$4:$B$1463,"SUB ROSA",MASTER!$G$4:$G$1463,"&lt;&gt;")*$A124*100/100,0)),MASTER!$AH$4:$AH$1463,0))),NA()),IF($B$4="SECONDARY",IFERROR(IF(INDEX(MASTER!$L$4:$L$1463,MATCH("SUB ROSA"&amp;"|"&amp;MAX(1,ROUND(COUNTIFS(MASTER!$B$4:$B$1463,"SUB ROSA",MASTER!$L$4:$L$1463,"&lt;&gt;")*$A124*100/100,0)),MASTER!$AI$4:$AI$1463,0))="",NA(),INDEX(MASTER!$L$4:$L$1463,MATCH("SUB ROSA"&amp;"|"&amp;MAX(1,ROUND(COUNTIFS(MASTER!$B$4:$B$1463,"SUB ROSA",MASTER!$L$4:$L$1463,"&lt;&gt;")*$A124*100/100,0)),MASTER!$AI$4:$AI$1463,0))),NA()))))</f>
        <v>1912</v>
      </c>
      <c r="M124" s="37">
        <f>IF($B$4="RESONANCE",IFERROR(IF(INDEX(MASTER!$I$4:$I$1463,MATCH("VENGEANCE"&amp;"|"&amp;MAX(1,ROUND(COUNTIFS(MASTER!$B$4:$B$1463,"VENGEANCE",MASTER!$I$4:$I$1463,"&lt;&gt;")*$A124*100/100,0)),MASTER!$Y$4:$Y$1463,0))="",NA(),INDEX(MASTER!$I$4:$I$1463,MATCH("VENGEANCE"&amp;"|"&amp;MAX(1,ROUND(COUNTIFS(MASTER!$B$4:$B$1463,"VENGEANCE",MASTER!$I$4:$I$1463,"&lt;&gt;")*$A124*100/100,0)),MASTER!$Y$4:$Y$1463,0))),NA()),IF($B$4="COMBAT RATING",IFERROR(IF(INDEX(MASTER!$G$4:$G$1463,MATCH("VENGEANCE"&amp;"|"&amp;MAX(1,ROUND(COUNTIFS(MASTER!$B$4:$B$1463,"VENGEANCE",MASTER!$G$4:$G$1463,"&lt;&gt;")*$A124*100/100,0)),MASTER!$AH$4:$AH$1463,0))="",NA(),INDEX(MASTER!$G$4:$G$1463,MATCH("VENGEANCE"&amp;"|"&amp;MAX(1,ROUND(COUNTIFS(MASTER!$B$4:$B$1463,"VENGEANCE",MASTER!$G$4:$G$1463,"&lt;&gt;")*$A124*100/100,0)),MASTER!$AH$4:$AH$1463,0))),NA()),IF($B$4="SECONDARY",IFERROR(IF(INDEX(MASTER!$L$4:$L$1463,MATCH("VENGEANCE"&amp;"|"&amp;MAX(1,ROUND(COUNTIFS(MASTER!$B$4:$B$1463,"VENGEANCE",MASTER!$L$4:$L$1463,"&lt;&gt;")*$A124*100/100,0)),MASTER!$AI$4:$AI$1463,0))="",NA(),INDEX(MASTER!$L$4:$L$1463,MATCH("VENGEANCE"&amp;"|"&amp;MAX(1,ROUND(COUNTIFS(MASTER!$B$4:$B$1463,"VENGEANCE",MASTER!$L$4:$L$1463,"&lt;&gt;")*$A124*100/100,0)),MASTER!$AI$4:$AI$1463,0))),NA()))))</f>
        <v>2681</v>
      </c>
      <c r="N124" s="37">
        <f>IF($B$4="RESONANCE",IFERROR(IF(INDEX(MASTER!$I$4:$I$1463,MATCH("VENDETTA"&amp;"|"&amp;MAX(1,ROUND(COUNTIFS(MASTER!$B$4:$B$1463,"VENDETTA",MASTER!$I$4:$I$1463,"&lt;&gt;")*$A124*100/100,0)),MASTER!$Y$4:$Y$1463,0))="",NA(),INDEX(MASTER!$I$4:$I$1463,MATCH("VENDETTA"&amp;"|"&amp;MAX(1,ROUND(COUNTIFS(MASTER!$B$4:$B$1463,"VENDETTA",MASTER!$I$4:$I$1463,"&lt;&gt;")*$A124*100/100,0)),MASTER!$Y$4:$Y$1463,0))),NA()),IF($B$4="COMBAT RATING",IFERROR(IF(INDEX(MASTER!$G$4:$G$1463,MATCH("VENDETTA"&amp;"|"&amp;MAX(1,ROUND(COUNTIFS(MASTER!$B$4:$B$1463,"VENDETTA",MASTER!$G$4:$G$1463,"&lt;&gt;")*$A124*100/100,0)),MASTER!$AH$4:$AH$1463,0))="",NA(),INDEX(MASTER!$G$4:$G$1463,MATCH("VENDETTA"&amp;"|"&amp;MAX(1,ROUND(COUNTIFS(MASTER!$B$4:$B$1463,"VENDETTA",MASTER!$G$4:$G$1463,"&lt;&gt;")*$A124*100/100,0)),MASTER!$AH$4:$AH$1463,0))),NA()),IF($B$4="SECONDARY",IFERROR(IF(INDEX(MASTER!$L$4:$L$1463,MATCH("VENDETTA"&amp;"|"&amp;MAX(1,ROUND(COUNTIFS(MASTER!$B$4:$B$1463,"VENDETTA",MASTER!$L$4:$L$1463,"&lt;&gt;")*$A124*100/100,0)),MASTER!$AI$4:$AI$1463,0))="",NA(),INDEX(MASTER!$L$4:$L$1463,MATCH("VENDETTA"&amp;"|"&amp;MAX(1,ROUND(COUNTIFS(MASTER!$B$4:$B$1463,"VENDETTA",MASTER!$L$4:$L$1463,"&lt;&gt;")*$A124*100/100,0)),MASTER!$AI$4:$AI$1463,0))),NA()))))</f>
        <v>1521</v>
      </c>
      <c r="O124" s="37">
        <f>IF($B$4="RESONANCE",IFERROR(IF(INDEX(MASTER!$I$4:$I$1463,MATCH("ZOMBIES"&amp;"|"&amp;MAX(1,ROUND(COUNTIFS(MASTER!$B$4:$B$1463,"ZOMBIES",MASTER!$I$4:$I$1463,"&lt;&gt;")*$A124*100/100,0)),MASTER!$Y$4:$Y$1463,0))="",NA(),INDEX(MASTER!$I$4:$I$1463,MATCH("ZOMBIES"&amp;"|"&amp;MAX(1,ROUND(COUNTIFS(MASTER!$B$4:$B$1463,"ZOMBIES",MASTER!$I$4:$I$1463,"&lt;&gt;")*$A124*100/100,0)),MASTER!$Y$4:$Y$1463,0))),NA()),IF($B$4="COMBAT RATING",IFERROR(IF(INDEX(MASTER!$G$4:$G$1463,MATCH("ZOMBIES"&amp;"|"&amp;MAX(1,ROUND(COUNTIFS(MASTER!$B$4:$B$1463,"ZOMBIES",MASTER!$G$4:$G$1463,"&lt;&gt;")*$A124*100/100,0)),MASTER!$AH$4:$AH$1463,0))="",NA(),INDEX(MASTER!$G$4:$G$1463,MATCH("ZOMBIES"&amp;"|"&amp;MAX(1,ROUND(COUNTIFS(MASTER!$B$4:$B$1463,"ZOMBIES",MASTER!$G$4:$G$1463,"&lt;&gt;")*$A124*100/100,0)),MASTER!$AH$4:$AH$1463,0))),NA()),IF($B$4="SECONDARY",IFERROR(IF(INDEX(MASTER!$L$4:$L$1463,MATCH("ZOMBIES"&amp;"|"&amp;MAX(1,ROUND(COUNTIFS(MASTER!$B$4:$B$1463,"ZOMBIES",MASTER!$L$4:$L$1463,"&lt;&gt;")*$A124*100/100,0)),MASTER!$AI$4:$AI$1463,0))="",NA(),INDEX(MASTER!$L$4:$L$1463,MATCH("ZOMBIES"&amp;"|"&amp;MAX(1,ROUND(COUNTIFS(MASTER!$B$4:$B$1463,"ZOMBIES",MASTER!$L$4:$L$1463,"&lt;&gt;")*$A124*100/100,0)),MASTER!$AI$4:$AI$1463,0))),NA()))))</f>
        <v>1310</v>
      </c>
      <c r="P124" s="37">
        <f>IF($B$4="RESONANCE",IFERROR(IF(INDEX(MASTER!$I$4:$I$1463,MATCH("FUCT"&amp;"|"&amp;MAX(1,ROUND(COUNTIFS(MASTER!$B$4:$B$1463,"FUCT",MASTER!$I$4:$I$1463,"&lt;&gt;")*$A124*100/100,0)),MASTER!$Y$4:$Y$1463,0))="",NA(),INDEX(MASTER!$I$4:$I$1463,MATCH("FUCT"&amp;"|"&amp;MAX(1,ROUND(COUNTIFS(MASTER!$B$4:$B$1463,"FUCT",MASTER!$I$4:$I$1463,"&lt;&gt;")*$A124*100/100,0)),MASTER!$Y$4:$Y$1463,0))),NA()),IF($B$4="COMBAT RATING",IFERROR(IF(INDEX(MASTER!$G$4:$G$1463,MATCH("FUCT"&amp;"|"&amp;MAX(1,ROUND(COUNTIFS(MASTER!$B$4:$B$1463,"FUCT",MASTER!$G$4:$G$1463,"&lt;&gt;")*$A124*100/100,0)),MASTER!$AH$4:$AH$1463,0))="",NA(),INDEX(MASTER!$G$4:$G$1463,MATCH("FUCT"&amp;"|"&amp;MAX(1,ROUND(COUNTIFS(MASTER!$B$4:$B$1463,"FUCT",MASTER!$G$4:$G$1463,"&lt;&gt;")*$A124*100/100,0)),MASTER!$AH$4:$AH$1463,0))),NA()),IF($B$4="SECONDARY",IFERROR(IF(INDEX(MASTER!$L$4:$L$1463,MATCH("FUCT"&amp;"|"&amp;MAX(1,ROUND(COUNTIFS(MASTER!$B$4:$B$1463,"FUCT",MASTER!$L$4:$L$1463,"&lt;&gt;")*$A124*100/100,0)),MASTER!$AI$4:$AI$1463,0))="",NA(),INDEX(MASTER!$L$4:$L$1463,MATCH("FUCT"&amp;"|"&amp;MAX(1,ROUND(COUNTIFS(MASTER!$B$4:$B$1463,"FUCT",MASTER!$L$4:$L$1463,"&lt;&gt;")*$A124*100/100,0)),MASTER!$AI$4:$AI$1463,0))),NA()))))</f>
        <v>3726</v>
      </c>
      <c r="Q124" s="37">
        <f>IF($B$4="RESONANCE",IFERROR(IF(INDEX(MASTER!$I$4:$I$1463,MATCH($E$4&amp;"|"&amp;MAX(1,ROUND(COUNTIFS(MASTER!$B$4:$B$1463,$E$4,MASTER!$I$4:$I$1463,"&lt;&gt;")*$A124*100/100,0)),MASTER!$Y$4:$Y$1463,0))="",NA(),INDEX(MASTER!$I$4:$I$1463,MATCH($E$4&amp;"|"&amp;MAX(1,ROUND(COUNTIFS(MASTER!$B$4:$B$1463,$E$4,MASTER!$I$4:$I$1463,"&lt;&gt;")*$A124*100/100,0)),MASTER!$Y$4:$Y$1463,0))),NA()),IF($B$4="COMBAT RATING",IFERROR(IF(INDEX(MASTER!$G$4:$G$1463,MATCH($E$4&amp;"|"&amp;MAX(1,ROUND(COUNTIFS(MASTER!$B$4:$B$1463,$E$4,MASTER!$G$4:$G$1463,"&lt;&gt;")*$A124*100/100,0)),MASTER!$AH$4:$AH$1463,0))="",NA(),INDEX(MASTER!$G$4:$G$1463,MATCH($E$4&amp;"|"&amp;MAX(1,ROUND(COUNTIFS(MASTER!$B$4:$B$1463,$E$4,MASTER!$G$4:$G$1463,"&lt;&gt;")*$A124*100/100,0)),MASTER!$AH$4:$AH$1463,0))),NA()),IF($B$4="SECONDARY",IFERROR(IF(INDEX(MASTER!$L$4:$L$1463,MATCH($E$4&amp;"|"&amp;MAX(1,ROUND(COUNTIFS(MASTER!$B$4:$B$1463,$E$4,MASTER!$L$4:$L$1463,"&lt;&gt;")*$A124*100/100,0)),MASTER!$AI$4:$AI$1463,0))="",NA(),INDEX(MASTER!$L$4:$L$1463,MATCH($E$4&amp;"|"&amp;MAX(1,ROUND(COUNTIFS(MASTER!$B$4:$B$1463,$E$4,MASTER!$L$4:$L$1463,"&lt;&gt;")*$A124*100/100,0)),MASTER!$AI$4:$AI$1463,0))),NA()))))</f>
        <v>3563</v>
      </c>
    </row>
    <row r="125" spans="1:17" hidden="1">
      <c r="A125" s="36">
        <v>0.7</v>
      </c>
      <c r="B125" s="37">
        <f>IF($B$4="RESONANCE",IFERROR(IF(INDEX(MASTER!$I$4:$I$1463,MATCH("FUCT"&amp;"|"&amp;MAX(1,ROUND(COUNTIFS(MASTER!$B$4:$B$1463,"FUCT",MASTER!$I$4:$I$1463,"&lt;&gt;")*$A125*100/100,0)),MASTER!$Y$4:$Y$1463,0))="",NA(),INDEX(MASTER!$I$4:$I$1463,MATCH("FUCT"&amp;"|"&amp;MAX(1,ROUND(COUNTIFS(MASTER!$B$4:$B$1463,"FUCT",MASTER!$I$4:$I$1463,"&lt;&gt;")*$A125*100/100,0)),MASTER!$Y$4:$Y$1463,0))),NA()),IF($B$4="COMBAT RATING",IFERROR(IF(INDEX(MASTER!$G$4:$G$1463,MATCH("FUCT"&amp;"|"&amp;MAX(1,ROUND(COUNTIFS(MASTER!$B$4:$B$1463,"FUCT",MASTER!$G$4:$G$1463,"&lt;&gt;")*$A125*100/100,0)),MASTER!$AH$4:$AH$1463,0))="",NA(),INDEX(MASTER!$G$4:$G$1463,MATCH("FUCT"&amp;"|"&amp;MAX(1,ROUND(COUNTIFS(MASTER!$B$4:$B$1463,"FUCT",MASTER!$G$4:$G$1463,"&lt;&gt;")*$A125*100/100,0)),MASTER!$AH$4:$AH$1463,0))),NA()),IF($B$4="SECONDARY",IFERROR(IF(INDEX(MASTER!$L$4:$L$1463,MATCH("FUCT"&amp;"|"&amp;MAX(1,ROUND(COUNTIFS(MASTER!$B$4:$B$1463,"FUCT",MASTER!$L$4:$L$1463,"&lt;&gt;")*$A125*100/100,0)),MASTER!$AI$4:$AI$1463,0))="",NA(),INDEX(MASTER!$L$4:$L$1463,MATCH("FUCT"&amp;"|"&amp;MAX(1,ROUND(COUNTIFS(MASTER!$B$4:$B$1463,"FUCT",MASTER!$L$4:$L$1463,"&lt;&gt;")*$A125*100/100,0)),MASTER!$AI$4:$AI$1463,0))),NA()))))</f>
        <v>3720</v>
      </c>
      <c r="C125" s="37">
        <f>IF($B$4="RESONANCE",IFERROR(IF(INDEX(MASTER!$I$4:$I$1463,MATCH("LEGENDS"&amp;"|"&amp;MAX(1,ROUND(COUNTIFS(MASTER!$B$4:$B$1463,"LEGENDS",MASTER!$I$4:$I$1463,"&lt;&gt;")*$A125*100/100,0)),MASTER!$Y$4:$Y$1463,0))="",NA(),INDEX(MASTER!$I$4:$I$1463,MATCH("LEGENDS"&amp;"|"&amp;MAX(1,ROUND(COUNTIFS(MASTER!$B$4:$B$1463,"LEGENDS",MASTER!$I$4:$I$1463,"&lt;&gt;")*$A125*100/100,0)),MASTER!$Y$4:$Y$1463,0))),NA()),IF($B$4="COMBAT RATING",IFERROR(IF(INDEX(MASTER!$G$4:$G$1463,MATCH("LEGENDS"&amp;"|"&amp;MAX(1,ROUND(COUNTIFS(MASTER!$B$4:$B$1463,"LEGENDS",MASTER!$G$4:$G$1463,"&lt;&gt;")*$A125*100/100,0)),MASTER!$AH$4:$AH$1463,0))="",NA(),INDEX(MASTER!$G$4:$G$1463,MATCH("LEGENDS"&amp;"|"&amp;MAX(1,ROUND(COUNTIFS(MASTER!$B$4:$B$1463,"LEGENDS",MASTER!$G$4:$G$1463,"&lt;&gt;")*$A125*100/100,0)),MASTER!$AH$4:$AH$1463,0))),NA()),IF($B$4="SECONDARY",IFERROR(IF(INDEX(MASTER!$L$4:$L$1463,MATCH("LEGENDS"&amp;"|"&amp;MAX(1,ROUND(COUNTIFS(MASTER!$B$4:$B$1463,"LEGENDS",MASTER!$L$4:$L$1463,"&lt;&gt;")*$A125*100/100,0)),MASTER!$AI$4:$AI$1463,0))="",NA(),INDEX(MASTER!$L$4:$L$1463,MATCH("LEGENDS"&amp;"|"&amp;MAX(1,ROUND(COUNTIFS(MASTER!$B$4:$B$1463,"LEGENDS",MASTER!$L$4:$L$1463,"&lt;&gt;")*$A125*100/100,0)),MASTER!$AI$4:$AI$1463,0))),NA()))))</f>
        <v>4306</v>
      </c>
      <c r="D125" s="37">
        <f>IF($B$4="RESONANCE",IFERROR(IF(INDEX(MASTER!$I$4:$I$1463,MATCH("VANGUARD"&amp;"|"&amp;MAX(1,ROUND(COUNTIFS(MASTER!$B$4:$B$1463,"VANGUARD",MASTER!$I$4:$I$1463,"&lt;&gt;")*$A125*100/100,0)),MASTER!$Y$4:$Y$1463,0))="",NA(),INDEX(MASTER!$I$4:$I$1463,MATCH("VANGUARD"&amp;"|"&amp;MAX(1,ROUND(COUNTIFS(MASTER!$B$4:$B$1463,"VANGUARD",MASTER!$I$4:$I$1463,"&lt;&gt;")*$A125*100/100,0)),MASTER!$Y$4:$Y$1463,0))),NA()),IF($B$4="COMBAT RATING",IFERROR(IF(INDEX(MASTER!$G$4:$G$1463,MATCH("VANGUARD"&amp;"|"&amp;MAX(1,ROUND(COUNTIFS(MASTER!$B$4:$B$1463,"VANGUARD",MASTER!$G$4:$G$1463,"&lt;&gt;")*$A125*100/100,0)),MASTER!$AH$4:$AH$1463,0))="",NA(),INDEX(MASTER!$G$4:$G$1463,MATCH("VANGUARD"&amp;"|"&amp;MAX(1,ROUND(COUNTIFS(MASTER!$B$4:$B$1463,"VANGUARD",MASTER!$G$4:$G$1463,"&lt;&gt;")*$A125*100/100,0)),MASTER!$AH$4:$AH$1463,0))),NA()),IF($B$4="SECONDARY",IFERROR(IF(INDEX(MASTER!$L$4:$L$1463,MATCH("VANGUARD"&amp;"|"&amp;MAX(1,ROUND(COUNTIFS(MASTER!$B$4:$B$1463,"VANGUARD",MASTER!$L$4:$L$1463,"&lt;&gt;")*$A125*100/100,0)),MASTER!$AI$4:$AI$1463,0))="",NA(),INDEX(MASTER!$L$4:$L$1463,MATCH("VANGUARD"&amp;"|"&amp;MAX(1,ROUND(COUNTIFS(MASTER!$B$4:$B$1463,"VANGUARD",MASTER!$L$4:$L$1463,"&lt;&gt;")*$A125*100/100,0)),MASTER!$AI$4:$AI$1463,0))),NA()))))</f>
        <v>5091</v>
      </c>
      <c r="E125" s="37">
        <f>IF($B$4="RESONANCE",IFERROR(IF(INDEX(MASTER!$I$4:$I$1463,MATCH("UNDYING"&amp;"|"&amp;MAX(1,ROUND(COUNTIFS(MASTER!$B$4:$B$1463,"UNDYING",MASTER!$I$4:$I$1463,"&lt;&gt;")*$A125*100/100,0)),MASTER!$Y$4:$Y$1463,0))="",NA(),INDEX(MASTER!$I$4:$I$1463,MATCH("UNDYING"&amp;"|"&amp;MAX(1,ROUND(COUNTIFS(MASTER!$B$4:$B$1463,"UNDYING",MASTER!$I$4:$I$1463,"&lt;&gt;")*$A125*100/100,0)),MASTER!$Y$4:$Y$1463,0))),NA()),IF($B$4="COMBAT RATING",IFERROR(IF(INDEX(MASTER!$G$4:$G$1463,MATCH("UNDYING"&amp;"|"&amp;MAX(1,ROUND(COUNTIFS(MASTER!$B$4:$B$1463,"UNDYING",MASTER!$G$4:$G$1463,"&lt;&gt;")*$A125*100/100,0)),MASTER!$AH$4:$AH$1463,0))="",NA(),INDEX(MASTER!$G$4:$G$1463,MATCH("UNDYING"&amp;"|"&amp;MAX(1,ROUND(COUNTIFS(MASTER!$B$4:$B$1463,"UNDYING",MASTER!$G$4:$G$1463,"&lt;&gt;")*$A125*100/100,0)),MASTER!$AH$4:$AH$1463,0))),NA()),IF($B$4="SECONDARY",IFERROR(IF(INDEX(MASTER!$L$4:$L$1463,MATCH("UNDYING"&amp;"|"&amp;MAX(1,ROUND(COUNTIFS(MASTER!$B$4:$B$1463,"UNDYING",MASTER!$L$4:$L$1463,"&lt;&gt;")*$A125*100/100,0)),MASTER!$AI$4:$AI$1463,0))="",NA(),INDEX(MASTER!$L$4:$L$1463,MATCH("UNDYING"&amp;"|"&amp;MAX(1,ROUND(COUNTIFS(MASTER!$B$4:$B$1463,"UNDYING",MASTER!$L$4:$L$1463,"&lt;&gt;")*$A125*100/100,0)),MASTER!$AI$4:$AI$1463,0))),NA()))))</f>
        <v>3547</v>
      </c>
      <c r="F125" s="37">
        <f>IF($B$4="RESONANCE",IFERROR(IF(INDEX(MASTER!$I$4:$I$1463,MATCH("SBG"&amp;"|"&amp;MAX(1,ROUND(COUNTIFS(MASTER!$B$4:$B$1463,"SBG",MASTER!$I$4:$I$1463,"&lt;&gt;")*$A125*100/100,0)),MASTER!$Y$4:$Y$1463,0))="",NA(),INDEX(MASTER!$I$4:$I$1463,MATCH("SBG"&amp;"|"&amp;MAX(1,ROUND(COUNTIFS(MASTER!$B$4:$B$1463,"SBG",MASTER!$I$4:$I$1463,"&lt;&gt;")*$A125*100/100,0)),MASTER!$Y$4:$Y$1463,0))),NA()),IF($B$4="COMBAT RATING",IFERROR(IF(INDEX(MASTER!$G$4:$G$1463,MATCH("SBG"&amp;"|"&amp;MAX(1,ROUND(COUNTIFS(MASTER!$B$4:$B$1463,"SBG",MASTER!$G$4:$G$1463,"&lt;&gt;")*$A125*100/100,0)),MASTER!$AH$4:$AH$1463,0))="",NA(),INDEX(MASTER!$G$4:$G$1463,MATCH("SBG"&amp;"|"&amp;MAX(1,ROUND(COUNTIFS(MASTER!$B$4:$B$1463,"SBG",MASTER!$G$4:$G$1463,"&lt;&gt;")*$A125*100/100,0)),MASTER!$AH$4:$AH$1463,0))),NA()),IF($B$4="SECONDARY",IFERROR(IF(INDEX(MASTER!$L$4:$L$1463,MATCH("SBG"&amp;"|"&amp;MAX(1,ROUND(COUNTIFS(MASTER!$B$4:$B$1463,"SBG",MASTER!$L$4:$L$1463,"&lt;&gt;")*$A125*100/100,0)),MASTER!$AI$4:$AI$1463,0))="",NA(),INDEX(MASTER!$L$4:$L$1463,MATCH("SBG"&amp;"|"&amp;MAX(1,ROUND(COUNTIFS(MASTER!$B$4:$B$1463,"SBG",MASTER!$L$4:$L$1463,"&lt;&gt;")*$A125*100/100,0)),MASTER!$AI$4:$AI$1463,0))),NA()))))</f>
        <v>4134</v>
      </c>
      <c r="G125" s="37">
        <f>IF($B$4="RESONANCE",IFERROR(IF(INDEX(MASTER!$I$4:$I$1463,MATCH("AZUKI"&amp;"|"&amp;MAX(1,ROUND(COUNTIFS(MASTER!$B$4:$B$1463,"AZUKI",MASTER!$I$4:$I$1463,"&lt;&gt;")*$A125*100/100,0)),MASTER!$Y$4:$Y$1463,0))="",NA(),INDEX(MASTER!$I$4:$I$1463,MATCH("AZUKI"&amp;"|"&amp;MAX(1,ROUND(COUNTIFS(MASTER!$B$4:$B$1463,"AZUKI",MASTER!$I$4:$I$1463,"&lt;&gt;")*$A125*100/100,0)),MASTER!$Y$4:$Y$1463,0))),NA()),IF($B$4="COMBAT RATING",IFERROR(IF(INDEX(MASTER!$G$4:$G$1463,MATCH("AZUKI"&amp;"|"&amp;MAX(1,ROUND(COUNTIFS(MASTER!$B$4:$B$1463,"AZUKI",MASTER!$G$4:$G$1463,"&lt;&gt;")*$A125*100/100,0)),MASTER!$AH$4:$AH$1463,0))="",NA(),INDEX(MASTER!$G$4:$G$1463,MATCH("AZUKI"&amp;"|"&amp;MAX(1,ROUND(COUNTIFS(MASTER!$B$4:$B$1463,"AZUKI",MASTER!$G$4:$G$1463,"&lt;&gt;")*$A125*100/100,0)),MASTER!$AH$4:$AH$1463,0))),NA()),IF($B$4="SECONDARY",IFERROR(IF(INDEX(MASTER!$L$4:$L$1463,MATCH("AZUKI"&amp;"|"&amp;MAX(1,ROUND(COUNTIFS(MASTER!$B$4:$B$1463,"AZUKI",MASTER!$L$4:$L$1463,"&lt;&gt;")*$A125*100/100,0)),MASTER!$AI$4:$AI$1463,0))="",NA(),INDEX(MASTER!$L$4:$L$1463,MATCH("AZUKI"&amp;"|"&amp;MAX(1,ROUND(COUNTIFS(MASTER!$B$4:$B$1463,"AZUKI",MASTER!$L$4:$L$1463,"&lt;&gt;")*$A125*100/100,0)),MASTER!$AI$4:$AI$1463,0))),NA()))))</f>
        <v>3605</v>
      </c>
      <c r="H125" s="37">
        <f>IF($B$4="RESONANCE",IFERROR(IF(INDEX(MASTER!$I$4:$I$1463,MATCH("RECKONING"&amp;"|"&amp;MAX(1,ROUND(COUNTIFS(MASTER!$B$4:$B$1463,"RECKONING",MASTER!$I$4:$I$1463,"&lt;&gt;")*$A125*100/100,0)),MASTER!$Y$4:$Y$1463,0))="",NA(),INDEX(MASTER!$I$4:$I$1463,MATCH("RECKONING"&amp;"|"&amp;MAX(1,ROUND(COUNTIFS(MASTER!$B$4:$B$1463,"RECKONING",MASTER!$I$4:$I$1463,"&lt;&gt;")*$A125*100/100,0)),MASTER!$Y$4:$Y$1463,0))),NA()),IF($B$4="COMBAT RATING",IFERROR(IF(INDEX(MASTER!$G$4:$G$1463,MATCH("RECKONING"&amp;"|"&amp;MAX(1,ROUND(COUNTIFS(MASTER!$B$4:$B$1463,"RECKONING",MASTER!$G$4:$G$1463,"&lt;&gt;")*$A125*100/100,0)),MASTER!$AH$4:$AH$1463,0))="",NA(),INDEX(MASTER!$G$4:$G$1463,MATCH("RECKONING"&amp;"|"&amp;MAX(1,ROUND(COUNTIFS(MASTER!$B$4:$B$1463,"RECKONING",MASTER!$G$4:$G$1463,"&lt;&gt;")*$A125*100/100,0)),MASTER!$AH$4:$AH$1463,0))),NA()),IF($B$4="SECONDARY",IFERROR(IF(INDEX(MASTER!$L$4:$L$1463,MATCH("RECKONING"&amp;"|"&amp;MAX(1,ROUND(COUNTIFS(MASTER!$B$4:$B$1463,"RECKONING",MASTER!$L$4:$L$1463,"&lt;&gt;")*$A125*100/100,0)),MASTER!$AI$4:$AI$1463,0))="",NA(),INDEX(MASTER!$L$4:$L$1463,MATCH("RECKONING"&amp;"|"&amp;MAX(1,ROUND(COUNTIFS(MASTER!$B$4:$B$1463,"RECKONING",MASTER!$L$4:$L$1463,"&lt;&gt;")*$A125*100/100,0)),MASTER!$AI$4:$AI$1463,0))),NA()))))</f>
        <v>3877</v>
      </c>
      <c r="I125" s="37">
        <f>IF($B$4="RESONANCE",IFERROR(IF(INDEX(MASTER!$I$4:$I$1463,MATCH("ACHERON"&amp;"|"&amp;MAX(1,ROUND(COUNTIFS(MASTER!$B$4:$B$1463,"ACHERON",MASTER!$I$4:$I$1463,"&lt;&gt;")*$A125*100/100,0)),MASTER!$Y$4:$Y$1463,0))="",NA(),INDEX(MASTER!$I$4:$I$1463,MATCH("ACHERON"&amp;"|"&amp;MAX(1,ROUND(COUNTIFS(MASTER!$B$4:$B$1463,"ACHERON",MASTER!$I$4:$I$1463,"&lt;&gt;")*$A125*100/100,0)),MASTER!$Y$4:$Y$1463,0))),NA()),IF($B$4="COMBAT RATING",IFERROR(IF(INDEX(MASTER!$G$4:$G$1463,MATCH("ACHERON"&amp;"|"&amp;MAX(1,ROUND(COUNTIFS(MASTER!$B$4:$B$1463,"ACHERON",MASTER!$G$4:$G$1463,"&lt;&gt;")*$A125*100/100,0)),MASTER!$AH$4:$AH$1463,0))="",NA(),INDEX(MASTER!$G$4:$G$1463,MATCH("ACHERON"&amp;"|"&amp;MAX(1,ROUND(COUNTIFS(MASTER!$B$4:$B$1463,"ACHERON",MASTER!$G$4:$G$1463,"&lt;&gt;")*$A125*100/100,0)),MASTER!$AH$4:$AH$1463,0))),NA()),IF($B$4="SECONDARY",IFERROR(IF(INDEX(MASTER!$L$4:$L$1463,MATCH("ACHERON"&amp;"|"&amp;MAX(1,ROUND(COUNTIFS(MASTER!$B$4:$B$1463,"ACHERON",MASTER!$L$4:$L$1463,"&lt;&gt;")*$A125*100/100,0)),MASTER!$AI$4:$AI$1463,0))="",NA(),INDEX(MASTER!$L$4:$L$1463,MATCH("ACHERON"&amp;"|"&amp;MAX(1,ROUND(COUNTIFS(MASTER!$B$4:$B$1463,"ACHERON",MASTER!$L$4:$L$1463,"&lt;&gt;")*$A125*100/100,0)),MASTER!$AI$4:$AI$1463,0))),NA()))))</f>
        <v>3032</v>
      </c>
      <c r="J125" s="37">
        <f>IF($B$4="RESONANCE",IFERROR(IF(INDEX(MASTER!$I$4:$I$1463,MATCH("INVICTUS"&amp;"|"&amp;MAX(1,ROUND(COUNTIFS(MASTER!$B$4:$B$1463,"INVICTUS",MASTER!$I$4:$I$1463,"&lt;&gt;")*$A125*100/100,0)),MASTER!$Y$4:$Y$1463,0))="",NA(),INDEX(MASTER!$I$4:$I$1463,MATCH("INVICTUS"&amp;"|"&amp;MAX(1,ROUND(COUNTIFS(MASTER!$B$4:$B$1463,"INVICTUS",MASTER!$I$4:$I$1463,"&lt;&gt;")*$A125*100/100,0)),MASTER!$Y$4:$Y$1463,0))),NA()),IF($B$4="COMBAT RATING",IFERROR(IF(INDEX(MASTER!$G$4:$G$1463,MATCH("INVICTUS"&amp;"|"&amp;MAX(1,ROUND(COUNTIFS(MASTER!$B$4:$B$1463,"INVICTUS",MASTER!$G$4:$G$1463,"&lt;&gt;")*$A125*100/100,0)),MASTER!$AH$4:$AH$1463,0))="",NA(),INDEX(MASTER!$G$4:$G$1463,MATCH("INVICTUS"&amp;"|"&amp;MAX(1,ROUND(COUNTIFS(MASTER!$B$4:$B$1463,"INVICTUS",MASTER!$G$4:$G$1463,"&lt;&gt;")*$A125*100/100,0)),MASTER!$AH$4:$AH$1463,0))),NA()),IF($B$4="SECONDARY",IFERROR(IF(INDEX(MASTER!$L$4:$L$1463,MATCH("INVICTUS"&amp;"|"&amp;MAX(1,ROUND(COUNTIFS(MASTER!$B$4:$B$1463,"INVICTUS",MASTER!$L$4:$L$1463,"&lt;&gt;")*$A125*100/100,0)),MASTER!$AI$4:$AI$1463,0))="",NA(),INDEX(MASTER!$L$4:$L$1463,MATCH("INVICTUS"&amp;"|"&amp;MAX(1,ROUND(COUNTIFS(MASTER!$B$4:$B$1463,"INVICTUS",MASTER!$L$4:$L$1463,"&lt;&gt;")*$A125*100/100,0)),MASTER!$AI$4:$AI$1463,0))),NA()))))</f>
        <v>2514</v>
      </c>
      <c r="K125" s="37">
        <f>IF($B$4="RESONANCE",IFERROR(IF(INDEX(MASTER!$I$4:$I$1463,MATCH("EMERALD LEAF TRIBE"&amp;"|"&amp;MAX(1,ROUND(COUNTIFS(MASTER!$B$4:$B$1463,"EMERALD LEAF TRIBE",MASTER!$I$4:$I$1463,"&lt;&gt;")*$A125*100/100,0)),MASTER!$Y$4:$Y$1463,0))="",NA(),INDEX(MASTER!$I$4:$I$1463,MATCH("EMERALD LEAF TRIBE"&amp;"|"&amp;MAX(1,ROUND(COUNTIFS(MASTER!$B$4:$B$1463,"EMERALD LEAF TRIBE",MASTER!$I$4:$I$1463,"&lt;&gt;")*$A125*100/100,0)),MASTER!$Y$4:$Y$1463,0))),NA()),IF($B$4="COMBAT RATING",IFERROR(IF(INDEX(MASTER!$G$4:$G$1463,MATCH("EMERALD LEAF TRIBE"&amp;"|"&amp;MAX(1,ROUND(COUNTIFS(MASTER!$B$4:$B$1463,"EMERALD LEAF TRIBE",MASTER!$G$4:$G$1463,"&lt;&gt;")*$A125*100/100,0)),MASTER!$AH$4:$AH$1463,0))="",NA(),INDEX(MASTER!$G$4:$G$1463,MATCH("EMERALD LEAF TRIBE"&amp;"|"&amp;MAX(1,ROUND(COUNTIFS(MASTER!$B$4:$B$1463,"EMERALD LEAF TRIBE",MASTER!$G$4:$G$1463,"&lt;&gt;")*$A125*100/100,0)),MASTER!$AH$4:$AH$1463,0))),NA()),IF($B$4="SECONDARY",IFERROR(IF(INDEX(MASTER!$L$4:$L$1463,MATCH("EMERALD LEAF TRIBE"&amp;"|"&amp;MAX(1,ROUND(COUNTIFS(MASTER!$B$4:$B$1463,"EMERALD LEAF TRIBE",MASTER!$L$4:$L$1463,"&lt;&gt;")*$A125*100/100,0)),MASTER!$AI$4:$AI$1463,0))="",NA(),INDEX(MASTER!$L$4:$L$1463,MATCH("EMERALD LEAF TRIBE"&amp;"|"&amp;MAX(1,ROUND(COUNTIFS(MASTER!$B$4:$B$1463,"EMERALD LEAF TRIBE",MASTER!$L$4:$L$1463,"&lt;&gt;")*$A125*100/100,0)),MASTER!$AI$4:$AI$1463,0))),NA()))))</f>
        <v>1543</v>
      </c>
      <c r="L125" s="37">
        <f>IF($B$4="RESONANCE",IFERROR(IF(INDEX(MASTER!$I$4:$I$1463,MATCH("SUB ROSA"&amp;"|"&amp;MAX(1,ROUND(COUNTIFS(MASTER!$B$4:$B$1463,"SUB ROSA",MASTER!$I$4:$I$1463,"&lt;&gt;")*$A125*100/100,0)),MASTER!$Y$4:$Y$1463,0))="",NA(),INDEX(MASTER!$I$4:$I$1463,MATCH("SUB ROSA"&amp;"|"&amp;MAX(1,ROUND(COUNTIFS(MASTER!$B$4:$B$1463,"SUB ROSA",MASTER!$I$4:$I$1463,"&lt;&gt;")*$A125*100/100,0)),MASTER!$Y$4:$Y$1463,0))),NA()),IF($B$4="COMBAT RATING",IFERROR(IF(INDEX(MASTER!$G$4:$G$1463,MATCH("SUB ROSA"&amp;"|"&amp;MAX(1,ROUND(COUNTIFS(MASTER!$B$4:$B$1463,"SUB ROSA",MASTER!$G$4:$G$1463,"&lt;&gt;")*$A125*100/100,0)),MASTER!$AH$4:$AH$1463,0))="",NA(),INDEX(MASTER!$G$4:$G$1463,MATCH("SUB ROSA"&amp;"|"&amp;MAX(1,ROUND(COUNTIFS(MASTER!$B$4:$B$1463,"SUB ROSA",MASTER!$G$4:$G$1463,"&lt;&gt;")*$A125*100/100,0)),MASTER!$AH$4:$AH$1463,0))),NA()),IF($B$4="SECONDARY",IFERROR(IF(INDEX(MASTER!$L$4:$L$1463,MATCH("SUB ROSA"&amp;"|"&amp;MAX(1,ROUND(COUNTIFS(MASTER!$B$4:$B$1463,"SUB ROSA",MASTER!$L$4:$L$1463,"&lt;&gt;")*$A125*100/100,0)),MASTER!$AI$4:$AI$1463,0))="",NA(),INDEX(MASTER!$L$4:$L$1463,MATCH("SUB ROSA"&amp;"|"&amp;MAX(1,ROUND(COUNTIFS(MASTER!$B$4:$B$1463,"SUB ROSA",MASTER!$L$4:$L$1463,"&lt;&gt;")*$A125*100/100,0)),MASTER!$AI$4:$AI$1463,0))),NA()))))</f>
        <v>1910</v>
      </c>
      <c r="M125" s="37">
        <f>IF($B$4="RESONANCE",IFERROR(IF(INDEX(MASTER!$I$4:$I$1463,MATCH("VENGEANCE"&amp;"|"&amp;MAX(1,ROUND(COUNTIFS(MASTER!$B$4:$B$1463,"VENGEANCE",MASTER!$I$4:$I$1463,"&lt;&gt;")*$A125*100/100,0)),MASTER!$Y$4:$Y$1463,0))="",NA(),INDEX(MASTER!$I$4:$I$1463,MATCH("VENGEANCE"&amp;"|"&amp;MAX(1,ROUND(COUNTIFS(MASTER!$B$4:$B$1463,"VENGEANCE",MASTER!$I$4:$I$1463,"&lt;&gt;")*$A125*100/100,0)),MASTER!$Y$4:$Y$1463,0))),NA()),IF($B$4="COMBAT RATING",IFERROR(IF(INDEX(MASTER!$G$4:$G$1463,MATCH("VENGEANCE"&amp;"|"&amp;MAX(1,ROUND(COUNTIFS(MASTER!$B$4:$B$1463,"VENGEANCE",MASTER!$G$4:$G$1463,"&lt;&gt;")*$A125*100/100,0)),MASTER!$AH$4:$AH$1463,0))="",NA(),INDEX(MASTER!$G$4:$G$1463,MATCH("VENGEANCE"&amp;"|"&amp;MAX(1,ROUND(COUNTIFS(MASTER!$B$4:$B$1463,"VENGEANCE",MASTER!$G$4:$G$1463,"&lt;&gt;")*$A125*100/100,0)),MASTER!$AH$4:$AH$1463,0))),NA()),IF($B$4="SECONDARY",IFERROR(IF(INDEX(MASTER!$L$4:$L$1463,MATCH("VENGEANCE"&amp;"|"&amp;MAX(1,ROUND(COUNTIFS(MASTER!$B$4:$B$1463,"VENGEANCE",MASTER!$L$4:$L$1463,"&lt;&gt;")*$A125*100/100,0)),MASTER!$AI$4:$AI$1463,0))="",NA(),INDEX(MASTER!$L$4:$L$1463,MATCH("VENGEANCE"&amp;"|"&amp;MAX(1,ROUND(COUNTIFS(MASTER!$B$4:$B$1463,"VENGEANCE",MASTER!$L$4:$L$1463,"&lt;&gt;")*$A125*100/100,0)),MASTER!$AI$4:$AI$1463,0))),NA()))))</f>
        <v>2678</v>
      </c>
      <c r="N125" s="37">
        <f>IF($B$4="RESONANCE",IFERROR(IF(INDEX(MASTER!$I$4:$I$1463,MATCH("VENDETTA"&amp;"|"&amp;MAX(1,ROUND(COUNTIFS(MASTER!$B$4:$B$1463,"VENDETTA",MASTER!$I$4:$I$1463,"&lt;&gt;")*$A125*100/100,0)),MASTER!$Y$4:$Y$1463,0))="",NA(),INDEX(MASTER!$I$4:$I$1463,MATCH("VENDETTA"&amp;"|"&amp;MAX(1,ROUND(COUNTIFS(MASTER!$B$4:$B$1463,"VENDETTA",MASTER!$I$4:$I$1463,"&lt;&gt;")*$A125*100/100,0)),MASTER!$Y$4:$Y$1463,0))),NA()),IF($B$4="COMBAT RATING",IFERROR(IF(INDEX(MASTER!$G$4:$G$1463,MATCH("VENDETTA"&amp;"|"&amp;MAX(1,ROUND(COUNTIFS(MASTER!$B$4:$B$1463,"VENDETTA",MASTER!$G$4:$G$1463,"&lt;&gt;")*$A125*100/100,0)),MASTER!$AH$4:$AH$1463,0))="",NA(),INDEX(MASTER!$G$4:$G$1463,MATCH("VENDETTA"&amp;"|"&amp;MAX(1,ROUND(COUNTIFS(MASTER!$B$4:$B$1463,"VENDETTA",MASTER!$G$4:$G$1463,"&lt;&gt;")*$A125*100/100,0)),MASTER!$AH$4:$AH$1463,0))),NA()),IF($B$4="SECONDARY",IFERROR(IF(INDEX(MASTER!$L$4:$L$1463,MATCH("VENDETTA"&amp;"|"&amp;MAX(1,ROUND(COUNTIFS(MASTER!$B$4:$B$1463,"VENDETTA",MASTER!$L$4:$L$1463,"&lt;&gt;")*$A125*100/100,0)),MASTER!$AI$4:$AI$1463,0))="",NA(),INDEX(MASTER!$L$4:$L$1463,MATCH("VENDETTA"&amp;"|"&amp;MAX(1,ROUND(COUNTIFS(MASTER!$B$4:$B$1463,"VENDETTA",MASTER!$L$4:$L$1463,"&lt;&gt;")*$A125*100/100,0)),MASTER!$AI$4:$AI$1463,0))),NA()))))</f>
        <v>1500</v>
      </c>
      <c r="O125" s="37">
        <f>IF($B$4="RESONANCE",IFERROR(IF(INDEX(MASTER!$I$4:$I$1463,MATCH("ZOMBIES"&amp;"|"&amp;MAX(1,ROUND(COUNTIFS(MASTER!$B$4:$B$1463,"ZOMBIES",MASTER!$I$4:$I$1463,"&lt;&gt;")*$A125*100/100,0)),MASTER!$Y$4:$Y$1463,0))="",NA(),INDEX(MASTER!$I$4:$I$1463,MATCH("ZOMBIES"&amp;"|"&amp;MAX(1,ROUND(COUNTIFS(MASTER!$B$4:$B$1463,"ZOMBIES",MASTER!$I$4:$I$1463,"&lt;&gt;")*$A125*100/100,0)),MASTER!$Y$4:$Y$1463,0))),NA()),IF($B$4="COMBAT RATING",IFERROR(IF(INDEX(MASTER!$G$4:$G$1463,MATCH("ZOMBIES"&amp;"|"&amp;MAX(1,ROUND(COUNTIFS(MASTER!$B$4:$B$1463,"ZOMBIES",MASTER!$G$4:$G$1463,"&lt;&gt;")*$A125*100/100,0)),MASTER!$AH$4:$AH$1463,0))="",NA(),INDEX(MASTER!$G$4:$G$1463,MATCH("ZOMBIES"&amp;"|"&amp;MAX(1,ROUND(COUNTIFS(MASTER!$B$4:$B$1463,"ZOMBIES",MASTER!$G$4:$G$1463,"&lt;&gt;")*$A125*100/100,0)),MASTER!$AH$4:$AH$1463,0))),NA()),IF($B$4="SECONDARY",IFERROR(IF(INDEX(MASTER!$L$4:$L$1463,MATCH("ZOMBIES"&amp;"|"&amp;MAX(1,ROUND(COUNTIFS(MASTER!$B$4:$B$1463,"ZOMBIES",MASTER!$L$4:$L$1463,"&lt;&gt;")*$A125*100/100,0)),MASTER!$AI$4:$AI$1463,0))="",NA(),INDEX(MASTER!$L$4:$L$1463,MATCH("ZOMBIES"&amp;"|"&amp;MAX(1,ROUND(COUNTIFS(MASTER!$B$4:$B$1463,"ZOMBIES",MASTER!$L$4:$L$1463,"&lt;&gt;")*$A125*100/100,0)),MASTER!$AI$4:$AI$1463,0))),NA()))))</f>
        <v>1253</v>
      </c>
      <c r="P125" s="37">
        <f>IF($B$4="RESONANCE",IFERROR(IF(INDEX(MASTER!$I$4:$I$1463,MATCH("FUCT"&amp;"|"&amp;MAX(1,ROUND(COUNTIFS(MASTER!$B$4:$B$1463,"FUCT",MASTER!$I$4:$I$1463,"&lt;&gt;")*$A125*100/100,0)),MASTER!$Y$4:$Y$1463,0))="",NA(),INDEX(MASTER!$I$4:$I$1463,MATCH("FUCT"&amp;"|"&amp;MAX(1,ROUND(COUNTIFS(MASTER!$B$4:$B$1463,"FUCT",MASTER!$I$4:$I$1463,"&lt;&gt;")*$A125*100/100,0)),MASTER!$Y$4:$Y$1463,0))),NA()),IF($B$4="COMBAT RATING",IFERROR(IF(INDEX(MASTER!$G$4:$G$1463,MATCH("FUCT"&amp;"|"&amp;MAX(1,ROUND(COUNTIFS(MASTER!$B$4:$B$1463,"FUCT",MASTER!$G$4:$G$1463,"&lt;&gt;")*$A125*100/100,0)),MASTER!$AH$4:$AH$1463,0))="",NA(),INDEX(MASTER!$G$4:$G$1463,MATCH("FUCT"&amp;"|"&amp;MAX(1,ROUND(COUNTIFS(MASTER!$B$4:$B$1463,"FUCT",MASTER!$G$4:$G$1463,"&lt;&gt;")*$A125*100/100,0)),MASTER!$AH$4:$AH$1463,0))),NA()),IF($B$4="SECONDARY",IFERROR(IF(INDEX(MASTER!$L$4:$L$1463,MATCH("FUCT"&amp;"|"&amp;MAX(1,ROUND(COUNTIFS(MASTER!$B$4:$B$1463,"FUCT",MASTER!$L$4:$L$1463,"&lt;&gt;")*$A125*100/100,0)),MASTER!$AI$4:$AI$1463,0))="",NA(),INDEX(MASTER!$L$4:$L$1463,MATCH("FUCT"&amp;"|"&amp;MAX(1,ROUND(COUNTIFS(MASTER!$B$4:$B$1463,"FUCT",MASTER!$L$4:$L$1463,"&lt;&gt;")*$A125*100/100,0)),MASTER!$AI$4:$AI$1463,0))),NA()))))</f>
        <v>3720</v>
      </c>
      <c r="Q125" s="37">
        <f>IF($B$4="RESONANCE",IFERROR(IF(INDEX(MASTER!$I$4:$I$1463,MATCH($E$4&amp;"|"&amp;MAX(1,ROUND(COUNTIFS(MASTER!$B$4:$B$1463,$E$4,MASTER!$I$4:$I$1463,"&lt;&gt;")*$A125*100/100,0)),MASTER!$Y$4:$Y$1463,0))="",NA(),INDEX(MASTER!$I$4:$I$1463,MATCH($E$4&amp;"|"&amp;MAX(1,ROUND(COUNTIFS(MASTER!$B$4:$B$1463,$E$4,MASTER!$I$4:$I$1463,"&lt;&gt;")*$A125*100/100,0)),MASTER!$Y$4:$Y$1463,0))),NA()),IF($B$4="COMBAT RATING",IFERROR(IF(INDEX(MASTER!$G$4:$G$1463,MATCH($E$4&amp;"|"&amp;MAX(1,ROUND(COUNTIFS(MASTER!$B$4:$B$1463,$E$4,MASTER!$G$4:$G$1463,"&lt;&gt;")*$A125*100/100,0)),MASTER!$AH$4:$AH$1463,0))="",NA(),INDEX(MASTER!$G$4:$G$1463,MATCH($E$4&amp;"|"&amp;MAX(1,ROUND(COUNTIFS(MASTER!$B$4:$B$1463,$E$4,MASTER!$G$4:$G$1463,"&lt;&gt;")*$A125*100/100,0)),MASTER!$AH$4:$AH$1463,0))),NA()),IF($B$4="SECONDARY",IFERROR(IF(INDEX(MASTER!$L$4:$L$1463,MATCH($E$4&amp;"|"&amp;MAX(1,ROUND(COUNTIFS(MASTER!$B$4:$B$1463,$E$4,MASTER!$L$4:$L$1463,"&lt;&gt;")*$A125*100/100,0)),MASTER!$AI$4:$AI$1463,0))="",NA(),INDEX(MASTER!$L$4:$L$1463,MATCH($E$4&amp;"|"&amp;MAX(1,ROUND(COUNTIFS(MASTER!$B$4:$B$1463,$E$4,MASTER!$L$4:$L$1463,"&lt;&gt;")*$A125*100/100,0)),MASTER!$AI$4:$AI$1463,0))),NA()))))</f>
        <v>3547</v>
      </c>
    </row>
    <row r="126" spans="1:17" hidden="1">
      <c r="A126" s="36">
        <v>0.71</v>
      </c>
      <c r="B126" s="37">
        <f>IF($B$4="RESONANCE",IFERROR(IF(INDEX(MASTER!$I$4:$I$1463,MATCH("FUCT"&amp;"|"&amp;MAX(1,ROUND(COUNTIFS(MASTER!$B$4:$B$1463,"FUCT",MASTER!$I$4:$I$1463,"&lt;&gt;")*$A126*100/100,0)),MASTER!$Y$4:$Y$1463,0))="",NA(),INDEX(MASTER!$I$4:$I$1463,MATCH("FUCT"&amp;"|"&amp;MAX(1,ROUND(COUNTIFS(MASTER!$B$4:$B$1463,"FUCT",MASTER!$I$4:$I$1463,"&lt;&gt;")*$A126*100/100,0)),MASTER!$Y$4:$Y$1463,0))),NA()),IF($B$4="COMBAT RATING",IFERROR(IF(INDEX(MASTER!$G$4:$G$1463,MATCH("FUCT"&amp;"|"&amp;MAX(1,ROUND(COUNTIFS(MASTER!$B$4:$B$1463,"FUCT",MASTER!$G$4:$G$1463,"&lt;&gt;")*$A126*100/100,0)),MASTER!$AH$4:$AH$1463,0))="",NA(),INDEX(MASTER!$G$4:$G$1463,MATCH("FUCT"&amp;"|"&amp;MAX(1,ROUND(COUNTIFS(MASTER!$B$4:$B$1463,"FUCT",MASTER!$G$4:$G$1463,"&lt;&gt;")*$A126*100/100,0)),MASTER!$AH$4:$AH$1463,0))),NA()),IF($B$4="SECONDARY",IFERROR(IF(INDEX(MASTER!$L$4:$L$1463,MATCH("FUCT"&amp;"|"&amp;MAX(1,ROUND(COUNTIFS(MASTER!$B$4:$B$1463,"FUCT",MASTER!$L$4:$L$1463,"&lt;&gt;")*$A126*100/100,0)),MASTER!$AI$4:$AI$1463,0))="",NA(),INDEX(MASTER!$L$4:$L$1463,MATCH("FUCT"&amp;"|"&amp;MAX(1,ROUND(COUNTIFS(MASTER!$B$4:$B$1463,"FUCT",MASTER!$L$4:$L$1463,"&lt;&gt;")*$A126*100/100,0)),MASTER!$AI$4:$AI$1463,0))),NA()))))</f>
        <v>3676</v>
      </c>
      <c r="C126" s="37">
        <f>IF($B$4="RESONANCE",IFERROR(IF(INDEX(MASTER!$I$4:$I$1463,MATCH("LEGENDS"&amp;"|"&amp;MAX(1,ROUND(COUNTIFS(MASTER!$B$4:$B$1463,"LEGENDS",MASTER!$I$4:$I$1463,"&lt;&gt;")*$A126*100/100,0)),MASTER!$Y$4:$Y$1463,0))="",NA(),INDEX(MASTER!$I$4:$I$1463,MATCH("LEGENDS"&amp;"|"&amp;MAX(1,ROUND(COUNTIFS(MASTER!$B$4:$B$1463,"LEGENDS",MASTER!$I$4:$I$1463,"&lt;&gt;")*$A126*100/100,0)),MASTER!$Y$4:$Y$1463,0))),NA()),IF($B$4="COMBAT RATING",IFERROR(IF(INDEX(MASTER!$G$4:$G$1463,MATCH("LEGENDS"&amp;"|"&amp;MAX(1,ROUND(COUNTIFS(MASTER!$B$4:$B$1463,"LEGENDS",MASTER!$G$4:$G$1463,"&lt;&gt;")*$A126*100/100,0)),MASTER!$AH$4:$AH$1463,0))="",NA(),INDEX(MASTER!$G$4:$G$1463,MATCH("LEGENDS"&amp;"|"&amp;MAX(1,ROUND(COUNTIFS(MASTER!$B$4:$B$1463,"LEGENDS",MASTER!$G$4:$G$1463,"&lt;&gt;")*$A126*100/100,0)),MASTER!$AH$4:$AH$1463,0))),NA()),IF($B$4="SECONDARY",IFERROR(IF(INDEX(MASTER!$L$4:$L$1463,MATCH("LEGENDS"&amp;"|"&amp;MAX(1,ROUND(COUNTIFS(MASTER!$B$4:$B$1463,"LEGENDS",MASTER!$L$4:$L$1463,"&lt;&gt;")*$A126*100/100,0)),MASTER!$AI$4:$AI$1463,0))="",NA(),INDEX(MASTER!$L$4:$L$1463,MATCH("LEGENDS"&amp;"|"&amp;MAX(1,ROUND(COUNTIFS(MASTER!$B$4:$B$1463,"LEGENDS",MASTER!$L$4:$L$1463,"&lt;&gt;")*$A126*100/100,0)),MASTER!$AI$4:$AI$1463,0))),NA()))))</f>
        <v>4251</v>
      </c>
      <c r="D126" s="37">
        <f>IF($B$4="RESONANCE",IFERROR(IF(INDEX(MASTER!$I$4:$I$1463,MATCH("VANGUARD"&amp;"|"&amp;MAX(1,ROUND(COUNTIFS(MASTER!$B$4:$B$1463,"VANGUARD",MASTER!$I$4:$I$1463,"&lt;&gt;")*$A126*100/100,0)),MASTER!$Y$4:$Y$1463,0))="",NA(),INDEX(MASTER!$I$4:$I$1463,MATCH("VANGUARD"&amp;"|"&amp;MAX(1,ROUND(COUNTIFS(MASTER!$B$4:$B$1463,"VANGUARD",MASTER!$I$4:$I$1463,"&lt;&gt;")*$A126*100/100,0)),MASTER!$Y$4:$Y$1463,0))),NA()),IF($B$4="COMBAT RATING",IFERROR(IF(INDEX(MASTER!$G$4:$G$1463,MATCH("VANGUARD"&amp;"|"&amp;MAX(1,ROUND(COUNTIFS(MASTER!$B$4:$B$1463,"VANGUARD",MASTER!$G$4:$G$1463,"&lt;&gt;")*$A126*100/100,0)),MASTER!$AH$4:$AH$1463,0))="",NA(),INDEX(MASTER!$G$4:$G$1463,MATCH("VANGUARD"&amp;"|"&amp;MAX(1,ROUND(COUNTIFS(MASTER!$B$4:$B$1463,"VANGUARD",MASTER!$G$4:$G$1463,"&lt;&gt;")*$A126*100/100,0)),MASTER!$AH$4:$AH$1463,0))),NA()),IF($B$4="SECONDARY",IFERROR(IF(INDEX(MASTER!$L$4:$L$1463,MATCH("VANGUARD"&amp;"|"&amp;MAX(1,ROUND(COUNTIFS(MASTER!$B$4:$B$1463,"VANGUARD",MASTER!$L$4:$L$1463,"&lt;&gt;")*$A126*100/100,0)),MASTER!$AI$4:$AI$1463,0))="",NA(),INDEX(MASTER!$L$4:$L$1463,MATCH("VANGUARD"&amp;"|"&amp;MAX(1,ROUND(COUNTIFS(MASTER!$B$4:$B$1463,"VANGUARD",MASTER!$L$4:$L$1463,"&lt;&gt;")*$A126*100/100,0)),MASTER!$AI$4:$AI$1463,0))),NA()))))</f>
        <v>5091</v>
      </c>
      <c r="E126" s="37">
        <f>IF($B$4="RESONANCE",IFERROR(IF(INDEX(MASTER!$I$4:$I$1463,MATCH("UNDYING"&amp;"|"&amp;MAX(1,ROUND(COUNTIFS(MASTER!$B$4:$B$1463,"UNDYING",MASTER!$I$4:$I$1463,"&lt;&gt;")*$A126*100/100,0)),MASTER!$Y$4:$Y$1463,0))="",NA(),INDEX(MASTER!$I$4:$I$1463,MATCH("UNDYING"&amp;"|"&amp;MAX(1,ROUND(COUNTIFS(MASTER!$B$4:$B$1463,"UNDYING",MASTER!$I$4:$I$1463,"&lt;&gt;")*$A126*100/100,0)),MASTER!$Y$4:$Y$1463,0))),NA()),IF($B$4="COMBAT RATING",IFERROR(IF(INDEX(MASTER!$G$4:$G$1463,MATCH("UNDYING"&amp;"|"&amp;MAX(1,ROUND(COUNTIFS(MASTER!$B$4:$B$1463,"UNDYING",MASTER!$G$4:$G$1463,"&lt;&gt;")*$A126*100/100,0)),MASTER!$AH$4:$AH$1463,0))="",NA(),INDEX(MASTER!$G$4:$G$1463,MATCH("UNDYING"&amp;"|"&amp;MAX(1,ROUND(COUNTIFS(MASTER!$B$4:$B$1463,"UNDYING",MASTER!$G$4:$G$1463,"&lt;&gt;")*$A126*100/100,0)),MASTER!$AH$4:$AH$1463,0))),NA()),IF($B$4="SECONDARY",IFERROR(IF(INDEX(MASTER!$L$4:$L$1463,MATCH("UNDYING"&amp;"|"&amp;MAX(1,ROUND(COUNTIFS(MASTER!$B$4:$B$1463,"UNDYING",MASTER!$L$4:$L$1463,"&lt;&gt;")*$A126*100/100,0)),MASTER!$AI$4:$AI$1463,0))="",NA(),INDEX(MASTER!$L$4:$L$1463,MATCH("UNDYING"&amp;"|"&amp;MAX(1,ROUND(COUNTIFS(MASTER!$B$4:$B$1463,"UNDYING",MASTER!$L$4:$L$1463,"&lt;&gt;")*$A126*100/100,0)),MASTER!$AI$4:$AI$1463,0))),NA()))))</f>
        <v>3528</v>
      </c>
      <c r="F126" s="37">
        <f>IF($B$4="RESONANCE",IFERROR(IF(INDEX(MASTER!$I$4:$I$1463,MATCH("SBG"&amp;"|"&amp;MAX(1,ROUND(COUNTIFS(MASTER!$B$4:$B$1463,"SBG",MASTER!$I$4:$I$1463,"&lt;&gt;")*$A126*100/100,0)),MASTER!$Y$4:$Y$1463,0))="",NA(),INDEX(MASTER!$I$4:$I$1463,MATCH("SBG"&amp;"|"&amp;MAX(1,ROUND(COUNTIFS(MASTER!$B$4:$B$1463,"SBG",MASTER!$I$4:$I$1463,"&lt;&gt;")*$A126*100/100,0)),MASTER!$Y$4:$Y$1463,0))),NA()),IF($B$4="COMBAT RATING",IFERROR(IF(INDEX(MASTER!$G$4:$G$1463,MATCH("SBG"&amp;"|"&amp;MAX(1,ROUND(COUNTIFS(MASTER!$B$4:$B$1463,"SBG",MASTER!$G$4:$G$1463,"&lt;&gt;")*$A126*100/100,0)),MASTER!$AH$4:$AH$1463,0))="",NA(),INDEX(MASTER!$G$4:$G$1463,MATCH("SBG"&amp;"|"&amp;MAX(1,ROUND(COUNTIFS(MASTER!$B$4:$B$1463,"SBG",MASTER!$G$4:$G$1463,"&lt;&gt;")*$A126*100/100,0)),MASTER!$AH$4:$AH$1463,0))),NA()),IF($B$4="SECONDARY",IFERROR(IF(INDEX(MASTER!$L$4:$L$1463,MATCH("SBG"&amp;"|"&amp;MAX(1,ROUND(COUNTIFS(MASTER!$B$4:$B$1463,"SBG",MASTER!$L$4:$L$1463,"&lt;&gt;")*$A126*100/100,0)),MASTER!$AI$4:$AI$1463,0))="",NA(),INDEX(MASTER!$L$4:$L$1463,MATCH("SBG"&amp;"|"&amp;MAX(1,ROUND(COUNTIFS(MASTER!$B$4:$B$1463,"SBG",MASTER!$L$4:$L$1463,"&lt;&gt;")*$A126*100/100,0)),MASTER!$AI$4:$AI$1463,0))),NA()))))</f>
        <v>4117</v>
      </c>
      <c r="G126" s="37">
        <f>IF($B$4="RESONANCE",IFERROR(IF(INDEX(MASTER!$I$4:$I$1463,MATCH("AZUKI"&amp;"|"&amp;MAX(1,ROUND(COUNTIFS(MASTER!$B$4:$B$1463,"AZUKI",MASTER!$I$4:$I$1463,"&lt;&gt;")*$A126*100/100,0)),MASTER!$Y$4:$Y$1463,0))="",NA(),INDEX(MASTER!$I$4:$I$1463,MATCH("AZUKI"&amp;"|"&amp;MAX(1,ROUND(COUNTIFS(MASTER!$B$4:$B$1463,"AZUKI",MASTER!$I$4:$I$1463,"&lt;&gt;")*$A126*100/100,0)),MASTER!$Y$4:$Y$1463,0))),NA()),IF($B$4="COMBAT RATING",IFERROR(IF(INDEX(MASTER!$G$4:$G$1463,MATCH("AZUKI"&amp;"|"&amp;MAX(1,ROUND(COUNTIFS(MASTER!$B$4:$B$1463,"AZUKI",MASTER!$G$4:$G$1463,"&lt;&gt;")*$A126*100/100,0)),MASTER!$AH$4:$AH$1463,0))="",NA(),INDEX(MASTER!$G$4:$G$1463,MATCH("AZUKI"&amp;"|"&amp;MAX(1,ROUND(COUNTIFS(MASTER!$B$4:$B$1463,"AZUKI",MASTER!$G$4:$G$1463,"&lt;&gt;")*$A126*100/100,0)),MASTER!$AH$4:$AH$1463,0))),NA()),IF($B$4="SECONDARY",IFERROR(IF(INDEX(MASTER!$L$4:$L$1463,MATCH("AZUKI"&amp;"|"&amp;MAX(1,ROUND(COUNTIFS(MASTER!$B$4:$B$1463,"AZUKI",MASTER!$L$4:$L$1463,"&lt;&gt;")*$A126*100/100,0)),MASTER!$AI$4:$AI$1463,0))="",NA(),INDEX(MASTER!$L$4:$L$1463,MATCH("AZUKI"&amp;"|"&amp;MAX(1,ROUND(COUNTIFS(MASTER!$B$4:$B$1463,"AZUKI",MASTER!$L$4:$L$1463,"&lt;&gt;")*$A126*100/100,0)),MASTER!$AI$4:$AI$1463,0))),NA()))))</f>
        <v>3600</v>
      </c>
      <c r="H126" s="37">
        <f>IF($B$4="RESONANCE",IFERROR(IF(INDEX(MASTER!$I$4:$I$1463,MATCH("RECKONING"&amp;"|"&amp;MAX(1,ROUND(COUNTIFS(MASTER!$B$4:$B$1463,"RECKONING",MASTER!$I$4:$I$1463,"&lt;&gt;")*$A126*100/100,0)),MASTER!$Y$4:$Y$1463,0))="",NA(),INDEX(MASTER!$I$4:$I$1463,MATCH("RECKONING"&amp;"|"&amp;MAX(1,ROUND(COUNTIFS(MASTER!$B$4:$B$1463,"RECKONING",MASTER!$I$4:$I$1463,"&lt;&gt;")*$A126*100/100,0)),MASTER!$Y$4:$Y$1463,0))),NA()),IF($B$4="COMBAT RATING",IFERROR(IF(INDEX(MASTER!$G$4:$G$1463,MATCH("RECKONING"&amp;"|"&amp;MAX(1,ROUND(COUNTIFS(MASTER!$B$4:$B$1463,"RECKONING",MASTER!$G$4:$G$1463,"&lt;&gt;")*$A126*100/100,0)),MASTER!$AH$4:$AH$1463,0))="",NA(),INDEX(MASTER!$G$4:$G$1463,MATCH("RECKONING"&amp;"|"&amp;MAX(1,ROUND(COUNTIFS(MASTER!$B$4:$B$1463,"RECKONING",MASTER!$G$4:$G$1463,"&lt;&gt;")*$A126*100/100,0)),MASTER!$AH$4:$AH$1463,0))),NA()),IF($B$4="SECONDARY",IFERROR(IF(INDEX(MASTER!$L$4:$L$1463,MATCH("RECKONING"&amp;"|"&amp;MAX(1,ROUND(COUNTIFS(MASTER!$B$4:$B$1463,"RECKONING",MASTER!$L$4:$L$1463,"&lt;&gt;")*$A126*100/100,0)),MASTER!$AI$4:$AI$1463,0))="",NA(),INDEX(MASTER!$L$4:$L$1463,MATCH("RECKONING"&amp;"|"&amp;MAX(1,ROUND(COUNTIFS(MASTER!$B$4:$B$1463,"RECKONING",MASTER!$L$4:$L$1463,"&lt;&gt;")*$A126*100/100,0)),MASTER!$AI$4:$AI$1463,0))),NA()))))</f>
        <v>3877</v>
      </c>
      <c r="I126" s="37">
        <f>IF($B$4="RESONANCE",IFERROR(IF(INDEX(MASTER!$I$4:$I$1463,MATCH("ACHERON"&amp;"|"&amp;MAX(1,ROUND(COUNTIFS(MASTER!$B$4:$B$1463,"ACHERON",MASTER!$I$4:$I$1463,"&lt;&gt;")*$A126*100/100,0)),MASTER!$Y$4:$Y$1463,0))="",NA(),INDEX(MASTER!$I$4:$I$1463,MATCH("ACHERON"&amp;"|"&amp;MAX(1,ROUND(COUNTIFS(MASTER!$B$4:$B$1463,"ACHERON",MASTER!$I$4:$I$1463,"&lt;&gt;")*$A126*100/100,0)),MASTER!$Y$4:$Y$1463,0))),NA()),IF($B$4="COMBAT RATING",IFERROR(IF(INDEX(MASTER!$G$4:$G$1463,MATCH("ACHERON"&amp;"|"&amp;MAX(1,ROUND(COUNTIFS(MASTER!$B$4:$B$1463,"ACHERON",MASTER!$G$4:$G$1463,"&lt;&gt;")*$A126*100/100,0)),MASTER!$AH$4:$AH$1463,0))="",NA(),INDEX(MASTER!$G$4:$G$1463,MATCH("ACHERON"&amp;"|"&amp;MAX(1,ROUND(COUNTIFS(MASTER!$B$4:$B$1463,"ACHERON",MASTER!$G$4:$G$1463,"&lt;&gt;")*$A126*100/100,0)),MASTER!$AH$4:$AH$1463,0))),NA()),IF($B$4="SECONDARY",IFERROR(IF(INDEX(MASTER!$L$4:$L$1463,MATCH("ACHERON"&amp;"|"&amp;MAX(1,ROUND(COUNTIFS(MASTER!$B$4:$B$1463,"ACHERON",MASTER!$L$4:$L$1463,"&lt;&gt;")*$A126*100/100,0)),MASTER!$AI$4:$AI$1463,0))="",NA(),INDEX(MASTER!$L$4:$L$1463,MATCH("ACHERON"&amp;"|"&amp;MAX(1,ROUND(COUNTIFS(MASTER!$B$4:$B$1463,"ACHERON",MASTER!$L$4:$L$1463,"&lt;&gt;")*$A126*100/100,0)),MASTER!$AI$4:$AI$1463,0))),NA()))))</f>
        <v>3023</v>
      </c>
      <c r="J126" s="37">
        <f>IF($B$4="RESONANCE",IFERROR(IF(INDEX(MASTER!$I$4:$I$1463,MATCH("INVICTUS"&amp;"|"&amp;MAX(1,ROUND(COUNTIFS(MASTER!$B$4:$B$1463,"INVICTUS",MASTER!$I$4:$I$1463,"&lt;&gt;")*$A126*100/100,0)),MASTER!$Y$4:$Y$1463,0))="",NA(),INDEX(MASTER!$I$4:$I$1463,MATCH("INVICTUS"&amp;"|"&amp;MAX(1,ROUND(COUNTIFS(MASTER!$B$4:$B$1463,"INVICTUS",MASTER!$I$4:$I$1463,"&lt;&gt;")*$A126*100/100,0)),MASTER!$Y$4:$Y$1463,0))),NA()),IF($B$4="COMBAT RATING",IFERROR(IF(INDEX(MASTER!$G$4:$G$1463,MATCH("INVICTUS"&amp;"|"&amp;MAX(1,ROUND(COUNTIFS(MASTER!$B$4:$B$1463,"INVICTUS",MASTER!$G$4:$G$1463,"&lt;&gt;")*$A126*100/100,0)),MASTER!$AH$4:$AH$1463,0))="",NA(),INDEX(MASTER!$G$4:$G$1463,MATCH("INVICTUS"&amp;"|"&amp;MAX(1,ROUND(COUNTIFS(MASTER!$B$4:$B$1463,"INVICTUS",MASTER!$G$4:$G$1463,"&lt;&gt;")*$A126*100/100,0)),MASTER!$AH$4:$AH$1463,0))),NA()),IF($B$4="SECONDARY",IFERROR(IF(INDEX(MASTER!$L$4:$L$1463,MATCH("INVICTUS"&amp;"|"&amp;MAX(1,ROUND(COUNTIFS(MASTER!$B$4:$B$1463,"INVICTUS",MASTER!$L$4:$L$1463,"&lt;&gt;")*$A126*100/100,0)),MASTER!$AI$4:$AI$1463,0))="",NA(),INDEX(MASTER!$L$4:$L$1463,MATCH("INVICTUS"&amp;"|"&amp;MAX(1,ROUND(COUNTIFS(MASTER!$B$4:$B$1463,"INVICTUS",MASTER!$L$4:$L$1463,"&lt;&gt;")*$A126*100/100,0)),MASTER!$AI$4:$AI$1463,0))),NA()))))</f>
        <v>2422</v>
      </c>
      <c r="K126" s="37">
        <f>IF($B$4="RESONANCE",IFERROR(IF(INDEX(MASTER!$I$4:$I$1463,MATCH("EMERALD LEAF TRIBE"&amp;"|"&amp;MAX(1,ROUND(COUNTIFS(MASTER!$B$4:$B$1463,"EMERALD LEAF TRIBE",MASTER!$I$4:$I$1463,"&lt;&gt;")*$A126*100/100,0)),MASTER!$Y$4:$Y$1463,0))="",NA(),INDEX(MASTER!$I$4:$I$1463,MATCH("EMERALD LEAF TRIBE"&amp;"|"&amp;MAX(1,ROUND(COUNTIFS(MASTER!$B$4:$B$1463,"EMERALD LEAF TRIBE",MASTER!$I$4:$I$1463,"&lt;&gt;")*$A126*100/100,0)),MASTER!$Y$4:$Y$1463,0))),NA()),IF($B$4="COMBAT RATING",IFERROR(IF(INDEX(MASTER!$G$4:$G$1463,MATCH("EMERALD LEAF TRIBE"&amp;"|"&amp;MAX(1,ROUND(COUNTIFS(MASTER!$B$4:$B$1463,"EMERALD LEAF TRIBE",MASTER!$G$4:$G$1463,"&lt;&gt;")*$A126*100/100,0)),MASTER!$AH$4:$AH$1463,0))="",NA(),INDEX(MASTER!$G$4:$G$1463,MATCH("EMERALD LEAF TRIBE"&amp;"|"&amp;MAX(1,ROUND(COUNTIFS(MASTER!$B$4:$B$1463,"EMERALD LEAF TRIBE",MASTER!$G$4:$G$1463,"&lt;&gt;")*$A126*100/100,0)),MASTER!$AH$4:$AH$1463,0))),NA()),IF($B$4="SECONDARY",IFERROR(IF(INDEX(MASTER!$L$4:$L$1463,MATCH("EMERALD LEAF TRIBE"&amp;"|"&amp;MAX(1,ROUND(COUNTIFS(MASTER!$B$4:$B$1463,"EMERALD LEAF TRIBE",MASTER!$L$4:$L$1463,"&lt;&gt;")*$A126*100/100,0)),MASTER!$AI$4:$AI$1463,0))="",NA(),INDEX(MASTER!$L$4:$L$1463,MATCH("EMERALD LEAF TRIBE"&amp;"|"&amp;MAX(1,ROUND(COUNTIFS(MASTER!$B$4:$B$1463,"EMERALD LEAF TRIBE",MASTER!$L$4:$L$1463,"&lt;&gt;")*$A126*100/100,0)),MASTER!$AI$4:$AI$1463,0))),NA()))))</f>
        <v>1525</v>
      </c>
      <c r="L126" s="37">
        <f>IF($B$4="RESONANCE",IFERROR(IF(INDEX(MASTER!$I$4:$I$1463,MATCH("SUB ROSA"&amp;"|"&amp;MAX(1,ROUND(COUNTIFS(MASTER!$B$4:$B$1463,"SUB ROSA",MASTER!$I$4:$I$1463,"&lt;&gt;")*$A126*100/100,0)),MASTER!$Y$4:$Y$1463,0))="",NA(),INDEX(MASTER!$I$4:$I$1463,MATCH("SUB ROSA"&amp;"|"&amp;MAX(1,ROUND(COUNTIFS(MASTER!$B$4:$B$1463,"SUB ROSA",MASTER!$I$4:$I$1463,"&lt;&gt;")*$A126*100/100,0)),MASTER!$Y$4:$Y$1463,0))),NA()),IF($B$4="COMBAT RATING",IFERROR(IF(INDEX(MASTER!$G$4:$G$1463,MATCH("SUB ROSA"&amp;"|"&amp;MAX(1,ROUND(COUNTIFS(MASTER!$B$4:$B$1463,"SUB ROSA",MASTER!$G$4:$G$1463,"&lt;&gt;")*$A126*100/100,0)),MASTER!$AH$4:$AH$1463,0))="",NA(),INDEX(MASTER!$G$4:$G$1463,MATCH("SUB ROSA"&amp;"|"&amp;MAX(1,ROUND(COUNTIFS(MASTER!$B$4:$B$1463,"SUB ROSA",MASTER!$G$4:$G$1463,"&lt;&gt;")*$A126*100/100,0)),MASTER!$AH$4:$AH$1463,0))),NA()),IF($B$4="SECONDARY",IFERROR(IF(INDEX(MASTER!$L$4:$L$1463,MATCH("SUB ROSA"&amp;"|"&amp;MAX(1,ROUND(COUNTIFS(MASTER!$B$4:$B$1463,"SUB ROSA",MASTER!$L$4:$L$1463,"&lt;&gt;")*$A126*100/100,0)),MASTER!$AI$4:$AI$1463,0))="",NA(),INDEX(MASTER!$L$4:$L$1463,MATCH("SUB ROSA"&amp;"|"&amp;MAX(1,ROUND(COUNTIFS(MASTER!$B$4:$B$1463,"SUB ROSA",MASTER!$L$4:$L$1463,"&lt;&gt;")*$A126*100/100,0)),MASTER!$AI$4:$AI$1463,0))),NA()))))</f>
        <v>1910</v>
      </c>
      <c r="M126" s="37">
        <f>IF($B$4="RESONANCE",IFERROR(IF(INDEX(MASTER!$I$4:$I$1463,MATCH("VENGEANCE"&amp;"|"&amp;MAX(1,ROUND(COUNTIFS(MASTER!$B$4:$B$1463,"VENGEANCE",MASTER!$I$4:$I$1463,"&lt;&gt;")*$A126*100/100,0)),MASTER!$Y$4:$Y$1463,0))="",NA(),INDEX(MASTER!$I$4:$I$1463,MATCH("VENGEANCE"&amp;"|"&amp;MAX(1,ROUND(COUNTIFS(MASTER!$B$4:$B$1463,"VENGEANCE",MASTER!$I$4:$I$1463,"&lt;&gt;")*$A126*100/100,0)),MASTER!$Y$4:$Y$1463,0))),NA()),IF($B$4="COMBAT RATING",IFERROR(IF(INDEX(MASTER!$G$4:$G$1463,MATCH("VENGEANCE"&amp;"|"&amp;MAX(1,ROUND(COUNTIFS(MASTER!$B$4:$B$1463,"VENGEANCE",MASTER!$G$4:$G$1463,"&lt;&gt;")*$A126*100/100,0)),MASTER!$AH$4:$AH$1463,0))="",NA(),INDEX(MASTER!$G$4:$G$1463,MATCH("VENGEANCE"&amp;"|"&amp;MAX(1,ROUND(COUNTIFS(MASTER!$B$4:$B$1463,"VENGEANCE",MASTER!$G$4:$G$1463,"&lt;&gt;")*$A126*100/100,0)),MASTER!$AH$4:$AH$1463,0))),NA()),IF($B$4="SECONDARY",IFERROR(IF(INDEX(MASTER!$L$4:$L$1463,MATCH("VENGEANCE"&amp;"|"&amp;MAX(1,ROUND(COUNTIFS(MASTER!$B$4:$B$1463,"VENGEANCE",MASTER!$L$4:$L$1463,"&lt;&gt;")*$A126*100/100,0)),MASTER!$AI$4:$AI$1463,0))="",NA(),INDEX(MASTER!$L$4:$L$1463,MATCH("VENGEANCE"&amp;"|"&amp;MAX(1,ROUND(COUNTIFS(MASTER!$B$4:$B$1463,"VENGEANCE",MASTER!$L$4:$L$1463,"&lt;&gt;")*$A126*100/100,0)),MASTER!$AI$4:$AI$1463,0))),NA()))))</f>
        <v>2619</v>
      </c>
      <c r="N126" s="37">
        <f>IF($B$4="RESONANCE",IFERROR(IF(INDEX(MASTER!$I$4:$I$1463,MATCH("VENDETTA"&amp;"|"&amp;MAX(1,ROUND(COUNTIFS(MASTER!$B$4:$B$1463,"VENDETTA",MASTER!$I$4:$I$1463,"&lt;&gt;")*$A126*100/100,0)),MASTER!$Y$4:$Y$1463,0))="",NA(),INDEX(MASTER!$I$4:$I$1463,MATCH("VENDETTA"&amp;"|"&amp;MAX(1,ROUND(COUNTIFS(MASTER!$B$4:$B$1463,"VENDETTA",MASTER!$I$4:$I$1463,"&lt;&gt;")*$A126*100/100,0)),MASTER!$Y$4:$Y$1463,0))),NA()),IF($B$4="COMBAT RATING",IFERROR(IF(INDEX(MASTER!$G$4:$G$1463,MATCH("VENDETTA"&amp;"|"&amp;MAX(1,ROUND(COUNTIFS(MASTER!$B$4:$B$1463,"VENDETTA",MASTER!$G$4:$G$1463,"&lt;&gt;")*$A126*100/100,0)),MASTER!$AH$4:$AH$1463,0))="",NA(),INDEX(MASTER!$G$4:$G$1463,MATCH("VENDETTA"&amp;"|"&amp;MAX(1,ROUND(COUNTIFS(MASTER!$B$4:$B$1463,"VENDETTA",MASTER!$G$4:$G$1463,"&lt;&gt;")*$A126*100/100,0)),MASTER!$AH$4:$AH$1463,0))),NA()),IF($B$4="SECONDARY",IFERROR(IF(INDEX(MASTER!$L$4:$L$1463,MATCH("VENDETTA"&amp;"|"&amp;MAX(1,ROUND(COUNTIFS(MASTER!$B$4:$B$1463,"VENDETTA",MASTER!$L$4:$L$1463,"&lt;&gt;")*$A126*100/100,0)),MASTER!$AI$4:$AI$1463,0))="",NA(),INDEX(MASTER!$L$4:$L$1463,MATCH("VENDETTA"&amp;"|"&amp;MAX(1,ROUND(COUNTIFS(MASTER!$B$4:$B$1463,"VENDETTA",MASTER!$L$4:$L$1463,"&lt;&gt;")*$A126*100/100,0)),MASTER!$AI$4:$AI$1463,0))),NA()))))</f>
        <v>1500</v>
      </c>
      <c r="O126" s="37">
        <f>IF($B$4="RESONANCE",IFERROR(IF(INDEX(MASTER!$I$4:$I$1463,MATCH("ZOMBIES"&amp;"|"&amp;MAX(1,ROUND(COUNTIFS(MASTER!$B$4:$B$1463,"ZOMBIES",MASTER!$I$4:$I$1463,"&lt;&gt;")*$A126*100/100,0)),MASTER!$Y$4:$Y$1463,0))="",NA(),INDEX(MASTER!$I$4:$I$1463,MATCH("ZOMBIES"&amp;"|"&amp;MAX(1,ROUND(COUNTIFS(MASTER!$B$4:$B$1463,"ZOMBIES",MASTER!$I$4:$I$1463,"&lt;&gt;")*$A126*100/100,0)),MASTER!$Y$4:$Y$1463,0))),NA()),IF($B$4="COMBAT RATING",IFERROR(IF(INDEX(MASTER!$G$4:$G$1463,MATCH("ZOMBIES"&amp;"|"&amp;MAX(1,ROUND(COUNTIFS(MASTER!$B$4:$B$1463,"ZOMBIES",MASTER!$G$4:$G$1463,"&lt;&gt;")*$A126*100/100,0)),MASTER!$AH$4:$AH$1463,0))="",NA(),INDEX(MASTER!$G$4:$G$1463,MATCH("ZOMBIES"&amp;"|"&amp;MAX(1,ROUND(COUNTIFS(MASTER!$B$4:$B$1463,"ZOMBIES",MASTER!$G$4:$G$1463,"&lt;&gt;")*$A126*100/100,0)),MASTER!$AH$4:$AH$1463,0))),NA()),IF($B$4="SECONDARY",IFERROR(IF(INDEX(MASTER!$L$4:$L$1463,MATCH("ZOMBIES"&amp;"|"&amp;MAX(1,ROUND(COUNTIFS(MASTER!$B$4:$B$1463,"ZOMBIES",MASTER!$L$4:$L$1463,"&lt;&gt;")*$A126*100/100,0)),MASTER!$AI$4:$AI$1463,0))="",NA(),INDEX(MASTER!$L$4:$L$1463,MATCH("ZOMBIES"&amp;"|"&amp;MAX(1,ROUND(COUNTIFS(MASTER!$B$4:$B$1463,"ZOMBIES",MASTER!$L$4:$L$1463,"&lt;&gt;")*$A126*100/100,0)),MASTER!$AI$4:$AI$1463,0))),NA()))))</f>
        <v>1230</v>
      </c>
      <c r="P126" s="37">
        <f>IF($B$4="RESONANCE",IFERROR(IF(INDEX(MASTER!$I$4:$I$1463,MATCH("FUCT"&amp;"|"&amp;MAX(1,ROUND(COUNTIFS(MASTER!$B$4:$B$1463,"FUCT",MASTER!$I$4:$I$1463,"&lt;&gt;")*$A126*100/100,0)),MASTER!$Y$4:$Y$1463,0))="",NA(),INDEX(MASTER!$I$4:$I$1463,MATCH("FUCT"&amp;"|"&amp;MAX(1,ROUND(COUNTIFS(MASTER!$B$4:$B$1463,"FUCT",MASTER!$I$4:$I$1463,"&lt;&gt;")*$A126*100/100,0)),MASTER!$Y$4:$Y$1463,0))),NA()),IF($B$4="COMBAT RATING",IFERROR(IF(INDEX(MASTER!$G$4:$G$1463,MATCH("FUCT"&amp;"|"&amp;MAX(1,ROUND(COUNTIFS(MASTER!$B$4:$B$1463,"FUCT",MASTER!$G$4:$G$1463,"&lt;&gt;")*$A126*100/100,0)),MASTER!$AH$4:$AH$1463,0))="",NA(),INDEX(MASTER!$G$4:$G$1463,MATCH("FUCT"&amp;"|"&amp;MAX(1,ROUND(COUNTIFS(MASTER!$B$4:$B$1463,"FUCT",MASTER!$G$4:$G$1463,"&lt;&gt;")*$A126*100/100,0)),MASTER!$AH$4:$AH$1463,0))),NA()),IF($B$4="SECONDARY",IFERROR(IF(INDEX(MASTER!$L$4:$L$1463,MATCH("FUCT"&amp;"|"&amp;MAX(1,ROUND(COUNTIFS(MASTER!$B$4:$B$1463,"FUCT",MASTER!$L$4:$L$1463,"&lt;&gt;")*$A126*100/100,0)),MASTER!$AI$4:$AI$1463,0))="",NA(),INDEX(MASTER!$L$4:$L$1463,MATCH("FUCT"&amp;"|"&amp;MAX(1,ROUND(COUNTIFS(MASTER!$B$4:$B$1463,"FUCT",MASTER!$L$4:$L$1463,"&lt;&gt;")*$A126*100/100,0)),MASTER!$AI$4:$AI$1463,0))),NA()))))</f>
        <v>3676</v>
      </c>
      <c r="Q126" s="37">
        <f>IF($B$4="RESONANCE",IFERROR(IF(INDEX(MASTER!$I$4:$I$1463,MATCH($E$4&amp;"|"&amp;MAX(1,ROUND(COUNTIFS(MASTER!$B$4:$B$1463,$E$4,MASTER!$I$4:$I$1463,"&lt;&gt;")*$A126*100/100,0)),MASTER!$Y$4:$Y$1463,0))="",NA(),INDEX(MASTER!$I$4:$I$1463,MATCH($E$4&amp;"|"&amp;MAX(1,ROUND(COUNTIFS(MASTER!$B$4:$B$1463,$E$4,MASTER!$I$4:$I$1463,"&lt;&gt;")*$A126*100/100,0)),MASTER!$Y$4:$Y$1463,0))),NA()),IF($B$4="COMBAT RATING",IFERROR(IF(INDEX(MASTER!$G$4:$G$1463,MATCH($E$4&amp;"|"&amp;MAX(1,ROUND(COUNTIFS(MASTER!$B$4:$B$1463,$E$4,MASTER!$G$4:$G$1463,"&lt;&gt;")*$A126*100/100,0)),MASTER!$AH$4:$AH$1463,0))="",NA(),INDEX(MASTER!$G$4:$G$1463,MATCH($E$4&amp;"|"&amp;MAX(1,ROUND(COUNTIFS(MASTER!$B$4:$B$1463,$E$4,MASTER!$G$4:$G$1463,"&lt;&gt;")*$A126*100/100,0)),MASTER!$AH$4:$AH$1463,0))),NA()),IF($B$4="SECONDARY",IFERROR(IF(INDEX(MASTER!$L$4:$L$1463,MATCH($E$4&amp;"|"&amp;MAX(1,ROUND(COUNTIFS(MASTER!$B$4:$B$1463,$E$4,MASTER!$L$4:$L$1463,"&lt;&gt;")*$A126*100/100,0)),MASTER!$AI$4:$AI$1463,0))="",NA(),INDEX(MASTER!$L$4:$L$1463,MATCH($E$4&amp;"|"&amp;MAX(1,ROUND(COUNTIFS(MASTER!$B$4:$B$1463,$E$4,MASTER!$L$4:$L$1463,"&lt;&gt;")*$A126*100/100,0)),MASTER!$AI$4:$AI$1463,0))),NA()))))</f>
        <v>3528</v>
      </c>
    </row>
    <row r="127" spans="1:17" hidden="1">
      <c r="A127" s="36">
        <v>0.72</v>
      </c>
      <c r="B127" s="37">
        <f>IF($B$4="RESONANCE",IFERROR(IF(INDEX(MASTER!$I$4:$I$1463,MATCH("FUCT"&amp;"|"&amp;MAX(1,ROUND(COUNTIFS(MASTER!$B$4:$B$1463,"FUCT",MASTER!$I$4:$I$1463,"&lt;&gt;")*$A127*100/100,0)),MASTER!$Y$4:$Y$1463,0))="",NA(),INDEX(MASTER!$I$4:$I$1463,MATCH("FUCT"&amp;"|"&amp;MAX(1,ROUND(COUNTIFS(MASTER!$B$4:$B$1463,"FUCT",MASTER!$I$4:$I$1463,"&lt;&gt;")*$A127*100/100,0)),MASTER!$Y$4:$Y$1463,0))),NA()),IF($B$4="COMBAT RATING",IFERROR(IF(INDEX(MASTER!$G$4:$G$1463,MATCH("FUCT"&amp;"|"&amp;MAX(1,ROUND(COUNTIFS(MASTER!$B$4:$B$1463,"FUCT",MASTER!$G$4:$G$1463,"&lt;&gt;")*$A127*100/100,0)),MASTER!$AH$4:$AH$1463,0))="",NA(),INDEX(MASTER!$G$4:$G$1463,MATCH("FUCT"&amp;"|"&amp;MAX(1,ROUND(COUNTIFS(MASTER!$B$4:$B$1463,"FUCT",MASTER!$G$4:$G$1463,"&lt;&gt;")*$A127*100/100,0)),MASTER!$AH$4:$AH$1463,0))),NA()),IF($B$4="SECONDARY",IFERROR(IF(INDEX(MASTER!$L$4:$L$1463,MATCH("FUCT"&amp;"|"&amp;MAX(1,ROUND(COUNTIFS(MASTER!$B$4:$B$1463,"FUCT",MASTER!$L$4:$L$1463,"&lt;&gt;")*$A127*100/100,0)),MASTER!$AI$4:$AI$1463,0))="",NA(),INDEX(MASTER!$L$4:$L$1463,MATCH("FUCT"&amp;"|"&amp;MAX(1,ROUND(COUNTIFS(MASTER!$B$4:$B$1463,"FUCT",MASTER!$L$4:$L$1463,"&lt;&gt;")*$A127*100/100,0)),MASTER!$AI$4:$AI$1463,0))),NA()))))</f>
        <v>3669</v>
      </c>
      <c r="C127" s="37">
        <f>IF($B$4="RESONANCE",IFERROR(IF(INDEX(MASTER!$I$4:$I$1463,MATCH("LEGENDS"&amp;"|"&amp;MAX(1,ROUND(COUNTIFS(MASTER!$B$4:$B$1463,"LEGENDS",MASTER!$I$4:$I$1463,"&lt;&gt;")*$A127*100/100,0)),MASTER!$Y$4:$Y$1463,0))="",NA(),INDEX(MASTER!$I$4:$I$1463,MATCH("LEGENDS"&amp;"|"&amp;MAX(1,ROUND(COUNTIFS(MASTER!$B$4:$B$1463,"LEGENDS",MASTER!$I$4:$I$1463,"&lt;&gt;")*$A127*100/100,0)),MASTER!$Y$4:$Y$1463,0))),NA()),IF($B$4="COMBAT RATING",IFERROR(IF(INDEX(MASTER!$G$4:$G$1463,MATCH("LEGENDS"&amp;"|"&amp;MAX(1,ROUND(COUNTIFS(MASTER!$B$4:$B$1463,"LEGENDS",MASTER!$G$4:$G$1463,"&lt;&gt;")*$A127*100/100,0)),MASTER!$AH$4:$AH$1463,0))="",NA(),INDEX(MASTER!$G$4:$G$1463,MATCH("LEGENDS"&amp;"|"&amp;MAX(1,ROUND(COUNTIFS(MASTER!$B$4:$B$1463,"LEGENDS",MASTER!$G$4:$G$1463,"&lt;&gt;")*$A127*100/100,0)),MASTER!$AH$4:$AH$1463,0))),NA()),IF($B$4="SECONDARY",IFERROR(IF(INDEX(MASTER!$L$4:$L$1463,MATCH("LEGENDS"&amp;"|"&amp;MAX(1,ROUND(COUNTIFS(MASTER!$B$4:$B$1463,"LEGENDS",MASTER!$L$4:$L$1463,"&lt;&gt;")*$A127*100/100,0)),MASTER!$AI$4:$AI$1463,0))="",NA(),INDEX(MASTER!$L$4:$L$1463,MATCH("LEGENDS"&amp;"|"&amp;MAX(1,ROUND(COUNTIFS(MASTER!$B$4:$B$1463,"LEGENDS",MASTER!$L$4:$L$1463,"&lt;&gt;")*$A127*100/100,0)),MASTER!$AI$4:$AI$1463,0))),NA()))))</f>
        <v>4237</v>
      </c>
      <c r="D127" s="37">
        <f>IF($B$4="RESONANCE",IFERROR(IF(INDEX(MASTER!$I$4:$I$1463,MATCH("VANGUARD"&amp;"|"&amp;MAX(1,ROUND(COUNTIFS(MASTER!$B$4:$B$1463,"VANGUARD",MASTER!$I$4:$I$1463,"&lt;&gt;")*$A127*100/100,0)),MASTER!$Y$4:$Y$1463,0))="",NA(),INDEX(MASTER!$I$4:$I$1463,MATCH("VANGUARD"&amp;"|"&amp;MAX(1,ROUND(COUNTIFS(MASTER!$B$4:$B$1463,"VANGUARD",MASTER!$I$4:$I$1463,"&lt;&gt;")*$A127*100/100,0)),MASTER!$Y$4:$Y$1463,0))),NA()),IF($B$4="COMBAT RATING",IFERROR(IF(INDEX(MASTER!$G$4:$G$1463,MATCH("VANGUARD"&amp;"|"&amp;MAX(1,ROUND(COUNTIFS(MASTER!$B$4:$B$1463,"VANGUARD",MASTER!$G$4:$G$1463,"&lt;&gt;")*$A127*100/100,0)),MASTER!$AH$4:$AH$1463,0))="",NA(),INDEX(MASTER!$G$4:$G$1463,MATCH("VANGUARD"&amp;"|"&amp;MAX(1,ROUND(COUNTIFS(MASTER!$B$4:$B$1463,"VANGUARD",MASTER!$G$4:$G$1463,"&lt;&gt;")*$A127*100/100,0)),MASTER!$AH$4:$AH$1463,0))),NA()),IF($B$4="SECONDARY",IFERROR(IF(INDEX(MASTER!$L$4:$L$1463,MATCH("VANGUARD"&amp;"|"&amp;MAX(1,ROUND(COUNTIFS(MASTER!$B$4:$B$1463,"VANGUARD",MASTER!$L$4:$L$1463,"&lt;&gt;")*$A127*100/100,0)),MASTER!$AI$4:$AI$1463,0))="",NA(),INDEX(MASTER!$L$4:$L$1463,MATCH("VANGUARD"&amp;"|"&amp;MAX(1,ROUND(COUNTIFS(MASTER!$B$4:$B$1463,"VANGUARD",MASTER!$L$4:$L$1463,"&lt;&gt;")*$A127*100/100,0)),MASTER!$AI$4:$AI$1463,0))),NA()))))</f>
        <v>4755</v>
      </c>
      <c r="E127" s="37">
        <f>IF($B$4="RESONANCE",IFERROR(IF(INDEX(MASTER!$I$4:$I$1463,MATCH("UNDYING"&amp;"|"&amp;MAX(1,ROUND(COUNTIFS(MASTER!$B$4:$B$1463,"UNDYING",MASTER!$I$4:$I$1463,"&lt;&gt;")*$A127*100/100,0)),MASTER!$Y$4:$Y$1463,0))="",NA(),INDEX(MASTER!$I$4:$I$1463,MATCH("UNDYING"&amp;"|"&amp;MAX(1,ROUND(COUNTIFS(MASTER!$B$4:$B$1463,"UNDYING",MASTER!$I$4:$I$1463,"&lt;&gt;")*$A127*100/100,0)),MASTER!$Y$4:$Y$1463,0))),NA()),IF($B$4="COMBAT RATING",IFERROR(IF(INDEX(MASTER!$G$4:$G$1463,MATCH("UNDYING"&amp;"|"&amp;MAX(1,ROUND(COUNTIFS(MASTER!$B$4:$B$1463,"UNDYING",MASTER!$G$4:$G$1463,"&lt;&gt;")*$A127*100/100,0)),MASTER!$AH$4:$AH$1463,0))="",NA(),INDEX(MASTER!$G$4:$G$1463,MATCH("UNDYING"&amp;"|"&amp;MAX(1,ROUND(COUNTIFS(MASTER!$B$4:$B$1463,"UNDYING",MASTER!$G$4:$G$1463,"&lt;&gt;")*$A127*100/100,0)),MASTER!$AH$4:$AH$1463,0))),NA()),IF($B$4="SECONDARY",IFERROR(IF(INDEX(MASTER!$L$4:$L$1463,MATCH("UNDYING"&amp;"|"&amp;MAX(1,ROUND(COUNTIFS(MASTER!$B$4:$B$1463,"UNDYING",MASTER!$L$4:$L$1463,"&lt;&gt;")*$A127*100/100,0)),MASTER!$AI$4:$AI$1463,0))="",NA(),INDEX(MASTER!$L$4:$L$1463,MATCH("UNDYING"&amp;"|"&amp;MAX(1,ROUND(COUNTIFS(MASTER!$B$4:$B$1463,"UNDYING",MASTER!$L$4:$L$1463,"&lt;&gt;")*$A127*100/100,0)),MASTER!$AI$4:$AI$1463,0))),NA()))))</f>
        <v>3528</v>
      </c>
      <c r="F127" s="37">
        <f>IF($B$4="RESONANCE",IFERROR(IF(INDEX(MASTER!$I$4:$I$1463,MATCH("SBG"&amp;"|"&amp;MAX(1,ROUND(COUNTIFS(MASTER!$B$4:$B$1463,"SBG",MASTER!$I$4:$I$1463,"&lt;&gt;")*$A127*100/100,0)),MASTER!$Y$4:$Y$1463,0))="",NA(),INDEX(MASTER!$I$4:$I$1463,MATCH("SBG"&amp;"|"&amp;MAX(1,ROUND(COUNTIFS(MASTER!$B$4:$B$1463,"SBG",MASTER!$I$4:$I$1463,"&lt;&gt;")*$A127*100/100,0)),MASTER!$Y$4:$Y$1463,0))),NA()),IF($B$4="COMBAT RATING",IFERROR(IF(INDEX(MASTER!$G$4:$G$1463,MATCH("SBG"&amp;"|"&amp;MAX(1,ROUND(COUNTIFS(MASTER!$B$4:$B$1463,"SBG",MASTER!$G$4:$G$1463,"&lt;&gt;")*$A127*100/100,0)),MASTER!$AH$4:$AH$1463,0))="",NA(),INDEX(MASTER!$G$4:$G$1463,MATCH("SBG"&amp;"|"&amp;MAX(1,ROUND(COUNTIFS(MASTER!$B$4:$B$1463,"SBG",MASTER!$G$4:$G$1463,"&lt;&gt;")*$A127*100/100,0)),MASTER!$AH$4:$AH$1463,0))),NA()),IF($B$4="SECONDARY",IFERROR(IF(INDEX(MASTER!$L$4:$L$1463,MATCH("SBG"&amp;"|"&amp;MAX(1,ROUND(COUNTIFS(MASTER!$B$4:$B$1463,"SBG",MASTER!$L$4:$L$1463,"&lt;&gt;")*$A127*100/100,0)),MASTER!$AI$4:$AI$1463,0))="",NA(),INDEX(MASTER!$L$4:$L$1463,MATCH("SBG"&amp;"|"&amp;MAX(1,ROUND(COUNTIFS(MASTER!$B$4:$B$1463,"SBG",MASTER!$L$4:$L$1463,"&lt;&gt;")*$A127*100/100,0)),MASTER!$AI$4:$AI$1463,0))),NA()))))</f>
        <v>4075</v>
      </c>
      <c r="G127" s="37">
        <f>IF($B$4="RESONANCE",IFERROR(IF(INDEX(MASTER!$I$4:$I$1463,MATCH("AZUKI"&amp;"|"&amp;MAX(1,ROUND(COUNTIFS(MASTER!$B$4:$B$1463,"AZUKI",MASTER!$I$4:$I$1463,"&lt;&gt;")*$A127*100/100,0)),MASTER!$Y$4:$Y$1463,0))="",NA(),INDEX(MASTER!$I$4:$I$1463,MATCH("AZUKI"&amp;"|"&amp;MAX(1,ROUND(COUNTIFS(MASTER!$B$4:$B$1463,"AZUKI",MASTER!$I$4:$I$1463,"&lt;&gt;")*$A127*100/100,0)),MASTER!$Y$4:$Y$1463,0))),NA()),IF($B$4="COMBAT RATING",IFERROR(IF(INDEX(MASTER!$G$4:$G$1463,MATCH("AZUKI"&amp;"|"&amp;MAX(1,ROUND(COUNTIFS(MASTER!$B$4:$B$1463,"AZUKI",MASTER!$G$4:$G$1463,"&lt;&gt;")*$A127*100/100,0)),MASTER!$AH$4:$AH$1463,0))="",NA(),INDEX(MASTER!$G$4:$G$1463,MATCH("AZUKI"&amp;"|"&amp;MAX(1,ROUND(COUNTIFS(MASTER!$B$4:$B$1463,"AZUKI",MASTER!$G$4:$G$1463,"&lt;&gt;")*$A127*100/100,0)),MASTER!$AH$4:$AH$1463,0))),NA()),IF($B$4="SECONDARY",IFERROR(IF(INDEX(MASTER!$L$4:$L$1463,MATCH("AZUKI"&amp;"|"&amp;MAX(1,ROUND(COUNTIFS(MASTER!$B$4:$B$1463,"AZUKI",MASTER!$L$4:$L$1463,"&lt;&gt;")*$A127*100/100,0)),MASTER!$AI$4:$AI$1463,0))="",NA(),INDEX(MASTER!$L$4:$L$1463,MATCH("AZUKI"&amp;"|"&amp;MAX(1,ROUND(COUNTIFS(MASTER!$B$4:$B$1463,"AZUKI",MASTER!$L$4:$L$1463,"&lt;&gt;")*$A127*100/100,0)),MASTER!$AI$4:$AI$1463,0))),NA()))))</f>
        <v>3520</v>
      </c>
      <c r="H127" s="37">
        <f>IF($B$4="RESONANCE",IFERROR(IF(INDEX(MASTER!$I$4:$I$1463,MATCH("RECKONING"&amp;"|"&amp;MAX(1,ROUND(COUNTIFS(MASTER!$B$4:$B$1463,"RECKONING",MASTER!$I$4:$I$1463,"&lt;&gt;")*$A127*100/100,0)),MASTER!$Y$4:$Y$1463,0))="",NA(),INDEX(MASTER!$I$4:$I$1463,MATCH("RECKONING"&amp;"|"&amp;MAX(1,ROUND(COUNTIFS(MASTER!$B$4:$B$1463,"RECKONING",MASTER!$I$4:$I$1463,"&lt;&gt;")*$A127*100/100,0)),MASTER!$Y$4:$Y$1463,0))),NA()),IF($B$4="COMBAT RATING",IFERROR(IF(INDEX(MASTER!$G$4:$G$1463,MATCH("RECKONING"&amp;"|"&amp;MAX(1,ROUND(COUNTIFS(MASTER!$B$4:$B$1463,"RECKONING",MASTER!$G$4:$G$1463,"&lt;&gt;")*$A127*100/100,0)),MASTER!$AH$4:$AH$1463,0))="",NA(),INDEX(MASTER!$G$4:$G$1463,MATCH("RECKONING"&amp;"|"&amp;MAX(1,ROUND(COUNTIFS(MASTER!$B$4:$B$1463,"RECKONING",MASTER!$G$4:$G$1463,"&lt;&gt;")*$A127*100/100,0)),MASTER!$AH$4:$AH$1463,0))),NA()),IF($B$4="SECONDARY",IFERROR(IF(INDEX(MASTER!$L$4:$L$1463,MATCH("RECKONING"&amp;"|"&amp;MAX(1,ROUND(COUNTIFS(MASTER!$B$4:$B$1463,"RECKONING",MASTER!$L$4:$L$1463,"&lt;&gt;")*$A127*100/100,0)),MASTER!$AI$4:$AI$1463,0))="",NA(),INDEX(MASTER!$L$4:$L$1463,MATCH("RECKONING"&amp;"|"&amp;MAX(1,ROUND(COUNTIFS(MASTER!$B$4:$B$1463,"RECKONING",MASTER!$L$4:$L$1463,"&lt;&gt;")*$A127*100/100,0)),MASTER!$AI$4:$AI$1463,0))),NA()))))</f>
        <v>3796</v>
      </c>
      <c r="I127" s="37">
        <f>IF($B$4="RESONANCE",IFERROR(IF(INDEX(MASTER!$I$4:$I$1463,MATCH("ACHERON"&amp;"|"&amp;MAX(1,ROUND(COUNTIFS(MASTER!$B$4:$B$1463,"ACHERON",MASTER!$I$4:$I$1463,"&lt;&gt;")*$A127*100/100,0)),MASTER!$Y$4:$Y$1463,0))="",NA(),INDEX(MASTER!$I$4:$I$1463,MATCH("ACHERON"&amp;"|"&amp;MAX(1,ROUND(COUNTIFS(MASTER!$B$4:$B$1463,"ACHERON",MASTER!$I$4:$I$1463,"&lt;&gt;")*$A127*100/100,0)),MASTER!$Y$4:$Y$1463,0))),NA()),IF($B$4="COMBAT RATING",IFERROR(IF(INDEX(MASTER!$G$4:$G$1463,MATCH("ACHERON"&amp;"|"&amp;MAX(1,ROUND(COUNTIFS(MASTER!$B$4:$B$1463,"ACHERON",MASTER!$G$4:$G$1463,"&lt;&gt;")*$A127*100/100,0)),MASTER!$AH$4:$AH$1463,0))="",NA(),INDEX(MASTER!$G$4:$G$1463,MATCH("ACHERON"&amp;"|"&amp;MAX(1,ROUND(COUNTIFS(MASTER!$B$4:$B$1463,"ACHERON",MASTER!$G$4:$G$1463,"&lt;&gt;")*$A127*100/100,0)),MASTER!$AH$4:$AH$1463,0))),NA()),IF($B$4="SECONDARY",IFERROR(IF(INDEX(MASTER!$L$4:$L$1463,MATCH("ACHERON"&amp;"|"&amp;MAX(1,ROUND(COUNTIFS(MASTER!$B$4:$B$1463,"ACHERON",MASTER!$L$4:$L$1463,"&lt;&gt;")*$A127*100/100,0)),MASTER!$AI$4:$AI$1463,0))="",NA(),INDEX(MASTER!$L$4:$L$1463,MATCH("ACHERON"&amp;"|"&amp;MAX(1,ROUND(COUNTIFS(MASTER!$B$4:$B$1463,"ACHERON",MASTER!$L$4:$L$1463,"&lt;&gt;")*$A127*100/100,0)),MASTER!$AI$4:$AI$1463,0))),NA()))))</f>
        <v>2932</v>
      </c>
      <c r="J127" s="37">
        <f>IF($B$4="RESONANCE",IFERROR(IF(INDEX(MASTER!$I$4:$I$1463,MATCH("INVICTUS"&amp;"|"&amp;MAX(1,ROUND(COUNTIFS(MASTER!$B$4:$B$1463,"INVICTUS",MASTER!$I$4:$I$1463,"&lt;&gt;")*$A127*100/100,0)),MASTER!$Y$4:$Y$1463,0))="",NA(),INDEX(MASTER!$I$4:$I$1463,MATCH("INVICTUS"&amp;"|"&amp;MAX(1,ROUND(COUNTIFS(MASTER!$B$4:$B$1463,"INVICTUS",MASTER!$I$4:$I$1463,"&lt;&gt;")*$A127*100/100,0)),MASTER!$Y$4:$Y$1463,0))),NA()),IF($B$4="COMBAT RATING",IFERROR(IF(INDEX(MASTER!$G$4:$G$1463,MATCH("INVICTUS"&amp;"|"&amp;MAX(1,ROUND(COUNTIFS(MASTER!$B$4:$B$1463,"INVICTUS",MASTER!$G$4:$G$1463,"&lt;&gt;")*$A127*100/100,0)),MASTER!$AH$4:$AH$1463,0))="",NA(),INDEX(MASTER!$G$4:$G$1463,MATCH("INVICTUS"&amp;"|"&amp;MAX(1,ROUND(COUNTIFS(MASTER!$B$4:$B$1463,"INVICTUS",MASTER!$G$4:$G$1463,"&lt;&gt;")*$A127*100/100,0)),MASTER!$AH$4:$AH$1463,0))),NA()),IF($B$4="SECONDARY",IFERROR(IF(INDEX(MASTER!$L$4:$L$1463,MATCH("INVICTUS"&amp;"|"&amp;MAX(1,ROUND(COUNTIFS(MASTER!$B$4:$B$1463,"INVICTUS",MASTER!$L$4:$L$1463,"&lt;&gt;")*$A127*100/100,0)),MASTER!$AI$4:$AI$1463,0))="",NA(),INDEX(MASTER!$L$4:$L$1463,MATCH("INVICTUS"&amp;"|"&amp;MAX(1,ROUND(COUNTIFS(MASTER!$B$4:$B$1463,"INVICTUS",MASTER!$L$4:$L$1463,"&lt;&gt;")*$A127*100/100,0)),MASTER!$AI$4:$AI$1463,0))),NA()))))</f>
        <v>2409</v>
      </c>
      <c r="K127" s="37">
        <f>IF($B$4="RESONANCE",IFERROR(IF(INDEX(MASTER!$I$4:$I$1463,MATCH("EMERALD LEAF TRIBE"&amp;"|"&amp;MAX(1,ROUND(COUNTIFS(MASTER!$B$4:$B$1463,"EMERALD LEAF TRIBE",MASTER!$I$4:$I$1463,"&lt;&gt;")*$A127*100/100,0)),MASTER!$Y$4:$Y$1463,0))="",NA(),INDEX(MASTER!$I$4:$I$1463,MATCH("EMERALD LEAF TRIBE"&amp;"|"&amp;MAX(1,ROUND(COUNTIFS(MASTER!$B$4:$B$1463,"EMERALD LEAF TRIBE",MASTER!$I$4:$I$1463,"&lt;&gt;")*$A127*100/100,0)),MASTER!$Y$4:$Y$1463,0))),NA()),IF($B$4="COMBAT RATING",IFERROR(IF(INDEX(MASTER!$G$4:$G$1463,MATCH("EMERALD LEAF TRIBE"&amp;"|"&amp;MAX(1,ROUND(COUNTIFS(MASTER!$B$4:$B$1463,"EMERALD LEAF TRIBE",MASTER!$G$4:$G$1463,"&lt;&gt;")*$A127*100/100,0)),MASTER!$AH$4:$AH$1463,0))="",NA(),INDEX(MASTER!$G$4:$G$1463,MATCH("EMERALD LEAF TRIBE"&amp;"|"&amp;MAX(1,ROUND(COUNTIFS(MASTER!$B$4:$B$1463,"EMERALD LEAF TRIBE",MASTER!$G$4:$G$1463,"&lt;&gt;")*$A127*100/100,0)),MASTER!$AH$4:$AH$1463,0))),NA()),IF($B$4="SECONDARY",IFERROR(IF(INDEX(MASTER!$L$4:$L$1463,MATCH("EMERALD LEAF TRIBE"&amp;"|"&amp;MAX(1,ROUND(COUNTIFS(MASTER!$B$4:$B$1463,"EMERALD LEAF TRIBE",MASTER!$L$4:$L$1463,"&lt;&gt;")*$A127*100/100,0)),MASTER!$AI$4:$AI$1463,0))="",NA(),INDEX(MASTER!$L$4:$L$1463,MATCH("EMERALD LEAF TRIBE"&amp;"|"&amp;MAX(1,ROUND(COUNTIFS(MASTER!$B$4:$B$1463,"EMERALD LEAF TRIBE",MASTER!$L$4:$L$1463,"&lt;&gt;")*$A127*100/100,0)),MASTER!$AI$4:$AI$1463,0))),NA()))))</f>
        <v>1500</v>
      </c>
      <c r="L127" s="37">
        <f>IF($B$4="RESONANCE",IFERROR(IF(INDEX(MASTER!$I$4:$I$1463,MATCH("SUB ROSA"&amp;"|"&amp;MAX(1,ROUND(COUNTIFS(MASTER!$B$4:$B$1463,"SUB ROSA",MASTER!$I$4:$I$1463,"&lt;&gt;")*$A127*100/100,0)),MASTER!$Y$4:$Y$1463,0))="",NA(),INDEX(MASTER!$I$4:$I$1463,MATCH("SUB ROSA"&amp;"|"&amp;MAX(1,ROUND(COUNTIFS(MASTER!$B$4:$B$1463,"SUB ROSA",MASTER!$I$4:$I$1463,"&lt;&gt;")*$A127*100/100,0)),MASTER!$Y$4:$Y$1463,0))),NA()),IF($B$4="COMBAT RATING",IFERROR(IF(INDEX(MASTER!$G$4:$G$1463,MATCH("SUB ROSA"&amp;"|"&amp;MAX(1,ROUND(COUNTIFS(MASTER!$B$4:$B$1463,"SUB ROSA",MASTER!$G$4:$G$1463,"&lt;&gt;")*$A127*100/100,0)),MASTER!$AH$4:$AH$1463,0))="",NA(),INDEX(MASTER!$G$4:$G$1463,MATCH("SUB ROSA"&amp;"|"&amp;MAX(1,ROUND(COUNTIFS(MASTER!$B$4:$B$1463,"SUB ROSA",MASTER!$G$4:$G$1463,"&lt;&gt;")*$A127*100/100,0)),MASTER!$AH$4:$AH$1463,0))),NA()),IF($B$4="SECONDARY",IFERROR(IF(INDEX(MASTER!$L$4:$L$1463,MATCH("SUB ROSA"&amp;"|"&amp;MAX(1,ROUND(COUNTIFS(MASTER!$B$4:$B$1463,"SUB ROSA",MASTER!$L$4:$L$1463,"&lt;&gt;")*$A127*100/100,0)),MASTER!$AI$4:$AI$1463,0))="",NA(),INDEX(MASTER!$L$4:$L$1463,MATCH("SUB ROSA"&amp;"|"&amp;MAX(1,ROUND(COUNTIFS(MASTER!$B$4:$B$1463,"SUB ROSA",MASTER!$L$4:$L$1463,"&lt;&gt;")*$A127*100/100,0)),MASTER!$AI$4:$AI$1463,0))),NA()))))</f>
        <v>1842</v>
      </c>
      <c r="M127" s="37">
        <f>IF($B$4="RESONANCE",IFERROR(IF(INDEX(MASTER!$I$4:$I$1463,MATCH("VENGEANCE"&amp;"|"&amp;MAX(1,ROUND(COUNTIFS(MASTER!$B$4:$B$1463,"VENGEANCE",MASTER!$I$4:$I$1463,"&lt;&gt;")*$A127*100/100,0)),MASTER!$Y$4:$Y$1463,0))="",NA(),INDEX(MASTER!$I$4:$I$1463,MATCH("VENGEANCE"&amp;"|"&amp;MAX(1,ROUND(COUNTIFS(MASTER!$B$4:$B$1463,"VENGEANCE",MASTER!$I$4:$I$1463,"&lt;&gt;")*$A127*100/100,0)),MASTER!$Y$4:$Y$1463,0))),NA()),IF($B$4="COMBAT RATING",IFERROR(IF(INDEX(MASTER!$G$4:$G$1463,MATCH("VENGEANCE"&amp;"|"&amp;MAX(1,ROUND(COUNTIFS(MASTER!$B$4:$B$1463,"VENGEANCE",MASTER!$G$4:$G$1463,"&lt;&gt;")*$A127*100/100,0)),MASTER!$AH$4:$AH$1463,0))="",NA(),INDEX(MASTER!$G$4:$G$1463,MATCH("VENGEANCE"&amp;"|"&amp;MAX(1,ROUND(COUNTIFS(MASTER!$B$4:$B$1463,"VENGEANCE",MASTER!$G$4:$G$1463,"&lt;&gt;")*$A127*100/100,0)),MASTER!$AH$4:$AH$1463,0))),NA()),IF($B$4="SECONDARY",IFERROR(IF(INDEX(MASTER!$L$4:$L$1463,MATCH("VENGEANCE"&amp;"|"&amp;MAX(1,ROUND(COUNTIFS(MASTER!$B$4:$B$1463,"VENGEANCE",MASTER!$L$4:$L$1463,"&lt;&gt;")*$A127*100/100,0)),MASTER!$AI$4:$AI$1463,0))="",NA(),INDEX(MASTER!$L$4:$L$1463,MATCH("VENGEANCE"&amp;"|"&amp;MAX(1,ROUND(COUNTIFS(MASTER!$B$4:$B$1463,"VENGEANCE",MASTER!$L$4:$L$1463,"&lt;&gt;")*$A127*100/100,0)),MASTER!$AI$4:$AI$1463,0))),NA()))))</f>
        <v>2609</v>
      </c>
      <c r="N127" s="37">
        <f>IF($B$4="RESONANCE",IFERROR(IF(INDEX(MASTER!$I$4:$I$1463,MATCH("VENDETTA"&amp;"|"&amp;MAX(1,ROUND(COUNTIFS(MASTER!$B$4:$B$1463,"VENDETTA",MASTER!$I$4:$I$1463,"&lt;&gt;")*$A127*100/100,0)),MASTER!$Y$4:$Y$1463,0))="",NA(),INDEX(MASTER!$I$4:$I$1463,MATCH("VENDETTA"&amp;"|"&amp;MAX(1,ROUND(COUNTIFS(MASTER!$B$4:$B$1463,"VENDETTA",MASTER!$I$4:$I$1463,"&lt;&gt;")*$A127*100/100,0)),MASTER!$Y$4:$Y$1463,0))),NA()),IF($B$4="COMBAT RATING",IFERROR(IF(INDEX(MASTER!$G$4:$G$1463,MATCH("VENDETTA"&amp;"|"&amp;MAX(1,ROUND(COUNTIFS(MASTER!$B$4:$B$1463,"VENDETTA",MASTER!$G$4:$G$1463,"&lt;&gt;")*$A127*100/100,0)),MASTER!$AH$4:$AH$1463,0))="",NA(),INDEX(MASTER!$G$4:$G$1463,MATCH("VENDETTA"&amp;"|"&amp;MAX(1,ROUND(COUNTIFS(MASTER!$B$4:$B$1463,"VENDETTA",MASTER!$G$4:$G$1463,"&lt;&gt;")*$A127*100/100,0)),MASTER!$AH$4:$AH$1463,0))),NA()),IF($B$4="SECONDARY",IFERROR(IF(INDEX(MASTER!$L$4:$L$1463,MATCH("VENDETTA"&amp;"|"&amp;MAX(1,ROUND(COUNTIFS(MASTER!$B$4:$B$1463,"VENDETTA",MASTER!$L$4:$L$1463,"&lt;&gt;")*$A127*100/100,0)),MASTER!$AI$4:$AI$1463,0))="",NA(),INDEX(MASTER!$L$4:$L$1463,MATCH("VENDETTA"&amp;"|"&amp;MAX(1,ROUND(COUNTIFS(MASTER!$B$4:$B$1463,"VENDETTA",MASTER!$L$4:$L$1463,"&lt;&gt;")*$A127*100/100,0)),MASTER!$AI$4:$AI$1463,0))),NA()))))</f>
        <v>1470</v>
      </c>
      <c r="O127" s="37">
        <f>IF($B$4="RESONANCE",IFERROR(IF(INDEX(MASTER!$I$4:$I$1463,MATCH("ZOMBIES"&amp;"|"&amp;MAX(1,ROUND(COUNTIFS(MASTER!$B$4:$B$1463,"ZOMBIES",MASTER!$I$4:$I$1463,"&lt;&gt;")*$A127*100/100,0)),MASTER!$Y$4:$Y$1463,0))="",NA(),INDEX(MASTER!$I$4:$I$1463,MATCH("ZOMBIES"&amp;"|"&amp;MAX(1,ROUND(COUNTIFS(MASTER!$B$4:$B$1463,"ZOMBIES",MASTER!$I$4:$I$1463,"&lt;&gt;")*$A127*100/100,0)),MASTER!$Y$4:$Y$1463,0))),NA()),IF($B$4="COMBAT RATING",IFERROR(IF(INDEX(MASTER!$G$4:$G$1463,MATCH("ZOMBIES"&amp;"|"&amp;MAX(1,ROUND(COUNTIFS(MASTER!$B$4:$B$1463,"ZOMBIES",MASTER!$G$4:$G$1463,"&lt;&gt;")*$A127*100/100,0)),MASTER!$AH$4:$AH$1463,0))="",NA(),INDEX(MASTER!$G$4:$G$1463,MATCH("ZOMBIES"&amp;"|"&amp;MAX(1,ROUND(COUNTIFS(MASTER!$B$4:$B$1463,"ZOMBIES",MASTER!$G$4:$G$1463,"&lt;&gt;")*$A127*100/100,0)),MASTER!$AH$4:$AH$1463,0))),NA()),IF($B$4="SECONDARY",IFERROR(IF(INDEX(MASTER!$L$4:$L$1463,MATCH("ZOMBIES"&amp;"|"&amp;MAX(1,ROUND(COUNTIFS(MASTER!$B$4:$B$1463,"ZOMBIES",MASTER!$L$4:$L$1463,"&lt;&gt;")*$A127*100/100,0)),MASTER!$AI$4:$AI$1463,0))="",NA(),INDEX(MASTER!$L$4:$L$1463,MATCH("ZOMBIES"&amp;"|"&amp;MAX(1,ROUND(COUNTIFS(MASTER!$B$4:$B$1463,"ZOMBIES",MASTER!$L$4:$L$1463,"&lt;&gt;")*$A127*100/100,0)),MASTER!$AI$4:$AI$1463,0))),NA()))))</f>
        <v>1211</v>
      </c>
      <c r="P127" s="37">
        <f>IF($B$4="RESONANCE",IFERROR(IF(INDEX(MASTER!$I$4:$I$1463,MATCH("FUCT"&amp;"|"&amp;MAX(1,ROUND(COUNTIFS(MASTER!$B$4:$B$1463,"FUCT",MASTER!$I$4:$I$1463,"&lt;&gt;")*$A127*100/100,0)),MASTER!$Y$4:$Y$1463,0))="",NA(),INDEX(MASTER!$I$4:$I$1463,MATCH("FUCT"&amp;"|"&amp;MAX(1,ROUND(COUNTIFS(MASTER!$B$4:$B$1463,"FUCT",MASTER!$I$4:$I$1463,"&lt;&gt;")*$A127*100/100,0)),MASTER!$Y$4:$Y$1463,0))),NA()),IF($B$4="COMBAT RATING",IFERROR(IF(INDEX(MASTER!$G$4:$G$1463,MATCH("FUCT"&amp;"|"&amp;MAX(1,ROUND(COUNTIFS(MASTER!$B$4:$B$1463,"FUCT",MASTER!$G$4:$G$1463,"&lt;&gt;")*$A127*100/100,0)),MASTER!$AH$4:$AH$1463,0))="",NA(),INDEX(MASTER!$G$4:$G$1463,MATCH("FUCT"&amp;"|"&amp;MAX(1,ROUND(COUNTIFS(MASTER!$B$4:$B$1463,"FUCT",MASTER!$G$4:$G$1463,"&lt;&gt;")*$A127*100/100,0)),MASTER!$AH$4:$AH$1463,0))),NA()),IF($B$4="SECONDARY",IFERROR(IF(INDEX(MASTER!$L$4:$L$1463,MATCH("FUCT"&amp;"|"&amp;MAX(1,ROUND(COUNTIFS(MASTER!$B$4:$B$1463,"FUCT",MASTER!$L$4:$L$1463,"&lt;&gt;")*$A127*100/100,0)),MASTER!$AI$4:$AI$1463,0))="",NA(),INDEX(MASTER!$L$4:$L$1463,MATCH("FUCT"&amp;"|"&amp;MAX(1,ROUND(COUNTIFS(MASTER!$B$4:$B$1463,"FUCT",MASTER!$L$4:$L$1463,"&lt;&gt;")*$A127*100/100,0)),MASTER!$AI$4:$AI$1463,0))),NA()))))</f>
        <v>3669</v>
      </c>
      <c r="Q127" s="37">
        <f>IF($B$4="RESONANCE",IFERROR(IF(INDEX(MASTER!$I$4:$I$1463,MATCH($E$4&amp;"|"&amp;MAX(1,ROUND(COUNTIFS(MASTER!$B$4:$B$1463,$E$4,MASTER!$I$4:$I$1463,"&lt;&gt;")*$A127*100/100,0)),MASTER!$Y$4:$Y$1463,0))="",NA(),INDEX(MASTER!$I$4:$I$1463,MATCH($E$4&amp;"|"&amp;MAX(1,ROUND(COUNTIFS(MASTER!$B$4:$B$1463,$E$4,MASTER!$I$4:$I$1463,"&lt;&gt;")*$A127*100/100,0)),MASTER!$Y$4:$Y$1463,0))),NA()),IF($B$4="COMBAT RATING",IFERROR(IF(INDEX(MASTER!$G$4:$G$1463,MATCH($E$4&amp;"|"&amp;MAX(1,ROUND(COUNTIFS(MASTER!$B$4:$B$1463,$E$4,MASTER!$G$4:$G$1463,"&lt;&gt;")*$A127*100/100,0)),MASTER!$AH$4:$AH$1463,0))="",NA(),INDEX(MASTER!$G$4:$G$1463,MATCH($E$4&amp;"|"&amp;MAX(1,ROUND(COUNTIFS(MASTER!$B$4:$B$1463,$E$4,MASTER!$G$4:$G$1463,"&lt;&gt;")*$A127*100/100,0)),MASTER!$AH$4:$AH$1463,0))),NA()),IF($B$4="SECONDARY",IFERROR(IF(INDEX(MASTER!$L$4:$L$1463,MATCH($E$4&amp;"|"&amp;MAX(1,ROUND(COUNTIFS(MASTER!$B$4:$B$1463,$E$4,MASTER!$L$4:$L$1463,"&lt;&gt;")*$A127*100/100,0)),MASTER!$AI$4:$AI$1463,0))="",NA(),INDEX(MASTER!$L$4:$L$1463,MATCH($E$4&amp;"|"&amp;MAX(1,ROUND(COUNTIFS(MASTER!$B$4:$B$1463,$E$4,MASTER!$L$4:$L$1463,"&lt;&gt;")*$A127*100/100,0)),MASTER!$AI$4:$AI$1463,0))),NA()))))</f>
        <v>3528</v>
      </c>
    </row>
    <row r="128" spans="1:17" hidden="1">
      <c r="A128" s="36">
        <v>0.73</v>
      </c>
      <c r="B128" s="37">
        <f>IF($B$4="RESONANCE",IFERROR(IF(INDEX(MASTER!$I$4:$I$1463,MATCH("FUCT"&amp;"|"&amp;MAX(1,ROUND(COUNTIFS(MASTER!$B$4:$B$1463,"FUCT",MASTER!$I$4:$I$1463,"&lt;&gt;")*$A128*100/100,0)),MASTER!$Y$4:$Y$1463,0))="",NA(),INDEX(MASTER!$I$4:$I$1463,MATCH("FUCT"&amp;"|"&amp;MAX(1,ROUND(COUNTIFS(MASTER!$B$4:$B$1463,"FUCT",MASTER!$I$4:$I$1463,"&lt;&gt;")*$A128*100/100,0)),MASTER!$Y$4:$Y$1463,0))),NA()),IF($B$4="COMBAT RATING",IFERROR(IF(INDEX(MASTER!$G$4:$G$1463,MATCH("FUCT"&amp;"|"&amp;MAX(1,ROUND(COUNTIFS(MASTER!$B$4:$B$1463,"FUCT",MASTER!$G$4:$G$1463,"&lt;&gt;")*$A128*100/100,0)),MASTER!$AH$4:$AH$1463,0))="",NA(),INDEX(MASTER!$G$4:$G$1463,MATCH("FUCT"&amp;"|"&amp;MAX(1,ROUND(COUNTIFS(MASTER!$B$4:$B$1463,"FUCT",MASTER!$G$4:$G$1463,"&lt;&gt;")*$A128*100/100,0)),MASTER!$AH$4:$AH$1463,0))),NA()),IF($B$4="SECONDARY",IFERROR(IF(INDEX(MASTER!$L$4:$L$1463,MATCH("FUCT"&amp;"|"&amp;MAX(1,ROUND(COUNTIFS(MASTER!$B$4:$B$1463,"FUCT",MASTER!$L$4:$L$1463,"&lt;&gt;")*$A128*100/100,0)),MASTER!$AI$4:$AI$1463,0))="",NA(),INDEX(MASTER!$L$4:$L$1463,MATCH("FUCT"&amp;"|"&amp;MAX(1,ROUND(COUNTIFS(MASTER!$B$4:$B$1463,"FUCT",MASTER!$L$4:$L$1463,"&lt;&gt;")*$A128*100/100,0)),MASTER!$AI$4:$AI$1463,0))),NA()))))</f>
        <v>3665</v>
      </c>
      <c r="C128" s="37">
        <f>IF($B$4="RESONANCE",IFERROR(IF(INDEX(MASTER!$I$4:$I$1463,MATCH("LEGENDS"&amp;"|"&amp;MAX(1,ROUND(COUNTIFS(MASTER!$B$4:$B$1463,"LEGENDS",MASTER!$I$4:$I$1463,"&lt;&gt;")*$A128*100/100,0)),MASTER!$Y$4:$Y$1463,0))="",NA(),INDEX(MASTER!$I$4:$I$1463,MATCH("LEGENDS"&amp;"|"&amp;MAX(1,ROUND(COUNTIFS(MASTER!$B$4:$B$1463,"LEGENDS",MASTER!$I$4:$I$1463,"&lt;&gt;")*$A128*100/100,0)),MASTER!$Y$4:$Y$1463,0))),NA()),IF($B$4="COMBAT RATING",IFERROR(IF(INDEX(MASTER!$G$4:$G$1463,MATCH("LEGENDS"&amp;"|"&amp;MAX(1,ROUND(COUNTIFS(MASTER!$B$4:$B$1463,"LEGENDS",MASTER!$G$4:$G$1463,"&lt;&gt;")*$A128*100/100,0)),MASTER!$AH$4:$AH$1463,0))="",NA(),INDEX(MASTER!$G$4:$G$1463,MATCH("LEGENDS"&amp;"|"&amp;MAX(1,ROUND(COUNTIFS(MASTER!$B$4:$B$1463,"LEGENDS",MASTER!$G$4:$G$1463,"&lt;&gt;")*$A128*100/100,0)),MASTER!$AH$4:$AH$1463,0))),NA()),IF($B$4="SECONDARY",IFERROR(IF(INDEX(MASTER!$L$4:$L$1463,MATCH("LEGENDS"&amp;"|"&amp;MAX(1,ROUND(COUNTIFS(MASTER!$B$4:$B$1463,"LEGENDS",MASTER!$L$4:$L$1463,"&lt;&gt;")*$A128*100/100,0)),MASTER!$AI$4:$AI$1463,0))="",NA(),INDEX(MASTER!$L$4:$L$1463,MATCH("LEGENDS"&amp;"|"&amp;MAX(1,ROUND(COUNTIFS(MASTER!$B$4:$B$1463,"LEGENDS",MASTER!$L$4:$L$1463,"&lt;&gt;")*$A128*100/100,0)),MASTER!$AI$4:$AI$1463,0))),NA()))))</f>
        <v>4222</v>
      </c>
      <c r="D128" s="37">
        <f>IF($B$4="RESONANCE",IFERROR(IF(INDEX(MASTER!$I$4:$I$1463,MATCH("VANGUARD"&amp;"|"&amp;MAX(1,ROUND(COUNTIFS(MASTER!$B$4:$B$1463,"VANGUARD",MASTER!$I$4:$I$1463,"&lt;&gt;")*$A128*100/100,0)),MASTER!$Y$4:$Y$1463,0))="",NA(),INDEX(MASTER!$I$4:$I$1463,MATCH("VANGUARD"&amp;"|"&amp;MAX(1,ROUND(COUNTIFS(MASTER!$B$4:$B$1463,"VANGUARD",MASTER!$I$4:$I$1463,"&lt;&gt;")*$A128*100/100,0)),MASTER!$Y$4:$Y$1463,0))),NA()),IF($B$4="COMBAT RATING",IFERROR(IF(INDEX(MASTER!$G$4:$G$1463,MATCH("VANGUARD"&amp;"|"&amp;MAX(1,ROUND(COUNTIFS(MASTER!$B$4:$B$1463,"VANGUARD",MASTER!$G$4:$G$1463,"&lt;&gt;")*$A128*100/100,0)),MASTER!$AH$4:$AH$1463,0))="",NA(),INDEX(MASTER!$G$4:$G$1463,MATCH("VANGUARD"&amp;"|"&amp;MAX(1,ROUND(COUNTIFS(MASTER!$B$4:$B$1463,"VANGUARD",MASTER!$G$4:$G$1463,"&lt;&gt;")*$A128*100/100,0)),MASTER!$AH$4:$AH$1463,0))),NA()),IF($B$4="SECONDARY",IFERROR(IF(INDEX(MASTER!$L$4:$L$1463,MATCH("VANGUARD"&amp;"|"&amp;MAX(1,ROUND(COUNTIFS(MASTER!$B$4:$B$1463,"VANGUARD",MASTER!$L$4:$L$1463,"&lt;&gt;")*$A128*100/100,0)),MASTER!$AI$4:$AI$1463,0))="",NA(),INDEX(MASTER!$L$4:$L$1463,MATCH("VANGUARD"&amp;"|"&amp;MAX(1,ROUND(COUNTIFS(MASTER!$B$4:$B$1463,"VANGUARD",MASTER!$L$4:$L$1463,"&lt;&gt;")*$A128*100/100,0)),MASTER!$AI$4:$AI$1463,0))),NA()))))</f>
        <v>4703</v>
      </c>
      <c r="E128" s="37">
        <f>IF($B$4="RESONANCE",IFERROR(IF(INDEX(MASTER!$I$4:$I$1463,MATCH("UNDYING"&amp;"|"&amp;MAX(1,ROUND(COUNTIFS(MASTER!$B$4:$B$1463,"UNDYING",MASTER!$I$4:$I$1463,"&lt;&gt;")*$A128*100/100,0)),MASTER!$Y$4:$Y$1463,0))="",NA(),INDEX(MASTER!$I$4:$I$1463,MATCH("UNDYING"&amp;"|"&amp;MAX(1,ROUND(COUNTIFS(MASTER!$B$4:$B$1463,"UNDYING",MASTER!$I$4:$I$1463,"&lt;&gt;")*$A128*100/100,0)),MASTER!$Y$4:$Y$1463,0))),NA()),IF($B$4="COMBAT RATING",IFERROR(IF(INDEX(MASTER!$G$4:$G$1463,MATCH("UNDYING"&amp;"|"&amp;MAX(1,ROUND(COUNTIFS(MASTER!$B$4:$B$1463,"UNDYING",MASTER!$G$4:$G$1463,"&lt;&gt;")*$A128*100/100,0)),MASTER!$AH$4:$AH$1463,0))="",NA(),INDEX(MASTER!$G$4:$G$1463,MATCH("UNDYING"&amp;"|"&amp;MAX(1,ROUND(COUNTIFS(MASTER!$B$4:$B$1463,"UNDYING",MASTER!$G$4:$G$1463,"&lt;&gt;")*$A128*100/100,0)),MASTER!$AH$4:$AH$1463,0))),NA()),IF($B$4="SECONDARY",IFERROR(IF(INDEX(MASTER!$L$4:$L$1463,MATCH("UNDYING"&amp;"|"&amp;MAX(1,ROUND(COUNTIFS(MASTER!$B$4:$B$1463,"UNDYING",MASTER!$L$4:$L$1463,"&lt;&gt;")*$A128*100/100,0)),MASTER!$AI$4:$AI$1463,0))="",NA(),INDEX(MASTER!$L$4:$L$1463,MATCH("UNDYING"&amp;"|"&amp;MAX(1,ROUND(COUNTIFS(MASTER!$B$4:$B$1463,"UNDYING",MASTER!$L$4:$L$1463,"&lt;&gt;")*$A128*100/100,0)),MASTER!$AI$4:$AI$1463,0))),NA()))))</f>
        <v>3514</v>
      </c>
      <c r="F128" s="37">
        <f>IF($B$4="RESONANCE",IFERROR(IF(INDEX(MASTER!$I$4:$I$1463,MATCH("SBG"&amp;"|"&amp;MAX(1,ROUND(COUNTIFS(MASTER!$B$4:$B$1463,"SBG",MASTER!$I$4:$I$1463,"&lt;&gt;")*$A128*100/100,0)),MASTER!$Y$4:$Y$1463,0))="",NA(),INDEX(MASTER!$I$4:$I$1463,MATCH("SBG"&amp;"|"&amp;MAX(1,ROUND(COUNTIFS(MASTER!$B$4:$B$1463,"SBG",MASTER!$I$4:$I$1463,"&lt;&gt;")*$A128*100/100,0)),MASTER!$Y$4:$Y$1463,0))),NA()),IF($B$4="COMBAT RATING",IFERROR(IF(INDEX(MASTER!$G$4:$G$1463,MATCH("SBG"&amp;"|"&amp;MAX(1,ROUND(COUNTIFS(MASTER!$B$4:$B$1463,"SBG",MASTER!$G$4:$G$1463,"&lt;&gt;")*$A128*100/100,0)),MASTER!$AH$4:$AH$1463,0))="",NA(),INDEX(MASTER!$G$4:$G$1463,MATCH("SBG"&amp;"|"&amp;MAX(1,ROUND(COUNTIFS(MASTER!$B$4:$B$1463,"SBG",MASTER!$G$4:$G$1463,"&lt;&gt;")*$A128*100/100,0)),MASTER!$AH$4:$AH$1463,0))),NA()),IF($B$4="SECONDARY",IFERROR(IF(INDEX(MASTER!$L$4:$L$1463,MATCH("SBG"&amp;"|"&amp;MAX(1,ROUND(COUNTIFS(MASTER!$B$4:$B$1463,"SBG",MASTER!$L$4:$L$1463,"&lt;&gt;")*$A128*100/100,0)),MASTER!$AI$4:$AI$1463,0))="",NA(),INDEX(MASTER!$L$4:$L$1463,MATCH("SBG"&amp;"|"&amp;MAX(1,ROUND(COUNTIFS(MASTER!$B$4:$B$1463,"SBG",MASTER!$L$4:$L$1463,"&lt;&gt;")*$A128*100/100,0)),MASTER!$AI$4:$AI$1463,0))),NA()))))</f>
        <v>4043</v>
      </c>
      <c r="G128" s="37">
        <f>IF($B$4="RESONANCE",IFERROR(IF(INDEX(MASTER!$I$4:$I$1463,MATCH("AZUKI"&amp;"|"&amp;MAX(1,ROUND(COUNTIFS(MASTER!$B$4:$B$1463,"AZUKI",MASTER!$I$4:$I$1463,"&lt;&gt;")*$A128*100/100,0)),MASTER!$Y$4:$Y$1463,0))="",NA(),INDEX(MASTER!$I$4:$I$1463,MATCH("AZUKI"&amp;"|"&amp;MAX(1,ROUND(COUNTIFS(MASTER!$B$4:$B$1463,"AZUKI",MASTER!$I$4:$I$1463,"&lt;&gt;")*$A128*100/100,0)),MASTER!$Y$4:$Y$1463,0))),NA()),IF($B$4="COMBAT RATING",IFERROR(IF(INDEX(MASTER!$G$4:$G$1463,MATCH("AZUKI"&amp;"|"&amp;MAX(1,ROUND(COUNTIFS(MASTER!$B$4:$B$1463,"AZUKI",MASTER!$G$4:$G$1463,"&lt;&gt;")*$A128*100/100,0)),MASTER!$AH$4:$AH$1463,0))="",NA(),INDEX(MASTER!$G$4:$G$1463,MATCH("AZUKI"&amp;"|"&amp;MAX(1,ROUND(COUNTIFS(MASTER!$B$4:$B$1463,"AZUKI",MASTER!$G$4:$G$1463,"&lt;&gt;")*$A128*100/100,0)),MASTER!$AH$4:$AH$1463,0))),NA()),IF($B$4="SECONDARY",IFERROR(IF(INDEX(MASTER!$L$4:$L$1463,MATCH("AZUKI"&amp;"|"&amp;MAX(1,ROUND(COUNTIFS(MASTER!$B$4:$B$1463,"AZUKI",MASTER!$L$4:$L$1463,"&lt;&gt;")*$A128*100/100,0)),MASTER!$AI$4:$AI$1463,0))="",NA(),INDEX(MASTER!$L$4:$L$1463,MATCH("AZUKI"&amp;"|"&amp;MAX(1,ROUND(COUNTIFS(MASTER!$B$4:$B$1463,"AZUKI",MASTER!$L$4:$L$1463,"&lt;&gt;")*$A128*100/100,0)),MASTER!$AI$4:$AI$1463,0))),NA()))))</f>
        <v>3510</v>
      </c>
      <c r="H128" s="37">
        <f>IF($B$4="RESONANCE",IFERROR(IF(INDEX(MASTER!$I$4:$I$1463,MATCH("RECKONING"&amp;"|"&amp;MAX(1,ROUND(COUNTIFS(MASTER!$B$4:$B$1463,"RECKONING",MASTER!$I$4:$I$1463,"&lt;&gt;")*$A128*100/100,0)),MASTER!$Y$4:$Y$1463,0))="",NA(),INDEX(MASTER!$I$4:$I$1463,MATCH("RECKONING"&amp;"|"&amp;MAX(1,ROUND(COUNTIFS(MASTER!$B$4:$B$1463,"RECKONING",MASTER!$I$4:$I$1463,"&lt;&gt;")*$A128*100/100,0)),MASTER!$Y$4:$Y$1463,0))),NA()),IF($B$4="COMBAT RATING",IFERROR(IF(INDEX(MASTER!$G$4:$G$1463,MATCH("RECKONING"&amp;"|"&amp;MAX(1,ROUND(COUNTIFS(MASTER!$B$4:$B$1463,"RECKONING",MASTER!$G$4:$G$1463,"&lt;&gt;")*$A128*100/100,0)),MASTER!$AH$4:$AH$1463,0))="",NA(),INDEX(MASTER!$G$4:$G$1463,MATCH("RECKONING"&amp;"|"&amp;MAX(1,ROUND(COUNTIFS(MASTER!$B$4:$B$1463,"RECKONING",MASTER!$G$4:$G$1463,"&lt;&gt;")*$A128*100/100,0)),MASTER!$AH$4:$AH$1463,0))),NA()),IF($B$4="SECONDARY",IFERROR(IF(INDEX(MASTER!$L$4:$L$1463,MATCH("RECKONING"&amp;"|"&amp;MAX(1,ROUND(COUNTIFS(MASTER!$B$4:$B$1463,"RECKONING",MASTER!$L$4:$L$1463,"&lt;&gt;")*$A128*100/100,0)),MASTER!$AI$4:$AI$1463,0))="",NA(),INDEX(MASTER!$L$4:$L$1463,MATCH("RECKONING"&amp;"|"&amp;MAX(1,ROUND(COUNTIFS(MASTER!$B$4:$B$1463,"RECKONING",MASTER!$L$4:$L$1463,"&lt;&gt;")*$A128*100/100,0)),MASTER!$AI$4:$AI$1463,0))),NA()))))</f>
        <v>3782</v>
      </c>
      <c r="I128" s="37">
        <f>IF($B$4="RESONANCE",IFERROR(IF(INDEX(MASTER!$I$4:$I$1463,MATCH("ACHERON"&amp;"|"&amp;MAX(1,ROUND(COUNTIFS(MASTER!$B$4:$B$1463,"ACHERON",MASTER!$I$4:$I$1463,"&lt;&gt;")*$A128*100/100,0)),MASTER!$Y$4:$Y$1463,0))="",NA(),INDEX(MASTER!$I$4:$I$1463,MATCH("ACHERON"&amp;"|"&amp;MAX(1,ROUND(COUNTIFS(MASTER!$B$4:$B$1463,"ACHERON",MASTER!$I$4:$I$1463,"&lt;&gt;")*$A128*100/100,0)),MASTER!$Y$4:$Y$1463,0))),NA()),IF($B$4="COMBAT RATING",IFERROR(IF(INDEX(MASTER!$G$4:$G$1463,MATCH("ACHERON"&amp;"|"&amp;MAX(1,ROUND(COUNTIFS(MASTER!$B$4:$B$1463,"ACHERON",MASTER!$G$4:$G$1463,"&lt;&gt;")*$A128*100/100,0)),MASTER!$AH$4:$AH$1463,0))="",NA(),INDEX(MASTER!$G$4:$G$1463,MATCH("ACHERON"&amp;"|"&amp;MAX(1,ROUND(COUNTIFS(MASTER!$B$4:$B$1463,"ACHERON",MASTER!$G$4:$G$1463,"&lt;&gt;")*$A128*100/100,0)),MASTER!$AH$4:$AH$1463,0))),NA()),IF($B$4="SECONDARY",IFERROR(IF(INDEX(MASTER!$L$4:$L$1463,MATCH("ACHERON"&amp;"|"&amp;MAX(1,ROUND(COUNTIFS(MASTER!$B$4:$B$1463,"ACHERON",MASTER!$L$4:$L$1463,"&lt;&gt;")*$A128*100/100,0)),MASTER!$AI$4:$AI$1463,0))="",NA(),INDEX(MASTER!$L$4:$L$1463,MATCH("ACHERON"&amp;"|"&amp;MAX(1,ROUND(COUNTIFS(MASTER!$B$4:$B$1463,"ACHERON",MASTER!$L$4:$L$1463,"&lt;&gt;")*$A128*100/100,0)),MASTER!$AI$4:$AI$1463,0))),NA()))))</f>
        <v>2881</v>
      </c>
      <c r="J128" s="37">
        <f>IF($B$4="RESONANCE",IFERROR(IF(INDEX(MASTER!$I$4:$I$1463,MATCH("INVICTUS"&amp;"|"&amp;MAX(1,ROUND(COUNTIFS(MASTER!$B$4:$B$1463,"INVICTUS",MASTER!$I$4:$I$1463,"&lt;&gt;")*$A128*100/100,0)),MASTER!$Y$4:$Y$1463,0))="",NA(),INDEX(MASTER!$I$4:$I$1463,MATCH("INVICTUS"&amp;"|"&amp;MAX(1,ROUND(COUNTIFS(MASTER!$B$4:$B$1463,"INVICTUS",MASTER!$I$4:$I$1463,"&lt;&gt;")*$A128*100/100,0)),MASTER!$Y$4:$Y$1463,0))),NA()),IF($B$4="COMBAT RATING",IFERROR(IF(INDEX(MASTER!$G$4:$G$1463,MATCH("INVICTUS"&amp;"|"&amp;MAX(1,ROUND(COUNTIFS(MASTER!$B$4:$B$1463,"INVICTUS",MASTER!$G$4:$G$1463,"&lt;&gt;")*$A128*100/100,0)),MASTER!$AH$4:$AH$1463,0))="",NA(),INDEX(MASTER!$G$4:$G$1463,MATCH("INVICTUS"&amp;"|"&amp;MAX(1,ROUND(COUNTIFS(MASTER!$B$4:$B$1463,"INVICTUS",MASTER!$G$4:$G$1463,"&lt;&gt;")*$A128*100/100,0)),MASTER!$AH$4:$AH$1463,0))),NA()),IF($B$4="SECONDARY",IFERROR(IF(INDEX(MASTER!$L$4:$L$1463,MATCH("INVICTUS"&amp;"|"&amp;MAX(1,ROUND(COUNTIFS(MASTER!$B$4:$B$1463,"INVICTUS",MASTER!$L$4:$L$1463,"&lt;&gt;")*$A128*100/100,0)),MASTER!$AI$4:$AI$1463,0))="",NA(),INDEX(MASTER!$L$4:$L$1463,MATCH("INVICTUS"&amp;"|"&amp;MAX(1,ROUND(COUNTIFS(MASTER!$B$4:$B$1463,"INVICTUS",MASTER!$L$4:$L$1463,"&lt;&gt;")*$A128*100/100,0)),MASTER!$AI$4:$AI$1463,0))),NA()))))</f>
        <v>2314</v>
      </c>
      <c r="K128" s="37">
        <f>IF($B$4="RESONANCE",IFERROR(IF(INDEX(MASTER!$I$4:$I$1463,MATCH("EMERALD LEAF TRIBE"&amp;"|"&amp;MAX(1,ROUND(COUNTIFS(MASTER!$B$4:$B$1463,"EMERALD LEAF TRIBE",MASTER!$I$4:$I$1463,"&lt;&gt;")*$A128*100/100,0)),MASTER!$Y$4:$Y$1463,0))="",NA(),INDEX(MASTER!$I$4:$I$1463,MATCH("EMERALD LEAF TRIBE"&amp;"|"&amp;MAX(1,ROUND(COUNTIFS(MASTER!$B$4:$B$1463,"EMERALD LEAF TRIBE",MASTER!$I$4:$I$1463,"&lt;&gt;")*$A128*100/100,0)),MASTER!$Y$4:$Y$1463,0))),NA()),IF($B$4="COMBAT RATING",IFERROR(IF(INDEX(MASTER!$G$4:$G$1463,MATCH("EMERALD LEAF TRIBE"&amp;"|"&amp;MAX(1,ROUND(COUNTIFS(MASTER!$B$4:$B$1463,"EMERALD LEAF TRIBE",MASTER!$G$4:$G$1463,"&lt;&gt;")*$A128*100/100,0)),MASTER!$AH$4:$AH$1463,0))="",NA(),INDEX(MASTER!$G$4:$G$1463,MATCH("EMERALD LEAF TRIBE"&amp;"|"&amp;MAX(1,ROUND(COUNTIFS(MASTER!$B$4:$B$1463,"EMERALD LEAF TRIBE",MASTER!$G$4:$G$1463,"&lt;&gt;")*$A128*100/100,0)),MASTER!$AH$4:$AH$1463,0))),NA()),IF($B$4="SECONDARY",IFERROR(IF(INDEX(MASTER!$L$4:$L$1463,MATCH("EMERALD LEAF TRIBE"&amp;"|"&amp;MAX(1,ROUND(COUNTIFS(MASTER!$B$4:$B$1463,"EMERALD LEAF TRIBE",MASTER!$L$4:$L$1463,"&lt;&gt;")*$A128*100/100,0)),MASTER!$AI$4:$AI$1463,0))="",NA(),INDEX(MASTER!$L$4:$L$1463,MATCH("EMERALD LEAF TRIBE"&amp;"|"&amp;MAX(1,ROUND(COUNTIFS(MASTER!$B$4:$B$1463,"EMERALD LEAF TRIBE",MASTER!$L$4:$L$1463,"&lt;&gt;")*$A128*100/100,0)),MASTER!$AI$4:$AI$1463,0))),NA()))))</f>
        <v>1492</v>
      </c>
      <c r="L128" s="37">
        <f>IF($B$4="RESONANCE",IFERROR(IF(INDEX(MASTER!$I$4:$I$1463,MATCH("SUB ROSA"&amp;"|"&amp;MAX(1,ROUND(COUNTIFS(MASTER!$B$4:$B$1463,"SUB ROSA",MASTER!$I$4:$I$1463,"&lt;&gt;")*$A128*100/100,0)),MASTER!$Y$4:$Y$1463,0))="",NA(),INDEX(MASTER!$I$4:$I$1463,MATCH("SUB ROSA"&amp;"|"&amp;MAX(1,ROUND(COUNTIFS(MASTER!$B$4:$B$1463,"SUB ROSA",MASTER!$I$4:$I$1463,"&lt;&gt;")*$A128*100/100,0)),MASTER!$Y$4:$Y$1463,0))),NA()),IF($B$4="COMBAT RATING",IFERROR(IF(INDEX(MASTER!$G$4:$G$1463,MATCH("SUB ROSA"&amp;"|"&amp;MAX(1,ROUND(COUNTIFS(MASTER!$B$4:$B$1463,"SUB ROSA",MASTER!$G$4:$G$1463,"&lt;&gt;")*$A128*100/100,0)),MASTER!$AH$4:$AH$1463,0))="",NA(),INDEX(MASTER!$G$4:$G$1463,MATCH("SUB ROSA"&amp;"|"&amp;MAX(1,ROUND(COUNTIFS(MASTER!$B$4:$B$1463,"SUB ROSA",MASTER!$G$4:$G$1463,"&lt;&gt;")*$A128*100/100,0)),MASTER!$AH$4:$AH$1463,0))),NA()),IF($B$4="SECONDARY",IFERROR(IF(INDEX(MASTER!$L$4:$L$1463,MATCH("SUB ROSA"&amp;"|"&amp;MAX(1,ROUND(COUNTIFS(MASTER!$B$4:$B$1463,"SUB ROSA",MASTER!$L$4:$L$1463,"&lt;&gt;")*$A128*100/100,0)),MASTER!$AI$4:$AI$1463,0))="",NA(),INDEX(MASTER!$L$4:$L$1463,MATCH("SUB ROSA"&amp;"|"&amp;MAX(1,ROUND(COUNTIFS(MASTER!$B$4:$B$1463,"SUB ROSA",MASTER!$L$4:$L$1463,"&lt;&gt;")*$A128*100/100,0)),MASTER!$AI$4:$AI$1463,0))),NA()))))</f>
        <v>1786</v>
      </c>
      <c r="M128" s="37">
        <f>IF($B$4="RESONANCE",IFERROR(IF(INDEX(MASTER!$I$4:$I$1463,MATCH("VENGEANCE"&amp;"|"&amp;MAX(1,ROUND(COUNTIFS(MASTER!$B$4:$B$1463,"VENGEANCE",MASTER!$I$4:$I$1463,"&lt;&gt;")*$A128*100/100,0)),MASTER!$Y$4:$Y$1463,0))="",NA(),INDEX(MASTER!$I$4:$I$1463,MATCH("VENGEANCE"&amp;"|"&amp;MAX(1,ROUND(COUNTIFS(MASTER!$B$4:$B$1463,"VENGEANCE",MASTER!$I$4:$I$1463,"&lt;&gt;")*$A128*100/100,0)),MASTER!$Y$4:$Y$1463,0))),NA()),IF($B$4="COMBAT RATING",IFERROR(IF(INDEX(MASTER!$G$4:$G$1463,MATCH("VENGEANCE"&amp;"|"&amp;MAX(1,ROUND(COUNTIFS(MASTER!$B$4:$B$1463,"VENGEANCE",MASTER!$G$4:$G$1463,"&lt;&gt;")*$A128*100/100,0)),MASTER!$AH$4:$AH$1463,0))="",NA(),INDEX(MASTER!$G$4:$G$1463,MATCH("VENGEANCE"&amp;"|"&amp;MAX(1,ROUND(COUNTIFS(MASTER!$B$4:$B$1463,"VENGEANCE",MASTER!$G$4:$G$1463,"&lt;&gt;")*$A128*100/100,0)),MASTER!$AH$4:$AH$1463,0))),NA()),IF($B$4="SECONDARY",IFERROR(IF(INDEX(MASTER!$L$4:$L$1463,MATCH("VENGEANCE"&amp;"|"&amp;MAX(1,ROUND(COUNTIFS(MASTER!$B$4:$B$1463,"VENGEANCE",MASTER!$L$4:$L$1463,"&lt;&gt;")*$A128*100/100,0)),MASTER!$AI$4:$AI$1463,0))="",NA(),INDEX(MASTER!$L$4:$L$1463,MATCH("VENGEANCE"&amp;"|"&amp;MAX(1,ROUND(COUNTIFS(MASTER!$B$4:$B$1463,"VENGEANCE",MASTER!$L$4:$L$1463,"&lt;&gt;")*$A128*100/100,0)),MASTER!$AI$4:$AI$1463,0))),NA()))))</f>
        <v>2580</v>
      </c>
      <c r="N128" s="37">
        <f>IF($B$4="RESONANCE",IFERROR(IF(INDEX(MASTER!$I$4:$I$1463,MATCH("VENDETTA"&amp;"|"&amp;MAX(1,ROUND(COUNTIFS(MASTER!$B$4:$B$1463,"VENDETTA",MASTER!$I$4:$I$1463,"&lt;&gt;")*$A128*100/100,0)),MASTER!$Y$4:$Y$1463,0))="",NA(),INDEX(MASTER!$I$4:$I$1463,MATCH("VENDETTA"&amp;"|"&amp;MAX(1,ROUND(COUNTIFS(MASTER!$B$4:$B$1463,"VENDETTA",MASTER!$I$4:$I$1463,"&lt;&gt;")*$A128*100/100,0)),MASTER!$Y$4:$Y$1463,0))),NA()),IF($B$4="COMBAT RATING",IFERROR(IF(INDEX(MASTER!$G$4:$G$1463,MATCH("VENDETTA"&amp;"|"&amp;MAX(1,ROUND(COUNTIFS(MASTER!$B$4:$B$1463,"VENDETTA",MASTER!$G$4:$G$1463,"&lt;&gt;")*$A128*100/100,0)),MASTER!$AH$4:$AH$1463,0))="",NA(),INDEX(MASTER!$G$4:$G$1463,MATCH("VENDETTA"&amp;"|"&amp;MAX(1,ROUND(COUNTIFS(MASTER!$B$4:$B$1463,"VENDETTA",MASTER!$G$4:$G$1463,"&lt;&gt;")*$A128*100/100,0)),MASTER!$AH$4:$AH$1463,0))),NA()),IF($B$4="SECONDARY",IFERROR(IF(INDEX(MASTER!$L$4:$L$1463,MATCH("VENDETTA"&amp;"|"&amp;MAX(1,ROUND(COUNTIFS(MASTER!$B$4:$B$1463,"VENDETTA",MASTER!$L$4:$L$1463,"&lt;&gt;")*$A128*100/100,0)),MASTER!$AI$4:$AI$1463,0))="",NA(),INDEX(MASTER!$L$4:$L$1463,MATCH("VENDETTA"&amp;"|"&amp;MAX(1,ROUND(COUNTIFS(MASTER!$B$4:$B$1463,"VENDETTA",MASTER!$L$4:$L$1463,"&lt;&gt;")*$A128*100/100,0)),MASTER!$AI$4:$AI$1463,0))),NA()))))</f>
        <v>1435</v>
      </c>
      <c r="O128" s="37">
        <f>IF($B$4="RESONANCE",IFERROR(IF(INDEX(MASTER!$I$4:$I$1463,MATCH("ZOMBIES"&amp;"|"&amp;MAX(1,ROUND(COUNTIFS(MASTER!$B$4:$B$1463,"ZOMBIES",MASTER!$I$4:$I$1463,"&lt;&gt;")*$A128*100/100,0)),MASTER!$Y$4:$Y$1463,0))="",NA(),INDEX(MASTER!$I$4:$I$1463,MATCH("ZOMBIES"&amp;"|"&amp;MAX(1,ROUND(COUNTIFS(MASTER!$B$4:$B$1463,"ZOMBIES",MASTER!$I$4:$I$1463,"&lt;&gt;")*$A128*100/100,0)),MASTER!$Y$4:$Y$1463,0))),NA()),IF($B$4="COMBAT RATING",IFERROR(IF(INDEX(MASTER!$G$4:$G$1463,MATCH("ZOMBIES"&amp;"|"&amp;MAX(1,ROUND(COUNTIFS(MASTER!$B$4:$B$1463,"ZOMBIES",MASTER!$G$4:$G$1463,"&lt;&gt;")*$A128*100/100,0)),MASTER!$AH$4:$AH$1463,0))="",NA(),INDEX(MASTER!$G$4:$G$1463,MATCH("ZOMBIES"&amp;"|"&amp;MAX(1,ROUND(COUNTIFS(MASTER!$B$4:$B$1463,"ZOMBIES",MASTER!$G$4:$G$1463,"&lt;&gt;")*$A128*100/100,0)),MASTER!$AH$4:$AH$1463,0))),NA()),IF($B$4="SECONDARY",IFERROR(IF(INDEX(MASTER!$L$4:$L$1463,MATCH("ZOMBIES"&amp;"|"&amp;MAX(1,ROUND(COUNTIFS(MASTER!$B$4:$B$1463,"ZOMBIES",MASTER!$L$4:$L$1463,"&lt;&gt;")*$A128*100/100,0)),MASTER!$AI$4:$AI$1463,0))="",NA(),INDEX(MASTER!$L$4:$L$1463,MATCH("ZOMBIES"&amp;"|"&amp;MAX(1,ROUND(COUNTIFS(MASTER!$B$4:$B$1463,"ZOMBIES",MASTER!$L$4:$L$1463,"&lt;&gt;")*$A128*100/100,0)),MASTER!$AI$4:$AI$1463,0))),NA()))))</f>
        <v>1200</v>
      </c>
      <c r="P128" s="37">
        <f>IF($B$4="RESONANCE",IFERROR(IF(INDEX(MASTER!$I$4:$I$1463,MATCH("FUCT"&amp;"|"&amp;MAX(1,ROUND(COUNTIFS(MASTER!$B$4:$B$1463,"FUCT",MASTER!$I$4:$I$1463,"&lt;&gt;")*$A128*100/100,0)),MASTER!$Y$4:$Y$1463,0))="",NA(),INDEX(MASTER!$I$4:$I$1463,MATCH("FUCT"&amp;"|"&amp;MAX(1,ROUND(COUNTIFS(MASTER!$B$4:$B$1463,"FUCT",MASTER!$I$4:$I$1463,"&lt;&gt;")*$A128*100/100,0)),MASTER!$Y$4:$Y$1463,0))),NA()),IF($B$4="COMBAT RATING",IFERROR(IF(INDEX(MASTER!$G$4:$G$1463,MATCH("FUCT"&amp;"|"&amp;MAX(1,ROUND(COUNTIFS(MASTER!$B$4:$B$1463,"FUCT",MASTER!$G$4:$G$1463,"&lt;&gt;")*$A128*100/100,0)),MASTER!$AH$4:$AH$1463,0))="",NA(),INDEX(MASTER!$G$4:$G$1463,MATCH("FUCT"&amp;"|"&amp;MAX(1,ROUND(COUNTIFS(MASTER!$B$4:$B$1463,"FUCT",MASTER!$G$4:$G$1463,"&lt;&gt;")*$A128*100/100,0)),MASTER!$AH$4:$AH$1463,0))),NA()),IF($B$4="SECONDARY",IFERROR(IF(INDEX(MASTER!$L$4:$L$1463,MATCH("FUCT"&amp;"|"&amp;MAX(1,ROUND(COUNTIFS(MASTER!$B$4:$B$1463,"FUCT",MASTER!$L$4:$L$1463,"&lt;&gt;")*$A128*100/100,0)),MASTER!$AI$4:$AI$1463,0))="",NA(),INDEX(MASTER!$L$4:$L$1463,MATCH("FUCT"&amp;"|"&amp;MAX(1,ROUND(COUNTIFS(MASTER!$B$4:$B$1463,"FUCT",MASTER!$L$4:$L$1463,"&lt;&gt;")*$A128*100/100,0)),MASTER!$AI$4:$AI$1463,0))),NA()))))</f>
        <v>3665</v>
      </c>
      <c r="Q128" s="37">
        <f>IF($B$4="RESONANCE",IFERROR(IF(INDEX(MASTER!$I$4:$I$1463,MATCH($E$4&amp;"|"&amp;MAX(1,ROUND(COUNTIFS(MASTER!$B$4:$B$1463,$E$4,MASTER!$I$4:$I$1463,"&lt;&gt;")*$A128*100/100,0)),MASTER!$Y$4:$Y$1463,0))="",NA(),INDEX(MASTER!$I$4:$I$1463,MATCH($E$4&amp;"|"&amp;MAX(1,ROUND(COUNTIFS(MASTER!$B$4:$B$1463,$E$4,MASTER!$I$4:$I$1463,"&lt;&gt;")*$A128*100/100,0)),MASTER!$Y$4:$Y$1463,0))),NA()),IF($B$4="COMBAT RATING",IFERROR(IF(INDEX(MASTER!$G$4:$G$1463,MATCH($E$4&amp;"|"&amp;MAX(1,ROUND(COUNTIFS(MASTER!$B$4:$B$1463,$E$4,MASTER!$G$4:$G$1463,"&lt;&gt;")*$A128*100/100,0)),MASTER!$AH$4:$AH$1463,0))="",NA(),INDEX(MASTER!$G$4:$G$1463,MATCH($E$4&amp;"|"&amp;MAX(1,ROUND(COUNTIFS(MASTER!$B$4:$B$1463,$E$4,MASTER!$G$4:$G$1463,"&lt;&gt;")*$A128*100/100,0)),MASTER!$AH$4:$AH$1463,0))),NA()),IF($B$4="SECONDARY",IFERROR(IF(INDEX(MASTER!$L$4:$L$1463,MATCH($E$4&amp;"|"&amp;MAX(1,ROUND(COUNTIFS(MASTER!$B$4:$B$1463,$E$4,MASTER!$L$4:$L$1463,"&lt;&gt;")*$A128*100/100,0)),MASTER!$AI$4:$AI$1463,0))="",NA(),INDEX(MASTER!$L$4:$L$1463,MATCH($E$4&amp;"|"&amp;MAX(1,ROUND(COUNTIFS(MASTER!$B$4:$B$1463,$E$4,MASTER!$L$4:$L$1463,"&lt;&gt;")*$A128*100/100,0)),MASTER!$AI$4:$AI$1463,0))),NA()))))</f>
        <v>3514</v>
      </c>
    </row>
    <row r="129" spans="1:17" hidden="1">
      <c r="A129" s="36">
        <v>0.74</v>
      </c>
      <c r="B129" s="37">
        <f>IF($B$4="RESONANCE",IFERROR(IF(INDEX(MASTER!$I$4:$I$1463,MATCH("FUCT"&amp;"|"&amp;MAX(1,ROUND(COUNTIFS(MASTER!$B$4:$B$1463,"FUCT",MASTER!$I$4:$I$1463,"&lt;&gt;")*$A129*100/100,0)),MASTER!$Y$4:$Y$1463,0))="",NA(),INDEX(MASTER!$I$4:$I$1463,MATCH("FUCT"&amp;"|"&amp;MAX(1,ROUND(COUNTIFS(MASTER!$B$4:$B$1463,"FUCT",MASTER!$I$4:$I$1463,"&lt;&gt;")*$A129*100/100,0)),MASTER!$Y$4:$Y$1463,0))),NA()),IF($B$4="COMBAT RATING",IFERROR(IF(INDEX(MASTER!$G$4:$G$1463,MATCH("FUCT"&amp;"|"&amp;MAX(1,ROUND(COUNTIFS(MASTER!$B$4:$B$1463,"FUCT",MASTER!$G$4:$G$1463,"&lt;&gt;")*$A129*100/100,0)),MASTER!$AH$4:$AH$1463,0))="",NA(),INDEX(MASTER!$G$4:$G$1463,MATCH("FUCT"&amp;"|"&amp;MAX(1,ROUND(COUNTIFS(MASTER!$B$4:$B$1463,"FUCT",MASTER!$G$4:$G$1463,"&lt;&gt;")*$A129*100/100,0)),MASTER!$AH$4:$AH$1463,0))),NA()),IF($B$4="SECONDARY",IFERROR(IF(INDEX(MASTER!$L$4:$L$1463,MATCH("FUCT"&amp;"|"&amp;MAX(1,ROUND(COUNTIFS(MASTER!$B$4:$B$1463,"FUCT",MASTER!$L$4:$L$1463,"&lt;&gt;")*$A129*100/100,0)),MASTER!$AI$4:$AI$1463,0))="",NA(),INDEX(MASTER!$L$4:$L$1463,MATCH("FUCT"&amp;"|"&amp;MAX(1,ROUND(COUNTIFS(MASTER!$B$4:$B$1463,"FUCT",MASTER!$L$4:$L$1463,"&lt;&gt;")*$A129*100/100,0)),MASTER!$AI$4:$AI$1463,0))),NA()))))</f>
        <v>3615</v>
      </c>
      <c r="C129" s="37">
        <f>IF($B$4="RESONANCE",IFERROR(IF(INDEX(MASTER!$I$4:$I$1463,MATCH("LEGENDS"&amp;"|"&amp;MAX(1,ROUND(COUNTIFS(MASTER!$B$4:$B$1463,"LEGENDS",MASTER!$I$4:$I$1463,"&lt;&gt;")*$A129*100/100,0)),MASTER!$Y$4:$Y$1463,0))="",NA(),INDEX(MASTER!$I$4:$I$1463,MATCH("LEGENDS"&amp;"|"&amp;MAX(1,ROUND(COUNTIFS(MASTER!$B$4:$B$1463,"LEGENDS",MASTER!$I$4:$I$1463,"&lt;&gt;")*$A129*100/100,0)),MASTER!$Y$4:$Y$1463,0))),NA()),IF($B$4="COMBAT RATING",IFERROR(IF(INDEX(MASTER!$G$4:$G$1463,MATCH("LEGENDS"&amp;"|"&amp;MAX(1,ROUND(COUNTIFS(MASTER!$B$4:$B$1463,"LEGENDS",MASTER!$G$4:$G$1463,"&lt;&gt;")*$A129*100/100,0)),MASTER!$AH$4:$AH$1463,0))="",NA(),INDEX(MASTER!$G$4:$G$1463,MATCH("LEGENDS"&amp;"|"&amp;MAX(1,ROUND(COUNTIFS(MASTER!$B$4:$B$1463,"LEGENDS",MASTER!$G$4:$G$1463,"&lt;&gt;")*$A129*100/100,0)),MASTER!$AH$4:$AH$1463,0))),NA()),IF($B$4="SECONDARY",IFERROR(IF(INDEX(MASTER!$L$4:$L$1463,MATCH("LEGENDS"&amp;"|"&amp;MAX(1,ROUND(COUNTIFS(MASTER!$B$4:$B$1463,"LEGENDS",MASTER!$L$4:$L$1463,"&lt;&gt;")*$A129*100/100,0)),MASTER!$AI$4:$AI$1463,0))="",NA(),INDEX(MASTER!$L$4:$L$1463,MATCH("LEGENDS"&amp;"|"&amp;MAX(1,ROUND(COUNTIFS(MASTER!$B$4:$B$1463,"LEGENDS",MASTER!$L$4:$L$1463,"&lt;&gt;")*$A129*100/100,0)),MASTER!$AI$4:$AI$1463,0))),NA()))))</f>
        <v>4185</v>
      </c>
      <c r="D129" s="37">
        <f>IF($B$4="RESONANCE",IFERROR(IF(INDEX(MASTER!$I$4:$I$1463,MATCH("VANGUARD"&amp;"|"&amp;MAX(1,ROUND(COUNTIFS(MASTER!$B$4:$B$1463,"VANGUARD",MASTER!$I$4:$I$1463,"&lt;&gt;")*$A129*100/100,0)),MASTER!$Y$4:$Y$1463,0))="",NA(),INDEX(MASTER!$I$4:$I$1463,MATCH("VANGUARD"&amp;"|"&amp;MAX(1,ROUND(COUNTIFS(MASTER!$B$4:$B$1463,"VANGUARD",MASTER!$I$4:$I$1463,"&lt;&gt;")*$A129*100/100,0)),MASTER!$Y$4:$Y$1463,0))),NA()),IF($B$4="COMBAT RATING",IFERROR(IF(INDEX(MASTER!$G$4:$G$1463,MATCH("VANGUARD"&amp;"|"&amp;MAX(1,ROUND(COUNTIFS(MASTER!$B$4:$B$1463,"VANGUARD",MASTER!$G$4:$G$1463,"&lt;&gt;")*$A129*100/100,0)),MASTER!$AH$4:$AH$1463,0))="",NA(),INDEX(MASTER!$G$4:$G$1463,MATCH("VANGUARD"&amp;"|"&amp;MAX(1,ROUND(COUNTIFS(MASTER!$B$4:$B$1463,"VANGUARD",MASTER!$G$4:$G$1463,"&lt;&gt;")*$A129*100/100,0)),MASTER!$AH$4:$AH$1463,0))),NA()),IF($B$4="SECONDARY",IFERROR(IF(INDEX(MASTER!$L$4:$L$1463,MATCH("VANGUARD"&amp;"|"&amp;MAX(1,ROUND(COUNTIFS(MASTER!$B$4:$B$1463,"VANGUARD",MASTER!$L$4:$L$1463,"&lt;&gt;")*$A129*100/100,0)),MASTER!$AI$4:$AI$1463,0))="",NA(),INDEX(MASTER!$L$4:$L$1463,MATCH("VANGUARD"&amp;"|"&amp;MAX(1,ROUND(COUNTIFS(MASTER!$B$4:$B$1463,"VANGUARD",MASTER!$L$4:$L$1463,"&lt;&gt;")*$A129*100/100,0)),MASTER!$AI$4:$AI$1463,0))),NA()))))</f>
        <v>4602</v>
      </c>
      <c r="E129" s="37">
        <f>IF($B$4="RESONANCE",IFERROR(IF(INDEX(MASTER!$I$4:$I$1463,MATCH("UNDYING"&amp;"|"&amp;MAX(1,ROUND(COUNTIFS(MASTER!$B$4:$B$1463,"UNDYING",MASTER!$I$4:$I$1463,"&lt;&gt;")*$A129*100/100,0)),MASTER!$Y$4:$Y$1463,0))="",NA(),INDEX(MASTER!$I$4:$I$1463,MATCH("UNDYING"&amp;"|"&amp;MAX(1,ROUND(COUNTIFS(MASTER!$B$4:$B$1463,"UNDYING",MASTER!$I$4:$I$1463,"&lt;&gt;")*$A129*100/100,0)),MASTER!$Y$4:$Y$1463,0))),NA()),IF($B$4="COMBAT RATING",IFERROR(IF(INDEX(MASTER!$G$4:$G$1463,MATCH("UNDYING"&amp;"|"&amp;MAX(1,ROUND(COUNTIFS(MASTER!$B$4:$B$1463,"UNDYING",MASTER!$G$4:$G$1463,"&lt;&gt;")*$A129*100/100,0)),MASTER!$AH$4:$AH$1463,0))="",NA(),INDEX(MASTER!$G$4:$G$1463,MATCH("UNDYING"&amp;"|"&amp;MAX(1,ROUND(COUNTIFS(MASTER!$B$4:$B$1463,"UNDYING",MASTER!$G$4:$G$1463,"&lt;&gt;")*$A129*100/100,0)),MASTER!$AH$4:$AH$1463,0))),NA()),IF($B$4="SECONDARY",IFERROR(IF(INDEX(MASTER!$L$4:$L$1463,MATCH("UNDYING"&amp;"|"&amp;MAX(1,ROUND(COUNTIFS(MASTER!$B$4:$B$1463,"UNDYING",MASTER!$L$4:$L$1463,"&lt;&gt;")*$A129*100/100,0)),MASTER!$AI$4:$AI$1463,0))="",NA(),INDEX(MASTER!$L$4:$L$1463,MATCH("UNDYING"&amp;"|"&amp;MAX(1,ROUND(COUNTIFS(MASTER!$B$4:$B$1463,"UNDYING",MASTER!$L$4:$L$1463,"&lt;&gt;")*$A129*100/100,0)),MASTER!$AI$4:$AI$1463,0))),NA()))))</f>
        <v>3430</v>
      </c>
      <c r="F129" s="37">
        <f>IF($B$4="RESONANCE",IFERROR(IF(INDEX(MASTER!$I$4:$I$1463,MATCH("SBG"&amp;"|"&amp;MAX(1,ROUND(COUNTIFS(MASTER!$B$4:$B$1463,"SBG",MASTER!$I$4:$I$1463,"&lt;&gt;")*$A129*100/100,0)),MASTER!$Y$4:$Y$1463,0))="",NA(),INDEX(MASTER!$I$4:$I$1463,MATCH("SBG"&amp;"|"&amp;MAX(1,ROUND(COUNTIFS(MASTER!$B$4:$B$1463,"SBG",MASTER!$I$4:$I$1463,"&lt;&gt;")*$A129*100/100,0)),MASTER!$Y$4:$Y$1463,0))),NA()),IF($B$4="COMBAT RATING",IFERROR(IF(INDEX(MASTER!$G$4:$G$1463,MATCH("SBG"&amp;"|"&amp;MAX(1,ROUND(COUNTIFS(MASTER!$B$4:$B$1463,"SBG",MASTER!$G$4:$G$1463,"&lt;&gt;")*$A129*100/100,0)),MASTER!$AH$4:$AH$1463,0))="",NA(),INDEX(MASTER!$G$4:$G$1463,MATCH("SBG"&amp;"|"&amp;MAX(1,ROUND(COUNTIFS(MASTER!$B$4:$B$1463,"SBG",MASTER!$G$4:$G$1463,"&lt;&gt;")*$A129*100/100,0)),MASTER!$AH$4:$AH$1463,0))),NA()),IF($B$4="SECONDARY",IFERROR(IF(INDEX(MASTER!$L$4:$L$1463,MATCH("SBG"&amp;"|"&amp;MAX(1,ROUND(COUNTIFS(MASTER!$B$4:$B$1463,"SBG",MASTER!$L$4:$L$1463,"&lt;&gt;")*$A129*100/100,0)),MASTER!$AI$4:$AI$1463,0))="",NA(),INDEX(MASTER!$L$4:$L$1463,MATCH("SBG"&amp;"|"&amp;MAX(1,ROUND(COUNTIFS(MASTER!$B$4:$B$1463,"SBG",MASTER!$L$4:$L$1463,"&lt;&gt;")*$A129*100/100,0)),MASTER!$AI$4:$AI$1463,0))),NA()))))</f>
        <v>4024</v>
      </c>
      <c r="G129" s="37">
        <f>IF($B$4="RESONANCE",IFERROR(IF(INDEX(MASTER!$I$4:$I$1463,MATCH("AZUKI"&amp;"|"&amp;MAX(1,ROUND(COUNTIFS(MASTER!$B$4:$B$1463,"AZUKI",MASTER!$I$4:$I$1463,"&lt;&gt;")*$A129*100/100,0)),MASTER!$Y$4:$Y$1463,0))="",NA(),INDEX(MASTER!$I$4:$I$1463,MATCH("AZUKI"&amp;"|"&amp;MAX(1,ROUND(COUNTIFS(MASTER!$B$4:$B$1463,"AZUKI",MASTER!$I$4:$I$1463,"&lt;&gt;")*$A129*100/100,0)),MASTER!$Y$4:$Y$1463,0))),NA()),IF($B$4="COMBAT RATING",IFERROR(IF(INDEX(MASTER!$G$4:$G$1463,MATCH("AZUKI"&amp;"|"&amp;MAX(1,ROUND(COUNTIFS(MASTER!$B$4:$B$1463,"AZUKI",MASTER!$G$4:$G$1463,"&lt;&gt;")*$A129*100/100,0)),MASTER!$AH$4:$AH$1463,0))="",NA(),INDEX(MASTER!$G$4:$G$1463,MATCH("AZUKI"&amp;"|"&amp;MAX(1,ROUND(COUNTIFS(MASTER!$B$4:$B$1463,"AZUKI",MASTER!$G$4:$G$1463,"&lt;&gt;")*$A129*100/100,0)),MASTER!$AH$4:$AH$1463,0))),NA()),IF($B$4="SECONDARY",IFERROR(IF(INDEX(MASTER!$L$4:$L$1463,MATCH("AZUKI"&amp;"|"&amp;MAX(1,ROUND(COUNTIFS(MASTER!$B$4:$B$1463,"AZUKI",MASTER!$L$4:$L$1463,"&lt;&gt;")*$A129*100/100,0)),MASTER!$AI$4:$AI$1463,0))="",NA(),INDEX(MASTER!$L$4:$L$1463,MATCH("AZUKI"&amp;"|"&amp;MAX(1,ROUND(COUNTIFS(MASTER!$B$4:$B$1463,"AZUKI",MASTER!$L$4:$L$1463,"&lt;&gt;")*$A129*100/100,0)),MASTER!$AI$4:$AI$1463,0))),NA()))))</f>
        <v>3500</v>
      </c>
      <c r="H129" s="37">
        <f>IF($B$4="RESONANCE",IFERROR(IF(INDEX(MASTER!$I$4:$I$1463,MATCH("RECKONING"&amp;"|"&amp;MAX(1,ROUND(COUNTIFS(MASTER!$B$4:$B$1463,"RECKONING",MASTER!$I$4:$I$1463,"&lt;&gt;")*$A129*100/100,0)),MASTER!$Y$4:$Y$1463,0))="",NA(),INDEX(MASTER!$I$4:$I$1463,MATCH("RECKONING"&amp;"|"&amp;MAX(1,ROUND(COUNTIFS(MASTER!$B$4:$B$1463,"RECKONING",MASTER!$I$4:$I$1463,"&lt;&gt;")*$A129*100/100,0)),MASTER!$Y$4:$Y$1463,0))),NA()),IF($B$4="COMBAT RATING",IFERROR(IF(INDEX(MASTER!$G$4:$G$1463,MATCH("RECKONING"&amp;"|"&amp;MAX(1,ROUND(COUNTIFS(MASTER!$B$4:$B$1463,"RECKONING",MASTER!$G$4:$G$1463,"&lt;&gt;")*$A129*100/100,0)),MASTER!$AH$4:$AH$1463,0))="",NA(),INDEX(MASTER!$G$4:$G$1463,MATCH("RECKONING"&amp;"|"&amp;MAX(1,ROUND(COUNTIFS(MASTER!$B$4:$B$1463,"RECKONING",MASTER!$G$4:$G$1463,"&lt;&gt;")*$A129*100/100,0)),MASTER!$AH$4:$AH$1463,0))),NA()),IF($B$4="SECONDARY",IFERROR(IF(INDEX(MASTER!$L$4:$L$1463,MATCH("RECKONING"&amp;"|"&amp;MAX(1,ROUND(COUNTIFS(MASTER!$B$4:$B$1463,"RECKONING",MASTER!$L$4:$L$1463,"&lt;&gt;")*$A129*100/100,0)),MASTER!$AI$4:$AI$1463,0))="",NA(),INDEX(MASTER!$L$4:$L$1463,MATCH("RECKONING"&amp;"|"&amp;MAX(1,ROUND(COUNTIFS(MASTER!$B$4:$B$1463,"RECKONING",MASTER!$L$4:$L$1463,"&lt;&gt;")*$A129*100/100,0)),MASTER!$AI$4:$AI$1463,0))),NA()))))</f>
        <v>3763</v>
      </c>
      <c r="I129" s="37">
        <f>IF($B$4="RESONANCE",IFERROR(IF(INDEX(MASTER!$I$4:$I$1463,MATCH("ACHERON"&amp;"|"&amp;MAX(1,ROUND(COUNTIFS(MASTER!$B$4:$B$1463,"ACHERON",MASTER!$I$4:$I$1463,"&lt;&gt;")*$A129*100/100,0)),MASTER!$Y$4:$Y$1463,0))="",NA(),INDEX(MASTER!$I$4:$I$1463,MATCH("ACHERON"&amp;"|"&amp;MAX(1,ROUND(COUNTIFS(MASTER!$B$4:$B$1463,"ACHERON",MASTER!$I$4:$I$1463,"&lt;&gt;")*$A129*100/100,0)),MASTER!$Y$4:$Y$1463,0))),NA()),IF($B$4="COMBAT RATING",IFERROR(IF(INDEX(MASTER!$G$4:$G$1463,MATCH("ACHERON"&amp;"|"&amp;MAX(1,ROUND(COUNTIFS(MASTER!$B$4:$B$1463,"ACHERON",MASTER!$G$4:$G$1463,"&lt;&gt;")*$A129*100/100,0)),MASTER!$AH$4:$AH$1463,0))="",NA(),INDEX(MASTER!$G$4:$G$1463,MATCH("ACHERON"&amp;"|"&amp;MAX(1,ROUND(COUNTIFS(MASTER!$B$4:$B$1463,"ACHERON",MASTER!$G$4:$G$1463,"&lt;&gt;")*$A129*100/100,0)),MASTER!$AH$4:$AH$1463,0))),NA()),IF($B$4="SECONDARY",IFERROR(IF(INDEX(MASTER!$L$4:$L$1463,MATCH("ACHERON"&amp;"|"&amp;MAX(1,ROUND(COUNTIFS(MASTER!$B$4:$B$1463,"ACHERON",MASTER!$L$4:$L$1463,"&lt;&gt;")*$A129*100/100,0)),MASTER!$AI$4:$AI$1463,0))="",NA(),INDEX(MASTER!$L$4:$L$1463,MATCH("ACHERON"&amp;"|"&amp;MAX(1,ROUND(COUNTIFS(MASTER!$B$4:$B$1463,"ACHERON",MASTER!$L$4:$L$1463,"&lt;&gt;")*$A129*100/100,0)),MASTER!$AI$4:$AI$1463,0))),NA()))))</f>
        <v>2880</v>
      </c>
      <c r="J129" s="37">
        <f>IF($B$4="RESONANCE",IFERROR(IF(INDEX(MASTER!$I$4:$I$1463,MATCH("INVICTUS"&amp;"|"&amp;MAX(1,ROUND(COUNTIFS(MASTER!$B$4:$B$1463,"INVICTUS",MASTER!$I$4:$I$1463,"&lt;&gt;")*$A129*100/100,0)),MASTER!$Y$4:$Y$1463,0))="",NA(),INDEX(MASTER!$I$4:$I$1463,MATCH("INVICTUS"&amp;"|"&amp;MAX(1,ROUND(COUNTIFS(MASTER!$B$4:$B$1463,"INVICTUS",MASTER!$I$4:$I$1463,"&lt;&gt;")*$A129*100/100,0)),MASTER!$Y$4:$Y$1463,0))),NA()),IF($B$4="COMBAT RATING",IFERROR(IF(INDEX(MASTER!$G$4:$G$1463,MATCH("INVICTUS"&amp;"|"&amp;MAX(1,ROUND(COUNTIFS(MASTER!$B$4:$B$1463,"INVICTUS",MASTER!$G$4:$G$1463,"&lt;&gt;")*$A129*100/100,0)),MASTER!$AH$4:$AH$1463,0))="",NA(),INDEX(MASTER!$G$4:$G$1463,MATCH("INVICTUS"&amp;"|"&amp;MAX(1,ROUND(COUNTIFS(MASTER!$B$4:$B$1463,"INVICTUS",MASTER!$G$4:$G$1463,"&lt;&gt;")*$A129*100/100,0)),MASTER!$AH$4:$AH$1463,0))),NA()),IF($B$4="SECONDARY",IFERROR(IF(INDEX(MASTER!$L$4:$L$1463,MATCH("INVICTUS"&amp;"|"&amp;MAX(1,ROUND(COUNTIFS(MASTER!$B$4:$B$1463,"INVICTUS",MASTER!$L$4:$L$1463,"&lt;&gt;")*$A129*100/100,0)),MASTER!$AI$4:$AI$1463,0))="",NA(),INDEX(MASTER!$L$4:$L$1463,MATCH("INVICTUS"&amp;"|"&amp;MAX(1,ROUND(COUNTIFS(MASTER!$B$4:$B$1463,"INVICTUS",MASTER!$L$4:$L$1463,"&lt;&gt;")*$A129*100/100,0)),MASTER!$AI$4:$AI$1463,0))),NA()))))</f>
        <v>2284</v>
      </c>
      <c r="K129" s="37">
        <f>IF($B$4="RESONANCE",IFERROR(IF(INDEX(MASTER!$I$4:$I$1463,MATCH("EMERALD LEAF TRIBE"&amp;"|"&amp;MAX(1,ROUND(COUNTIFS(MASTER!$B$4:$B$1463,"EMERALD LEAF TRIBE",MASTER!$I$4:$I$1463,"&lt;&gt;")*$A129*100/100,0)),MASTER!$Y$4:$Y$1463,0))="",NA(),INDEX(MASTER!$I$4:$I$1463,MATCH("EMERALD LEAF TRIBE"&amp;"|"&amp;MAX(1,ROUND(COUNTIFS(MASTER!$B$4:$B$1463,"EMERALD LEAF TRIBE",MASTER!$I$4:$I$1463,"&lt;&gt;")*$A129*100/100,0)),MASTER!$Y$4:$Y$1463,0))),NA()),IF($B$4="COMBAT RATING",IFERROR(IF(INDEX(MASTER!$G$4:$G$1463,MATCH("EMERALD LEAF TRIBE"&amp;"|"&amp;MAX(1,ROUND(COUNTIFS(MASTER!$B$4:$B$1463,"EMERALD LEAF TRIBE",MASTER!$G$4:$G$1463,"&lt;&gt;")*$A129*100/100,0)),MASTER!$AH$4:$AH$1463,0))="",NA(),INDEX(MASTER!$G$4:$G$1463,MATCH("EMERALD LEAF TRIBE"&amp;"|"&amp;MAX(1,ROUND(COUNTIFS(MASTER!$B$4:$B$1463,"EMERALD LEAF TRIBE",MASTER!$G$4:$G$1463,"&lt;&gt;")*$A129*100/100,0)),MASTER!$AH$4:$AH$1463,0))),NA()),IF($B$4="SECONDARY",IFERROR(IF(INDEX(MASTER!$L$4:$L$1463,MATCH("EMERALD LEAF TRIBE"&amp;"|"&amp;MAX(1,ROUND(COUNTIFS(MASTER!$B$4:$B$1463,"EMERALD LEAF TRIBE",MASTER!$L$4:$L$1463,"&lt;&gt;")*$A129*100/100,0)),MASTER!$AI$4:$AI$1463,0))="",NA(),INDEX(MASTER!$L$4:$L$1463,MATCH("EMERALD LEAF TRIBE"&amp;"|"&amp;MAX(1,ROUND(COUNTIFS(MASTER!$B$4:$B$1463,"EMERALD LEAF TRIBE",MASTER!$L$4:$L$1463,"&lt;&gt;")*$A129*100/100,0)),MASTER!$AI$4:$AI$1463,0))),NA()))))</f>
        <v>1470</v>
      </c>
      <c r="L129" s="37">
        <f>IF($B$4="RESONANCE",IFERROR(IF(INDEX(MASTER!$I$4:$I$1463,MATCH("SUB ROSA"&amp;"|"&amp;MAX(1,ROUND(COUNTIFS(MASTER!$B$4:$B$1463,"SUB ROSA",MASTER!$I$4:$I$1463,"&lt;&gt;")*$A129*100/100,0)),MASTER!$Y$4:$Y$1463,0))="",NA(),INDEX(MASTER!$I$4:$I$1463,MATCH("SUB ROSA"&amp;"|"&amp;MAX(1,ROUND(COUNTIFS(MASTER!$B$4:$B$1463,"SUB ROSA",MASTER!$I$4:$I$1463,"&lt;&gt;")*$A129*100/100,0)),MASTER!$Y$4:$Y$1463,0))),NA()),IF($B$4="COMBAT RATING",IFERROR(IF(INDEX(MASTER!$G$4:$G$1463,MATCH("SUB ROSA"&amp;"|"&amp;MAX(1,ROUND(COUNTIFS(MASTER!$B$4:$B$1463,"SUB ROSA",MASTER!$G$4:$G$1463,"&lt;&gt;")*$A129*100/100,0)),MASTER!$AH$4:$AH$1463,0))="",NA(),INDEX(MASTER!$G$4:$G$1463,MATCH("SUB ROSA"&amp;"|"&amp;MAX(1,ROUND(COUNTIFS(MASTER!$B$4:$B$1463,"SUB ROSA",MASTER!$G$4:$G$1463,"&lt;&gt;")*$A129*100/100,0)),MASTER!$AH$4:$AH$1463,0))),NA()),IF($B$4="SECONDARY",IFERROR(IF(INDEX(MASTER!$L$4:$L$1463,MATCH("SUB ROSA"&amp;"|"&amp;MAX(1,ROUND(COUNTIFS(MASTER!$B$4:$B$1463,"SUB ROSA",MASTER!$L$4:$L$1463,"&lt;&gt;")*$A129*100/100,0)),MASTER!$AI$4:$AI$1463,0))="",NA(),INDEX(MASTER!$L$4:$L$1463,MATCH("SUB ROSA"&amp;"|"&amp;MAX(1,ROUND(COUNTIFS(MASTER!$B$4:$B$1463,"SUB ROSA",MASTER!$L$4:$L$1463,"&lt;&gt;")*$A129*100/100,0)),MASTER!$AI$4:$AI$1463,0))),NA()))))</f>
        <v>1786</v>
      </c>
      <c r="M129" s="37">
        <f>IF($B$4="RESONANCE",IFERROR(IF(INDEX(MASTER!$I$4:$I$1463,MATCH("VENGEANCE"&amp;"|"&amp;MAX(1,ROUND(COUNTIFS(MASTER!$B$4:$B$1463,"VENGEANCE",MASTER!$I$4:$I$1463,"&lt;&gt;")*$A129*100/100,0)),MASTER!$Y$4:$Y$1463,0))="",NA(),INDEX(MASTER!$I$4:$I$1463,MATCH("VENGEANCE"&amp;"|"&amp;MAX(1,ROUND(COUNTIFS(MASTER!$B$4:$B$1463,"VENGEANCE",MASTER!$I$4:$I$1463,"&lt;&gt;")*$A129*100/100,0)),MASTER!$Y$4:$Y$1463,0))),NA()),IF($B$4="COMBAT RATING",IFERROR(IF(INDEX(MASTER!$G$4:$G$1463,MATCH("VENGEANCE"&amp;"|"&amp;MAX(1,ROUND(COUNTIFS(MASTER!$B$4:$B$1463,"VENGEANCE",MASTER!$G$4:$G$1463,"&lt;&gt;")*$A129*100/100,0)),MASTER!$AH$4:$AH$1463,0))="",NA(),INDEX(MASTER!$G$4:$G$1463,MATCH("VENGEANCE"&amp;"|"&amp;MAX(1,ROUND(COUNTIFS(MASTER!$B$4:$B$1463,"VENGEANCE",MASTER!$G$4:$G$1463,"&lt;&gt;")*$A129*100/100,0)),MASTER!$AH$4:$AH$1463,0))),NA()),IF($B$4="SECONDARY",IFERROR(IF(INDEX(MASTER!$L$4:$L$1463,MATCH("VENGEANCE"&amp;"|"&amp;MAX(1,ROUND(COUNTIFS(MASTER!$B$4:$B$1463,"VENGEANCE",MASTER!$L$4:$L$1463,"&lt;&gt;")*$A129*100/100,0)),MASTER!$AI$4:$AI$1463,0))="",NA(),INDEX(MASTER!$L$4:$L$1463,MATCH("VENGEANCE"&amp;"|"&amp;MAX(1,ROUND(COUNTIFS(MASTER!$B$4:$B$1463,"VENGEANCE",MASTER!$L$4:$L$1463,"&lt;&gt;")*$A129*100/100,0)),MASTER!$AI$4:$AI$1463,0))),NA()))))</f>
        <v>2536</v>
      </c>
      <c r="N129" s="37">
        <f>IF($B$4="RESONANCE",IFERROR(IF(INDEX(MASTER!$I$4:$I$1463,MATCH("VENDETTA"&amp;"|"&amp;MAX(1,ROUND(COUNTIFS(MASTER!$B$4:$B$1463,"VENDETTA",MASTER!$I$4:$I$1463,"&lt;&gt;")*$A129*100/100,0)),MASTER!$Y$4:$Y$1463,0))="",NA(),INDEX(MASTER!$I$4:$I$1463,MATCH("VENDETTA"&amp;"|"&amp;MAX(1,ROUND(COUNTIFS(MASTER!$B$4:$B$1463,"VENDETTA",MASTER!$I$4:$I$1463,"&lt;&gt;")*$A129*100/100,0)),MASTER!$Y$4:$Y$1463,0))),NA()),IF($B$4="COMBAT RATING",IFERROR(IF(INDEX(MASTER!$G$4:$G$1463,MATCH("VENDETTA"&amp;"|"&amp;MAX(1,ROUND(COUNTIFS(MASTER!$B$4:$B$1463,"VENDETTA",MASTER!$G$4:$G$1463,"&lt;&gt;")*$A129*100/100,0)),MASTER!$AH$4:$AH$1463,0))="",NA(),INDEX(MASTER!$G$4:$G$1463,MATCH("VENDETTA"&amp;"|"&amp;MAX(1,ROUND(COUNTIFS(MASTER!$B$4:$B$1463,"VENDETTA",MASTER!$G$4:$G$1463,"&lt;&gt;")*$A129*100/100,0)),MASTER!$AH$4:$AH$1463,0))),NA()),IF($B$4="SECONDARY",IFERROR(IF(INDEX(MASTER!$L$4:$L$1463,MATCH("VENDETTA"&amp;"|"&amp;MAX(1,ROUND(COUNTIFS(MASTER!$B$4:$B$1463,"VENDETTA",MASTER!$L$4:$L$1463,"&lt;&gt;")*$A129*100/100,0)),MASTER!$AI$4:$AI$1463,0))="",NA(),INDEX(MASTER!$L$4:$L$1463,MATCH("VENDETTA"&amp;"|"&amp;MAX(1,ROUND(COUNTIFS(MASTER!$B$4:$B$1463,"VENDETTA",MASTER!$L$4:$L$1463,"&lt;&gt;")*$A129*100/100,0)),MASTER!$AI$4:$AI$1463,0))),NA()))))</f>
        <v>1426</v>
      </c>
      <c r="O129" s="37">
        <f>IF($B$4="RESONANCE",IFERROR(IF(INDEX(MASTER!$I$4:$I$1463,MATCH("ZOMBIES"&amp;"|"&amp;MAX(1,ROUND(COUNTIFS(MASTER!$B$4:$B$1463,"ZOMBIES",MASTER!$I$4:$I$1463,"&lt;&gt;")*$A129*100/100,0)),MASTER!$Y$4:$Y$1463,0))="",NA(),INDEX(MASTER!$I$4:$I$1463,MATCH("ZOMBIES"&amp;"|"&amp;MAX(1,ROUND(COUNTIFS(MASTER!$B$4:$B$1463,"ZOMBIES",MASTER!$I$4:$I$1463,"&lt;&gt;")*$A129*100/100,0)),MASTER!$Y$4:$Y$1463,0))),NA()),IF($B$4="COMBAT RATING",IFERROR(IF(INDEX(MASTER!$G$4:$G$1463,MATCH("ZOMBIES"&amp;"|"&amp;MAX(1,ROUND(COUNTIFS(MASTER!$B$4:$B$1463,"ZOMBIES",MASTER!$G$4:$G$1463,"&lt;&gt;")*$A129*100/100,0)),MASTER!$AH$4:$AH$1463,0))="",NA(),INDEX(MASTER!$G$4:$G$1463,MATCH("ZOMBIES"&amp;"|"&amp;MAX(1,ROUND(COUNTIFS(MASTER!$B$4:$B$1463,"ZOMBIES",MASTER!$G$4:$G$1463,"&lt;&gt;")*$A129*100/100,0)),MASTER!$AH$4:$AH$1463,0))),NA()),IF($B$4="SECONDARY",IFERROR(IF(INDEX(MASTER!$L$4:$L$1463,MATCH("ZOMBIES"&amp;"|"&amp;MAX(1,ROUND(COUNTIFS(MASTER!$B$4:$B$1463,"ZOMBIES",MASTER!$L$4:$L$1463,"&lt;&gt;")*$A129*100/100,0)),MASTER!$AI$4:$AI$1463,0))="",NA(),INDEX(MASTER!$L$4:$L$1463,MATCH("ZOMBIES"&amp;"|"&amp;MAX(1,ROUND(COUNTIFS(MASTER!$B$4:$B$1463,"ZOMBIES",MASTER!$L$4:$L$1463,"&lt;&gt;")*$A129*100/100,0)),MASTER!$AI$4:$AI$1463,0))),NA()))))</f>
        <v>1170</v>
      </c>
      <c r="P129" s="37">
        <f>IF($B$4="RESONANCE",IFERROR(IF(INDEX(MASTER!$I$4:$I$1463,MATCH("FUCT"&amp;"|"&amp;MAX(1,ROUND(COUNTIFS(MASTER!$B$4:$B$1463,"FUCT",MASTER!$I$4:$I$1463,"&lt;&gt;")*$A129*100/100,0)),MASTER!$Y$4:$Y$1463,0))="",NA(),INDEX(MASTER!$I$4:$I$1463,MATCH("FUCT"&amp;"|"&amp;MAX(1,ROUND(COUNTIFS(MASTER!$B$4:$B$1463,"FUCT",MASTER!$I$4:$I$1463,"&lt;&gt;")*$A129*100/100,0)),MASTER!$Y$4:$Y$1463,0))),NA()),IF($B$4="COMBAT RATING",IFERROR(IF(INDEX(MASTER!$G$4:$G$1463,MATCH("FUCT"&amp;"|"&amp;MAX(1,ROUND(COUNTIFS(MASTER!$B$4:$B$1463,"FUCT",MASTER!$G$4:$G$1463,"&lt;&gt;")*$A129*100/100,0)),MASTER!$AH$4:$AH$1463,0))="",NA(),INDEX(MASTER!$G$4:$G$1463,MATCH("FUCT"&amp;"|"&amp;MAX(1,ROUND(COUNTIFS(MASTER!$B$4:$B$1463,"FUCT",MASTER!$G$4:$G$1463,"&lt;&gt;")*$A129*100/100,0)),MASTER!$AH$4:$AH$1463,0))),NA()),IF($B$4="SECONDARY",IFERROR(IF(INDEX(MASTER!$L$4:$L$1463,MATCH("FUCT"&amp;"|"&amp;MAX(1,ROUND(COUNTIFS(MASTER!$B$4:$B$1463,"FUCT",MASTER!$L$4:$L$1463,"&lt;&gt;")*$A129*100/100,0)),MASTER!$AI$4:$AI$1463,0))="",NA(),INDEX(MASTER!$L$4:$L$1463,MATCH("FUCT"&amp;"|"&amp;MAX(1,ROUND(COUNTIFS(MASTER!$B$4:$B$1463,"FUCT",MASTER!$L$4:$L$1463,"&lt;&gt;")*$A129*100/100,0)),MASTER!$AI$4:$AI$1463,0))),NA()))))</f>
        <v>3615</v>
      </c>
      <c r="Q129" s="37">
        <f>IF($B$4="RESONANCE",IFERROR(IF(INDEX(MASTER!$I$4:$I$1463,MATCH($E$4&amp;"|"&amp;MAX(1,ROUND(COUNTIFS(MASTER!$B$4:$B$1463,$E$4,MASTER!$I$4:$I$1463,"&lt;&gt;")*$A129*100/100,0)),MASTER!$Y$4:$Y$1463,0))="",NA(),INDEX(MASTER!$I$4:$I$1463,MATCH($E$4&amp;"|"&amp;MAX(1,ROUND(COUNTIFS(MASTER!$B$4:$B$1463,$E$4,MASTER!$I$4:$I$1463,"&lt;&gt;")*$A129*100/100,0)),MASTER!$Y$4:$Y$1463,0))),NA()),IF($B$4="COMBAT RATING",IFERROR(IF(INDEX(MASTER!$G$4:$G$1463,MATCH($E$4&amp;"|"&amp;MAX(1,ROUND(COUNTIFS(MASTER!$B$4:$B$1463,$E$4,MASTER!$G$4:$G$1463,"&lt;&gt;")*$A129*100/100,0)),MASTER!$AH$4:$AH$1463,0))="",NA(),INDEX(MASTER!$G$4:$G$1463,MATCH($E$4&amp;"|"&amp;MAX(1,ROUND(COUNTIFS(MASTER!$B$4:$B$1463,$E$4,MASTER!$G$4:$G$1463,"&lt;&gt;")*$A129*100/100,0)),MASTER!$AH$4:$AH$1463,0))),NA()),IF($B$4="SECONDARY",IFERROR(IF(INDEX(MASTER!$L$4:$L$1463,MATCH($E$4&amp;"|"&amp;MAX(1,ROUND(COUNTIFS(MASTER!$B$4:$B$1463,$E$4,MASTER!$L$4:$L$1463,"&lt;&gt;")*$A129*100/100,0)),MASTER!$AI$4:$AI$1463,0))="",NA(),INDEX(MASTER!$L$4:$L$1463,MATCH($E$4&amp;"|"&amp;MAX(1,ROUND(COUNTIFS(MASTER!$B$4:$B$1463,$E$4,MASTER!$L$4:$L$1463,"&lt;&gt;")*$A129*100/100,0)),MASTER!$AI$4:$AI$1463,0))),NA()))))</f>
        <v>3430</v>
      </c>
    </row>
    <row r="130" spans="1:17" hidden="1">
      <c r="A130" s="36">
        <v>0.75</v>
      </c>
      <c r="B130" s="37">
        <f>IF($B$4="RESONANCE",IFERROR(IF(INDEX(MASTER!$I$4:$I$1463,MATCH("FUCT"&amp;"|"&amp;MAX(1,ROUND(COUNTIFS(MASTER!$B$4:$B$1463,"FUCT",MASTER!$I$4:$I$1463,"&lt;&gt;")*$A130*100/100,0)),MASTER!$Y$4:$Y$1463,0))="",NA(),INDEX(MASTER!$I$4:$I$1463,MATCH("FUCT"&amp;"|"&amp;MAX(1,ROUND(COUNTIFS(MASTER!$B$4:$B$1463,"FUCT",MASTER!$I$4:$I$1463,"&lt;&gt;")*$A130*100/100,0)),MASTER!$Y$4:$Y$1463,0))),NA()),IF($B$4="COMBAT RATING",IFERROR(IF(INDEX(MASTER!$G$4:$G$1463,MATCH("FUCT"&amp;"|"&amp;MAX(1,ROUND(COUNTIFS(MASTER!$B$4:$B$1463,"FUCT",MASTER!$G$4:$G$1463,"&lt;&gt;")*$A130*100/100,0)),MASTER!$AH$4:$AH$1463,0))="",NA(),INDEX(MASTER!$G$4:$G$1463,MATCH("FUCT"&amp;"|"&amp;MAX(1,ROUND(COUNTIFS(MASTER!$B$4:$B$1463,"FUCT",MASTER!$G$4:$G$1463,"&lt;&gt;")*$A130*100/100,0)),MASTER!$AH$4:$AH$1463,0))),NA()),IF($B$4="SECONDARY",IFERROR(IF(INDEX(MASTER!$L$4:$L$1463,MATCH("FUCT"&amp;"|"&amp;MAX(1,ROUND(COUNTIFS(MASTER!$B$4:$B$1463,"FUCT",MASTER!$L$4:$L$1463,"&lt;&gt;")*$A130*100/100,0)),MASTER!$AI$4:$AI$1463,0))="",NA(),INDEX(MASTER!$L$4:$L$1463,MATCH("FUCT"&amp;"|"&amp;MAX(1,ROUND(COUNTIFS(MASTER!$B$4:$B$1463,"FUCT",MASTER!$L$4:$L$1463,"&lt;&gt;")*$A130*100/100,0)),MASTER!$AI$4:$AI$1463,0))),NA()))))</f>
        <v>3498</v>
      </c>
      <c r="C130" s="37">
        <f>IF($B$4="RESONANCE",IFERROR(IF(INDEX(MASTER!$I$4:$I$1463,MATCH("LEGENDS"&amp;"|"&amp;MAX(1,ROUND(COUNTIFS(MASTER!$B$4:$B$1463,"LEGENDS",MASTER!$I$4:$I$1463,"&lt;&gt;")*$A130*100/100,0)),MASTER!$Y$4:$Y$1463,0))="",NA(),INDEX(MASTER!$I$4:$I$1463,MATCH("LEGENDS"&amp;"|"&amp;MAX(1,ROUND(COUNTIFS(MASTER!$B$4:$B$1463,"LEGENDS",MASTER!$I$4:$I$1463,"&lt;&gt;")*$A130*100/100,0)),MASTER!$Y$4:$Y$1463,0))),NA()),IF($B$4="COMBAT RATING",IFERROR(IF(INDEX(MASTER!$G$4:$G$1463,MATCH("LEGENDS"&amp;"|"&amp;MAX(1,ROUND(COUNTIFS(MASTER!$B$4:$B$1463,"LEGENDS",MASTER!$G$4:$G$1463,"&lt;&gt;")*$A130*100/100,0)),MASTER!$AH$4:$AH$1463,0))="",NA(),INDEX(MASTER!$G$4:$G$1463,MATCH("LEGENDS"&amp;"|"&amp;MAX(1,ROUND(COUNTIFS(MASTER!$B$4:$B$1463,"LEGENDS",MASTER!$G$4:$G$1463,"&lt;&gt;")*$A130*100/100,0)),MASTER!$AH$4:$AH$1463,0))),NA()),IF($B$4="SECONDARY",IFERROR(IF(INDEX(MASTER!$L$4:$L$1463,MATCH("LEGENDS"&amp;"|"&amp;MAX(1,ROUND(COUNTIFS(MASTER!$B$4:$B$1463,"LEGENDS",MASTER!$L$4:$L$1463,"&lt;&gt;")*$A130*100/100,0)),MASTER!$AI$4:$AI$1463,0))="",NA(),INDEX(MASTER!$L$4:$L$1463,MATCH("LEGENDS"&amp;"|"&amp;MAX(1,ROUND(COUNTIFS(MASTER!$B$4:$B$1463,"LEGENDS",MASTER!$L$4:$L$1463,"&lt;&gt;")*$A130*100/100,0)),MASTER!$AI$4:$AI$1463,0))),NA()))))</f>
        <v>4156</v>
      </c>
      <c r="D130" s="37">
        <f>IF($B$4="RESONANCE",IFERROR(IF(INDEX(MASTER!$I$4:$I$1463,MATCH("VANGUARD"&amp;"|"&amp;MAX(1,ROUND(COUNTIFS(MASTER!$B$4:$B$1463,"VANGUARD",MASTER!$I$4:$I$1463,"&lt;&gt;")*$A130*100/100,0)),MASTER!$Y$4:$Y$1463,0))="",NA(),INDEX(MASTER!$I$4:$I$1463,MATCH("VANGUARD"&amp;"|"&amp;MAX(1,ROUND(COUNTIFS(MASTER!$B$4:$B$1463,"VANGUARD",MASTER!$I$4:$I$1463,"&lt;&gt;")*$A130*100/100,0)),MASTER!$Y$4:$Y$1463,0))),NA()),IF($B$4="COMBAT RATING",IFERROR(IF(INDEX(MASTER!$G$4:$G$1463,MATCH("VANGUARD"&amp;"|"&amp;MAX(1,ROUND(COUNTIFS(MASTER!$B$4:$B$1463,"VANGUARD",MASTER!$G$4:$G$1463,"&lt;&gt;")*$A130*100/100,0)),MASTER!$AH$4:$AH$1463,0))="",NA(),INDEX(MASTER!$G$4:$G$1463,MATCH("VANGUARD"&amp;"|"&amp;MAX(1,ROUND(COUNTIFS(MASTER!$B$4:$B$1463,"VANGUARD",MASTER!$G$4:$G$1463,"&lt;&gt;")*$A130*100/100,0)),MASTER!$AH$4:$AH$1463,0))),NA()),IF($B$4="SECONDARY",IFERROR(IF(INDEX(MASTER!$L$4:$L$1463,MATCH("VANGUARD"&amp;"|"&amp;MAX(1,ROUND(COUNTIFS(MASTER!$B$4:$B$1463,"VANGUARD",MASTER!$L$4:$L$1463,"&lt;&gt;")*$A130*100/100,0)),MASTER!$AI$4:$AI$1463,0))="",NA(),INDEX(MASTER!$L$4:$L$1463,MATCH("VANGUARD"&amp;"|"&amp;MAX(1,ROUND(COUNTIFS(MASTER!$B$4:$B$1463,"VANGUARD",MASTER!$L$4:$L$1463,"&lt;&gt;")*$A130*100/100,0)),MASTER!$AI$4:$AI$1463,0))),NA()))))</f>
        <v>4581</v>
      </c>
      <c r="E130" s="37">
        <f>IF($B$4="RESONANCE",IFERROR(IF(INDEX(MASTER!$I$4:$I$1463,MATCH("UNDYING"&amp;"|"&amp;MAX(1,ROUND(COUNTIFS(MASTER!$B$4:$B$1463,"UNDYING",MASTER!$I$4:$I$1463,"&lt;&gt;")*$A130*100/100,0)),MASTER!$Y$4:$Y$1463,0))="",NA(),INDEX(MASTER!$I$4:$I$1463,MATCH("UNDYING"&amp;"|"&amp;MAX(1,ROUND(COUNTIFS(MASTER!$B$4:$B$1463,"UNDYING",MASTER!$I$4:$I$1463,"&lt;&gt;")*$A130*100/100,0)),MASTER!$Y$4:$Y$1463,0))),NA()),IF($B$4="COMBAT RATING",IFERROR(IF(INDEX(MASTER!$G$4:$G$1463,MATCH("UNDYING"&amp;"|"&amp;MAX(1,ROUND(COUNTIFS(MASTER!$B$4:$B$1463,"UNDYING",MASTER!$G$4:$G$1463,"&lt;&gt;")*$A130*100/100,0)),MASTER!$AH$4:$AH$1463,0))="",NA(),INDEX(MASTER!$G$4:$G$1463,MATCH("UNDYING"&amp;"|"&amp;MAX(1,ROUND(COUNTIFS(MASTER!$B$4:$B$1463,"UNDYING",MASTER!$G$4:$G$1463,"&lt;&gt;")*$A130*100/100,0)),MASTER!$AH$4:$AH$1463,0))),NA()),IF($B$4="SECONDARY",IFERROR(IF(INDEX(MASTER!$L$4:$L$1463,MATCH("UNDYING"&amp;"|"&amp;MAX(1,ROUND(COUNTIFS(MASTER!$B$4:$B$1463,"UNDYING",MASTER!$L$4:$L$1463,"&lt;&gt;")*$A130*100/100,0)),MASTER!$AI$4:$AI$1463,0))="",NA(),INDEX(MASTER!$L$4:$L$1463,MATCH("UNDYING"&amp;"|"&amp;MAX(1,ROUND(COUNTIFS(MASTER!$B$4:$B$1463,"UNDYING",MASTER!$L$4:$L$1463,"&lt;&gt;")*$A130*100/100,0)),MASTER!$AI$4:$AI$1463,0))),NA()))))</f>
        <v>3401</v>
      </c>
      <c r="F130" s="37">
        <f>IF($B$4="RESONANCE",IFERROR(IF(INDEX(MASTER!$I$4:$I$1463,MATCH("SBG"&amp;"|"&amp;MAX(1,ROUND(COUNTIFS(MASTER!$B$4:$B$1463,"SBG",MASTER!$I$4:$I$1463,"&lt;&gt;")*$A130*100/100,0)),MASTER!$Y$4:$Y$1463,0))="",NA(),INDEX(MASTER!$I$4:$I$1463,MATCH("SBG"&amp;"|"&amp;MAX(1,ROUND(COUNTIFS(MASTER!$B$4:$B$1463,"SBG",MASTER!$I$4:$I$1463,"&lt;&gt;")*$A130*100/100,0)),MASTER!$Y$4:$Y$1463,0))),NA()),IF($B$4="COMBAT RATING",IFERROR(IF(INDEX(MASTER!$G$4:$G$1463,MATCH("SBG"&amp;"|"&amp;MAX(1,ROUND(COUNTIFS(MASTER!$B$4:$B$1463,"SBG",MASTER!$G$4:$G$1463,"&lt;&gt;")*$A130*100/100,0)),MASTER!$AH$4:$AH$1463,0))="",NA(),INDEX(MASTER!$G$4:$G$1463,MATCH("SBG"&amp;"|"&amp;MAX(1,ROUND(COUNTIFS(MASTER!$B$4:$B$1463,"SBG",MASTER!$G$4:$G$1463,"&lt;&gt;")*$A130*100/100,0)),MASTER!$AH$4:$AH$1463,0))),NA()),IF($B$4="SECONDARY",IFERROR(IF(INDEX(MASTER!$L$4:$L$1463,MATCH("SBG"&amp;"|"&amp;MAX(1,ROUND(COUNTIFS(MASTER!$B$4:$B$1463,"SBG",MASTER!$L$4:$L$1463,"&lt;&gt;")*$A130*100/100,0)),MASTER!$AI$4:$AI$1463,0))="",NA(),INDEX(MASTER!$L$4:$L$1463,MATCH("SBG"&amp;"|"&amp;MAX(1,ROUND(COUNTIFS(MASTER!$B$4:$B$1463,"SBG",MASTER!$L$4:$L$1463,"&lt;&gt;")*$A130*100/100,0)),MASTER!$AI$4:$AI$1463,0))),NA()))))</f>
        <v>3956</v>
      </c>
      <c r="G130" s="37">
        <f>IF($B$4="RESONANCE",IFERROR(IF(INDEX(MASTER!$I$4:$I$1463,MATCH("AZUKI"&amp;"|"&amp;MAX(1,ROUND(COUNTIFS(MASTER!$B$4:$B$1463,"AZUKI",MASTER!$I$4:$I$1463,"&lt;&gt;")*$A130*100/100,0)),MASTER!$Y$4:$Y$1463,0))="",NA(),INDEX(MASTER!$I$4:$I$1463,MATCH("AZUKI"&amp;"|"&amp;MAX(1,ROUND(COUNTIFS(MASTER!$B$4:$B$1463,"AZUKI",MASTER!$I$4:$I$1463,"&lt;&gt;")*$A130*100/100,0)),MASTER!$Y$4:$Y$1463,0))),NA()),IF($B$4="COMBAT RATING",IFERROR(IF(INDEX(MASTER!$G$4:$G$1463,MATCH("AZUKI"&amp;"|"&amp;MAX(1,ROUND(COUNTIFS(MASTER!$B$4:$B$1463,"AZUKI",MASTER!$G$4:$G$1463,"&lt;&gt;")*$A130*100/100,0)),MASTER!$AH$4:$AH$1463,0))="",NA(),INDEX(MASTER!$G$4:$G$1463,MATCH("AZUKI"&amp;"|"&amp;MAX(1,ROUND(COUNTIFS(MASTER!$B$4:$B$1463,"AZUKI",MASTER!$G$4:$G$1463,"&lt;&gt;")*$A130*100/100,0)),MASTER!$AH$4:$AH$1463,0))),NA()),IF($B$4="SECONDARY",IFERROR(IF(INDEX(MASTER!$L$4:$L$1463,MATCH("AZUKI"&amp;"|"&amp;MAX(1,ROUND(COUNTIFS(MASTER!$B$4:$B$1463,"AZUKI",MASTER!$L$4:$L$1463,"&lt;&gt;")*$A130*100/100,0)),MASTER!$AI$4:$AI$1463,0))="",NA(),INDEX(MASTER!$L$4:$L$1463,MATCH("AZUKI"&amp;"|"&amp;MAX(1,ROUND(COUNTIFS(MASTER!$B$4:$B$1463,"AZUKI",MASTER!$L$4:$L$1463,"&lt;&gt;")*$A130*100/100,0)),MASTER!$AI$4:$AI$1463,0))),NA()))))</f>
        <v>3478</v>
      </c>
      <c r="H130" s="37">
        <f>IF($B$4="RESONANCE",IFERROR(IF(INDEX(MASTER!$I$4:$I$1463,MATCH("RECKONING"&amp;"|"&amp;MAX(1,ROUND(COUNTIFS(MASTER!$B$4:$B$1463,"RECKONING",MASTER!$I$4:$I$1463,"&lt;&gt;")*$A130*100/100,0)),MASTER!$Y$4:$Y$1463,0))="",NA(),INDEX(MASTER!$I$4:$I$1463,MATCH("RECKONING"&amp;"|"&amp;MAX(1,ROUND(COUNTIFS(MASTER!$B$4:$B$1463,"RECKONING",MASTER!$I$4:$I$1463,"&lt;&gt;")*$A130*100/100,0)),MASTER!$Y$4:$Y$1463,0))),NA()),IF($B$4="COMBAT RATING",IFERROR(IF(INDEX(MASTER!$G$4:$G$1463,MATCH("RECKONING"&amp;"|"&amp;MAX(1,ROUND(COUNTIFS(MASTER!$B$4:$B$1463,"RECKONING",MASTER!$G$4:$G$1463,"&lt;&gt;")*$A130*100/100,0)),MASTER!$AH$4:$AH$1463,0))="",NA(),INDEX(MASTER!$G$4:$G$1463,MATCH("RECKONING"&amp;"|"&amp;MAX(1,ROUND(COUNTIFS(MASTER!$B$4:$B$1463,"RECKONING",MASTER!$G$4:$G$1463,"&lt;&gt;")*$A130*100/100,0)),MASTER!$AH$4:$AH$1463,0))),NA()),IF($B$4="SECONDARY",IFERROR(IF(INDEX(MASTER!$L$4:$L$1463,MATCH("RECKONING"&amp;"|"&amp;MAX(1,ROUND(COUNTIFS(MASTER!$B$4:$B$1463,"RECKONING",MASTER!$L$4:$L$1463,"&lt;&gt;")*$A130*100/100,0)),MASTER!$AI$4:$AI$1463,0))="",NA(),INDEX(MASTER!$L$4:$L$1463,MATCH("RECKONING"&amp;"|"&amp;MAX(1,ROUND(COUNTIFS(MASTER!$B$4:$B$1463,"RECKONING",MASTER!$L$4:$L$1463,"&lt;&gt;")*$A130*100/100,0)),MASTER!$AI$4:$AI$1463,0))),NA()))))</f>
        <v>3762</v>
      </c>
      <c r="I130" s="37">
        <f>IF($B$4="RESONANCE",IFERROR(IF(INDEX(MASTER!$I$4:$I$1463,MATCH("ACHERON"&amp;"|"&amp;MAX(1,ROUND(COUNTIFS(MASTER!$B$4:$B$1463,"ACHERON",MASTER!$I$4:$I$1463,"&lt;&gt;")*$A130*100/100,0)),MASTER!$Y$4:$Y$1463,0))="",NA(),INDEX(MASTER!$I$4:$I$1463,MATCH("ACHERON"&amp;"|"&amp;MAX(1,ROUND(COUNTIFS(MASTER!$B$4:$B$1463,"ACHERON",MASTER!$I$4:$I$1463,"&lt;&gt;")*$A130*100/100,0)),MASTER!$Y$4:$Y$1463,0))),NA()),IF($B$4="COMBAT RATING",IFERROR(IF(INDEX(MASTER!$G$4:$G$1463,MATCH("ACHERON"&amp;"|"&amp;MAX(1,ROUND(COUNTIFS(MASTER!$B$4:$B$1463,"ACHERON",MASTER!$G$4:$G$1463,"&lt;&gt;")*$A130*100/100,0)),MASTER!$AH$4:$AH$1463,0))="",NA(),INDEX(MASTER!$G$4:$G$1463,MATCH("ACHERON"&amp;"|"&amp;MAX(1,ROUND(COUNTIFS(MASTER!$B$4:$B$1463,"ACHERON",MASTER!$G$4:$G$1463,"&lt;&gt;")*$A130*100/100,0)),MASTER!$AH$4:$AH$1463,0))),NA()),IF($B$4="SECONDARY",IFERROR(IF(INDEX(MASTER!$L$4:$L$1463,MATCH("ACHERON"&amp;"|"&amp;MAX(1,ROUND(COUNTIFS(MASTER!$B$4:$B$1463,"ACHERON",MASTER!$L$4:$L$1463,"&lt;&gt;")*$A130*100/100,0)),MASTER!$AI$4:$AI$1463,0))="",NA(),INDEX(MASTER!$L$4:$L$1463,MATCH("ACHERON"&amp;"|"&amp;MAX(1,ROUND(COUNTIFS(MASTER!$B$4:$B$1463,"ACHERON",MASTER!$L$4:$L$1463,"&lt;&gt;")*$A130*100/100,0)),MASTER!$AI$4:$AI$1463,0))),NA()))))</f>
        <v>2877</v>
      </c>
      <c r="J130" s="37">
        <f>IF($B$4="RESONANCE",IFERROR(IF(INDEX(MASTER!$I$4:$I$1463,MATCH("INVICTUS"&amp;"|"&amp;MAX(1,ROUND(COUNTIFS(MASTER!$B$4:$B$1463,"INVICTUS",MASTER!$I$4:$I$1463,"&lt;&gt;")*$A130*100/100,0)),MASTER!$Y$4:$Y$1463,0))="",NA(),INDEX(MASTER!$I$4:$I$1463,MATCH("INVICTUS"&amp;"|"&amp;MAX(1,ROUND(COUNTIFS(MASTER!$B$4:$B$1463,"INVICTUS",MASTER!$I$4:$I$1463,"&lt;&gt;")*$A130*100/100,0)),MASTER!$Y$4:$Y$1463,0))),NA()),IF($B$4="COMBAT RATING",IFERROR(IF(INDEX(MASTER!$G$4:$G$1463,MATCH("INVICTUS"&amp;"|"&amp;MAX(1,ROUND(COUNTIFS(MASTER!$B$4:$B$1463,"INVICTUS",MASTER!$G$4:$G$1463,"&lt;&gt;")*$A130*100/100,0)),MASTER!$AH$4:$AH$1463,0))="",NA(),INDEX(MASTER!$G$4:$G$1463,MATCH("INVICTUS"&amp;"|"&amp;MAX(1,ROUND(COUNTIFS(MASTER!$B$4:$B$1463,"INVICTUS",MASTER!$G$4:$G$1463,"&lt;&gt;")*$A130*100/100,0)),MASTER!$AH$4:$AH$1463,0))),NA()),IF($B$4="SECONDARY",IFERROR(IF(INDEX(MASTER!$L$4:$L$1463,MATCH("INVICTUS"&amp;"|"&amp;MAX(1,ROUND(COUNTIFS(MASTER!$B$4:$B$1463,"INVICTUS",MASTER!$L$4:$L$1463,"&lt;&gt;")*$A130*100/100,0)),MASTER!$AI$4:$AI$1463,0))="",NA(),INDEX(MASTER!$L$4:$L$1463,MATCH("INVICTUS"&amp;"|"&amp;MAX(1,ROUND(COUNTIFS(MASTER!$B$4:$B$1463,"INVICTUS",MASTER!$L$4:$L$1463,"&lt;&gt;")*$A130*100/100,0)),MASTER!$AI$4:$AI$1463,0))),NA()))))</f>
        <v>2234</v>
      </c>
      <c r="K130" s="37">
        <f>IF($B$4="RESONANCE",IFERROR(IF(INDEX(MASTER!$I$4:$I$1463,MATCH("EMERALD LEAF TRIBE"&amp;"|"&amp;MAX(1,ROUND(COUNTIFS(MASTER!$B$4:$B$1463,"EMERALD LEAF TRIBE",MASTER!$I$4:$I$1463,"&lt;&gt;")*$A130*100/100,0)),MASTER!$Y$4:$Y$1463,0))="",NA(),INDEX(MASTER!$I$4:$I$1463,MATCH("EMERALD LEAF TRIBE"&amp;"|"&amp;MAX(1,ROUND(COUNTIFS(MASTER!$B$4:$B$1463,"EMERALD LEAF TRIBE",MASTER!$I$4:$I$1463,"&lt;&gt;")*$A130*100/100,0)),MASTER!$Y$4:$Y$1463,0))),NA()),IF($B$4="COMBAT RATING",IFERROR(IF(INDEX(MASTER!$G$4:$G$1463,MATCH("EMERALD LEAF TRIBE"&amp;"|"&amp;MAX(1,ROUND(COUNTIFS(MASTER!$B$4:$B$1463,"EMERALD LEAF TRIBE",MASTER!$G$4:$G$1463,"&lt;&gt;")*$A130*100/100,0)),MASTER!$AH$4:$AH$1463,0))="",NA(),INDEX(MASTER!$G$4:$G$1463,MATCH("EMERALD LEAF TRIBE"&amp;"|"&amp;MAX(1,ROUND(COUNTIFS(MASTER!$B$4:$B$1463,"EMERALD LEAF TRIBE",MASTER!$G$4:$G$1463,"&lt;&gt;")*$A130*100/100,0)),MASTER!$AH$4:$AH$1463,0))),NA()),IF($B$4="SECONDARY",IFERROR(IF(INDEX(MASTER!$L$4:$L$1463,MATCH("EMERALD LEAF TRIBE"&amp;"|"&amp;MAX(1,ROUND(COUNTIFS(MASTER!$B$4:$B$1463,"EMERALD LEAF TRIBE",MASTER!$L$4:$L$1463,"&lt;&gt;")*$A130*100/100,0)),MASTER!$AI$4:$AI$1463,0))="",NA(),INDEX(MASTER!$L$4:$L$1463,MATCH("EMERALD LEAF TRIBE"&amp;"|"&amp;MAX(1,ROUND(COUNTIFS(MASTER!$B$4:$B$1463,"EMERALD LEAF TRIBE",MASTER!$L$4:$L$1463,"&lt;&gt;")*$A130*100/100,0)),MASTER!$AI$4:$AI$1463,0))),NA()))))</f>
        <v>1430</v>
      </c>
      <c r="L130" s="37">
        <f>IF($B$4="RESONANCE",IFERROR(IF(INDEX(MASTER!$I$4:$I$1463,MATCH("SUB ROSA"&amp;"|"&amp;MAX(1,ROUND(COUNTIFS(MASTER!$B$4:$B$1463,"SUB ROSA",MASTER!$I$4:$I$1463,"&lt;&gt;")*$A130*100/100,0)),MASTER!$Y$4:$Y$1463,0))="",NA(),INDEX(MASTER!$I$4:$I$1463,MATCH("SUB ROSA"&amp;"|"&amp;MAX(1,ROUND(COUNTIFS(MASTER!$B$4:$B$1463,"SUB ROSA",MASTER!$I$4:$I$1463,"&lt;&gt;")*$A130*100/100,0)),MASTER!$Y$4:$Y$1463,0))),NA()),IF($B$4="COMBAT RATING",IFERROR(IF(INDEX(MASTER!$G$4:$G$1463,MATCH("SUB ROSA"&amp;"|"&amp;MAX(1,ROUND(COUNTIFS(MASTER!$B$4:$B$1463,"SUB ROSA",MASTER!$G$4:$G$1463,"&lt;&gt;")*$A130*100/100,0)),MASTER!$AH$4:$AH$1463,0))="",NA(),INDEX(MASTER!$G$4:$G$1463,MATCH("SUB ROSA"&amp;"|"&amp;MAX(1,ROUND(COUNTIFS(MASTER!$B$4:$B$1463,"SUB ROSA",MASTER!$G$4:$G$1463,"&lt;&gt;")*$A130*100/100,0)),MASTER!$AH$4:$AH$1463,0))),NA()),IF($B$4="SECONDARY",IFERROR(IF(INDEX(MASTER!$L$4:$L$1463,MATCH("SUB ROSA"&amp;"|"&amp;MAX(1,ROUND(COUNTIFS(MASTER!$B$4:$B$1463,"SUB ROSA",MASTER!$L$4:$L$1463,"&lt;&gt;")*$A130*100/100,0)),MASTER!$AI$4:$AI$1463,0))="",NA(),INDEX(MASTER!$L$4:$L$1463,MATCH("SUB ROSA"&amp;"|"&amp;MAX(1,ROUND(COUNTIFS(MASTER!$B$4:$B$1463,"SUB ROSA",MASTER!$L$4:$L$1463,"&lt;&gt;")*$A130*100/100,0)),MASTER!$AI$4:$AI$1463,0))),NA()))))</f>
        <v>1533</v>
      </c>
      <c r="M130" s="37">
        <f>IF($B$4="RESONANCE",IFERROR(IF(INDEX(MASTER!$I$4:$I$1463,MATCH("VENGEANCE"&amp;"|"&amp;MAX(1,ROUND(COUNTIFS(MASTER!$B$4:$B$1463,"VENGEANCE",MASTER!$I$4:$I$1463,"&lt;&gt;")*$A130*100/100,0)),MASTER!$Y$4:$Y$1463,0))="",NA(),INDEX(MASTER!$I$4:$I$1463,MATCH("VENGEANCE"&amp;"|"&amp;MAX(1,ROUND(COUNTIFS(MASTER!$B$4:$B$1463,"VENGEANCE",MASTER!$I$4:$I$1463,"&lt;&gt;")*$A130*100/100,0)),MASTER!$Y$4:$Y$1463,0))),NA()),IF($B$4="COMBAT RATING",IFERROR(IF(INDEX(MASTER!$G$4:$G$1463,MATCH("VENGEANCE"&amp;"|"&amp;MAX(1,ROUND(COUNTIFS(MASTER!$B$4:$B$1463,"VENGEANCE",MASTER!$G$4:$G$1463,"&lt;&gt;")*$A130*100/100,0)),MASTER!$AH$4:$AH$1463,0))="",NA(),INDEX(MASTER!$G$4:$G$1463,MATCH("VENGEANCE"&amp;"|"&amp;MAX(1,ROUND(COUNTIFS(MASTER!$B$4:$B$1463,"VENGEANCE",MASTER!$G$4:$G$1463,"&lt;&gt;")*$A130*100/100,0)),MASTER!$AH$4:$AH$1463,0))),NA()),IF($B$4="SECONDARY",IFERROR(IF(INDEX(MASTER!$L$4:$L$1463,MATCH("VENGEANCE"&amp;"|"&amp;MAX(1,ROUND(COUNTIFS(MASTER!$B$4:$B$1463,"VENGEANCE",MASTER!$L$4:$L$1463,"&lt;&gt;")*$A130*100/100,0)),MASTER!$AI$4:$AI$1463,0))="",NA(),INDEX(MASTER!$L$4:$L$1463,MATCH("VENGEANCE"&amp;"|"&amp;MAX(1,ROUND(COUNTIFS(MASTER!$B$4:$B$1463,"VENGEANCE",MASTER!$L$4:$L$1463,"&lt;&gt;")*$A130*100/100,0)),MASTER!$AI$4:$AI$1463,0))),NA()))))</f>
        <v>2536</v>
      </c>
      <c r="N130" s="37">
        <f>IF($B$4="RESONANCE",IFERROR(IF(INDEX(MASTER!$I$4:$I$1463,MATCH("VENDETTA"&amp;"|"&amp;MAX(1,ROUND(COUNTIFS(MASTER!$B$4:$B$1463,"VENDETTA",MASTER!$I$4:$I$1463,"&lt;&gt;")*$A130*100/100,0)),MASTER!$Y$4:$Y$1463,0))="",NA(),INDEX(MASTER!$I$4:$I$1463,MATCH("VENDETTA"&amp;"|"&amp;MAX(1,ROUND(COUNTIFS(MASTER!$B$4:$B$1463,"VENDETTA",MASTER!$I$4:$I$1463,"&lt;&gt;")*$A130*100/100,0)),MASTER!$Y$4:$Y$1463,0))),NA()),IF($B$4="COMBAT RATING",IFERROR(IF(INDEX(MASTER!$G$4:$G$1463,MATCH("VENDETTA"&amp;"|"&amp;MAX(1,ROUND(COUNTIFS(MASTER!$B$4:$B$1463,"VENDETTA",MASTER!$G$4:$G$1463,"&lt;&gt;")*$A130*100/100,0)),MASTER!$AH$4:$AH$1463,0))="",NA(),INDEX(MASTER!$G$4:$G$1463,MATCH("VENDETTA"&amp;"|"&amp;MAX(1,ROUND(COUNTIFS(MASTER!$B$4:$B$1463,"VENDETTA",MASTER!$G$4:$G$1463,"&lt;&gt;")*$A130*100/100,0)),MASTER!$AH$4:$AH$1463,0))),NA()),IF($B$4="SECONDARY",IFERROR(IF(INDEX(MASTER!$L$4:$L$1463,MATCH("VENDETTA"&amp;"|"&amp;MAX(1,ROUND(COUNTIFS(MASTER!$B$4:$B$1463,"VENDETTA",MASTER!$L$4:$L$1463,"&lt;&gt;")*$A130*100/100,0)),MASTER!$AI$4:$AI$1463,0))="",NA(),INDEX(MASTER!$L$4:$L$1463,MATCH("VENDETTA"&amp;"|"&amp;MAX(1,ROUND(COUNTIFS(MASTER!$B$4:$B$1463,"VENDETTA",MASTER!$L$4:$L$1463,"&lt;&gt;")*$A130*100/100,0)),MASTER!$AI$4:$AI$1463,0))),NA()))))</f>
        <v>1422</v>
      </c>
      <c r="O130" s="37">
        <f>IF($B$4="RESONANCE",IFERROR(IF(INDEX(MASTER!$I$4:$I$1463,MATCH("ZOMBIES"&amp;"|"&amp;MAX(1,ROUND(COUNTIFS(MASTER!$B$4:$B$1463,"ZOMBIES",MASTER!$I$4:$I$1463,"&lt;&gt;")*$A130*100/100,0)),MASTER!$Y$4:$Y$1463,0))="",NA(),INDEX(MASTER!$I$4:$I$1463,MATCH("ZOMBIES"&amp;"|"&amp;MAX(1,ROUND(COUNTIFS(MASTER!$B$4:$B$1463,"ZOMBIES",MASTER!$I$4:$I$1463,"&lt;&gt;")*$A130*100/100,0)),MASTER!$Y$4:$Y$1463,0))),NA()),IF($B$4="COMBAT RATING",IFERROR(IF(INDEX(MASTER!$G$4:$G$1463,MATCH("ZOMBIES"&amp;"|"&amp;MAX(1,ROUND(COUNTIFS(MASTER!$B$4:$B$1463,"ZOMBIES",MASTER!$G$4:$G$1463,"&lt;&gt;")*$A130*100/100,0)),MASTER!$AH$4:$AH$1463,0))="",NA(),INDEX(MASTER!$G$4:$G$1463,MATCH("ZOMBIES"&amp;"|"&amp;MAX(1,ROUND(COUNTIFS(MASTER!$B$4:$B$1463,"ZOMBIES",MASTER!$G$4:$G$1463,"&lt;&gt;")*$A130*100/100,0)),MASTER!$AH$4:$AH$1463,0))),NA()),IF($B$4="SECONDARY",IFERROR(IF(INDEX(MASTER!$L$4:$L$1463,MATCH("ZOMBIES"&amp;"|"&amp;MAX(1,ROUND(COUNTIFS(MASTER!$B$4:$B$1463,"ZOMBIES",MASTER!$L$4:$L$1463,"&lt;&gt;")*$A130*100/100,0)),MASTER!$AI$4:$AI$1463,0))="",NA(),INDEX(MASTER!$L$4:$L$1463,MATCH("ZOMBIES"&amp;"|"&amp;MAX(1,ROUND(COUNTIFS(MASTER!$B$4:$B$1463,"ZOMBIES",MASTER!$L$4:$L$1463,"&lt;&gt;")*$A130*100/100,0)),MASTER!$AI$4:$AI$1463,0))),NA()))))</f>
        <v>1150</v>
      </c>
      <c r="P130" s="37">
        <f>IF($B$4="RESONANCE",IFERROR(IF(INDEX(MASTER!$I$4:$I$1463,MATCH("FUCT"&amp;"|"&amp;MAX(1,ROUND(COUNTIFS(MASTER!$B$4:$B$1463,"FUCT",MASTER!$I$4:$I$1463,"&lt;&gt;")*$A130*100/100,0)),MASTER!$Y$4:$Y$1463,0))="",NA(),INDEX(MASTER!$I$4:$I$1463,MATCH("FUCT"&amp;"|"&amp;MAX(1,ROUND(COUNTIFS(MASTER!$B$4:$B$1463,"FUCT",MASTER!$I$4:$I$1463,"&lt;&gt;")*$A130*100/100,0)),MASTER!$Y$4:$Y$1463,0))),NA()),IF($B$4="COMBAT RATING",IFERROR(IF(INDEX(MASTER!$G$4:$G$1463,MATCH("FUCT"&amp;"|"&amp;MAX(1,ROUND(COUNTIFS(MASTER!$B$4:$B$1463,"FUCT",MASTER!$G$4:$G$1463,"&lt;&gt;")*$A130*100/100,0)),MASTER!$AH$4:$AH$1463,0))="",NA(),INDEX(MASTER!$G$4:$G$1463,MATCH("FUCT"&amp;"|"&amp;MAX(1,ROUND(COUNTIFS(MASTER!$B$4:$B$1463,"FUCT",MASTER!$G$4:$G$1463,"&lt;&gt;")*$A130*100/100,0)),MASTER!$AH$4:$AH$1463,0))),NA()),IF($B$4="SECONDARY",IFERROR(IF(INDEX(MASTER!$L$4:$L$1463,MATCH("FUCT"&amp;"|"&amp;MAX(1,ROUND(COUNTIFS(MASTER!$B$4:$B$1463,"FUCT",MASTER!$L$4:$L$1463,"&lt;&gt;")*$A130*100/100,0)),MASTER!$AI$4:$AI$1463,0))="",NA(),INDEX(MASTER!$L$4:$L$1463,MATCH("FUCT"&amp;"|"&amp;MAX(1,ROUND(COUNTIFS(MASTER!$B$4:$B$1463,"FUCT",MASTER!$L$4:$L$1463,"&lt;&gt;")*$A130*100/100,0)),MASTER!$AI$4:$AI$1463,0))),NA()))))</f>
        <v>3498</v>
      </c>
      <c r="Q130" s="37">
        <f>IF($B$4="RESONANCE",IFERROR(IF(INDEX(MASTER!$I$4:$I$1463,MATCH($E$4&amp;"|"&amp;MAX(1,ROUND(COUNTIFS(MASTER!$B$4:$B$1463,$E$4,MASTER!$I$4:$I$1463,"&lt;&gt;")*$A130*100/100,0)),MASTER!$Y$4:$Y$1463,0))="",NA(),INDEX(MASTER!$I$4:$I$1463,MATCH($E$4&amp;"|"&amp;MAX(1,ROUND(COUNTIFS(MASTER!$B$4:$B$1463,$E$4,MASTER!$I$4:$I$1463,"&lt;&gt;")*$A130*100/100,0)),MASTER!$Y$4:$Y$1463,0))),NA()),IF($B$4="COMBAT RATING",IFERROR(IF(INDEX(MASTER!$G$4:$G$1463,MATCH($E$4&amp;"|"&amp;MAX(1,ROUND(COUNTIFS(MASTER!$B$4:$B$1463,$E$4,MASTER!$G$4:$G$1463,"&lt;&gt;")*$A130*100/100,0)),MASTER!$AH$4:$AH$1463,0))="",NA(),INDEX(MASTER!$G$4:$G$1463,MATCH($E$4&amp;"|"&amp;MAX(1,ROUND(COUNTIFS(MASTER!$B$4:$B$1463,$E$4,MASTER!$G$4:$G$1463,"&lt;&gt;")*$A130*100/100,0)),MASTER!$AH$4:$AH$1463,0))),NA()),IF($B$4="SECONDARY",IFERROR(IF(INDEX(MASTER!$L$4:$L$1463,MATCH($E$4&amp;"|"&amp;MAX(1,ROUND(COUNTIFS(MASTER!$B$4:$B$1463,$E$4,MASTER!$L$4:$L$1463,"&lt;&gt;")*$A130*100/100,0)),MASTER!$AI$4:$AI$1463,0))="",NA(),INDEX(MASTER!$L$4:$L$1463,MATCH($E$4&amp;"|"&amp;MAX(1,ROUND(COUNTIFS(MASTER!$B$4:$B$1463,$E$4,MASTER!$L$4:$L$1463,"&lt;&gt;")*$A130*100/100,0)),MASTER!$AI$4:$AI$1463,0))),NA()))))</f>
        <v>3401</v>
      </c>
    </row>
    <row r="131" spans="1:17" hidden="1">
      <c r="A131" s="36">
        <v>0.76</v>
      </c>
      <c r="B131" s="37">
        <f>IF($B$4="RESONANCE",IFERROR(IF(INDEX(MASTER!$I$4:$I$1463,MATCH("FUCT"&amp;"|"&amp;MAX(1,ROUND(COUNTIFS(MASTER!$B$4:$B$1463,"FUCT",MASTER!$I$4:$I$1463,"&lt;&gt;")*$A131*100/100,0)),MASTER!$Y$4:$Y$1463,0))="",NA(),INDEX(MASTER!$I$4:$I$1463,MATCH("FUCT"&amp;"|"&amp;MAX(1,ROUND(COUNTIFS(MASTER!$B$4:$B$1463,"FUCT",MASTER!$I$4:$I$1463,"&lt;&gt;")*$A131*100/100,0)),MASTER!$Y$4:$Y$1463,0))),NA()),IF($B$4="COMBAT RATING",IFERROR(IF(INDEX(MASTER!$G$4:$G$1463,MATCH("FUCT"&amp;"|"&amp;MAX(1,ROUND(COUNTIFS(MASTER!$B$4:$B$1463,"FUCT",MASTER!$G$4:$G$1463,"&lt;&gt;")*$A131*100/100,0)),MASTER!$AH$4:$AH$1463,0))="",NA(),INDEX(MASTER!$G$4:$G$1463,MATCH("FUCT"&amp;"|"&amp;MAX(1,ROUND(COUNTIFS(MASTER!$B$4:$B$1463,"FUCT",MASTER!$G$4:$G$1463,"&lt;&gt;")*$A131*100/100,0)),MASTER!$AH$4:$AH$1463,0))),NA()),IF($B$4="SECONDARY",IFERROR(IF(INDEX(MASTER!$L$4:$L$1463,MATCH("FUCT"&amp;"|"&amp;MAX(1,ROUND(COUNTIFS(MASTER!$B$4:$B$1463,"FUCT",MASTER!$L$4:$L$1463,"&lt;&gt;")*$A131*100/100,0)),MASTER!$AI$4:$AI$1463,0))="",NA(),INDEX(MASTER!$L$4:$L$1463,MATCH("FUCT"&amp;"|"&amp;MAX(1,ROUND(COUNTIFS(MASTER!$B$4:$B$1463,"FUCT",MASTER!$L$4:$L$1463,"&lt;&gt;")*$A131*100/100,0)),MASTER!$AI$4:$AI$1463,0))),NA()))))</f>
        <v>3498</v>
      </c>
      <c r="C131" s="37">
        <f>IF($B$4="RESONANCE",IFERROR(IF(INDEX(MASTER!$I$4:$I$1463,MATCH("LEGENDS"&amp;"|"&amp;MAX(1,ROUND(COUNTIFS(MASTER!$B$4:$B$1463,"LEGENDS",MASTER!$I$4:$I$1463,"&lt;&gt;")*$A131*100/100,0)),MASTER!$Y$4:$Y$1463,0))="",NA(),INDEX(MASTER!$I$4:$I$1463,MATCH("LEGENDS"&amp;"|"&amp;MAX(1,ROUND(COUNTIFS(MASTER!$B$4:$B$1463,"LEGENDS",MASTER!$I$4:$I$1463,"&lt;&gt;")*$A131*100/100,0)),MASTER!$Y$4:$Y$1463,0))),NA()),IF($B$4="COMBAT RATING",IFERROR(IF(INDEX(MASTER!$G$4:$G$1463,MATCH("LEGENDS"&amp;"|"&amp;MAX(1,ROUND(COUNTIFS(MASTER!$B$4:$B$1463,"LEGENDS",MASTER!$G$4:$G$1463,"&lt;&gt;")*$A131*100/100,0)),MASTER!$AH$4:$AH$1463,0))="",NA(),INDEX(MASTER!$G$4:$G$1463,MATCH("LEGENDS"&amp;"|"&amp;MAX(1,ROUND(COUNTIFS(MASTER!$B$4:$B$1463,"LEGENDS",MASTER!$G$4:$G$1463,"&lt;&gt;")*$A131*100/100,0)),MASTER!$AH$4:$AH$1463,0))),NA()),IF($B$4="SECONDARY",IFERROR(IF(INDEX(MASTER!$L$4:$L$1463,MATCH("LEGENDS"&amp;"|"&amp;MAX(1,ROUND(COUNTIFS(MASTER!$B$4:$B$1463,"LEGENDS",MASTER!$L$4:$L$1463,"&lt;&gt;")*$A131*100/100,0)),MASTER!$AI$4:$AI$1463,0))="",NA(),INDEX(MASTER!$L$4:$L$1463,MATCH("LEGENDS"&amp;"|"&amp;MAX(1,ROUND(COUNTIFS(MASTER!$B$4:$B$1463,"LEGENDS",MASTER!$L$4:$L$1463,"&lt;&gt;")*$A131*100/100,0)),MASTER!$AI$4:$AI$1463,0))),NA()))))</f>
        <v>3950</v>
      </c>
      <c r="D131" s="37">
        <f>IF($B$4="RESONANCE",IFERROR(IF(INDEX(MASTER!$I$4:$I$1463,MATCH("VANGUARD"&amp;"|"&amp;MAX(1,ROUND(COUNTIFS(MASTER!$B$4:$B$1463,"VANGUARD",MASTER!$I$4:$I$1463,"&lt;&gt;")*$A131*100/100,0)),MASTER!$Y$4:$Y$1463,0))="",NA(),INDEX(MASTER!$I$4:$I$1463,MATCH("VANGUARD"&amp;"|"&amp;MAX(1,ROUND(COUNTIFS(MASTER!$B$4:$B$1463,"VANGUARD",MASTER!$I$4:$I$1463,"&lt;&gt;")*$A131*100/100,0)),MASTER!$Y$4:$Y$1463,0))),NA()),IF($B$4="COMBAT RATING",IFERROR(IF(INDEX(MASTER!$G$4:$G$1463,MATCH("VANGUARD"&amp;"|"&amp;MAX(1,ROUND(COUNTIFS(MASTER!$B$4:$B$1463,"VANGUARD",MASTER!$G$4:$G$1463,"&lt;&gt;")*$A131*100/100,0)),MASTER!$AH$4:$AH$1463,0))="",NA(),INDEX(MASTER!$G$4:$G$1463,MATCH("VANGUARD"&amp;"|"&amp;MAX(1,ROUND(COUNTIFS(MASTER!$B$4:$B$1463,"VANGUARD",MASTER!$G$4:$G$1463,"&lt;&gt;")*$A131*100/100,0)),MASTER!$AH$4:$AH$1463,0))),NA()),IF($B$4="SECONDARY",IFERROR(IF(INDEX(MASTER!$L$4:$L$1463,MATCH("VANGUARD"&amp;"|"&amp;MAX(1,ROUND(COUNTIFS(MASTER!$B$4:$B$1463,"VANGUARD",MASTER!$L$4:$L$1463,"&lt;&gt;")*$A131*100/100,0)),MASTER!$AI$4:$AI$1463,0))="",NA(),INDEX(MASTER!$L$4:$L$1463,MATCH("VANGUARD"&amp;"|"&amp;MAX(1,ROUND(COUNTIFS(MASTER!$B$4:$B$1463,"VANGUARD",MASTER!$L$4:$L$1463,"&lt;&gt;")*$A131*100/100,0)),MASTER!$AI$4:$AI$1463,0))),NA()))))</f>
        <v>4522</v>
      </c>
      <c r="E131" s="37">
        <f>IF($B$4="RESONANCE",IFERROR(IF(INDEX(MASTER!$I$4:$I$1463,MATCH("UNDYING"&amp;"|"&amp;MAX(1,ROUND(COUNTIFS(MASTER!$B$4:$B$1463,"UNDYING",MASTER!$I$4:$I$1463,"&lt;&gt;")*$A131*100/100,0)),MASTER!$Y$4:$Y$1463,0))="",NA(),INDEX(MASTER!$I$4:$I$1463,MATCH("UNDYING"&amp;"|"&amp;MAX(1,ROUND(COUNTIFS(MASTER!$B$4:$B$1463,"UNDYING",MASTER!$I$4:$I$1463,"&lt;&gt;")*$A131*100/100,0)),MASTER!$Y$4:$Y$1463,0))),NA()),IF($B$4="COMBAT RATING",IFERROR(IF(INDEX(MASTER!$G$4:$G$1463,MATCH("UNDYING"&amp;"|"&amp;MAX(1,ROUND(COUNTIFS(MASTER!$B$4:$B$1463,"UNDYING",MASTER!$G$4:$G$1463,"&lt;&gt;")*$A131*100/100,0)),MASTER!$AH$4:$AH$1463,0))="",NA(),INDEX(MASTER!$G$4:$G$1463,MATCH("UNDYING"&amp;"|"&amp;MAX(1,ROUND(COUNTIFS(MASTER!$B$4:$B$1463,"UNDYING",MASTER!$G$4:$G$1463,"&lt;&gt;")*$A131*100/100,0)),MASTER!$AH$4:$AH$1463,0))),NA()),IF($B$4="SECONDARY",IFERROR(IF(INDEX(MASTER!$L$4:$L$1463,MATCH("UNDYING"&amp;"|"&amp;MAX(1,ROUND(COUNTIFS(MASTER!$B$4:$B$1463,"UNDYING",MASTER!$L$4:$L$1463,"&lt;&gt;")*$A131*100/100,0)),MASTER!$AI$4:$AI$1463,0))="",NA(),INDEX(MASTER!$L$4:$L$1463,MATCH("UNDYING"&amp;"|"&amp;MAX(1,ROUND(COUNTIFS(MASTER!$B$4:$B$1463,"UNDYING",MASTER!$L$4:$L$1463,"&lt;&gt;")*$A131*100/100,0)),MASTER!$AI$4:$AI$1463,0))),NA()))))</f>
        <v>3342</v>
      </c>
      <c r="F131" s="37">
        <f>IF($B$4="RESONANCE",IFERROR(IF(INDEX(MASTER!$I$4:$I$1463,MATCH("SBG"&amp;"|"&amp;MAX(1,ROUND(COUNTIFS(MASTER!$B$4:$B$1463,"SBG",MASTER!$I$4:$I$1463,"&lt;&gt;")*$A131*100/100,0)),MASTER!$Y$4:$Y$1463,0))="",NA(),INDEX(MASTER!$I$4:$I$1463,MATCH("SBG"&amp;"|"&amp;MAX(1,ROUND(COUNTIFS(MASTER!$B$4:$B$1463,"SBG",MASTER!$I$4:$I$1463,"&lt;&gt;")*$A131*100/100,0)),MASTER!$Y$4:$Y$1463,0))),NA()),IF($B$4="COMBAT RATING",IFERROR(IF(INDEX(MASTER!$G$4:$G$1463,MATCH("SBG"&amp;"|"&amp;MAX(1,ROUND(COUNTIFS(MASTER!$B$4:$B$1463,"SBG",MASTER!$G$4:$G$1463,"&lt;&gt;")*$A131*100/100,0)),MASTER!$AH$4:$AH$1463,0))="",NA(),INDEX(MASTER!$G$4:$G$1463,MATCH("SBG"&amp;"|"&amp;MAX(1,ROUND(COUNTIFS(MASTER!$B$4:$B$1463,"SBG",MASTER!$G$4:$G$1463,"&lt;&gt;")*$A131*100/100,0)),MASTER!$AH$4:$AH$1463,0))),NA()),IF($B$4="SECONDARY",IFERROR(IF(INDEX(MASTER!$L$4:$L$1463,MATCH("SBG"&amp;"|"&amp;MAX(1,ROUND(COUNTIFS(MASTER!$B$4:$B$1463,"SBG",MASTER!$L$4:$L$1463,"&lt;&gt;")*$A131*100/100,0)),MASTER!$AI$4:$AI$1463,0))="",NA(),INDEX(MASTER!$L$4:$L$1463,MATCH("SBG"&amp;"|"&amp;MAX(1,ROUND(COUNTIFS(MASTER!$B$4:$B$1463,"SBG",MASTER!$L$4:$L$1463,"&lt;&gt;")*$A131*100/100,0)),MASTER!$AI$4:$AI$1463,0))),NA()))))</f>
        <v>3936</v>
      </c>
      <c r="G131" s="37">
        <f>IF($B$4="RESONANCE",IFERROR(IF(INDEX(MASTER!$I$4:$I$1463,MATCH("AZUKI"&amp;"|"&amp;MAX(1,ROUND(COUNTIFS(MASTER!$B$4:$B$1463,"AZUKI",MASTER!$I$4:$I$1463,"&lt;&gt;")*$A131*100/100,0)),MASTER!$Y$4:$Y$1463,0))="",NA(),INDEX(MASTER!$I$4:$I$1463,MATCH("AZUKI"&amp;"|"&amp;MAX(1,ROUND(COUNTIFS(MASTER!$B$4:$B$1463,"AZUKI",MASTER!$I$4:$I$1463,"&lt;&gt;")*$A131*100/100,0)),MASTER!$Y$4:$Y$1463,0))),NA()),IF($B$4="COMBAT RATING",IFERROR(IF(INDEX(MASTER!$G$4:$G$1463,MATCH("AZUKI"&amp;"|"&amp;MAX(1,ROUND(COUNTIFS(MASTER!$B$4:$B$1463,"AZUKI",MASTER!$G$4:$G$1463,"&lt;&gt;")*$A131*100/100,0)),MASTER!$AH$4:$AH$1463,0))="",NA(),INDEX(MASTER!$G$4:$G$1463,MATCH("AZUKI"&amp;"|"&amp;MAX(1,ROUND(COUNTIFS(MASTER!$B$4:$B$1463,"AZUKI",MASTER!$G$4:$G$1463,"&lt;&gt;")*$A131*100/100,0)),MASTER!$AH$4:$AH$1463,0))),NA()),IF($B$4="SECONDARY",IFERROR(IF(INDEX(MASTER!$L$4:$L$1463,MATCH("AZUKI"&amp;"|"&amp;MAX(1,ROUND(COUNTIFS(MASTER!$B$4:$B$1463,"AZUKI",MASTER!$L$4:$L$1463,"&lt;&gt;")*$A131*100/100,0)),MASTER!$AI$4:$AI$1463,0))="",NA(),INDEX(MASTER!$L$4:$L$1463,MATCH("AZUKI"&amp;"|"&amp;MAX(1,ROUND(COUNTIFS(MASTER!$B$4:$B$1463,"AZUKI",MASTER!$L$4:$L$1463,"&lt;&gt;")*$A131*100/100,0)),MASTER!$AI$4:$AI$1463,0))),NA()))))</f>
        <v>3410</v>
      </c>
      <c r="H131" s="37">
        <f>IF($B$4="RESONANCE",IFERROR(IF(INDEX(MASTER!$I$4:$I$1463,MATCH("RECKONING"&amp;"|"&amp;MAX(1,ROUND(COUNTIFS(MASTER!$B$4:$B$1463,"RECKONING",MASTER!$I$4:$I$1463,"&lt;&gt;")*$A131*100/100,0)),MASTER!$Y$4:$Y$1463,0))="",NA(),INDEX(MASTER!$I$4:$I$1463,MATCH("RECKONING"&amp;"|"&amp;MAX(1,ROUND(COUNTIFS(MASTER!$B$4:$B$1463,"RECKONING",MASTER!$I$4:$I$1463,"&lt;&gt;")*$A131*100/100,0)),MASTER!$Y$4:$Y$1463,0))),NA()),IF($B$4="COMBAT RATING",IFERROR(IF(INDEX(MASTER!$G$4:$G$1463,MATCH("RECKONING"&amp;"|"&amp;MAX(1,ROUND(COUNTIFS(MASTER!$B$4:$B$1463,"RECKONING",MASTER!$G$4:$G$1463,"&lt;&gt;")*$A131*100/100,0)),MASTER!$AH$4:$AH$1463,0))="",NA(),INDEX(MASTER!$G$4:$G$1463,MATCH("RECKONING"&amp;"|"&amp;MAX(1,ROUND(COUNTIFS(MASTER!$B$4:$B$1463,"RECKONING",MASTER!$G$4:$G$1463,"&lt;&gt;")*$A131*100/100,0)),MASTER!$AH$4:$AH$1463,0))),NA()),IF($B$4="SECONDARY",IFERROR(IF(INDEX(MASTER!$L$4:$L$1463,MATCH("RECKONING"&amp;"|"&amp;MAX(1,ROUND(COUNTIFS(MASTER!$B$4:$B$1463,"RECKONING",MASTER!$L$4:$L$1463,"&lt;&gt;")*$A131*100/100,0)),MASTER!$AI$4:$AI$1463,0))="",NA(),INDEX(MASTER!$L$4:$L$1463,MATCH("RECKONING"&amp;"|"&amp;MAX(1,ROUND(COUNTIFS(MASTER!$B$4:$B$1463,"RECKONING",MASTER!$L$4:$L$1463,"&lt;&gt;")*$A131*100/100,0)),MASTER!$AI$4:$AI$1463,0))),NA()))))</f>
        <v>3759</v>
      </c>
      <c r="I131" s="37">
        <f>IF($B$4="RESONANCE",IFERROR(IF(INDEX(MASTER!$I$4:$I$1463,MATCH("ACHERON"&amp;"|"&amp;MAX(1,ROUND(COUNTIFS(MASTER!$B$4:$B$1463,"ACHERON",MASTER!$I$4:$I$1463,"&lt;&gt;")*$A131*100/100,0)),MASTER!$Y$4:$Y$1463,0))="",NA(),INDEX(MASTER!$I$4:$I$1463,MATCH("ACHERON"&amp;"|"&amp;MAX(1,ROUND(COUNTIFS(MASTER!$B$4:$B$1463,"ACHERON",MASTER!$I$4:$I$1463,"&lt;&gt;")*$A131*100/100,0)),MASTER!$Y$4:$Y$1463,0))),NA()),IF($B$4="COMBAT RATING",IFERROR(IF(INDEX(MASTER!$G$4:$G$1463,MATCH("ACHERON"&amp;"|"&amp;MAX(1,ROUND(COUNTIFS(MASTER!$B$4:$B$1463,"ACHERON",MASTER!$G$4:$G$1463,"&lt;&gt;")*$A131*100/100,0)),MASTER!$AH$4:$AH$1463,0))="",NA(),INDEX(MASTER!$G$4:$G$1463,MATCH("ACHERON"&amp;"|"&amp;MAX(1,ROUND(COUNTIFS(MASTER!$B$4:$B$1463,"ACHERON",MASTER!$G$4:$G$1463,"&lt;&gt;")*$A131*100/100,0)),MASTER!$AH$4:$AH$1463,0))),NA()),IF($B$4="SECONDARY",IFERROR(IF(INDEX(MASTER!$L$4:$L$1463,MATCH("ACHERON"&amp;"|"&amp;MAX(1,ROUND(COUNTIFS(MASTER!$B$4:$B$1463,"ACHERON",MASTER!$L$4:$L$1463,"&lt;&gt;")*$A131*100/100,0)),MASTER!$AI$4:$AI$1463,0))="",NA(),INDEX(MASTER!$L$4:$L$1463,MATCH("ACHERON"&amp;"|"&amp;MAX(1,ROUND(COUNTIFS(MASTER!$B$4:$B$1463,"ACHERON",MASTER!$L$4:$L$1463,"&lt;&gt;")*$A131*100/100,0)),MASTER!$AI$4:$AI$1463,0))),NA()))))</f>
        <v>2877</v>
      </c>
      <c r="J131" s="37">
        <f>IF($B$4="RESONANCE",IFERROR(IF(INDEX(MASTER!$I$4:$I$1463,MATCH("INVICTUS"&amp;"|"&amp;MAX(1,ROUND(COUNTIFS(MASTER!$B$4:$B$1463,"INVICTUS",MASTER!$I$4:$I$1463,"&lt;&gt;")*$A131*100/100,0)),MASTER!$Y$4:$Y$1463,0))="",NA(),INDEX(MASTER!$I$4:$I$1463,MATCH("INVICTUS"&amp;"|"&amp;MAX(1,ROUND(COUNTIFS(MASTER!$B$4:$B$1463,"INVICTUS",MASTER!$I$4:$I$1463,"&lt;&gt;")*$A131*100/100,0)),MASTER!$Y$4:$Y$1463,0))),NA()),IF($B$4="COMBAT RATING",IFERROR(IF(INDEX(MASTER!$G$4:$G$1463,MATCH("INVICTUS"&amp;"|"&amp;MAX(1,ROUND(COUNTIFS(MASTER!$B$4:$B$1463,"INVICTUS",MASTER!$G$4:$G$1463,"&lt;&gt;")*$A131*100/100,0)),MASTER!$AH$4:$AH$1463,0))="",NA(),INDEX(MASTER!$G$4:$G$1463,MATCH("INVICTUS"&amp;"|"&amp;MAX(1,ROUND(COUNTIFS(MASTER!$B$4:$B$1463,"INVICTUS",MASTER!$G$4:$G$1463,"&lt;&gt;")*$A131*100/100,0)),MASTER!$AH$4:$AH$1463,0))),NA()),IF($B$4="SECONDARY",IFERROR(IF(INDEX(MASTER!$L$4:$L$1463,MATCH("INVICTUS"&amp;"|"&amp;MAX(1,ROUND(COUNTIFS(MASTER!$B$4:$B$1463,"INVICTUS",MASTER!$L$4:$L$1463,"&lt;&gt;")*$A131*100/100,0)),MASTER!$AI$4:$AI$1463,0))="",NA(),INDEX(MASTER!$L$4:$L$1463,MATCH("INVICTUS"&amp;"|"&amp;MAX(1,ROUND(COUNTIFS(MASTER!$B$4:$B$1463,"INVICTUS",MASTER!$L$4:$L$1463,"&lt;&gt;")*$A131*100/100,0)),MASTER!$AI$4:$AI$1463,0))),NA()))))</f>
        <v>2202</v>
      </c>
      <c r="K131" s="37">
        <f>IF($B$4="RESONANCE",IFERROR(IF(INDEX(MASTER!$I$4:$I$1463,MATCH("EMERALD LEAF TRIBE"&amp;"|"&amp;MAX(1,ROUND(COUNTIFS(MASTER!$B$4:$B$1463,"EMERALD LEAF TRIBE",MASTER!$I$4:$I$1463,"&lt;&gt;")*$A131*100/100,0)),MASTER!$Y$4:$Y$1463,0))="",NA(),INDEX(MASTER!$I$4:$I$1463,MATCH("EMERALD LEAF TRIBE"&amp;"|"&amp;MAX(1,ROUND(COUNTIFS(MASTER!$B$4:$B$1463,"EMERALD LEAF TRIBE",MASTER!$I$4:$I$1463,"&lt;&gt;")*$A131*100/100,0)),MASTER!$Y$4:$Y$1463,0))),NA()),IF($B$4="COMBAT RATING",IFERROR(IF(INDEX(MASTER!$G$4:$G$1463,MATCH("EMERALD LEAF TRIBE"&amp;"|"&amp;MAX(1,ROUND(COUNTIFS(MASTER!$B$4:$B$1463,"EMERALD LEAF TRIBE",MASTER!$G$4:$G$1463,"&lt;&gt;")*$A131*100/100,0)),MASTER!$AH$4:$AH$1463,0))="",NA(),INDEX(MASTER!$G$4:$G$1463,MATCH("EMERALD LEAF TRIBE"&amp;"|"&amp;MAX(1,ROUND(COUNTIFS(MASTER!$B$4:$B$1463,"EMERALD LEAF TRIBE",MASTER!$G$4:$G$1463,"&lt;&gt;")*$A131*100/100,0)),MASTER!$AH$4:$AH$1463,0))),NA()),IF($B$4="SECONDARY",IFERROR(IF(INDEX(MASTER!$L$4:$L$1463,MATCH("EMERALD LEAF TRIBE"&amp;"|"&amp;MAX(1,ROUND(COUNTIFS(MASTER!$B$4:$B$1463,"EMERALD LEAF TRIBE",MASTER!$L$4:$L$1463,"&lt;&gt;")*$A131*100/100,0)),MASTER!$AI$4:$AI$1463,0))="",NA(),INDEX(MASTER!$L$4:$L$1463,MATCH("EMERALD LEAF TRIBE"&amp;"|"&amp;MAX(1,ROUND(COUNTIFS(MASTER!$B$4:$B$1463,"EMERALD LEAF TRIBE",MASTER!$L$4:$L$1463,"&lt;&gt;")*$A131*100/100,0)),MASTER!$AI$4:$AI$1463,0))),NA()))))</f>
        <v>1400</v>
      </c>
      <c r="L131" s="37">
        <f>IF($B$4="RESONANCE",IFERROR(IF(INDEX(MASTER!$I$4:$I$1463,MATCH("SUB ROSA"&amp;"|"&amp;MAX(1,ROUND(COUNTIFS(MASTER!$B$4:$B$1463,"SUB ROSA",MASTER!$I$4:$I$1463,"&lt;&gt;")*$A131*100/100,0)),MASTER!$Y$4:$Y$1463,0))="",NA(),INDEX(MASTER!$I$4:$I$1463,MATCH("SUB ROSA"&amp;"|"&amp;MAX(1,ROUND(COUNTIFS(MASTER!$B$4:$B$1463,"SUB ROSA",MASTER!$I$4:$I$1463,"&lt;&gt;")*$A131*100/100,0)),MASTER!$Y$4:$Y$1463,0))),NA()),IF($B$4="COMBAT RATING",IFERROR(IF(INDEX(MASTER!$G$4:$G$1463,MATCH("SUB ROSA"&amp;"|"&amp;MAX(1,ROUND(COUNTIFS(MASTER!$B$4:$B$1463,"SUB ROSA",MASTER!$G$4:$G$1463,"&lt;&gt;")*$A131*100/100,0)),MASTER!$AH$4:$AH$1463,0))="",NA(),INDEX(MASTER!$G$4:$G$1463,MATCH("SUB ROSA"&amp;"|"&amp;MAX(1,ROUND(COUNTIFS(MASTER!$B$4:$B$1463,"SUB ROSA",MASTER!$G$4:$G$1463,"&lt;&gt;")*$A131*100/100,0)),MASTER!$AH$4:$AH$1463,0))),NA()),IF($B$4="SECONDARY",IFERROR(IF(INDEX(MASTER!$L$4:$L$1463,MATCH("SUB ROSA"&amp;"|"&amp;MAX(1,ROUND(COUNTIFS(MASTER!$B$4:$B$1463,"SUB ROSA",MASTER!$L$4:$L$1463,"&lt;&gt;")*$A131*100/100,0)),MASTER!$AI$4:$AI$1463,0))="",NA(),INDEX(MASTER!$L$4:$L$1463,MATCH("SUB ROSA"&amp;"|"&amp;MAX(1,ROUND(COUNTIFS(MASTER!$B$4:$B$1463,"SUB ROSA",MASTER!$L$4:$L$1463,"&lt;&gt;")*$A131*100/100,0)),MASTER!$AI$4:$AI$1463,0))),NA()))))</f>
        <v>1490</v>
      </c>
      <c r="M131" s="37">
        <f>IF($B$4="RESONANCE",IFERROR(IF(INDEX(MASTER!$I$4:$I$1463,MATCH("VENGEANCE"&amp;"|"&amp;MAX(1,ROUND(COUNTIFS(MASTER!$B$4:$B$1463,"VENGEANCE",MASTER!$I$4:$I$1463,"&lt;&gt;")*$A131*100/100,0)),MASTER!$Y$4:$Y$1463,0))="",NA(),INDEX(MASTER!$I$4:$I$1463,MATCH("VENGEANCE"&amp;"|"&amp;MAX(1,ROUND(COUNTIFS(MASTER!$B$4:$B$1463,"VENGEANCE",MASTER!$I$4:$I$1463,"&lt;&gt;")*$A131*100/100,0)),MASTER!$Y$4:$Y$1463,0))),NA()),IF($B$4="COMBAT RATING",IFERROR(IF(INDEX(MASTER!$G$4:$G$1463,MATCH("VENGEANCE"&amp;"|"&amp;MAX(1,ROUND(COUNTIFS(MASTER!$B$4:$B$1463,"VENGEANCE",MASTER!$G$4:$G$1463,"&lt;&gt;")*$A131*100/100,0)),MASTER!$AH$4:$AH$1463,0))="",NA(),INDEX(MASTER!$G$4:$G$1463,MATCH("VENGEANCE"&amp;"|"&amp;MAX(1,ROUND(COUNTIFS(MASTER!$B$4:$B$1463,"VENGEANCE",MASTER!$G$4:$G$1463,"&lt;&gt;")*$A131*100/100,0)),MASTER!$AH$4:$AH$1463,0))),NA()),IF($B$4="SECONDARY",IFERROR(IF(INDEX(MASTER!$L$4:$L$1463,MATCH("VENGEANCE"&amp;"|"&amp;MAX(1,ROUND(COUNTIFS(MASTER!$B$4:$B$1463,"VENGEANCE",MASTER!$L$4:$L$1463,"&lt;&gt;")*$A131*100/100,0)),MASTER!$AI$4:$AI$1463,0))="",NA(),INDEX(MASTER!$L$4:$L$1463,MATCH("VENGEANCE"&amp;"|"&amp;MAX(1,ROUND(COUNTIFS(MASTER!$B$4:$B$1463,"VENGEANCE",MASTER!$L$4:$L$1463,"&lt;&gt;")*$A131*100/100,0)),MASTER!$AI$4:$AI$1463,0))),NA()))))</f>
        <v>2536</v>
      </c>
      <c r="N131" s="37">
        <f>IF($B$4="RESONANCE",IFERROR(IF(INDEX(MASTER!$I$4:$I$1463,MATCH("VENDETTA"&amp;"|"&amp;MAX(1,ROUND(COUNTIFS(MASTER!$B$4:$B$1463,"VENDETTA",MASTER!$I$4:$I$1463,"&lt;&gt;")*$A131*100/100,0)),MASTER!$Y$4:$Y$1463,0))="",NA(),INDEX(MASTER!$I$4:$I$1463,MATCH("VENDETTA"&amp;"|"&amp;MAX(1,ROUND(COUNTIFS(MASTER!$B$4:$B$1463,"VENDETTA",MASTER!$I$4:$I$1463,"&lt;&gt;")*$A131*100/100,0)),MASTER!$Y$4:$Y$1463,0))),NA()),IF($B$4="COMBAT RATING",IFERROR(IF(INDEX(MASTER!$G$4:$G$1463,MATCH("VENDETTA"&amp;"|"&amp;MAX(1,ROUND(COUNTIFS(MASTER!$B$4:$B$1463,"VENDETTA",MASTER!$G$4:$G$1463,"&lt;&gt;")*$A131*100/100,0)),MASTER!$AH$4:$AH$1463,0))="",NA(),INDEX(MASTER!$G$4:$G$1463,MATCH("VENDETTA"&amp;"|"&amp;MAX(1,ROUND(COUNTIFS(MASTER!$B$4:$B$1463,"VENDETTA",MASTER!$G$4:$G$1463,"&lt;&gt;")*$A131*100/100,0)),MASTER!$AH$4:$AH$1463,0))),NA()),IF($B$4="SECONDARY",IFERROR(IF(INDEX(MASTER!$L$4:$L$1463,MATCH("VENDETTA"&amp;"|"&amp;MAX(1,ROUND(COUNTIFS(MASTER!$B$4:$B$1463,"VENDETTA",MASTER!$L$4:$L$1463,"&lt;&gt;")*$A131*100/100,0)),MASTER!$AI$4:$AI$1463,0))="",NA(),INDEX(MASTER!$L$4:$L$1463,MATCH("VENDETTA"&amp;"|"&amp;MAX(1,ROUND(COUNTIFS(MASTER!$B$4:$B$1463,"VENDETTA",MASTER!$L$4:$L$1463,"&lt;&gt;")*$A131*100/100,0)),MASTER!$AI$4:$AI$1463,0))),NA()))))</f>
        <v>1411</v>
      </c>
      <c r="O131" s="37">
        <f>IF($B$4="RESONANCE",IFERROR(IF(INDEX(MASTER!$I$4:$I$1463,MATCH("ZOMBIES"&amp;"|"&amp;MAX(1,ROUND(COUNTIFS(MASTER!$B$4:$B$1463,"ZOMBIES",MASTER!$I$4:$I$1463,"&lt;&gt;")*$A131*100/100,0)),MASTER!$Y$4:$Y$1463,0))="",NA(),INDEX(MASTER!$I$4:$I$1463,MATCH("ZOMBIES"&amp;"|"&amp;MAX(1,ROUND(COUNTIFS(MASTER!$B$4:$B$1463,"ZOMBIES",MASTER!$I$4:$I$1463,"&lt;&gt;")*$A131*100/100,0)),MASTER!$Y$4:$Y$1463,0))),NA()),IF($B$4="COMBAT RATING",IFERROR(IF(INDEX(MASTER!$G$4:$G$1463,MATCH("ZOMBIES"&amp;"|"&amp;MAX(1,ROUND(COUNTIFS(MASTER!$B$4:$B$1463,"ZOMBIES",MASTER!$G$4:$G$1463,"&lt;&gt;")*$A131*100/100,0)),MASTER!$AH$4:$AH$1463,0))="",NA(),INDEX(MASTER!$G$4:$G$1463,MATCH("ZOMBIES"&amp;"|"&amp;MAX(1,ROUND(COUNTIFS(MASTER!$B$4:$B$1463,"ZOMBIES",MASTER!$G$4:$G$1463,"&lt;&gt;")*$A131*100/100,0)),MASTER!$AH$4:$AH$1463,0))),NA()),IF($B$4="SECONDARY",IFERROR(IF(INDEX(MASTER!$L$4:$L$1463,MATCH("ZOMBIES"&amp;"|"&amp;MAX(1,ROUND(COUNTIFS(MASTER!$B$4:$B$1463,"ZOMBIES",MASTER!$L$4:$L$1463,"&lt;&gt;")*$A131*100/100,0)),MASTER!$AI$4:$AI$1463,0))="",NA(),INDEX(MASTER!$L$4:$L$1463,MATCH("ZOMBIES"&amp;"|"&amp;MAX(1,ROUND(COUNTIFS(MASTER!$B$4:$B$1463,"ZOMBIES",MASTER!$L$4:$L$1463,"&lt;&gt;")*$A131*100/100,0)),MASTER!$AI$4:$AI$1463,0))),NA()))))</f>
        <v>1150</v>
      </c>
      <c r="P131" s="37">
        <f>IF($B$4="RESONANCE",IFERROR(IF(INDEX(MASTER!$I$4:$I$1463,MATCH("FUCT"&amp;"|"&amp;MAX(1,ROUND(COUNTIFS(MASTER!$B$4:$B$1463,"FUCT",MASTER!$I$4:$I$1463,"&lt;&gt;")*$A131*100/100,0)),MASTER!$Y$4:$Y$1463,0))="",NA(),INDEX(MASTER!$I$4:$I$1463,MATCH("FUCT"&amp;"|"&amp;MAX(1,ROUND(COUNTIFS(MASTER!$B$4:$B$1463,"FUCT",MASTER!$I$4:$I$1463,"&lt;&gt;")*$A131*100/100,0)),MASTER!$Y$4:$Y$1463,0))),NA()),IF($B$4="COMBAT RATING",IFERROR(IF(INDEX(MASTER!$G$4:$G$1463,MATCH("FUCT"&amp;"|"&amp;MAX(1,ROUND(COUNTIFS(MASTER!$B$4:$B$1463,"FUCT",MASTER!$G$4:$G$1463,"&lt;&gt;")*$A131*100/100,0)),MASTER!$AH$4:$AH$1463,0))="",NA(),INDEX(MASTER!$G$4:$G$1463,MATCH("FUCT"&amp;"|"&amp;MAX(1,ROUND(COUNTIFS(MASTER!$B$4:$B$1463,"FUCT",MASTER!$G$4:$G$1463,"&lt;&gt;")*$A131*100/100,0)),MASTER!$AH$4:$AH$1463,0))),NA()),IF($B$4="SECONDARY",IFERROR(IF(INDEX(MASTER!$L$4:$L$1463,MATCH("FUCT"&amp;"|"&amp;MAX(1,ROUND(COUNTIFS(MASTER!$B$4:$B$1463,"FUCT",MASTER!$L$4:$L$1463,"&lt;&gt;")*$A131*100/100,0)),MASTER!$AI$4:$AI$1463,0))="",NA(),INDEX(MASTER!$L$4:$L$1463,MATCH("FUCT"&amp;"|"&amp;MAX(1,ROUND(COUNTIFS(MASTER!$B$4:$B$1463,"FUCT",MASTER!$L$4:$L$1463,"&lt;&gt;")*$A131*100/100,0)),MASTER!$AI$4:$AI$1463,0))),NA()))))</f>
        <v>3498</v>
      </c>
      <c r="Q131" s="37">
        <f>IF($B$4="RESONANCE",IFERROR(IF(INDEX(MASTER!$I$4:$I$1463,MATCH($E$4&amp;"|"&amp;MAX(1,ROUND(COUNTIFS(MASTER!$B$4:$B$1463,$E$4,MASTER!$I$4:$I$1463,"&lt;&gt;")*$A131*100/100,0)),MASTER!$Y$4:$Y$1463,0))="",NA(),INDEX(MASTER!$I$4:$I$1463,MATCH($E$4&amp;"|"&amp;MAX(1,ROUND(COUNTIFS(MASTER!$B$4:$B$1463,$E$4,MASTER!$I$4:$I$1463,"&lt;&gt;")*$A131*100/100,0)),MASTER!$Y$4:$Y$1463,0))),NA()),IF($B$4="COMBAT RATING",IFERROR(IF(INDEX(MASTER!$G$4:$G$1463,MATCH($E$4&amp;"|"&amp;MAX(1,ROUND(COUNTIFS(MASTER!$B$4:$B$1463,$E$4,MASTER!$G$4:$G$1463,"&lt;&gt;")*$A131*100/100,0)),MASTER!$AH$4:$AH$1463,0))="",NA(),INDEX(MASTER!$G$4:$G$1463,MATCH($E$4&amp;"|"&amp;MAX(1,ROUND(COUNTIFS(MASTER!$B$4:$B$1463,$E$4,MASTER!$G$4:$G$1463,"&lt;&gt;")*$A131*100/100,0)),MASTER!$AH$4:$AH$1463,0))),NA()),IF($B$4="SECONDARY",IFERROR(IF(INDEX(MASTER!$L$4:$L$1463,MATCH($E$4&amp;"|"&amp;MAX(1,ROUND(COUNTIFS(MASTER!$B$4:$B$1463,$E$4,MASTER!$L$4:$L$1463,"&lt;&gt;")*$A131*100/100,0)),MASTER!$AI$4:$AI$1463,0))="",NA(),INDEX(MASTER!$L$4:$L$1463,MATCH($E$4&amp;"|"&amp;MAX(1,ROUND(COUNTIFS(MASTER!$B$4:$B$1463,$E$4,MASTER!$L$4:$L$1463,"&lt;&gt;")*$A131*100/100,0)),MASTER!$AI$4:$AI$1463,0))),NA()))))</f>
        <v>3342</v>
      </c>
    </row>
    <row r="132" spans="1:17" hidden="1">
      <c r="A132" s="36">
        <v>0.77</v>
      </c>
      <c r="B132" s="37">
        <f>IF($B$4="RESONANCE",IFERROR(IF(INDEX(MASTER!$I$4:$I$1463,MATCH("FUCT"&amp;"|"&amp;MAX(1,ROUND(COUNTIFS(MASTER!$B$4:$B$1463,"FUCT",MASTER!$I$4:$I$1463,"&lt;&gt;")*$A132*100/100,0)),MASTER!$Y$4:$Y$1463,0))="",NA(),INDEX(MASTER!$I$4:$I$1463,MATCH("FUCT"&amp;"|"&amp;MAX(1,ROUND(COUNTIFS(MASTER!$B$4:$B$1463,"FUCT",MASTER!$I$4:$I$1463,"&lt;&gt;")*$A132*100/100,0)),MASTER!$Y$4:$Y$1463,0))),NA()),IF($B$4="COMBAT RATING",IFERROR(IF(INDEX(MASTER!$G$4:$G$1463,MATCH("FUCT"&amp;"|"&amp;MAX(1,ROUND(COUNTIFS(MASTER!$B$4:$B$1463,"FUCT",MASTER!$G$4:$G$1463,"&lt;&gt;")*$A132*100/100,0)),MASTER!$AH$4:$AH$1463,0))="",NA(),INDEX(MASTER!$G$4:$G$1463,MATCH("FUCT"&amp;"|"&amp;MAX(1,ROUND(COUNTIFS(MASTER!$B$4:$B$1463,"FUCT",MASTER!$G$4:$G$1463,"&lt;&gt;")*$A132*100/100,0)),MASTER!$AH$4:$AH$1463,0))),NA()),IF($B$4="SECONDARY",IFERROR(IF(INDEX(MASTER!$L$4:$L$1463,MATCH("FUCT"&amp;"|"&amp;MAX(1,ROUND(COUNTIFS(MASTER!$B$4:$B$1463,"FUCT",MASTER!$L$4:$L$1463,"&lt;&gt;")*$A132*100/100,0)),MASTER!$AI$4:$AI$1463,0))="",NA(),INDEX(MASTER!$L$4:$L$1463,MATCH("FUCT"&amp;"|"&amp;MAX(1,ROUND(COUNTIFS(MASTER!$B$4:$B$1463,"FUCT",MASTER!$L$4:$L$1463,"&lt;&gt;")*$A132*100/100,0)),MASTER!$AI$4:$AI$1463,0))),NA()))))</f>
        <v>3384</v>
      </c>
      <c r="C132" s="37">
        <f>IF($B$4="RESONANCE",IFERROR(IF(INDEX(MASTER!$I$4:$I$1463,MATCH("LEGENDS"&amp;"|"&amp;MAX(1,ROUND(COUNTIFS(MASTER!$B$4:$B$1463,"LEGENDS",MASTER!$I$4:$I$1463,"&lt;&gt;")*$A132*100/100,0)),MASTER!$Y$4:$Y$1463,0))="",NA(),INDEX(MASTER!$I$4:$I$1463,MATCH("LEGENDS"&amp;"|"&amp;MAX(1,ROUND(COUNTIFS(MASTER!$B$4:$B$1463,"LEGENDS",MASTER!$I$4:$I$1463,"&lt;&gt;")*$A132*100/100,0)),MASTER!$Y$4:$Y$1463,0))),NA()),IF($B$4="COMBAT RATING",IFERROR(IF(INDEX(MASTER!$G$4:$G$1463,MATCH("LEGENDS"&amp;"|"&amp;MAX(1,ROUND(COUNTIFS(MASTER!$B$4:$B$1463,"LEGENDS",MASTER!$G$4:$G$1463,"&lt;&gt;")*$A132*100/100,0)),MASTER!$AH$4:$AH$1463,0))="",NA(),INDEX(MASTER!$G$4:$G$1463,MATCH("LEGENDS"&amp;"|"&amp;MAX(1,ROUND(COUNTIFS(MASTER!$B$4:$B$1463,"LEGENDS",MASTER!$G$4:$G$1463,"&lt;&gt;")*$A132*100/100,0)),MASTER!$AH$4:$AH$1463,0))),NA()),IF($B$4="SECONDARY",IFERROR(IF(INDEX(MASTER!$L$4:$L$1463,MATCH("LEGENDS"&amp;"|"&amp;MAX(1,ROUND(COUNTIFS(MASTER!$B$4:$B$1463,"LEGENDS",MASTER!$L$4:$L$1463,"&lt;&gt;")*$A132*100/100,0)),MASTER!$AI$4:$AI$1463,0))="",NA(),INDEX(MASTER!$L$4:$L$1463,MATCH("LEGENDS"&amp;"|"&amp;MAX(1,ROUND(COUNTIFS(MASTER!$B$4:$B$1463,"LEGENDS",MASTER!$L$4:$L$1463,"&lt;&gt;")*$A132*100/100,0)),MASTER!$AI$4:$AI$1463,0))),NA()))))</f>
        <v>3870</v>
      </c>
      <c r="D132" s="37">
        <f>IF($B$4="RESONANCE",IFERROR(IF(INDEX(MASTER!$I$4:$I$1463,MATCH("VANGUARD"&amp;"|"&amp;MAX(1,ROUND(COUNTIFS(MASTER!$B$4:$B$1463,"VANGUARD",MASTER!$I$4:$I$1463,"&lt;&gt;")*$A132*100/100,0)),MASTER!$Y$4:$Y$1463,0))="",NA(),INDEX(MASTER!$I$4:$I$1463,MATCH("VANGUARD"&amp;"|"&amp;MAX(1,ROUND(COUNTIFS(MASTER!$B$4:$B$1463,"VANGUARD",MASTER!$I$4:$I$1463,"&lt;&gt;")*$A132*100/100,0)),MASTER!$Y$4:$Y$1463,0))),NA()),IF($B$4="COMBAT RATING",IFERROR(IF(INDEX(MASTER!$G$4:$G$1463,MATCH("VANGUARD"&amp;"|"&amp;MAX(1,ROUND(COUNTIFS(MASTER!$B$4:$B$1463,"VANGUARD",MASTER!$G$4:$G$1463,"&lt;&gt;")*$A132*100/100,0)),MASTER!$AH$4:$AH$1463,0))="",NA(),INDEX(MASTER!$G$4:$G$1463,MATCH("VANGUARD"&amp;"|"&amp;MAX(1,ROUND(COUNTIFS(MASTER!$B$4:$B$1463,"VANGUARD",MASTER!$G$4:$G$1463,"&lt;&gt;")*$A132*100/100,0)),MASTER!$AH$4:$AH$1463,0))),NA()),IF($B$4="SECONDARY",IFERROR(IF(INDEX(MASTER!$L$4:$L$1463,MATCH("VANGUARD"&amp;"|"&amp;MAX(1,ROUND(COUNTIFS(MASTER!$B$4:$B$1463,"VANGUARD",MASTER!$L$4:$L$1463,"&lt;&gt;")*$A132*100/100,0)),MASTER!$AI$4:$AI$1463,0))="",NA(),INDEX(MASTER!$L$4:$L$1463,MATCH("VANGUARD"&amp;"|"&amp;MAX(1,ROUND(COUNTIFS(MASTER!$B$4:$B$1463,"VANGUARD",MASTER!$L$4:$L$1463,"&lt;&gt;")*$A132*100/100,0)),MASTER!$AI$4:$AI$1463,0))),NA()))))</f>
        <v>4508</v>
      </c>
      <c r="E132" s="37">
        <f>IF($B$4="RESONANCE",IFERROR(IF(INDEX(MASTER!$I$4:$I$1463,MATCH("UNDYING"&amp;"|"&amp;MAX(1,ROUND(COUNTIFS(MASTER!$B$4:$B$1463,"UNDYING",MASTER!$I$4:$I$1463,"&lt;&gt;")*$A132*100/100,0)),MASTER!$Y$4:$Y$1463,0))="",NA(),INDEX(MASTER!$I$4:$I$1463,MATCH("UNDYING"&amp;"|"&amp;MAX(1,ROUND(COUNTIFS(MASTER!$B$4:$B$1463,"UNDYING",MASTER!$I$4:$I$1463,"&lt;&gt;")*$A132*100/100,0)),MASTER!$Y$4:$Y$1463,0))),NA()),IF($B$4="COMBAT RATING",IFERROR(IF(INDEX(MASTER!$G$4:$G$1463,MATCH("UNDYING"&amp;"|"&amp;MAX(1,ROUND(COUNTIFS(MASTER!$B$4:$B$1463,"UNDYING",MASTER!$G$4:$G$1463,"&lt;&gt;")*$A132*100/100,0)),MASTER!$AH$4:$AH$1463,0))="",NA(),INDEX(MASTER!$G$4:$G$1463,MATCH("UNDYING"&amp;"|"&amp;MAX(1,ROUND(COUNTIFS(MASTER!$B$4:$B$1463,"UNDYING",MASTER!$G$4:$G$1463,"&lt;&gt;")*$A132*100/100,0)),MASTER!$AH$4:$AH$1463,0))),NA()),IF($B$4="SECONDARY",IFERROR(IF(INDEX(MASTER!$L$4:$L$1463,MATCH("UNDYING"&amp;"|"&amp;MAX(1,ROUND(COUNTIFS(MASTER!$B$4:$B$1463,"UNDYING",MASTER!$L$4:$L$1463,"&lt;&gt;")*$A132*100/100,0)),MASTER!$AI$4:$AI$1463,0))="",NA(),INDEX(MASTER!$L$4:$L$1463,MATCH("UNDYING"&amp;"|"&amp;MAX(1,ROUND(COUNTIFS(MASTER!$B$4:$B$1463,"UNDYING",MASTER!$L$4:$L$1463,"&lt;&gt;")*$A132*100/100,0)),MASTER!$AI$4:$AI$1463,0))),NA()))))</f>
        <v>3314</v>
      </c>
      <c r="F132" s="37">
        <f>IF($B$4="RESONANCE",IFERROR(IF(INDEX(MASTER!$I$4:$I$1463,MATCH("SBG"&amp;"|"&amp;MAX(1,ROUND(COUNTIFS(MASTER!$B$4:$B$1463,"SBG",MASTER!$I$4:$I$1463,"&lt;&gt;")*$A132*100/100,0)),MASTER!$Y$4:$Y$1463,0))="",NA(),INDEX(MASTER!$I$4:$I$1463,MATCH("SBG"&amp;"|"&amp;MAX(1,ROUND(COUNTIFS(MASTER!$B$4:$B$1463,"SBG",MASTER!$I$4:$I$1463,"&lt;&gt;")*$A132*100/100,0)),MASTER!$Y$4:$Y$1463,0))),NA()),IF($B$4="COMBAT RATING",IFERROR(IF(INDEX(MASTER!$G$4:$G$1463,MATCH("SBG"&amp;"|"&amp;MAX(1,ROUND(COUNTIFS(MASTER!$B$4:$B$1463,"SBG",MASTER!$G$4:$G$1463,"&lt;&gt;")*$A132*100/100,0)),MASTER!$AH$4:$AH$1463,0))="",NA(),INDEX(MASTER!$G$4:$G$1463,MATCH("SBG"&amp;"|"&amp;MAX(1,ROUND(COUNTIFS(MASTER!$B$4:$B$1463,"SBG",MASTER!$G$4:$G$1463,"&lt;&gt;")*$A132*100/100,0)),MASTER!$AH$4:$AH$1463,0))),NA()),IF($B$4="SECONDARY",IFERROR(IF(INDEX(MASTER!$L$4:$L$1463,MATCH("SBG"&amp;"|"&amp;MAX(1,ROUND(COUNTIFS(MASTER!$B$4:$B$1463,"SBG",MASTER!$L$4:$L$1463,"&lt;&gt;")*$A132*100/100,0)),MASTER!$AI$4:$AI$1463,0))="",NA(),INDEX(MASTER!$L$4:$L$1463,MATCH("SBG"&amp;"|"&amp;MAX(1,ROUND(COUNTIFS(MASTER!$B$4:$B$1463,"SBG",MASTER!$L$4:$L$1463,"&lt;&gt;")*$A132*100/100,0)),MASTER!$AI$4:$AI$1463,0))),NA()))))</f>
        <v>3927</v>
      </c>
      <c r="G132" s="37">
        <f>IF($B$4="RESONANCE",IFERROR(IF(INDEX(MASTER!$I$4:$I$1463,MATCH("AZUKI"&amp;"|"&amp;MAX(1,ROUND(COUNTIFS(MASTER!$B$4:$B$1463,"AZUKI",MASTER!$I$4:$I$1463,"&lt;&gt;")*$A132*100/100,0)),MASTER!$Y$4:$Y$1463,0))="",NA(),INDEX(MASTER!$I$4:$I$1463,MATCH("AZUKI"&amp;"|"&amp;MAX(1,ROUND(COUNTIFS(MASTER!$B$4:$B$1463,"AZUKI",MASTER!$I$4:$I$1463,"&lt;&gt;")*$A132*100/100,0)),MASTER!$Y$4:$Y$1463,0))),NA()),IF($B$4="COMBAT RATING",IFERROR(IF(INDEX(MASTER!$G$4:$G$1463,MATCH("AZUKI"&amp;"|"&amp;MAX(1,ROUND(COUNTIFS(MASTER!$B$4:$B$1463,"AZUKI",MASTER!$G$4:$G$1463,"&lt;&gt;")*$A132*100/100,0)),MASTER!$AH$4:$AH$1463,0))="",NA(),INDEX(MASTER!$G$4:$G$1463,MATCH("AZUKI"&amp;"|"&amp;MAX(1,ROUND(COUNTIFS(MASTER!$B$4:$B$1463,"AZUKI",MASTER!$G$4:$G$1463,"&lt;&gt;")*$A132*100/100,0)),MASTER!$AH$4:$AH$1463,0))),NA()),IF($B$4="SECONDARY",IFERROR(IF(INDEX(MASTER!$L$4:$L$1463,MATCH("AZUKI"&amp;"|"&amp;MAX(1,ROUND(COUNTIFS(MASTER!$B$4:$B$1463,"AZUKI",MASTER!$L$4:$L$1463,"&lt;&gt;")*$A132*100/100,0)),MASTER!$AI$4:$AI$1463,0))="",NA(),INDEX(MASTER!$L$4:$L$1463,MATCH("AZUKI"&amp;"|"&amp;MAX(1,ROUND(COUNTIFS(MASTER!$B$4:$B$1463,"AZUKI",MASTER!$L$4:$L$1463,"&lt;&gt;")*$A132*100/100,0)),MASTER!$AI$4:$AI$1463,0))),NA()))))</f>
        <v>3400</v>
      </c>
      <c r="H132" s="37">
        <f>IF($B$4="RESONANCE",IFERROR(IF(INDEX(MASTER!$I$4:$I$1463,MATCH("RECKONING"&amp;"|"&amp;MAX(1,ROUND(COUNTIFS(MASTER!$B$4:$B$1463,"RECKONING",MASTER!$I$4:$I$1463,"&lt;&gt;")*$A132*100/100,0)),MASTER!$Y$4:$Y$1463,0))="",NA(),INDEX(MASTER!$I$4:$I$1463,MATCH("RECKONING"&amp;"|"&amp;MAX(1,ROUND(COUNTIFS(MASTER!$B$4:$B$1463,"RECKONING",MASTER!$I$4:$I$1463,"&lt;&gt;")*$A132*100/100,0)),MASTER!$Y$4:$Y$1463,0))),NA()),IF($B$4="COMBAT RATING",IFERROR(IF(INDEX(MASTER!$G$4:$G$1463,MATCH("RECKONING"&amp;"|"&amp;MAX(1,ROUND(COUNTIFS(MASTER!$B$4:$B$1463,"RECKONING",MASTER!$G$4:$G$1463,"&lt;&gt;")*$A132*100/100,0)),MASTER!$AH$4:$AH$1463,0))="",NA(),INDEX(MASTER!$G$4:$G$1463,MATCH("RECKONING"&amp;"|"&amp;MAX(1,ROUND(COUNTIFS(MASTER!$B$4:$B$1463,"RECKONING",MASTER!$G$4:$G$1463,"&lt;&gt;")*$A132*100/100,0)),MASTER!$AH$4:$AH$1463,0))),NA()),IF($B$4="SECONDARY",IFERROR(IF(INDEX(MASTER!$L$4:$L$1463,MATCH("RECKONING"&amp;"|"&amp;MAX(1,ROUND(COUNTIFS(MASTER!$B$4:$B$1463,"RECKONING",MASTER!$L$4:$L$1463,"&lt;&gt;")*$A132*100/100,0)),MASTER!$AI$4:$AI$1463,0))="",NA(),INDEX(MASTER!$L$4:$L$1463,MATCH("RECKONING"&amp;"|"&amp;MAX(1,ROUND(COUNTIFS(MASTER!$B$4:$B$1463,"RECKONING",MASTER!$L$4:$L$1463,"&lt;&gt;")*$A132*100/100,0)),MASTER!$AI$4:$AI$1463,0))),NA()))))</f>
        <v>3738</v>
      </c>
      <c r="I132" s="37">
        <f>IF($B$4="RESONANCE",IFERROR(IF(INDEX(MASTER!$I$4:$I$1463,MATCH("ACHERON"&amp;"|"&amp;MAX(1,ROUND(COUNTIFS(MASTER!$B$4:$B$1463,"ACHERON",MASTER!$I$4:$I$1463,"&lt;&gt;")*$A132*100/100,0)),MASTER!$Y$4:$Y$1463,0))="",NA(),INDEX(MASTER!$I$4:$I$1463,MATCH("ACHERON"&amp;"|"&amp;MAX(1,ROUND(COUNTIFS(MASTER!$B$4:$B$1463,"ACHERON",MASTER!$I$4:$I$1463,"&lt;&gt;")*$A132*100/100,0)),MASTER!$Y$4:$Y$1463,0))),NA()),IF($B$4="COMBAT RATING",IFERROR(IF(INDEX(MASTER!$G$4:$G$1463,MATCH("ACHERON"&amp;"|"&amp;MAX(1,ROUND(COUNTIFS(MASTER!$B$4:$B$1463,"ACHERON",MASTER!$G$4:$G$1463,"&lt;&gt;")*$A132*100/100,0)),MASTER!$AH$4:$AH$1463,0))="",NA(),INDEX(MASTER!$G$4:$G$1463,MATCH("ACHERON"&amp;"|"&amp;MAX(1,ROUND(COUNTIFS(MASTER!$B$4:$B$1463,"ACHERON",MASTER!$G$4:$G$1463,"&lt;&gt;")*$A132*100/100,0)),MASTER!$AH$4:$AH$1463,0))),NA()),IF($B$4="SECONDARY",IFERROR(IF(INDEX(MASTER!$L$4:$L$1463,MATCH("ACHERON"&amp;"|"&amp;MAX(1,ROUND(COUNTIFS(MASTER!$B$4:$B$1463,"ACHERON",MASTER!$L$4:$L$1463,"&lt;&gt;")*$A132*100/100,0)),MASTER!$AI$4:$AI$1463,0))="",NA(),INDEX(MASTER!$L$4:$L$1463,MATCH("ACHERON"&amp;"|"&amp;MAX(1,ROUND(COUNTIFS(MASTER!$B$4:$B$1463,"ACHERON",MASTER!$L$4:$L$1463,"&lt;&gt;")*$A132*100/100,0)),MASTER!$AI$4:$AI$1463,0))),NA()))))</f>
        <v>2828</v>
      </c>
      <c r="J132" s="37">
        <f>IF($B$4="RESONANCE",IFERROR(IF(INDEX(MASTER!$I$4:$I$1463,MATCH("INVICTUS"&amp;"|"&amp;MAX(1,ROUND(COUNTIFS(MASTER!$B$4:$B$1463,"INVICTUS",MASTER!$I$4:$I$1463,"&lt;&gt;")*$A132*100/100,0)),MASTER!$Y$4:$Y$1463,0))="",NA(),INDEX(MASTER!$I$4:$I$1463,MATCH("INVICTUS"&amp;"|"&amp;MAX(1,ROUND(COUNTIFS(MASTER!$B$4:$B$1463,"INVICTUS",MASTER!$I$4:$I$1463,"&lt;&gt;")*$A132*100/100,0)),MASTER!$Y$4:$Y$1463,0))),NA()),IF($B$4="COMBAT RATING",IFERROR(IF(INDEX(MASTER!$G$4:$G$1463,MATCH("INVICTUS"&amp;"|"&amp;MAX(1,ROUND(COUNTIFS(MASTER!$B$4:$B$1463,"INVICTUS",MASTER!$G$4:$G$1463,"&lt;&gt;")*$A132*100/100,0)),MASTER!$AH$4:$AH$1463,0))="",NA(),INDEX(MASTER!$G$4:$G$1463,MATCH("INVICTUS"&amp;"|"&amp;MAX(1,ROUND(COUNTIFS(MASTER!$B$4:$B$1463,"INVICTUS",MASTER!$G$4:$G$1463,"&lt;&gt;")*$A132*100/100,0)),MASTER!$AH$4:$AH$1463,0))),NA()),IF($B$4="SECONDARY",IFERROR(IF(INDEX(MASTER!$L$4:$L$1463,MATCH("INVICTUS"&amp;"|"&amp;MAX(1,ROUND(COUNTIFS(MASTER!$B$4:$B$1463,"INVICTUS",MASTER!$L$4:$L$1463,"&lt;&gt;")*$A132*100/100,0)),MASTER!$AI$4:$AI$1463,0))="",NA(),INDEX(MASTER!$L$4:$L$1463,MATCH("INVICTUS"&amp;"|"&amp;MAX(1,ROUND(COUNTIFS(MASTER!$B$4:$B$1463,"INVICTUS",MASTER!$L$4:$L$1463,"&lt;&gt;")*$A132*100/100,0)),MASTER!$AI$4:$AI$1463,0))),NA()))))</f>
        <v>2132</v>
      </c>
      <c r="K132" s="37">
        <f>IF($B$4="RESONANCE",IFERROR(IF(INDEX(MASTER!$I$4:$I$1463,MATCH("EMERALD LEAF TRIBE"&amp;"|"&amp;MAX(1,ROUND(COUNTIFS(MASTER!$B$4:$B$1463,"EMERALD LEAF TRIBE",MASTER!$I$4:$I$1463,"&lt;&gt;")*$A132*100/100,0)),MASTER!$Y$4:$Y$1463,0))="",NA(),INDEX(MASTER!$I$4:$I$1463,MATCH("EMERALD LEAF TRIBE"&amp;"|"&amp;MAX(1,ROUND(COUNTIFS(MASTER!$B$4:$B$1463,"EMERALD LEAF TRIBE",MASTER!$I$4:$I$1463,"&lt;&gt;")*$A132*100/100,0)),MASTER!$Y$4:$Y$1463,0))),NA()),IF($B$4="COMBAT RATING",IFERROR(IF(INDEX(MASTER!$G$4:$G$1463,MATCH("EMERALD LEAF TRIBE"&amp;"|"&amp;MAX(1,ROUND(COUNTIFS(MASTER!$B$4:$B$1463,"EMERALD LEAF TRIBE",MASTER!$G$4:$G$1463,"&lt;&gt;")*$A132*100/100,0)),MASTER!$AH$4:$AH$1463,0))="",NA(),INDEX(MASTER!$G$4:$G$1463,MATCH("EMERALD LEAF TRIBE"&amp;"|"&amp;MAX(1,ROUND(COUNTIFS(MASTER!$B$4:$B$1463,"EMERALD LEAF TRIBE",MASTER!$G$4:$G$1463,"&lt;&gt;")*$A132*100/100,0)),MASTER!$AH$4:$AH$1463,0))),NA()),IF($B$4="SECONDARY",IFERROR(IF(INDEX(MASTER!$L$4:$L$1463,MATCH("EMERALD LEAF TRIBE"&amp;"|"&amp;MAX(1,ROUND(COUNTIFS(MASTER!$B$4:$B$1463,"EMERALD LEAF TRIBE",MASTER!$L$4:$L$1463,"&lt;&gt;")*$A132*100/100,0)),MASTER!$AI$4:$AI$1463,0))="",NA(),INDEX(MASTER!$L$4:$L$1463,MATCH("EMERALD LEAF TRIBE"&amp;"|"&amp;MAX(1,ROUND(COUNTIFS(MASTER!$B$4:$B$1463,"EMERALD LEAF TRIBE",MASTER!$L$4:$L$1463,"&lt;&gt;")*$A132*100/100,0)),MASTER!$AI$4:$AI$1463,0))),NA()))))</f>
        <v>1396</v>
      </c>
      <c r="L132" s="37">
        <f>IF($B$4="RESONANCE",IFERROR(IF(INDEX(MASTER!$I$4:$I$1463,MATCH("SUB ROSA"&amp;"|"&amp;MAX(1,ROUND(COUNTIFS(MASTER!$B$4:$B$1463,"SUB ROSA",MASTER!$I$4:$I$1463,"&lt;&gt;")*$A132*100/100,0)),MASTER!$Y$4:$Y$1463,0))="",NA(),INDEX(MASTER!$I$4:$I$1463,MATCH("SUB ROSA"&amp;"|"&amp;MAX(1,ROUND(COUNTIFS(MASTER!$B$4:$B$1463,"SUB ROSA",MASTER!$I$4:$I$1463,"&lt;&gt;")*$A132*100/100,0)),MASTER!$Y$4:$Y$1463,0))),NA()),IF($B$4="COMBAT RATING",IFERROR(IF(INDEX(MASTER!$G$4:$G$1463,MATCH("SUB ROSA"&amp;"|"&amp;MAX(1,ROUND(COUNTIFS(MASTER!$B$4:$B$1463,"SUB ROSA",MASTER!$G$4:$G$1463,"&lt;&gt;")*$A132*100/100,0)),MASTER!$AH$4:$AH$1463,0))="",NA(),INDEX(MASTER!$G$4:$G$1463,MATCH("SUB ROSA"&amp;"|"&amp;MAX(1,ROUND(COUNTIFS(MASTER!$B$4:$B$1463,"SUB ROSA",MASTER!$G$4:$G$1463,"&lt;&gt;")*$A132*100/100,0)),MASTER!$AH$4:$AH$1463,0))),NA()),IF($B$4="SECONDARY",IFERROR(IF(INDEX(MASTER!$L$4:$L$1463,MATCH("SUB ROSA"&amp;"|"&amp;MAX(1,ROUND(COUNTIFS(MASTER!$B$4:$B$1463,"SUB ROSA",MASTER!$L$4:$L$1463,"&lt;&gt;")*$A132*100/100,0)),MASTER!$AI$4:$AI$1463,0))="",NA(),INDEX(MASTER!$L$4:$L$1463,MATCH("SUB ROSA"&amp;"|"&amp;MAX(1,ROUND(COUNTIFS(MASTER!$B$4:$B$1463,"SUB ROSA",MASTER!$L$4:$L$1463,"&lt;&gt;")*$A132*100/100,0)),MASTER!$AI$4:$AI$1463,0))),NA()))))</f>
        <v>1490</v>
      </c>
      <c r="M132" s="37">
        <f>IF($B$4="RESONANCE",IFERROR(IF(INDEX(MASTER!$I$4:$I$1463,MATCH("VENGEANCE"&amp;"|"&amp;MAX(1,ROUND(COUNTIFS(MASTER!$B$4:$B$1463,"VENGEANCE",MASTER!$I$4:$I$1463,"&lt;&gt;")*$A132*100/100,0)),MASTER!$Y$4:$Y$1463,0))="",NA(),INDEX(MASTER!$I$4:$I$1463,MATCH("VENGEANCE"&amp;"|"&amp;MAX(1,ROUND(COUNTIFS(MASTER!$B$4:$B$1463,"VENGEANCE",MASTER!$I$4:$I$1463,"&lt;&gt;")*$A132*100/100,0)),MASTER!$Y$4:$Y$1463,0))),NA()),IF($B$4="COMBAT RATING",IFERROR(IF(INDEX(MASTER!$G$4:$G$1463,MATCH("VENGEANCE"&amp;"|"&amp;MAX(1,ROUND(COUNTIFS(MASTER!$B$4:$B$1463,"VENGEANCE",MASTER!$G$4:$G$1463,"&lt;&gt;")*$A132*100/100,0)),MASTER!$AH$4:$AH$1463,0))="",NA(),INDEX(MASTER!$G$4:$G$1463,MATCH("VENGEANCE"&amp;"|"&amp;MAX(1,ROUND(COUNTIFS(MASTER!$B$4:$B$1463,"VENGEANCE",MASTER!$G$4:$G$1463,"&lt;&gt;")*$A132*100/100,0)),MASTER!$AH$4:$AH$1463,0))),NA()),IF($B$4="SECONDARY",IFERROR(IF(INDEX(MASTER!$L$4:$L$1463,MATCH("VENGEANCE"&amp;"|"&amp;MAX(1,ROUND(COUNTIFS(MASTER!$B$4:$B$1463,"VENGEANCE",MASTER!$L$4:$L$1463,"&lt;&gt;")*$A132*100/100,0)),MASTER!$AI$4:$AI$1463,0))="",NA(),INDEX(MASTER!$L$4:$L$1463,MATCH("VENGEANCE"&amp;"|"&amp;MAX(1,ROUND(COUNTIFS(MASTER!$B$4:$B$1463,"VENGEANCE",MASTER!$L$4:$L$1463,"&lt;&gt;")*$A132*100/100,0)),MASTER!$AI$4:$AI$1463,0))),NA()))))</f>
        <v>2526</v>
      </c>
      <c r="N132" s="37">
        <f>IF($B$4="RESONANCE",IFERROR(IF(INDEX(MASTER!$I$4:$I$1463,MATCH("VENDETTA"&amp;"|"&amp;MAX(1,ROUND(COUNTIFS(MASTER!$B$4:$B$1463,"VENDETTA",MASTER!$I$4:$I$1463,"&lt;&gt;")*$A132*100/100,0)),MASTER!$Y$4:$Y$1463,0))="",NA(),INDEX(MASTER!$I$4:$I$1463,MATCH("VENDETTA"&amp;"|"&amp;MAX(1,ROUND(COUNTIFS(MASTER!$B$4:$B$1463,"VENDETTA",MASTER!$I$4:$I$1463,"&lt;&gt;")*$A132*100/100,0)),MASTER!$Y$4:$Y$1463,0))),NA()),IF($B$4="COMBAT RATING",IFERROR(IF(INDEX(MASTER!$G$4:$G$1463,MATCH("VENDETTA"&amp;"|"&amp;MAX(1,ROUND(COUNTIFS(MASTER!$B$4:$B$1463,"VENDETTA",MASTER!$G$4:$G$1463,"&lt;&gt;")*$A132*100/100,0)),MASTER!$AH$4:$AH$1463,0))="",NA(),INDEX(MASTER!$G$4:$G$1463,MATCH("VENDETTA"&amp;"|"&amp;MAX(1,ROUND(COUNTIFS(MASTER!$B$4:$B$1463,"VENDETTA",MASTER!$G$4:$G$1463,"&lt;&gt;")*$A132*100/100,0)),MASTER!$AH$4:$AH$1463,0))),NA()),IF($B$4="SECONDARY",IFERROR(IF(INDEX(MASTER!$L$4:$L$1463,MATCH("VENDETTA"&amp;"|"&amp;MAX(1,ROUND(COUNTIFS(MASTER!$B$4:$B$1463,"VENDETTA",MASTER!$L$4:$L$1463,"&lt;&gt;")*$A132*100/100,0)),MASTER!$AI$4:$AI$1463,0))="",NA(),INDEX(MASTER!$L$4:$L$1463,MATCH("VENDETTA"&amp;"|"&amp;MAX(1,ROUND(COUNTIFS(MASTER!$B$4:$B$1463,"VENDETTA",MASTER!$L$4:$L$1463,"&lt;&gt;")*$A132*100/100,0)),MASTER!$AI$4:$AI$1463,0))),NA()))))</f>
        <v>1401</v>
      </c>
      <c r="O132" s="37">
        <f>IF($B$4="RESONANCE",IFERROR(IF(INDEX(MASTER!$I$4:$I$1463,MATCH("ZOMBIES"&amp;"|"&amp;MAX(1,ROUND(COUNTIFS(MASTER!$B$4:$B$1463,"ZOMBIES",MASTER!$I$4:$I$1463,"&lt;&gt;")*$A132*100/100,0)),MASTER!$Y$4:$Y$1463,0))="",NA(),INDEX(MASTER!$I$4:$I$1463,MATCH("ZOMBIES"&amp;"|"&amp;MAX(1,ROUND(COUNTIFS(MASTER!$B$4:$B$1463,"ZOMBIES",MASTER!$I$4:$I$1463,"&lt;&gt;")*$A132*100/100,0)),MASTER!$Y$4:$Y$1463,0))),NA()),IF($B$4="COMBAT RATING",IFERROR(IF(INDEX(MASTER!$G$4:$G$1463,MATCH("ZOMBIES"&amp;"|"&amp;MAX(1,ROUND(COUNTIFS(MASTER!$B$4:$B$1463,"ZOMBIES",MASTER!$G$4:$G$1463,"&lt;&gt;")*$A132*100/100,0)),MASTER!$AH$4:$AH$1463,0))="",NA(),INDEX(MASTER!$G$4:$G$1463,MATCH("ZOMBIES"&amp;"|"&amp;MAX(1,ROUND(COUNTIFS(MASTER!$B$4:$B$1463,"ZOMBIES",MASTER!$G$4:$G$1463,"&lt;&gt;")*$A132*100/100,0)),MASTER!$AH$4:$AH$1463,0))),NA()),IF($B$4="SECONDARY",IFERROR(IF(INDEX(MASTER!$L$4:$L$1463,MATCH("ZOMBIES"&amp;"|"&amp;MAX(1,ROUND(COUNTIFS(MASTER!$B$4:$B$1463,"ZOMBIES",MASTER!$L$4:$L$1463,"&lt;&gt;")*$A132*100/100,0)),MASTER!$AI$4:$AI$1463,0))="",NA(),INDEX(MASTER!$L$4:$L$1463,MATCH("ZOMBIES"&amp;"|"&amp;MAX(1,ROUND(COUNTIFS(MASTER!$B$4:$B$1463,"ZOMBIES",MASTER!$L$4:$L$1463,"&lt;&gt;")*$A132*100/100,0)),MASTER!$AI$4:$AI$1463,0))),NA()))))</f>
        <v>1120</v>
      </c>
      <c r="P132" s="37">
        <f>IF($B$4="RESONANCE",IFERROR(IF(INDEX(MASTER!$I$4:$I$1463,MATCH("FUCT"&amp;"|"&amp;MAX(1,ROUND(COUNTIFS(MASTER!$B$4:$B$1463,"FUCT",MASTER!$I$4:$I$1463,"&lt;&gt;")*$A132*100/100,0)),MASTER!$Y$4:$Y$1463,0))="",NA(),INDEX(MASTER!$I$4:$I$1463,MATCH("FUCT"&amp;"|"&amp;MAX(1,ROUND(COUNTIFS(MASTER!$B$4:$B$1463,"FUCT",MASTER!$I$4:$I$1463,"&lt;&gt;")*$A132*100/100,0)),MASTER!$Y$4:$Y$1463,0))),NA()),IF($B$4="COMBAT RATING",IFERROR(IF(INDEX(MASTER!$G$4:$G$1463,MATCH("FUCT"&amp;"|"&amp;MAX(1,ROUND(COUNTIFS(MASTER!$B$4:$B$1463,"FUCT",MASTER!$G$4:$G$1463,"&lt;&gt;")*$A132*100/100,0)),MASTER!$AH$4:$AH$1463,0))="",NA(),INDEX(MASTER!$G$4:$G$1463,MATCH("FUCT"&amp;"|"&amp;MAX(1,ROUND(COUNTIFS(MASTER!$B$4:$B$1463,"FUCT",MASTER!$G$4:$G$1463,"&lt;&gt;")*$A132*100/100,0)),MASTER!$AH$4:$AH$1463,0))),NA()),IF($B$4="SECONDARY",IFERROR(IF(INDEX(MASTER!$L$4:$L$1463,MATCH("FUCT"&amp;"|"&amp;MAX(1,ROUND(COUNTIFS(MASTER!$B$4:$B$1463,"FUCT",MASTER!$L$4:$L$1463,"&lt;&gt;")*$A132*100/100,0)),MASTER!$AI$4:$AI$1463,0))="",NA(),INDEX(MASTER!$L$4:$L$1463,MATCH("FUCT"&amp;"|"&amp;MAX(1,ROUND(COUNTIFS(MASTER!$B$4:$B$1463,"FUCT",MASTER!$L$4:$L$1463,"&lt;&gt;")*$A132*100/100,0)),MASTER!$AI$4:$AI$1463,0))),NA()))))</f>
        <v>3384</v>
      </c>
      <c r="Q132" s="37">
        <f>IF($B$4="RESONANCE",IFERROR(IF(INDEX(MASTER!$I$4:$I$1463,MATCH($E$4&amp;"|"&amp;MAX(1,ROUND(COUNTIFS(MASTER!$B$4:$B$1463,$E$4,MASTER!$I$4:$I$1463,"&lt;&gt;")*$A132*100/100,0)),MASTER!$Y$4:$Y$1463,0))="",NA(),INDEX(MASTER!$I$4:$I$1463,MATCH($E$4&amp;"|"&amp;MAX(1,ROUND(COUNTIFS(MASTER!$B$4:$B$1463,$E$4,MASTER!$I$4:$I$1463,"&lt;&gt;")*$A132*100/100,0)),MASTER!$Y$4:$Y$1463,0))),NA()),IF($B$4="COMBAT RATING",IFERROR(IF(INDEX(MASTER!$G$4:$G$1463,MATCH($E$4&amp;"|"&amp;MAX(1,ROUND(COUNTIFS(MASTER!$B$4:$B$1463,$E$4,MASTER!$G$4:$G$1463,"&lt;&gt;")*$A132*100/100,0)),MASTER!$AH$4:$AH$1463,0))="",NA(),INDEX(MASTER!$G$4:$G$1463,MATCH($E$4&amp;"|"&amp;MAX(1,ROUND(COUNTIFS(MASTER!$B$4:$B$1463,$E$4,MASTER!$G$4:$G$1463,"&lt;&gt;")*$A132*100/100,0)),MASTER!$AH$4:$AH$1463,0))),NA()),IF($B$4="SECONDARY",IFERROR(IF(INDEX(MASTER!$L$4:$L$1463,MATCH($E$4&amp;"|"&amp;MAX(1,ROUND(COUNTIFS(MASTER!$B$4:$B$1463,$E$4,MASTER!$L$4:$L$1463,"&lt;&gt;")*$A132*100/100,0)),MASTER!$AI$4:$AI$1463,0))="",NA(),INDEX(MASTER!$L$4:$L$1463,MATCH($E$4&amp;"|"&amp;MAX(1,ROUND(COUNTIFS(MASTER!$B$4:$B$1463,$E$4,MASTER!$L$4:$L$1463,"&lt;&gt;")*$A132*100/100,0)),MASTER!$AI$4:$AI$1463,0))),NA()))))</f>
        <v>3314</v>
      </c>
    </row>
    <row r="133" spans="1:17" hidden="1">
      <c r="A133" s="36">
        <v>0.78</v>
      </c>
      <c r="B133" s="37">
        <f>IF($B$4="RESONANCE",IFERROR(IF(INDEX(MASTER!$I$4:$I$1463,MATCH("FUCT"&amp;"|"&amp;MAX(1,ROUND(COUNTIFS(MASTER!$B$4:$B$1463,"FUCT",MASTER!$I$4:$I$1463,"&lt;&gt;")*$A133*100/100,0)),MASTER!$Y$4:$Y$1463,0))="",NA(),INDEX(MASTER!$I$4:$I$1463,MATCH("FUCT"&amp;"|"&amp;MAX(1,ROUND(COUNTIFS(MASTER!$B$4:$B$1463,"FUCT",MASTER!$I$4:$I$1463,"&lt;&gt;")*$A133*100/100,0)),MASTER!$Y$4:$Y$1463,0))),NA()),IF($B$4="COMBAT RATING",IFERROR(IF(INDEX(MASTER!$G$4:$G$1463,MATCH("FUCT"&amp;"|"&amp;MAX(1,ROUND(COUNTIFS(MASTER!$B$4:$B$1463,"FUCT",MASTER!$G$4:$G$1463,"&lt;&gt;")*$A133*100/100,0)),MASTER!$AH$4:$AH$1463,0))="",NA(),INDEX(MASTER!$G$4:$G$1463,MATCH("FUCT"&amp;"|"&amp;MAX(1,ROUND(COUNTIFS(MASTER!$B$4:$B$1463,"FUCT",MASTER!$G$4:$G$1463,"&lt;&gt;")*$A133*100/100,0)),MASTER!$AH$4:$AH$1463,0))),NA()),IF($B$4="SECONDARY",IFERROR(IF(INDEX(MASTER!$L$4:$L$1463,MATCH("FUCT"&amp;"|"&amp;MAX(1,ROUND(COUNTIFS(MASTER!$B$4:$B$1463,"FUCT",MASTER!$L$4:$L$1463,"&lt;&gt;")*$A133*100/100,0)),MASTER!$AI$4:$AI$1463,0))="",NA(),INDEX(MASTER!$L$4:$L$1463,MATCH("FUCT"&amp;"|"&amp;MAX(1,ROUND(COUNTIFS(MASTER!$B$4:$B$1463,"FUCT",MASTER!$L$4:$L$1463,"&lt;&gt;")*$A133*100/100,0)),MASTER!$AI$4:$AI$1463,0))),NA()))))</f>
        <v>3338</v>
      </c>
      <c r="C133" s="37">
        <f>IF($B$4="RESONANCE",IFERROR(IF(INDEX(MASTER!$I$4:$I$1463,MATCH("LEGENDS"&amp;"|"&amp;MAX(1,ROUND(COUNTIFS(MASTER!$B$4:$B$1463,"LEGENDS",MASTER!$I$4:$I$1463,"&lt;&gt;")*$A133*100/100,0)),MASTER!$Y$4:$Y$1463,0))="",NA(),INDEX(MASTER!$I$4:$I$1463,MATCH("LEGENDS"&amp;"|"&amp;MAX(1,ROUND(COUNTIFS(MASTER!$B$4:$B$1463,"LEGENDS",MASTER!$I$4:$I$1463,"&lt;&gt;")*$A133*100/100,0)),MASTER!$Y$4:$Y$1463,0))),NA()),IF($B$4="COMBAT RATING",IFERROR(IF(INDEX(MASTER!$G$4:$G$1463,MATCH("LEGENDS"&amp;"|"&amp;MAX(1,ROUND(COUNTIFS(MASTER!$B$4:$B$1463,"LEGENDS",MASTER!$G$4:$G$1463,"&lt;&gt;")*$A133*100/100,0)),MASTER!$AH$4:$AH$1463,0))="",NA(),INDEX(MASTER!$G$4:$G$1463,MATCH("LEGENDS"&amp;"|"&amp;MAX(1,ROUND(COUNTIFS(MASTER!$B$4:$B$1463,"LEGENDS",MASTER!$G$4:$G$1463,"&lt;&gt;")*$A133*100/100,0)),MASTER!$AH$4:$AH$1463,0))),NA()),IF($B$4="SECONDARY",IFERROR(IF(INDEX(MASTER!$L$4:$L$1463,MATCH("LEGENDS"&amp;"|"&amp;MAX(1,ROUND(COUNTIFS(MASTER!$B$4:$B$1463,"LEGENDS",MASTER!$L$4:$L$1463,"&lt;&gt;")*$A133*100/100,0)),MASTER!$AI$4:$AI$1463,0))="",NA(),INDEX(MASTER!$L$4:$L$1463,MATCH("LEGENDS"&amp;"|"&amp;MAX(1,ROUND(COUNTIFS(MASTER!$B$4:$B$1463,"LEGENDS",MASTER!$L$4:$L$1463,"&lt;&gt;")*$A133*100/100,0)),MASTER!$AI$4:$AI$1463,0))),NA()))))</f>
        <v>3820</v>
      </c>
      <c r="D133" s="37">
        <f>IF($B$4="RESONANCE",IFERROR(IF(INDEX(MASTER!$I$4:$I$1463,MATCH("VANGUARD"&amp;"|"&amp;MAX(1,ROUND(COUNTIFS(MASTER!$B$4:$B$1463,"VANGUARD",MASTER!$I$4:$I$1463,"&lt;&gt;")*$A133*100/100,0)),MASTER!$Y$4:$Y$1463,0))="",NA(),INDEX(MASTER!$I$4:$I$1463,MATCH("VANGUARD"&amp;"|"&amp;MAX(1,ROUND(COUNTIFS(MASTER!$B$4:$B$1463,"VANGUARD",MASTER!$I$4:$I$1463,"&lt;&gt;")*$A133*100/100,0)),MASTER!$Y$4:$Y$1463,0))),NA()),IF($B$4="COMBAT RATING",IFERROR(IF(INDEX(MASTER!$G$4:$G$1463,MATCH("VANGUARD"&amp;"|"&amp;MAX(1,ROUND(COUNTIFS(MASTER!$B$4:$B$1463,"VANGUARD",MASTER!$G$4:$G$1463,"&lt;&gt;")*$A133*100/100,0)),MASTER!$AH$4:$AH$1463,0))="",NA(),INDEX(MASTER!$G$4:$G$1463,MATCH("VANGUARD"&amp;"|"&amp;MAX(1,ROUND(COUNTIFS(MASTER!$B$4:$B$1463,"VANGUARD",MASTER!$G$4:$G$1463,"&lt;&gt;")*$A133*100/100,0)),MASTER!$AH$4:$AH$1463,0))),NA()),IF($B$4="SECONDARY",IFERROR(IF(INDEX(MASTER!$L$4:$L$1463,MATCH("VANGUARD"&amp;"|"&amp;MAX(1,ROUND(COUNTIFS(MASTER!$B$4:$B$1463,"VANGUARD",MASTER!$L$4:$L$1463,"&lt;&gt;")*$A133*100/100,0)),MASTER!$AI$4:$AI$1463,0))="",NA(),INDEX(MASTER!$L$4:$L$1463,MATCH("VANGUARD"&amp;"|"&amp;MAX(1,ROUND(COUNTIFS(MASTER!$B$4:$B$1463,"VANGUARD",MASTER!$L$4:$L$1463,"&lt;&gt;")*$A133*100/100,0)),MASTER!$AI$4:$AI$1463,0))),NA()))))</f>
        <v>4507</v>
      </c>
      <c r="E133" s="37">
        <f>IF($B$4="RESONANCE",IFERROR(IF(INDEX(MASTER!$I$4:$I$1463,MATCH("UNDYING"&amp;"|"&amp;MAX(1,ROUND(COUNTIFS(MASTER!$B$4:$B$1463,"UNDYING",MASTER!$I$4:$I$1463,"&lt;&gt;")*$A133*100/100,0)),MASTER!$Y$4:$Y$1463,0))="",NA(),INDEX(MASTER!$I$4:$I$1463,MATCH("UNDYING"&amp;"|"&amp;MAX(1,ROUND(COUNTIFS(MASTER!$B$4:$B$1463,"UNDYING",MASTER!$I$4:$I$1463,"&lt;&gt;")*$A133*100/100,0)),MASTER!$Y$4:$Y$1463,0))),NA()),IF($B$4="COMBAT RATING",IFERROR(IF(INDEX(MASTER!$G$4:$G$1463,MATCH("UNDYING"&amp;"|"&amp;MAX(1,ROUND(COUNTIFS(MASTER!$B$4:$B$1463,"UNDYING",MASTER!$G$4:$G$1463,"&lt;&gt;")*$A133*100/100,0)),MASTER!$AH$4:$AH$1463,0))="",NA(),INDEX(MASTER!$G$4:$G$1463,MATCH("UNDYING"&amp;"|"&amp;MAX(1,ROUND(COUNTIFS(MASTER!$B$4:$B$1463,"UNDYING",MASTER!$G$4:$G$1463,"&lt;&gt;")*$A133*100/100,0)),MASTER!$AH$4:$AH$1463,0))),NA()),IF($B$4="SECONDARY",IFERROR(IF(INDEX(MASTER!$L$4:$L$1463,MATCH("UNDYING"&amp;"|"&amp;MAX(1,ROUND(COUNTIFS(MASTER!$B$4:$B$1463,"UNDYING",MASTER!$L$4:$L$1463,"&lt;&gt;")*$A133*100/100,0)),MASTER!$AI$4:$AI$1463,0))="",NA(),INDEX(MASTER!$L$4:$L$1463,MATCH("UNDYING"&amp;"|"&amp;MAX(1,ROUND(COUNTIFS(MASTER!$B$4:$B$1463,"UNDYING",MASTER!$L$4:$L$1463,"&lt;&gt;")*$A133*100/100,0)),MASTER!$AI$4:$AI$1463,0))),NA()))))</f>
        <v>3309</v>
      </c>
      <c r="F133" s="37">
        <f>IF($B$4="RESONANCE",IFERROR(IF(INDEX(MASTER!$I$4:$I$1463,MATCH("SBG"&amp;"|"&amp;MAX(1,ROUND(COUNTIFS(MASTER!$B$4:$B$1463,"SBG",MASTER!$I$4:$I$1463,"&lt;&gt;")*$A133*100/100,0)),MASTER!$Y$4:$Y$1463,0))="",NA(),INDEX(MASTER!$I$4:$I$1463,MATCH("SBG"&amp;"|"&amp;MAX(1,ROUND(COUNTIFS(MASTER!$B$4:$B$1463,"SBG",MASTER!$I$4:$I$1463,"&lt;&gt;")*$A133*100/100,0)),MASTER!$Y$4:$Y$1463,0))),NA()),IF($B$4="COMBAT RATING",IFERROR(IF(INDEX(MASTER!$G$4:$G$1463,MATCH("SBG"&amp;"|"&amp;MAX(1,ROUND(COUNTIFS(MASTER!$B$4:$B$1463,"SBG",MASTER!$G$4:$G$1463,"&lt;&gt;")*$A133*100/100,0)),MASTER!$AH$4:$AH$1463,0))="",NA(),INDEX(MASTER!$G$4:$G$1463,MATCH("SBG"&amp;"|"&amp;MAX(1,ROUND(COUNTIFS(MASTER!$B$4:$B$1463,"SBG",MASTER!$G$4:$G$1463,"&lt;&gt;")*$A133*100/100,0)),MASTER!$AH$4:$AH$1463,0))),NA()),IF($B$4="SECONDARY",IFERROR(IF(INDEX(MASTER!$L$4:$L$1463,MATCH("SBG"&amp;"|"&amp;MAX(1,ROUND(COUNTIFS(MASTER!$B$4:$B$1463,"SBG",MASTER!$L$4:$L$1463,"&lt;&gt;")*$A133*100/100,0)),MASTER!$AI$4:$AI$1463,0))="",NA(),INDEX(MASTER!$L$4:$L$1463,MATCH("SBG"&amp;"|"&amp;MAX(1,ROUND(COUNTIFS(MASTER!$B$4:$B$1463,"SBG",MASTER!$L$4:$L$1463,"&lt;&gt;")*$A133*100/100,0)),MASTER!$AI$4:$AI$1463,0))),NA()))))</f>
        <v>3901</v>
      </c>
      <c r="G133" s="37">
        <f>IF($B$4="RESONANCE",IFERROR(IF(INDEX(MASTER!$I$4:$I$1463,MATCH("AZUKI"&amp;"|"&amp;MAX(1,ROUND(COUNTIFS(MASTER!$B$4:$B$1463,"AZUKI",MASTER!$I$4:$I$1463,"&lt;&gt;")*$A133*100/100,0)),MASTER!$Y$4:$Y$1463,0))="",NA(),INDEX(MASTER!$I$4:$I$1463,MATCH("AZUKI"&amp;"|"&amp;MAX(1,ROUND(COUNTIFS(MASTER!$B$4:$B$1463,"AZUKI",MASTER!$I$4:$I$1463,"&lt;&gt;")*$A133*100/100,0)),MASTER!$Y$4:$Y$1463,0))),NA()),IF($B$4="COMBAT RATING",IFERROR(IF(INDEX(MASTER!$G$4:$G$1463,MATCH("AZUKI"&amp;"|"&amp;MAX(1,ROUND(COUNTIFS(MASTER!$B$4:$B$1463,"AZUKI",MASTER!$G$4:$G$1463,"&lt;&gt;")*$A133*100/100,0)),MASTER!$AH$4:$AH$1463,0))="",NA(),INDEX(MASTER!$G$4:$G$1463,MATCH("AZUKI"&amp;"|"&amp;MAX(1,ROUND(COUNTIFS(MASTER!$B$4:$B$1463,"AZUKI",MASTER!$G$4:$G$1463,"&lt;&gt;")*$A133*100/100,0)),MASTER!$AH$4:$AH$1463,0))),NA()),IF($B$4="SECONDARY",IFERROR(IF(INDEX(MASTER!$L$4:$L$1463,MATCH("AZUKI"&amp;"|"&amp;MAX(1,ROUND(COUNTIFS(MASTER!$B$4:$B$1463,"AZUKI",MASTER!$L$4:$L$1463,"&lt;&gt;")*$A133*100/100,0)),MASTER!$AI$4:$AI$1463,0))="",NA(),INDEX(MASTER!$L$4:$L$1463,MATCH("AZUKI"&amp;"|"&amp;MAX(1,ROUND(COUNTIFS(MASTER!$B$4:$B$1463,"AZUKI",MASTER!$L$4:$L$1463,"&lt;&gt;")*$A133*100/100,0)),MASTER!$AI$4:$AI$1463,0))),NA()))))</f>
        <v>3370</v>
      </c>
      <c r="H133" s="37">
        <f>IF($B$4="RESONANCE",IFERROR(IF(INDEX(MASTER!$I$4:$I$1463,MATCH("RECKONING"&amp;"|"&amp;MAX(1,ROUND(COUNTIFS(MASTER!$B$4:$B$1463,"RECKONING",MASTER!$I$4:$I$1463,"&lt;&gt;")*$A133*100/100,0)),MASTER!$Y$4:$Y$1463,0))="",NA(),INDEX(MASTER!$I$4:$I$1463,MATCH("RECKONING"&amp;"|"&amp;MAX(1,ROUND(COUNTIFS(MASTER!$B$4:$B$1463,"RECKONING",MASTER!$I$4:$I$1463,"&lt;&gt;")*$A133*100/100,0)),MASTER!$Y$4:$Y$1463,0))),NA()),IF($B$4="COMBAT RATING",IFERROR(IF(INDEX(MASTER!$G$4:$G$1463,MATCH("RECKONING"&amp;"|"&amp;MAX(1,ROUND(COUNTIFS(MASTER!$B$4:$B$1463,"RECKONING",MASTER!$G$4:$G$1463,"&lt;&gt;")*$A133*100/100,0)),MASTER!$AH$4:$AH$1463,0))="",NA(),INDEX(MASTER!$G$4:$G$1463,MATCH("RECKONING"&amp;"|"&amp;MAX(1,ROUND(COUNTIFS(MASTER!$B$4:$B$1463,"RECKONING",MASTER!$G$4:$G$1463,"&lt;&gt;")*$A133*100/100,0)),MASTER!$AH$4:$AH$1463,0))),NA()),IF($B$4="SECONDARY",IFERROR(IF(INDEX(MASTER!$L$4:$L$1463,MATCH("RECKONING"&amp;"|"&amp;MAX(1,ROUND(COUNTIFS(MASTER!$B$4:$B$1463,"RECKONING",MASTER!$L$4:$L$1463,"&lt;&gt;")*$A133*100/100,0)),MASTER!$AI$4:$AI$1463,0))="",NA(),INDEX(MASTER!$L$4:$L$1463,MATCH("RECKONING"&amp;"|"&amp;MAX(1,ROUND(COUNTIFS(MASTER!$B$4:$B$1463,"RECKONING",MASTER!$L$4:$L$1463,"&lt;&gt;")*$A133*100/100,0)),MASTER!$AI$4:$AI$1463,0))),NA()))))</f>
        <v>3674</v>
      </c>
      <c r="I133" s="37">
        <f>IF($B$4="RESONANCE",IFERROR(IF(INDEX(MASTER!$I$4:$I$1463,MATCH("ACHERON"&amp;"|"&amp;MAX(1,ROUND(COUNTIFS(MASTER!$B$4:$B$1463,"ACHERON",MASTER!$I$4:$I$1463,"&lt;&gt;")*$A133*100/100,0)),MASTER!$Y$4:$Y$1463,0))="",NA(),INDEX(MASTER!$I$4:$I$1463,MATCH("ACHERON"&amp;"|"&amp;MAX(1,ROUND(COUNTIFS(MASTER!$B$4:$B$1463,"ACHERON",MASTER!$I$4:$I$1463,"&lt;&gt;")*$A133*100/100,0)),MASTER!$Y$4:$Y$1463,0))),NA()),IF($B$4="COMBAT RATING",IFERROR(IF(INDEX(MASTER!$G$4:$G$1463,MATCH("ACHERON"&amp;"|"&amp;MAX(1,ROUND(COUNTIFS(MASTER!$B$4:$B$1463,"ACHERON",MASTER!$G$4:$G$1463,"&lt;&gt;")*$A133*100/100,0)),MASTER!$AH$4:$AH$1463,0))="",NA(),INDEX(MASTER!$G$4:$G$1463,MATCH("ACHERON"&amp;"|"&amp;MAX(1,ROUND(COUNTIFS(MASTER!$B$4:$B$1463,"ACHERON",MASTER!$G$4:$G$1463,"&lt;&gt;")*$A133*100/100,0)),MASTER!$AH$4:$AH$1463,0))),NA()),IF($B$4="SECONDARY",IFERROR(IF(INDEX(MASTER!$L$4:$L$1463,MATCH("ACHERON"&amp;"|"&amp;MAX(1,ROUND(COUNTIFS(MASTER!$B$4:$B$1463,"ACHERON",MASTER!$L$4:$L$1463,"&lt;&gt;")*$A133*100/100,0)),MASTER!$AI$4:$AI$1463,0))="",NA(),INDEX(MASTER!$L$4:$L$1463,MATCH("ACHERON"&amp;"|"&amp;MAX(1,ROUND(COUNTIFS(MASTER!$B$4:$B$1463,"ACHERON",MASTER!$L$4:$L$1463,"&lt;&gt;")*$A133*100/100,0)),MASTER!$AI$4:$AI$1463,0))),NA()))))</f>
        <v>2696</v>
      </c>
      <c r="J133" s="37">
        <f>IF($B$4="RESONANCE",IFERROR(IF(INDEX(MASTER!$I$4:$I$1463,MATCH("INVICTUS"&amp;"|"&amp;MAX(1,ROUND(COUNTIFS(MASTER!$B$4:$B$1463,"INVICTUS",MASTER!$I$4:$I$1463,"&lt;&gt;")*$A133*100/100,0)),MASTER!$Y$4:$Y$1463,0))="",NA(),INDEX(MASTER!$I$4:$I$1463,MATCH("INVICTUS"&amp;"|"&amp;MAX(1,ROUND(COUNTIFS(MASTER!$B$4:$B$1463,"INVICTUS",MASTER!$I$4:$I$1463,"&lt;&gt;")*$A133*100/100,0)),MASTER!$Y$4:$Y$1463,0))),NA()),IF($B$4="COMBAT RATING",IFERROR(IF(INDEX(MASTER!$G$4:$G$1463,MATCH("INVICTUS"&amp;"|"&amp;MAX(1,ROUND(COUNTIFS(MASTER!$B$4:$B$1463,"INVICTUS",MASTER!$G$4:$G$1463,"&lt;&gt;")*$A133*100/100,0)),MASTER!$AH$4:$AH$1463,0))="",NA(),INDEX(MASTER!$G$4:$G$1463,MATCH("INVICTUS"&amp;"|"&amp;MAX(1,ROUND(COUNTIFS(MASTER!$B$4:$B$1463,"INVICTUS",MASTER!$G$4:$G$1463,"&lt;&gt;")*$A133*100/100,0)),MASTER!$AH$4:$AH$1463,0))),NA()),IF($B$4="SECONDARY",IFERROR(IF(INDEX(MASTER!$L$4:$L$1463,MATCH("INVICTUS"&amp;"|"&amp;MAX(1,ROUND(COUNTIFS(MASTER!$B$4:$B$1463,"INVICTUS",MASTER!$L$4:$L$1463,"&lt;&gt;")*$A133*100/100,0)),MASTER!$AI$4:$AI$1463,0))="",NA(),INDEX(MASTER!$L$4:$L$1463,MATCH("INVICTUS"&amp;"|"&amp;MAX(1,ROUND(COUNTIFS(MASTER!$B$4:$B$1463,"INVICTUS",MASTER!$L$4:$L$1463,"&lt;&gt;")*$A133*100/100,0)),MASTER!$AI$4:$AI$1463,0))),NA()))))</f>
        <v>2116</v>
      </c>
      <c r="K133" s="37">
        <f>IF($B$4="RESONANCE",IFERROR(IF(INDEX(MASTER!$I$4:$I$1463,MATCH("EMERALD LEAF TRIBE"&amp;"|"&amp;MAX(1,ROUND(COUNTIFS(MASTER!$B$4:$B$1463,"EMERALD LEAF TRIBE",MASTER!$I$4:$I$1463,"&lt;&gt;")*$A133*100/100,0)),MASTER!$Y$4:$Y$1463,0))="",NA(),INDEX(MASTER!$I$4:$I$1463,MATCH("EMERALD LEAF TRIBE"&amp;"|"&amp;MAX(1,ROUND(COUNTIFS(MASTER!$B$4:$B$1463,"EMERALD LEAF TRIBE",MASTER!$I$4:$I$1463,"&lt;&gt;")*$A133*100/100,0)),MASTER!$Y$4:$Y$1463,0))),NA()),IF($B$4="COMBAT RATING",IFERROR(IF(INDEX(MASTER!$G$4:$G$1463,MATCH("EMERALD LEAF TRIBE"&amp;"|"&amp;MAX(1,ROUND(COUNTIFS(MASTER!$B$4:$B$1463,"EMERALD LEAF TRIBE",MASTER!$G$4:$G$1463,"&lt;&gt;")*$A133*100/100,0)),MASTER!$AH$4:$AH$1463,0))="",NA(),INDEX(MASTER!$G$4:$G$1463,MATCH("EMERALD LEAF TRIBE"&amp;"|"&amp;MAX(1,ROUND(COUNTIFS(MASTER!$B$4:$B$1463,"EMERALD LEAF TRIBE",MASTER!$G$4:$G$1463,"&lt;&gt;")*$A133*100/100,0)),MASTER!$AH$4:$AH$1463,0))),NA()),IF($B$4="SECONDARY",IFERROR(IF(INDEX(MASTER!$L$4:$L$1463,MATCH("EMERALD LEAF TRIBE"&amp;"|"&amp;MAX(1,ROUND(COUNTIFS(MASTER!$B$4:$B$1463,"EMERALD LEAF TRIBE",MASTER!$L$4:$L$1463,"&lt;&gt;")*$A133*100/100,0)),MASTER!$AI$4:$AI$1463,0))="",NA(),INDEX(MASTER!$L$4:$L$1463,MATCH("EMERALD LEAF TRIBE"&amp;"|"&amp;MAX(1,ROUND(COUNTIFS(MASTER!$B$4:$B$1463,"EMERALD LEAF TRIBE",MASTER!$L$4:$L$1463,"&lt;&gt;")*$A133*100/100,0)),MASTER!$AI$4:$AI$1463,0))),NA()))))</f>
        <v>1370</v>
      </c>
      <c r="L133" s="37">
        <f>IF($B$4="RESONANCE",IFERROR(IF(INDEX(MASTER!$I$4:$I$1463,MATCH("SUB ROSA"&amp;"|"&amp;MAX(1,ROUND(COUNTIFS(MASTER!$B$4:$B$1463,"SUB ROSA",MASTER!$I$4:$I$1463,"&lt;&gt;")*$A133*100/100,0)),MASTER!$Y$4:$Y$1463,0))="",NA(),INDEX(MASTER!$I$4:$I$1463,MATCH("SUB ROSA"&amp;"|"&amp;MAX(1,ROUND(COUNTIFS(MASTER!$B$4:$B$1463,"SUB ROSA",MASTER!$I$4:$I$1463,"&lt;&gt;")*$A133*100/100,0)),MASTER!$Y$4:$Y$1463,0))),NA()),IF($B$4="COMBAT RATING",IFERROR(IF(INDEX(MASTER!$G$4:$G$1463,MATCH("SUB ROSA"&amp;"|"&amp;MAX(1,ROUND(COUNTIFS(MASTER!$B$4:$B$1463,"SUB ROSA",MASTER!$G$4:$G$1463,"&lt;&gt;")*$A133*100/100,0)),MASTER!$AH$4:$AH$1463,0))="",NA(),INDEX(MASTER!$G$4:$G$1463,MATCH("SUB ROSA"&amp;"|"&amp;MAX(1,ROUND(COUNTIFS(MASTER!$B$4:$B$1463,"SUB ROSA",MASTER!$G$4:$G$1463,"&lt;&gt;")*$A133*100/100,0)),MASTER!$AH$4:$AH$1463,0))),NA()),IF($B$4="SECONDARY",IFERROR(IF(INDEX(MASTER!$L$4:$L$1463,MATCH("SUB ROSA"&amp;"|"&amp;MAX(1,ROUND(COUNTIFS(MASTER!$B$4:$B$1463,"SUB ROSA",MASTER!$L$4:$L$1463,"&lt;&gt;")*$A133*100/100,0)),MASTER!$AI$4:$AI$1463,0))="",NA(),INDEX(MASTER!$L$4:$L$1463,MATCH("SUB ROSA"&amp;"|"&amp;MAX(1,ROUND(COUNTIFS(MASTER!$B$4:$B$1463,"SUB ROSA",MASTER!$L$4:$L$1463,"&lt;&gt;")*$A133*100/100,0)),MASTER!$AI$4:$AI$1463,0))),NA()))))</f>
        <v>1480</v>
      </c>
      <c r="M133" s="37">
        <f>IF($B$4="RESONANCE",IFERROR(IF(INDEX(MASTER!$I$4:$I$1463,MATCH("VENGEANCE"&amp;"|"&amp;MAX(1,ROUND(COUNTIFS(MASTER!$B$4:$B$1463,"VENGEANCE",MASTER!$I$4:$I$1463,"&lt;&gt;")*$A133*100/100,0)),MASTER!$Y$4:$Y$1463,0))="",NA(),INDEX(MASTER!$I$4:$I$1463,MATCH("VENGEANCE"&amp;"|"&amp;MAX(1,ROUND(COUNTIFS(MASTER!$B$4:$B$1463,"VENGEANCE",MASTER!$I$4:$I$1463,"&lt;&gt;")*$A133*100/100,0)),MASTER!$Y$4:$Y$1463,0))),NA()),IF($B$4="COMBAT RATING",IFERROR(IF(INDEX(MASTER!$G$4:$G$1463,MATCH("VENGEANCE"&amp;"|"&amp;MAX(1,ROUND(COUNTIFS(MASTER!$B$4:$B$1463,"VENGEANCE",MASTER!$G$4:$G$1463,"&lt;&gt;")*$A133*100/100,0)),MASTER!$AH$4:$AH$1463,0))="",NA(),INDEX(MASTER!$G$4:$G$1463,MATCH("VENGEANCE"&amp;"|"&amp;MAX(1,ROUND(COUNTIFS(MASTER!$B$4:$B$1463,"VENGEANCE",MASTER!$G$4:$G$1463,"&lt;&gt;")*$A133*100/100,0)),MASTER!$AH$4:$AH$1463,0))),NA()),IF($B$4="SECONDARY",IFERROR(IF(INDEX(MASTER!$L$4:$L$1463,MATCH("VENGEANCE"&amp;"|"&amp;MAX(1,ROUND(COUNTIFS(MASTER!$B$4:$B$1463,"VENGEANCE",MASTER!$L$4:$L$1463,"&lt;&gt;")*$A133*100/100,0)),MASTER!$AI$4:$AI$1463,0))="",NA(),INDEX(MASTER!$L$4:$L$1463,MATCH("VENGEANCE"&amp;"|"&amp;MAX(1,ROUND(COUNTIFS(MASTER!$B$4:$B$1463,"VENGEANCE",MASTER!$L$4:$L$1463,"&lt;&gt;")*$A133*100/100,0)),MASTER!$AI$4:$AI$1463,0))),NA()))))</f>
        <v>2472</v>
      </c>
      <c r="N133" s="37">
        <f>IF($B$4="RESONANCE",IFERROR(IF(INDEX(MASTER!$I$4:$I$1463,MATCH("VENDETTA"&amp;"|"&amp;MAX(1,ROUND(COUNTIFS(MASTER!$B$4:$B$1463,"VENDETTA",MASTER!$I$4:$I$1463,"&lt;&gt;")*$A133*100/100,0)),MASTER!$Y$4:$Y$1463,0))="",NA(),INDEX(MASTER!$I$4:$I$1463,MATCH("VENDETTA"&amp;"|"&amp;MAX(1,ROUND(COUNTIFS(MASTER!$B$4:$B$1463,"VENDETTA",MASTER!$I$4:$I$1463,"&lt;&gt;")*$A133*100/100,0)),MASTER!$Y$4:$Y$1463,0))),NA()),IF($B$4="COMBAT RATING",IFERROR(IF(INDEX(MASTER!$G$4:$G$1463,MATCH("VENDETTA"&amp;"|"&amp;MAX(1,ROUND(COUNTIFS(MASTER!$B$4:$B$1463,"VENDETTA",MASTER!$G$4:$G$1463,"&lt;&gt;")*$A133*100/100,0)),MASTER!$AH$4:$AH$1463,0))="",NA(),INDEX(MASTER!$G$4:$G$1463,MATCH("VENDETTA"&amp;"|"&amp;MAX(1,ROUND(COUNTIFS(MASTER!$B$4:$B$1463,"VENDETTA",MASTER!$G$4:$G$1463,"&lt;&gt;")*$A133*100/100,0)),MASTER!$AH$4:$AH$1463,0))),NA()),IF($B$4="SECONDARY",IFERROR(IF(INDEX(MASTER!$L$4:$L$1463,MATCH("VENDETTA"&amp;"|"&amp;MAX(1,ROUND(COUNTIFS(MASTER!$B$4:$B$1463,"VENDETTA",MASTER!$L$4:$L$1463,"&lt;&gt;")*$A133*100/100,0)),MASTER!$AI$4:$AI$1463,0))="",NA(),INDEX(MASTER!$L$4:$L$1463,MATCH("VENDETTA"&amp;"|"&amp;MAX(1,ROUND(COUNTIFS(MASTER!$B$4:$B$1463,"VENDETTA",MASTER!$L$4:$L$1463,"&lt;&gt;")*$A133*100/100,0)),MASTER!$AI$4:$AI$1463,0))),NA()))))</f>
        <v>1395</v>
      </c>
      <c r="O133" s="37">
        <f>IF($B$4="RESONANCE",IFERROR(IF(INDEX(MASTER!$I$4:$I$1463,MATCH("ZOMBIES"&amp;"|"&amp;MAX(1,ROUND(COUNTIFS(MASTER!$B$4:$B$1463,"ZOMBIES",MASTER!$I$4:$I$1463,"&lt;&gt;")*$A133*100/100,0)),MASTER!$Y$4:$Y$1463,0))="",NA(),INDEX(MASTER!$I$4:$I$1463,MATCH("ZOMBIES"&amp;"|"&amp;MAX(1,ROUND(COUNTIFS(MASTER!$B$4:$B$1463,"ZOMBIES",MASTER!$I$4:$I$1463,"&lt;&gt;")*$A133*100/100,0)),MASTER!$Y$4:$Y$1463,0))),NA()),IF($B$4="COMBAT RATING",IFERROR(IF(INDEX(MASTER!$G$4:$G$1463,MATCH("ZOMBIES"&amp;"|"&amp;MAX(1,ROUND(COUNTIFS(MASTER!$B$4:$B$1463,"ZOMBIES",MASTER!$G$4:$G$1463,"&lt;&gt;")*$A133*100/100,0)),MASTER!$AH$4:$AH$1463,0))="",NA(),INDEX(MASTER!$G$4:$G$1463,MATCH("ZOMBIES"&amp;"|"&amp;MAX(1,ROUND(COUNTIFS(MASTER!$B$4:$B$1463,"ZOMBIES",MASTER!$G$4:$G$1463,"&lt;&gt;")*$A133*100/100,0)),MASTER!$AH$4:$AH$1463,0))),NA()),IF($B$4="SECONDARY",IFERROR(IF(INDEX(MASTER!$L$4:$L$1463,MATCH("ZOMBIES"&amp;"|"&amp;MAX(1,ROUND(COUNTIFS(MASTER!$B$4:$B$1463,"ZOMBIES",MASTER!$L$4:$L$1463,"&lt;&gt;")*$A133*100/100,0)),MASTER!$AI$4:$AI$1463,0))="",NA(),INDEX(MASTER!$L$4:$L$1463,MATCH("ZOMBIES"&amp;"|"&amp;MAX(1,ROUND(COUNTIFS(MASTER!$B$4:$B$1463,"ZOMBIES",MASTER!$L$4:$L$1463,"&lt;&gt;")*$A133*100/100,0)),MASTER!$AI$4:$AI$1463,0))),NA()))))</f>
        <v>1103</v>
      </c>
      <c r="P133" s="37">
        <f>IF($B$4="RESONANCE",IFERROR(IF(INDEX(MASTER!$I$4:$I$1463,MATCH("FUCT"&amp;"|"&amp;MAX(1,ROUND(COUNTIFS(MASTER!$B$4:$B$1463,"FUCT",MASTER!$I$4:$I$1463,"&lt;&gt;")*$A133*100/100,0)),MASTER!$Y$4:$Y$1463,0))="",NA(),INDEX(MASTER!$I$4:$I$1463,MATCH("FUCT"&amp;"|"&amp;MAX(1,ROUND(COUNTIFS(MASTER!$B$4:$B$1463,"FUCT",MASTER!$I$4:$I$1463,"&lt;&gt;")*$A133*100/100,0)),MASTER!$Y$4:$Y$1463,0))),NA()),IF($B$4="COMBAT RATING",IFERROR(IF(INDEX(MASTER!$G$4:$G$1463,MATCH("FUCT"&amp;"|"&amp;MAX(1,ROUND(COUNTIFS(MASTER!$B$4:$B$1463,"FUCT",MASTER!$G$4:$G$1463,"&lt;&gt;")*$A133*100/100,0)),MASTER!$AH$4:$AH$1463,0))="",NA(),INDEX(MASTER!$G$4:$G$1463,MATCH("FUCT"&amp;"|"&amp;MAX(1,ROUND(COUNTIFS(MASTER!$B$4:$B$1463,"FUCT",MASTER!$G$4:$G$1463,"&lt;&gt;")*$A133*100/100,0)),MASTER!$AH$4:$AH$1463,0))),NA()),IF($B$4="SECONDARY",IFERROR(IF(INDEX(MASTER!$L$4:$L$1463,MATCH("FUCT"&amp;"|"&amp;MAX(1,ROUND(COUNTIFS(MASTER!$B$4:$B$1463,"FUCT",MASTER!$L$4:$L$1463,"&lt;&gt;")*$A133*100/100,0)),MASTER!$AI$4:$AI$1463,0))="",NA(),INDEX(MASTER!$L$4:$L$1463,MATCH("FUCT"&amp;"|"&amp;MAX(1,ROUND(COUNTIFS(MASTER!$B$4:$B$1463,"FUCT",MASTER!$L$4:$L$1463,"&lt;&gt;")*$A133*100/100,0)),MASTER!$AI$4:$AI$1463,0))),NA()))))</f>
        <v>3338</v>
      </c>
      <c r="Q133" s="37">
        <f>IF($B$4="RESONANCE",IFERROR(IF(INDEX(MASTER!$I$4:$I$1463,MATCH($E$4&amp;"|"&amp;MAX(1,ROUND(COUNTIFS(MASTER!$B$4:$B$1463,$E$4,MASTER!$I$4:$I$1463,"&lt;&gt;")*$A133*100/100,0)),MASTER!$Y$4:$Y$1463,0))="",NA(),INDEX(MASTER!$I$4:$I$1463,MATCH($E$4&amp;"|"&amp;MAX(1,ROUND(COUNTIFS(MASTER!$B$4:$B$1463,$E$4,MASTER!$I$4:$I$1463,"&lt;&gt;")*$A133*100/100,0)),MASTER!$Y$4:$Y$1463,0))),NA()),IF($B$4="COMBAT RATING",IFERROR(IF(INDEX(MASTER!$G$4:$G$1463,MATCH($E$4&amp;"|"&amp;MAX(1,ROUND(COUNTIFS(MASTER!$B$4:$B$1463,$E$4,MASTER!$G$4:$G$1463,"&lt;&gt;")*$A133*100/100,0)),MASTER!$AH$4:$AH$1463,0))="",NA(),INDEX(MASTER!$G$4:$G$1463,MATCH($E$4&amp;"|"&amp;MAX(1,ROUND(COUNTIFS(MASTER!$B$4:$B$1463,$E$4,MASTER!$G$4:$G$1463,"&lt;&gt;")*$A133*100/100,0)),MASTER!$AH$4:$AH$1463,0))),NA()),IF($B$4="SECONDARY",IFERROR(IF(INDEX(MASTER!$L$4:$L$1463,MATCH($E$4&amp;"|"&amp;MAX(1,ROUND(COUNTIFS(MASTER!$B$4:$B$1463,$E$4,MASTER!$L$4:$L$1463,"&lt;&gt;")*$A133*100/100,0)),MASTER!$AI$4:$AI$1463,0))="",NA(),INDEX(MASTER!$L$4:$L$1463,MATCH($E$4&amp;"|"&amp;MAX(1,ROUND(COUNTIFS(MASTER!$B$4:$B$1463,$E$4,MASTER!$L$4:$L$1463,"&lt;&gt;")*$A133*100/100,0)),MASTER!$AI$4:$AI$1463,0))),NA()))))</f>
        <v>3309</v>
      </c>
    </row>
    <row r="134" spans="1:17" hidden="1">
      <c r="A134" s="36">
        <v>0.79</v>
      </c>
      <c r="B134" s="37">
        <f>IF($B$4="RESONANCE",IFERROR(IF(INDEX(MASTER!$I$4:$I$1463,MATCH("FUCT"&amp;"|"&amp;MAX(1,ROUND(COUNTIFS(MASTER!$B$4:$B$1463,"FUCT",MASTER!$I$4:$I$1463,"&lt;&gt;")*$A134*100/100,0)),MASTER!$Y$4:$Y$1463,0))="",NA(),INDEX(MASTER!$I$4:$I$1463,MATCH("FUCT"&amp;"|"&amp;MAX(1,ROUND(COUNTIFS(MASTER!$B$4:$B$1463,"FUCT",MASTER!$I$4:$I$1463,"&lt;&gt;")*$A134*100/100,0)),MASTER!$Y$4:$Y$1463,0))),NA()),IF($B$4="COMBAT RATING",IFERROR(IF(INDEX(MASTER!$G$4:$G$1463,MATCH("FUCT"&amp;"|"&amp;MAX(1,ROUND(COUNTIFS(MASTER!$B$4:$B$1463,"FUCT",MASTER!$G$4:$G$1463,"&lt;&gt;")*$A134*100/100,0)),MASTER!$AH$4:$AH$1463,0))="",NA(),INDEX(MASTER!$G$4:$G$1463,MATCH("FUCT"&amp;"|"&amp;MAX(1,ROUND(COUNTIFS(MASTER!$B$4:$B$1463,"FUCT",MASTER!$G$4:$G$1463,"&lt;&gt;")*$A134*100/100,0)),MASTER!$AH$4:$AH$1463,0))),NA()),IF($B$4="SECONDARY",IFERROR(IF(INDEX(MASTER!$L$4:$L$1463,MATCH("FUCT"&amp;"|"&amp;MAX(1,ROUND(COUNTIFS(MASTER!$B$4:$B$1463,"FUCT",MASTER!$L$4:$L$1463,"&lt;&gt;")*$A134*100/100,0)),MASTER!$AI$4:$AI$1463,0))="",NA(),INDEX(MASTER!$L$4:$L$1463,MATCH("FUCT"&amp;"|"&amp;MAX(1,ROUND(COUNTIFS(MASTER!$B$4:$B$1463,"FUCT",MASTER!$L$4:$L$1463,"&lt;&gt;")*$A134*100/100,0)),MASTER!$AI$4:$AI$1463,0))),NA()))))</f>
        <v>3326</v>
      </c>
      <c r="C134" s="37">
        <f>IF($B$4="RESONANCE",IFERROR(IF(INDEX(MASTER!$I$4:$I$1463,MATCH("LEGENDS"&amp;"|"&amp;MAX(1,ROUND(COUNTIFS(MASTER!$B$4:$B$1463,"LEGENDS",MASTER!$I$4:$I$1463,"&lt;&gt;")*$A134*100/100,0)),MASTER!$Y$4:$Y$1463,0))="",NA(),INDEX(MASTER!$I$4:$I$1463,MATCH("LEGENDS"&amp;"|"&amp;MAX(1,ROUND(COUNTIFS(MASTER!$B$4:$B$1463,"LEGENDS",MASTER!$I$4:$I$1463,"&lt;&gt;")*$A134*100/100,0)),MASTER!$Y$4:$Y$1463,0))),NA()),IF($B$4="COMBAT RATING",IFERROR(IF(INDEX(MASTER!$G$4:$G$1463,MATCH("LEGENDS"&amp;"|"&amp;MAX(1,ROUND(COUNTIFS(MASTER!$B$4:$B$1463,"LEGENDS",MASTER!$G$4:$G$1463,"&lt;&gt;")*$A134*100/100,0)),MASTER!$AH$4:$AH$1463,0))="",NA(),INDEX(MASTER!$G$4:$G$1463,MATCH("LEGENDS"&amp;"|"&amp;MAX(1,ROUND(COUNTIFS(MASTER!$B$4:$B$1463,"LEGENDS",MASTER!$G$4:$G$1463,"&lt;&gt;")*$A134*100/100,0)),MASTER!$AH$4:$AH$1463,0))),NA()),IF($B$4="SECONDARY",IFERROR(IF(INDEX(MASTER!$L$4:$L$1463,MATCH("LEGENDS"&amp;"|"&amp;MAX(1,ROUND(COUNTIFS(MASTER!$B$4:$B$1463,"LEGENDS",MASTER!$L$4:$L$1463,"&lt;&gt;")*$A134*100/100,0)),MASTER!$AI$4:$AI$1463,0))="",NA(),INDEX(MASTER!$L$4:$L$1463,MATCH("LEGENDS"&amp;"|"&amp;MAX(1,ROUND(COUNTIFS(MASTER!$B$4:$B$1463,"LEGENDS",MASTER!$L$4:$L$1463,"&lt;&gt;")*$A134*100/100,0)),MASTER!$AI$4:$AI$1463,0))),NA()))))</f>
        <v>3803</v>
      </c>
      <c r="D134" s="37">
        <f>IF($B$4="RESONANCE",IFERROR(IF(INDEX(MASTER!$I$4:$I$1463,MATCH("VANGUARD"&amp;"|"&amp;MAX(1,ROUND(COUNTIFS(MASTER!$B$4:$B$1463,"VANGUARD",MASTER!$I$4:$I$1463,"&lt;&gt;")*$A134*100/100,0)),MASTER!$Y$4:$Y$1463,0))="",NA(),INDEX(MASTER!$I$4:$I$1463,MATCH("VANGUARD"&amp;"|"&amp;MAX(1,ROUND(COUNTIFS(MASTER!$B$4:$B$1463,"VANGUARD",MASTER!$I$4:$I$1463,"&lt;&gt;")*$A134*100/100,0)),MASTER!$Y$4:$Y$1463,0))),NA()),IF($B$4="COMBAT RATING",IFERROR(IF(INDEX(MASTER!$G$4:$G$1463,MATCH("VANGUARD"&amp;"|"&amp;MAX(1,ROUND(COUNTIFS(MASTER!$B$4:$B$1463,"VANGUARD",MASTER!$G$4:$G$1463,"&lt;&gt;")*$A134*100/100,0)),MASTER!$AH$4:$AH$1463,0))="",NA(),INDEX(MASTER!$G$4:$G$1463,MATCH("VANGUARD"&amp;"|"&amp;MAX(1,ROUND(COUNTIFS(MASTER!$B$4:$B$1463,"VANGUARD",MASTER!$G$4:$G$1463,"&lt;&gt;")*$A134*100/100,0)),MASTER!$AH$4:$AH$1463,0))),NA()),IF($B$4="SECONDARY",IFERROR(IF(INDEX(MASTER!$L$4:$L$1463,MATCH("VANGUARD"&amp;"|"&amp;MAX(1,ROUND(COUNTIFS(MASTER!$B$4:$B$1463,"VANGUARD",MASTER!$L$4:$L$1463,"&lt;&gt;")*$A134*100/100,0)),MASTER!$AI$4:$AI$1463,0))="",NA(),INDEX(MASTER!$L$4:$L$1463,MATCH("VANGUARD"&amp;"|"&amp;MAX(1,ROUND(COUNTIFS(MASTER!$B$4:$B$1463,"VANGUARD",MASTER!$L$4:$L$1463,"&lt;&gt;")*$A134*100/100,0)),MASTER!$AI$4:$AI$1463,0))),NA()))))</f>
        <v>4440</v>
      </c>
      <c r="E134" s="37">
        <f>IF($B$4="RESONANCE",IFERROR(IF(INDEX(MASTER!$I$4:$I$1463,MATCH("UNDYING"&amp;"|"&amp;MAX(1,ROUND(COUNTIFS(MASTER!$B$4:$B$1463,"UNDYING",MASTER!$I$4:$I$1463,"&lt;&gt;")*$A134*100/100,0)),MASTER!$Y$4:$Y$1463,0))="",NA(),INDEX(MASTER!$I$4:$I$1463,MATCH("UNDYING"&amp;"|"&amp;MAX(1,ROUND(COUNTIFS(MASTER!$B$4:$B$1463,"UNDYING",MASTER!$I$4:$I$1463,"&lt;&gt;")*$A134*100/100,0)),MASTER!$Y$4:$Y$1463,0))),NA()),IF($B$4="COMBAT RATING",IFERROR(IF(INDEX(MASTER!$G$4:$G$1463,MATCH("UNDYING"&amp;"|"&amp;MAX(1,ROUND(COUNTIFS(MASTER!$B$4:$B$1463,"UNDYING",MASTER!$G$4:$G$1463,"&lt;&gt;")*$A134*100/100,0)),MASTER!$AH$4:$AH$1463,0))="",NA(),INDEX(MASTER!$G$4:$G$1463,MATCH("UNDYING"&amp;"|"&amp;MAX(1,ROUND(COUNTIFS(MASTER!$B$4:$B$1463,"UNDYING",MASTER!$G$4:$G$1463,"&lt;&gt;")*$A134*100/100,0)),MASTER!$AH$4:$AH$1463,0))),NA()),IF($B$4="SECONDARY",IFERROR(IF(INDEX(MASTER!$L$4:$L$1463,MATCH("UNDYING"&amp;"|"&amp;MAX(1,ROUND(COUNTIFS(MASTER!$B$4:$B$1463,"UNDYING",MASTER!$L$4:$L$1463,"&lt;&gt;")*$A134*100/100,0)),MASTER!$AI$4:$AI$1463,0))="",NA(),INDEX(MASTER!$L$4:$L$1463,MATCH("UNDYING"&amp;"|"&amp;MAX(1,ROUND(COUNTIFS(MASTER!$B$4:$B$1463,"UNDYING",MASTER!$L$4:$L$1463,"&lt;&gt;")*$A134*100/100,0)),MASTER!$AI$4:$AI$1463,0))),NA()))))</f>
        <v>3298</v>
      </c>
      <c r="F134" s="37">
        <f>IF($B$4="RESONANCE",IFERROR(IF(INDEX(MASTER!$I$4:$I$1463,MATCH("SBG"&amp;"|"&amp;MAX(1,ROUND(COUNTIFS(MASTER!$B$4:$B$1463,"SBG",MASTER!$I$4:$I$1463,"&lt;&gt;")*$A134*100/100,0)),MASTER!$Y$4:$Y$1463,0))="",NA(),INDEX(MASTER!$I$4:$I$1463,MATCH("SBG"&amp;"|"&amp;MAX(1,ROUND(COUNTIFS(MASTER!$B$4:$B$1463,"SBG",MASTER!$I$4:$I$1463,"&lt;&gt;")*$A134*100/100,0)),MASTER!$Y$4:$Y$1463,0))),NA()),IF($B$4="COMBAT RATING",IFERROR(IF(INDEX(MASTER!$G$4:$G$1463,MATCH("SBG"&amp;"|"&amp;MAX(1,ROUND(COUNTIFS(MASTER!$B$4:$B$1463,"SBG",MASTER!$G$4:$G$1463,"&lt;&gt;")*$A134*100/100,0)),MASTER!$AH$4:$AH$1463,0))="",NA(),INDEX(MASTER!$G$4:$G$1463,MATCH("SBG"&amp;"|"&amp;MAX(1,ROUND(COUNTIFS(MASTER!$B$4:$B$1463,"SBG",MASTER!$G$4:$G$1463,"&lt;&gt;")*$A134*100/100,0)),MASTER!$AH$4:$AH$1463,0))),NA()),IF($B$4="SECONDARY",IFERROR(IF(INDEX(MASTER!$L$4:$L$1463,MATCH("SBG"&amp;"|"&amp;MAX(1,ROUND(COUNTIFS(MASTER!$B$4:$B$1463,"SBG",MASTER!$L$4:$L$1463,"&lt;&gt;")*$A134*100/100,0)),MASTER!$AI$4:$AI$1463,0))="",NA(),INDEX(MASTER!$L$4:$L$1463,MATCH("SBG"&amp;"|"&amp;MAX(1,ROUND(COUNTIFS(MASTER!$B$4:$B$1463,"SBG",MASTER!$L$4:$L$1463,"&lt;&gt;")*$A134*100/100,0)),MASTER!$AI$4:$AI$1463,0))),NA()))))</f>
        <v>3852</v>
      </c>
      <c r="G134" s="37">
        <f>IF($B$4="RESONANCE",IFERROR(IF(INDEX(MASTER!$I$4:$I$1463,MATCH("AZUKI"&amp;"|"&amp;MAX(1,ROUND(COUNTIFS(MASTER!$B$4:$B$1463,"AZUKI",MASTER!$I$4:$I$1463,"&lt;&gt;")*$A134*100/100,0)),MASTER!$Y$4:$Y$1463,0))="",NA(),INDEX(MASTER!$I$4:$I$1463,MATCH("AZUKI"&amp;"|"&amp;MAX(1,ROUND(COUNTIFS(MASTER!$B$4:$B$1463,"AZUKI",MASTER!$I$4:$I$1463,"&lt;&gt;")*$A134*100/100,0)),MASTER!$Y$4:$Y$1463,0))),NA()),IF($B$4="COMBAT RATING",IFERROR(IF(INDEX(MASTER!$G$4:$G$1463,MATCH("AZUKI"&amp;"|"&amp;MAX(1,ROUND(COUNTIFS(MASTER!$B$4:$B$1463,"AZUKI",MASTER!$G$4:$G$1463,"&lt;&gt;")*$A134*100/100,0)),MASTER!$AH$4:$AH$1463,0))="",NA(),INDEX(MASTER!$G$4:$G$1463,MATCH("AZUKI"&amp;"|"&amp;MAX(1,ROUND(COUNTIFS(MASTER!$B$4:$B$1463,"AZUKI",MASTER!$G$4:$G$1463,"&lt;&gt;")*$A134*100/100,0)),MASTER!$AH$4:$AH$1463,0))),NA()),IF($B$4="SECONDARY",IFERROR(IF(INDEX(MASTER!$L$4:$L$1463,MATCH("AZUKI"&amp;"|"&amp;MAX(1,ROUND(COUNTIFS(MASTER!$B$4:$B$1463,"AZUKI",MASTER!$L$4:$L$1463,"&lt;&gt;")*$A134*100/100,0)),MASTER!$AI$4:$AI$1463,0))="",NA(),INDEX(MASTER!$L$4:$L$1463,MATCH("AZUKI"&amp;"|"&amp;MAX(1,ROUND(COUNTIFS(MASTER!$B$4:$B$1463,"AZUKI",MASTER!$L$4:$L$1463,"&lt;&gt;")*$A134*100/100,0)),MASTER!$AI$4:$AI$1463,0))),NA()))))</f>
        <v>3360</v>
      </c>
      <c r="H134" s="37">
        <f>IF($B$4="RESONANCE",IFERROR(IF(INDEX(MASTER!$I$4:$I$1463,MATCH("RECKONING"&amp;"|"&amp;MAX(1,ROUND(COUNTIFS(MASTER!$B$4:$B$1463,"RECKONING",MASTER!$I$4:$I$1463,"&lt;&gt;")*$A134*100/100,0)),MASTER!$Y$4:$Y$1463,0))="",NA(),INDEX(MASTER!$I$4:$I$1463,MATCH("RECKONING"&amp;"|"&amp;MAX(1,ROUND(COUNTIFS(MASTER!$B$4:$B$1463,"RECKONING",MASTER!$I$4:$I$1463,"&lt;&gt;")*$A134*100/100,0)),MASTER!$Y$4:$Y$1463,0))),NA()),IF($B$4="COMBAT RATING",IFERROR(IF(INDEX(MASTER!$G$4:$G$1463,MATCH("RECKONING"&amp;"|"&amp;MAX(1,ROUND(COUNTIFS(MASTER!$B$4:$B$1463,"RECKONING",MASTER!$G$4:$G$1463,"&lt;&gt;")*$A134*100/100,0)),MASTER!$AH$4:$AH$1463,0))="",NA(),INDEX(MASTER!$G$4:$G$1463,MATCH("RECKONING"&amp;"|"&amp;MAX(1,ROUND(COUNTIFS(MASTER!$B$4:$B$1463,"RECKONING",MASTER!$G$4:$G$1463,"&lt;&gt;")*$A134*100/100,0)),MASTER!$AH$4:$AH$1463,0))),NA()),IF($B$4="SECONDARY",IFERROR(IF(INDEX(MASTER!$L$4:$L$1463,MATCH("RECKONING"&amp;"|"&amp;MAX(1,ROUND(COUNTIFS(MASTER!$B$4:$B$1463,"RECKONING",MASTER!$L$4:$L$1463,"&lt;&gt;")*$A134*100/100,0)),MASTER!$AI$4:$AI$1463,0))="",NA(),INDEX(MASTER!$L$4:$L$1463,MATCH("RECKONING"&amp;"|"&amp;MAX(1,ROUND(COUNTIFS(MASTER!$B$4:$B$1463,"RECKONING",MASTER!$L$4:$L$1463,"&lt;&gt;")*$A134*100/100,0)),MASTER!$AI$4:$AI$1463,0))),NA()))))</f>
        <v>3644</v>
      </c>
      <c r="I134" s="37">
        <f>IF($B$4="RESONANCE",IFERROR(IF(INDEX(MASTER!$I$4:$I$1463,MATCH("ACHERON"&amp;"|"&amp;MAX(1,ROUND(COUNTIFS(MASTER!$B$4:$B$1463,"ACHERON",MASTER!$I$4:$I$1463,"&lt;&gt;")*$A134*100/100,0)),MASTER!$Y$4:$Y$1463,0))="",NA(),INDEX(MASTER!$I$4:$I$1463,MATCH("ACHERON"&amp;"|"&amp;MAX(1,ROUND(COUNTIFS(MASTER!$B$4:$B$1463,"ACHERON",MASTER!$I$4:$I$1463,"&lt;&gt;")*$A134*100/100,0)),MASTER!$Y$4:$Y$1463,0))),NA()),IF($B$4="COMBAT RATING",IFERROR(IF(INDEX(MASTER!$G$4:$G$1463,MATCH("ACHERON"&amp;"|"&amp;MAX(1,ROUND(COUNTIFS(MASTER!$B$4:$B$1463,"ACHERON",MASTER!$G$4:$G$1463,"&lt;&gt;")*$A134*100/100,0)),MASTER!$AH$4:$AH$1463,0))="",NA(),INDEX(MASTER!$G$4:$G$1463,MATCH("ACHERON"&amp;"|"&amp;MAX(1,ROUND(COUNTIFS(MASTER!$B$4:$B$1463,"ACHERON",MASTER!$G$4:$G$1463,"&lt;&gt;")*$A134*100/100,0)),MASTER!$AH$4:$AH$1463,0))),NA()),IF($B$4="SECONDARY",IFERROR(IF(INDEX(MASTER!$L$4:$L$1463,MATCH("ACHERON"&amp;"|"&amp;MAX(1,ROUND(COUNTIFS(MASTER!$B$4:$B$1463,"ACHERON",MASTER!$L$4:$L$1463,"&lt;&gt;")*$A134*100/100,0)),MASTER!$AI$4:$AI$1463,0))="",NA(),INDEX(MASTER!$L$4:$L$1463,MATCH("ACHERON"&amp;"|"&amp;MAX(1,ROUND(COUNTIFS(MASTER!$B$4:$B$1463,"ACHERON",MASTER!$L$4:$L$1463,"&lt;&gt;")*$A134*100/100,0)),MASTER!$AI$4:$AI$1463,0))),NA()))))</f>
        <v>2661</v>
      </c>
      <c r="J134" s="37">
        <f>IF($B$4="RESONANCE",IFERROR(IF(INDEX(MASTER!$I$4:$I$1463,MATCH("INVICTUS"&amp;"|"&amp;MAX(1,ROUND(COUNTIFS(MASTER!$B$4:$B$1463,"INVICTUS",MASTER!$I$4:$I$1463,"&lt;&gt;")*$A134*100/100,0)),MASTER!$Y$4:$Y$1463,0))="",NA(),INDEX(MASTER!$I$4:$I$1463,MATCH("INVICTUS"&amp;"|"&amp;MAX(1,ROUND(COUNTIFS(MASTER!$B$4:$B$1463,"INVICTUS",MASTER!$I$4:$I$1463,"&lt;&gt;")*$A134*100/100,0)),MASTER!$Y$4:$Y$1463,0))),NA()),IF($B$4="COMBAT RATING",IFERROR(IF(INDEX(MASTER!$G$4:$G$1463,MATCH("INVICTUS"&amp;"|"&amp;MAX(1,ROUND(COUNTIFS(MASTER!$B$4:$B$1463,"INVICTUS",MASTER!$G$4:$G$1463,"&lt;&gt;")*$A134*100/100,0)),MASTER!$AH$4:$AH$1463,0))="",NA(),INDEX(MASTER!$G$4:$G$1463,MATCH("INVICTUS"&amp;"|"&amp;MAX(1,ROUND(COUNTIFS(MASTER!$B$4:$B$1463,"INVICTUS",MASTER!$G$4:$G$1463,"&lt;&gt;")*$A134*100/100,0)),MASTER!$AH$4:$AH$1463,0))),NA()),IF($B$4="SECONDARY",IFERROR(IF(INDEX(MASTER!$L$4:$L$1463,MATCH("INVICTUS"&amp;"|"&amp;MAX(1,ROUND(COUNTIFS(MASTER!$B$4:$B$1463,"INVICTUS",MASTER!$L$4:$L$1463,"&lt;&gt;")*$A134*100/100,0)),MASTER!$AI$4:$AI$1463,0))="",NA(),INDEX(MASTER!$L$4:$L$1463,MATCH("INVICTUS"&amp;"|"&amp;MAX(1,ROUND(COUNTIFS(MASTER!$B$4:$B$1463,"INVICTUS",MASTER!$L$4:$L$1463,"&lt;&gt;")*$A134*100/100,0)),MASTER!$AI$4:$AI$1463,0))),NA()))))</f>
        <v>2073</v>
      </c>
      <c r="K134" s="37">
        <f>IF($B$4="RESONANCE",IFERROR(IF(INDEX(MASTER!$I$4:$I$1463,MATCH("EMERALD LEAF TRIBE"&amp;"|"&amp;MAX(1,ROUND(COUNTIFS(MASTER!$B$4:$B$1463,"EMERALD LEAF TRIBE",MASTER!$I$4:$I$1463,"&lt;&gt;")*$A134*100/100,0)),MASTER!$Y$4:$Y$1463,0))="",NA(),INDEX(MASTER!$I$4:$I$1463,MATCH("EMERALD LEAF TRIBE"&amp;"|"&amp;MAX(1,ROUND(COUNTIFS(MASTER!$B$4:$B$1463,"EMERALD LEAF TRIBE",MASTER!$I$4:$I$1463,"&lt;&gt;")*$A134*100/100,0)),MASTER!$Y$4:$Y$1463,0))),NA()),IF($B$4="COMBAT RATING",IFERROR(IF(INDEX(MASTER!$G$4:$G$1463,MATCH("EMERALD LEAF TRIBE"&amp;"|"&amp;MAX(1,ROUND(COUNTIFS(MASTER!$B$4:$B$1463,"EMERALD LEAF TRIBE",MASTER!$G$4:$G$1463,"&lt;&gt;")*$A134*100/100,0)),MASTER!$AH$4:$AH$1463,0))="",NA(),INDEX(MASTER!$G$4:$G$1463,MATCH("EMERALD LEAF TRIBE"&amp;"|"&amp;MAX(1,ROUND(COUNTIFS(MASTER!$B$4:$B$1463,"EMERALD LEAF TRIBE",MASTER!$G$4:$G$1463,"&lt;&gt;")*$A134*100/100,0)),MASTER!$AH$4:$AH$1463,0))),NA()),IF($B$4="SECONDARY",IFERROR(IF(INDEX(MASTER!$L$4:$L$1463,MATCH("EMERALD LEAF TRIBE"&amp;"|"&amp;MAX(1,ROUND(COUNTIFS(MASTER!$B$4:$B$1463,"EMERALD LEAF TRIBE",MASTER!$L$4:$L$1463,"&lt;&gt;")*$A134*100/100,0)),MASTER!$AI$4:$AI$1463,0))="",NA(),INDEX(MASTER!$L$4:$L$1463,MATCH("EMERALD LEAF TRIBE"&amp;"|"&amp;MAX(1,ROUND(COUNTIFS(MASTER!$B$4:$B$1463,"EMERALD LEAF TRIBE",MASTER!$L$4:$L$1463,"&lt;&gt;")*$A134*100/100,0)),MASTER!$AI$4:$AI$1463,0))),NA()))))</f>
        <v>1251</v>
      </c>
      <c r="L134" s="37">
        <f>IF($B$4="RESONANCE",IFERROR(IF(INDEX(MASTER!$I$4:$I$1463,MATCH("SUB ROSA"&amp;"|"&amp;MAX(1,ROUND(COUNTIFS(MASTER!$B$4:$B$1463,"SUB ROSA",MASTER!$I$4:$I$1463,"&lt;&gt;")*$A134*100/100,0)),MASTER!$Y$4:$Y$1463,0))="",NA(),INDEX(MASTER!$I$4:$I$1463,MATCH("SUB ROSA"&amp;"|"&amp;MAX(1,ROUND(COUNTIFS(MASTER!$B$4:$B$1463,"SUB ROSA",MASTER!$I$4:$I$1463,"&lt;&gt;")*$A134*100/100,0)),MASTER!$Y$4:$Y$1463,0))),NA()),IF($B$4="COMBAT RATING",IFERROR(IF(INDEX(MASTER!$G$4:$G$1463,MATCH("SUB ROSA"&amp;"|"&amp;MAX(1,ROUND(COUNTIFS(MASTER!$B$4:$B$1463,"SUB ROSA",MASTER!$G$4:$G$1463,"&lt;&gt;")*$A134*100/100,0)),MASTER!$AH$4:$AH$1463,0))="",NA(),INDEX(MASTER!$G$4:$G$1463,MATCH("SUB ROSA"&amp;"|"&amp;MAX(1,ROUND(COUNTIFS(MASTER!$B$4:$B$1463,"SUB ROSA",MASTER!$G$4:$G$1463,"&lt;&gt;")*$A134*100/100,0)),MASTER!$AH$4:$AH$1463,0))),NA()),IF($B$4="SECONDARY",IFERROR(IF(INDEX(MASTER!$L$4:$L$1463,MATCH("SUB ROSA"&amp;"|"&amp;MAX(1,ROUND(COUNTIFS(MASTER!$B$4:$B$1463,"SUB ROSA",MASTER!$L$4:$L$1463,"&lt;&gt;")*$A134*100/100,0)),MASTER!$AI$4:$AI$1463,0))="",NA(),INDEX(MASTER!$L$4:$L$1463,MATCH("SUB ROSA"&amp;"|"&amp;MAX(1,ROUND(COUNTIFS(MASTER!$B$4:$B$1463,"SUB ROSA",MASTER!$L$4:$L$1463,"&lt;&gt;")*$A134*100/100,0)),MASTER!$AI$4:$AI$1463,0))),NA()))))</f>
        <v>1390</v>
      </c>
      <c r="M134" s="37">
        <f>IF($B$4="RESONANCE",IFERROR(IF(INDEX(MASTER!$I$4:$I$1463,MATCH("VENGEANCE"&amp;"|"&amp;MAX(1,ROUND(COUNTIFS(MASTER!$B$4:$B$1463,"VENGEANCE",MASTER!$I$4:$I$1463,"&lt;&gt;")*$A134*100/100,0)),MASTER!$Y$4:$Y$1463,0))="",NA(),INDEX(MASTER!$I$4:$I$1463,MATCH("VENGEANCE"&amp;"|"&amp;MAX(1,ROUND(COUNTIFS(MASTER!$B$4:$B$1463,"VENGEANCE",MASTER!$I$4:$I$1463,"&lt;&gt;")*$A134*100/100,0)),MASTER!$Y$4:$Y$1463,0))),NA()),IF($B$4="COMBAT RATING",IFERROR(IF(INDEX(MASTER!$G$4:$G$1463,MATCH("VENGEANCE"&amp;"|"&amp;MAX(1,ROUND(COUNTIFS(MASTER!$B$4:$B$1463,"VENGEANCE",MASTER!$G$4:$G$1463,"&lt;&gt;")*$A134*100/100,0)),MASTER!$AH$4:$AH$1463,0))="",NA(),INDEX(MASTER!$G$4:$G$1463,MATCH("VENGEANCE"&amp;"|"&amp;MAX(1,ROUND(COUNTIFS(MASTER!$B$4:$B$1463,"VENGEANCE",MASTER!$G$4:$G$1463,"&lt;&gt;")*$A134*100/100,0)),MASTER!$AH$4:$AH$1463,0))),NA()),IF($B$4="SECONDARY",IFERROR(IF(INDEX(MASTER!$L$4:$L$1463,MATCH("VENGEANCE"&amp;"|"&amp;MAX(1,ROUND(COUNTIFS(MASTER!$B$4:$B$1463,"VENGEANCE",MASTER!$L$4:$L$1463,"&lt;&gt;")*$A134*100/100,0)),MASTER!$AI$4:$AI$1463,0))="",NA(),INDEX(MASTER!$L$4:$L$1463,MATCH("VENGEANCE"&amp;"|"&amp;MAX(1,ROUND(COUNTIFS(MASTER!$B$4:$B$1463,"VENGEANCE",MASTER!$L$4:$L$1463,"&lt;&gt;")*$A134*100/100,0)),MASTER!$AI$4:$AI$1463,0))),NA()))))</f>
        <v>2450</v>
      </c>
      <c r="N134" s="37">
        <f>IF($B$4="RESONANCE",IFERROR(IF(INDEX(MASTER!$I$4:$I$1463,MATCH("VENDETTA"&amp;"|"&amp;MAX(1,ROUND(COUNTIFS(MASTER!$B$4:$B$1463,"VENDETTA",MASTER!$I$4:$I$1463,"&lt;&gt;")*$A134*100/100,0)),MASTER!$Y$4:$Y$1463,0))="",NA(),INDEX(MASTER!$I$4:$I$1463,MATCH("VENDETTA"&amp;"|"&amp;MAX(1,ROUND(COUNTIFS(MASTER!$B$4:$B$1463,"VENDETTA",MASTER!$I$4:$I$1463,"&lt;&gt;")*$A134*100/100,0)),MASTER!$Y$4:$Y$1463,0))),NA()),IF($B$4="COMBAT RATING",IFERROR(IF(INDEX(MASTER!$G$4:$G$1463,MATCH("VENDETTA"&amp;"|"&amp;MAX(1,ROUND(COUNTIFS(MASTER!$B$4:$B$1463,"VENDETTA",MASTER!$G$4:$G$1463,"&lt;&gt;")*$A134*100/100,0)),MASTER!$AH$4:$AH$1463,0))="",NA(),INDEX(MASTER!$G$4:$G$1463,MATCH("VENDETTA"&amp;"|"&amp;MAX(1,ROUND(COUNTIFS(MASTER!$B$4:$B$1463,"VENDETTA",MASTER!$G$4:$G$1463,"&lt;&gt;")*$A134*100/100,0)),MASTER!$AH$4:$AH$1463,0))),NA()),IF($B$4="SECONDARY",IFERROR(IF(INDEX(MASTER!$L$4:$L$1463,MATCH("VENDETTA"&amp;"|"&amp;MAX(1,ROUND(COUNTIFS(MASTER!$B$4:$B$1463,"VENDETTA",MASTER!$L$4:$L$1463,"&lt;&gt;")*$A134*100/100,0)),MASTER!$AI$4:$AI$1463,0))="",NA(),INDEX(MASTER!$L$4:$L$1463,MATCH("VENDETTA"&amp;"|"&amp;MAX(1,ROUND(COUNTIFS(MASTER!$B$4:$B$1463,"VENDETTA",MASTER!$L$4:$L$1463,"&lt;&gt;")*$A134*100/100,0)),MASTER!$AI$4:$AI$1463,0))),NA()))))</f>
        <v>1395</v>
      </c>
      <c r="O134" s="37">
        <f>IF($B$4="RESONANCE",IFERROR(IF(INDEX(MASTER!$I$4:$I$1463,MATCH("ZOMBIES"&amp;"|"&amp;MAX(1,ROUND(COUNTIFS(MASTER!$B$4:$B$1463,"ZOMBIES",MASTER!$I$4:$I$1463,"&lt;&gt;")*$A134*100/100,0)),MASTER!$Y$4:$Y$1463,0))="",NA(),INDEX(MASTER!$I$4:$I$1463,MATCH("ZOMBIES"&amp;"|"&amp;MAX(1,ROUND(COUNTIFS(MASTER!$B$4:$B$1463,"ZOMBIES",MASTER!$I$4:$I$1463,"&lt;&gt;")*$A134*100/100,0)),MASTER!$Y$4:$Y$1463,0))),NA()),IF($B$4="COMBAT RATING",IFERROR(IF(INDEX(MASTER!$G$4:$G$1463,MATCH("ZOMBIES"&amp;"|"&amp;MAX(1,ROUND(COUNTIFS(MASTER!$B$4:$B$1463,"ZOMBIES",MASTER!$G$4:$G$1463,"&lt;&gt;")*$A134*100/100,0)),MASTER!$AH$4:$AH$1463,0))="",NA(),INDEX(MASTER!$G$4:$G$1463,MATCH("ZOMBIES"&amp;"|"&amp;MAX(1,ROUND(COUNTIFS(MASTER!$B$4:$B$1463,"ZOMBIES",MASTER!$G$4:$G$1463,"&lt;&gt;")*$A134*100/100,0)),MASTER!$AH$4:$AH$1463,0))),NA()),IF($B$4="SECONDARY",IFERROR(IF(INDEX(MASTER!$L$4:$L$1463,MATCH("ZOMBIES"&amp;"|"&amp;MAX(1,ROUND(COUNTIFS(MASTER!$B$4:$B$1463,"ZOMBIES",MASTER!$L$4:$L$1463,"&lt;&gt;")*$A134*100/100,0)),MASTER!$AI$4:$AI$1463,0))="",NA(),INDEX(MASTER!$L$4:$L$1463,MATCH("ZOMBIES"&amp;"|"&amp;MAX(1,ROUND(COUNTIFS(MASTER!$B$4:$B$1463,"ZOMBIES",MASTER!$L$4:$L$1463,"&lt;&gt;")*$A134*100/100,0)),MASTER!$AI$4:$AI$1463,0))),NA()))))</f>
        <v>1085</v>
      </c>
      <c r="P134" s="37">
        <f>IF($B$4="RESONANCE",IFERROR(IF(INDEX(MASTER!$I$4:$I$1463,MATCH("FUCT"&amp;"|"&amp;MAX(1,ROUND(COUNTIFS(MASTER!$B$4:$B$1463,"FUCT",MASTER!$I$4:$I$1463,"&lt;&gt;")*$A134*100/100,0)),MASTER!$Y$4:$Y$1463,0))="",NA(),INDEX(MASTER!$I$4:$I$1463,MATCH("FUCT"&amp;"|"&amp;MAX(1,ROUND(COUNTIFS(MASTER!$B$4:$B$1463,"FUCT",MASTER!$I$4:$I$1463,"&lt;&gt;")*$A134*100/100,0)),MASTER!$Y$4:$Y$1463,0))),NA()),IF($B$4="COMBAT RATING",IFERROR(IF(INDEX(MASTER!$G$4:$G$1463,MATCH("FUCT"&amp;"|"&amp;MAX(1,ROUND(COUNTIFS(MASTER!$B$4:$B$1463,"FUCT",MASTER!$G$4:$G$1463,"&lt;&gt;")*$A134*100/100,0)),MASTER!$AH$4:$AH$1463,0))="",NA(),INDEX(MASTER!$G$4:$G$1463,MATCH("FUCT"&amp;"|"&amp;MAX(1,ROUND(COUNTIFS(MASTER!$B$4:$B$1463,"FUCT",MASTER!$G$4:$G$1463,"&lt;&gt;")*$A134*100/100,0)),MASTER!$AH$4:$AH$1463,0))),NA()),IF($B$4="SECONDARY",IFERROR(IF(INDEX(MASTER!$L$4:$L$1463,MATCH("FUCT"&amp;"|"&amp;MAX(1,ROUND(COUNTIFS(MASTER!$B$4:$B$1463,"FUCT",MASTER!$L$4:$L$1463,"&lt;&gt;")*$A134*100/100,0)),MASTER!$AI$4:$AI$1463,0))="",NA(),INDEX(MASTER!$L$4:$L$1463,MATCH("FUCT"&amp;"|"&amp;MAX(1,ROUND(COUNTIFS(MASTER!$B$4:$B$1463,"FUCT",MASTER!$L$4:$L$1463,"&lt;&gt;")*$A134*100/100,0)),MASTER!$AI$4:$AI$1463,0))),NA()))))</f>
        <v>3326</v>
      </c>
      <c r="Q134" s="37">
        <f>IF($B$4="RESONANCE",IFERROR(IF(INDEX(MASTER!$I$4:$I$1463,MATCH($E$4&amp;"|"&amp;MAX(1,ROUND(COUNTIFS(MASTER!$B$4:$B$1463,$E$4,MASTER!$I$4:$I$1463,"&lt;&gt;")*$A134*100/100,0)),MASTER!$Y$4:$Y$1463,0))="",NA(),INDEX(MASTER!$I$4:$I$1463,MATCH($E$4&amp;"|"&amp;MAX(1,ROUND(COUNTIFS(MASTER!$B$4:$B$1463,$E$4,MASTER!$I$4:$I$1463,"&lt;&gt;")*$A134*100/100,0)),MASTER!$Y$4:$Y$1463,0))),NA()),IF($B$4="COMBAT RATING",IFERROR(IF(INDEX(MASTER!$G$4:$G$1463,MATCH($E$4&amp;"|"&amp;MAX(1,ROUND(COUNTIFS(MASTER!$B$4:$B$1463,$E$4,MASTER!$G$4:$G$1463,"&lt;&gt;")*$A134*100/100,0)),MASTER!$AH$4:$AH$1463,0))="",NA(),INDEX(MASTER!$G$4:$G$1463,MATCH($E$4&amp;"|"&amp;MAX(1,ROUND(COUNTIFS(MASTER!$B$4:$B$1463,$E$4,MASTER!$G$4:$G$1463,"&lt;&gt;")*$A134*100/100,0)),MASTER!$AH$4:$AH$1463,0))),NA()),IF($B$4="SECONDARY",IFERROR(IF(INDEX(MASTER!$L$4:$L$1463,MATCH($E$4&amp;"|"&amp;MAX(1,ROUND(COUNTIFS(MASTER!$B$4:$B$1463,$E$4,MASTER!$L$4:$L$1463,"&lt;&gt;")*$A134*100/100,0)),MASTER!$AI$4:$AI$1463,0))="",NA(),INDEX(MASTER!$L$4:$L$1463,MATCH($E$4&amp;"|"&amp;MAX(1,ROUND(COUNTIFS(MASTER!$B$4:$B$1463,$E$4,MASTER!$L$4:$L$1463,"&lt;&gt;")*$A134*100/100,0)),MASTER!$AI$4:$AI$1463,0))),NA()))))</f>
        <v>3298</v>
      </c>
    </row>
    <row r="135" spans="1:17" hidden="1">
      <c r="A135" s="36">
        <v>0.8</v>
      </c>
      <c r="B135" s="37">
        <f>IF($B$4="RESONANCE",IFERROR(IF(INDEX(MASTER!$I$4:$I$1463,MATCH("FUCT"&amp;"|"&amp;MAX(1,ROUND(COUNTIFS(MASTER!$B$4:$B$1463,"FUCT",MASTER!$I$4:$I$1463,"&lt;&gt;")*$A135*100/100,0)),MASTER!$Y$4:$Y$1463,0))="",NA(),INDEX(MASTER!$I$4:$I$1463,MATCH("FUCT"&amp;"|"&amp;MAX(1,ROUND(COUNTIFS(MASTER!$B$4:$B$1463,"FUCT",MASTER!$I$4:$I$1463,"&lt;&gt;")*$A135*100/100,0)),MASTER!$Y$4:$Y$1463,0))),NA()),IF($B$4="COMBAT RATING",IFERROR(IF(INDEX(MASTER!$G$4:$G$1463,MATCH("FUCT"&amp;"|"&amp;MAX(1,ROUND(COUNTIFS(MASTER!$B$4:$B$1463,"FUCT",MASTER!$G$4:$G$1463,"&lt;&gt;")*$A135*100/100,0)),MASTER!$AH$4:$AH$1463,0))="",NA(),INDEX(MASTER!$G$4:$G$1463,MATCH("FUCT"&amp;"|"&amp;MAX(1,ROUND(COUNTIFS(MASTER!$B$4:$B$1463,"FUCT",MASTER!$G$4:$G$1463,"&lt;&gt;")*$A135*100/100,0)),MASTER!$AH$4:$AH$1463,0))),NA()),IF($B$4="SECONDARY",IFERROR(IF(INDEX(MASTER!$L$4:$L$1463,MATCH("FUCT"&amp;"|"&amp;MAX(1,ROUND(COUNTIFS(MASTER!$B$4:$B$1463,"FUCT",MASTER!$L$4:$L$1463,"&lt;&gt;")*$A135*100/100,0)),MASTER!$AI$4:$AI$1463,0))="",NA(),INDEX(MASTER!$L$4:$L$1463,MATCH("FUCT"&amp;"|"&amp;MAX(1,ROUND(COUNTIFS(MASTER!$B$4:$B$1463,"FUCT",MASTER!$L$4:$L$1463,"&lt;&gt;")*$A135*100/100,0)),MASTER!$AI$4:$AI$1463,0))),NA()))))</f>
        <v>3311</v>
      </c>
      <c r="C135" s="37">
        <f>IF($B$4="RESONANCE",IFERROR(IF(INDEX(MASTER!$I$4:$I$1463,MATCH("LEGENDS"&amp;"|"&amp;MAX(1,ROUND(COUNTIFS(MASTER!$B$4:$B$1463,"LEGENDS",MASTER!$I$4:$I$1463,"&lt;&gt;")*$A135*100/100,0)),MASTER!$Y$4:$Y$1463,0))="",NA(),INDEX(MASTER!$I$4:$I$1463,MATCH("LEGENDS"&amp;"|"&amp;MAX(1,ROUND(COUNTIFS(MASTER!$B$4:$B$1463,"LEGENDS",MASTER!$I$4:$I$1463,"&lt;&gt;")*$A135*100/100,0)),MASTER!$Y$4:$Y$1463,0))),NA()),IF($B$4="COMBAT RATING",IFERROR(IF(INDEX(MASTER!$G$4:$G$1463,MATCH("LEGENDS"&amp;"|"&amp;MAX(1,ROUND(COUNTIFS(MASTER!$B$4:$B$1463,"LEGENDS",MASTER!$G$4:$G$1463,"&lt;&gt;")*$A135*100/100,0)),MASTER!$AH$4:$AH$1463,0))="",NA(),INDEX(MASTER!$G$4:$G$1463,MATCH("LEGENDS"&amp;"|"&amp;MAX(1,ROUND(COUNTIFS(MASTER!$B$4:$B$1463,"LEGENDS",MASTER!$G$4:$G$1463,"&lt;&gt;")*$A135*100/100,0)),MASTER!$AH$4:$AH$1463,0))),NA()),IF($B$4="SECONDARY",IFERROR(IF(INDEX(MASTER!$L$4:$L$1463,MATCH("LEGENDS"&amp;"|"&amp;MAX(1,ROUND(COUNTIFS(MASTER!$B$4:$B$1463,"LEGENDS",MASTER!$L$4:$L$1463,"&lt;&gt;")*$A135*100/100,0)),MASTER!$AI$4:$AI$1463,0))="",NA(),INDEX(MASTER!$L$4:$L$1463,MATCH("LEGENDS"&amp;"|"&amp;MAX(1,ROUND(COUNTIFS(MASTER!$B$4:$B$1463,"LEGENDS",MASTER!$L$4:$L$1463,"&lt;&gt;")*$A135*100/100,0)),MASTER!$AI$4:$AI$1463,0))),NA()))))</f>
        <v>3751</v>
      </c>
      <c r="D135" s="37">
        <f>IF($B$4="RESONANCE",IFERROR(IF(INDEX(MASTER!$I$4:$I$1463,MATCH("VANGUARD"&amp;"|"&amp;MAX(1,ROUND(COUNTIFS(MASTER!$B$4:$B$1463,"VANGUARD",MASTER!$I$4:$I$1463,"&lt;&gt;")*$A135*100/100,0)),MASTER!$Y$4:$Y$1463,0))="",NA(),INDEX(MASTER!$I$4:$I$1463,MATCH("VANGUARD"&amp;"|"&amp;MAX(1,ROUND(COUNTIFS(MASTER!$B$4:$B$1463,"VANGUARD",MASTER!$I$4:$I$1463,"&lt;&gt;")*$A135*100/100,0)),MASTER!$Y$4:$Y$1463,0))),NA()),IF($B$4="COMBAT RATING",IFERROR(IF(INDEX(MASTER!$G$4:$G$1463,MATCH("VANGUARD"&amp;"|"&amp;MAX(1,ROUND(COUNTIFS(MASTER!$B$4:$B$1463,"VANGUARD",MASTER!$G$4:$G$1463,"&lt;&gt;")*$A135*100/100,0)),MASTER!$AH$4:$AH$1463,0))="",NA(),INDEX(MASTER!$G$4:$G$1463,MATCH("VANGUARD"&amp;"|"&amp;MAX(1,ROUND(COUNTIFS(MASTER!$B$4:$B$1463,"VANGUARD",MASTER!$G$4:$G$1463,"&lt;&gt;")*$A135*100/100,0)),MASTER!$AH$4:$AH$1463,0))),NA()),IF($B$4="SECONDARY",IFERROR(IF(INDEX(MASTER!$L$4:$L$1463,MATCH("VANGUARD"&amp;"|"&amp;MAX(1,ROUND(COUNTIFS(MASTER!$B$4:$B$1463,"VANGUARD",MASTER!$L$4:$L$1463,"&lt;&gt;")*$A135*100/100,0)),MASTER!$AI$4:$AI$1463,0))="",NA(),INDEX(MASTER!$L$4:$L$1463,MATCH("VANGUARD"&amp;"|"&amp;MAX(1,ROUND(COUNTIFS(MASTER!$B$4:$B$1463,"VANGUARD",MASTER!$L$4:$L$1463,"&lt;&gt;")*$A135*100/100,0)),MASTER!$AI$4:$AI$1463,0))),NA()))))</f>
        <v>4420</v>
      </c>
      <c r="E135" s="37">
        <f>IF($B$4="RESONANCE",IFERROR(IF(INDEX(MASTER!$I$4:$I$1463,MATCH("UNDYING"&amp;"|"&amp;MAX(1,ROUND(COUNTIFS(MASTER!$B$4:$B$1463,"UNDYING",MASTER!$I$4:$I$1463,"&lt;&gt;")*$A135*100/100,0)),MASTER!$Y$4:$Y$1463,0))="",NA(),INDEX(MASTER!$I$4:$I$1463,MATCH("UNDYING"&amp;"|"&amp;MAX(1,ROUND(COUNTIFS(MASTER!$B$4:$B$1463,"UNDYING",MASTER!$I$4:$I$1463,"&lt;&gt;")*$A135*100/100,0)),MASTER!$Y$4:$Y$1463,0))),NA()),IF($B$4="COMBAT RATING",IFERROR(IF(INDEX(MASTER!$G$4:$G$1463,MATCH("UNDYING"&amp;"|"&amp;MAX(1,ROUND(COUNTIFS(MASTER!$B$4:$B$1463,"UNDYING",MASTER!$G$4:$G$1463,"&lt;&gt;")*$A135*100/100,0)),MASTER!$AH$4:$AH$1463,0))="",NA(),INDEX(MASTER!$G$4:$G$1463,MATCH("UNDYING"&amp;"|"&amp;MAX(1,ROUND(COUNTIFS(MASTER!$B$4:$B$1463,"UNDYING",MASTER!$G$4:$G$1463,"&lt;&gt;")*$A135*100/100,0)),MASTER!$AH$4:$AH$1463,0))),NA()),IF($B$4="SECONDARY",IFERROR(IF(INDEX(MASTER!$L$4:$L$1463,MATCH("UNDYING"&amp;"|"&amp;MAX(1,ROUND(COUNTIFS(MASTER!$B$4:$B$1463,"UNDYING",MASTER!$L$4:$L$1463,"&lt;&gt;")*$A135*100/100,0)),MASTER!$AI$4:$AI$1463,0))="",NA(),INDEX(MASTER!$L$4:$L$1463,MATCH("UNDYING"&amp;"|"&amp;MAX(1,ROUND(COUNTIFS(MASTER!$B$4:$B$1463,"UNDYING",MASTER!$L$4:$L$1463,"&lt;&gt;")*$A135*100/100,0)),MASTER!$AI$4:$AI$1463,0))),NA()))))</f>
        <v>3147</v>
      </c>
      <c r="F135" s="37">
        <f>IF($B$4="RESONANCE",IFERROR(IF(INDEX(MASTER!$I$4:$I$1463,MATCH("SBG"&amp;"|"&amp;MAX(1,ROUND(COUNTIFS(MASTER!$B$4:$B$1463,"SBG",MASTER!$I$4:$I$1463,"&lt;&gt;")*$A135*100/100,0)),MASTER!$Y$4:$Y$1463,0))="",NA(),INDEX(MASTER!$I$4:$I$1463,MATCH("SBG"&amp;"|"&amp;MAX(1,ROUND(COUNTIFS(MASTER!$B$4:$B$1463,"SBG",MASTER!$I$4:$I$1463,"&lt;&gt;")*$A135*100/100,0)),MASTER!$Y$4:$Y$1463,0))),NA()),IF($B$4="COMBAT RATING",IFERROR(IF(INDEX(MASTER!$G$4:$G$1463,MATCH("SBG"&amp;"|"&amp;MAX(1,ROUND(COUNTIFS(MASTER!$B$4:$B$1463,"SBG",MASTER!$G$4:$G$1463,"&lt;&gt;")*$A135*100/100,0)),MASTER!$AH$4:$AH$1463,0))="",NA(),INDEX(MASTER!$G$4:$G$1463,MATCH("SBG"&amp;"|"&amp;MAX(1,ROUND(COUNTIFS(MASTER!$B$4:$B$1463,"SBG",MASTER!$G$4:$G$1463,"&lt;&gt;")*$A135*100/100,0)),MASTER!$AH$4:$AH$1463,0))),NA()),IF($B$4="SECONDARY",IFERROR(IF(INDEX(MASTER!$L$4:$L$1463,MATCH("SBG"&amp;"|"&amp;MAX(1,ROUND(COUNTIFS(MASTER!$B$4:$B$1463,"SBG",MASTER!$L$4:$L$1463,"&lt;&gt;")*$A135*100/100,0)),MASTER!$AI$4:$AI$1463,0))="",NA(),INDEX(MASTER!$L$4:$L$1463,MATCH("SBG"&amp;"|"&amp;MAX(1,ROUND(COUNTIFS(MASTER!$B$4:$B$1463,"SBG",MASTER!$L$4:$L$1463,"&lt;&gt;")*$A135*100/100,0)),MASTER!$AI$4:$AI$1463,0))),NA()))))</f>
        <v>3824</v>
      </c>
      <c r="G135" s="37">
        <f>IF($B$4="RESONANCE",IFERROR(IF(INDEX(MASTER!$I$4:$I$1463,MATCH("AZUKI"&amp;"|"&amp;MAX(1,ROUND(COUNTIFS(MASTER!$B$4:$B$1463,"AZUKI",MASTER!$I$4:$I$1463,"&lt;&gt;")*$A135*100/100,0)),MASTER!$Y$4:$Y$1463,0))="",NA(),INDEX(MASTER!$I$4:$I$1463,MATCH("AZUKI"&amp;"|"&amp;MAX(1,ROUND(COUNTIFS(MASTER!$B$4:$B$1463,"AZUKI",MASTER!$I$4:$I$1463,"&lt;&gt;")*$A135*100/100,0)),MASTER!$Y$4:$Y$1463,0))),NA()),IF($B$4="COMBAT RATING",IFERROR(IF(INDEX(MASTER!$G$4:$G$1463,MATCH("AZUKI"&amp;"|"&amp;MAX(1,ROUND(COUNTIFS(MASTER!$B$4:$B$1463,"AZUKI",MASTER!$G$4:$G$1463,"&lt;&gt;")*$A135*100/100,0)),MASTER!$AH$4:$AH$1463,0))="",NA(),INDEX(MASTER!$G$4:$G$1463,MATCH("AZUKI"&amp;"|"&amp;MAX(1,ROUND(COUNTIFS(MASTER!$B$4:$B$1463,"AZUKI",MASTER!$G$4:$G$1463,"&lt;&gt;")*$A135*100/100,0)),MASTER!$AH$4:$AH$1463,0))),NA()),IF($B$4="SECONDARY",IFERROR(IF(INDEX(MASTER!$L$4:$L$1463,MATCH("AZUKI"&amp;"|"&amp;MAX(1,ROUND(COUNTIFS(MASTER!$B$4:$B$1463,"AZUKI",MASTER!$L$4:$L$1463,"&lt;&gt;")*$A135*100/100,0)),MASTER!$AI$4:$AI$1463,0))="",NA(),INDEX(MASTER!$L$4:$L$1463,MATCH("AZUKI"&amp;"|"&amp;MAX(1,ROUND(COUNTIFS(MASTER!$B$4:$B$1463,"AZUKI",MASTER!$L$4:$L$1463,"&lt;&gt;")*$A135*100/100,0)),MASTER!$AI$4:$AI$1463,0))),NA()))))</f>
        <v>3353</v>
      </c>
      <c r="H135" s="37">
        <f>IF($B$4="RESONANCE",IFERROR(IF(INDEX(MASTER!$I$4:$I$1463,MATCH("RECKONING"&amp;"|"&amp;MAX(1,ROUND(COUNTIFS(MASTER!$B$4:$B$1463,"RECKONING",MASTER!$I$4:$I$1463,"&lt;&gt;")*$A135*100/100,0)),MASTER!$Y$4:$Y$1463,0))="",NA(),INDEX(MASTER!$I$4:$I$1463,MATCH("RECKONING"&amp;"|"&amp;MAX(1,ROUND(COUNTIFS(MASTER!$B$4:$B$1463,"RECKONING",MASTER!$I$4:$I$1463,"&lt;&gt;")*$A135*100/100,0)),MASTER!$Y$4:$Y$1463,0))),NA()),IF($B$4="COMBAT RATING",IFERROR(IF(INDEX(MASTER!$G$4:$G$1463,MATCH("RECKONING"&amp;"|"&amp;MAX(1,ROUND(COUNTIFS(MASTER!$B$4:$B$1463,"RECKONING",MASTER!$G$4:$G$1463,"&lt;&gt;")*$A135*100/100,0)),MASTER!$AH$4:$AH$1463,0))="",NA(),INDEX(MASTER!$G$4:$G$1463,MATCH("RECKONING"&amp;"|"&amp;MAX(1,ROUND(COUNTIFS(MASTER!$B$4:$B$1463,"RECKONING",MASTER!$G$4:$G$1463,"&lt;&gt;")*$A135*100/100,0)),MASTER!$AH$4:$AH$1463,0))),NA()),IF($B$4="SECONDARY",IFERROR(IF(INDEX(MASTER!$L$4:$L$1463,MATCH("RECKONING"&amp;"|"&amp;MAX(1,ROUND(COUNTIFS(MASTER!$B$4:$B$1463,"RECKONING",MASTER!$L$4:$L$1463,"&lt;&gt;")*$A135*100/100,0)),MASTER!$AI$4:$AI$1463,0))="",NA(),INDEX(MASTER!$L$4:$L$1463,MATCH("RECKONING"&amp;"|"&amp;MAX(1,ROUND(COUNTIFS(MASTER!$B$4:$B$1463,"RECKONING",MASTER!$L$4:$L$1463,"&lt;&gt;")*$A135*100/100,0)),MASTER!$AI$4:$AI$1463,0))),NA()))))</f>
        <v>3591</v>
      </c>
      <c r="I135" s="37">
        <f>IF($B$4="RESONANCE",IFERROR(IF(INDEX(MASTER!$I$4:$I$1463,MATCH("ACHERON"&amp;"|"&amp;MAX(1,ROUND(COUNTIFS(MASTER!$B$4:$B$1463,"ACHERON",MASTER!$I$4:$I$1463,"&lt;&gt;")*$A135*100/100,0)),MASTER!$Y$4:$Y$1463,0))="",NA(),INDEX(MASTER!$I$4:$I$1463,MATCH("ACHERON"&amp;"|"&amp;MAX(1,ROUND(COUNTIFS(MASTER!$B$4:$B$1463,"ACHERON",MASTER!$I$4:$I$1463,"&lt;&gt;")*$A135*100/100,0)),MASTER!$Y$4:$Y$1463,0))),NA()),IF($B$4="COMBAT RATING",IFERROR(IF(INDEX(MASTER!$G$4:$G$1463,MATCH("ACHERON"&amp;"|"&amp;MAX(1,ROUND(COUNTIFS(MASTER!$B$4:$B$1463,"ACHERON",MASTER!$G$4:$G$1463,"&lt;&gt;")*$A135*100/100,0)),MASTER!$AH$4:$AH$1463,0))="",NA(),INDEX(MASTER!$G$4:$G$1463,MATCH("ACHERON"&amp;"|"&amp;MAX(1,ROUND(COUNTIFS(MASTER!$B$4:$B$1463,"ACHERON",MASTER!$G$4:$G$1463,"&lt;&gt;")*$A135*100/100,0)),MASTER!$AH$4:$AH$1463,0))),NA()),IF($B$4="SECONDARY",IFERROR(IF(INDEX(MASTER!$L$4:$L$1463,MATCH("ACHERON"&amp;"|"&amp;MAX(1,ROUND(COUNTIFS(MASTER!$B$4:$B$1463,"ACHERON",MASTER!$L$4:$L$1463,"&lt;&gt;")*$A135*100/100,0)),MASTER!$AI$4:$AI$1463,0))="",NA(),INDEX(MASTER!$L$4:$L$1463,MATCH("ACHERON"&amp;"|"&amp;MAX(1,ROUND(COUNTIFS(MASTER!$B$4:$B$1463,"ACHERON",MASTER!$L$4:$L$1463,"&lt;&gt;")*$A135*100/100,0)),MASTER!$AI$4:$AI$1463,0))),NA()))))</f>
        <v>2646</v>
      </c>
      <c r="J135" s="37">
        <f>IF($B$4="RESONANCE",IFERROR(IF(INDEX(MASTER!$I$4:$I$1463,MATCH("INVICTUS"&amp;"|"&amp;MAX(1,ROUND(COUNTIFS(MASTER!$B$4:$B$1463,"INVICTUS",MASTER!$I$4:$I$1463,"&lt;&gt;")*$A135*100/100,0)),MASTER!$Y$4:$Y$1463,0))="",NA(),INDEX(MASTER!$I$4:$I$1463,MATCH("INVICTUS"&amp;"|"&amp;MAX(1,ROUND(COUNTIFS(MASTER!$B$4:$B$1463,"INVICTUS",MASTER!$I$4:$I$1463,"&lt;&gt;")*$A135*100/100,0)),MASTER!$Y$4:$Y$1463,0))),NA()),IF($B$4="COMBAT RATING",IFERROR(IF(INDEX(MASTER!$G$4:$G$1463,MATCH("INVICTUS"&amp;"|"&amp;MAX(1,ROUND(COUNTIFS(MASTER!$B$4:$B$1463,"INVICTUS",MASTER!$G$4:$G$1463,"&lt;&gt;")*$A135*100/100,0)),MASTER!$AH$4:$AH$1463,0))="",NA(),INDEX(MASTER!$G$4:$G$1463,MATCH("INVICTUS"&amp;"|"&amp;MAX(1,ROUND(COUNTIFS(MASTER!$B$4:$B$1463,"INVICTUS",MASTER!$G$4:$G$1463,"&lt;&gt;")*$A135*100/100,0)),MASTER!$AH$4:$AH$1463,0))),NA()),IF($B$4="SECONDARY",IFERROR(IF(INDEX(MASTER!$L$4:$L$1463,MATCH("INVICTUS"&amp;"|"&amp;MAX(1,ROUND(COUNTIFS(MASTER!$B$4:$B$1463,"INVICTUS",MASTER!$L$4:$L$1463,"&lt;&gt;")*$A135*100/100,0)),MASTER!$AI$4:$AI$1463,0))="",NA(),INDEX(MASTER!$L$4:$L$1463,MATCH("INVICTUS"&amp;"|"&amp;MAX(1,ROUND(COUNTIFS(MASTER!$B$4:$B$1463,"INVICTUS",MASTER!$L$4:$L$1463,"&lt;&gt;")*$A135*100/100,0)),MASTER!$AI$4:$AI$1463,0))),NA()))))</f>
        <v>2070</v>
      </c>
      <c r="K135" s="37">
        <f>IF($B$4="RESONANCE",IFERROR(IF(INDEX(MASTER!$I$4:$I$1463,MATCH("EMERALD LEAF TRIBE"&amp;"|"&amp;MAX(1,ROUND(COUNTIFS(MASTER!$B$4:$B$1463,"EMERALD LEAF TRIBE",MASTER!$I$4:$I$1463,"&lt;&gt;")*$A135*100/100,0)),MASTER!$Y$4:$Y$1463,0))="",NA(),INDEX(MASTER!$I$4:$I$1463,MATCH("EMERALD LEAF TRIBE"&amp;"|"&amp;MAX(1,ROUND(COUNTIFS(MASTER!$B$4:$B$1463,"EMERALD LEAF TRIBE",MASTER!$I$4:$I$1463,"&lt;&gt;")*$A135*100/100,0)),MASTER!$Y$4:$Y$1463,0))),NA()),IF($B$4="COMBAT RATING",IFERROR(IF(INDEX(MASTER!$G$4:$G$1463,MATCH("EMERALD LEAF TRIBE"&amp;"|"&amp;MAX(1,ROUND(COUNTIFS(MASTER!$B$4:$B$1463,"EMERALD LEAF TRIBE",MASTER!$G$4:$G$1463,"&lt;&gt;")*$A135*100/100,0)),MASTER!$AH$4:$AH$1463,0))="",NA(),INDEX(MASTER!$G$4:$G$1463,MATCH("EMERALD LEAF TRIBE"&amp;"|"&amp;MAX(1,ROUND(COUNTIFS(MASTER!$B$4:$B$1463,"EMERALD LEAF TRIBE",MASTER!$G$4:$G$1463,"&lt;&gt;")*$A135*100/100,0)),MASTER!$AH$4:$AH$1463,0))),NA()),IF($B$4="SECONDARY",IFERROR(IF(INDEX(MASTER!$L$4:$L$1463,MATCH("EMERALD LEAF TRIBE"&amp;"|"&amp;MAX(1,ROUND(COUNTIFS(MASTER!$B$4:$B$1463,"EMERALD LEAF TRIBE",MASTER!$L$4:$L$1463,"&lt;&gt;")*$A135*100/100,0)),MASTER!$AI$4:$AI$1463,0))="",NA(),INDEX(MASTER!$L$4:$L$1463,MATCH("EMERALD LEAF TRIBE"&amp;"|"&amp;MAX(1,ROUND(COUNTIFS(MASTER!$B$4:$B$1463,"EMERALD LEAF TRIBE",MASTER!$L$4:$L$1463,"&lt;&gt;")*$A135*100/100,0)),MASTER!$AI$4:$AI$1463,0))),NA()))))</f>
        <v>1230</v>
      </c>
      <c r="L135" s="37">
        <f>IF($B$4="RESONANCE",IFERROR(IF(INDEX(MASTER!$I$4:$I$1463,MATCH("SUB ROSA"&amp;"|"&amp;MAX(1,ROUND(COUNTIFS(MASTER!$B$4:$B$1463,"SUB ROSA",MASTER!$I$4:$I$1463,"&lt;&gt;")*$A135*100/100,0)),MASTER!$Y$4:$Y$1463,0))="",NA(),INDEX(MASTER!$I$4:$I$1463,MATCH("SUB ROSA"&amp;"|"&amp;MAX(1,ROUND(COUNTIFS(MASTER!$B$4:$B$1463,"SUB ROSA",MASTER!$I$4:$I$1463,"&lt;&gt;")*$A135*100/100,0)),MASTER!$Y$4:$Y$1463,0))),NA()),IF($B$4="COMBAT RATING",IFERROR(IF(INDEX(MASTER!$G$4:$G$1463,MATCH("SUB ROSA"&amp;"|"&amp;MAX(1,ROUND(COUNTIFS(MASTER!$B$4:$B$1463,"SUB ROSA",MASTER!$G$4:$G$1463,"&lt;&gt;")*$A135*100/100,0)),MASTER!$AH$4:$AH$1463,0))="",NA(),INDEX(MASTER!$G$4:$G$1463,MATCH("SUB ROSA"&amp;"|"&amp;MAX(1,ROUND(COUNTIFS(MASTER!$B$4:$B$1463,"SUB ROSA",MASTER!$G$4:$G$1463,"&lt;&gt;")*$A135*100/100,0)),MASTER!$AH$4:$AH$1463,0))),NA()),IF($B$4="SECONDARY",IFERROR(IF(INDEX(MASTER!$L$4:$L$1463,MATCH("SUB ROSA"&amp;"|"&amp;MAX(1,ROUND(COUNTIFS(MASTER!$B$4:$B$1463,"SUB ROSA",MASTER!$L$4:$L$1463,"&lt;&gt;")*$A135*100/100,0)),MASTER!$AI$4:$AI$1463,0))="",NA(),INDEX(MASTER!$L$4:$L$1463,MATCH("SUB ROSA"&amp;"|"&amp;MAX(1,ROUND(COUNTIFS(MASTER!$B$4:$B$1463,"SUB ROSA",MASTER!$L$4:$L$1463,"&lt;&gt;")*$A135*100/100,0)),MASTER!$AI$4:$AI$1463,0))),NA()))))</f>
        <v>1390</v>
      </c>
      <c r="M135" s="37">
        <f>IF($B$4="RESONANCE",IFERROR(IF(INDEX(MASTER!$I$4:$I$1463,MATCH("VENGEANCE"&amp;"|"&amp;MAX(1,ROUND(COUNTIFS(MASTER!$B$4:$B$1463,"VENGEANCE",MASTER!$I$4:$I$1463,"&lt;&gt;")*$A135*100/100,0)),MASTER!$Y$4:$Y$1463,0))="",NA(),INDEX(MASTER!$I$4:$I$1463,MATCH("VENGEANCE"&amp;"|"&amp;MAX(1,ROUND(COUNTIFS(MASTER!$B$4:$B$1463,"VENGEANCE",MASTER!$I$4:$I$1463,"&lt;&gt;")*$A135*100/100,0)),MASTER!$Y$4:$Y$1463,0))),NA()),IF($B$4="COMBAT RATING",IFERROR(IF(INDEX(MASTER!$G$4:$G$1463,MATCH("VENGEANCE"&amp;"|"&amp;MAX(1,ROUND(COUNTIFS(MASTER!$B$4:$B$1463,"VENGEANCE",MASTER!$G$4:$G$1463,"&lt;&gt;")*$A135*100/100,0)),MASTER!$AH$4:$AH$1463,0))="",NA(),INDEX(MASTER!$G$4:$G$1463,MATCH("VENGEANCE"&amp;"|"&amp;MAX(1,ROUND(COUNTIFS(MASTER!$B$4:$B$1463,"VENGEANCE",MASTER!$G$4:$G$1463,"&lt;&gt;")*$A135*100/100,0)),MASTER!$AH$4:$AH$1463,0))),NA()),IF($B$4="SECONDARY",IFERROR(IF(INDEX(MASTER!$L$4:$L$1463,MATCH("VENGEANCE"&amp;"|"&amp;MAX(1,ROUND(COUNTIFS(MASTER!$B$4:$B$1463,"VENGEANCE",MASTER!$L$4:$L$1463,"&lt;&gt;")*$A135*100/100,0)),MASTER!$AI$4:$AI$1463,0))="",NA(),INDEX(MASTER!$L$4:$L$1463,MATCH("VENGEANCE"&amp;"|"&amp;MAX(1,ROUND(COUNTIFS(MASTER!$B$4:$B$1463,"VENGEANCE",MASTER!$L$4:$L$1463,"&lt;&gt;")*$A135*100/100,0)),MASTER!$AI$4:$AI$1463,0))),NA()))))</f>
        <v>2308</v>
      </c>
      <c r="N135" s="37">
        <f>IF($B$4="RESONANCE",IFERROR(IF(INDEX(MASTER!$I$4:$I$1463,MATCH("VENDETTA"&amp;"|"&amp;MAX(1,ROUND(COUNTIFS(MASTER!$B$4:$B$1463,"VENDETTA",MASTER!$I$4:$I$1463,"&lt;&gt;")*$A135*100/100,0)),MASTER!$Y$4:$Y$1463,0))="",NA(),INDEX(MASTER!$I$4:$I$1463,MATCH("VENDETTA"&amp;"|"&amp;MAX(1,ROUND(COUNTIFS(MASTER!$B$4:$B$1463,"VENDETTA",MASTER!$I$4:$I$1463,"&lt;&gt;")*$A135*100/100,0)),MASTER!$Y$4:$Y$1463,0))),NA()),IF($B$4="COMBAT RATING",IFERROR(IF(INDEX(MASTER!$G$4:$G$1463,MATCH("VENDETTA"&amp;"|"&amp;MAX(1,ROUND(COUNTIFS(MASTER!$B$4:$B$1463,"VENDETTA",MASTER!$G$4:$G$1463,"&lt;&gt;")*$A135*100/100,0)),MASTER!$AH$4:$AH$1463,0))="",NA(),INDEX(MASTER!$G$4:$G$1463,MATCH("VENDETTA"&amp;"|"&amp;MAX(1,ROUND(COUNTIFS(MASTER!$B$4:$B$1463,"VENDETTA",MASTER!$G$4:$G$1463,"&lt;&gt;")*$A135*100/100,0)),MASTER!$AH$4:$AH$1463,0))),NA()),IF($B$4="SECONDARY",IFERROR(IF(INDEX(MASTER!$L$4:$L$1463,MATCH("VENDETTA"&amp;"|"&amp;MAX(1,ROUND(COUNTIFS(MASTER!$B$4:$B$1463,"VENDETTA",MASTER!$L$4:$L$1463,"&lt;&gt;")*$A135*100/100,0)),MASTER!$AI$4:$AI$1463,0))="",NA(),INDEX(MASTER!$L$4:$L$1463,MATCH("VENDETTA"&amp;"|"&amp;MAX(1,ROUND(COUNTIFS(MASTER!$B$4:$B$1463,"VENDETTA",MASTER!$L$4:$L$1463,"&lt;&gt;")*$A135*100/100,0)),MASTER!$AI$4:$AI$1463,0))),NA()))))</f>
        <v>1390</v>
      </c>
      <c r="O135" s="37">
        <f>IF($B$4="RESONANCE",IFERROR(IF(INDEX(MASTER!$I$4:$I$1463,MATCH("ZOMBIES"&amp;"|"&amp;MAX(1,ROUND(COUNTIFS(MASTER!$B$4:$B$1463,"ZOMBIES",MASTER!$I$4:$I$1463,"&lt;&gt;")*$A135*100/100,0)),MASTER!$Y$4:$Y$1463,0))="",NA(),INDEX(MASTER!$I$4:$I$1463,MATCH("ZOMBIES"&amp;"|"&amp;MAX(1,ROUND(COUNTIFS(MASTER!$B$4:$B$1463,"ZOMBIES",MASTER!$I$4:$I$1463,"&lt;&gt;")*$A135*100/100,0)),MASTER!$Y$4:$Y$1463,0))),NA()),IF($B$4="COMBAT RATING",IFERROR(IF(INDEX(MASTER!$G$4:$G$1463,MATCH("ZOMBIES"&amp;"|"&amp;MAX(1,ROUND(COUNTIFS(MASTER!$B$4:$B$1463,"ZOMBIES",MASTER!$G$4:$G$1463,"&lt;&gt;")*$A135*100/100,0)),MASTER!$AH$4:$AH$1463,0))="",NA(),INDEX(MASTER!$G$4:$G$1463,MATCH("ZOMBIES"&amp;"|"&amp;MAX(1,ROUND(COUNTIFS(MASTER!$B$4:$B$1463,"ZOMBIES",MASTER!$G$4:$G$1463,"&lt;&gt;")*$A135*100/100,0)),MASTER!$AH$4:$AH$1463,0))),NA()),IF($B$4="SECONDARY",IFERROR(IF(INDEX(MASTER!$L$4:$L$1463,MATCH("ZOMBIES"&amp;"|"&amp;MAX(1,ROUND(COUNTIFS(MASTER!$B$4:$B$1463,"ZOMBIES",MASTER!$L$4:$L$1463,"&lt;&gt;")*$A135*100/100,0)),MASTER!$AI$4:$AI$1463,0))="",NA(),INDEX(MASTER!$L$4:$L$1463,MATCH("ZOMBIES"&amp;"|"&amp;MAX(1,ROUND(COUNTIFS(MASTER!$B$4:$B$1463,"ZOMBIES",MASTER!$L$4:$L$1463,"&lt;&gt;")*$A135*100/100,0)),MASTER!$AI$4:$AI$1463,0))),NA()))))</f>
        <v>1069</v>
      </c>
      <c r="P135" s="37">
        <f>IF($B$4="RESONANCE",IFERROR(IF(INDEX(MASTER!$I$4:$I$1463,MATCH("FUCT"&amp;"|"&amp;MAX(1,ROUND(COUNTIFS(MASTER!$B$4:$B$1463,"FUCT",MASTER!$I$4:$I$1463,"&lt;&gt;")*$A135*100/100,0)),MASTER!$Y$4:$Y$1463,0))="",NA(),INDEX(MASTER!$I$4:$I$1463,MATCH("FUCT"&amp;"|"&amp;MAX(1,ROUND(COUNTIFS(MASTER!$B$4:$B$1463,"FUCT",MASTER!$I$4:$I$1463,"&lt;&gt;")*$A135*100/100,0)),MASTER!$Y$4:$Y$1463,0))),NA()),IF($B$4="COMBAT RATING",IFERROR(IF(INDEX(MASTER!$G$4:$G$1463,MATCH("FUCT"&amp;"|"&amp;MAX(1,ROUND(COUNTIFS(MASTER!$B$4:$B$1463,"FUCT",MASTER!$G$4:$G$1463,"&lt;&gt;")*$A135*100/100,0)),MASTER!$AH$4:$AH$1463,0))="",NA(),INDEX(MASTER!$G$4:$G$1463,MATCH("FUCT"&amp;"|"&amp;MAX(1,ROUND(COUNTIFS(MASTER!$B$4:$B$1463,"FUCT",MASTER!$G$4:$G$1463,"&lt;&gt;")*$A135*100/100,0)),MASTER!$AH$4:$AH$1463,0))),NA()),IF($B$4="SECONDARY",IFERROR(IF(INDEX(MASTER!$L$4:$L$1463,MATCH("FUCT"&amp;"|"&amp;MAX(1,ROUND(COUNTIFS(MASTER!$B$4:$B$1463,"FUCT",MASTER!$L$4:$L$1463,"&lt;&gt;")*$A135*100/100,0)),MASTER!$AI$4:$AI$1463,0))="",NA(),INDEX(MASTER!$L$4:$L$1463,MATCH("FUCT"&amp;"|"&amp;MAX(1,ROUND(COUNTIFS(MASTER!$B$4:$B$1463,"FUCT",MASTER!$L$4:$L$1463,"&lt;&gt;")*$A135*100/100,0)),MASTER!$AI$4:$AI$1463,0))),NA()))))</f>
        <v>3311</v>
      </c>
      <c r="Q135" s="37">
        <f>IF($B$4="RESONANCE",IFERROR(IF(INDEX(MASTER!$I$4:$I$1463,MATCH($E$4&amp;"|"&amp;MAX(1,ROUND(COUNTIFS(MASTER!$B$4:$B$1463,$E$4,MASTER!$I$4:$I$1463,"&lt;&gt;")*$A135*100/100,0)),MASTER!$Y$4:$Y$1463,0))="",NA(),INDEX(MASTER!$I$4:$I$1463,MATCH($E$4&amp;"|"&amp;MAX(1,ROUND(COUNTIFS(MASTER!$B$4:$B$1463,$E$4,MASTER!$I$4:$I$1463,"&lt;&gt;")*$A135*100/100,0)),MASTER!$Y$4:$Y$1463,0))),NA()),IF($B$4="COMBAT RATING",IFERROR(IF(INDEX(MASTER!$G$4:$G$1463,MATCH($E$4&amp;"|"&amp;MAX(1,ROUND(COUNTIFS(MASTER!$B$4:$B$1463,$E$4,MASTER!$G$4:$G$1463,"&lt;&gt;")*$A135*100/100,0)),MASTER!$AH$4:$AH$1463,0))="",NA(),INDEX(MASTER!$G$4:$G$1463,MATCH($E$4&amp;"|"&amp;MAX(1,ROUND(COUNTIFS(MASTER!$B$4:$B$1463,$E$4,MASTER!$G$4:$G$1463,"&lt;&gt;")*$A135*100/100,0)),MASTER!$AH$4:$AH$1463,0))),NA()),IF($B$4="SECONDARY",IFERROR(IF(INDEX(MASTER!$L$4:$L$1463,MATCH($E$4&amp;"|"&amp;MAX(1,ROUND(COUNTIFS(MASTER!$B$4:$B$1463,$E$4,MASTER!$L$4:$L$1463,"&lt;&gt;")*$A135*100/100,0)),MASTER!$AI$4:$AI$1463,0))="",NA(),INDEX(MASTER!$L$4:$L$1463,MATCH($E$4&amp;"|"&amp;MAX(1,ROUND(COUNTIFS(MASTER!$B$4:$B$1463,$E$4,MASTER!$L$4:$L$1463,"&lt;&gt;")*$A135*100/100,0)),MASTER!$AI$4:$AI$1463,0))),NA()))))</f>
        <v>3147</v>
      </c>
    </row>
    <row r="136" spans="1:17" hidden="1">
      <c r="A136" s="36">
        <v>0.81</v>
      </c>
      <c r="B136" s="37">
        <f>IF($B$4="RESONANCE",IFERROR(IF(INDEX(MASTER!$I$4:$I$1463,MATCH("FUCT"&amp;"|"&amp;MAX(1,ROUND(COUNTIFS(MASTER!$B$4:$B$1463,"FUCT",MASTER!$I$4:$I$1463,"&lt;&gt;")*$A136*100/100,0)),MASTER!$Y$4:$Y$1463,0))="",NA(),INDEX(MASTER!$I$4:$I$1463,MATCH("FUCT"&amp;"|"&amp;MAX(1,ROUND(COUNTIFS(MASTER!$B$4:$B$1463,"FUCT",MASTER!$I$4:$I$1463,"&lt;&gt;")*$A136*100/100,0)),MASTER!$Y$4:$Y$1463,0))),NA()),IF($B$4="COMBAT RATING",IFERROR(IF(INDEX(MASTER!$G$4:$G$1463,MATCH("FUCT"&amp;"|"&amp;MAX(1,ROUND(COUNTIFS(MASTER!$B$4:$B$1463,"FUCT",MASTER!$G$4:$G$1463,"&lt;&gt;")*$A136*100/100,0)),MASTER!$AH$4:$AH$1463,0))="",NA(),INDEX(MASTER!$G$4:$G$1463,MATCH("FUCT"&amp;"|"&amp;MAX(1,ROUND(COUNTIFS(MASTER!$B$4:$B$1463,"FUCT",MASTER!$G$4:$G$1463,"&lt;&gt;")*$A136*100/100,0)),MASTER!$AH$4:$AH$1463,0))),NA()),IF($B$4="SECONDARY",IFERROR(IF(INDEX(MASTER!$L$4:$L$1463,MATCH("FUCT"&amp;"|"&amp;MAX(1,ROUND(COUNTIFS(MASTER!$B$4:$B$1463,"FUCT",MASTER!$L$4:$L$1463,"&lt;&gt;")*$A136*100/100,0)),MASTER!$AI$4:$AI$1463,0))="",NA(),INDEX(MASTER!$L$4:$L$1463,MATCH("FUCT"&amp;"|"&amp;MAX(1,ROUND(COUNTIFS(MASTER!$B$4:$B$1463,"FUCT",MASTER!$L$4:$L$1463,"&lt;&gt;")*$A136*100/100,0)),MASTER!$AI$4:$AI$1463,0))),NA()))))</f>
        <v>3268</v>
      </c>
      <c r="C136" s="37">
        <f>IF($B$4="RESONANCE",IFERROR(IF(INDEX(MASTER!$I$4:$I$1463,MATCH("LEGENDS"&amp;"|"&amp;MAX(1,ROUND(COUNTIFS(MASTER!$B$4:$B$1463,"LEGENDS",MASTER!$I$4:$I$1463,"&lt;&gt;")*$A136*100/100,0)),MASTER!$Y$4:$Y$1463,0))="",NA(),INDEX(MASTER!$I$4:$I$1463,MATCH("LEGENDS"&amp;"|"&amp;MAX(1,ROUND(COUNTIFS(MASTER!$B$4:$B$1463,"LEGENDS",MASTER!$I$4:$I$1463,"&lt;&gt;")*$A136*100/100,0)),MASTER!$Y$4:$Y$1463,0))),NA()),IF($B$4="COMBAT RATING",IFERROR(IF(INDEX(MASTER!$G$4:$G$1463,MATCH("LEGENDS"&amp;"|"&amp;MAX(1,ROUND(COUNTIFS(MASTER!$B$4:$B$1463,"LEGENDS",MASTER!$G$4:$G$1463,"&lt;&gt;")*$A136*100/100,0)),MASTER!$AH$4:$AH$1463,0))="",NA(),INDEX(MASTER!$G$4:$G$1463,MATCH("LEGENDS"&amp;"|"&amp;MAX(1,ROUND(COUNTIFS(MASTER!$B$4:$B$1463,"LEGENDS",MASTER!$G$4:$G$1463,"&lt;&gt;")*$A136*100/100,0)),MASTER!$AH$4:$AH$1463,0))),NA()),IF($B$4="SECONDARY",IFERROR(IF(INDEX(MASTER!$L$4:$L$1463,MATCH("LEGENDS"&amp;"|"&amp;MAX(1,ROUND(COUNTIFS(MASTER!$B$4:$B$1463,"LEGENDS",MASTER!$L$4:$L$1463,"&lt;&gt;")*$A136*100/100,0)),MASTER!$AI$4:$AI$1463,0))="",NA(),INDEX(MASTER!$L$4:$L$1463,MATCH("LEGENDS"&amp;"|"&amp;MAX(1,ROUND(COUNTIFS(MASTER!$B$4:$B$1463,"LEGENDS",MASTER!$L$4:$L$1463,"&lt;&gt;")*$A136*100/100,0)),MASTER!$AI$4:$AI$1463,0))),NA()))))</f>
        <v>3751</v>
      </c>
      <c r="D136" s="37">
        <f>IF($B$4="RESONANCE",IFERROR(IF(INDEX(MASTER!$I$4:$I$1463,MATCH("VANGUARD"&amp;"|"&amp;MAX(1,ROUND(COUNTIFS(MASTER!$B$4:$B$1463,"VANGUARD",MASTER!$I$4:$I$1463,"&lt;&gt;")*$A136*100/100,0)),MASTER!$Y$4:$Y$1463,0))="",NA(),INDEX(MASTER!$I$4:$I$1463,MATCH("VANGUARD"&amp;"|"&amp;MAX(1,ROUND(COUNTIFS(MASTER!$B$4:$B$1463,"VANGUARD",MASTER!$I$4:$I$1463,"&lt;&gt;")*$A136*100/100,0)),MASTER!$Y$4:$Y$1463,0))),NA()),IF($B$4="COMBAT RATING",IFERROR(IF(INDEX(MASTER!$G$4:$G$1463,MATCH("VANGUARD"&amp;"|"&amp;MAX(1,ROUND(COUNTIFS(MASTER!$B$4:$B$1463,"VANGUARD",MASTER!$G$4:$G$1463,"&lt;&gt;")*$A136*100/100,0)),MASTER!$AH$4:$AH$1463,0))="",NA(),INDEX(MASTER!$G$4:$G$1463,MATCH("VANGUARD"&amp;"|"&amp;MAX(1,ROUND(COUNTIFS(MASTER!$B$4:$B$1463,"VANGUARD",MASTER!$G$4:$G$1463,"&lt;&gt;")*$A136*100/100,0)),MASTER!$AH$4:$AH$1463,0))),NA()),IF($B$4="SECONDARY",IFERROR(IF(INDEX(MASTER!$L$4:$L$1463,MATCH("VANGUARD"&amp;"|"&amp;MAX(1,ROUND(COUNTIFS(MASTER!$B$4:$B$1463,"VANGUARD",MASTER!$L$4:$L$1463,"&lt;&gt;")*$A136*100/100,0)),MASTER!$AI$4:$AI$1463,0))="",NA(),INDEX(MASTER!$L$4:$L$1463,MATCH("VANGUARD"&amp;"|"&amp;MAX(1,ROUND(COUNTIFS(MASTER!$B$4:$B$1463,"VANGUARD",MASTER!$L$4:$L$1463,"&lt;&gt;")*$A136*100/100,0)),MASTER!$AI$4:$AI$1463,0))),NA()))))</f>
        <v>4265</v>
      </c>
      <c r="E136" s="37">
        <f>IF($B$4="RESONANCE",IFERROR(IF(INDEX(MASTER!$I$4:$I$1463,MATCH("UNDYING"&amp;"|"&amp;MAX(1,ROUND(COUNTIFS(MASTER!$B$4:$B$1463,"UNDYING",MASTER!$I$4:$I$1463,"&lt;&gt;")*$A136*100/100,0)),MASTER!$Y$4:$Y$1463,0))="",NA(),INDEX(MASTER!$I$4:$I$1463,MATCH("UNDYING"&amp;"|"&amp;MAX(1,ROUND(COUNTIFS(MASTER!$B$4:$B$1463,"UNDYING",MASTER!$I$4:$I$1463,"&lt;&gt;")*$A136*100/100,0)),MASTER!$Y$4:$Y$1463,0))),NA()),IF($B$4="COMBAT RATING",IFERROR(IF(INDEX(MASTER!$G$4:$G$1463,MATCH("UNDYING"&amp;"|"&amp;MAX(1,ROUND(COUNTIFS(MASTER!$B$4:$B$1463,"UNDYING",MASTER!$G$4:$G$1463,"&lt;&gt;")*$A136*100/100,0)),MASTER!$AH$4:$AH$1463,0))="",NA(),INDEX(MASTER!$G$4:$G$1463,MATCH("UNDYING"&amp;"|"&amp;MAX(1,ROUND(COUNTIFS(MASTER!$B$4:$B$1463,"UNDYING",MASTER!$G$4:$G$1463,"&lt;&gt;")*$A136*100/100,0)),MASTER!$AH$4:$AH$1463,0))),NA()),IF($B$4="SECONDARY",IFERROR(IF(INDEX(MASTER!$L$4:$L$1463,MATCH("UNDYING"&amp;"|"&amp;MAX(1,ROUND(COUNTIFS(MASTER!$B$4:$B$1463,"UNDYING",MASTER!$L$4:$L$1463,"&lt;&gt;")*$A136*100/100,0)),MASTER!$AI$4:$AI$1463,0))="",NA(),INDEX(MASTER!$L$4:$L$1463,MATCH("UNDYING"&amp;"|"&amp;MAX(1,ROUND(COUNTIFS(MASTER!$B$4:$B$1463,"UNDYING",MASTER!$L$4:$L$1463,"&lt;&gt;")*$A136*100/100,0)),MASTER!$AI$4:$AI$1463,0))),NA()))))</f>
        <v>3140</v>
      </c>
      <c r="F136" s="37">
        <f>IF($B$4="RESONANCE",IFERROR(IF(INDEX(MASTER!$I$4:$I$1463,MATCH("SBG"&amp;"|"&amp;MAX(1,ROUND(COUNTIFS(MASTER!$B$4:$B$1463,"SBG",MASTER!$I$4:$I$1463,"&lt;&gt;")*$A136*100/100,0)),MASTER!$Y$4:$Y$1463,0))="",NA(),INDEX(MASTER!$I$4:$I$1463,MATCH("SBG"&amp;"|"&amp;MAX(1,ROUND(COUNTIFS(MASTER!$B$4:$B$1463,"SBG",MASTER!$I$4:$I$1463,"&lt;&gt;")*$A136*100/100,0)),MASTER!$Y$4:$Y$1463,0))),NA()),IF($B$4="COMBAT RATING",IFERROR(IF(INDEX(MASTER!$G$4:$G$1463,MATCH("SBG"&amp;"|"&amp;MAX(1,ROUND(COUNTIFS(MASTER!$B$4:$B$1463,"SBG",MASTER!$G$4:$G$1463,"&lt;&gt;")*$A136*100/100,0)),MASTER!$AH$4:$AH$1463,0))="",NA(),INDEX(MASTER!$G$4:$G$1463,MATCH("SBG"&amp;"|"&amp;MAX(1,ROUND(COUNTIFS(MASTER!$B$4:$B$1463,"SBG",MASTER!$G$4:$G$1463,"&lt;&gt;")*$A136*100/100,0)),MASTER!$AH$4:$AH$1463,0))),NA()),IF($B$4="SECONDARY",IFERROR(IF(INDEX(MASTER!$L$4:$L$1463,MATCH("SBG"&amp;"|"&amp;MAX(1,ROUND(COUNTIFS(MASTER!$B$4:$B$1463,"SBG",MASTER!$L$4:$L$1463,"&lt;&gt;")*$A136*100/100,0)),MASTER!$AI$4:$AI$1463,0))="",NA(),INDEX(MASTER!$L$4:$L$1463,MATCH("SBG"&amp;"|"&amp;MAX(1,ROUND(COUNTIFS(MASTER!$B$4:$B$1463,"SBG",MASTER!$L$4:$L$1463,"&lt;&gt;")*$A136*100/100,0)),MASTER!$AI$4:$AI$1463,0))),NA()))))</f>
        <v>3784</v>
      </c>
      <c r="G136" s="37">
        <f>IF($B$4="RESONANCE",IFERROR(IF(INDEX(MASTER!$I$4:$I$1463,MATCH("AZUKI"&amp;"|"&amp;MAX(1,ROUND(COUNTIFS(MASTER!$B$4:$B$1463,"AZUKI",MASTER!$I$4:$I$1463,"&lt;&gt;")*$A136*100/100,0)),MASTER!$Y$4:$Y$1463,0))="",NA(),INDEX(MASTER!$I$4:$I$1463,MATCH("AZUKI"&amp;"|"&amp;MAX(1,ROUND(COUNTIFS(MASTER!$B$4:$B$1463,"AZUKI",MASTER!$I$4:$I$1463,"&lt;&gt;")*$A136*100/100,0)),MASTER!$Y$4:$Y$1463,0))),NA()),IF($B$4="COMBAT RATING",IFERROR(IF(INDEX(MASTER!$G$4:$G$1463,MATCH("AZUKI"&amp;"|"&amp;MAX(1,ROUND(COUNTIFS(MASTER!$B$4:$B$1463,"AZUKI",MASTER!$G$4:$G$1463,"&lt;&gt;")*$A136*100/100,0)),MASTER!$AH$4:$AH$1463,0))="",NA(),INDEX(MASTER!$G$4:$G$1463,MATCH("AZUKI"&amp;"|"&amp;MAX(1,ROUND(COUNTIFS(MASTER!$B$4:$B$1463,"AZUKI",MASTER!$G$4:$G$1463,"&lt;&gt;")*$A136*100/100,0)),MASTER!$AH$4:$AH$1463,0))),NA()),IF($B$4="SECONDARY",IFERROR(IF(INDEX(MASTER!$L$4:$L$1463,MATCH("AZUKI"&amp;"|"&amp;MAX(1,ROUND(COUNTIFS(MASTER!$B$4:$B$1463,"AZUKI",MASTER!$L$4:$L$1463,"&lt;&gt;")*$A136*100/100,0)),MASTER!$AI$4:$AI$1463,0))="",NA(),INDEX(MASTER!$L$4:$L$1463,MATCH("AZUKI"&amp;"|"&amp;MAX(1,ROUND(COUNTIFS(MASTER!$B$4:$B$1463,"AZUKI",MASTER!$L$4:$L$1463,"&lt;&gt;")*$A136*100/100,0)),MASTER!$AI$4:$AI$1463,0))),NA()))))</f>
        <v>3321</v>
      </c>
      <c r="H136" s="37">
        <f>IF($B$4="RESONANCE",IFERROR(IF(INDEX(MASTER!$I$4:$I$1463,MATCH("RECKONING"&amp;"|"&amp;MAX(1,ROUND(COUNTIFS(MASTER!$B$4:$B$1463,"RECKONING",MASTER!$I$4:$I$1463,"&lt;&gt;")*$A136*100/100,0)),MASTER!$Y$4:$Y$1463,0))="",NA(),INDEX(MASTER!$I$4:$I$1463,MATCH("RECKONING"&amp;"|"&amp;MAX(1,ROUND(COUNTIFS(MASTER!$B$4:$B$1463,"RECKONING",MASTER!$I$4:$I$1463,"&lt;&gt;")*$A136*100/100,0)),MASTER!$Y$4:$Y$1463,0))),NA()),IF($B$4="COMBAT RATING",IFERROR(IF(INDEX(MASTER!$G$4:$G$1463,MATCH("RECKONING"&amp;"|"&amp;MAX(1,ROUND(COUNTIFS(MASTER!$B$4:$B$1463,"RECKONING",MASTER!$G$4:$G$1463,"&lt;&gt;")*$A136*100/100,0)),MASTER!$AH$4:$AH$1463,0))="",NA(),INDEX(MASTER!$G$4:$G$1463,MATCH("RECKONING"&amp;"|"&amp;MAX(1,ROUND(COUNTIFS(MASTER!$B$4:$B$1463,"RECKONING",MASTER!$G$4:$G$1463,"&lt;&gt;")*$A136*100/100,0)),MASTER!$AH$4:$AH$1463,0))),NA()),IF($B$4="SECONDARY",IFERROR(IF(INDEX(MASTER!$L$4:$L$1463,MATCH("RECKONING"&amp;"|"&amp;MAX(1,ROUND(COUNTIFS(MASTER!$B$4:$B$1463,"RECKONING",MASTER!$L$4:$L$1463,"&lt;&gt;")*$A136*100/100,0)),MASTER!$AI$4:$AI$1463,0))="",NA(),INDEX(MASTER!$L$4:$L$1463,MATCH("RECKONING"&amp;"|"&amp;MAX(1,ROUND(COUNTIFS(MASTER!$B$4:$B$1463,"RECKONING",MASTER!$L$4:$L$1463,"&lt;&gt;")*$A136*100/100,0)),MASTER!$AI$4:$AI$1463,0))),NA()))))</f>
        <v>3590</v>
      </c>
      <c r="I136" s="37">
        <f>IF($B$4="RESONANCE",IFERROR(IF(INDEX(MASTER!$I$4:$I$1463,MATCH("ACHERON"&amp;"|"&amp;MAX(1,ROUND(COUNTIFS(MASTER!$B$4:$B$1463,"ACHERON",MASTER!$I$4:$I$1463,"&lt;&gt;")*$A136*100/100,0)),MASTER!$Y$4:$Y$1463,0))="",NA(),INDEX(MASTER!$I$4:$I$1463,MATCH("ACHERON"&amp;"|"&amp;MAX(1,ROUND(COUNTIFS(MASTER!$B$4:$B$1463,"ACHERON",MASTER!$I$4:$I$1463,"&lt;&gt;")*$A136*100/100,0)),MASTER!$Y$4:$Y$1463,0))),NA()),IF($B$4="COMBAT RATING",IFERROR(IF(INDEX(MASTER!$G$4:$G$1463,MATCH("ACHERON"&amp;"|"&amp;MAX(1,ROUND(COUNTIFS(MASTER!$B$4:$B$1463,"ACHERON",MASTER!$G$4:$G$1463,"&lt;&gt;")*$A136*100/100,0)),MASTER!$AH$4:$AH$1463,0))="",NA(),INDEX(MASTER!$G$4:$G$1463,MATCH("ACHERON"&amp;"|"&amp;MAX(1,ROUND(COUNTIFS(MASTER!$B$4:$B$1463,"ACHERON",MASTER!$G$4:$G$1463,"&lt;&gt;")*$A136*100/100,0)),MASTER!$AH$4:$AH$1463,0))),NA()),IF($B$4="SECONDARY",IFERROR(IF(INDEX(MASTER!$L$4:$L$1463,MATCH("ACHERON"&amp;"|"&amp;MAX(1,ROUND(COUNTIFS(MASTER!$B$4:$B$1463,"ACHERON",MASTER!$L$4:$L$1463,"&lt;&gt;")*$A136*100/100,0)),MASTER!$AI$4:$AI$1463,0))="",NA(),INDEX(MASTER!$L$4:$L$1463,MATCH("ACHERON"&amp;"|"&amp;MAX(1,ROUND(COUNTIFS(MASTER!$B$4:$B$1463,"ACHERON",MASTER!$L$4:$L$1463,"&lt;&gt;")*$A136*100/100,0)),MASTER!$AI$4:$AI$1463,0))),NA()))))</f>
        <v>2582</v>
      </c>
      <c r="J136" s="37">
        <f>IF($B$4="RESONANCE",IFERROR(IF(INDEX(MASTER!$I$4:$I$1463,MATCH("INVICTUS"&amp;"|"&amp;MAX(1,ROUND(COUNTIFS(MASTER!$B$4:$B$1463,"INVICTUS",MASTER!$I$4:$I$1463,"&lt;&gt;")*$A136*100/100,0)),MASTER!$Y$4:$Y$1463,0))="",NA(),INDEX(MASTER!$I$4:$I$1463,MATCH("INVICTUS"&amp;"|"&amp;MAX(1,ROUND(COUNTIFS(MASTER!$B$4:$B$1463,"INVICTUS",MASTER!$I$4:$I$1463,"&lt;&gt;")*$A136*100/100,0)),MASTER!$Y$4:$Y$1463,0))),NA()),IF($B$4="COMBAT RATING",IFERROR(IF(INDEX(MASTER!$G$4:$G$1463,MATCH("INVICTUS"&amp;"|"&amp;MAX(1,ROUND(COUNTIFS(MASTER!$B$4:$B$1463,"INVICTUS",MASTER!$G$4:$G$1463,"&lt;&gt;")*$A136*100/100,0)),MASTER!$AH$4:$AH$1463,0))="",NA(),INDEX(MASTER!$G$4:$G$1463,MATCH("INVICTUS"&amp;"|"&amp;MAX(1,ROUND(COUNTIFS(MASTER!$B$4:$B$1463,"INVICTUS",MASTER!$G$4:$G$1463,"&lt;&gt;")*$A136*100/100,0)),MASTER!$AH$4:$AH$1463,0))),NA()),IF($B$4="SECONDARY",IFERROR(IF(INDEX(MASTER!$L$4:$L$1463,MATCH("INVICTUS"&amp;"|"&amp;MAX(1,ROUND(COUNTIFS(MASTER!$B$4:$B$1463,"INVICTUS",MASTER!$L$4:$L$1463,"&lt;&gt;")*$A136*100/100,0)),MASTER!$AI$4:$AI$1463,0))="",NA(),INDEX(MASTER!$L$4:$L$1463,MATCH("INVICTUS"&amp;"|"&amp;MAX(1,ROUND(COUNTIFS(MASTER!$B$4:$B$1463,"INVICTUS",MASTER!$L$4:$L$1463,"&lt;&gt;")*$A136*100/100,0)),MASTER!$AI$4:$AI$1463,0))),NA()))))</f>
        <v>2037</v>
      </c>
      <c r="K136" s="37">
        <f>IF($B$4="RESONANCE",IFERROR(IF(INDEX(MASTER!$I$4:$I$1463,MATCH("EMERALD LEAF TRIBE"&amp;"|"&amp;MAX(1,ROUND(COUNTIFS(MASTER!$B$4:$B$1463,"EMERALD LEAF TRIBE",MASTER!$I$4:$I$1463,"&lt;&gt;")*$A136*100/100,0)),MASTER!$Y$4:$Y$1463,0))="",NA(),INDEX(MASTER!$I$4:$I$1463,MATCH("EMERALD LEAF TRIBE"&amp;"|"&amp;MAX(1,ROUND(COUNTIFS(MASTER!$B$4:$B$1463,"EMERALD LEAF TRIBE",MASTER!$I$4:$I$1463,"&lt;&gt;")*$A136*100/100,0)),MASTER!$Y$4:$Y$1463,0))),NA()),IF($B$4="COMBAT RATING",IFERROR(IF(INDEX(MASTER!$G$4:$G$1463,MATCH("EMERALD LEAF TRIBE"&amp;"|"&amp;MAX(1,ROUND(COUNTIFS(MASTER!$B$4:$B$1463,"EMERALD LEAF TRIBE",MASTER!$G$4:$G$1463,"&lt;&gt;")*$A136*100/100,0)),MASTER!$AH$4:$AH$1463,0))="",NA(),INDEX(MASTER!$G$4:$G$1463,MATCH("EMERALD LEAF TRIBE"&amp;"|"&amp;MAX(1,ROUND(COUNTIFS(MASTER!$B$4:$B$1463,"EMERALD LEAF TRIBE",MASTER!$G$4:$G$1463,"&lt;&gt;")*$A136*100/100,0)),MASTER!$AH$4:$AH$1463,0))),NA()),IF($B$4="SECONDARY",IFERROR(IF(INDEX(MASTER!$L$4:$L$1463,MATCH("EMERALD LEAF TRIBE"&amp;"|"&amp;MAX(1,ROUND(COUNTIFS(MASTER!$B$4:$B$1463,"EMERALD LEAF TRIBE",MASTER!$L$4:$L$1463,"&lt;&gt;")*$A136*100/100,0)),MASTER!$AI$4:$AI$1463,0))="",NA(),INDEX(MASTER!$L$4:$L$1463,MATCH("EMERALD LEAF TRIBE"&amp;"|"&amp;MAX(1,ROUND(COUNTIFS(MASTER!$B$4:$B$1463,"EMERALD LEAF TRIBE",MASTER!$L$4:$L$1463,"&lt;&gt;")*$A136*100/100,0)),MASTER!$AI$4:$AI$1463,0))),NA()))))</f>
        <v>1155</v>
      </c>
      <c r="L136" s="37">
        <f>IF($B$4="RESONANCE",IFERROR(IF(INDEX(MASTER!$I$4:$I$1463,MATCH("SUB ROSA"&amp;"|"&amp;MAX(1,ROUND(COUNTIFS(MASTER!$B$4:$B$1463,"SUB ROSA",MASTER!$I$4:$I$1463,"&lt;&gt;")*$A136*100/100,0)),MASTER!$Y$4:$Y$1463,0))="",NA(),INDEX(MASTER!$I$4:$I$1463,MATCH("SUB ROSA"&amp;"|"&amp;MAX(1,ROUND(COUNTIFS(MASTER!$B$4:$B$1463,"SUB ROSA",MASTER!$I$4:$I$1463,"&lt;&gt;")*$A136*100/100,0)),MASTER!$Y$4:$Y$1463,0))),NA()),IF($B$4="COMBAT RATING",IFERROR(IF(INDEX(MASTER!$G$4:$G$1463,MATCH("SUB ROSA"&amp;"|"&amp;MAX(1,ROUND(COUNTIFS(MASTER!$B$4:$B$1463,"SUB ROSA",MASTER!$G$4:$G$1463,"&lt;&gt;")*$A136*100/100,0)),MASTER!$AH$4:$AH$1463,0))="",NA(),INDEX(MASTER!$G$4:$G$1463,MATCH("SUB ROSA"&amp;"|"&amp;MAX(1,ROUND(COUNTIFS(MASTER!$B$4:$B$1463,"SUB ROSA",MASTER!$G$4:$G$1463,"&lt;&gt;")*$A136*100/100,0)),MASTER!$AH$4:$AH$1463,0))),NA()),IF($B$4="SECONDARY",IFERROR(IF(INDEX(MASTER!$L$4:$L$1463,MATCH("SUB ROSA"&amp;"|"&amp;MAX(1,ROUND(COUNTIFS(MASTER!$B$4:$B$1463,"SUB ROSA",MASTER!$L$4:$L$1463,"&lt;&gt;")*$A136*100/100,0)),MASTER!$AI$4:$AI$1463,0))="",NA(),INDEX(MASTER!$L$4:$L$1463,MATCH("SUB ROSA"&amp;"|"&amp;MAX(1,ROUND(COUNTIFS(MASTER!$B$4:$B$1463,"SUB ROSA",MASTER!$L$4:$L$1463,"&lt;&gt;")*$A136*100/100,0)),MASTER!$AI$4:$AI$1463,0))),NA()))))</f>
        <v>1327</v>
      </c>
      <c r="M136" s="37">
        <f>IF($B$4="RESONANCE",IFERROR(IF(INDEX(MASTER!$I$4:$I$1463,MATCH("VENGEANCE"&amp;"|"&amp;MAX(1,ROUND(COUNTIFS(MASTER!$B$4:$B$1463,"VENGEANCE",MASTER!$I$4:$I$1463,"&lt;&gt;")*$A136*100/100,0)),MASTER!$Y$4:$Y$1463,0))="",NA(),INDEX(MASTER!$I$4:$I$1463,MATCH("VENGEANCE"&amp;"|"&amp;MAX(1,ROUND(COUNTIFS(MASTER!$B$4:$B$1463,"VENGEANCE",MASTER!$I$4:$I$1463,"&lt;&gt;")*$A136*100/100,0)),MASTER!$Y$4:$Y$1463,0))),NA()),IF($B$4="COMBAT RATING",IFERROR(IF(INDEX(MASTER!$G$4:$G$1463,MATCH("VENGEANCE"&amp;"|"&amp;MAX(1,ROUND(COUNTIFS(MASTER!$B$4:$B$1463,"VENGEANCE",MASTER!$G$4:$G$1463,"&lt;&gt;")*$A136*100/100,0)),MASTER!$AH$4:$AH$1463,0))="",NA(),INDEX(MASTER!$G$4:$G$1463,MATCH("VENGEANCE"&amp;"|"&amp;MAX(1,ROUND(COUNTIFS(MASTER!$B$4:$B$1463,"VENGEANCE",MASTER!$G$4:$G$1463,"&lt;&gt;")*$A136*100/100,0)),MASTER!$AH$4:$AH$1463,0))),NA()),IF($B$4="SECONDARY",IFERROR(IF(INDEX(MASTER!$L$4:$L$1463,MATCH("VENGEANCE"&amp;"|"&amp;MAX(1,ROUND(COUNTIFS(MASTER!$B$4:$B$1463,"VENGEANCE",MASTER!$L$4:$L$1463,"&lt;&gt;")*$A136*100/100,0)),MASTER!$AI$4:$AI$1463,0))="",NA(),INDEX(MASTER!$L$4:$L$1463,MATCH("VENGEANCE"&amp;"|"&amp;MAX(1,ROUND(COUNTIFS(MASTER!$B$4:$B$1463,"VENGEANCE",MASTER!$L$4:$L$1463,"&lt;&gt;")*$A136*100/100,0)),MASTER!$AI$4:$AI$1463,0))),NA()))))</f>
        <v>2281</v>
      </c>
      <c r="N136" s="37">
        <f>IF($B$4="RESONANCE",IFERROR(IF(INDEX(MASTER!$I$4:$I$1463,MATCH("VENDETTA"&amp;"|"&amp;MAX(1,ROUND(COUNTIFS(MASTER!$B$4:$B$1463,"VENDETTA",MASTER!$I$4:$I$1463,"&lt;&gt;")*$A136*100/100,0)),MASTER!$Y$4:$Y$1463,0))="",NA(),INDEX(MASTER!$I$4:$I$1463,MATCH("VENDETTA"&amp;"|"&amp;MAX(1,ROUND(COUNTIFS(MASTER!$B$4:$B$1463,"VENDETTA",MASTER!$I$4:$I$1463,"&lt;&gt;")*$A136*100/100,0)),MASTER!$Y$4:$Y$1463,0))),NA()),IF($B$4="COMBAT RATING",IFERROR(IF(INDEX(MASTER!$G$4:$G$1463,MATCH("VENDETTA"&amp;"|"&amp;MAX(1,ROUND(COUNTIFS(MASTER!$B$4:$B$1463,"VENDETTA",MASTER!$G$4:$G$1463,"&lt;&gt;")*$A136*100/100,0)),MASTER!$AH$4:$AH$1463,0))="",NA(),INDEX(MASTER!$G$4:$G$1463,MATCH("VENDETTA"&amp;"|"&amp;MAX(1,ROUND(COUNTIFS(MASTER!$B$4:$B$1463,"VENDETTA",MASTER!$G$4:$G$1463,"&lt;&gt;")*$A136*100/100,0)),MASTER!$AH$4:$AH$1463,0))),NA()),IF($B$4="SECONDARY",IFERROR(IF(INDEX(MASTER!$L$4:$L$1463,MATCH("VENDETTA"&amp;"|"&amp;MAX(1,ROUND(COUNTIFS(MASTER!$B$4:$B$1463,"VENDETTA",MASTER!$L$4:$L$1463,"&lt;&gt;")*$A136*100/100,0)),MASTER!$AI$4:$AI$1463,0))="",NA(),INDEX(MASTER!$L$4:$L$1463,MATCH("VENDETTA"&amp;"|"&amp;MAX(1,ROUND(COUNTIFS(MASTER!$B$4:$B$1463,"VENDETTA",MASTER!$L$4:$L$1463,"&lt;&gt;")*$A136*100/100,0)),MASTER!$AI$4:$AI$1463,0))),NA()))))</f>
        <v>1388</v>
      </c>
      <c r="O136" s="37">
        <f>IF($B$4="RESONANCE",IFERROR(IF(INDEX(MASTER!$I$4:$I$1463,MATCH("ZOMBIES"&amp;"|"&amp;MAX(1,ROUND(COUNTIFS(MASTER!$B$4:$B$1463,"ZOMBIES",MASTER!$I$4:$I$1463,"&lt;&gt;")*$A136*100/100,0)),MASTER!$Y$4:$Y$1463,0))="",NA(),INDEX(MASTER!$I$4:$I$1463,MATCH("ZOMBIES"&amp;"|"&amp;MAX(1,ROUND(COUNTIFS(MASTER!$B$4:$B$1463,"ZOMBIES",MASTER!$I$4:$I$1463,"&lt;&gt;")*$A136*100/100,0)),MASTER!$Y$4:$Y$1463,0))),NA()),IF($B$4="COMBAT RATING",IFERROR(IF(INDEX(MASTER!$G$4:$G$1463,MATCH("ZOMBIES"&amp;"|"&amp;MAX(1,ROUND(COUNTIFS(MASTER!$B$4:$B$1463,"ZOMBIES",MASTER!$G$4:$G$1463,"&lt;&gt;")*$A136*100/100,0)),MASTER!$AH$4:$AH$1463,0))="",NA(),INDEX(MASTER!$G$4:$G$1463,MATCH("ZOMBIES"&amp;"|"&amp;MAX(1,ROUND(COUNTIFS(MASTER!$B$4:$B$1463,"ZOMBIES",MASTER!$G$4:$G$1463,"&lt;&gt;")*$A136*100/100,0)),MASTER!$AH$4:$AH$1463,0))),NA()),IF($B$4="SECONDARY",IFERROR(IF(INDEX(MASTER!$L$4:$L$1463,MATCH("ZOMBIES"&amp;"|"&amp;MAX(1,ROUND(COUNTIFS(MASTER!$B$4:$B$1463,"ZOMBIES",MASTER!$L$4:$L$1463,"&lt;&gt;")*$A136*100/100,0)),MASTER!$AI$4:$AI$1463,0))="",NA(),INDEX(MASTER!$L$4:$L$1463,MATCH("ZOMBIES"&amp;"|"&amp;MAX(1,ROUND(COUNTIFS(MASTER!$B$4:$B$1463,"ZOMBIES",MASTER!$L$4:$L$1463,"&lt;&gt;")*$A136*100/100,0)),MASTER!$AI$4:$AI$1463,0))),NA()))))</f>
        <v>1066</v>
      </c>
      <c r="P136" s="37">
        <f>IF($B$4="RESONANCE",IFERROR(IF(INDEX(MASTER!$I$4:$I$1463,MATCH("FUCT"&amp;"|"&amp;MAX(1,ROUND(COUNTIFS(MASTER!$B$4:$B$1463,"FUCT",MASTER!$I$4:$I$1463,"&lt;&gt;")*$A136*100/100,0)),MASTER!$Y$4:$Y$1463,0))="",NA(),INDEX(MASTER!$I$4:$I$1463,MATCH("FUCT"&amp;"|"&amp;MAX(1,ROUND(COUNTIFS(MASTER!$B$4:$B$1463,"FUCT",MASTER!$I$4:$I$1463,"&lt;&gt;")*$A136*100/100,0)),MASTER!$Y$4:$Y$1463,0))),NA()),IF($B$4="COMBAT RATING",IFERROR(IF(INDEX(MASTER!$G$4:$G$1463,MATCH("FUCT"&amp;"|"&amp;MAX(1,ROUND(COUNTIFS(MASTER!$B$4:$B$1463,"FUCT",MASTER!$G$4:$G$1463,"&lt;&gt;")*$A136*100/100,0)),MASTER!$AH$4:$AH$1463,0))="",NA(),INDEX(MASTER!$G$4:$G$1463,MATCH("FUCT"&amp;"|"&amp;MAX(1,ROUND(COUNTIFS(MASTER!$B$4:$B$1463,"FUCT",MASTER!$G$4:$G$1463,"&lt;&gt;")*$A136*100/100,0)),MASTER!$AH$4:$AH$1463,0))),NA()),IF($B$4="SECONDARY",IFERROR(IF(INDEX(MASTER!$L$4:$L$1463,MATCH("FUCT"&amp;"|"&amp;MAX(1,ROUND(COUNTIFS(MASTER!$B$4:$B$1463,"FUCT",MASTER!$L$4:$L$1463,"&lt;&gt;")*$A136*100/100,0)),MASTER!$AI$4:$AI$1463,0))="",NA(),INDEX(MASTER!$L$4:$L$1463,MATCH("FUCT"&amp;"|"&amp;MAX(1,ROUND(COUNTIFS(MASTER!$B$4:$B$1463,"FUCT",MASTER!$L$4:$L$1463,"&lt;&gt;")*$A136*100/100,0)),MASTER!$AI$4:$AI$1463,0))),NA()))))</f>
        <v>3268</v>
      </c>
      <c r="Q136" s="37">
        <f>IF($B$4="RESONANCE",IFERROR(IF(INDEX(MASTER!$I$4:$I$1463,MATCH($E$4&amp;"|"&amp;MAX(1,ROUND(COUNTIFS(MASTER!$B$4:$B$1463,$E$4,MASTER!$I$4:$I$1463,"&lt;&gt;")*$A136*100/100,0)),MASTER!$Y$4:$Y$1463,0))="",NA(),INDEX(MASTER!$I$4:$I$1463,MATCH($E$4&amp;"|"&amp;MAX(1,ROUND(COUNTIFS(MASTER!$B$4:$B$1463,$E$4,MASTER!$I$4:$I$1463,"&lt;&gt;")*$A136*100/100,0)),MASTER!$Y$4:$Y$1463,0))),NA()),IF($B$4="COMBAT RATING",IFERROR(IF(INDEX(MASTER!$G$4:$G$1463,MATCH($E$4&amp;"|"&amp;MAX(1,ROUND(COUNTIFS(MASTER!$B$4:$B$1463,$E$4,MASTER!$G$4:$G$1463,"&lt;&gt;")*$A136*100/100,0)),MASTER!$AH$4:$AH$1463,0))="",NA(),INDEX(MASTER!$G$4:$G$1463,MATCH($E$4&amp;"|"&amp;MAX(1,ROUND(COUNTIFS(MASTER!$B$4:$B$1463,$E$4,MASTER!$G$4:$G$1463,"&lt;&gt;")*$A136*100/100,0)),MASTER!$AH$4:$AH$1463,0))),NA()),IF($B$4="SECONDARY",IFERROR(IF(INDEX(MASTER!$L$4:$L$1463,MATCH($E$4&amp;"|"&amp;MAX(1,ROUND(COUNTIFS(MASTER!$B$4:$B$1463,$E$4,MASTER!$L$4:$L$1463,"&lt;&gt;")*$A136*100/100,0)),MASTER!$AI$4:$AI$1463,0))="",NA(),INDEX(MASTER!$L$4:$L$1463,MATCH($E$4&amp;"|"&amp;MAX(1,ROUND(COUNTIFS(MASTER!$B$4:$B$1463,$E$4,MASTER!$L$4:$L$1463,"&lt;&gt;")*$A136*100/100,0)),MASTER!$AI$4:$AI$1463,0))),NA()))))</f>
        <v>3140</v>
      </c>
    </row>
    <row r="137" spans="1:17" hidden="1">
      <c r="A137" s="36">
        <v>0.82</v>
      </c>
      <c r="B137" s="37">
        <f>IF($B$4="RESONANCE",IFERROR(IF(INDEX(MASTER!$I$4:$I$1463,MATCH("FUCT"&amp;"|"&amp;MAX(1,ROUND(COUNTIFS(MASTER!$B$4:$B$1463,"FUCT",MASTER!$I$4:$I$1463,"&lt;&gt;")*$A137*100/100,0)),MASTER!$Y$4:$Y$1463,0))="",NA(),INDEX(MASTER!$I$4:$I$1463,MATCH("FUCT"&amp;"|"&amp;MAX(1,ROUND(COUNTIFS(MASTER!$B$4:$B$1463,"FUCT",MASTER!$I$4:$I$1463,"&lt;&gt;")*$A137*100/100,0)),MASTER!$Y$4:$Y$1463,0))),NA()),IF($B$4="COMBAT RATING",IFERROR(IF(INDEX(MASTER!$G$4:$G$1463,MATCH("FUCT"&amp;"|"&amp;MAX(1,ROUND(COUNTIFS(MASTER!$B$4:$B$1463,"FUCT",MASTER!$G$4:$G$1463,"&lt;&gt;")*$A137*100/100,0)),MASTER!$AH$4:$AH$1463,0))="",NA(),INDEX(MASTER!$G$4:$G$1463,MATCH("FUCT"&amp;"|"&amp;MAX(1,ROUND(COUNTIFS(MASTER!$B$4:$B$1463,"FUCT",MASTER!$G$4:$G$1463,"&lt;&gt;")*$A137*100/100,0)),MASTER!$AH$4:$AH$1463,0))),NA()),IF($B$4="SECONDARY",IFERROR(IF(INDEX(MASTER!$L$4:$L$1463,MATCH("FUCT"&amp;"|"&amp;MAX(1,ROUND(COUNTIFS(MASTER!$B$4:$B$1463,"FUCT",MASTER!$L$4:$L$1463,"&lt;&gt;")*$A137*100/100,0)),MASTER!$AI$4:$AI$1463,0))="",NA(),INDEX(MASTER!$L$4:$L$1463,MATCH("FUCT"&amp;"|"&amp;MAX(1,ROUND(COUNTIFS(MASTER!$B$4:$B$1463,"FUCT",MASTER!$L$4:$L$1463,"&lt;&gt;")*$A137*100/100,0)),MASTER!$AI$4:$AI$1463,0))),NA()))))</f>
        <v>3244</v>
      </c>
      <c r="C137" s="37">
        <f>IF($B$4="RESONANCE",IFERROR(IF(INDEX(MASTER!$I$4:$I$1463,MATCH("LEGENDS"&amp;"|"&amp;MAX(1,ROUND(COUNTIFS(MASTER!$B$4:$B$1463,"LEGENDS",MASTER!$I$4:$I$1463,"&lt;&gt;")*$A137*100/100,0)),MASTER!$Y$4:$Y$1463,0))="",NA(),INDEX(MASTER!$I$4:$I$1463,MATCH("LEGENDS"&amp;"|"&amp;MAX(1,ROUND(COUNTIFS(MASTER!$B$4:$B$1463,"LEGENDS",MASTER!$I$4:$I$1463,"&lt;&gt;")*$A137*100/100,0)),MASTER!$Y$4:$Y$1463,0))),NA()),IF($B$4="COMBAT RATING",IFERROR(IF(INDEX(MASTER!$G$4:$G$1463,MATCH("LEGENDS"&amp;"|"&amp;MAX(1,ROUND(COUNTIFS(MASTER!$B$4:$B$1463,"LEGENDS",MASTER!$G$4:$G$1463,"&lt;&gt;")*$A137*100/100,0)),MASTER!$AH$4:$AH$1463,0))="",NA(),INDEX(MASTER!$G$4:$G$1463,MATCH("LEGENDS"&amp;"|"&amp;MAX(1,ROUND(COUNTIFS(MASTER!$B$4:$B$1463,"LEGENDS",MASTER!$G$4:$G$1463,"&lt;&gt;")*$A137*100/100,0)),MASTER!$AH$4:$AH$1463,0))),NA()),IF($B$4="SECONDARY",IFERROR(IF(INDEX(MASTER!$L$4:$L$1463,MATCH("LEGENDS"&amp;"|"&amp;MAX(1,ROUND(COUNTIFS(MASTER!$B$4:$B$1463,"LEGENDS",MASTER!$L$4:$L$1463,"&lt;&gt;")*$A137*100/100,0)),MASTER!$AI$4:$AI$1463,0))="",NA(),INDEX(MASTER!$L$4:$L$1463,MATCH("LEGENDS"&amp;"|"&amp;MAX(1,ROUND(COUNTIFS(MASTER!$B$4:$B$1463,"LEGENDS",MASTER!$L$4:$L$1463,"&lt;&gt;")*$A137*100/100,0)),MASTER!$AI$4:$AI$1463,0))),NA()))))</f>
        <v>3750</v>
      </c>
      <c r="D137" s="37">
        <f>IF($B$4="RESONANCE",IFERROR(IF(INDEX(MASTER!$I$4:$I$1463,MATCH("VANGUARD"&amp;"|"&amp;MAX(1,ROUND(COUNTIFS(MASTER!$B$4:$B$1463,"VANGUARD",MASTER!$I$4:$I$1463,"&lt;&gt;")*$A137*100/100,0)),MASTER!$Y$4:$Y$1463,0))="",NA(),INDEX(MASTER!$I$4:$I$1463,MATCH("VANGUARD"&amp;"|"&amp;MAX(1,ROUND(COUNTIFS(MASTER!$B$4:$B$1463,"VANGUARD",MASTER!$I$4:$I$1463,"&lt;&gt;")*$A137*100/100,0)),MASTER!$Y$4:$Y$1463,0))),NA()),IF($B$4="COMBAT RATING",IFERROR(IF(INDEX(MASTER!$G$4:$G$1463,MATCH("VANGUARD"&amp;"|"&amp;MAX(1,ROUND(COUNTIFS(MASTER!$B$4:$B$1463,"VANGUARD",MASTER!$G$4:$G$1463,"&lt;&gt;")*$A137*100/100,0)),MASTER!$AH$4:$AH$1463,0))="",NA(),INDEX(MASTER!$G$4:$G$1463,MATCH("VANGUARD"&amp;"|"&amp;MAX(1,ROUND(COUNTIFS(MASTER!$B$4:$B$1463,"VANGUARD",MASTER!$G$4:$G$1463,"&lt;&gt;")*$A137*100/100,0)),MASTER!$AH$4:$AH$1463,0))),NA()),IF($B$4="SECONDARY",IFERROR(IF(INDEX(MASTER!$L$4:$L$1463,MATCH("VANGUARD"&amp;"|"&amp;MAX(1,ROUND(COUNTIFS(MASTER!$B$4:$B$1463,"VANGUARD",MASTER!$L$4:$L$1463,"&lt;&gt;")*$A137*100/100,0)),MASTER!$AI$4:$AI$1463,0))="",NA(),INDEX(MASTER!$L$4:$L$1463,MATCH("VANGUARD"&amp;"|"&amp;MAX(1,ROUND(COUNTIFS(MASTER!$B$4:$B$1463,"VANGUARD",MASTER!$L$4:$L$1463,"&lt;&gt;")*$A137*100/100,0)),MASTER!$AI$4:$AI$1463,0))),NA()))))</f>
        <v>4075</v>
      </c>
      <c r="E137" s="37">
        <f>IF($B$4="RESONANCE",IFERROR(IF(INDEX(MASTER!$I$4:$I$1463,MATCH("UNDYING"&amp;"|"&amp;MAX(1,ROUND(COUNTIFS(MASTER!$B$4:$B$1463,"UNDYING",MASTER!$I$4:$I$1463,"&lt;&gt;")*$A137*100/100,0)),MASTER!$Y$4:$Y$1463,0))="",NA(),INDEX(MASTER!$I$4:$I$1463,MATCH("UNDYING"&amp;"|"&amp;MAX(1,ROUND(COUNTIFS(MASTER!$B$4:$B$1463,"UNDYING",MASTER!$I$4:$I$1463,"&lt;&gt;")*$A137*100/100,0)),MASTER!$Y$4:$Y$1463,0))),NA()),IF($B$4="COMBAT RATING",IFERROR(IF(INDEX(MASTER!$G$4:$G$1463,MATCH("UNDYING"&amp;"|"&amp;MAX(1,ROUND(COUNTIFS(MASTER!$B$4:$B$1463,"UNDYING",MASTER!$G$4:$G$1463,"&lt;&gt;")*$A137*100/100,0)),MASTER!$AH$4:$AH$1463,0))="",NA(),INDEX(MASTER!$G$4:$G$1463,MATCH("UNDYING"&amp;"|"&amp;MAX(1,ROUND(COUNTIFS(MASTER!$B$4:$B$1463,"UNDYING",MASTER!$G$4:$G$1463,"&lt;&gt;")*$A137*100/100,0)),MASTER!$AH$4:$AH$1463,0))),NA()),IF($B$4="SECONDARY",IFERROR(IF(INDEX(MASTER!$L$4:$L$1463,MATCH("UNDYING"&amp;"|"&amp;MAX(1,ROUND(COUNTIFS(MASTER!$B$4:$B$1463,"UNDYING",MASTER!$L$4:$L$1463,"&lt;&gt;")*$A137*100/100,0)),MASTER!$AI$4:$AI$1463,0))="",NA(),INDEX(MASTER!$L$4:$L$1463,MATCH("UNDYING"&amp;"|"&amp;MAX(1,ROUND(COUNTIFS(MASTER!$B$4:$B$1463,"UNDYING",MASTER!$L$4:$L$1463,"&lt;&gt;")*$A137*100/100,0)),MASTER!$AI$4:$AI$1463,0))),NA()))))</f>
        <v>3136</v>
      </c>
      <c r="F137" s="37">
        <f>IF($B$4="RESONANCE",IFERROR(IF(INDEX(MASTER!$I$4:$I$1463,MATCH("SBG"&amp;"|"&amp;MAX(1,ROUND(COUNTIFS(MASTER!$B$4:$B$1463,"SBG",MASTER!$I$4:$I$1463,"&lt;&gt;")*$A137*100/100,0)),MASTER!$Y$4:$Y$1463,0))="",NA(),INDEX(MASTER!$I$4:$I$1463,MATCH("SBG"&amp;"|"&amp;MAX(1,ROUND(COUNTIFS(MASTER!$B$4:$B$1463,"SBG",MASTER!$I$4:$I$1463,"&lt;&gt;")*$A137*100/100,0)),MASTER!$Y$4:$Y$1463,0))),NA()),IF($B$4="COMBAT RATING",IFERROR(IF(INDEX(MASTER!$G$4:$G$1463,MATCH("SBG"&amp;"|"&amp;MAX(1,ROUND(COUNTIFS(MASTER!$B$4:$B$1463,"SBG",MASTER!$G$4:$G$1463,"&lt;&gt;")*$A137*100/100,0)),MASTER!$AH$4:$AH$1463,0))="",NA(),INDEX(MASTER!$G$4:$G$1463,MATCH("SBG"&amp;"|"&amp;MAX(1,ROUND(COUNTIFS(MASTER!$B$4:$B$1463,"SBG",MASTER!$G$4:$G$1463,"&lt;&gt;")*$A137*100/100,0)),MASTER!$AH$4:$AH$1463,0))),NA()),IF($B$4="SECONDARY",IFERROR(IF(INDEX(MASTER!$L$4:$L$1463,MATCH("SBG"&amp;"|"&amp;MAX(1,ROUND(COUNTIFS(MASTER!$B$4:$B$1463,"SBG",MASTER!$L$4:$L$1463,"&lt;&gt;")*$A137*100/100,0)),MASTER!$AI$4:$AI$1463,0))="",NA(),INDEX(MASTER!$L$4:$L$1463,MATCH("SBG"&amp;"|"&amp;MAX(1,ROUND(COUNTIFS(MASTER!$B$4:$B$1463,"SBG",MASTER!$L$4:$L$1463,"&lt;&gt;")*$A137*100/100,0)),MASTER!$AI$4:$AI$1463,0))),NA()))))</f>
        <v>3761</v>
      </c>
      <c r="G137" s="37">
        <f>IF($B$4="RESONANCE",IFERROR(IF(INDEX(MASTER!$I$4:$I$1463,MATCH("AZUKI"&amp;"|"&amp;MAX(1,ROUND(COUNTIFS(MASTER!$B$4:$B$1463,"AZUKI",MASTER!$I$4:$I$1463,"&lt;&gt;")*$A137*100/100,0)),MASTER!$Y$4:$Y$1463,0))="",NA(),INDEX(MASTER!$I$4:$I$1463,MATCH("AZUKI"&amp;"|"&amp;MAX(1,ROUND(COUNTIFS(MASTER!$B$4:$B$1463,"AZUKI",MASTER!$I$4:$I$1463,"&lt;&gt;")*$A137*100/100,0)),MASTER!$Y$4:$Y$1463,0))),NA()),IF($B$4="COMBAT RATING",IFERROR(IF(INDEX(MASTER!$G$4:$G$1463,MATCH("AZUKI"&amp;"|"&amp;MAX(1,ROUND(COUNTIFS(MASTER!$B$4:$B$1463,"AZUKI",MASTER!$G$4:$G$1463,"&lt;&gt;")*$A137*100/100,0)),MASTER!$AH$4:$AH$1463,0))="",NA(),INDEX(MASTER!$G$4:$G$1463,MATCH("AZUKI"&amp;"|"&amp;MAX(1,ROUND(COUNTIFS(MASTER!$B$4:$B$1463,"AZUKI",MASTER!$G$4:$G$1463,"&lt;&gt;")*$A137*100/100,0)),MASTER!$AH$4:$AH$1463,0))),NA()),IF($B$4="SECONDARY",IFERROR(IF(INDEX(MASTER!$L$4:$L$1463,MATCH("AZUKI"&amp;"|"&amp;MAX(1,ROUND(COUNTIFS(MASTER!$B$4:$B$1463,"AZUKI",MASTER!$L$4:$L$1463,"&lt;&gt;")*$A137*100/100,0)),MASTER!$AI$4:$AI$1463,0))="",NA(),INDEX(MASTER!$L$4:$L$1463,MATCH("AZUKI"&amp;"|"&amp;MAX(1,ROUND(COUNTIFS(MASTER!$B$4:$B$1463,"AZUKI",MASTER!$L$4:$L$1463,"&lt;&gt;")*$A137*100/100,0)),MASTER!$AI$4:$AI$1463,0))),NA()))))</f>
        <v>3299</v>
      </c>
      <c r="H137" s="37">
        <f>IF($B$4="RESONANCE",IFERROR(IF(INDEX(MASTER!$I$4:$I$1463,MATCH("RECKONING"&amp;"|"&amp;MAX(1,ROUND(COUNTIFS(MASTER!$B$4:$B$1463,"RECKONING",MASTER!$I$4:$I$1463,"&lt;&gt;")*$A137*100/100,0)),MASTER!$Y$4:$Y$1463,0))="",NA(),INDEX(MASTER!$I$4:$I$1463,MATCH("RECKONING"&amp;"|"&amp;MAX(1,ROUND(COUNTIFS(MASTER!$B$4:$B$1463,"RECKONING",MASTER!$I$4:$I$1463,"&lt;&gt;")*$A137*100/100,0)),MASTER!$Y$4:$Y$1463,0))),NA()),IF($B$4="COMBAT RATING",IFERROR(IF(INDEX(MASTER!$G$4:$G$1463,MATCH("RECKONING"&amp;"|"&amp;MAX(1,ROUND(COUNTIFS(MASTER!$B$4:$B$1463,"RECKONING",MASTER!$G$4:$G$1463,"&lt;&gt;")*$A137*100/100,0)),MASTER!$AH$4:$AH$1463,0))="",NA(),INDEX(MASTER!$G$4:$G$1463,MATCH("RECKONING"&amp;"|"&amp;MAX(1,ROUND(COUNTIFS(MASTER!$B$4:$B$1463,"RECKONING",MASTER!$G$4:$G$1463,"&lt;&gt;")*$A137*100/100,0)),MASTER!$AH$4:$AH$1463,0))),NA()),IF($B$4="SECONDARY",IFERROR(IF(INDEX(MASTER!$L$4:$L$1463,MATCH("RECKONING"&amp;"|"&amp;MAX(1,ROUND(COUNTIFS(MASTER!$B$4:$B$1463,"RECKONING",MASTER!$L$4:$L$1463,"&lt;&gt;")*$A137*100/100,0)),MASTER!$AI$4:$AI$1463,0))="",NA(),INDEX(MASTER!$L$4:$L$1463,MATCH("RECKONING"&amp;"|"&amp;MAX(1,ROUND(COUNTIFS(MASTER!$B$4:$B$1463,"RECKONING",MASTER!$L$4:$L$1463,"&lt;&gt;")*$A137*100/100,0)),MASTER!$AI$4:$AI$1463,0))),NA()))))</f>
        <v>3558</v>
      </c>
      <c r="I137" s="37">
        <f>IF($B$4="RESONANCE",IFERROR(IF(INDEX(MASTER!$I$4:$I$1463,MATCH("ACHERON"&amp;"|"&amp;MAX(1,ROUND(COUNTIFS(MASTER!$B$4:$B$1463,"ACHERON",MASTER!$I$4:$I$1463,"&lt;&gt;")*$A137*100/100,0)),MASTER!$Y$4:$Y$1463,0))="",NA(),INDEX(MASTER!$I$4:$I$1463,MATCH("ACHERON"&amp;"|"&amp;MAX(1,ROUND(COUNTIFS(MASTER!$B$4:$B$1463,"ACHERON",MASTER!$I$4:$I$1463,"&lt;&gt;")*$A137*100/100,0)),MASTER!$Y$4:$Y$1463,0))),NA()),IF($B$4="COMBAT RATING",IFERROR(IF(INDEX(MASTER!$G$4:$G$1463,MATCH("ACHERON"&amp;"|"&amp;MAX(1,ROUND(COUNTIFS(MASTER!$B$4:$B$1463,"ACHERON",MASTER!$G$4:$G$1463,"&lt;&gt;")*$A137*100/100,0)),MASTER!$AH$4:$AH$1463,0))="",NA(),INDEX(MASTER!$G$4:$G$1463,MATCH("ACHERON"&amp;"|"&amp;MAX(1,ROUND(COUNTIFS(MASTER!$B$4:$B$1463,"ACHERON",MASTER!$G$4:$G$1463,"&lt;&gt;")*$A137*100/100,0)),MASTER!$AH$4:$AH$1463,0))),NA()),IF($B$4="SECONDARY",IFERROR(IF(INDEX(MASTER!$L$4:$L$1463,MATCH("ACHERON"&amp;"|"&amp;MAX(1,ROUND(COUNTIFS(MASTER!$B$4:$B$1463,"ACHERON",MASTER!$L$4:$L$1463,"&lt;&gt;")*$A137*100/100,0)),MASTER!$AI$4:$AI$1463,0))="",NA(),INDEX(MASTER!$L$4:$L$1463,MATCH("ACHERON"&amp;"|"&amp;MAX(1,ROUND(COUNTIFS(MASTER!$B$4:$B$1463,"ACHERON",MASTER!$L$4:$L$1463,"&lt;&gt;")*$A137*100/100,0)),MASTER!$AI$4:$AI$1463,0))),NA()))))</f>
        <v>2544</v>
      </c>
      <c r="J137" s="37">
        <f>IF($B$4="RESONANCE",IFERROR(IF(INDEX(MASTER!$I$4:$I$1463,MATCH("INVICTUS"&amp;"|"&amp;MAX(1,ROUND(COUNTIFS(MASTER!$B$4:$B$1463,"INVICTUS",MASTER!$I$4:$I$1463,"&lt;&gt;")*$A137*100/100,0)),MASTER!$Y$4:$Y$1463,0))="",NA(),INDEX(MASTER!$I$4:$I$1463,MATCH("INVICTUS"&amp;"|"&amp;MAX(1,ROUND(COUNTIFS(MASTER!$B$4:$B$1463,"INVICTUS",MASTER!$I$4:$I$1463,"&lt;&gt;")*$A137*100/100,0)),MASTER!$Y$4:$Y$1463,0))),NA()),IF($B$4="COMBAT RATING",IFERROR(IF(INDEX(MASTER!$G$4:$G$1463,MATCH("INVICTUS"&amp;"|"&amp;MAX(1,ROUND(COUNTIFS(MASTER!$B$4:$B$1463,"INVICTUS",MASTER!$G$4:$G$1463,"&lt;&gt;")*$A137*100/100,0)),MASTER!$AH$4:$AH$1463,0))="",NA(),INDEX(MASTER!$G$4:$G$1463,MATCH("INVICTUS"&amp;"|"&amp;MAX(1,ROUND(COUNTIFS(MASTER!$B$4:$B$1463,"INVICTUS",MASTER!$G$4:$G$1463,"&lt;&gt;")*$A137*100/100,0)),MASTER!$AH$4:$AH$1463,0))),NA()),IF($B$4="SECONDARY",IFERROR(IF(INDEX(MASTER!$L$4:$L$1463,MATCH("INVICTUS"&amp;"|"&amp;MAX(1,ROUND(COUNTIFS(MASTER!$B$4:$B$1463,"INVICTUS",MASTER!$L$4:$L$1463,"&lt;&gt;")*$A137*100/100,0)),MASTER!$AI$4:$AI$1463,0))="",NA(),INDEX(MASTER!$L$4:$L$1463,MATCH("INVICTUS"&amp;"|"&amp;MAX(1,ROUND(COUNTIFS(MASTER!$B$4:$B$1463,"INVICTUS",MASTER!$L$4:$L$1463,"&lt;&gt;")*$A137*100/100,0)),MASTER!$AI$4:$AI$1463,0))),NA()))))</f>
        <v>2023</v>
      </c>
      <c r="K137" s="37">
        <f>IF($B$4="RESONANCE",IFERROR(IF(INDEX(MASTER!$I$4:$I$1463,MATCH("EMERALD LEAF TRIBE"&amp;"|"&amp;MAX(1,ROUND(COUNTIFS(MASTER!$B$4:$B$1463,"EMERALD LEAF TRIBE",MASTER!$I$4:$I$1463,"&lt;&gt;")*$A137*100/100,0)),MASTER!$Y$4:$Y$1463,0))="",NA(),INDEX(MASTER!$I$4:$I$1463,MATCH("EMERALD LEAF TRIBE"&amp;"|"&amp;MAX(1,ROUND(COUNTIFS(MASTER!$B$4:$B$1463,"EMERALD LEAF TRIBE",MASTER!$I$4:$I$1463,"&lt;&gt;")*$A137*100/100,0)),MASTER!$Y$4:$Y$1463,0))),NA()),IF($B$4="COMBAT RATING",IFERROR(IF(INDEX(MASTER!$G$4:$G$1463,MATCH("EMERALD LEAF TRIBE"&amp;"|"&amp;MAX(1,ROUND(COUNTIFS(MASTER!$B$4:$B$1463,"EMERALD LEAF TRIBE",MASTER!$G$4:$G$1463,"&lt;&gt;")*$A137*100/100,0)),MASTER!$AH$4:$AH$1463,0))="",NA(),INDEX(MASTER!$G$4:$G$1463,MATCH("EMERALD LEAF TRIBE"&amp;"|"&amp;MAX(1,ROUND(COUNTIFS(MASTER!$B$4:$B$1463,"EMERALD LEAF TRIBE",MASTER!$G$4:$G$1463,"&lt;&gt;")*$A137*100/100,0)),MASTER!$AH$4:$AH$1463,0))),NA()),IF($B$4="SECONDARY",IFERROR(IF(INDEX(MASTER!$L$4:$L$1463,MATCH("EMERALD LEAF TRIBE"&amp;"|"&amp;MAX(1,ROUND(COUNTIFS(MASTER!$B$4:$B$1463,"EMERALD LEAF TRIBE",MASTER!$L$4:$L$1463,"&lt;&gt;")*$A137*100/100,0)),MASTER!$AI$4:$AI$1463,0))="",NA(),INDEX(MASTER!$L$4:$L$1463,MATCH("EMERALD LEAF TRIBE"&amp;"|"&amp;MAX(1,ROUND(COUNTIFS(MASTER!$B$4:$B$1463,"EMERALD LEAF TRIBE",MASTER!$L$4:$L$1463,"&lt;&gt;")*$A137*100/100,0)),MASTER!$AI$4:$AI$1463,0))),NA()))))</f>
        <v>1152</v>
      </c>
      <c r="L137" s="37">
        <f>IF($B$4="RESONANCE",IFERROR(IF(INDEX(MASTER!$I$4:$I$1463,MATCH("SUB ROSA"&amp;"|"&amp;MAX(1,ROUND(COUNTIFS(MASTER!$B$4:$B$1463,"SUB ROSA",MASTER!$I$4:$I$1463,"&lt;&gt;")*$A137*100/100,0)),MASTER!$Y$4:$Y$1463,0))="",NA(),INDEX(MASTER!$I$4:$I$1463,MATCH("SUB ROSA"&amp;"|"&amp;MAX(1,ROUND(COUNTIFS(MASTER!$B$4:$B$1463,"SUB ROSA",MASTER!$I$4:$I$1463,"&lt;&gt;")*$A137*100/100,0)),MASTER!$Y$4:$Y$1463,0))),NA()),IF($B$4="COMBAT RATING",IFERROR(IF(INDEX(MASTER!$G$4:$G$1463,MATCH("SUB ROSA"&amp;"|"&amp;MAX(1,ROUND(COUNTIFS(MASTER!$B$4:$B$1463,"SUB ROSA",MASTER!$G$4:$G$1463,"&lt;&gt;")*$A137*100/100,0)),MASTER!$AH$4:$AH$1463,0))="",NA(),INDEX(MASTER!$G$4:$G$1463,MATCH("SUB ROSA"&amp;"|"&amp;MAX(1,ROUND(COUNTIFS(MASTER!$B$4:$B$1463,"SUB ROSA",MASTER!$G$4:$G$1463,"&lt;&gt;")*$A137*100/100,0)),MASTER!$AH$4:$AH$1463,0))),NA()),IF($B$4="SECONDARY",IFERROR(IF(INDEX(MASTER!$L$4:$L$1463,MATCH("SUB ROSA"&amp;"|"&amp;MAX(1,ROUND(COUNTIFS(MASTER!$B$4:$B$1463,"SUB ROSA",MASTER!$L$4:$L$1463,"&lt;&gt;")*$A137*100/100,0)),MASTER!$AI$4:$AI$1463,0))="",NA(),INDEX(MASTER!$L$4:$L$1463,MATCH("SUB ROSA"&amp;"|"&amp;MAX(1,ROUND(COUNTIFS(MASTER!$B$4:$B$1463,"SUB ROSA",MASTER!$L$4:$L$1463,"&lt;&gt;")*$A137*100/100,0)),MASTER!$AI$4:$AI$1463,0))),NA()))))</f>
        <v>1240</v>
      </c>
      <c r="M137" s="37">
        <f>IF($B$4="RESONANCE",IFERROR(IF(INDEX(MASTER!$I$4:$I$1463,MATCH("VENGEANCE"&amp;"|"&amp;MAX(1,ROUND(COUNTIFS(MASTER!$B$4:$B$1463,"VENGEANCE",MASTER!$I$4:$I$1463,"&lt;&gt;")*$A137*100/100,0)),MASTER!$Y$4:$Y$1463,0))="",NA(),INDEX(MASTER!$I$4:$I$1463,MATCH("VENGEANCE"&amp;"|"&amp;MAX(1,ROUND(COUNTIFS(MASTER!$B$4:$B$1463,"VENGEANCE",MASTER!$I$4:$I$1463,"&lt;&gt;")*$A137*100/100,0)),MASTER!$Y$4:$Y$1463,0))),NA()),IF($B$4="COMBAT RATING",IFERROR(IF(INDEX(MASTER!$G$4:$G$1463,MATCH("VENGEANCE"&amp;"|"&amp;MAX(1,ROUND(COUNTIFS(MASTER!$B$4:$B$1463,"VENGEANCE",MASTER!$G$4:$G$1463,"&lt;&gt;")*$A137*100/100,0)),MASTER!$AH$4:$AH$1463,0))="",NA(),INDEX(MASTER!$G$4:$G$1463,MATCH("VENGEANCE"&amp;"|"&amp;MAX(1,ROUND(COUNTIFS(MASTER!$B$4:$B$1463,"VENGEANCE",MASTER!$G$4:$G$1463,"&lt;&gt;")*$A137*100/100,0)),MASTER!$AH$4:$AH$1463,0))),NA()),IF($B$4="SECONDARY",IFERROR(IF(INDEX(MASTER!$L$4:$L$1463,MATCH("VENGEANCE"&amp;"|"&amp;MAX(1,ROUND(COUNTIFS(MASTER!$B$4:$B$1463,"VENGEANCE",MASTER!$L$4:$L$1463,"&lt;&gt;")*$A137*100/100,0)),MASTER!$AI$4:$AI$1463,0))="",NA(),INDEX(MASTER!$L$4:$L$1463,MATCH("VENGEANCE"&amp;"|"&amp;MAX(1,ROUND(COUNTIFS(MASTER!$B$4:$B$1463,"VENGEANCE",MASTER!$L$4:$L$1463,"&lt;&gt;")*$A137*100/100,0)),MASTER!$AI$4:$AI$1463,0))),NA()))))</f>
        <v>2270</v>
      </c>
      <c r="N137" s="37">
        <f>IF($B$4="RESONANCE",IFERROR(IF(INDEX(MASTER!$I$4:$I$1463,MATCH("VENDETTA"&amp;"|"&amp;MAX(1,ROUND(COUNTIFS(MASTER!$B$4:$B$1463,"VENDETTA",MASTER!$I$4:$I$1463,"&lt;&gt;")*$A137*100/100,0)),MASTER!$Y$4:$Y$1463,0))="",NA(),INDEX(MASTER!$I$4:$I$1463,MATCH("VENDETTA"&amp;"|"&amp;MAX(1,ROUND(COUNTIFS(MASTER!$B$4:$B$1463,"VENDETTA",MASTER!$I$4:$I$1463,"&lt;&gt;")*$A137*100/100,0)),MASTER!$Y$4:$Y$1463,0))),NA()),IF($B$4="COMBAT RATING",IFERROR(IF(INDEX(MASTER!$G$4:$G$1463,MATCH("VENDETTA"&amp;"|"&amp;MAX(1,ROUND(COUNTIFS(MASTER!$B$4:$B$1463,"VENDETTA",MASTER!$G$4:$G$1463,"&lt;&gt;")*$A137*100/100,0)),MASTER!$AH$4:$AH$1463,0))="",NA(),INDEX(MASTER!$G$4:$G$1463,MATCH("VENDETTA"&amp;"|"&amp;MAX(1,ROUND(COUNTIFS(MASTER!$B$4:$B$1463,"VENDETTA",MASTER!$G$4:$G$1463,"&lt;&gt;")*$A137*100/100,0)),MASTER!$AH$4:$AH$1463,0))),NA()),IF($B$4="SECONDARY",IFERROR(IF(INDEX(MASTER!$L$4:$L$1463,MATCH("VENDETTA"&amp;"|"&amp;MAX(1,ROUND(COUNTIFS(MASTER!$B$4:$B$1463,"VENDETTA",MASTER!$L$4:$L$1463,"&lt;&gt;")*$A137*100/100,0)),MASTER!$AI$4:$AI$1463,0))="",NA(),INDEX(MASTER!$L$4:$L$1463,MATCH("VENDETTA"&amp;"|"&amp;MAX(1,ROUND(COUNTIFS(MASTER!$B$4:$B$1463,"VENDETTA",MASTER!$L$4:$L$1463,"&lt;&gt;")*$A137*100/100,0)),MASTER!$AI$4:$AI$1463,0))),NA()))))</f>
        <v>1322</v>
      </c>
      <c r="O137" s="37">
        <f>IF($B$4="RESONANCE",IFERROR(IF(INDEX(MASTER!$I$4:$I$1463,MATCH("ZOMBIES"&amp;"|"&amp;MAX(1,ROUND(COUNTIFS(MASTER!$B$4:$B$1463,"ZOMBIES",MASTER!$I$4:$I$1463,"&lt;&gt;")*$A137*100/100,0)),MASTER!$Y$4:$Y$1463,0))="",NA(),INDEX(MASTER!$I$4:$I$1463,MATCH("ZOMBIES"&amp;"|"&amp;MAX(1,ROUND(COUNTIFS(MASTER!$B$4:$B$1463,"ZOMBIES",MASTER!$I$4:$I$1463,"&lt;&gt;")*$A137*100/100,0)),MASTER!$Y$4:$Y$1463,0))),NA()),IF($B$4="COMBAT RATING",IFERROR(IF(INDEX(MASTER!$G$4:$G$1463,MATCH("ZOMBIES"&amp;"|"&amp;MAX(1,ROUND(COUNTIFS(MASTER!$B$4:$B$1463,"ZOMBIES",MASTER!$G$4:$G$1463,"&lt;&gt;")*$A137*100/100,0)),MASTER!$AH$4:$AH$1463,0))="",NA(),INDEX(MASTER!$G$4:$G$1463,MATCH("ZOMBIES"&amp;"|"&amp;MAX(1,ROUND(COUNTIFS(MASTER!$B$4:$B$1463,"ZOMBIES",MASTER!$G$4:$G$1463,"&lt;&gt;")*$A137*100/100,0)),MASTER!$AH$4:$AH$1463,0))),NA()),IF($B$4="SECONDARY",IFERROR(IF(INDEX(MASTER!$L$4:$L$1463,MATCH("ZOMBIES"&amp;"|"&amp;MAX(1,ROUND(COUNTIFS(MASTER!$B$4:$B$1463,"ZOMBIES",MASTER!$L$4:$L$1463,"&lt;&gt;")*$A137*100/100,0)),MASTER!$AI$4:$AI$1463,0))="",NA(),INDEX(MASTER!$L$4:$L$1463,MATCH("ZOMBIES"&amp;"|"&amp;MAX(1,ROUND(COUNTIFS(MASTER!$B$4:$B$1463,"ZOMBIES",MASTER!$L$4:$L$1463,"&lt;&gt;")*$A137*100/100,0)),MASTER!$AI$4:$AI$1463,0))),NA()))))</f>
        <v>1064</v>
      </c>
      <c r="P137" s="37">
        <f>IF($B$4="RESONANCE",IFERROR(IF(INDEX(MASTER!$I$4:$I$1463,MATCH("FUCT"&amp;"|"&amp;MAX(1,ROUND(COUNTIFS(MASTER!$B$4:$B$1463,"FUCT",MASTER!$I$4:$I$1463,"&lt;&gt;")*$A137*100/100,0)),MASTER!$Y$4:$Y$1463,0))="",NA(),INDEX(MASTER!$I$4:$I$1463,MATCH("FUCT"&amp;"|"&amp;MAX(1,ROUND(COUNTIFS(MASTER!$B$4:$B$1463,"FUCT",MASTER!$I$4:$I$1463,"&lt;&gt;")*$A137*100/100,0)),MASTER!$Y$4:$Y$1463,0))),NA()),IF($B$4="COMBAT RATING",IFERROR(IF(INDEX(MASTER!$G$4:$G$1463,MATCH("FUCT"&amp;"|"&amp;MAX(1,ROUND(COUNTIFS(MASTER!$B$4:$B$1463,"FUCT",MASTER!$G$4:$G$1463,"&lt;&gt;")*$A137*100/100,0)),MASTER!$AH$4:$AH$1463,0))="",NA(),INDEX(MASTER!$G$4:$G$1463,MATCH("FUCT"&amp;"|"&amp;MAX(1,ROUND(COUNTIFS(MASTER!$B$4:$B$1463,"FUCT",MASTER!$G$4:$G$1463,"&lt;&gt;")*$A137*100/100,0)),MASTER!$AH$4:$AH$1463,0))),NA()),IF($B$4="SECONDARY",IFERROR(IF(INDEX(MASTER!$L$4:$L$1463,MATCH("FUCT"&amp;"|"&amp;MAX(1,ROUND(COUNTIFS(MASTER!$B$4:$B$1463,"FUCT",MASTER!$L$4:$L$1463,"&lt;&gt;")*$A137*100/100,0)),MASTER!$AI$4:$AI$1463,0))="",NA(),INDEX(MASTER!$L$4:$L$1463,MATCH("FUCT"&amp;"|"&amp;MAX(1,ROUND(COUNTIFS(MASTER!$B$4:$B$1463,"FUCT",MASTER!$L$4:$L$1463,"&lt;&gt;")*$A137*100/100,0)),MASTER!$AI$4:$AI$1463,0))),NA()))))</f>
        <v>3244</v>
      </c>
      <c r="Q137" s="37">
        <f>IF($B$4="RESONANCE",IFERROR(IF(INDEX(MASTER!$I$4:$I$1463,MATCH($E$4&amp;"|"&amp;MAX(1,ROUND(COUNTIFS(MASTER!$B$4:$B$1463,$E$4,MASTER!$I$4:$I$1463,"&lt;&gt;")*$A137*100/100,0)),MASTER!$Y$4:$Y$1463,0))="",NA(),INDEX(MASTER!$I$4:$I$1463,MATCH($E$4&amp;"|"&amp;MAX(1,ROUND(COUNTIFS(MASTER!$B$4:$B$1463,$E$4,MASTER!$I$4:$I$1463,"&lt;&gt;")*$A137*100/100,0)),MASTER!$Y$4:$Y$1463,0))),NA()),IF($B$4="COMBAT RATING",IFERROR(IF(INDEX(MASTER!$G$4:$G$1463,MATCH($E$4&amp;"|"&amp;MAX(1,ROUND(COUNTIFS(MASTER!$B$4:$B$1463,$E$4,MASTER!$G$4:$G$1463,"&lt;&gt;")*$A137*100/100,0)),MASTER!$AH$4:$AH$1463,0))="",NA(),INDEX(MASTER!$G$4:$G$1463,MATCH($E$4&amp;"|"&amp;MAX(1,ROUND(COUNTIFS(MASTER!$B$4:$B$1463,$E$4,MASTER!$G$4:$G$1463,"&lt;&gt;")*$A137*100/100,0)),MASTER!$AH$4:$AH$1463,0))),NA()),IF($B$4="SECONDARY",IFERROR(IF(INDEX(MASTER!$L$4:$L$1463,MATCH($E$4&amp;"|"&amp;MAX(1,ROUND(COUNTIFS(MASTER!$B$4:$B$1463,$E$4,MASTER!$L$4:$L$1463,"&lt;&gt;")*$A137*100/100,0)),MASTER!$AI$4:$AI$1463,0))="",NA(),INDEX(MASTER!$L$4:$L$1463,MATCH($E$4&amp;"|"&amp;MAX(1,ROUND(COUNTIFS(MASTER!$B$4:$B$1463,$E$4,MASTER!$L$4:$L$1463,"&lt;&gt;")*$A137*100/100,0)),MASTER!$AI$4:$AI$1463,0))),NA()))))</f>
        <v>3136</v>
      </c>
    </row>
    <row r="138" spans="1:17" hidden="1">
      <c r="A138" s="36">
        <v>0.83</v>
      </c>
      <c r="B138" s="37">
        <f>IF($B$4="RESONANCE",IFERROR(IF(INDEX(MASTER!$I$4:$I$1463,MATCH("FUCT"&amp;"|"&amp;MAX(1,ROUND(COUNTIFS(MASTER!$B$4:$B$1463,"FUCT",MASTER!$I$4:$I$1463,"&lt;&gt;")*$A138*100/100,0)),MASTER!$Y$4:$Y$1463,0))="",NA(),INDEX(MASTER!$I$4:$I$1463,MATCH("FUCT"&amp;"|"&amp;MAX(1,ROUND(COUNTIFS(MASTER!$B$4:$B$1463,"FUCT",MASTER!$I$4:$I$1463,"&lt;&gt;")*$A138*100/100,0)),MASTER!$Y$4:$Y$1463,0))),NA()),IF($B$4="COMBAT RATING",IFERROR(IF(INDEX(MASTER!$G$4:$G$1463,MATCH("FUCT"&amp;"|"&amp;MAX(1,ROUND(COUNTIFS(MASTER!$B$4:$B$1463,"FUCT",MASTER!$G$4:$G$1463,"&lt;&gt;")*$A138*100/100,0)),MASTER!$AH$4:$AH$1463,0))="",NA(),INDEX(MASTER!$G$4:$G$1463,MATCH("FUCT"&amp;"|"&amp;MAX(1,ROUND(COUNTIFS(MASTER!$B$4:$B$1463,"FUCT",MASTER!$G$4:$G$1463,"&lt;&gt;")*$A138*100/100,0)),MASTER!$AH$4:$AH$1463,0))),NA()),IF($B$4="SECONDARY",IFERROR(IF(INDEX(MASTER!$L$4:$L$1463,MATCH("FUCT"&amp;"|"&amp;MAX(1,ROUND(COUNTIFS(MASTER!$B$4:$B$1463,"FUCT",MASTER!$L$4:$L$1463,"&lt;&gt;")*$A138*100/100,0)),MASTER!$AI$4:$AI$1463,0))="",NA(),INDEX(MASTER!$L$4:$L$1463,MATCH("FUCT"&amp;"|"&amp;MAX(1,ROUND(COUNTIFS(MASTER!$B$4:$B$1463,"FUCT",MASTER!$L$4:$L$1463,"&lt;&gt;")*$A138*100/100,0)),MASTER!$AI$4:$AI$1463,0))),NA()))))</f>
        <v>3235</v>
      </c>
      <c r="C138" s="37">
        <f>IF($B$4="RESONANCE",IFERROR(IF(INDEX(MASTER!$I$4:$I$1463,MATCH("LEGENDS"&amp;"|"&amp;MAX(1,ROUND(COUNTIFS(MASTER!$B$4:$B$1463,"LEGENDS",MASTER!$I$4:$I$1463,"&lt;&gt;")*$A138*100/100,0)),MASTER!$Y$4:$Y$1463,0))="",NA(),INDEX(MASTER!$I$4:$I$1463,MATCH("LEGENDS"&amp;"|"&amp;MAX(1,ROUND(COUNTIFS(MASTER!$B$4:$B$1463,"LEGENDS",MASTER!$I$4:$I$1463,"&lt;&gt;")*$A138*100/100,0)),MASTER!$Y$4:$Y$1463,0))),NA()),IF($B$4="COMBAT RATING",IFERROR(IF(INDEX(MASTER!$G$4:$G$1463,MATCH("LEGENDS"&amp;"|"&amp;MAX(1,ROUND(COUNTIFS(MASTER!$B$4:$B$1463,"LEGENDS",MASTER!$G$4:$G$1463,"&lt;&gt;")*$A138*100/100,0)),MASTER!$AH$4:$AH$1463,0))="",NA(),INDEX(MASTER!$G$4:$G$1463,MATCH("LEGENDS"&amp;"|"&amp;MAX(1,ROUND(COUNTIFS(MASTER!$B$4:$B$1463,"LEGENDS",MASTER!$G$4:$G$1463,"&lt;&gt;")*$A138*100/100,0)),MASTER!$AH$4:$AH$1463,0))),NA()),IF($B$4="SECONDARY",IFERROR(IF(INDEX(MASTER!$L$4:$L$1463,MATCH("LEGENDS"&amp;"|"&amp;MAX(1,ROUND(COUNTIFS(MASTER!$B$4:$B$1463,"LEGENDS",MASTER!$L$4:$L$1463,"&lt;&gt;")*$A138*100/100,0)),MASTER!$AI$4:$AI$1463,0))="",NA(),INDEX(MASTER!$L$4:$L$1463,MATCH("LEGENDS"&amp;"|"&amp;MAX(1,ROUND(COUNTIFS(MASTER!$B$4:$B$1463,"LEGENDS",MASTER!$L$4:$L$1463,"&lt;&gt;")*$A138*100/100,0)),MASTER!$AI$4:$AI$1463,0))),NA()))))</f>
        <v>3646</v>
      </c>
      <c r="D138" s="37">
        <f>IF($B$4="RESONANCE",IFERROR(IF(INDEX(MASTER!$I$4:$I$1463,MATCH("VANGUARD"&amp;"|"&amp;MAX(1,ROUND(COUNTIFS(MASTER!$B$4:$B$1463,"VANGUARD",MASTER!$I$4:$I$1463,"&lt;&gt;")*$A138*100/100,0)),MASTER!$Y$4:$Y$1463,0))="",NA(),INDEX(MASTER!$I$4:$I$1463,MATCH("VANGUARD"&amp;"|"&amp;MAX(1,ROUND(COUNTIFS(MASTER!$B$4:$B$1463,"VANGUARD",MASTER!$I$4:$I$1463,"&lt;&gt;")*$A138*100/100,0)),MASTER!$Y$4:$Y$1463,0))),NA()),IF($B$4="COMBAT RATING",IFERROR(IF(INDEX(MASTER!$G$4:$G$1463,MATCH("VANGUARD"&amp;"|"&amp;MAX(1,ROUND(COUNTIFS(MASTER!$B$4:$B$1463,"VANGUARD",MASTER!$G$4:$G$1463,"&lt;&gt;")*$A138*100/100,0)),MASTER!$AH$4:$AH$1463,0))="",NA(),INDEX(MASTER!$G$4:$G$1463,MATCH("VANGUARD"&amp;"|"&amp;MAX(1,ROUND(COUNTIFS(MASTER!$B$4:$B$1463,"VANGUARD",MASTER!$G$4:$G$1463,"&lt;&gt;")*$A138*100/100,0)),MASTER!$AH$4:$AH$1463,0))),NA()),IF($B$4="SECONDARY",IFERROR(IF(INDEX(MASTER!$L$4:$L$1463,MATCH("VANGUARD"&amp;"|"&amp;MAX(1,ROUND(COUNTIFS(MASTER!$B$4:$B$1463,"VANGUARD",MASTER!$L$4:$L$1463,"&lt;&gt;")*$A138*100/100,0)),MASTER!$AI$4:$AI$1463,0))="",NA(),INDEX(MASTER!$L$4:$L$1463,MATCH("VANGUARD"&amp;"|"&amp;MAX(1,ROUND(COUNTIFS(MASTER!$B$4:$B$1463,"VANGUARD",MASTER!$L$4:$L$1463,"&lt;&gt;")*$A138*100/100,0)),MASTER!$AI$4:$AI$1463,0))),NA()))))</f>
        <v>4048</v>
      </c>
      <c r="E138" s="37">
        <f>IF($B$4="RESONANCE",IFERROR(IF(INDEX(MASTER!$I$4:$I$1463,MATCH("UNDYING"&amp;"|"&amp;MAX(1,ROUND(COUNTIFS(MASTER!$B$4:$B$1463,"UNDYING",MASTER!$I$4:$I$1463,"&lt;&gt;")*$A138*100/100,0)),MASTER!$Y$4:$Y$1463,0))="",NA(),INDEX(MASTER!$I$4:$I$1463,MATCH("UNDYING"&amp;"|"&amp;MAX(1,ROUND(COUNTIFS(MASTER!$B$4:$B$1463,"UNDYING",MASTER!$I$4:$I$1463,"&lt;&gt;")*$A138*100/100,0)),MASTER!$Y$4:$Y$1463,0))),NA()),IF($B$4="COMBAT RATING",IFERROR(IF(INDEX(MASTER!$G$4:$G$1463,MATCH("UNDYING"&amp;"|"&amp;MAX(1,ROUND(COUNTIFS(MASTER!$B$4:$B$1463,"UNDYING",MASTER!$G$4:$G$1463,"&lt;&gt;")*$A138*100/100,0)),MASTER!$AH$4:$AH$1463,0))="",NA(),INDEX(MASTER!$G$4:$G$1463,MATCH("UNDYING"&amp;"|"&amp;MAX(1,ROUND(COUNTIFS(MASTER!$B$4:$B$1463,"UNDYING",MASTER!$G$4:$G$1463,"&lt;&gt;")*$A138*100/100,0)),MASTER!$AH$4:$AH$1463,0))),NA()),IF($B$4="SECONDARY",IFERROR(IF(INDEX(MASTER!$L$4:$L$1463,MATCH("UNDYING"&amp;"|"&amp;MAX(1,ROUND(COUNTIFS(MASTER!$B$4:$B$1463,"UNDYING",MASTER!$L$4:$L$1463,"&lt;&gt;")*$A138*100/100,0)),MASTER!$AI$4:$AI$1463,0))="",NA(),INDEX(MASTER!$L$4:$L$1463,MATCH("UNDYING"&amp;"|"&amp;MAX(1,ROUND(COUNTIFS(MASTER!$B$4:$B$1463,"UNDYING",MASTER!$L$4:$L$1463,"&lt;&gt;")*$A138*100/100,0)),MASTER!$AI$4:$AI$1463,0))),NA()))))</f>
        <v>3012</v>
      </c>
      <c r="F138" s="37">
        <f>IF($B$4="RESONANCE",IFERROR(IF(INDEX(MASTER!$I$4:$I$1463,MATCH("SBG"&amp;"|"&amp;MAX(1,ROUND(COUNTIFS(MASTER!$B$4:$B$1463,"SBG",MASTER!$I$4:$I$1463,"&lt;&gt;")*$A138*100/100,0)),MASTER!$Y$4:$Y$1463,0))="",NA(),INDEX(MASTER!$I$4:$I$1463,MATCH("SBG"&amp;"|"&amp;MAX(1,ROUND(COUNTIFS(MASTER!$B$4:$B$1463,"SBG",MASTER!$I$4:$I$1463,"&lt;&gt;")*$A138*100/100,0)),MASTER!$Y$4:$Y$1463,0))),NA()),IF($B$4="COMBAT RATING",IFERROR(IF(INDEX(MASTER!$G$4:$G$1463,MATCH("SBG"&amp;"|"&amp;MAX(1,ROUND(COUNTIFS(MASTER!$B$4:$B$1463,"SBG",MASTER!$G$4:$G$1463,"&lt;&gt;")*$A138*100/100,0)),MASTER!$AH$4:$AH$1463,0))="",NA(),INDEX(MASTER!$G$4:$G$1463,MATCH("SBG"&amp;"|"&amp;MAX(1,ROUND(COUNTIFS(MASTER!$B$4:$B$1463,"SBG",MASTER!$G$4:$G$1463,"&lt;&gt;")*$A138*100/100,0)),MASTER!$AH$4:$AH$1463,0))),NA()),IF($B$4="SECONDARY",IFERROR(IF(INDEX(MASTER!$L$4:$L$1463,MATCH("SBG"&amp;"|"&amp;MAX(1,ROUND(COUNTIFS(MASTER!$B$4:$B$1463,"SBG",MASTER!$L$4:$L$1463,"&lt;&gt;")*$A138*100/100,0)),MASTER!$AI$4:$AI$1463,0))="",NA(),INDEX(MASTER!$L$4:$L$1463,MATCH("SBG"&amp;"|"&amp;MAX(1,ROUND(COUNTIFS(MASTER!$B$4:$B$1463,"SBG",MASTER!$L$4:$L$1463,"&lt;&gt;")*$A138*100/100,0)),MASTER!$AI$4:$AI$1463,0))),NA()))))</f>
        <v>3761</v>
      </c>
      <c r="G138" s="37">
        <f>IF($B$4="RESONANCE",IFERROR(IF(INDEX(MASTER!$I$4:$I$1463,MATCH("AZUKI"&amp;"|"&amp;MAX(1,ROUND(COUNTIFS(MASTER!$B$4:$B$1463,"AZUKI",MASTER!$I$4:$I$1463,"&lt;&gt;")*$A138*100/100,0)),MASTER!$Y$4:$Y$1463,0))="",NA(),INDEX(MASTER!$I$4:$I$1463,MATCH("AZUKI"&amp;"|"&amp;MAX(1,ROUND(COUNTIFS(MASTER!$B$4:$B$1463,"AZUKI",MASTER!$I$4:$I$1463,"&lt;&gt;")*$A138*100/100,0)),MASTER!$Y$4:$Y$1463,0))),NA()),IF($B$4="COMBAT RATING",IFERROR(IF(INDEX(MASTER!$G$4:$G$1463,MATCH("AZUKI"&amp;"|"&amp;MAX(1,ROUND(COUNTIFS(MASTER!$B$4:$B$1463,"AZUKI",MASTER!$G$4:$G$1463,"&lt;&gt;")*$A138*100/100,0)),MASTER!$AH$4:$AH$1463,0))="",NA(),INDEX(MASTER!$G$4:$G$1463,MATCH("AZUKI"&amp;"|"&amp;MAX(1,ROUND(COUNTIFS(MASTER!$B$4:$B$1463,"AZUKI",MASTER!$G$4:$G$1463,"&lt;&gt;")*$A138*100/100,0)),MASTER!$AH$4:$AH$1463,0))),NA()),IF($B$4="SECONDARY",IFERROR(IF(INDEX(MASTER!$L$4:$L$1463,MATCH("AZUKI"&amp;"|"&amp;MAX(1,ROUND(COUNTIFS(MASTER!$B$4:$B$1463,"AZUKI",MASTER!$L$4:$L$1463,"&lt;&gt;")*$A138*100/100,0)),MASTER!$AI$4:$AI$1463,0))="",NA(),INDEX(MASTER!$L$4:$L$1463,MATCH("AZUKI"&amp;"|"&amp;MAX(1,ROUND(COUNTIFS(MASTER!$B$4:$B$1463,"AZUKI",MASTER!$L$4:$L$1463,"&lt;&gt;")*$A138*100/100,0)),MASTER!$AI$4:$AI$1463,0))),NA()))))</f>
        <v>3292</v>
      </c>
      <c r="H138" s="37">
        <f>IF($B$4="RESONANCE",IFERROR(IF(INDEX(MASTER!$I$4:$I$1463,MATCH("RECKONING"&amp;"|"&amp;MAX(1,ROUND(COUNTIFS(MASTER!$B$4:$B$1463,"RECKONING",MASTER!$I$4:$I$1463,"&lt;&gt;")*$A138*100/100,0)),MASTER!$Y$4:$Y$1463,0))="",NA(),INDEX(MASTER!$I$4:$I$1463,MATCH("RECKONING"&amp;"|"&amp;MAX(1,ROUND(COUNTIFS(MASTER!$B$4:$B$1463,"RECKONING",MASTER!$I$4:$I$1463,"&lt;&gt;")*$A138*100/100,0)),MASTER!$Y$4:$Y$1463,0))),NA()),IF($B$4="COMBAT RATING",IFERROR(IF(INDEX(MASTER!$G$4:$G$1463,MATCH("RECKONING"&amp;"|"&amp;MAX(1,ROUND(COUNTIFS(MASTER!$B$4:$B$1463,"RECKONING",MASTER!$G$4:$G$1463,"&lt;&gt;")*$A138*100/100,0)),MASTER!$AH$4:$AH$1463,0))="",NA(),INDEX(MASTER!$G$4:$G$1463,MATCH("RECKONING"&amp;"|"&amp;MAX(1,ROUND(COUNTIFS(MASTER!$B$4:$B$1463,"RECKONING",MASTER!$G$4:$G$1463,"&lt;&gt;")*$A138*100/100,0)),MASTER!$AH$4:$AH$1463,0))),NA()),IF($B$4="SECONDARY",IFERROR(IF(INDEX(MASTER!$L$4:$L$1463,MATCH("RECKONING"&amp;"|"&amp;MAX(1,ROUND(COUNTIFS(MASTER!$B$4:$B$1463,"RECKONING",MASTER!$L$4:$L$1463,"&lt;&gt;")*$A138*100/100,0)),MASTER!$AI$4:$AI$1463,0))="",NA(),INDEX(MASTER!$L$4:$L$1463,MATCH("RECKONING"&amp;"|"&amp;MAX(1,ROUND(COUNTIFS(MASTER!$B$4:$B$1463,"RECKONING",MASTER!$L$4:$L$1463,"&lt;&gt;")*$A138*100/100,0)),MASTER!$AI$4:$AI$1463,0))),NA()))))</f>
        <v>3408</v>
      </c>
      <c r="I138" s="37">
        <f>IF($B$4="RESONANCE",IFERROR(IF(INDEX(MASTER!$I$4:$I$1463,MATCH("ACHERON"&amp;"|"&amp;MAX(1,ROUND(COUNTIFS(MASTER!$B$4:$B$1463,"ACHERON",MASTER!$I$4:$I$1463,"&lt;&gt;")*$A138*100/100,0)),MASTER!$Y$4:$Y$1463,0))="",NA(),INDEX(MASTER!$I$4:$I$1463,MATCH("ACHERON"&amp;"|"&amp;MAX(1,ROUND(COUNTIFS(MASTER!$B$4:$B$1463,"ACHERON",MASTER!$I$4:$I$1463,"&lt;&gt;")*$A138*100/100,0)),MASTER!$Y$4:$Y$1463,0))),NA()),IF($B$4="COMBAT RATING",IFERROR(IF(INDEX(MASTER!$G$4:$G$1463,MATCH("ACHERON"&amp;"|"&amp;MAX(1,ROUND(COUNTIFS(MASTER!$B$4:$B$1463,"ACHERON",MASTER!$G$4:$G$1463,"&lt;&gt;")*$A138*100/100,0)),MASTER!$AH$4:$AH$1463,0))="",NA(),INDEX(MASTER!$G$4:$G$1463,MATCH("ACHERON"&amp;"|"&amp;MAX(1,ROUND(COUNTIFS(MASTER!$B$4:$B$1463,"ACHERON",MASTER!$G$4:$G$1463,"&lt;&gt;")*$A138*100/100,0)),MASTER!$AH$4:$AH$1463,0))),NA()),IF($B$4="SECONDARY",IFERROR(IF(INDEX(MASTER!$L$4:$L$1463,MATCH("ACHERON"&amp;"|"&amp;MAX(1,ROUND(COUNTIFS(MASTER!$B$4:$B$1463,"ACHERON",MASTER!$L$4:$L$1463,"&lt;&gt;")*$A138*100/100,0)),MASTER!$AI$4:$AI$1463,0))="",NA(),INDEX(MASTER!$L$4:$L$1463,MATCH("ACHERON"&amp;"|"&amp;MAX(1,ROUND(COUNTIFS(MASTER!$B$4:$B$1463,"ACHERON",MASTER!$L$4:$L$1463,"&lt;&gt;")*$A138*100/100,0)),MASTER!$AI$4:$AI$1463,0))),NA()))))</f>
        <v>2536</v>
      </c>
      <c r="J138" s="37">
        <f>IF($B$4="RESONANCE",IFERROR(IF(INDEX(MASTER!$I$4:$I$1463,MATCH("INVICTUS"&amp;"|"&amp;MAX(1,ROUND(COUNTIFS(MASTER!$B$4:$B$1463,"INVICTUS",MASTER!$I$4:$I$1463,"&lt;&gt;")*$A138*100/100,0)),MASTER!$Y$4:$Y$1463,0))="",NA(),INDEX(MASTER!$I$4:$I$1463,MATCH("INVICTUS"&amp;"|"&amp;MAX(1,ROUND(COUNTIFS(MASTER!$B$4:$B$1463,"INVICTUS",MASTER!$I$4:$I$1463,"&lt;&gt;")*$A138*100/100,0)),MASTER!$Y$4:$Y$1463,0))),NA()),IF($B$4="COMBAT RATING",IFERROR(IF(INDEX(MASTER!$G$4:$G$1463,MATCH("INVICTUS"&amp;"|"&amp;MAX(1,ROUND(COUNTIFS(MASTER!$B$4:$B$1463,"INVICTUS",MASTER!$G$4:$G$1463,"&lt;&gt;")*$A138*100/100,0)),MASTER!$AH$4:$AH$1463,0))="",NA(),INDEX(MASTER!$G$4:$G$1463,MATCH("INVICTUS"&amp;"|"&amp;MAX(1,ROUND(COUNTIFS(MASTER!$B$4:$B$1463,"INVICTUS",MASTER!$G$4:$G$1463,"&lt;&gt;")*$A138*100/100,0)),MASTER!$AH$4:$AH$1463,0))),NA()),IF($B$4="SECONDARY",IFERROR(IF(INDEX(MASTER!$L$4:$L$1463,MATCH("INVICTUS"&amp;"|"&amp;MAX(1,ROUND(COUNTIFS(MASTER!$B$4:$B$1463,"INVICTUS",MASTER!$L$4:$L$1463,"&lt;&gt;")*$A138*100/100,0)),MASTER!$AI$4:$AI$1463,0))="",NA(),INDEX(MASTER!$L$4:$L$1463,MATCH("INVICTUS"&amp;"|"&amp;MAX(1,ROUND(COUNTIFS(MASTER!$B$4:$B$1463,"INVICTUS",MASTER!$L$4:$L$1463,"&lt;&gt;")*$A138*100/100,0)),MASTER!$AI$4:$AI$1463,0))),NA()))))</f>
        <v>2017</v>
      </c>
      <c r="K138" s="37">
        <f>IF($B$4="RESONANCE",IFERROR(IF(INDEX(MASTER!$I$4:$I$1463,MATCH("EMERALD LEAF TRIBE"&amp;"|"&amp;MAX(1,ROUND(COUNTIFS(MASTER!$B$4:$B$1463,"EMERALD LEAF TRIBE",MASTER!$I$4:$I$1463,"&lt;&gt;")*$A138*100/100,0)),MASTER!$Y$4:$Y$1463,0))="",NA(),INDEX(MASTER!$I$4:$I$1463,MATCH("EMERALD LEAF TRIBE"&amp;"|"&amp;MAX(1,ROUND(COUNTIFS(MASTER!$B$4:$B$1463,"EMERALD LEAF TRIBE",MASTER!$I$4:$I$1463,"&lt;&gt;")*$A138*100/100,0)),MASTER!$Y$4:$Y$1463,0))),NA()),IF($B$4="COMBAT RATING",IFERROR(IF(INDEX(MASTER!$G$4:$G$1463,MATCH("EMERALD LEAF TRIBE"&amp;"|"&amp;MAX(1,ROUND(COUNTIFS(MASTER!$B$4:$B$1463,"EMERALD LEAF TRIBE",MASTER!$G$4:$G$1463,"&lt;&gt;")*$A138*100/100,0)),MASTER!$AH$4:$AH$1463,0))="",NA(),INDEX(MASTER!$G$4:$G$1463,MATCH("EMERALD LEAF TRIBE"&amp;"|"&amp;MAX(1,ROUND(COUNTIFS(MASTER!$B$4:$B$1463,"EMERALD LEAF TRIBE",MASTER!$G$4:$G$1463,"&lt;&gt;")*$A138*100/100,0)),MASTER!$AH$4:$AH$1463,0))),NA()),IF($B$4="SECONDARY",IFERROR(IF(INDEX(MASTER!$L$4:$L$1463,MATCH("EMERALD LEAF TRIBE"&amp;"|"&amp;MAX(1,ROUND(COUNTIFS(MASTER!$B$4:$B$1463,"EMERALD LEAF TRIBE",MASTER!$L$4:$L$1463,"&lt;&gt;")*$A138*100/100,0)),MASTER!$AI$4:$AI$1463,0))="",NA(),INDEX(MASTER!$L$4:$L$1463,MATCH("EMERALD LEAF TRIBE"&amp;"|"&amp;MAX(1,ROUND(COUNTIFS(MASTER!$B$4:$B$1463,"EMERALD LEAF TRIBE",MASTER!$L$4:$L$1463,"&lt;&gt;")*$A138*100/100,0)),MASTER!$AI$4:$AI$1463,0))),NA()))))</f>
        <v>1050</v>
      </c>
      <c r="L138" s="37">
        <f>IF($B$4="RESONANCE",IFERROR(IF(INDEX(MASTER!$I$4:$I$1463,MATCH("SUB ROSA"&amp;"|"&amp;MAX(1,ROUND(COUNTIFS(MASTER!$B$4:$B$1463,"SUB ROSA",MASTER!$I$4:$I$1463,"&lt;&gt;")*$A138*100/100,0)),MASTER!$Y$4:$Y$1463,0))="",NA(),INDEX(MASTER!$I$4:$I$1463,MATCH("SUB ROSA"&amp;"|"&amp;MAX(1,ROUND(COUNTIFS(MASTER!$B$4:$B$1463,"SUB ROSA",MASTER!$I$4:$I$1463,"&lt;&gt;")*$A138*100/100,0)),MASTER!$Y$4:$Y$1463,0))),NA()),IF($B$4="COMBAT RATING",IFERROR(IF(INDEX(MASTER!$G$4:$G$1463,MATCH("SUB ROSA"&amp;"|"&amp;MAX(1,ROUND(COUNTIFS(MASTER!$B$4:$B$1463,"SUB ROSA",MASTER!$G$4:$G$1463,"&lt;&gt;")*$A138*100/100,0)),MASTER!$AH$4:$AH$1463,0))="",NA(),INDEX(MASTER!$G$4:$G$1463,MATCH("SUB ROSA"&amp;"|"&amp;MAX(1,ROUND(COUNTIFS(MASTER!$B$4:$B$1463,"SUB ROSA",MASTER!$G$4:$G$1463,"&lt;&gt;")*$A138*100/100,0)),MASTER!$AH$4:$AH$1463,0))),NA()),IF($B$4="SECONDARY",IFERROR(IF(INDEX(MASTER!$L$4:$L$1463,MATCH("SUB ROSA"&amp;"|"&amp;MAX(1,ROUND(COUNTIFS(MASTER!$B$4:$B$1463,"SUB ROSA",MASTER!$L$4:$L$1463,"&lt;&gt;")*$A138*100/100,0)),MASTER!$AI$4:$AI$1463,0))="",NA(),INDEX(MASTER!$L$4:$L$1463,MATCH("SUB ROSA"&amp;"|"&amp;MAX(1,ROUND(COUNTIFS(MASTER!$B$4:$B$1463,"SUB ROSA",MASTER!$L$4:$L$1463,"&lt;&gt;")*$A138*100/100,0)),MASTER!$AI$4:$AI$1463,0))),NA()))))</f>
        <v>1240</v>
      </c>
      <c r="M138" s="37">
        <f>IF($B$4="RESONANCE",IFERROR(IF(INDEX(MASTER!$I$4:$I$1463,MATCH("VENGEANCE"&amp;"|"&amp;MAX(1,ROUND(COUNTIFS(MASTER!$B$4:$B$1463,"VENGEANCE",MASTER!$I$4:$I$1463,"&lt;&gt;")*$A138*100/100,0)),MASTER!$Y$4:$Y$1463,0))="",NA(),INDEX(MASTER!$I$4:$I$1463,MATCH("VENGEANCE"&amp;"|"&amp;MAX(1,ROUND(COUNTIFS(MASTER!$B$4:$B$1463,"VENGEANCE",MASTER!$I$4:$I$1463,"&lt;&gt;")*$A138*100/100,0)),MASTER!$Y$4:$Y$1463,0))),NA()),IF($B$4="COMBAT RATING",IFERROR(IF(INDEX(MASTER!$G$4:$G$1463,MATCH("VENGEANCE"&amp;"|"&amp;MAX(1,ROUND(COUNTIFS(MASTER!$B$4:$B$1463,"VENGEANCE",MASTER!$G$4:$G$1463,"&lt;&gt;")*$A138*100/100,0)),MASTER!$AH$4:$AH$1463,0))="",NA(),INDEX(MASTER!$G$4:$G$1463,MATCH("VENGEANCE"&amp;"|"&amp;MAX(1,ROUND(COUNTIFS(MASTER!$B$4:$B$1463,"VENGEANCE",MASTER!$G$4:$G$1463,"&lt;&gt;")*$A138*100/100,0)),MASTER!$AH$4:$AH$1463,0))),NA()),IF($B$4="SECONDARY",IFERROR(IF(INDEX(MASTER!$L$4:$L$1463,MATCH("VENGEANCE"&amp;"|"&amp;MAX(1,ROUND(COUNTIFS(MASTER!$B$4:$B$1463,"VENGEANCE",MASTER!$L$4:$L$1463,"&lt;&gt;")*$A138*100/100,0)),MASTER!$AI$4:$AI$1463,0))="",NA(),INDEX(MASTER!$L$4:$L$1463,MATCH("VENGEANCE"&amp;"|"&amp;MAX(1,ROUND(COUNTIFS(MASTER!$B$4:$B$1463,"VENGEANCE",MASTER!$L$4:$L$1463,"&lt;&gt;")*$A138*100/100,0)),MASTER!$AI$4:$AI$1463,0))),NA()))))</f>
        <v>2219</v>
      </c>
      <c r="N138" s="37">
        <f>IF($B$4="RESONANCE",IFERROR(IF(INDEX(MASTER!$I$4:$I$1463,MATCH("VENDETTA"&amp;"|"&amp;MAX(1,ROUND(COUNTIFS(MASTER!$B$4:$B$1463,"VENDETTA",MASTER!$I$4:$I$1463,"&lt;&gt;")*$A138*100/100,0)),MASTER!$Y$4:$Y$1463,0))="",NA(),INDEX(MASTER!$I$4:$I$1463,MATCH("VENDETTA"&amp;"|"&amp;MAX(1,ROUND(COUNTIFS(MASTER!$B$4:$B$1463,"VENDETTA",MASTER!$I$4:$I$1463,"&lt;&gt;")*$A138*100/100,0)),MASTER!$Y$4:$Y$1463,0))),NA()),IF($B$4="COMBAT RATING",IFERROR(IF(INDEX(MASTER!$G$4:$G$1463,MATCH("VENDETTA"&amp;"|"&amp;MAX(1,ROUND(COUNTIFS(MASTER!$B$4:$B$1463,"VENDETTA",MASTER!$G$4:$G$1463,"&lt;&gt;")*$A138*100/100,0)),MASTER!$AH$4:$AH$1463,0))="",NA(),INDEX(MASTER!$G$4:$G$1463,MATCH("VENDETTA"&amp;"|"&amp;MAX(1,ROUND(COUNTIFS(MASTER!$B$4:$B$1463,"VENDETTA",MASTER!$G$4:$G$1463,"&lt;&gt;")*$A138*100/100,0)),MASTER!$AH$4:$AH$1463,0))),NA()),IF($B$4="SECONDARY",IFERROR(IF(INDEX(MASTER!$L$4:$L$1463,MATCH("VENDETTA"&amp;"|"&amp;MAX(1,ROUND(COUNTIFS(MASTER!$B$4:$B$1463,"VENDETTA",MASTER!$L$4:$L$1463,"&lt;&gt;")*$A138*100/100,0)),MASTER!$AI$4:$AI$1463,0))="",NA(),INDEX(MASTER!$L$4:$L$1463,MATCH("VENDETTA"&amp;"|"&amp;MAX(1,ROUND(COUNTIFS(MASTER!$B$4:$B$1463,"VENDETTA",MASTER!$L$4:$L$1463,"&lt;&gt;")*$A138*100/100,0)),MASTER!$AI$4:$AI$1463,0))),NA()))))</f>
        <v>1310</v>
      </c>
      <c r="O138" s="37">
        <f>IF($B$4="RESONANCE",IFERROR(IF(INDEX(MASTER!$I$4:$I$1463,MATCH("ZOMBIES"&amp;"|"&amp;MAX(1,ROUND(COUNTIFS(MASTER!$B$4:$B$1463,"ZOMBIES",MASTER!$I$4:$I$1463,"&lt;&gt;")*$A138*100/100,0)),MASTER!$Y$4:$Y$1463,0))="",NA(),INDEX(MASTER!$I$4:$I$1463,MATCH("ZOMBIES"&amp;"|"&amp;MAX(1,ROUND(COUNTIFS(MASTER!$B$4:$B$1463,"ZOMBIES",MASTER!$I$4:$I$1463,"&lt;&gt;")*$A138*100/100,0)),MASTER!$Y$4:$Y$1463,0))),NA()),IF($B$4="COMBAT RATING",IFERROR(IF(INDEX(MASTER!$G$4:$G$1463,MATCH("ZOMBIES"&amp;"|"&amp;MAX(1,ROUND(COUNTIFS(MASTER!$B$4:$B$1463,"ZOMBIES",MASTER!$G$4:$G$1463,"&lt;&gt;")*$A138*100/100,0)),MASTER!$AH$4:$AH$1463,0))="",NA(),INDEX(MASTER!$G$4:$G$1463,MATCH("ZOMBIES"&amp;"|"&amp;MAX(1,ROUND(COUNTIFS(MASTER!$B$4:$B$1463,"ZOMBIES",MASTER!$G$4:$G$1463,"&lt;&gt;")*$A138*100/100,0)),MASTER!$AH$4:$AH$1463,0))),NA()),IF($B$4="SECONDARY",IFERROR(IF(INDEX(MASTER!$L$4:$L$1463,MATCH("ZOMBIES"&amp;"|"&amp;MAX(1,ROUND(COUNTIFS(MASTER!$B$4:$B$1463,"ZOMBIES",MASTER!$L$4:$L$1463,"&lt;&gt;")*$A138*100/100,0)),MASTER!$AI$4:$AI$1463,0))="",NA(),INDEX(MASTER!$L$4:$L$1463,MATCH("ZOMBIES"&amp;"|"&amp;MAX(1,ROUND(COUNTIFS(MASTER!$B$4:$B$1463,"ZOMBIES",MASTER!$L$4:$L$1463,"&lt;&gt;")*$A138*100/100,0)),MASTER!$AI$4:$AI$1463,0))),NA()))))</f>
        <v>1060</v>
      </c>
      <c r="P138" s="37">
        <f>IF($B$4="RESONANCE",IFERROR(IF(INDEX(MASTER!$I$4:$I$1463,MATCH("FUCT"&amp;"|"&amp;MAX(1,ROUND(COUNTIFS(MASTER!$B$4:$B$1463,"FUCT",MASTER!$I$4:$I$1463,"&lt;&gt;")*$A138*100/100,0)),MASTER!$Y$4:$Y$1463,0))="",NA(),INDEX(MASTER!$I$4:$I$1463,MATCH("FUCT"&amp;"|"&amp;MAX(1,ROUND(COUNTIFS(MASTER!$B$4:$B$1463,"FUCT",MASTER!$I$4:$I$1463,"&lt;&gt;")*$A138*100/100,0)),MASTER!$Y$4:$Y$1463,0))),NA()),IF($B$4="COMBAT RATING",IFERROR(IF(INDEX(MASTER!$G$4:$G$1463,MATCH("FUCT"&amp;"|"&amp;MAX(1,ROUND(COUNTIFS(MASTER!$B$4:$B$1463,"FUCT",MASTER!$G$4:$G$1463,"&lt;&gt;")*$A138*100/100,0)),MASTER!$AH$4:$AH$1463,0))="",NA(),INDEX(MASTER!$G$4:$G$1463,MATCH("FUCT"&amp;"|"&amp;MAX(1,ROUND(COUNTIFS(MASTER!$B$4:$B$1463,"FUCT",MASTER!$G$4:$G$1463,"&lt;&gt;")*$A138*100/100,0)),MASTER!$AH$4:$AH$1463,0))),NA()),IF($B$4="SECONDARY",IFERROR(IF(INDEX(MASTER!$L$4:$L$1463,MATCH("FUCT"&amp;"|"&amp;MAX(1,ROUND(COUNTIFS(MASTER!$B$4:$B$1463,"FUCT",MASTER!$L$4:$L$1463,"&lt;&gt;")*$A138*100/100,0)),MASTER!$AI$4:$AI$1463,0))="",NA(),INDEX(MASTER!$L$4:$L$1463,MATCH("FUCT"&amp;"|"&amp;MAX(1,ROUND(COUNTIFS(MASTER!$B$4:$B$1463,"FUCT",MASTER!$L$4:$L$1463,"&lt;&gt;")*$A138*100/100,0)),MASTER!$AI$4:$AI$1463,0))),NA()))))</f>
        <v>3235</v>
      </c>
      <c r="Q138" s="37">
        <f>IF($B$4="RESONANCE",IFERROR(IF(INDEX(MASTER!$I$4:$I$1463,MATCH($E$4&amp;"|"&amp;MAX(1,ROUND(COUNTIFS(MASTER!$B$4:$B$1463,$E$4,MASTER!$I$4:$I$1463,"&lt;&gt;")*$A138*100/100,0)),MASTER!$Y$4:$Y$1463,0))="",NA(),INDEX(MASTER!$I$4:$I$1463,MATCH($E$4&amp;"|"&amp;MAX(1,ROUND(COUNTIFS(MASTER!$B$4:$B$1463,$E$4,MASTER!$I$4:$I$1463,"&lt;&gt;")*$A138*100/100,0)),MASTER!$Y$4:$Y$1463,0))),NA()),IF($B$4="COMBAT RATING",IFERROR(IF(INDEX(MASTER!$G$4:$G$1463,MATCH($E$4&amp;"|"&amp;MAX(1,ROUND(COUNTIFS(MASTER!$B$4:$B$1463,$E$4,MASTER!$G$4:$G$1463,"&lt;&gt;")*$A138*100/100,0)),MASTER!$AH$4:$AH$1463,0))="",NA(),INDEX(MASTER!$G$4:$G$1463,MATCH($E$4&amp;"|"&amp;MAX(1,ROUND(COUNTIFS(MASTER!$B$4:$B$1463,$E$4,MASTER!$G$4:$G$1463,"&lt;&gt;")*$A138*100/100,0)),MASTER!$AH$4:$AH$1463,0))),NA()),IF($B$4="SECONDARY",IFERROR(IF(INDEX(MASTER!$L$4:$L$1463,MATCH($E$4&amp;"|"&amp;MAX(1,ROUND(COUNTIFS(MASTER!$B$4:$B$1463,$E$4,MASTER!$L$4:$L$1463,"&lt;&gt;")*$A138*100/100,0)),MASTER!$AI$4:$AI$1463,0))="",NA(),INDEX(MASTER!$L$4:$L$1463,MATCH($E$4&amp;"|"&amp;MAX(1,ROUND(COUNTIFS(MASTER!$B$4:$B$1463,$E$4,MASTER!$L$4:$L$1463,"&lt;&gt;")*$A138*100/100,0)),MASTER!$AI$4:$AI$1463,0))),NA()))))</f>
        <v>3012</v>
      </c>
    </row>
    <row r="139" spans="1:17" hidden="1">
      <c r="A139" s="36">
        <v>0.84</v>
      </c>
      <c r="B139" s="37">
        <f>IF($B$4="RESONANCE",IFERROR(IF(INDEX(MASTER!$I$4:$I$1463,MATCH("FUCT"&amp;"|"&amp;MAX(1,ROUND(COUNTIFS(MASTER!$B$4:$B$1463,"FUCT",MASTER!$I$4:$I$1463,"&lt;&gt;")*$A139*100/100,0)),MASTER!$Y$4:$Y$1463,0))="",NA(),INDEX(MASTER!$I$4:$I$1463,MATCH("FUCT"&amp;"|"&amp;MAX(1,ROUND(COUNTIFS(MASTER!$B$4:$B$1463,"FUCT",MASTER!$I$4:$I$1463,"&lt;&gt;")*$A139*100/100,0)),MASTER!$Y$4:$Y$1463,0))),NA()),IF($B$4="COMBAT RATING",IFERROR(IF(INDEX(MASTER!$G$4:$G$1463,MATCH("FUCT"&amp;"|"&amp;MAX(1,ROUND(COUNTIFS(MASTER!$B$4:$B$1463,"FUCT",MASTER!$G$4:$G$1463,"&lt;&gt;")*$A139*100/100,0)),MASTER!$AH$4:$AH$1463,0))="",NA(),INDEX(MASTER!$G$4:$G$1463,MATCH("FUCT"&amp;"|"&amp;MAX(1,ROUND(COUNTIFS(MASTER!$B$4:$B$1463,"FUCT",MASTER!$G$4:$G$1463,"&lt;&gt;")*$A139*100/100,0)),MASTER!$AH$4:$AH$1463,0))),NA()),IF($B$4="SECONDARY",IFERROR(IF(INDEX(MASTER!$L$4:$L$1463,MATCH("FUCT"&amp;"|"&amp;MAX(1,ROUND(COUNTIFS(MASTER!$B$4:$B$1463,"FUCT",MASTER!$L$4:$L$1463,"&lt;&gt;")*$A139*100/100,0)),MASTER!$AI$4:$AI$1463,0))="",NA(),INDEX(MASTER!$L$4:$L$1463,MATCH("FUCT"&amp;"|"&amp;MAX(1,ROUND(COUNTIFS(MASTER!$B$4:$B$1463,"FUCT",MASTER!$L$4:$L$1463,"&lt;&gt;")*$A139*100/100,0)),MASTER!$AI$4:$AI$1463,0))),NA()))))</f>
        <v>3227</v>
      </c>
      <c r="C139" s="37">
        <f>IF($B$4="RESONANCE",IFERROR(IF(INDEX(MASTER!$I$4:$I$1463,MATCH("LEGENDS"&amp;"|"&amp;MAX(1,ROUND(COUNTIFS(MASTER!$B$4:$B$1463,"LEGENDS",MASTER!$I$4:$I$1463,"&lt;&gt;")*$A139*100/100,0)),MASTER!$Y$4:$Y$1463,0))="",NA(),INDEX(MASTER!$I$4:$I$1463,MATCH("LEGENDS"&amp;"|"&amp;MAX(1,ROUND(COUNTIFS(MASTER!$B$4:$B$1463,"LEGENDS",MASTER!$I$4:$I$1463,"&lt;&gt;")*$A139*100/100,0)),MASTER!$Y$4:$Y$1463,0))),NA()),IF($B$4="COMBAT RATING",IFERROR(IF(INDEX(MASTER!$G$4:$G$1463,MATCH("LEGENDS"&amp;"|"&amp;MAX(1,ROUND(COUNTIFS(MASTER!$B$4:$B$1463,"LEGENDS",MASTER!$G$4:$G$1463,"&lt;&gt;")*$A139*100/100,0)),MASTER!$AH$4:$AH$1463,0))="",NA(),INDEX(MASTER!$G$4:$G$1463,MATCH("LEGENDS"&amp;"|"&amp;MAX(1,ROUND(COUNTIFS(MASTER!$B$4:$B$1463,"LEGENDS",MASTER!$G$4:$G$1463,"&lt;&gt;")*$A139*100/100,0)),MASTER!$AH$4:$AH$1463,0))),NA()),IF($B$4="SECONDARY",IFERROR(IF(INDEX(MASTER!$L$4:$L$1463,MATCH("LEGENDS"&amp;"|"&amp;MAX(1,ROUND(COUNTIFS(MASTER!$B$4:$B$1463,"LEGENDS",MASTER!$L$4:$L$1463,"&lt;&gt;")*$A139*100/100,0)),MASTER!$AI$4:$AI$1463,0))="",NA(),INDEX(MASTER!$L$4:$L$1463,MATCH("LEGENDS"&amp;"|"&amp;MAX(1,ROUND(COUNTIFS(MASTER!$B$4:$B$1463,"LEGENDS",MASTER!$L$4:$L$1463,"&lt;&gt;")*$A139*100/100,0)),MASTER!$AI$4:$AI$1463,0))),NA()))))</f>
        <v>3646</v>
      </c>
      <c r="D139" s="37">
        <f>IF($B$4="RESONANCE",IFERROR(IF(INDEX(MASTER!$I$4:$I$1463,MATCH("VANGUARD"&amp;"|"&amp;MAX(1,ROUND(COUNTIFS(MASTER!$B$4:$B$1463,"VANGUARD",MASTER!$I$4:$I$1463,"&lt;&gt;")*$A139*100/100,0)),MASTER!$Y$4:$Y$1463,0))="",NA(),INDEX(MASTER!$I$4:$I$1463,MATCH("VANGUARD"&amp;"|"&amp;MAX(1,ROUND(COUNTIFS(MASTER!$B$4:$B$1463,"VANGUARD",MASTER!$I$4:$I$1463,"&lt;&gt;")*$A139*100/100,0)),MASTER!$Y$4:$Y$1463,0))),NA()),IF($B$4="COMBAT RATING",IFERROR(IF(INDEX(MASTER!$G$4:$G$1463,MATCH("VANGUARD"&amp;"|"&amp;MAX(1,ROUND(COUNTIFS(MASTER!$B$4:$B$1463,"VANGUARD",MASTER!$G$4:$G$1463,"&lt;&gt;")*$A139*100/100,0)),MASTER!$AH$4:$AH$1463,0))="",NA(),INDEX(MASTER!$G$4:$G$1463,MATCH("VANGUARD"&amp;"|"&amp;MAX(1,ROUND(COUNTIFS(MASTER!$B$4:$B$1463,"VANGUARD",MASTER!$G$4:$G$1463,"&lt;&gt;")*$A139*100/100,0)),MASTER!$AH$4:$AH$1463,0))),NA()),IF($B$4="SECONDARY",IFERROR(IF(INDEX(MASTER!$L$4:$L$1463,MATCH("VANGUARD"&amp;"|"&amp;MAX(1,ROUND(COUNTIFS(MASTER!$B$4:$B$1463,"VANGUARD",MASTER!$L$4:$L$1463,"&lt;&gt;")*$A139*100/100,0)),MASTER!$AI$4:$AI$1463,0))="",NA(),INDEX(MASTER!$L$4:$L$1463,MATCH("VANGUARD"&amp;"|"&amp;MAX(1,ROUND(COUNTIFS(MASTER!$B$4:$B$1463,"VANGUARD",MASTER!$L$4:$L$1463,"&lt;&gt;")*$A139*100/100,0)),MASTER!$AI$4:$AI$1463,0))),NA()))))</f>
        <v>3902</v>
      </c>
      <c r="E139" s="37">
        <f>IF($B$4="RESONANCE",IFERROR(IF(INDEX(MASTER!$I$4:$I$1463,MATCH("UNDYING"&amp;"|"&amp;MAX(1,ROUND(COUNTIFS(MASTER!$B$4:$B$1463,"UNDYING",MASTER!$I$4:$I$1463,"&lt;&gt;")*$A139*100/100,0)),MASTER!$Y$4:$Y$1463,0))="",NA(),INDEX(MASTER!$I$4:$I$1463,MATCH("UNDYING"&amp;"|"&amp;MAX(1,ROUND(COUNTIFS(MASTER!$B$4:$B$1463,"UNDYING",MASTER!$I$4:$I$1463,"&lt;&gt;")*$A139*100/100,0)),MASTER!$Y$4:$Y$1463,0))),NA()),IF($B$4="COMBAT RATING",IFERROR(IF(INDEX(MASTER!$G$4:$G$1463,MATCH("UNDYING"&amp;"|"&amp;MAX(1,ROUND(COUNTIFS(MASTER!$B$4:$B$1463,"UNDYING",MASTER!$G$4:$G$1463,"&lt;&gt;")*$A139*100/100,0)),MASTER!$AH$4:$AH$1463,0))="",NA(),INDEX(MASTER!$G$4:$G$1463,MATCH("UNDYING"&amp;"|"&amp;MAX(1,ROUND(COUNTIFS(MASTER!$B$4:$B$1463,"UNDYING",MASTER!$G$4:$G$1463,"&lt;&gt;")*$A139*100/100,0)),MASTER!$AH$4:$AH$1463,0))),NA()),IF($B$4="SECONDARY",IFERROR(IF(INDEX(MASTER!$L$4:$L$1463,MATCH("UNDYING"&amp;"|"&amp;MAX(1,ROUND(COUNTIFS(MASTER!$B$4:$B$1463,"UNDYING",MASTER!$L$4:$L$1463,"&lt;&gt;")*$A139*100/100,0)),MASTER!$AI$4:$AI$1463,0))="",NA(),INDEX(MASTER!$L$4:$L$1463,MATCH("UNDYING"&amp;"|"&amp;MAX(1,ROUND(COUNTIFS(MASTER!$B$4:$B$1463,"UNDYING",MASTER!$L$4:$L$1463,"&lt;&gt;")*$A139*100/100,0)),MASTER!$AI$4:$AI$1463,0))),NA()))))</f>
        <v>3002</v>
      </c>
      <c r="F139" s="37">
        <f>IF($B$4="RESONANCE",IFERROR(IF(INDEX(MASTER!$I$4:$I$1463,MATCH("SBG"&amp;"|"&amp;MAX(1,ROUND(COUNTIFS(MASTER!$B$4:$B$1463,"SBG",MASTER!$I$4:$I$1463,"&lt;&gt;")*$A139*100/100,0)),MASTER!$Y$4:$Y$1463,0))="",NA(),INDEX(MASTER!$I$4:$I$1463,MATCH("SBG"&amp;"|"&amp;MAX(1,ROUND(COUNTIFS(MASTER!$B$4:$B$1463,"SBG",MASTER!$I$4:$I$1463,"&lt;&gt;")*$A139*100/100,0)),MASTER!$Y$4:$Y$1463,0))),NA()),IF($B$4="COMBAT RATING",IFERROR(IF(INDEX(MASTER!$G$4:$G$1463,MATCH("SBG"&amp;"|"&amp;MAX(1,ROUND(COUNTIFS(MASTER!$B$4:$B$1463,"SBG",MASTER!$G$4:$G$1463,"&lt;&gt;")*$A139*100/100,0)),MASTER!$AH$4:$AH$1463,0))="",NA(),INDEX(MASTER!$G$4:$G$1463,MATCH("SBG"&amp;"|"&amp;MAX(1,ROUND(COUNTIFS(MASTER!$B$4:$B$1463,"SBG",MASTER!$G$4:$G$1463,"&lt;&gt;")*$A139*100/100,0)),MASTER!$AH$4:$AH$1463,0))),NA()),IF($B$4="SECONDARY",IFERROR(IF(INDEX(MASTER!$L$4:$L$1463,MATCH("SBG"&amp;"|"&amp;MAX(1,ROUND(COUNTIFS(MASTER!$B$4:$B$1463,"SBG",MASTER!$L$4:$L$1463,"&lt;&gt;")*$A139*100/100,0)),MASTER!$AI$4:$AI$1463,0))="",NA(),INDEX(MASTER!$L$4:$L$1463,MATCH("SBG"&amp;"|"&amp;MAX(1,ROUND(COUNTIFS(MASTER!$B$4:$B$1463,"SBG",MASTER!$L$4:$L$1463,"&lt;&gt;")*$A139*100/100,0)),MASTER!$AI$4:$AI$1463,0))),NA()))))</f>
        <v>3761</v>
      </c>
      <c r="G139" s="37">
        <f>IF($B$4="RESONANCE",IFERROR(IF(INDEX(MASTER!$I$4:$I$1463,MATCH("AZUKI"&amp;"|"&amp;MAX(1,ROUND(COUNTIFS(MASTER!$B$4:$B$1463,"AZUKI",MASTER!$I$4:$I$1463,"&lt;&gt;")*$A139*100/100,0)),MASTER!$Y$4:$Y$1463,0))="",NA(),INDEX(MASTER!$I$4:$I$1463,MATCH("AZUKI"&amp;"|"&amp;MAX(1,ROUND(COUNTIFS(MASTER!$B$4:$B$1463,"AZUKI",MASTER!$I$4:$I$1463,"&lt;&gt;")*$A139*100/100,0)),MASTER!$Y$4:$Y$1463,0))),NA()),IF($B$4="COMBAT RATING",IFERROR(IF(INDEX(MASTER!$G$4:$G$1463,MATCH("AZUKI"&amp;"|"&amp;MAX(1,ROUND(COUNTIFS(MASTER!$B$4:$B$1463,"AZUKI",MASTER!$G$4:$G$1463,"&lt;&gt;")*$A139*100/100,0)),MASTER!$AH$4:$AH$1463,0))="",NA(),INDEX(MASTER!$G$4:$G$1463,MATCH("AZUKI"&amp;"|"&amp;MAX(1,ROUND(COUNTIFS(MASTER!$B$4:$B$1463,"AZUKI",MASTER!$G$4:$G$1463,"&lt;&gt;")*$A139*100/100,0)),MASTER!$AH$4:$AH$1463,0))),NA()),IF($B$4="SECONDARY",IFERROR(IF(INDEX(MASTER!$L$4:$L$1463,MATCH("AZUKI"&amp;"|"&amp;MAX(1,ROUND(COUNTIFS(MASTER!$B$4:$B$1463,"AZUKI",MASTER!$L$4:$L$1463,"&lt;&gt;")*$A139*100/100,0)),MASTER!$AI$4:$AI$1463,0))="",NA(),INDEX(MASTER!$L$4:$L$1463,MATCH("AZUKI"&amp;"|"&amp;MAX(1,ROUND(COUNTIFS(MASTER!$B$4:$B$1463,"AZUKI",MASTER!$L$4:$L$1463,"&lt;&gt;")*$A139*100/100,0)),MASTER!$AI$4:$AI$1463,0))),NA()))))</f>
        <v>3205</v>
      </c>
      <c r="H139" s="37">
        <f>IF($B$4="RESONANCE",IFERROR(IF(INDEX(MASTER!$I$4:$I$1463,MATCH("RECKONING"&amp;"|"&amp;MAX(1,ROUND(COUNTIFS(MASTER!$B$4:$B$1463,"RECKONING",MASTER!$I$4:$I$1463,"&lt;&gt;")*$A139*100/100,0)),MASTER!$Y$4:$Y$1463,0))="",NA(),INDEX(MASTER!$I$4:$I$1463,MATCH("RECKONING"&amp;"|"&amp;MAX(1,ROUND(COUNTIFS(MASTER!$B$4:$B$1463,"RECKONING",MASTER!$I$4:$I$1463,"&lt;&gt;")*$A139*100/100,0)),MASTER!$Y$4:$Y$1463,0))),NA()),IF($B$4="COMBAT RATING",IFERROR(IF(INDEX(MASTER!$G$4:$G$1463,MATCH("RECKONING"&amp;"|"&amp;MAX(1,ROUND(COUNTIFS(MASTER!$B$4:$B$1463,"RECKONING",MASTER!$G$4:$G$1463,"&lt;&gt;")*$A139*100/100,0)),MASTER!$AH$4:$AH$1463,0))="",NA(),INDEX(MASTER!$G$4:$G$1463,MATCH("RECKONING"&amp;"|"&amp;MAX(1,ROUND(COUNTIFS(MASTER!$B$4:$B$1463,"RECKONING",MASTER!$G$4:$G$1463,"&lt;&gt;")*$A139*100/100,0)),MASTER!$AH$4:$AH$1463,0))),NA()),IF($B$4="SECONDARY",IFERROR(IF(INDEX(MASTER!$L$4:$L$1463,MATCH("RECKONING"&amp;"|"&amp;MAX(1,ROUND(COUNTIFS(MASTER!$B$4:$B$1463,"RECKONING",MASTER!$L$4:$L$1463,"&lt;&gt;")*$A139*100/100,0)),MASTER!$AI$4:$AI$1463,0))="",NA(),INDEX(MASTER!$L$4:$L$1463,MATCH("RECKONING"&amp;"|"&amp;MAX(1,ROUND(COUNTIFS(MASTER!$B$4:$B$1463,"RECKONING",MASTER!$L$4:$L$1463,"&lt;&gt;")*$A139*100/100,0)),MASTER!$AI$4:$AI$1463,0))),NA()))))</f>
        <v>3408</v>
      </c>
      <c r="I139" s="37">
        <f>IF($B$4="RESONANCE",IFERROR(IF(INDEX(MASTER!$I$4:$I$1463,MATCH("ACHERON"&amp;"|"&amp;MAX(1,ROUND(COUNTIFS(MASTER!$B$4:$B$1463,"ACHERON",MASTER!$I$4:$I$1463,"&lt;&gt;")*$A139*100/100,0)),MASTER!$Y$4:$Y$1463,0))="",NA(),INDEX(MASTER!$I$4:$I$1463,MATCH("ACHERON"&amp;"|"&amp;MAX(1,ROUND(COUNTIFS(MASTER!$B$4:$B$1463,"ACHERON",MASTER!$I$4:$I$1463,"&lt;&gt;")*$A139*100/100,0)),MASTER!$Y$4:$Y$1463,0))),NA()),IF($B$4="COMBAT RATING",IFERROR(IF(INDEX(MASTER!$G$4:$G$1463,MATCH("ACHERON"&amp;"|"&amp;MAX(1,ROUND(COUNTIFS(MASTER!$B$4:$B$1463,"ACHERON",MASTER!$G$4:$G$1463,"&lt;&gt;")*$A139*100/100,0)),MASTER!$AH$4:$AH$1463,0))="",NA(),INDEX(MASTER!$G$4:$G$1463,MATCH("ACHERON"&amp;"|"&amp;MAX(1,ROUND(COUNTIFS(MASTER!$B$4:$B$1463,"ACHERON",MASTER!$G$4:$G$1463,"&lt;&gt;")*$A139*100/100,0)),MASTER!$AH$4:$AH$1463,0))),NA()),IF($B$4="SECONDARY",IFERROR(IF(INDEX(MASTER!$L$4:$L$1463,MATCH("ACHERON"&amp;"|"&amp;MAX(1,ROUND(COUNTIFS(MASTER!$B$4:$B$1463,"ACHERON",MASTER!$L$4:$L$1463,"&lt;&gt;")*$A139*100/100,0)),MASTER!$AI$4:$AI$1463,0))="",NA(),INDEX(MASTER!$L$4:$L$1463,MATCH("ACHERON"&amp;"|"&amp;MAX(1,ROUND(COUNTIFS(MASTER!$B$4:$B$1463,"ACHERON",MASTER!$L$4:$L$1463,"&lt;&gt;")*$A139*100/100,0)),MASTER!$AI$4:$AI$1463,0))),NA()))))</f>
        <v>2426</v>
      </c>
      <c r="J139" s="37">
        <f>IF($B$4="RESONANCE",IFERROR(IF(INDEX(MASTER!$I$4:$I$1463,MATCH("INVICTUS"&amp;"|"&amp;MAX(1,ROUND(COUNTIFS(MASTER!$B$4:$B$1463,"INVICTUS",MASTER!$I$4:$I$1463,"&lt;&gt;")*$A139*100/100,0)),MASTER!$Y$4:$Y$1463,0))="",NA(),INDEX(MASTER!$I$4:$I$1463,MATCH("INVICTUS"&amp;"|"&amp;MAX(1,ROUND(COUNTIFS(MASTER!$B$4:$B$1463,"INVICTUS",MASTER!$I$4:$I$1463,"&lt;&gt;")*$A139*100/100,0)),MASTER!$Y$4:$Y$1463,0))),NA()),IF($B$4="COMBAT RATING",IFERROR(IF(INDEX(MASTER!$G$4:$G$1463,MATCH("INVICTUS"&amp;"|"&amp;MAX(1,ROUND(COUNTIFS(MASTER!$B$4:$B$1463,"INVICTUS",MASTER!$G$4:$G$1463,"&lt;&gt;")*$A139*100/100,0)),MASTER!$AH$4:$AH$1463,0))="",NA(),INDEX(MASTER!$G$4:$G$1463,MATCH("INVICTUS"&amp;"|"&amp;MAX(1,ROUND(COUNTIFS(MASTER!$B$4:$B$1463,"INVICTUS",MASTER!$G$4:$G$1463,"&lt;&gt;")*$A139*100/100,0)),MASTER!$AH$4:$AH$1463,0))),NA()),IF($B$4="SECONDARY",IFERROR(IF(INDEX(MASTER!$L$4:$L$1463,MATCH("INVICTUS"&amp;"|"&amp;MAX(1,ROUND(COUNTIFS(MASTER!$B$4:$B$1463,"INVICTUS",MASTER!$L$4:$L$1463,"&lt;&gt;")*$A139*100/100,0)),MASTER!$AI$4:$AI$1463,0))="",NA(),INDEX(MASTER!$L$4:$L$1463,MATCH("INVICTUS"&amp;"|"&amp;MAX(1,ROUND(COUNTIFS(MASTER!$B$4:$B$1463,"INVICTUS",MASTER!$L$4:$L$1463,"&lt;&gt;")*$A139*100/100,0)),MASTER!$AI$4:$AI$1463,0))),NA()))))</f>
        <v>2000</v>
      </c>
      <c r="K139" s="37">
        <f>IF($B$4="RESONANCE",IFERROR(IF(INDEX(MASTER!$I$4:$I$1463,MATCH("EMERALD LEAF TRIBE"&amp;"|"&amp;MAX(1,ROUND(COUNTIFS(MASTER!$B$4:$B$1463,"EMERALD LEAF TRIBE",MASTER!$I$4:$I$1463,"&lt;&gt;")*$A139*100/100,0)),MASTER!$Y$4:$Y$1463,0))="",NA(),INDEX(MASTER!$I$4:$I$1463,MATCH("EMERALD LEAF TRIBE"&amp;"|"&amp;MAX(1,ROUND(COUNTIFS(MASTER!$B$4:$B$1463,"EMERALD LEAF TRIBE",MASTER!$I$4:$I$1463,"&lt;&gt;")*$A139*100/100,0)),MASTER!$Y$4:$Y$1463,0))),NA()),IF($B$4="COMBAT RATING",IFERROR(IF(INDEX(MASTER!$G$4:$G$1463,MATCH("EMERALD LEAF TRIBE"&amp;"|"&amp;MAX(1,ROUND(COUNTIFS(MASTER!$B$4:$B$1463,"EMERALD LEAF TRIBE",MASTER!$G$4:$G$1463,"&lt;&gt;")*$A139*100/100,0)),MASTER!$AH$4:$AH$1463,0))="",NA(),INDEX(MASTER!$G$4:$G$1463,MATCH("EMERALD LEAF TRIBE"&amp;"|"&amp;MAX(1,ROUND(COUNTIFS(MASTER!$B$4:$B$1463,"EMERALD LEAF TRIBE",MASTER!$G$4:$G$1463,"&lt;&gt;")*$A139*100/100,0)),MASTER!$AH$4:$AH$1463,0))),NA()),IF($B$4="SECONDARY",IFERROR(IF(INDEX(MASTER!$L$4:$L$1463,MATCH("EMERALD LEAF TRIBE"&amp;"|"&amp;MAX(1,ROUND(COUNTIFS(MASTER!$B$4:$B$1463,"EMERALD LEAF TRIBE",MASTER!$L$4:$L$1463,"&lt;&gt;")*$A139*100/100,0)),MASTER!$AI$4:$AI$1463,0))="",NA(),INDEX(MASTER!$L$4:$L$1463,MATCH("EMERALD LEAF TRIBE"&amp;"|"&amp;MAX(1,ROUND(COUNTIFS(MASTER!$B$4:$B$1463,"EMERALD LEAF TRIBE",MASTER!$L$4:$L$1463,"&lt;&gt;")*$A139*100/100,0)),MASTER!$AI$4:$AI$1463,0))),NA()))))</f>
        <v>1050</v>
      </c>
      <c r="L139" s="37">
        <f>IF($B$4="RESONANCE",IFERROR(IF(INDEX(MASTER!$I$4:$I$1463,MATCH("SUB ROSA"&amp;"|"&amp;MAX(1,ROUND(COUNTIFS(MASTER!$B$4:$B$1463,"SUB ROSA",MASTER!$I$4:$I$1463,"&lt;&gt;")*$A139*100/100,0)),MASTER!$Y$4:$Y$1463,0))="",NA(),INDEX(MASTER!$I$4:$I$1463,MATCH("SUB ROSA"&amp;"|"&amp;MAX(1,ROUND(COUNTIFS(MASTER!$B$4:$B$1463,"SUB ROSA",MASTER!$I$4:$I$1463,"&lt;&gt;")*$A139*100/100,0)),MASTER!$Y$4:$Y$1463,0))),NA()),IF($B$4="COMBAT RATING",IFERROR(IF(INDEX(MASTER!$G$4:$G$1463,MATCH("SUB ROSA"&amp;"|"&amp;MAX(1,ROUND(COUNTIFS(MASTER!$B$4:$B$1463,"SUB ROSA",MASTER!$G$4:$G$1463,"&lt;&gt;")*$A139*100/100,0)),MASTER!$AH$4:$AH$1463,0))="",NA(),INDEX(MASTER!$G$4:$G$1463,MATCH("SUB ROSA"&amp;"|"&amp;MAX(1,ROUND(COUNTIFS(MASTER!$B$4:$B$1463,"SUB ROSA",MASTER!$G$4:$G$1463,"&lt;&gt;")*$A139*100/100,0)),MASTER!$AH$4:$AH$1463,0))),NA()),IF($B$4="SECONDARY",IFERROR(IF(INDEX(MASTER!$L$4:$L$1463,MATCH("SUB ROSA"&amp;"|"&amp;MAX(1,ROUND(COUNTIFS(MASTER!$B$4:$B$1463,"SUB ROSA",MASTER!$L$4:$L$1463,"&lt;&gt;")*$A139*100/100,0)),MASTER!$AI$4:$AI$1463,0))="",NA(),INDEX(MASTER!$L$4:$L$1463,MATCH("SUB ROSA"&amp;"|"&amp;MAX(1,ROUND(COUNTIFS(MASTER!$B$4:$B$1463,"SUB ROSA",MASTER!$L$4:$L$1463,"&lt;&gt;")*$A139*100/100,0)),MASTER!$AI$4:$AI$1463,0))),NA()))))</f>
        <v>1214</v>
      </c>
      <c r="M139" s="37">
        <f>IF($B$4="RESONANCE",IFERROR(IF(INDEX(MASTER!$I$4:$I$1463,MATCH("VENGEANCE"&amp;"|"&amp;MAX(1,ROUND(COUNTIFS(MASTER!$B$4:$B$1463,"VENGEANCE",MASTER!$I$4:$I$1463,"&lt;&gt;")*$A139*100/100,0)),MASTER!$Y$4:$Y$1463,0))="",NA(),INDEX(MASTER!$I$4:$I$1463,MATCH("VENGEANCE"&amp;"|"&amp;MAX(1,ROUND(COUNTIFS(MASTER!$B$4:$B$1463,"VENGEANCE",MASTER!$I$4:$I$1463,"&lt;&gt;")*$A139*100/100,0)),MASTER!$Y$4:$Y$1463,0))),NA()),IF($B$4="COMBAT RATING",IFERROR(IF(INDEX(MASTER!$G$4:$G$1463,MATCH("VENGEANCE"&amp;"|"&amp;MAX(1,ROUND(COUNTIFS(MASTER!$B$4:$B$1463,"VENGEANCE",MASTER!$G$4:$G$1463,"&lt;&gt;")*$A139*100/100,0)),MASTER!$AH$4:$AH$1463,0))="",NA(),INDEX(MASTER!$G$4:$G$1463,MATCH("VENGEANCE"&amp;"|"&amp;MAX(1,ROUND(COUNTIFS(MASTER!$B$4:$B$1463,"VENGEANCE",MASTER!$G$4:$G$1463,"&lt;&gt;")*$A139*100/100,0)),MASTER!$AH$4:$AH$1463,0))),NA()),IF($B$4="SECONDARY",IFERROR(IF(INDEX(MASTER!$L$4:$L$1463,MATCH("VENGEANCE"&amp;"|"&amp;MAX(1,ROUND(COUNTIFS(MASTER!$B$4:$B$1463,"VENGEANCE",MASTER!$L$4:$L$1463,"&lt;&gt;")*$A139*100/100,0)),MASTER!$AI$4:$AI$1463,0))="",NA(),INDEX(MASTER!$L$4:$L$1463,MATCH("VENGEANCE"&amp;"|"&amp;MAX(1,ROUND(COUNTIFS(MASTER!$B$4:$B$1463,"VENGEANCE",MASTER!$L$4:$L$1463,"&lt;&gt;")*$A139*100/100,0)),MASTER!$AI$4:$AI$1463,0))),NA()))))</f>
        <v>2202</v>
      </c>
      <c r="N139" s="37">
        <f>IF($B$4="RESONANCE",IFERROR(IF(INDEX(MASTER!$I$4:$I$1463,MATCH("VENDETTA"&amp;"|"&amp;MAX(1,ROUND(COUNTIFS(MASTER!$B$4:$B$1463,"VENDETTA",MASTER!$I$4:$I$1463,"&lt;&gt;")*$A139*100/100,0)),MASTER!$Y$4:$Y$1463,0))="",NA(),INDEX(MASTER!$I$4:$I$1463,MATCH("VENDETTA"&amp;"|"&amp;MAX(1,ROUND(COUNTIFS(MASTER!$B$4:$B$1463,"VENDETTA",MASTER!$I$4:$I$1463,"&lt;&gt;")*$A139*100/100,0)),MASTER!$Y$4:$Y$1463,0))),NA()),IF($B$4="COMBAT RATING",IFERROR(IF(INDEX(MASTER!$G$4:$G$1463,MATCH("VENDETTA"&amp;"|"&amp;MAX(1,ROUND(COUNTIFS(MASTER!$B$4:$B$1463,"VENDETTA",MASTER!$G$4:$G$1463,"&lt;&gt;")*$A139*100/100,0)),MASTER!$AH$4:$AH$1463,0))="",NA(),INDEX(MASTER!$G$4:$G$1463,MATCH("VENDETTA"&amp;"|"&amp;MAX(1,ROUND(COUNTIFS(MASTER!$B$4:$B$1463,"VENDETTA",MASTER!$G$4:$G$1463,"&lt;&gt;")*$A139*100/100,0)),MASTER!$AH$4:$AH$1463,0))),NA()),IF($B$4="SECONDARY",IFERROR(IF(INDEX(MASTER!$L$4:$L$1463,MATCH("VENDETTA"&amp;"|"&amp;MAX(1,ROUND(COUNTIFS(MASTER!$B$4:$B$1463,"VENDETTA",MASTER!$L$4:$L$1463,"&lt;&gt;")*$A139*100/100,0)),MASTER!$AI$4:$AI$1463,0))="",NA(),INDEX(MASTER!$L$4:$L$1463,MATCH("VENDETTA"&amp;"|"&amp;MAX(1,ROUND(COUNTIFS(MASTER!$B$4:$B$1463,"VENDETTA",MASTER!$L$4:$L$1463,"&lt;&gt;")*$A139*100/100,0)),MASTER!$AI$4:$AI$1463,0))),NA()))))</f>
        <v>1274</v>
      </c>
      <c r="O139" s="37">
        <f>IF($B$4="RESONANCE",IFERROR(IF(INDEX(MASTER!$I$4:$I$1463,MATCH("ZOMBIES"&amp;"|"&amp;MAX(1,ROUND(COUNTIFS(MASTER!$B$4:$B$1463,"ZOMBIES",MASTER!$I$4:$I$1463,"&lt;&gt;")*$A139*100/100,0)),MASTER!$Y$4:$Y$1463,0))="",NA(),INDEX(MASTER!$I$4:$I$1463,MATCH("ZOMBIES"&amp;"|"&amp;MAX(1,ROUND(COUNTIFS(MASTER!$B$4:$B$1463,"ZOMBIES",MASTER!$I$4:$I$1463,"&lt;&gt;")*$A139*100/100,0)),MASTER!$Y$4:$Y$1463,0))),NA()),IF($B$4="COMBAT RATING",IFERROR(IF(INDEX(MASTER!$G$4:$G$1463,MATCH("ZOMBIES"&amp;"|"&amp;MAX(1,ROUND(COUNTIFS(MASTER!$B$4:$B$1463,"ZOMBIES",MASTER!$G$4:$G$1463,"&lt;&gt;")*$A139*100/100,0)),MASTER!$AH$4:$AH$1463,0))="",NA(),INDEX(MASTER!$G$4:$G$1463,MATCH("ZOMBIES"&amp;"|"&amp;MAX(1,ROUND(COUNTIFS(MASTER!$B$4:$B$1463,"ZOMBIES",MASTER!$G$4:$G$1463,"&lt;&gt;")*$A139*100/100,0)),MASTER!$AH$4:$AH$1463,0))),NA()),IF($B$4="SECONDARY",IFERROR(IF(INDEX(MASTER!$L$4:$L$1463,MATCH("ZOMBIES"&amp;"|"&amp;MAX(1,ROUND(COUNTIFS(MASTER!$B$4:$B$1463,"ZOMBIES",MASTER!$L$4:$L$1463,"&lt;&gt;")*$A139*100/100,0)),MASTER!$AI$4:$AI$1463,0))="",NA(),INDEX(MASTER!$L$4:$L$1463,MATCH("ZOMBIES"&amp;"|"&amp;MAX(1,ROUND(COUNTIFS(MASTER!$B$4:$B$1463,"ZOMBIES",MASTER!$L$4:$L$1463,"&lt;&gt;")*$A139*100/100,0)),MASTER!$AI$4:$AI$1463,0))),NA()))))</f>
        <v>1035</v>
      </c>
      <c r="P139" s="37">
        <f>IF($B$4="RESONANCE",IFERROR(IF(INDEX(MASTER!$I$4:$I$1463,MATCH("FUCT"&amp;"|"&amp;MAX(1,ROUND(COUNTIFS(MASTER!$B$4:$B$1463,"FUCT",MASTER!$I$4:$I$1463,"&lt;&gt;")*$A139*100/100,0)),MASTER!$Y$4:$Y$1463,0))="",NA(),INDEX(MASTER!$I$4:$I$1463,MATCH("FUCT"&amp;"|"&amp;MAX(1,ROUND(COUNTIFS(MASTER!$B$4:$B$1463,"FUCT",MASTER!$I$4:$I$1463,"&lt;&gt;")*$A139*100/100,0)),MASTER!$Y$4:$Y$1463,0))),NA()),IF($B$4="COMBAT RATING",IFERROR(IF(INDEX(MASTER!$G$4:$G$1463,MATCH("FUCT"&amp;"|"&amp;MAX(1,ROUND(COUNTIFS(MASTER!$B$4:$B$1463,"FUCT",MASTER!$G$4:$G$1463,"&lt;&gt;")*$A139*100/100,0)),MASTER!$AH$4:$AH$1463,0))="",NA(),INDEX(MASTER!$G$4:$G$1463,MATCH("FUCT"&amp;"|"&amp;MAX(1,ROUND(COUNTIFS(MASTER!$B$4:$B$1463,"FUCT",MASTER!$G$4:$G$1463,"&lt;&gt;")*$A139*100/100,0)),MASTER!$AH$4:$AH$1463,0))),NA()),IF($B$4="SECONDARY",IFERROR(IF(INDEX(MASTER!$L$4:$L$1463,MATCH("FUCT"&amp;"|"&amp;MAX(1,ROUND(COUNTIFS(MASTER!$B$4:$B$1463,"FUCT",MASTER!$L$4:$L$1463,"&lt;&gt;")*$A139*100/100,0)),MASTER!$AI$4:$AI$1463,0))="",NA(),INDEX(MASTER!$L$4:$L$1463,MATCH("FUCT"&amp;"|"&amp;MAX(1,ROUND(COUNTIFS(MASTER!$B$4:$B$1463,"FUCT",MASTER!$L$4:$L$1463,"&lt;&gt;")*$A139*100/100,0)),MASTER!$AI$4:$AI$1463,0))),NA()))))</f>
        <v>3227</v>
      </c>
      <c r="Q139" s="37">
        <f>IF($B$4="RESONANCE",IFERROR(IF(INDEX(MASTER!$I$4:$I$1463,MATCH($E$4&amp;"|"&amp;MAX(1,ROUND(COUNTIFS(MASTER!$B$4:$B$1463,$E$4,MASTER!$I$4:$I$1463,"&lt;&gt;")*$A139*100/100,0)),MASTER!$Y$4:$Y$1463,0))="",NA(),INDEX(MASTER!$I$4:$I$1463,MATCH($E$4&amp;"|"&amp;MAX(1,ROUND(COUNTIFS(MASTER!$B$4:$B$1463,$E$4,MASTER!$I$4:$I$1463,"&lt;&gt;")*$A139*100/100,0)),MASTER!$Y$4:$Y$1463,0))),NA()),IF($B$4="COMBAT RATING",IFERROR(IF(INDEX(MASTER!$G$4:$G$1463,MATCH($E$4&amp;"|"&amp;MAX(1,ROUND(COUNTIFS(MASTER!$B$4:$B$1463,$E$4,MASTER!$G$4:$G$1463,"&lt;&gt;")*$A139*100/100,0)),MASTER!$AH$4:$AH$1463,0))="",NA(),INDEX(MASTER!$G$4:$G$1463,MATCH($E$4&amp;"|"&amp;MAX(1,ROUND(COUNTIFS(MASTER!$B$4:$B$1463,$E$4,MASTER!$G$4:$G$1463,"&lt;&gt;")*$A139*100/100,0)),MASTER!$AH$4:$AH$1463,0))),NA()),IF($B$4="SECONDARY",IFERROR(IF(INDEX(MASTER!$L$4:$L$1463,MATCH($E$4&amp;"|"&amp;MAX(1,ROUND(COUNTIFS(MASTER!$B$4:$B$1463,$E$4,MASTER!$L$4:$L$1463,"&lt;&gt;")*$A139*100/100,0)),MASTER!$AI$4:$AI$1463,0))="",NA(),INDEX(MASTER!$L$4:$L$1463,MATCH($E$4&amp;"|"&amp;MAX(1,ROUND(COUNTIFS(MASTER!$B$4:$B$1463,$E$4,MASTER!$L$4:$L$1463,"&lt;&gt;")*$A139*100/100,0)),MASTER!$AI$4:$AI$1463,0))),NA()))))</f>
        <v>3002</v>
      </c>
    </row>
    <row r="140" spans="1:17" hidden="1">
      <c r="A140" s="36">
        <v>0.85</v>
      </c>
      <c r="B140" s="37">
        <f>IF($B$4="RESONANCE",IFERROR(IF(INDEX(MASTER!$I$4:$I$1463,MATCH("FUCT"&amp;"|"&amp;MAX(1,ROUND(COUNTIFS(MASTER!$B$4:$B$1463,"FUCT",MASTER!$I$4:$I$1463,"&lt;&gt;")*$A140*100/100,0)),MASTER!$Y$4:$Y$1463,0))="",NA(),INDEX(MASTER!$I$4:$I$1463,MATCH("FUCT"&amp;"|"&amp;MAX(1,ROUND(COUNTIFS(MASTER!$B$4:$B$1463,"FUCT",MASTER!$I$4:$I$1463,"&lt;&gt;")*$A140*100/100,0)),MASTER!$Y$4:$Y$1463,0))),NA()),IF($B$4="COMBAT RATING",IFERROR(IF(INDEX(MASTER!$G$4:$G$1463,MATCH("FUCT"&amp;"|"&amp;MAX(1,ROUND(COUNTIFS(MASTER!$B$4:$B$1463,"FUCT",MASTER!$G$4:$G$1463,"&lt;&gt;")*$A140*100/100,0)),MASTER!$AH$4:$AH$1463,0))="",NA(),INDEX(MASTER!$G$4:$G$1463,MATCH("FUCT"&amp;"|"&amp;MAX(1,ROUND(COUNTIFS(MASTER!$B$4:$B$1463,"FUCT",MASTER!$G$4:$G$1463,"&lt;&gt;")*$A140*100/100,0)),MASTER!$AH$4:$AH$1463,0))),NA()),IF($B$4="SECONDARY",IFERROR(IF(INDEX(MASTER!$L$4:$L$1463,MATCH("FUCT"&amp;"|"&amp;MAX(1,ROUND(COUNTIFS(MASTER!$B$4:$B$1463,"FUCT",MASTER!$L$4:$L$1463,"&lt;&gt;")*$A140*100/100,0)),MASTER!$AI$4:$AI$1463,0))="",NA(),INDEX(MASTER!$L$4:$L$1463,MATCH("FUCT"&amp;"|"&amp;MAX(1,ROUND(COUNTIFS(MASTER!$B$4:$B$1463,"FUCT",MASTER!$L$4:$L$1463,"&lt;&gt;")*$A140*100/100,0)),MASTER!$AI$4:$AI$1463,0))),NA()))))</f>
        <v>3215</v>
      </c>
      <c r="C140" s="37">
        <f>IF($B$4="RESONANCE",IFERROR(IF(INDEX(MASTER!$I$4:$I$1463,MATCH("LEGENDS"&amp;"|"&amp;MAX(1,ROUND(COUNTIFS(MASTER!$B$4:$B$1463,"LEGENDS",MASTER!$I$4:$I$1463,"&lt;&gt;")*$A140*100/100,0)),MASTER!$Y$4:$Y$1463,0))="",NA(),INDEX(MASTER!$I$4:$I$1463,MATCH("LEGENDS"&amp;"|"&amp;MAX(1,ROUND(COUNTIFS(MASTER!$B$4:$B$1463,"LEGENDS",MASTER!$I$4:$I$1463,"&lt;&gt;")*$A140*100/100,0)),MASTER!$Y$4:$Y$1463,0))),NA()),IF($B$4="COMBAT RATING",IFERROR(IF(INDEX(MASTER!$G$4:$G$1463,MATCH("LEGENDS"&amp;"|"&amp;MAX(1,ROUND(COUNTIFS(MASTER!$B$4:$B$1463,"LEGENDS",MASTER!$G$4:$G$1463,"&lt;&gt;")*$A140*100/100,0)),MASTER!$AH$4:$AH$1463,0))="",NA(),INDEX(MASTER!$G$4:$G$1463,MATCH("LEGENDS"&amp;"|"&amp;MAX(1,ROUND(COUNTIFS(MASTER!$B$4:$B$1463,"LEGENDS",MASTER!$G$4:$G$1463,"&lt;&gt;")*$A140*100/100,0)),MASTER!$AH$4:$AH$1463,0))),NA()),IF($B$4="SECONDARY",IFERROR(IF(INDEX(MASTER!$L$4:$L$1463,MATCH("LEGENDS"&amp;"|"&amp;MAX(1,ROUND(COUNTIFS(MASTER!$B$4:$B$1463,"LEGENDS",MASTER!$L$4:$L$1463,"&lt;&gt;")*$A140*100/100,0)),MASTER!$AI$4:$AI$1463,0))="",NA(),INDEX(MASTER!$L$4:$L$1463,MATCH("LEGENDS"&amp;"|"&amp;MAX(1,ROUND(COUNTIFS(MASTER!$B$4:$B$1463,"LEGENDS",MASTER!$L$4:$L$1463,"&lt;&gt;")*$A140*100/100,0)),MASTER!$AI$4:$AI$1463,0))),NA()))))</f>
        <v>3630</v>
      </c>
      <c r="D140" s="37">
        <f>IF($B$4="RESONANCE",IFERROR(IF(INDEX(MASTER!$I$4:$I$1463,MATCH("VANGUARD"&amp;"|"&amp;MAX(1,ROUND(COUNTIFS(MASTER!$B$4:$B$1463,"VANGUARD",MASTER!$I$4:$I$1463,"&lt;&gt;")*$A140*100/100,0)),MASTER!$Y$4:$Y$1463,0))="",NA(),INDEX(MASTER!$I$4:$I$1463,MATCH("VANGUARD"&amp;"|"&amp;MAX(1,ROUND(COUNTIFS(MASTER!$B$4:$B$1463,"VANGUARD",MASTER!$I$4:$I$1463,"&lt;&gt;")*$A140*100/100,0)),MASTER!$Y$4:$Y$1463,0))),NA()),IF($B$4="COMBAT RATING",IFERROR(IF(INDEX(MASTER!$G$4:$G$1463,MATCH("VANGUARD"&amp;"|"&amp;MAX(1,ROUND(COUNTIFS(MASTER!$B$4:$B$1463,"VANGUARD",MASTER!$G$4:$G$1463,"&lt;&gt;")*$A140*100/100,0)),MASTER!$AH$4:$AH$1463,0))="",NA(),INDEX(MASTER!$G$4:$G$1463,MATCH("VANGUARD"&amp;"|"&amp;MAX(1,ROUND(COUNTIFS(MASTER!$B$4:$B$1463,"VANGUARD",MASTER!$G$4:$G$1463,"&lt;&gt;")*$A140*100/100,0)),MASTER!$AH$4:$AH$1463,0))),NA()),IF($B$4="SECONDARY",IFERROR(IF(INDEX(MASTER!$L$4:$L$1463,MATCH("VANGUARD"&amp;"|"&amp;MAX(1,ROUND(COUNTIFS(MASTER!$B$4:$B$1463,"VANGUARD",MASTER!$L$4:$L$1463,"&lt;&gt;")*$A140*100/100,0)),MASTER!$AI$4:$AI$1463,0))="",NA(),INDEX(MASTER!$L$4:$L$1463,MATCH("VANGUARD"&amp;"|"&amp;MAX(1,ROUND(COUNTIFS(MASTER!$B$4:$B$1463,"VANGUARD",MASTER!$L$4:$L$1463,"&lt;&gt;")*$A140*100/100,0)),MASTER!$AI$4:$AI$1463,0))),NA()))))</f>
        <v>3803</v>
      </c>
      <c r="E140" s="37">
        <f>IF($B$4="RESONANCE",IFERROR(IF(INDEX(MASTER!$I$4:$I$1463,MATCH("UNDYING"&amp;"|"&amp;MAX(1,ROUND(COUNTIFS(MASTER!$B$4:$B$1463,"UNDYING",MASTER!$I$4:$I$1463,"&lt;&gt;")*$A140*100/100,0)),MASTER!$Y$4:$Y$1463,0))="",NA(),INDEX(MASTER!$I$4:$I$1463,MATCH("UNDYING"&amp;"|"&amp;MAX(1,ROUND(COUNTIFS(MASTER!$B$4:$B$1463,"UNDYING",MASTER!$I$4:$I$1463,"&lt;&gt;")*$A140*100/100,0)),MASTER!$Y$4:$Y$1463,0))),NA()),IF($B$4="COMBAT RATING",IFERROR(IF(INDEX(MASTER!$G$4:$G$1463,MATCH("UNDYING"&amp;"|"&amp;MAX(1,ROUND(COUNTIFS(MASTER!$B$4:$B$1463,"UNDYING",MASTER!$G$4:$G$1463,"&lt;&gt;")*$A140*100/100,0)),MASTER!$AH$4:$AH$1463,0))="",NA(),INDEX(MASTER!$G$4:$G$1463,MATCH("UNDYING"&amp;"|"&amp;MAX(1,ROUND(COUNTIFS(MASTER!$B$4:$B$1463,"UNDYING",MASTER!$G$4:$G$1463,"&lt;&gt;")*$A140*100/100,0)),MASTER!$AH$4:$AH$1463,0))),NA()),IF($B$4="SECONDARY",IFERROR(IF(INDEX(MASTER!$L$4:$L$1463,MATCH("UNDYING"&amp;"|"&amp;MAX(1,ROUND(COUNTIFS(MASTER!$B$4:$B$1463,"UNDYING",MASTER!$L$4:$L$1463,"&lt;&gt;")*$A140*100/100,0)),MASTER!$AI$4:$AI$1463,0))="",NA(),INDEX(MASTER!$L$4:$L$1463,MATCH("UNDYING"&amp;"|"&amp;MAX(1,ROUND(COUNTIFS(MASTER!$B$4:$B$1463,"UNDYING",MASTER!$L$4:$L$1463,"&lt;&gt;")*$A140*100/100,0)),MASTER!$AI$4:$AI$1463,0))),NA()))))</f>
        <v>2950</v>
      </c>
      <c r="F140" s="37">
        <f>IF($B$4="RESONANCE",IFERROR(IF(INDEX(MASTER!$I$4:$I$1463,MATCH("SBG"&amp;"|"&amp;MAX(1,ROUND(COUNTIFS(MASTER!$B$4:$B$1463,"SBG",MASTER!$I$4:$I$1463,"&lt;&gt;")*$A140*100/100,0)),MASTER!$Y$4:$Y$1463,0))="",NA(),INDEX(MASTER!$I$4:$I$1463,MATCH("SBG"&amp;"|"&amp;MAX(1,ROUND(COUNTIFS(MASTER!$B$4:$B$1463,"SBG",MASTER!$I$4:$I$1463,"&lt;&gt;")*$A140*100/100,0)),MASTER!$Y$4:$Y$1463,0))),NA()),IF($B$4="COMBAT RATING",IFERROR(IF(INDEX(MASTER!$G$4:$G$1463,MATCH("SBG"&amp;"|"&amp;MAX(1,ROUND(COUNTIFS(MASTER!$B$4:$B$1463,"SBG",MASTER!$G$4:$G$1463,"&lt;&gt;")*$A140*100/100,0)),MASTER!$AH$4:$AH$1463,0))="",NA(),INDEX(MASTER!$G$4:$G$1463,MATCH("SBG"&amp;"|"&amp;MAX(1,ROUND(COUNTIFS(MASTER!$B$4:$B$1463,"SBG",MASTER!$G$4:$G$1463,"&lt;&gt;")*$A140*100/100,0)),MASTER!$AH$4:$AH$1463,0))),NA()),IF($B$4="SECONDARY",IFERROR(IF(INDEX(MASTER!$L$4:$L$1463,MATCH("SBG"&amp;"|"&amp;MAX(1,ROUND(COUNTIFS(MASTER!$B$4:$B$1463,"SBG",MASTER!$L$4:$L$1463,"&lt;&gt;")*$A140*100/100,0)),MASTER!$AI$4:$AI$1463,0))="",NA(),INDEX(MASTER!$L$4:$L$1463,MATCH("SBG"&amp;"|"&amp;MAX(1,ROUND(COUNTIFS(MASTER!$B$4:$B$1463,"SBG",MASTER!$L$4:$L$1463,"&lt;&gt;")*$A140*100/100,0)),MASTER!$AI$4:$AI$1463,0))),NA()))))</f>
        <v>3555</v>
      </c>
      <c r="G140" s="37">
        <f>IF($B$4="RESONANCE",IFERROR(IF(INDEX(MASTER!$I$4:$I$1463,MATCH("AZUKI"&amp;"|"&amp;MAX(1,ROUND(COUNTIFS(MASTER!$B$4:$B$1463,"AZUKI",MASTER!$I$4:$I$1463,"&lt;&gt;")*$A140*100/100,0)),MASTER!$Y$4:$Y$1463,0))="",NA(),INDEX(MASTER!$I$4:$I$1463,MATCH("AZUKI"&amp;"|"&amp;MAX(1,ROUND(COUNTIFS(MASTER!$B$4:$B$1463,"AZUKI",MASTER!$I$4:$I$1463,"&lt;&gt;")*$A140*100/100,0)),MASTER!$Y$4:$Y$1463,0))),NA()),IF($B$4="COMBAT RATING",IFERROR(IF(INDEX(MASTER!$G$4:$G$1463,MATCH("AZUKI"&amp;"|"&amp;MAX(1,ROUND(COUNTIFS(MASTER!$B$4:$B$1463,"AZUKI",MASTER!$G$4:$G$1463,"&lt;&gt;")*$A140*100/100,0)),MASTER!$AH$4:$AH$1463,0))="",NA(),INDEX(MASTER!$G$4:$G$1463,MATCH("AZUKI"&amp;"|"&amp;MAX(1,ROUND(COUNTIFS(MASTER!$B$4:$B$1463,"AZUKI",MASTER!$G$4:$G$1463,"&lt;&gt;")*$A140*100/100,0)),MASTER!$AH$4:$AH$1463,0))),NA()),IF($B$4="SECONDARY",IFERROR(IF(INDEX(MASTER!$L$4:$L$1463,MATCH("AZUKI"&amp;"|"&amp;MAX(1,ROUND(COUNTIFS(MASTER!$B$4:$B$1463,"AZUKI",MASTER!$L$4:$L$1463,"&lt;&gt;")*$A140*100/100,0)),MASTER!$AI$4:$AI$1463,0))="",NA(),INDEX(MASTER!$L$4:$L$1463,MATCH("AZUKI"&amp;"|"&amp;MAX(1,ROUND(COUNTIFS(MASTER!$B$4:$B$1463,"AZUKI",MASTER!$L$4:$L$1463,"&lt;&gt;")*$A140*100/100,0)),MASTER!$AI$4:$AI$1463,0))),NA()))))</f>
        <v>3106</v>
      </c>
      <c r="H140" s="37">
        <f>IF($B$4="RESONANCE",IFERROR(IF(INDEX(MASTER!$I$4:$I$1463,MATCH("RECKONING"&amp;"|"&amp;MAX(1,ROUND(COUNTIFS(MASTER!$B$4:$B$1463,"RECKONING",MASTER!$I$4:$I$1463,"&lt;&gt;")*$A140*100/100,0)),MASTER!$Y$4:$Y$1463,0))="",NA(),INDEX(MASTER!$I$4:$I$1463,MATCH("RECKONING"&amp;"|"&amp;MAX(1,ROUND(COUNTIFS(MASTER!$B$4:$B$1463,"RECKONING",MASTER!$I$4:$I$1463,"&lt;&gt;")*$A140*100/100,0)),MASTER!$Y$4:$Y$1463,0))),NA()),IF($B$4="COMBAT RATING",IFERROR(IF(INDEX(MASTER!$G$4:$G$1463,MATCH("RECKONING"&amp;"|"&amp;MAX(1,ROUND(COUNTIFS(MASTER!$B$4:$B$1463,"RECKONING",MASTER!$G$4:$G$1463,"&lt;&gt;")*$A140*100/100,0)),MASTER!$AH$4:$AH$1463,0))="",NA(),INDEX(MASTER!$G$4:$G$1463,MATCH("RECKONING"&amp;"|"&amp;MAX(1,ROUND(COUNTIFS(MASTER!$B$4:$B$1463,"RECKONING",MASTER!$G$4:$G$1463,"&lt;&gt;")*$A140*100/100,0)),MASTER!$AH$4:$AH$1463,0))),NA()),IF($B$4="SECONDARY",IFERROR(IF(INDEX(MASTER!$L$4:$L$1463,MATCH("RECKONING"&amp;"|"&amp;MAX(1,ROUND(COUNTIFS(MASTER!$B$4:$B$1463,"RECKONING",MASTER!$L$4:$L$1463,"&lt;&gt;")*$A140*100/100,0)),MASTER!$AI$4:$AI$1463,0))="",NA(),INDEX(MASTER!$L$4:$L$1463,MATCH("RECKONING"&amp;"|"&amp;MAX(1,ROUND(COUNTIFS(MASTER!$B$4:$B$1463,"RECKONING",MASTER!$L$4:$L$1463,"&lt;&gt;")*$A140*100/100,0)),MASTER!$AI$4:$AI$1463,0))),NA()))))</f>
        <v>3308</v>
      </c>
      <c r="I140" s="37">
        <f>IF($B$4="RESONANCE",IFERROR(IF(INDEX(MASTER!$I$4:$I$1463,MATCH("ACHERON"&amp;"|"&amp;MAX(1,ROUND(COUNTIFS(MASTER!$B$4:$B$1463,"ACHERON",MASTER!$I$4:$I$1463,"&lt;&gt;")*$A140*100/100,0)),MASTER!$Y$4:$Y$1463,0))="",NA(),INDEX(MASTER!$I$4:$I$1463,MATCH("ACHERON"&amp;"|"&amp;MAX(1,ROUND(COUNTIFS(MASTER!$B$4:$B$1463,"ACHERON",MASTER!$I$4:$I$1463,"&lt;&gt;")*$A140*100/100,0)),MASTER!$Y$4:$Y$1463,0))),NA()),IF($B$4="COMBAT RATING",IFERROR(IF(INDEX(MASTER!$G$4:$G$1463,MATCH("ACHERON"&amp;"|"&amp;MAX(1,ROUND(COUNTIFS(MASTER!$B$4:$B$1463,"ACHERON",MASTER!$G$4:$G$1463,"&lt;&gt;")*$A140*100/100,0)),MASTER!$AH$4:$AH$1463,0))="",NA(),INDEX(MASTER!$G$4:$G$1463,MATCH("ACHERON"&amp;"|"&amp;MAX(1,ROUND(COUNTIFS(MASTER!$B$4:$B$1463,"ACHERON",MASTER!$G$4:$G$1463,"&lt;&gt;")*$A140*100/100,0)),MASTER!$AH$4:$AH$1463,0))),NA()),IF($B$4="SECONDARY",IFERROR(IF(INDEX(MASTER!$L$4:$L$1463,MATCH("ACHERON"&amp;"|"&amp;MAX(1,ROUND(COUNTIFS(MASTER!$B$4:$B$1463,"ACHERON",MASTER!$L$4:$L$1463,"&lt;&gt;")*$A140*100/100,0)),MASTER!$AI$4:$AI$1463,0))="",NA(),INDEX(MASTER!$L$4:$L$1463,MATCH("ACHERON"&amp;"|"&amp;MAX(1,ROUND(COUNTIFS(MASTER!$B$4:$B$1463,"ACHERON",MASTER!$L$4:$L$1463,"&lt;&gt;")*$A140*100/100,0)),MASTER!$AI$4:$AI$1463,0))),NA()))))</f>
        <v>2410</v>
      </c>
      <c r="J140" s="37">
        <f>IF($B$4="RESONANCE",IFERROR(IF(INDEX(MASTER!$I$4:$I$1463,MATCH("INVICTUS"&amp;"|"&amp;MAX(1,ROUND(COUNTIFS(MASTER!$B$4:$B$1463,"INVICTUS",MASTER!$I$4:$I$1463,"&lt;&gt;")*$A140*100/100,0)),MASTER!$Y$4:$Y$1463,0))="",NA(),INDEX(MASTER!$I$4:$I$1463,MATCH("INVICTUS"&amp;"|"&amp;MAX(1,ROUND(COUNTIFS(MASTER!$B$4:$B$1463,"INVICTUS",MASTER!$I$4:$I$1463,"&lt;&gt;")*$A140*100/100,0)),MASTER!$Y$4:$Y$1463,0))),NA()),IF($B$4="COMBAT RATING",IFERROR(IF(INDEX(MASTER!$G$4:$G$1463,MATCH("INVICTUS"&amp;"|"&amp;MAX(1,ROUND(COUNTIFS(MASTER!$B$4:$B$1463,"INVICTUS",MASTER!$G$4:$G$1463,"&lt;&gt;")*$A140*100/100,0)),MASTER!$AH$4:$AH$1463,0))="",NA(),INDEX(MASTER!$G$4:$G$1463,MATCH("INVICTUS"&amp;"|"&amp;MAX(1,ROUND(COUNTIFS(MASTER!$B$4:$B$1463,"INVICTUS",MASTER!$G$4:$G$1463,"&lt;&gt;")*$A140*100/100,0)),MASTER!$AH$4:$AH$1463,0))),NA()),IF($B$4="SECONDARY",IFERROR(IF(INDEX(MASTER!$L$4:$L$1463,MATCH("INVICTUS"&amp;"|"&amp;MAX(1,ROUND(COUNTIFS(MASTER!$B$4:$B$1463,"INVICTUS",MASTER!$L$4:$L$1463,"&lt;&gt;")*$A140*100/100,0)),MASTER!$AI$4:$AI$1463,0))="",NA(),INDEX(MASTER!$L$4:$L$1463,MATCH("INVICTUS"&amp;"|"&amp;MAX(1,ROUND(COUNTIFS(MASTER!$B$4:$B$1463,"INVICTUS",MASTER!$L$4:$L$1463,"&lt;&gt;")*$A140*100/100,0)),MASTER!$AI$4:$AI$1463,0))),NA()))))</f>
        <v>1982</v>
      </c>
      <c r="K140" s="37">
        <f>IF($B$4="RESONANCE",IFERROR(IF(INDEX(MASTER!$I$4:$I$1463,MATCH("EMERALD LEAF TRIBE"&amp;"|"&amp;MAX(1,ROUND(COUNTIFS(MASTER!$B$4:$B$1463,"EMERALD LEAF TRIBE",MASTER!$I$4:$I$1463,"&lt;&gt;")*$A140*100/100,0)),MASTER!$Y$4:$Y$1463,0))="",NA(),INDEX(MASTER!$I$4:$I$1463,MATCH("EMERALD LEAF TRIBE"&amp;"|"&amp;MAX(1,ROUND(COUNTIFS(MASTER!$B$4:$B$1463,"EMERALD LEAF TRIBE",MASTER!$I$4:$I$1463,"&lt;&gt;")*$A140*100/100,0)),MASTER!$Y$4:$Y$1463,0))),NA()),IF($B$4="COMBAT RATING",IFERROR(IF(INDEX(MASTER!$G$4:$G$1463,MATCH("EMERALD LEAF TRIBE"&amp;"|"&amp;MAX(1,ROUND(COUNTIFS(MASTER!$B$4:$B$1463,"EMERALD LEAF TRIBE",MASTER!$G$4:$G$1463,"&lt;&gt;")*$A140*100/100,0)),MASTER!$AH$4:$AH$1463,0))="",NA(),INDEX(MASTER!$G$4:$G$1463,MATCH("EMERALD LEAF TRIBE"&amp;"|"&amp;MAX(1,ROUND(COUNTIFS(MASTER!$B$4:$B$1463,"EMERALD LEAF TRIBE",MASTER!$G$4:$G$1463,"&lt;&gt;")*$A140*100/100,0)),MASTER!$AH$4:$AH$1463,0))),NA()),IF($B$4="SECONDARY",IFERROR(IF(INDEX(MASTER!$L$4:$L$1463,MATCH("EMERALD LEAF TRIBE"&amp;"|"&amp;MAX(1,ROUND(COUNTIFS(MASTER!$B$4:$B$1463,"EMERALD LEAF TRIBE",MASTER!$L$4:$L$1463,"&lt;&gt;")*$A140*100/100,0)),MASTER!$AI$4:$AI$1463,0))="",NA(),INDEX(MASTER!$L$4:$L$1463,MATCH("EMERALD LEAF TRIBE"&amp;"|"&amp;MAX(1,ROUND(COUNTIFS(MASTER!$B$4:$B$1463,"EMERALD LEAF TRIBE",MASTER!$L$4:$L$1463,"&lt;&gt;")*$A140*100/100,0)),MASTER!$AI$4:$AI$1463,0))),NA()))))</f>
        <v>1049</v>
      </c>
      <c r="L140" s="37">
        <f>IF($B$4="RESONANCE",IFERROR(IF(INDEX(MASTER!$I$4:$I$1463,MATCH("SUB ROSA"&amp;"|"&amp;MAX(1,ROUND(COUNTIFS(MASTER!$B$4:$B$1463,"SUB ROSA",MASTER!$I$4:$I$1463,"&lt;&gt;")*$A140*100/100,0)),MASTER!$Y$4:$Y$1463,0))="",NA(),INDEX(MASTER!$I$4:$I$1463,MATCH("SUB ROSA"&amp;"|"&amp;MAX(1,ROUND(COUNTIFS(MASTER!$B$4:$B$1463,"SUB ROSA",MASTER!$I$4:$I$1463,"&lt;&gt;")*$A140*100/100,0)),MASTER!$Y$4:$Y$1463,0))),NA()),IF($B$4="COMBAT RATING",IFERROR(IF(INDEX(MASTER!$G$4:$G$1463,MATCH("SUB ROSA"&amp;"|"&amp;MAX(1,ROUND(COUNTIFS(MASTER!$B$4:$B$1463,"SUB ROSA",MASTER!$G$4:$G$1463,"&lt;&gt;")*$A140*100/100,0)),MASTER!$AH$4:$AH$1463,0))="",NA(),INDEX(MASTER!$G$4:$G$1463,MATCH("SUB ROSA"&amp;"|"&amp;MAX(1,ROUND(COUNTIFS(MASTER!$B$4:$B$1463,"SUB ROSA",MASTER!$G$4:$G$1463,"&lt;&gt;")*$A140*100/100,0)),MASTER!$AH$4:$AH$1463,0))),NA()),IF($B$4="SECONDARY",IFERROR(IF(INDEX(MASTER!$L$4:$L$1463,MATCH("SUB ROSA"&amp;"|"&amp;MAX(1,ROUND(COUNTIFS(MASTER!$B$4:$B$1463,"SUB ROSA",MASTER!$L$4:$L$1463,"&lt;&gt;")*$A140*100/100,0)),MASTER!$AI$4:$AI$1463,0))="",NA(),INDEX(MASTER!$L$4:$L$1463,MATCH("SUB ROSA"&amp;"|"&amp;MAX(1,ROUND(COUNTIFS(MASTER!$B$4:$B$1463,"SUB ROSA",MASTER!$L$4:$L$1463,"&lt;&gt;")*$A140*100/100,0)),MASTER!$AI$4:$AI$1463,0))),NA()))))</f>
        <v>1126</v>
      </c>
      <c r="M140" s="37">
        <f>IF($B$4="RESONANCE",IFERROR(IF(INDEX(MASTER!$I$4:$I$1463,MATCH("VENGEANCE"&amp;"|"&amp;MAX(1,ROUND(COUNTIFS(MASTER!$B$4:$B$1463,"VENGEANCE",MASTER!$I$4:$I$1463,"&lt;&gt;")*$A140*100/100,0)),MASTER!$Y$4:$Y$1463,0))="",NA(),INDEX(MASTER!$I$4:$I$1463,MATCH("VENGEANCE"&amp;"|"&amp;MAX(1,ROUND(COUNTIFS(MASTER!$B$4:$B$1463,"VENGEANCE",MASTER!$I$4:$I$1463,"&lt;&gt;")*$A140*100/100,0)),MASTER!$Y$4:$Y$1463,0))),NA()),IF($B$4="COMBAT RATING",IFERROR(IF(INDEX(MASTER!$G$4:$G$1463,MATCH("VENGEANCE"&amp;"|"&amp;MAX(1,ROUND(COUNTIFS(MASTER!$B$4:$B$1463,"VENGEANCE",MASTER!$G$4:$G$1463,"&lt;&gt;")*$A140*100/100,0)),MASTER!$AH$4:$AH$1463,0))="",NA(),INDEX(MASTER!$G$4:$G$1463,MATCH("VENGEANCE"&amp;"|"&amp;MAX(1,ROUND(COUNTIFS(MASTER!$B$4:$B$1463,"VENGEANCE",MASTER!$G$4:$G$1463,"&lt;&gt;")*$A140*100/100,0)),MASTER!$AH$4:$AH$1463,0))),NA()),IF($B$4="SECONDARY",IFERROR(IF(INDEX(MASTER!$L$4:$L$1463,MATCH("VENGEANCE"&amp;"|"&amp;MAX(1,ROUND(COUNTIFS(MASTER!$B$4:$B$1463,"VENGEANCE",MASTER!$L$4:$L$1463,"&lt;&gt;")*$A140*100/100,0)),MASTER!$AI$4:$AI$1463,0))="",NA(),INDEX(MASTER!$L$4:$L$1463,MATCH("VENGEANCE"&amp;"|"&amp;MAX(1,ROUND(COUNTIFS(MASTER!$B$4:$B$1463,"VENGEANCE",MASTER!$L$4:$L$1463,"&lt;&gt;")*$A140*100/100,0)),MASTER!$AI$4:$AI$1463,0))),NA()))))</f>
        <v>2184</v>
      </c>
      <c r="N140" s="37">
        <f>IF($B$4="RESONANCE",IFERROR(IF(INDEX(MASTER!$I$4:$I$1463,MATCH("VENDETTA"&amp;"|"&amp;MAX(1,ROUND(COUNTIFS(MASTER!$B$4:$B$1463,"VENDETTA",MASTER!$I$4:$I$1463,"&lt;&gt;")*$A140*100/100,0)),MASTER!$Y$4:$Y$1463,0))="",NA(),INDEX(MASTER!$I$4:$I$1463,MATCH("VENDETTA"&amp;"|"&amp;MAX(1,ROUND(COUNTIFS(MASTER!$B$4:$B$1463,"VENDETTA",MASTER!$I$4:$I$1463,"&lt;&gt;")*$A140*100/100,0)),MASTER!$Y$4:$Y$1463,0))),NA()),IF($B$4="COMBAT RATING",IFERROR(IF(INDEX(MASTER!$G$4:$G$1463,MATCH("VENDETTA"&amp;"|"&amp;MAX(1,ROUND(COUNTIFS(MASTER!$B$4:$B$1463,"VENDETTA",MASTER!$G$4:$G$1463,"&lt;&gt;")*$A140*100/100,0)),MASTER!$AH$4:$AH$1463,0))="",NA(),INDEX(MASTER!$G$4:$G$1463,MATCH("VENDETTA"&amp;"|"&amp;MAX(1,ROUND(COUNTIFS(MASTER!$B$4:$B$1463,"VENDETTA",MASTER!$G$4:$G$1463,"&lt;&gt;")*$A140*100/100,0)),MASTER!$AH$4:$AH$1463,0))),NA()),IF($B$4="SECONDARY",IFERROR(IF(INDEX(MASTER!$L$4:$L$1463,MATCH("VENDETTA"&amp;"|"&amp;MAX(1,ROUND(COUNTIFS(MASTER!$B$4:$B$1463,"VENDETTA",MASTER!$L$4:$L$1463,"&lt;&gt;")*$A140*100/100,0)),MASTER!$AI$4:$AI$1463,0))="",NA(),INDEX(MASTER!$L$4:$L$1463,MATCH("VENDETTA"&amp;"|"&amp;MAX(1,ROUND(COUNTIFS(MASTER!$B$4:$B$1463,"VENDETTA",MASTER!$L$4:$L$1463,"&lt;&gt;")*$A140*100/100,0)),MASTER!$AI$4:$AI$1463,0))),NA()))))</f>
        <v>1256</v>
      </c>
      <c r="O140" s="37">
        <f>IF($B$4="RESONANCE",IFERROR(IF(INDEX(MASTER!$I$4:$I$1463,MATCH("ZOMBIES"&amp;"|"&amp;MAX(1,ROUND(COUNTIFS(MASTER!$B$4:$B$1463,"ZOMBIES",MASTER!$I$4:$I$1463,"&lt;&gt;")*$A140*100/100,0)),MASTER!$Y$4:$Y$1463,0))="",NA(),INDEX(MASTER!$I$4:$I$1463,MATCH("ZOMBIES"&amp;"|"&amp;MAX(1,ROUND(COUNTIFS(MASTER!$B$4:$B$1463,"ZOMBIES",MASTER!$I$4:$I$1463,"&lt;&gt;")*$A140*100/100,0)),MASTER!$Y$4:$Y$1463,0))),NA()),IF($B$4="COMBAT RATING",IFERROR(IF(INDEX(MASTER!$G$4:$G$1463,MATCH("ZOMBIES"&amp;"|"&amp;MAX(1,ROUND(COUNTIFS(MASTER!$B$4:$B$1463,"ZOMBIES",MASTER!$G$4:$G$1463,"&lt;&gt;")*$A140*100/100,0)),MASTER!$AH$4:$AH$1463,0))="",NA(),INDEX(MASTER!$G$4:$G$1463,MATCH("ZOMBIES"&amp;"|"&amp;MAX(1,ROUND(COUNTIFS(MASTER!$B$4:$B$1463,"ZOMBIES",MASTER!$G$4:$G$1463,"&lt;&gt;")*$A140*100/100,0)),MASTER!$AH$4:$AH$1463,0))),NA()),IF($B$4="SECONDARY",IFERROR(IF(INDEX(MASTER!$L$4:$L$1463,MATCH("ZOMBIES"&amp;"|"&amp;MAX(1,ROUND(COUNTIFS(MASTER!$B$4:$B$1463,"ZOMBIES",MASTER!$L$4:$L$1463,"&lt;&gt;")*$A140*100/100,0)),MASTER!$AI$4:$AI$1463,0))="",NA(),INDEX(MASTER!$L$4:$L$1463,MATCH("ZOMBIES"&amp;"|"&amp;MAX(1,ROUND(COUNTIFS(MASTER!$B$4:$B$1463,"ZOMBIES",MASTER!$L$4:$L$1463,"&lt;&gt;")*$A140*100/100,0)),MASTER!$AI$4:$AI$1463,0))),NA()))))</f>
        <v>1031</v>
      </c>
      <c r="P140" s="37">
        <f>IF($B$4="RESONANCE",IFERROR(IF(INDEX(MASTER!$I$4:$I$1463,MATCH("FUCT"&amp;"|"&amp;MAX(1,ROUND(COUNTIFS(MASTER!$B$4:$B$1463,"FUCT",MASTER!$I$4:$I$1463,"&lt;&gt;")*$A140*100/100,0)),MASTER!$Y$4:$Y$1463,0))="",NA(),INDEX(MASTER!$I$4:$I$1463,MATCH("FUCT"&amp;"|"&amp;MAX(1,ROUND(COUNTIFS(MASTER!$B$4:$B$1463,"FUCT",MASTER!$I$4:$I$1463,"&lt;&gt;")*$A140*100/100,0)),MASTER!$Y$4:$Y$1463,0))),NA()),IF($B$4="COMBAT RATING",IFERROR(IF(INDEX(MASTER!$G$4:$G$1463,MATCH("FUCT"&amp;"|"&amp;MAX(1,ROUND(COUNTIFS(MASTER!$B$4:$B$1463,"FUCT",MASTER!$G$4:$G$1463,"&lt;&gt;")*$A140*100/100,0)),MASTER!$AH$4:$AH$1463,0))="",NA(),INDEX(MASTER!$G$4:$G$1463,MATCH("FUCT"&amp;"|"&amp;MAX(1,ROUND(COUNTIFS(MASTER!$B$4:$B$1463,"FUCT",MASTER!$G$4:$G$1463,"&lt;&gt;")*$A140*100/100,0)),MASTER!$AH$4:$AH$1463,0))),NA()),IF($B$4="SECONDARY",IFERROR(IF(INDEX(MASTER!$L$4:$L$1463,MATCH("FUCT"&amp;"|"&amp;MAX(1,ROUND(COUNTIFS(MASTER!$B$4:$B$1463,"FUCT",MASTER!$L$4:$L$1463,"&lt;&gt;")*$A140*100/100,0)),MASTER!$AI$4:$AI$1463,0))="",NA(),INDEX(MASTER!$L$4:$L$1463,MATCH("FUCT"&amp;"|"&amp;MAX(1,ROUND(COUNTIFS(MASTER!$B$4:$B$1463,"FUCT",MASTER!$L$4:$L$1463,"&lt;&gt;")*$A140*100/100,0)),MASTER!$AI$4:$AI$1463,0))),NA()))))</f>
        <v>3215</v>
      </c>
      <c r="Q140" s="37">
        <f>IF($B$4="RESONANCE",IFERROR(IF(INDEX(MASTER!$I$4:$I$1463,MATCH($E$4&amp;"|"&amp;MAX(1,ROUND(COUNTIFS(MASTER!$B$4:$B$1463,$E$4,MASTER!$I$4:$I$1463,"&lt;&gt;")*$A140*100/100,0)),MASTER!$Y$4:$Y$1463,0))="",NA(),INDEX(MASTER!$I$4:$I$1463,MATCH($E$4&amp;"|"&amp;MAX(1,ROUND(COUNTIFS(MASTER!$B$4:$B$1463,$E$4,MASTER!$I$4:$I$1463,"&lt;&gt;")*$A140*100/100,0)),MASTER!$Y$4:$Y$1463,0))),NA()),IF($B$4="COMBAT RATING",IFERROR(IF(INDEX(MASTER!$G$4:$G$1463,MATCH($E$4&amp;"|"&amp;MAX(1,ROUND(COUNTIFS(MASTER!$B$4:$B$1463,$E$4,MASTER!$G$4:$G$1463,"&lt;&gt;")*$A140*100/100,0)),MASTER!$AH$4:$AH$1463,0))="",NA(),INDEX(MASTER!$G$4:$G$1463,MATCH($E$4&amp;"|"&amp;MAX(1,ROUND(COUNTIFS(MASTER!$B$4:$B$1463,$E$4,MASTER!$G$4:$G$1463,"&lt;&gt;")*$A140*100/100,0)),MASTER!$AH$4:$AH$1463,0))),NA()),IF($B$4="SECONDARY",IFERROR(IF(INDEX(MASTER!$L$4:$L$1463,MATCH($E$4&amp;"|"&amp;MAX(1,ROUND(COUNTIFS(MASTER!$B$4:$B$1463,$E$4,MASTER!$L$4:$L$1463,"&lt;&gt;")*$A140*100/100,0)),MASTER!$AI$4:$AI$1463,0))="",NA(),INDEX(MASTER!$L$4:$L$1463,MATCH($E$4&amp;"|"&amp;MAX(1,ROUND(COUNTIFS(MASTER!$B$4:$B$1463,$E$4,MASTER!$L$4:$L$1463,"&lt;&gt;")*$A140*100/100,0)),MASTER!$AI$4:$AI$1463,0))),NA()))))</f>
        <v>2950</v>
      </c>
    </row>
    <row r="141" spans="1:17" hidden="1">
      <c r="A141" s="36">
        <v>0.86</v>
      </c>
      <c r="B141" s="37">
        <f>IF($B$4="RESONANCE",IFERROR(IF(INDEX(MASTER!$I$4:$I$1463,MATCH("FUCT"&amp;"|"&amp;MAX(1,ROUND(COUNTIFS(MASTER!$B$4:$B$1463,"FUCT",MASTER!$I$4:$I$1463,"&lt;&gt;")*$A141*100/100,0)),MASTER!$Y$4:$Y$1463,0))="",NA(),INDEX(MASTER!$I$4:$I$1463,MATCH("FUCT"&amp;"|"&amp;MAX(1,ROUND(COUNTIFS(MASTER!$B$4:$B$1463,"FUCT",MASTER!$I$4:$I$1463,"&lt;&gt;")*$A141*100/100,0)),MASTER!$Y$4:$Y$1463,0))),NA()),IF($B$4="COMBAT RATING",IFERROR(IF(INDEX(MASTER!$G$4:$G$1463,MATCH("FUCT"&amp;"|"&amp;MAX(1,ROUND(COUNTIFS(MASTER!$B$4:$B$1463,"FUCT",MASTER!$G$4:$G$1463,"&lt;&gt;")*$A141*100/100,0)),MASTER!$AH$4:$AH$1463,0))="",NA(),INDEX(MASTER!$G$4:$G$1463,MATCH("FUCT"&amp;"|"&amp;MAX(1,ROUND(COUNTIFS(MASTER!$B$4:$B$1463,"FUCT",MASTER!$G$4:$G$1463,"&lt;&gt;")*$A141*100/100,0)),MASTER!$AH$4:$AH$1463,0))),NA()),IF($B$4="SECONDARY",IFERROR(IF(INDEX(MASTER!$L$4:$L$1463,MATCH("FUCT"&amp;"|"&amp;MAX(1,ROUND(COUNTIFS(MASTER!$B$4:$B$1463,"FUCT",MASTER!$L$4:$L$1463,"&lt;&gt;")*$A141*100/100,0)),MASTER!$AI$4:$AI$1463,0))="",NA(),INDEX(MASTER!$L$4:$L$1463,MATCH("FUCT"&amp;"|"&amp;MAX(1,ROUND(COUNTIFS(MASTER!$B$4:$B$1463,"FUCT",MASTER!$L$4:$L$1463,"&lt;&gt;")*$A141*100/100,0)),MASTER!$AI$4:$AI$1463,0))),NA()))))</f>
        <v>3206</v>
      </c>
      <c r="C141" s="37">
        <f>IF($B$4="RESONANCE",IFERROR(IF(INDEX(MASTER!$I$4:$I$1463,MATCH("LEGENDS"&amp;"|"&amp;MAX(1,ROUND(COUNTIFS(MASTER!$B$4:$B$1463,"LEGENDS",MASTER!$I$4:$I$1463,"&lt;&gt;")*$A141*100/100,0)),MASTER!$Y$4:$Y$1463,0))="",NA(),INDEX(MASTER!$I$4:$I$1463,MATCH("LEGENDS"&amp;"|"&amp;MAX(1,ROUND(COUNTIFS(MASTER!$B$4:$B$1463,"LEGENDS",MASTER!$I$4:$I$1463,"&lt;&gt;")*$A141*100/100,0)),MASTER!$Y$4:$Y$1463,0))),NA()),IF($B$4="COMBAT RATING",IFERROR(IF(INDEX(MASTER!$G$4:$G$1463,MATCH("LEGENDS"&amp;"|"&amp;MAX(1,ROUND(COUNTIFS(MASTER!$B$4:$B$1463,"LEGENDS",MASTER!$G$4:$G$1463,"&lt;&gt;")*$A141*100/100,0)),MASTER!$AH$4:$AH$1463,0))="",NA(),INDEX(MASTER!$G$4:$G$1463,MATCH("LEGENDS"&amp;"|"&amp;MAX(1,ROUND(COUNTIFS(MASTER!$B$4:$B$1463,"LEGENDS",MASTER!$G$4:$G$1463,"&lt;&gt;")*$A141*100/100,0)),MASTER!$AH$4:$AH$1463,0))),NA()),IF($B$4="SECONDARY",IFERROR(IF(INDEX(MASTER!$L$4:$L$1463,MATCH("LEGENDS"&amp;"|"&amp;MAX(1,ROUND(COUNTIFS(MASTER!$B$4:$B$1463,"LEGENDS",MASTER!$L$4:$L$1463,"&lt;&gt;")*$A141*100/100,0)),MASTER!$AI$4:$AI$1463,0))="",NA(),INDEX(MASTER!$L$4:$L$1463,MATCH("LEGENDS"&amp;"|"&amp;MAX(1,ROUND(COUNTIFS(MASTER!$B$4:$B$1463,"LEGENDS",MASTER!$L$4:$L$1463,"&lt;&gt;")*$A141*100/100,0)),MASTER!$AI$4:$AI$1463,0))),NA()))))</f>
        <v>3568</v>
      </c>
      <c r="D141" s="37">
        <f>IF($B$4="RESONANCE",IFERROR(IF(INDEX(MASTER!$I$4:$I$1463,MATCH("VANGUARD"&amp;"|"&amp;MAX(1,ROUND(COUNTIFS(MASTER!$B$4:$B$1463,"VANGUARD",MASTER!$I$4:$I$1463,"&lt;&gt;")*$A141*100/100,0)),MASTER!$Y$4:$Y$1463,0))="",NA(),INDEX(MASTER!$I$4:$I$1463,MATCH("VANGUARD"&amp;"|"&amp;MAX(1,ROUND(COUNTIFS(MASTER!$B$4:$B$1463,"VANGUARD",MASTER!$I$4:$I$1463,"&lt;&gt;")*$A141*100/100,0)),MASTER!$Y$4:$Y$1463,0))),NA()),IF($B$4="COMBAT RATING",IFERROR(IF(INDEX(MASTER!$G$4:$G$1463,MATCH("VANGUARD"&amp;"|"&amp;MAX(1,ROUND(COUNTIFS(MASTER!$B$4:$B$1463,"VANGUARD",MASTER!$G$4:$G$1463,"&lt;&gt;")*$A141*100/100,0)),MASTER!$AH$4:$AH$1463,0))="",NA(),INDEX(MASTER!$G$4:$G$1463,MATCH("VANGUARD"&amp;"|"&amp;MAX(1,ROUND(COUNTIFS(MASTER!$B$4:$B$1463,"VANGUARD",MASTER!$G$4:$G$1463,"&lt;&gt;")*$A141*100/100,0)),MASTER!$AH$4:$AH$1463,0))),NA()),IF($B$4="SECONDARY",IFERROR(IF(INDEX(MASTER!$L$4:$L$1463,MATCH("VANGUARD"&amp;"|"&amp;MAX(1,ROUND(COUNTIFS(MASTER!$B$4:$B$1463,"VANGUARD",MASTER!$L$4:$L$1463,"&lt;&gt;")*$A141*100/100,0)),MASTER!$AI$4:$AI$1463,0))="",NA(),INDEX(MASTER!$L$4:$L$1463,MATCH("VANGUARD"&amp;"|"&amp;MAX(1,ROUND(COUNTIFS(MASTER!$B$4:$B$1463,"VANGUARD",MASTER!$L$4:$L$1463,"&lt;&gt;")*$A141*100/100,0)),MASTER!$AI$4:$AI$1463,0))),NA()))))</f>
        <v>3801</v>
      </c>
      <c r="E141" s="37">
        <f>IF($B$4="RESONANCE",IFERROR(IF(INDEX(MASTER!$I$4:$I$1463,MATCH("UNDYING"&amp;"|"&amp;MAX(1,ROUND(COUNTIFS(MASTER!$B$4:$B$1463,"UNDYING",MASTER!$I$4:$I$1463,"&lt;&gt;")*$A141*100/100,0)),MASTER!$Y$4:$Y$1463,0))="",NA(),INDEX(MASTER!$I$4:$I$1463,MATCH("UNDYING"&amp;"|"&amp;MAX(1,ROUND(COUNTIFS(MASTER!$B$4:$B$1463,"UNDYING",MASTER!$I$4:$I$1463,"&lt;&gt;")*$A141*100/100,0)),MASTER!$Y$4:$Y$1463,0))),NA()),IF($B$4="COMBAT RATING",IFERROR(IF(INDEX(MASTER!$G$4:$G$1463,MATCH("UNDYING"&amp;"|"&amp;MAX(1,ROUND(COUNTIFS(MASTER!$B$4:$B$1463,"UNDYING",MASTER!$G$4:$G$1463,"&lt;&gt;")*$A141*100/100,0)),MASTER!$AH$4:$AH$1463,0))="",NA(),INDEX(MASTER!$G$4:$G$1463,MATCH("UNDYING"&amp;"|"&amp;MAX(1,ROUND(COUNTIFS(MASTER!$B$4:$B$1463,"UNDYING",MASTER!$G$4:$G$1463,"&lt;&gt;")*$A141*100/100,0)),MASTER!$AH$4:$AH$1463,0))),NA()),IF($B$4="SECONDARY",IFERROR(IF(INDEX(MASTER!$L$4:$L$1463,MATCH("UNDYING"&amp;"|"&amp;MAX(1,ROUND(COUNTIFS(MASTER!$B$4:$B$1463,"UNDYING",MASTER!$L$4:$L$1463,"&lt;&gt;")*$A141*100/100,0)),MASTER!$AI$4:$AI$1463,0))="",NA(),INDEX(MASTER!$L$4:$L$1463,MATCH("UNDYING"&amp;"|"&amp;MAX(1,ROUND(COUNTIFS(MASTER!$B$4:$B$1463,"UNDYING",MASTER!$L$4:$L$1463,"&lt;&gt;")*$A141*100/100,0)),MASTER!$AI$4:$AI$1463,0))),NA()))))</f>
        <v>2928</v>
      </c>
      <c r="F141" s="37">
        <f>IF($B$4="RESONANCE",IFERROR(IF(INDEX(MASTER!$I$4:$I$1463,MATCH("SBG"&amp;"|"&amp;MAX(1,ROUND(COUNTIFS(MASTER!$B$4:$B$1463,"SBG",MASTER!$I$4:$I$1463,"&lt;&gt;")*$A141*100/100,0)),MASTER!$Y$4:$Y$1463,0))="",NA(),INDEX(MASTER!$I$4:$I$1463,MATCH("SBG"&amp;"|"&amp;MAX(1,ROUND(COUNTIFS(MASTER!$B$4:$B$1463,"SBG",MASTER!$I$4:$I$1463,"&lt;&gt;")*$A141*100/100,0)),MASTER!$Y$4:$Y$1463,0))),NA()),IF($B$4="COMBAT RATING",IFERROR(IF(INDEX(MASTER!$G$4:$G$1463,MATCH("SBG"&amp;"|"&amp;MAX(1,ROUND(COUNTIFS(MASTER!$B$4:$B$1463,"SBG",MASTER!$G$4:$G$1463,"&lt;&gt;")*$A141*100/100,0)),MASTER!$AH$4:$AH$1463,0))="",NA(),INDEX(MASTER!$G$4:$G$1463,MATCH("SBG"&amp;"|"&amp;MAX(1,ROUND(COUNTIFS(MASTER!$B$4:$B$1463,"SBG",MASTER!$G$4:$G$1463,"&lt;&gt;")*$A141*100/100,0)),MASTER!$AH$4:$AH$1463,0))),NA()),IF($B$4="SECONDARY",IFERROR(IF(INDEX(MASTER!$L$4:$L$1463,MATCH("SBG"&amp;"|"&amp;MAX(1,ROUND(COUNTIFS(MASTER!$B$4:$B$1463,"SBG",MASTER!$L$4:$L$1463,"&lt;&gt;")*$A141*100/100,0)),MASTER!$AI$4:$AI$1463,0))="",NA(),INDEX(MASTER!$L$4:$L$1463,MATCH("SBG"&amp;"|"&amp;MAX(1,ROUND(COUNTIFS(MASTER!$B$4:$B$1463,"SBG",MASTER!$L$4:$L$1463,"&lt;&gt;")*$A141*100/100,0)),MASTER!$AI$4:$AI$1463,0))),NA()))))</f>
        <v>3475</v>
      </c>
      <c r="G141" s="37">
        <f>IF($B$4="RESONANCE",IFERROR(IF(INDEX(MASTER!$I$4:$I$1463,MATCH("AZUKI"&amp;"|"&amp;MAX(1,ROUND(COUNTIFS(MASTER!$B$4:$B$1463,"AZUKI",MASTER!$I$4:$I$1463,"&lt;&gt;")*$A141*100/100,0)),MASTER!$Y$4:$Y$1463,0))="",NA(),INDEX(MASTER!$I$4:$I$1463,MATCH("AZUKI"&amp;"|"&amp;MAX(1,ROUND(COUNTIFS(MASTER!$B$4:$B$1463,"AZUKI",MASTER!$I$4:$I$1463,"&lt;&gt;")*$A141*100/100,0)),MASTER!$Y$4:$Y$1463,0))),NA()),IF($B$4="COMBAT RATING",IFERROR(IF(INDEX(MASTER!$G$4:$G$1463,MATCH("AZUKI"&amp;"|"&amp;MAX(1,ROUND(COUNTIFS(MASTER!$B$4:$B$1463,"AZUKI",MASTER!$G$4:$G$1463,"&lt;&gt;")*$A141*100/100,0)),MASTER!$AH$4:$AH$1463,0))="",NA(),INDEX(MASTER!$G$4:$G$1463,MATCH("AZUKI"&amp;"|"&amp;MAX(1,ROUND(COUNTIFS(MASTER!$B$4:$B$1463,"AZUKI",MASTER!$G$4:$G$1463,"&lt;&gt;")*$A141*100/100,0)),MASTER!$AH$4:$AH$1463,0))),NA()),IF($B$4="SECONDARY",IFERROR(IF(INDEX(MASTER!$L$4:$L$1463,MATCH("AZUKI"&amp;"|"&amp;MAX(1,ROUND(COUNTIFS(MASTER!$B$4:$B$1463,"AZUKI",MASTER!$L$4:$L$1463,"&lt;&gt;")*$A141*100/100,0)),MASTER!$AI$4:$AI$1463,0))="",NA(),INDEX(MASTER!$L$4:$L$1463,MATCH("AZUKI"&amp;"|"&amp;MAX(1,ROUND(COUNTIFS(MASTER!$B$4:$B$1463,"AZUKI",MASTER!$L$4:$L$1463,"&lt;&gt;")*$A141*100/100,0)),MASTER!$AI$4:$AI$1463,0))),NA()))))</f>
        <v>3076</v>
      </c>
      <c r="H141" s="37">
        <f>IF($B$4="RESONANCE",IFERROR(IF(INDEX(MASTER!$I$4:$I$1463,MATCH("RECKONING"&amp;"|"&amp;MAX(1,ROUND(COUNTIFS(MASTER!$B$4:$B$1463,"RECKONING",MASTER!$I$4:$I$1463,"&lt;&gt;")*$A141*100/100,0)),MASTER!$Y$4:$Y$1463,0))="",NA(),INDEX(MASTER!$I$4:$I$1463,MATCH("RECKONING"&amp;"|"&amp;MAX(1,ROUND(COUNTIFS(MASTER!$B$4:$B$1463,"RECKONING",MASTER!$I$4:$I$1463,"&lt;&gt;")*$A141*100/100,0)),MASTER!$Y$4:$Y$1463,0))),NA()),IF($B$4="COMBAT RATING",IFERROR(IF(INDEX(MASTER!$G$4:$G$1463,MATCH("RECKONING"&amp;"|"&amp;MAX(1,ROUND(COUNTIFS(MASTER!$B$4:$B$1463,"RECKONING",MASTER!$G$4:$G$1463,"&lt;&gt;")*$A141*100/100,0)),MASTER!$AH$4:$AH$1463,0))="",NA(),INDEX(MASTER!$G$4:$G$1463,MATCH("RECKONING"&amp;"|"&amp;MAX(1,ROUND(COUNTIFS(MASTER!$B$4:$B$1463,"RECKONING",MASTER!$G$4:$G$1463,"&lt;&gt;")*$A141*100/100,0)),MASTER!$AH$4:$AH$1463,0))),NA()),IF($B$4="SECONDARY",IFERROR(IF(INDEX(MASTER!$L$4:$L$1463,MATCH("RECKONING"&amp;"|"&amp;MAX(1,ROUND(COUNTIFS(MASTER!$B$4:$B$1463,"RECKONING",MASTER!$L$4:$L$1463,"&lt;&gt;")*$A141*100/100,0)),MASTER!$AI$4:$AI$1463,0))="",NA(),INDEX(MASTER!$L$4:$L$1463,MATCH("RECKONING"&amp;"|"&amp;MAX(1,ROUND(COUNTIFS(MASTER!$B$4:$B$1463,"RECKONING",MASTER!$L$4:$L$1463,"&lt;&gt;")*$A141*100/100,0)),MASTER!$AI$4:$AI$1463,0))),NA()))))</f>
        <v>3285</v>
      </c>
      <c r="I141" s="37">
        <f>IF($B$4="RESONANCE",IFERROR(IF(INDEX(MASTER!$I$4:$I$1463,MATCH("ACHERON"&amp;"|"&amp;MAX(1,ROUND(COUNTIFS(MASTER!$B$4:$B$1463,"ACHERON",MASTER!$I$4:$I$1463,"&lt;&gt;")*$A141*100/100,0)),MASTER!$Y$4:$Y$1463,0))="",NA(),INDEX(MASTER!$I$4:$I$1463,MATCH("ACHERON"&amp;"|"&amp;MAX(1,ROUND(COUNTIFS(MASTER!$B$4:$B$1463,"ACHERON",MASTER!$I$4:$I$1463,"&lt;&gt;")*$A141*100/100,0)),MASTER!$Y$4:$Y$1463,0))),NA()),IF($B$4="COMBAT RATING",IFERROR(IF(INDEX(MASTER!$G$4:$G$1463,MATCH("ACHERON"&amp;"|"&amp;MAX(1,ROUND(COUNTIFS(MASTER!$B$4:$B$1463,"ACHERON",MASTER!$G$4:$G$1463,"&lt;&gt;")*$A141*100/100,0)),MASTER!$AH$4:$AH$1463,0))="",NA(),INDEX(MASTER!$G$4:$G$1463,MATCH("ACHERON"&amp;"|"&amp;MAX(1,ROUND(COUNTIFS(MASTER!$B$4:$B$1463,"ACHERON",MASTER!$G$4:$G$1463,"&lt;&gt;")*$A141*100/100,0)),MASTER!$AH$4:$AH$1463,0))),NA()),IF($B$4="SECONDARY",IFERROR(IF(INDEX(MASTER!$L$4:$L$1463,MATCH("ACHERON"&amp;"|"&amp;MAX(1,ROUND(COUNTIFS(MASTER!$B$4:$B$1463,"ACHERON",MASTER!$L$4:$L$1463,"&lt;&gt;")*$A141*100/100,0)),MASTER!$AI$4:$AI$1463,0))="",NA(),INDEX(MASTER!$L$4:$L$1463,MATCH("ACHERON"&amp;"|"&amp;MAX(1,ROUND(COUNTIFS(MASTER!$B$4:$B$1463,"ACHERON",MASTER!$L$4:$L$1463,"&lt;&gt;")*$A141*100/100,0)),MASTER!$AI$4:$AI$1463,0))),NA()))))</f>
        <v>2276</v>
      </c>
      <c r="J141" s="37">
        <f>IF($B$4="RESONANCE",IFERROR(IF(INDEX(MASTER!$I$4:$I$1463,MATCH("INVICTUS"&amp;"|"&amp;MAX(1,ROUND(COUNTIFS(MASTER!$B$4:$B$1463,"INVICTUS",MASTER!$I$4:$I$1463,"&lt;&gt;")*$A141*100/100,0)),MASTER!$Y$4:$Y$1463,0))="",NA(),INDEX(MASTER!$I$4:$I$1463,MATCH("INVICTUS"&amp;"|"&amp;MAX(1,ROUND(COUNTIFS(MASTER!$B$4:$B$1463,"INVICTUS",MASTER!$I$4:$I$1463,"&lt;&gt;")*$A141*100/100,0)),MASTER!$Y$4:$Y$1463,0))),NA()),IF($B$4="COMBAT RATING",IFERROR(IF(INDEX(MASTER!$G$4:$G$1463,MATCH("INVICTUS"&amp;"|"&amp;MAX(1,ROUND(COUNTIFS(MASTER!$B$4:$B$1463,"INVICTUS",MASTER!$G$4:$G$1463,"&lt;&gt;")*$A141*100/100,0)),MASTER!$AH$4:$AH$1463,0))="",NA(),INDEX(MASTER!$G$4:$G$1463,MATCH("INVICTUS"&amp;"|"&amp;MAX(1,ROUND(COUNTIFS(MASTER!$B$4:$B$1463,"INVICTUS",MASTER!$G$4:$G$1463,"&lt;&gt;")*$A141*100/100,0)),MASTER!$AH$4:$AH$1463,0))),NA()),IF($B$4="SECONDARY",IFERROR(IF(INDEX(MASTER!$L$4:$L$1463,MATCH("INVICTUS"&amp;"|"&amp;MAX(1,ROUND(COUNTIFS(MASTER!$B$4:$B$1463,"INVICTUS",MASTER!$L$4:$L$1463,"&lt;&gt;")*$A141*100/100,0)),MASTER!$AI$4:$AI$1463,0))="",NA(),INDEX(MASTER!$L$4:$L$1463,MATCH("INVICTUS"&amp;"|"&amp;MAX(1,ROUND(COUNTIFS(MASTER!$B$4:$B$1463,"INVICTUS",MASTER!$L$4:$L$1463,"&lt;&gt;")*$A141*100/100,0)),MASTER!$AI$4:$AI$1463,0))),NA()))))</f>
        <v>1966</v>
      </c>
      <c r="K141" s="37">
        <f>IF($B$4="RESONANCE",IFERROR(IF(INDEX(MASTER!$I$4:$I$1463,MATCH("EMERALD LEAF TRIBE"&amp;"|"&amp;MAX(1,ROUND(COUNTIFS(MASTER!$B$4:$B$1463,"EMERALD LEAF TRIBE",MASTER!$I$4:$I$1463,"&lt;&gt;")*$A141*100/100,0)),MASTER!$Y$4:$Y$1463,0))="",NA(),INDEX(MASTER!$I$4:$I$1463,MATCH("EMERALD LEAF TRIBE"&amp;"|"&amp;MAX(1,ROUND(COUNTIFS(MASTER!$B$4:$B$1463,"EMERALD LEAF TRIBE",MASTER!$I$4:$I$1463,"&lt;&gt;")*$A141*100/100,0)),MASTER!$Y$4:$Y$1463,0))),NA()),IF($B$4="COMBAT RATING",IFERROR(IF(INDEX(MASTER!$G$4:$G$1463,MATCH("EMERALD LEAF TRIBE"&amp;"|"&amp;MAX(1,ROUND(COUNTIFS(MASTER!$B$4:$B$1463,"EMERALD LEAF TRIBE",MASTER!$G$4:$G$1463,"&lt;&gt;")*$A141*100/100,0)),MASTER!$AH$4:$AH$1463,0))="",NA(),INDEX(MASTER!$G$4:$G$1463,MATCH("EMERALD LEAF TRIBE"&amp;"|"&amp;MAX(1,ROUND(COUNTIFS(MASTER!$B$4:$B$1463,"EMERALD LEAF TRIBE",MASTER!$G$4:$G$1463,"&lt;&gt;")*$A141*100/100,0)),MASTER!$AH$4:$AH$1463,0))),NA()),IF($B$4="SECONDARY",IFERROR(IF(INDEX(MASTER!$L$4:$L$1463,MATCH("EMERALD LEAF TRIBE"&amp;"|"&amp;MAX(1,ROUND(COUNTIFS(MASTER!$B$4:$B$1463,"EMERALD LEAF TRIBE",MASTER!$L$4:$L$1463,"&lt;&gt;")*$A141*100/100,0)),MASTER!$AI$4:$AI$1463,0))="",NA(),INDEX(MASTER!$L$4:$L$1463,MATCH("EMERALD LEAF TRIBE"&amp;"|"&amp;MAX(1,ROUND(COUNTIFS(MASTER!$B$4:$B$1463,"EMERALD LEAF TRIBE",MASTER!$L$4:$L$1463,"&lt;&gt;")*$A141*100/100,0)),MASTER!$AI$4:$AI$1463,0))),NA()))))</f>
        <v>1020</v>
      </c>
      <c r="L141" s="37">
        <f>IF($B$4="RESONANCE",IFERROR(IF(INDEX(MASTER!$I$4:$I$1463,MATCH("SUB ROSA"&amp;"|"&amp;MAX(1,ROUND(COUNTIFS(MASTER!$B$4:$B$1463,"SUB ROSA",MASTER!$I$4:$I$1463,"&lt;&gt;")*$A141*100/100,0)),MASTER!$Y$4:$Y$1463,0))="",NA(),INDEX(MASTER!$I$4:$I$1463,MATCH("SUB ROSA"&amp;"|"&amp;MAX(1,ROUND(COUNTIFS(MASTER!$B$4:$B$1463,"SUB ROSA",MASTER!$I$4:$I$1463,"&lt;&gt;")*$A141*100/100,0)),MASTER!$Y$4:$Y$1463,0))),NA()),IF($B$4="COMBAT RATING",IFERROR(IF(INDEX(MASTER!$G$4:$G$1463,MATCH("SUB ROSA"&amp;"|"&amp;MAX(1,ROUND(COUNTIFS(MASTER!$B$4:$B$1463,"SUB ROSA",MASTER!$G$4:$G$1463,"&lt;&gt;")*$A141*100/100,0)),MASTER!$AH$4:$AH$1463,0))="",NA(),INDEX(MASTER!$G$4:$G$1463,MATCH("SUB ROSA"&amp;"|"&amp;MAX(1,ROUND(COUNTIFS(MASTER!$B$4:$B$1463,"SUB ROSA",MASTER!$G$4:$G$1463,"&lt;&gt;")*$A141*100/100,0)),MASTER!$AH$4:$AH$1463,0))),NA()),IF($B$4="SECONDARY",IFERROR(IF(INDEX(MASTER!$L$4:$L$1463,MATCH("SUB ROSA"&amp;"|"&amp;MAX(1,ROUND(COUNTIFS(MASTER!$B$4:$B$1463,"SUB ROSA",MASTER!$L$4:$L$1463,"&lt;&gt;")*$A141*100/100,0)),MASTER!$AI$4:$AI$1463,0))="",NA(),INDEX(MASTER!$L$4:$L$1463,MATCH("SUB ROSA"&amp;"|"&amp;MAX(1,ROUND(COUNTIFS(MASTER!$B$4:$B$1463,"SUB ROSA",MASTER!$L$4:$L$1463,"&lt;&gt;")*$A141*100/100,0)),MASTER!$AI$4:$AI$1463,0))),NA()))))</f>
        <v>1126</v>
      </c>
      <c r="M141" s="37">
        <f>IF($B$4="RESONANCE",IFERROR(IF(INDEX(MASTER!$I$4:$I$1463,MATCH("VENGEANCE"&amp;"|"&amp;MAX(1,ROUND(COUNTIFS(MASTER!$B$4:$B$1463,"VENGEANCE",MASTER!$I$4:$I$1463,"&lt;&gt;")*$A141*100/100,0)),MASTER!$Y$4:$Y$1463,0))="",NA(),INDEX(MASTER!$I$4:$I$1463,MATCH("VENGEANCE"&amp;"|"&amp;MAX(1,ROUND(COUNTIFS(MASTER!$B$4:$B$1463,"VENGEANCE",MASTER!$I$4:$I$1463,"&lt;&gt;")*$A141*100/100,0)),MASTER!$Y$4:$Y$1463,0))),NA()),IF($B$4="COMBAT RATING",IFERROR(IF(INDEX(MASTER!$G$4:$G$1463,MATCH("VENGEANCE"&amp;"|"&amp;MAX(1,ROUND(COUNTIFS(MASTER!$B$4:$B$1463,"VENGEANCE",MASTER!$G$4:$G$1463,"&lt;&gt;")*$A141*100/100,0)),MASTER!$AH$4:$AH$1463,0))="",NA(),INDEX(MASTER!$G$4:$G$1463,MATCH("VENGEANCE"&amp;"|"&amp;MAX(1,ROUND(COUNTIFS(MASTER!$B$4:$B$1463,"VENGEANCE",MASTER!$G$4:$G$1463,"&lt;&gt;")*$A141*100/100,0)),MASTER!$AH$4:$AH$1463,0))),NA()),IF($B$4="SECONDARY",IFERROR(IF(INDEX(MASTER!$L$4:$L$1463,MATCH("VENGEANCE"&amp;"|"&amp;MAX(1,ROUND(COUNTIFS(MASTER!$B$4:$B$1463,"VENGEANCE",MASTER!$L$4:$L$1463,"&lt;&gt;")*$A141*100/100,0)),MASTER!$AI$4:$AI$1463,0))="",NA(),INDEX(MASTER!$L$4:$L$1463,MATCH("VENGEANCE"&amp;"|"&amp;MAX(1,ROUND(COUNTIFS(MASTER!$B$4:$B$1463,"VENGEANCE",MASTER!$L$4:$L$1463,"&lt;&gt;")*$A141*100/100,0)),MASTER!$AI$4:$AI$1463,0))),NA()))))</f>
        <v>2098</v>
      </c>
      <c r="N141" s="37">
        <f>IF($B$4="RESONANCE",IFERROR(IF(INDEX(MASTER!$I$4:$I$1463,MATCH("VENDETTA"&amp;"|"&amp;MAX(1,ROUND(COUNTIFS(MASTER!$B$4:$B$1463,"VENDETTA",MASTER!$I$4:$I$1463,"&lt;&gt;")*$A141*100/100,0)),MASTER!$Y$4:$Y$1463,0))="",NA(),INDEX(MASTER!$I$4:$I$1463,MATCH("VENDETTA"&amp;"|"&amp;MAX(1,ROUND(COUNTIFS(MASTER!$B$4:$B$1463,"VENDETTA",MASTER!$I$4:$I$1463,"&lt;&gt;")*$A141*100/100,0)),MASTER!$Y$4:$Y$1463,0))),NA()),IF($B$4="COMBAT RATING",IFERROR(IF(INDEX(MASTER!$G$4:$G$1463,MATCH("VENDETTA"&amp;"|"&amp;MAX(1,ROUND(COUNTIFS(MASTER!$B$4:$B$1463,"VENDETTA",MASTER!$G$4:$G$1463,"&lt;&gt;")*$A141*100/100,0)),MASTER!$AH$4:$AH$1463,0))="",NA(),INDEX(MASTER!$G$4:$G$1463,MATCH("VENDETTA"&amp;"|"&amp;MAX(1,ROUND(COUNTIFS(MASTER!$B$4:$B$1463,"VENDETTA",MASTER!$G$4:$G$1463,"&lt;&gt;")*$A141*100/100,0)),MASTER!$AH$4:$AH$1463,0))),NA()),IF($B$4="SECONDARY",IFERROR(IF(INDEX(MASTER!$L$4:$L$1463,MATCH("VENDETTA"&amp;"|"&amp;MAX(1,ROUND(COUNTIFS(MASTER!$B$4:$B$1463,"VENDETTA",MASTER!$L$4:$L$1463,"&lt;&gt;")*$A141*100/100,0)),MASTER!$AI$4:$AI$1463,0))="",NA(),INDEX(MASTER!$L$4:$L$1463,MATCH("VENDETTA"&amp;"|"&amp;MAX(1,ROUND(COUNTIFS(MASTER!$B$4:$B$1463,"VENDETTA",MASTER!$L$4:$L$1463,"&lt;&gt;")*$A141*100/100,0)),MASTER!$AI$4:$AI$1463,0))),NA()))))</f>
        <v>1233</v>
      </c>
      <c r="O141" s="37">
        <f>IF($B$4="RESONANCE",IFERROR(IF(INDEX(MASTER!$I$4:$I$1463,MATCH("ZOMBIES"&amp;"|"&amp;MAX(1,ROUND(COUNTIFS(MASTER!$B$4:$B$1463,"ZOMBIES",MASTER!$I$4:$I$1463,"&lt;&gt;")*$A141*100/100,0)),MASTER!$Y$4:$Y$1463,0))="",NA(),INDEX(MASTER!$I$4:$I$1463,MATCH("ZOMBIES"&amp;"|"&amp;MAX(1,ROUND(COUNTIFS(MASTER!$B$4:$B$1463,"ZOMBIES",MASTER!$I$4:$I$1463,"&lt;&gt;")*$A141*100/100,0)),MASTER!$Y$4:$Y$1463,0))),NA()),IF($B$4="COMBAT RATING",IFERROR(IF(INDEX(MASTER!$G$4:$G$1463,MATCH("ZOMBIES"&amp;"|"&amp;MAX(1,ROUND(COUNTIFS(MASTER!$B$4:$B$1463,"ZOMBIES",MASTER!$G$4:$G$1463,"&lt;&gt;")*$A141*100/100,0)),MASTER!$AH$4:$AH$1463,0))="",NA(),INDEX(MASTER!$G$4:$G$1463,MATCH("ZOMBIES"&amp;"|"&amp;MAX(1,ROUND(COUNTIFS(MASTER!$B$4:$B$1463,"ZOMBIES",MASTER!$G$4:$G$1463,"&lt;&gt;")*$A141*100/100,0)),MASTER!$AH$4:$AH$1463,0))),NA()),IF($B$4="SECONDARY",IFERROR(IF(INDEX(MASTER!$L$4:$L$1463,MATCH("ZOMBIES"&amp;"|"&amp;MAX(1,ROUND(COUNTIFS(MASTER!$B$4:$B$1463,"ZOMBIES",MASTER!$L$4:$L$1463,"&lt;&gt;")*$A141*100/100,0)),MASTER!$AI$4:$AI$1463,0))="",NA(),INDEX(MASTER!$L$4:$L$1463,MATCH("ZOMBIES"&amp;"|"&amp;MAX(1,ROUND(COUNTIFS(MASTER!$B$4:$B$1463,"ZOMBIES",MASTER!$L$4:$L$1463,"&lt;&gt;")*$A141*100/100,0)),MASTER!$AI$4:$AI$1463,0))),NA()))))</f>
        <v>1028</v>
      </c>
      <c r="P141" s="37">
        <f>IF($B$4="RESONANCE",IFERROR(IF(INDEX(MASTER!$I$4:$I$1463,MATCH("FUCT"&amp;"|"&amp;MAX(1,ROUND(COUNTIFS(MASTER!$B$4:$B$1463,"FUCT",MASTER!$I$4:$I$1463,"&lt;&gt;")*$A141*100/100,0)),MASTER!$Y$4:$Y$1463,0))="",NA(),INDEX(MASTER!$I$4:$I$1463,MATCH("FUCT"&amp;"|"&amp;MAX(1,ROUND(COUNTIFS(MASTER!$B$4:$B$1463,"FUCT",MASTER!$I$4:$I$1463,"&lt;&gt;")*$A141*100/100,0)),MASTER!$Y$4:$Y$1463,0))),NA()),IF($B$4="COMBAT RATING",IFERROR(IF(INDEX(MASTER!$G$4:$G$1463,MATCH("FUCT"&amp;"|"&amp;MAX(1,ROUND(COUNTIFS(MASTER!$B$4:$B$1463,"FUCT",MASTER!$G$4:$G$1463,"&lt;&gt;")*$A141*100/100,0)),MASTER!$AH$4:$AH$1463,0))="",NA(),INDEX(MASTER!$G$4:$G$1463,MATCH("FUCT"&amp;"|"&amp;MAX(1,ROUND(COUNTIFS(MASTER!$B$4:$B$1463,"FUCT",MASTER!$G$4:$G$1463,"&lt;&gt;")*$A141*100/100,0)),MASTER!$AH$4:$AH$1463,0))),NA()),IF($B$4="SECONDARY",IFERROR(IF(INDEX(MASTER!$L$4:$L$1463,MATCH("FUCT"&amp;"|"&amp;MAX(1,ROUND(COUNTIFS(MASTER!$B$4:$B$1463,"FUCT",MASTER!$L$4:$L$1463,"&lt;&gt;")*$A141*100/100,0)),MASTER!$AI$4:$AI$1463,0))="",NA(),INDEX(MASTER!$L$4:$L$1463,MATCH("FUCT"&amp;"|"&amp;MAX(1,ROUND(COUNTIFS(MASTER!$B$4:$B$1463,"FUCT",MASTER!$L$4:$L$1463,"&lt;&gt;")*$A141*100/100,0)),MASTER!$AI$4:$AI$1463,0))),NA()))))</f>
        <v>3206</v>
      </c>
      <c r="Q141" s="37">
        <f>IF($B$4="RESONANCE",IFERROR(IF(INDEX(MASTER!$I$4:$I$1463,MATCH($E$4&amp;"|"&amp;MAX(1,ROUND(COUNTIFS(MASTER!$B$4:$B$1463,$E$4,MASTER!$I$4:$I$1463,"&lt;&gt;")*$A141*100/100,0)),MASTER!$Y$4:$Y$1463,0))="",NA(),INDEX(MASTER!$I$4:$I$1463,MATCH($E$4&amp;"|"&amp;MAX(1,ROUND(COUNTIFS(MASTER!$B$4:$B$1463,$E$4,MASTER!$I$4:$I$1463,"&lt;&gt;")*$A141*100/100,0)),MASTER!$Y$4:$Y$1463,0))),NA()),IF($B$4="COMBAT RATING",IFERROR(IF(INDEX(MASTER!$G$4:$G$1463,MATCH($E$4&amp;"|"&amp;MAX(1,ROUND(COUNTIFS(MASTER!$B$4:$B$1463,$E$4,MASTER!$G$4:$G$1463,"&lt;&gt;")*$A141*100/100,0)),MASTER!$AH$4:$AH$1463,0))="",NA(),INDEX(MASTER!$G$4:$G$1463,MATCH($E$4&amp;"|"&amp;MAX(1,ROUND(COUNTIFS(MASTER!$B$4:$B$1463,$E$4,MASTER!$G$4:$G$1463,"&lt;&gt;")*$A141*100/100,0)),MASTER!$AH$4:$AH$1463,0))),NA()),IF($B$4="SECONDARY",IFERROR(IF(INDEX(MASTER!$L$4:$L$1463,MATCH($E$4&amp;"|"&amp;MAX(1,ROUND(COUNTIFS(MASTER!$B$4:$B$1463,$E$4,MASTER!$L$4:$L$1463,"&lt;&gt;")*$A141*100/100,0)),MASTER!$AI$4:$AI$1463,0))="",NA(),INDEX(MASTER!$L$4:$L$1463,MATCH($E$4&amp;"|"&amp;MAX(1,ROUND(COUNTIFS(MASTER!$B$4:$B$1463,$E$4,MASTER!$L$4:$L$1463,"&lt;&gt;")*$A141*100/100,0)),MASTER!$AI$4:$AI$1463,0))),NA()))))</f>
        <v>2928</v>
      </c>
    </row>
    <row r="142" spans="1:17" hidden="1">
      <c r="A142" s="36">
        <v>0.87</v>
      </c>
      <c r="B142" s="37">
        <f>IF($B$4="RESONANCE",IFERROR(IF(INDEX(MASTER!$I$4:$I$1463,MATCH("FUCT"&amp;"|"&amp;MAX(1,ROUND(COUNTIFS(MASTER!$B$4:$B$1463,"FUCT",MASTER!$I$4:$I$1463,"&lt;&gt;")*$A142*100/100,0)),MASTER!$Y$4:$Y$1463,0))="",NA(),INDEX(MASTER!$I$4:$I$1463,MATCH("FUCT"&amp;"|"&amp;MAX(1,ROUND(COUNTIFS(MASTER!$B$4:$B$1463,"FUCT",MASTER!$I$4:$I$1463,"&lt;&gt;")*$A142*100/100,0)),MASTER!$Y$4:$Y$1463,0))),NA()),IF($B$4="COMBAT RATING",IFERROR(IF(INDEX(MASTER!$G$4:$G$1463,MATCH("FUCT"&amp;"|"&amp;MAX(1,ROUND(COUNTIFS(MASTER!$B$4:$B$1463,"FUCT",MASTER!$G$4:$G$1463,"&lt;&gt;")*$A142*100/100,0)),MASTER!$AH$4:$AH$1463,0))="",NA(),INDEX(MASTER!$G$4:$G$1463,MATCH("FUCT"&amp;"|"&amp;MAX(1,ROUND(COUNTIFS(MASTER!$B$4:$B$1463,"FUCT",MASTER!$G$4:$G$1463,"&lt;&gt;")*$A142*100/100,0)),MASTER!$AH$4:$AH$1463,0))),NA()),IF($B$4="SECONDARY",IFERROR(IF(INDEX(MASTER!$L$4:$L$1463,MATCH("FUCT"&amp;"|"&amp;MAX(1,ROUND(COUNTIFS(MASTER!$B$4:$B$1463,"FUCT",MASTER!$L$4:$L$1463,"&lt;&gt;")*$A142*100/100,0)),MASTER!$AI$4:$AI$1463,0))="",NA(),INDEX(MASTER!$L$4:$L$1463,MATCH("FUCT"&amp;"|"&amp;MAX(1,ROUND(COUNTIFS(MASTER!$B$4:$B$1463,"FUCT",MASTER!$L$4:$L$1463,"&lt;&gt;")*$A142*100/100,0)),MASTER!$AI$4:$AI$1463,0))),NA()))))</f>
        <v>3202</v>
      </c>
      <c r="C142" s="37">
        <f>IF($B$4="RESONANCE",IFERROR(IF(INDEX(MASTER!$I$4:$I$1463,MATCH("LEGENDS"&amp;"|"&amp;MAX(1,ROUND(COUNTIFS(MASTER!$B$4:$B$1463,"LEGENDS",MASTER!$I$4:$I$1463,"&lt;&gt;")*$A142*100/100,0)),MASTER!$Y$4:$Y$1463,0))="",NA(),INDEX(MASTER!$I$4:$I$1463,MATCH("LEGENDS"&amp;"|"&amp;MAX(1,ROUND(COUNTIFS(MASTER!$B$4:$B$1463,"LEGENDS",MASTER!$I$4:$I$1463,"&lt;&gt;")*$A142*100/100,0)),MASTER!$Y$4:$Y$1463,0))),NA()),IF($B$4="COMBAT RATING",IFERROR(IF(INDEX(MASTER!$G$4:$G$1463,MATCH("LEGENDS"&amp;"|"&amp;MAX(1,ROUND(COUNTIFS(MASTER!$B$4:$B$1463,"LEGENDS",MASTER!$G$4:$G$1463,"&lt;&gt;")*$A142*100/100,0)),MASTER!$AH$4:$AH$1463,0))="",NA(),INDEX(MASTER!$G$4:$G$1463,MATCH("LEGENDS"&amp;"|"&amp;MAX(1,ROUND(COUNTIFS(MASTER!$B$4:$B$1463,"LEGENDS",MASTER!$G$4:$G$1463,"&lt;&gt;")*$A142*100/100,0)),MASTER!$AH$4:$AH$1463,0))),NA()),IF($B$4="SECONDARY",IFERROR(IF(INDEX(MASTER!$L$4:$L$1463,MATCH("LEGENDS"&amp;"|"&amp;MAX(1,ROUND(COUNTIFS(MASTER!$B$4:$B$1463,"LEGENDS",MASTER!$L$4:$L$1463,"&lt;&gt;")*$A142*100/100,0)),MASTER!$AI$4:$AI$1463,0))="",NA(),INDEX(MASTER!$L$4:$L$1463,MATCH("LEGENDS"&amp;"|"&amp;MAX(1,ROUND(COUNTIFS(MASTER!$B$4:$B$1463,"LEGENDS",MASTER!$L$4:$L$1463,"&lt;&gt;")*$A142*100/100,0)),MASTER!$AI$4:$AI$1463,0))),NA()))))</f>
        <v>3536</v>
      </c>
      <c r="D142" s="37">
        <f>IF($B$4="RESONANCE",IFERROR(IF(INDEX(MASTER!$I$4:$I$1463,MATCH("VANGUARD"&amp;"|"&amp;MAX(1,ROUND(COUNTIFS(MASTER!$B$4:$B$1463,"VANGUARD",MASTER!$I$4:$I$1463,"&lt;&gt;")*$A142*100/100,0)),MASTER!$Y$4:$Y$1463,0))="",NA(),INDEX(MASTER!$I$4:$I$1463,MATCH("VANGUARD"&amp;"|"&amp;MAX(1,ROUND(COUNTIFS(MASTER!$B$4:$B$1463,"VANGUARD",MASTER!$I$4:$I$1463,"&lt;&gt;")*$A142*100/100,0)),MASTER!$Y$4:$Y$1463,0))),NA()),IF($B$4="COMBAT RATING",IFERROR(IF(INDEX(MASTER!$G$4:$G$1463,MATCH("VANGUARD"&amp;"|"&amp;MAX(1,ROUND(COUNTIFS(MASTER!$B$4:$B$1463,"VANGUARD",MASTER!$G$4:$G$1463,"&lt;&gt;")*$A142*100/100,0)),MASTER!$AH$4:$AH$1463,0))="",NA(),INDEX(MASTER!$G$4:$G$1463,MATCH("VANGUARD"&amp;"|"&amp;MAX(1,ROUND(COUNTIFS(MASTER!$B$4:$B$1463,"VANGUARD",MASTER!$G$4:$G$1463,"&lt;&gt;")*$A142*100/100,0)),MASTER!$AH$4:$AH$1463,0))),NA()),IF($B$4="SECONDARY",IFERROR(IF(INDEX(MASTER!$L$4:$L$1463,MATCH("VANGUARD"&amp;"|"&amp;MAX(1,ROUND(COUNTIFS(MASTER!$B$4:$B$1463,"VANGUARD",MASTER!$L$4:$L$1463,"&lt;&gt;")*$A142*100/100,0)),MASTER!$AI$4:$AI$1463,0))="",NA(),INDEX(MASTER!$L$4:$L$1463,MATCH("VANGUARD"&amp;"|"&amp;MAX(1,ROUND(COUNTIFS(MASTER!$B$4:$B$1463,"VANGUARD",MASTER!$L$4:$L$1463,"&lt;&gt;")*$A142*100/100,0)),MASTER!$AI$4:$AI$1463,0))),NA()))))</f>
        <v>3768</v>
      </c>
      <c r="E142" s="37">
        <f>IF($B$4="RESONANCE",IFERROR(IF(INDEX(MASTER!$I$4:$I$1463,MATCH("UNDYING"&amp;"|"&amp;MAX(1,ROUND(COUNTIFS(MASTER!$B$4:$B$1463,"UNDYING",MASTER!$I$4:$I$1463,"&lt;&gt;")*$A142*100/100,0)),MASTER!$Y$4:$Y$1463,0))="",NA(),INDEX(MASTER!$I$4:$I$1463,MATCH("UNDYING"&amp;"|"&amp;MAX(1,ROUND(COUNTIFS(MASTER!$B$4:$B$1463,"UNDYING",MASTER!$I$4:$I$1463,"&lt;&gt;")*$A142*100/100,0)),MASTER!$Y$4:$Y$1463,0))),NA()),IF($B$4="COMBAT RATING",IFERROR(IF(INDEX(MASTER!$G$4:$G$1463,MATCH("UNDYING"&amp;"|"&amp;MAX(1,ROUND(COUNTIFS(MASTER!$B$4:$B$1463,"UNDYING",MASTER!$G$4:$G$1463,"&lt;&gt;")*$A142*100/100,0)),MASTER!$AH$4:$AH$1463,0))="",NA(),INDEX(MASTER!$G$4:$G$1463,MATCH("UNDYING"&amp;"|"&amp;MAX(1,ROUND(COUNTIFS(MASTER!$B$4:$B$1463,"UNDYING",MASTER!$G$4:$G$1463,"&lt;&gt;")*$A142*100/100,0)),MASTER!$AH$4:$AH$1463,0))),NA()),IF($B$4="SECONDARY",IFERROR(IF(INDEX(MASTER!$L$4:$L$1463,MATCH("UNDYING"&amp;"|"&amp;MAX(1,ROUND(COUNTIFS(MASTER!$B$4:$B$1463,"UNDYING",MASTER!$L$4:$L$1463,"&lt;&gt;")*$A142*100/100,0)),MASTER!$AI$4:$AI$1463,0))="",NA(),INDEX(MASTER!$L$4:$L$1463,MATCH("UNDYING"&amp;"|"&amp;MAX(1,ROUND(COUNTIFS(MASTER!$B$4:$B$1463,"UNDYING",MASTER!$L$4:$L$1463,"&lt;&gt;")*$A142*100/100,0)),MASTER!$AI$4:$AI$1463,0))),NA()))))</f>
        <v>2885</v>
      </c>
      <c r="F142" s="37">
        <f>IF($B$4="RESONANCE",IFERROR(IF(INDEX(MASTER!$I$4:$I$1463,MATCH("SBG"&amp;"|"&amp;MAX(1,ROUND(COUNTIFS(MASTER!$B$4:$B$1463,"SBG",MASTER!$I$4:$I$1463,"&lt;&gt;")*$A142*100/100,0)),MASTER!$Y$4:$Y$1463,0))="",NA(),INDEX(MASTER!$I$4:$I$1463,MATCH("SBG"&amp;"|"&amp;MAX(1,ROUND(COUNTIFS(MASTER!$B$4:$B$1463,"SBG",MASTER!$I$4:$I$1463,"&lt;&gt;")*$A142*100/100,0)),MASTER!$Y$4:$Y$1463,0))),NA()),IF($B$4="COMBAT RATING",IFERROR(IF(INDEX(MASTER!$G$4:$G$1463,MATCH("SBG"&amp;"|"&amp;MAX(1,ROUND(COUNTIFS(MASTER!$B$4:$B$1463,"SBG",MASTER!$G$4:$G$1463,"&lt;&gt;")*$A142*100/100,0)),MASTER!$AH$4:$AH$1463,0))="",NA(),INDEX(MASTER!$G$4:$G$1463,MATCH("SBG"&amp;"|"&amp;MAX(1,ROUND(COUNTIFS(MASTER!$B$4:$B$1463,"SBG",MASTER!$G$4:$G$1463,"&lt;&gt;")*$A142*100/100,0)),MASTER!$AH$4:$AH$1463,0))),NA()),IF($B$4="SECONDARY",IFERROR(IF(INDEX(MASTER!$L$4:$L$1463,MATCH("SBG"&amp;"|"&amp;MAX(1,ROUND(COUNTIFS(MASTER!$B$4:$B$1463,"SBG",MASTER!$L$4:$L$1463,"&lt;&gt;")*$A142*100/100,0)),MASTER!$AI$4:$AI$1463,0))="",NA(),INDEX(MASTER!$L$4:$L$1463,MATCH("SBG"&amp;"|"&amp;MAX(1,ROUND(COUNTIFS(MASTER!$B$4:$B$1463,"SBG",MASTER!$L$4:$L$1463,"&lt;&gt;")*$A142*100/100,0)),MASTER!$AI$4:$AI$1463,0))),NA()))))</f>
        <v>3452</v>
      </c>
      <c r="G142" s="37">
        <f>IF($B$4="RESONANCE",IFERROR(IF(INDEX(MASTER!$I$4:$I$1463,MATCH("AZUKI"&amp;"|"&amp;MAX(1,ROUND(COUNTIFS(MASTER!$B$4:$B$1463,"AZUKI",MASTER!$I$4:$I$1463,"&lt;&gt;")*$A142*100/100,0)),MASTER!$Y$4:$Y$1463,0))="",NA(),INDEX(MASTER!$I$4:$I$1463,MATCH("AZUKI"&amp;"|"&amp;MAX(1,ROUND(COUNTIFS(MASTER!$B$4:$B$1463,"AZUKI",MASTER!$I$4:$I$1463,"&lt;&gt;")*$A142*100/100,0)),MASTER!$Y$4:$Y$1463,0))),NA()),IF($B$4="COMBAT RATING",IFERROR(IF(INDEX(MASTER!$G$4:$G$1463,MATCH("AZUKI"&amp;"|"&amp;MAX(1,ROUND(COUNTIFS(MASTER!$B$4:$B$1463,"AZUKI",MASTER!$G$4:$G$1463,"&lt;&gt;")*$A142*100/100,0)),MASTER!$AH$4:$AH$1463,0))="",NA(),INDEX(MASTER!$G$4:$G$1463,MATCH("AZUKI"&amp;"|"&amp;MAX(1,ROUND(COUNTIFS(MASTER!$B$4:$B$1463,"AZUKI",MASTER!$G$4:$G$1463,"&lt;&gt;")*$A142*100/100,0)),MASTER!$AH$4:$AH$1463,0))),NA()),IF($B$4="SECONDARY",IFERROR(IF(INDEX(MASTER!$L$4:$L$1463,MATCH("AZUKI"&amp;"|"&amp;MAX(1,ROUND(COUNTIFS(MASTER!$B$4:$B$1463,"AZUKI",MASTER!$L$4:$L$1463,"&lt;&gt;")*$A142*100/100,0)),MASTER!$AI$4:$AI$1463,0))="",NA(),INDEX(MASTER!$L$4:$L$1463,MATCH("AZUKI"&amp;"|"&amp;MAX(1,ROUND(COUNTIFS(MASTER!$B$4:$B$1463,"AZUKI",MASTER!$L$4:$L$1463,"&lt;&gt;")*$A142*100/100,0)),MASTER!$AI$4:$AI$1463,0))),NA()))))</f>
        <v>3055</v>
      </c>
      <c r="H142" s="37">
        <f>IF($B$4="RESONANCE",IFERROR(IF(INDEX(MASTER!$I$4:$I$1463,MATCH("RECKONING"&amp;"|"&amp;MAX(1,ROUND(COUNTIFS(MASTER!$B$4:$B$1463,"RECKONING",MASTER!$I$4:$I$1463,"&lt;&gt;")*$A142*100/100,0)),MASTER!$Y$4:$Y$1463,0))="",NA(),INDEX(MASTER!$I$4:$I$1463,MATCH("RECKONING"&amp;"|"&amp;MAX(1,ROUND(COUNTIFS(MASTER!$B$4:$B$1463,"RECKONING",MASTER!$I$4:$I$1463,"&lt;&gt;")*$A142*100/100,0)),MASTER!$Y$4:$Y$1463,0))),NA()),IF($B$4="COMBAT RATING",IFERROR(IF(INDEX(MASTER!$G$4:$G$1463,MATCH("RECKONING"&amp;"|"&amp;MAX(1,ROUND(COUNTIFS(MASTER!$B$4:$B$1463,"RECKONING",MASTER!$G$4:$G$1463,"&lt;&gt;")*$A142*100/100,0)),MASTER!$AH$4:$AH$1463,0))="",NA(),INDEX(MASTER!$G$4:$G$1463,MATCH("RECKONING"&amp;"|"&amp;MAX(1,ROUND(COUNTIFS(MASTER!$B$4:$B$1463,"RECKONING",MASTER!$G$4:$G$1463,"&lt;&gt;")*$A142*100/100,0)),MASTER!$AH$4:$AH$1463,0))),NA()),IF($B$4="SECONDARY",IFERROR(IF(INDEX(MASTER!$L$4:$L$1463,MATCH("RECKONING"&amp;"|"&amp;MAX(1,ROUND(COUNTIFS(MASTER!$B$4:$B$1463,"RECKONING",MASTER!$L$4:$L$1463,"&lt;&gt;")*$A142*100/100,0)),MASTER!$AI$4:$AI$1463,0))="",NA(),INDEX(MASTER!$L$4:$L$1463,MATCH("RECKONING"&amp;"|"&amp;MAX(1,ROUND(COUNTIFS(MASTER!$B$4:$B$1463,"RECKONING",MASTER!$L$4:$L$1463,"&lt;&gt;")*$A142*100/100,0)),MASTER!$AI$4:$AI$1463,0))),NA()))))</f>
        <v>3182</v>
      </c>
      <c r="I142" s="37">
        <f>IF($B$4="RESONANCE",IFERROR(IF(INDEX(MASTER!$I$4:$I$1463,MATCH("ACHERON"&amp;"|"&amp;MAX(1,ROUND(COUNTIFS(MASTER!$B$4:$B$1463,"ACHERON",MASTER!$I$4:$I$1463,"&lt;&gt;")*$A142*100/100,0)),MASTER!$Y$4:$Y$1463,0))="",NA(),INDEX(MASTER!$I$4:$I$1463,MATCH("ACHERON"&amp;"|"&amp;MAX(1,ROUND(COUNTIFS(MASTER!$B$4:$B$1463,"ACHERON",MASTER!$I$4:$I$1463,"&lt;&gt;")*$A142*100/100,0)),MASTER!$Y$4:$Y$1463,0))),NA()),IF($B$4="COMBAT RATING",IFERROR(IF(INDEX(MASTER!$G$4:$G$1463,MATCH("ACHERON"&amp;"|"&amp;MAX(1,ROUND(COUNTIFS(MASTER!$B$4:$B$1463,"ACHERON",MASTER!$G$4:$G$1463,"&lt;&gt;")*$A142*100/100,0)),MASTER!$AH$4:$AH$1463,0))="",NA(),INDEX(MASTER!$G$4:$G$1463,MATCH("ACHERON"&amp;"|"&amp;MAX(1,ROUND(COUNTIFS(MASTER!$B$4:$B$1463,"ACHERON",MASTER!$G$4:$G$1463,"&lt;&gt;")*$A142*100/100,0)),MASTER!$AH$4:$AH$1463,0))),NA()),IF($B$4="SECONDARY",IFERROR(IF(INDEX(MASTER!$L$4:$L$1463,MATCH("ACHERON"&amp;"|"&amp;MAX(1,ROUND(COUNTIFS(MASTER!$B$4:$B$1463,"ACHERON",MASTER!$L$4:$L$1463,"&lt;&gt;")*$A142*100/100,0)),MASTER!$AI$4:$AI$1463,0))="",NA(),INDEX(MASTER!$L$4:$L$1463,MATCH("ACHERON"&amp;"|"&amp;MAX(1,ROUND(COUNTIFS(MASTER!$B$4:$B$1463,"ACHERON",MASTER!$L$4:$L$1463,"&lt;&gt;")*$A142*100/100,0)),MASTER!$AI$4:$AI$1463,0))),NA()))))</f>
        <v>2246</v>
      </c>
      <c r="J142" s="37">
        <f>IF($B$4="RESONANCE",IFERROR(IF(INDEX(MASTER!$I$4:$I$1463,MATCH("INVICTUS"&amp;"|"&amp;MAX(1,ROUND(COUNTIFS(MASTER!$B$4:$B$1463,"INVICTUS",MASTER!$I$4:$I$1463,"&lt;&gt;")*$A142*100/100,0)),MASTER!$Y$4:$Y$1463,0))="",NA(),INDEX(MASTER!$I$4:$I$1463,MATCH("INVICTUS"&amp;"|"&amp;MAX(1,ROUND(COUNTIFS(MASTER!$B$4:$B$1463,"INVICTUS",MASTER!$I$4:$I$1463,"&lt;&gt;")*$A142*100/100,0)),MASTER!$Y$4:$Y$1463,0))),NA()),IF($B$4="COMBAT RATING",IFERROR(IF(INDEX(MASTER!$G$4:$G$1463,MATCH("INVICTUS"&amp;"|"&amp;MAX(1,ROUND(COUNTIFS(MASTER!$B$4:$B$1463,"INVICTUS",MASTER!$G$4:$G$1463,"&lt;&gt;")*$A142*100/100,0)),MASTER!$AH$4:$AH$1463,0))="",NA(),INDEX(MASTER!$G$4:$G$1463,MATCH("INVICTUS"&amp;"|"&amp;MAX(1,ROUND(COUNTIFS(MASTER!$B$4:$B$1463,"INVICTUS",MASTER!$G$4:$G$1463,"&lt;&gt;")*$A142*100/100,0)),MASTER!$AH$4:$AH$1463,0))),NA()),IF($B$4="SECONDARY",IFERROR(IF(INDEX(MASTER!$L$4:$L$1463,MATCH("INVICTUS"&amp;"|"&amp;MAX(1,ROUND(COUNTIFS(MASTER!$B$4:$B$1463,"INVICTUS",MASTER!$L$4:$L$1463,"&lt;&gt;")*$A142*100/100,0)),MASTER!$AI$4:$AI$1463,0))="",NA(),INDEX(MASTER!$L$4:$L$1463,MATCH("INVICTUS"&amp;"|"&amp;MAX(1,ROUND(COUNTIFS(MASTER!$B$4:$B$1463,"INVICTUS",MASTER!$L$4:$L$1463,"&lt;&gt;")*$A142*100/100,0)),MASTER!$AI$4:$AI$1463,0))),NA()))))</f>
        <v>1780</v>
      </c>
      <c r="K142" s="37">
        <f>IF($B$4="RESONANCE",IFERROR(IF(INDEX(MASTER!$I$4:$I$1463,MATCH("EMERALD LEAF TRIBE"&amp;"|"&amp;MAX(1,ROUND(COUNTIFS(MASTER!$B$4:$B$1463,"EMERALD LEAF TRIBE",MASTER!$I$4:$I$1463,"&lt;&gt;")*$A142*100/100,0)),MASTER!$Y$4:$Y$1463,0))="",NA(),INDEX(MASTER!$I$4:$I$1463,MATCH("EMERALD LEAF TRIBE"&amp;"|"&amp;MAX(1,ROUND(COUNTIFS(MASTER!$B$4:$B$1463,"EMERALD LEAF TRIBE",MASTER!$I$4:$I$1463,"&lt;&gt;")*$A142*100/100,0)),MASTER!$Y$4:$Y$1463,0))),NA()),IF($B$4="COMBAT RATING",IFERROR(IF(INDEX(MASTER!$G$4:$G$1463,MATCH("EMERALD LEAF TRIBE"&amp;"|"&amp;MAX(1,ROUND(COUNTIFS(MASTER!$B$4:$B$1463,"EMERALD LEAF TRIBE",MASTER!$G$4:$G$1463,"&lt;&gt;")*$A142*100/100,0)),MASTER!$AH$4:$AH$1463,0))="",NA(),INDEX(MASTER!$G$4:$G$1463,MATCH("EMERALD LEAF TRIBE"&amp;"|"&amp;MAX(1,ROUND(COUNTIFS(MASTER!$B$4:$B$1463,"EMERALD LEAF TRIBE",MASTER!$G$4:$G$1463,"&lt;&gt;")*$A142*100/100,0)),MASTER!$AH$4:$AH$1463,0))),NA()),IF($B$4="SECONDARY",IFERROR(IF(INDEX(MASTER!$L$4:$L$1463,MATCH("EMERALD LEAF TRIBE"&amp;"|"&amp;MAX(1,ROUND(COUNTIFS(MASTER!$B$4:$B$1463,"EMERALD LEAF TRIBE",MASTER!$L$4:$L$1463,"&lt;&gt;")*$A142*100/100,0)),MASTER!$AI$4:$AI$1463,0))="",NA(),INDEX(MASTER!$L$4:$L$1463,MATCH("EMERALD LEAF TRIBE"&amp;"|"&amp;MAX(1,ROUND(COUNTIFS(MASTER!$B$4:$B$1463,"EMERALD LEAF TRIBE",MASTER!$L$4:$L$1463,"&lt;&gt;")*$A142*100/100,0)),MASTER!$AI$4:$AI$1463,0))),NA()))))</f>
        <v>988</v>
      </c>
      <c r="L142" s="37">
        <f>IF($B$4="RESONANCE",IFERROR(IF(INDEX(MASTER!$I$4:$I$1463,MATCH("SUB ROSA"&amp;"|"&amp;MAX(1,ROUND(COUNTIFS(MASTER!$B$4:$B$1463,"SUB ROSA",MASTER!$I$4:$I$1463,"&lt;&gt;")*$A142*100/100,0)),MASTER!$Y$4:$Y$1463,0))="",NA(),INDEX(MASTER!$I$4:$I$1463,MATCH("SUB ROSA"&amp;"|"&amp;MAX(1,ROUND(COUNTIFS(MASTER!$B$4:$B$1463,"SUB ROSA",MASTER!$I$4:$I$1463,"&lt;&gt;")*$A142*100/100,0)),MASTER!$Y$4:$Y$1463,0))),NA()),IF($B$4="COMBAT RATING",IFERROR(IF(INDEX(MASTER!$G$4:$G$1463,MATCH("SUB ROSA"&amp;"|"&amp;MAX(1,ROUND(COUNTIFS(MASTER!$B$4:$B$1463,"SUB ROSA",MASTER!$G$4:$G$1463,"&lt;&gt;")*$A142*100/100,0)),MASTER!$AH$4:$AH$1463,0))="",NA(),INDEX(MASTER!$G$4:$G$1463,MATCH("SUB ROSA"&amp;"|"&amp;MAX(1,ROUND(COUNTIFS(MASTER!$B$4:$B$1463,"SUB ROSA",MASTER!$G$4:$G$1463,"&lt;&gt;")*$A142*100/100,0)),MASTER!$AH$4:$AH$1463,0))),NA()),IF($B$4="SECONDARY",IFERROR(IF(INDEX(MASTER!$L$4:$L$1463,MATCH("SUB ROSA"&amp;"|"&amp;MAX(1,ROUND(COUNTIFS(MASTER!$B$4:$B$1463,"SUB ROSA",MASTER!$L$4:$L$1463,"&lt;&gt;")*$A142*100/100,0)),MASTER!$AI$4:$AI$1463,0))="",NA(),INDEX(MASTER!$L$4:$L$1463,MATCH("SUB ROSA"&amp;"|"&amp;MAX(1,ROUND(COUNTIFS(MASTER!$B$4:$B$1463,"SUB ROSA",MASTER!$L$4:$L$1463,"&lt;&gt;")*$A142*100/100,0)),MASTER!$AI$4:$AI$1463,0))),NA()))))</f>
        <v>1100</v>
      </c>
      <c r="M142" s="37">
        <f>IF($B$4="RESONANCE",IFERROR(IF(INDEX(MASTER!$I$4:$I$1463,MATCH("VENGEANCE"&amp;"|"&amp;MAX(1,ROUND(COUNTIFS(MASTER!$B$4:$B$1463,"VENGEANCE",MASTER!$I$4:$I$1463,"&lt;&gt;")*$A142*100/100,0)),MASTER!$Y$4:$Y$1463,0))="",NA(),INDEX(MASTER!$I$4:$I$1463,MATCH("VENGEANCE"&amp;"|"&amp;MAX(1,ROUND(COUNTIFS(MASTER!$B$4:$B$1463,"VENGEANCE",MASTER!$I$4:$I$1463,"&lt;&gt;")*$A142*100/100,0)),MASTER!$Y$4:$Y$1463,0))),NA()),IF($B$4="COMBAT RATING",IFERROR(IF(INDEX(MASTER!$G$4:$G$1463,MATCH("VENGEANCE"&amp;"|"&amp;MAX(1,ROUND(COUNTIFS(MASTER!$B$4:$B$1463,"VENGEANCE",MASTER!$G$4:$G$1463,"&lt;&gt;")*$A142*100/100,0)),MASTER!$AH$4:$AH$1463,0))="",NA(),INDEX(MASTER!$G$4:$G$1463,MATCH("VENGEANCE"&amp;"|"&amp;MAX(1,ROUND(COUNTIFS(MASTER!$B$4:$B$1463,"VENGEANCE",MASTER!$G$4:$G$1463,"&lt;&gt;")*$A142*100/100,0)),MASTER!$AH$4:$AH$1463,0))),NA()),IF($B$4="SECONDARY",IFERROR(IF(INDEX(MASTER!$L$4:$L$1463,MATCH("VENGEANCE"&amp;"|"&amp;MAX(1,ROUND(COUNTIFS(MASTER!$B$4:$B$1463,"VENGEANCE",MASTER!$L$4:$L$1463,"&lt;&gt;")*$A142*100/100,0)),MASTER!$AI$4:$AI$1463,0))="",NA(),INDEX(MASTER!$L$4:$L$1463,MATCH("VENGEANCE"&amp;"|"&amp;MAX(1,ROUND(COUNTIFS(MASTER!$B$4:$B$1463,"VENGEANCE",MASTER!$L$4:$L$1463,"&lt;&gt;")*$A142*100/100,0)),MASTER!$AI$4:$AI$1463,0))),NA()))))</f>
        <v>2080</v>
      </c>
      <c r="N142" s="37">
        <f>IF($B$4="RESONANCE",IFERROR(IF(INDEX(MASTER!$I$4:$I$1463,MATCH("VENDETTA"&amp;"|"&amp;MAX(1,ROUND(COUNTIFS(MASTER!$B$4:$B$1463,"VENDETTA",MASTER!$I$4:$I$1463,"&lt;&gt;")*$A142*100/100,0)),MASTER!$Y$4:$Y$1463,0))="",NA(),INDEX(MASTER!$I$4:$I$1463,MATCH("VENDETTA"&amp;"|"&amp;MAX(1,ROUND(COUNTIFS(MASTER!$B$4:$B$1463,"VENDETTA",MASTER!$I$4:$I$1463,"&lt;&gt;")*$A142*100/100,0)),MASTER!$Y$4:$Y$1463,0))),NA()),IF($B$4="COMBAT RATING",IFERROR(IF(INDEX(MASTER!$G$4:$G$1463,MATCH("VENDETTA"&amp;"|"&amp;MAX(1,ROUND(COUNTIFS(MASTER!$B$4:$B$1463,"VENDETTA",MASTER!$G$4:$G$1463,"&lt;&gt;")*$A142*100/100,0)),MASTER!$AH$4:$AH$1463,0))="",NA(),INDEX(MASTER!$G$4:$G$1463,MATCH("VENDETTA"&amp;"|"&amp;MAX(1,ROUND(COUNTIFS(MASTER!$B$4:$B$1463,"VENDETTA",MASTER!$G$4:$G$1463,"&lt;&gt;")*$A142*100/100,0)),MASTER!$AH$4:$AH$1463,0))),NA()),IF($B$4="SECONDARY",IFERROR(IF(INDEX(MASTER!$L$4:$L$1463,MATCH("VENDETTA"&amp;"|"&amp;MAX(1,ROUND(COUNTIFS(MASTER!$B$4:$B$1463,"VENDETTA",MASTER!$L$4:$L$1463,"&lt;&gt;")*$A142*100/100,0)),MASTER!$AI$4:$AI$1463,0))="",NA(),INDEX(MASTER!$L$4:$L$1463,MATCH("VENDETTA"&amp;"|"&amp;MAX(1,ROUND(COUNTIFS(MASTER!$B$4:$B$1463,"VENDETTA",MASTER!$L$4:$L$1463,"&lt;&gt;")*$A142*100/100,0)),MASTER!$AI$4:$AI$1463,0))),NA()))))</f>
        <v>1134</v>
      </c>
      <c r="O142" s="37">
        <f>IF($B$4="RESONANCE",IFERROR(IF(INDEX(MASTER!$I$4:$I$1463,MATCH("ZOMBIES"&amp;"|"&amp;MAX(1,ROUND(COUNTIFS(MASTER!$B$4:$B$1463,"ZOMBIES",MASTER!$I$4:$I$1463,"&lt;&gt;")*$A142*100/100,0)),MASTER!$Y$4:$Y$1463,0))="",NA(),INDEX(MASTER!$I$4:$I$1463,MATCH("ZOMBIES"&amp;"|"&amp;MAX(1,ROUND(COUNTIFS(MASTER!$B$4:$B$1463,"ZOMBIES",MASTER!$I$4:$I$1463,"&lt;&gt;")*$A142*100/100,0)),MASTER!$Y$4:$Y$1463,0))),NA()),IF($B$4="COMBAT RATING",IFERROR(IF(INDEX(MASTER!$G$4:$G$1463,MATCH("ZOMBIES"&amp;"|"&amp;MAX(1,ROUND(COUNTIFS(MASTER!$B$4:$B$1463,"ZOMBIES",MASTER!$G$4:$G$1463,"&lt;&gt;")*$A142*100/100,0)),MASTER!$AH$4:$AH$1463,0))="",NA(),INDEX(MASTER!$G$4:$G$1463,MATCH("ZOMBIES"&amp;"|"&amp;MAX(1,ROUND(COUNTIFS(MASTER!$B$4:$B$1463,"ZOMBIES",MASTER!$G$4:$G$1463,"&lt;&gt;")*$A142*100/100,0)),MASTER!$AH$4:$AH$1463,0))),NA()),IF($B$4="SECONDARY",IFERROR(IF(INDEX(MASTER!$L$4:$L$1463,MATCH("ZOMBIES"&amp;"|"&amp;MAX(1,ROUND(COUNTIFS(MASTER!$B$4:$B$1463,"ZOMBIES",MASTER!$L$4:$L$1463,"&lt;&gt;")*$A142*100/100,0)),MASTER!$AI$4:$AI$1463,0))="",NA(),INDEX(MASTER!$L$4:$L$1463,MATCH("ZOMBIES"&amp;"|"&amp;MAX(1,ROUND(COUNTIFS(MASTER!$B$4:$B$1463,"ZOMBIES",MASTER!$L$4:$L$1463,"&lt;&gt;")*$A142*100/100,0)),MASTER!$AI$4:$AI$1463,0))),NA()))))</f>
        <v>990</v>
      </c>
      <c r="P142" s="37">
        <f>IF($B$4="RESONANCE",IFERROR(IF(INDEX(MASTER!$I$4:$I$1463,MATCH("FUCT"&amp;"|"&amp;MAX(1,ROUND(COUNTIFS(MASTER!$B$4:$B$1463,"FUCT",MASTER!$I$4:$I$1463,"&lt;&gt;")*$A142*100/100,0)),MASTER!$Y$4:$Y$1463,0))="",NA(),INDEX(MASTER!$I$4:$I$1463,MATCH("FUCT"&amp;"|"&amp;MAX(1,ROUND(COUNTIFS(MASTER!$B$4:$B$1463,"FUCT",MASTER!$I$4:$I$1463,"&lt;&gt;")*$A142*100/100,0)),MASTER!$Y$4:$Y$1463,0))),NA()),IF($B$4="COMBAT RATING",IFERROR(IF(INDEX(MASTER!$G$4:$G$1463,MATCH("FUCT"&amp;"|"&amp;MAX(1,ROUND(COUNTIFS(MASTER!$B$4:$B$1463,"FUCT",MASTER!$G$4:$G$1463,"&lt;&gt;")*$A142*100/100,0)),MASTER!$AH$4:$AH$1463,0))="",NA(),INDEX(MASTER!$G$4:$G$1463,MATCH("FUCT"&amp;"|"&amp;MAX(1,ROUND(COUNTIFS(MASTER!$B$4:$B$1463,"FUCT",MASTER!$G$4:$G$1463,"&lt;&gt;")*$A142*100/100,0)),MASTER!$AH$4:$AH$1463,0))),NA()),IF($B$4="SECONDARY",IFERROR(IF(INDEX(MASTER!$L$4:$L$1463,MATCH("FUCT"&amp;"|"&amp;MAX(1,ROUND(COUNTIFS(MASTER!$B$4:$B$1463,"FUCT",MASTER!$L$4:$L$1463,"&lt;&gt;")*$A142*100/100,0)),MASTER!$AI$4:$AI$1463,0))="",NA(),INDEX(MASTER!$L$4:$L$1463,MATCH("FUCT"&amp;"|"&amp;MAX(1,ROUND(COUNTIFS(MASTER!$B$4:$B$1463,"FUCT",MASTER!$L$4:$L$1463,"&lt;&gt;")*$A142*100/100,0)),MASTER!$AI$4:$AI$1463,0))),NA()))))</f>
        <v>3202</v>
      </c>
      <c r="Q142" s="37">
        <f>IF($B$4="RESONANCE",IFERROR(IF(INDEX(MASTER!$I$4:$I$1463,MATCH($E$4&amp;"|"&amp;MAX(1,ROUND(COUNTIFS(MASTER!$B$4:$B$1463,$E$4,MASTER!$I$4:$I$1463,"&lt;&gt;")*$A142*100/100,0)),MASTER!$Y$4:$Y$1463,0))="",NA(),INDEX(MASTER!$I$4:$I$1463,MATCH($E$4&amp;"|"&amp;MAX(1,ROUND(COUNTIFS(MASTER!$B$4:$B$1463,$E$4,MASTER!$I$4:$I$1463,"&lt;&gt;")*$A142*100/100,0)),MASTER!$Y$4:$Y$1463,0))),NA()),IF($B$4="COMBAT RATING",IFERROR(IF(INDEX(MASTER!$G$4:$G$1463,MATCH($E$4&amp;"|"&amp;MAX(1,ROUND(COUNTIFS(MASTER!$B$4:$B$1463,$E$4,MASTER!$G$4:$G$1463,"&lt;&gt;")*$A142*100/100,0)),MASTER!$AH$4:$AH$1463,0))="",NA(),INDEX(MASTER!$G$4:$G$1463,MATCH($E$4&amp;"|"&amp;MAX(1,ROUND(COUNTIFS(MASTER!$B$4:$B$1463,$E$4,MASTER!$G$4:$G$1463,"&lt;&gt;")*$A142*100/100,0)),MASTER!$AH$4:$AH$1463,0))),NA()),IF($B$4="SECONDARY",IFERROR(IF(INDEX(MASTER!$L$4:$L$1463,MATCH($E$4&amp;"|"&amp;MAX(1,ROUND(COUNTIFS(MASTER!$B$4:$B$1463,$E$4,MASTER!$L$4:$L$1463,"&lt;&gt;")*$A142*100/100,0)),MASTER!$AI$4:$AI$1463,0))="",NA(),INDEX(MASTER!$L$4:$L$1463,MATCH($E$4&amp;"|"&amp;MAX(1,ROUND(COUNTIFS(MASTER!$B$4:$B$1463,$E$4,MASTER!$L$4:$L$1463,"&lt;&gt;")*$A142*100/100,0)),MASTER!$AI$4:$AI$1463,0))),NA()))))</f>
        <v>2885</v>
      </c>
    </row>
    <row r="143" spans="1:17" hidden="1">
      <c r="A143" s="36">
        <v>0.88</v>
      </c>
      <c r="B143" s="37">
        <f>IF($B$4="RESONANCE",IFERROR(IF(INDEX(MASTER!$I$4:$I$1463,MATCH("FUCT"&amp;"|"&amp;MAX(1,ROUND(COUNTIFS(MASTER!$B$4:$B$1463,"FUCT",MASTER!$I$4:$I$1463,"&lt;&gt;")*$A143*100/100,0)),MASTER!$Y$4:$Y$1463,0))="",NA(),INDEX(MASTER!$I$4:$I$1463,MATCH("FUCT"&amp;"|"&amp;MAX(1,ROUND(COUNTIFS(MASTER!$B$4:$B$1463,"FUCT",MASTER!$I$4:$I$1463,"&lt;&gt;")*$A143*100/100,0)),MASTER!$Y$4:$Y$1463,0))),NA()),IF($B$4="COMBAT RATING",IFERROR(IF(INDEX(MASTER!$G$4:$G$1463,MATCH("FUCT"&amp;"|"&amp;MAX(1,ROUND(COUNTIFS(MASTER!$B$4:$B$1463,"FUCT",MASTER!$G$4:$G$1463,"&lt;&gt;")*$A143*100/100,0)),MASTER!$AH$4:$AH$1463,0))="",NA(),INDEX(MASTER!$G$4:$G$1463,MATCH("FUCT"&amp;"|"&amp;MAX(1,ROUND(COUNTIFS(MASTER!$B$4:$B$1463,"FUCT",MASTER!$G$4:$G$1463,"&lt;&gt;")*$A143*100/100,0)),MASTER!$AH$4:$AH$1463,0))),NA()),IF($B$4="SECONDARY",IFERROR(IF(INDEX(MASTER!$L$4:$L$1463,MATCH("FUCT"&amp;"|"&amp;MAX(1,ROUND(COUNTIFS(MASTER!$B$4:$B$1463,"FUCT",MASTER!$L$4:$L$1463,"&lt;&gt;")*$A143*100/100,0)),MASTER!$AI$4:$AI$1463,0))="",NA(),INDEX(MASTER!$L$4:$L$1463,MATCH("FUCT"&amp;"|"&amp;MAX(1,ROUND(COUNTIFS(MASTER!$B$4:$B$1463,"FUCT",MASTER!$L$4:$L$1463,"&lt;&gt;")*$A143*100/100,0)),MASTER!$AI$4:$AI$1463,0))),NA()))))</f>
        <v>3182</v>
      </c>
      <c r="C143" s="37">
        <f>IF($B$4="RESONANCE",IFERROR(IF(INDEX(MASTER!$I$4:$I$1463,MATCH("LEGENDS"&amp;"|"&amp;MAX(1,ROUND(COUNTIFS(MASTER!$B$4:$B$1463,"LEGENDS",MASTER!$I$4:$I$1463,"&lt;&gt;")*$A143*100/100,0)),MASTER!$Y$4:$Y$1463,0))="",NA(),INDEX(MASTER!$I$4:$I$1463,MATCH("LEGENDS"&amp;"|"&amp;MAX(1,ROUND(COUNTIFS(MASTER!$B$4:$B$1463,"LEGENDS",MASTER!$I$4:$I$1463,"&lt;&gt;")*$A143*100/100,0)),MASTER!$Y$4:$Y$1463,0))),NA()),IF($B$4="COMBAT RATING",IFERROR(IF(INDEX(MASTER!$G$4:$G$1463,MATCH("LEGENDS"&amp;"|"&amp;MAX(1,ROUND(COUNTIFS(MASTER!$B$4:$B$1463,"LEGENDS",MASTER!$G$4:$G$1463,"&lt;&gt;")*$A143*100/100,0)),MASTER!$AH$4:$AH$1463,0))="",NA(),INDEX(MASTER!$G$4:$G$1463,MATCH("LEGENDS"&amp;"|"&amp;MAX(1,ROUND(COUNTIFS(MASTER!$B$4:$B$1463,"LEGENDS",MASTER!$G$4:$G$1463,"&lt;&gt;")*$A143*100/100,0)),MASTER!$AH$4:$AH$1463,0))),NA()),IF($B$4="SECONDARY",IFERROR(IF(INDEX(MASTER!$L$4:$L$1463,MATCH("LEGENDS"&amp;"|"&amp;MAX(1,ROUND(COUNTIFS(MASTER!$B$4:$B$1463,"LEGENDS",MASTER!$L$4:$L$1463,"&lt;&gt;")*$A143*100/100,0)),MASTER!$AI$4:$AI$1463,0))="",NA(),INDEX(MASTER!$L$4:$L$1463,MATCH("LEGENDS"&amp;"|"&amp;MAX(1,ROUND(COUNTIFS(MASTER!$B$4:$B$1463,"LEGENDS",MASTER!$L$4:$L$1463,"&lt;&gt;")*$A143*100/100,0)),MASTER!$AI$4:$AI$1463,0))),NA()))))</f>
        <v>3462</v>
      </c>
      <c r="D143" s="37">
        <f>IF($B$4="RESONANCE",IFERROR(IF(INDEX(MASTER!$I$4:$I$1463,MATCH("VANGUARD"&amp;"|"&amp;MAX(1,ROUND(COUNTIFS(MASTER!$B$4:$B$1463,"VANGUARD",MASTER!$I$4:$I$1463,"&lt;&gt;")*$A143*100/100,0)),MASTER!$Y$4:$Y$1463,0))="",NA(),INDEX(MASTER!$I$4:$I$1463,MATCH("VANGUARD"&amp;"|"&amp;MAX(1,ROUND(COUNTIFS(MASTER!$B$4:$B$1463,"VANGUARD",MASTER!$I$4:$I$1463,"&lt;&gt;")*$A143*100/100,0)),MASTER!$Y$4:$Y$1463,0))),NA()),IF($B$4="COMBAT RATING",IFERROR(IF(INDEX(MASTER!$G$4:$G$1463,MATCH("VANGUARD"&amp;"|"&amp;MAX(1,ROUND(COUNTIFS(MASTER!$B$4:$B$1463,"VANGUARD",MASTER!$G$4:$G$1463,"&lt;&gt;")*$A143*100/100,0)),MASTER!$AH$4:$AH$1463,0))="",NA(),INDEX(MASTER!$G$4:$G$1463,MATCH("VANGUARD"&amp;"|"&amp;MAX(1,ROUND(COUNTIFS(MASTER!$B$4:$B$1463,"VANGUARD",MASTER!$G$4:$G$1463,"&lt;&gt;")*$A143*100/100,0)),MASTER!$AH$4:$AH$1463,0))),NA()),IF($B$4="SECONDARY",IFERROR(IF(INDEX(MASTER!$L$4:$L$1463,MATCH("VANGUARD"&amp;"|"&amp;MAX(1,ROUND(COUNTIFS(MASTER!$B$4:$B$1463,"VANGUARD",MASTER!$L$4:$L$1463,"&lt;&gt;")*$A143*100/100,0)),MASTER!$AI$4:$AI$1463,0))="",NA(),INDEX(MASTER!$L$4:$L$1463,MATCH("VANGUARD"&amp;"|"&amp;MAX(1,ROUND(COUNTIFS(MASTER!$B$4:$B$1463,"VANGUARD",MASTER!$L$4:$L$1463,"&lt;&gt;")*$A143*100/100,0)),MASTER!$AI$4:$AI$1463,0))),NA()))))</f>
        <v>3643</v>
      </c>
      <c r="E143" s="37">
        <f>IF($B$4="RESONANCE",IFERROR(IF(INDEX(MASTER!$I$4:$I$1463,MATCH("UNDYING"&amp;"|"&amp;MAX(1,ROUND(COUNTIFS(MASTER!$B$4:$B$1463,"UNDYING",MASTER!$I$4:$I$1463,"&lt;&gt;")*$A143*100/100,0)),MASTER!$Y$4:$Y$1463,0))="",NA(),INDEX(MASTER!$I$4:$I$1463,MATCH("UNDYING"&amp;"|"&amp;MAX(1,ROUND(COUNTIFS(MASTER!$B$4:$B$1463,"UNDYING",MASTER!$I$4:$I$1463,"&lt;&gt;")*$A143*100/100,0)),MASTER!$Y$4:$Y$1463,0))),NA()),IF($B$4="COMBAT RATING",IFERROR(IF(INDEX(MASTER!$G$4:$G$1463,MATCH("UNDYING"&amp;"|"&amp;MAX(1,ROUND(COUNTIFS(MASTER!$B$4:$B$1463,"UNDYING",MASTER!$G$4:$G$1463,"&lt;&gt;")*$A143*100/100,0)),MASTER!$AH$4:$AH$1463,0))="",NA(),INDEX(MASTER!$G$4:$G$1463,MATCH("UNDYING"&amp;"|"&amp;MAX(1,ROUND(COUNTIFS(MASTER!$B$4:$B$1463,"UNDYING",MASTER!$G$4:$G$1463,"&lt;&gt;")*$A143*100/100,0)),MASTER!$AH$4:$AH$1463,0))),NA()),IF($B$4="SECONDARY",IFERROR(IF(INDEX(MASTER!$L$4:$L$1463,MATCH("UNDYING"&amp;"|"&amp;MAX(1,ROUND(COUNTIFS(MASTER!$B$4:$B$1463,"UNDYING",MASTER!$L$4:$L$1463,"&lt;&gt;")*$A143*100/100,0)),MASTER!$AI$4:$AI$1463,0))="",NA(),INDEX(MASTER!$L$4:$L$1463,MATCH("UNDYING"&amp;"|"&amp;MAX(1,ROUND(COUNTIFS(MASTER!$B$4:$B$1463,"UNDYING",MASTER!$L$4:$L$1463,"&lt;&gt;")*$A143*100/100,0)),MASTER!$AI$4:$AI$1463,0))),NA()))))</f>
        <v>2885</v>
      </c>
      <c r="F143" s="37">
        <f>IF($B$4="RESONANCE",IFERROR(IF(INDEX(MASTER!$I$4:$I$1463,MATCH("SBG"&amp;"|"&amp;MAX(1,ROUND(COUNTIFS(MASTER!$B$4:$B$1463,"SBG",MASTER!$I$4:$I$1463,"&lt;&gt;")*$A143*100/100,0)),MASTER!$Y$4:$Y$1463,0))="",NA(),INDEX(MASTER!$I$4:$I$1463,MATCH("SBG"&amp;"|"&amp;MAX(1,ROUND(COUNTIFS(MASTER!$B$4:$B$1463,"SBG",MASTER!$I$4:$I$1463,"&lt;&gt;")*$A143*100/100,0)),MASTER!$Y$4:$Y$1463,0))),NA()),IF($B$4="COMBAT RATING",IFERROR(IF(INDEX(MASTER!$G$4:$G$1463,MATCH("SBG"&amp;"|"&amp;MAX(1,ROUND(COUNTIFS(MASTER!$B$4:$B$1463,"SBG",MASTER!$G$4:$G$1463,"&lt;&gt;")*$A143*100/100,0)),MASTER!$AH$4:$AH$1463,0))="",NA(),INDEX(MASTER!$G$4:$G$1463,MATCH("SBG"&amp;"|"&amp;MAX(1,ROUND(COUNTIFS(MASTER!$B$4:$B$1463,"SBG",MASTER!$G$4:$G$1463,"&lt;&gt;")*$A143*100/100,0)),MASTER!$AH$4:$AH$1463,0))),NA()),IF($B$4="SECONDARY",IFERROR(IF(INDEX(MASTER!$L$4:$L$1463,MATCH("SBG"&amp;"|"&amp;MAX(1,ROUND(COUNTIFS(MASTER!$B$4:$B$1463,"SBG",MASTER!$L$4:$L$1463,"&lt;&gt;")*$A143*100/100,0)),MASTER!$AI$4:$AI$1463,0))="",NA(),INDEX(MASTER!$L$4:$L$1463,MATCH("SBG"&amp;"|"&amp;MAX(1,ROUND(COUNTIFS(MASTER!$B$4:$B$1463,"SBG",MASTER!$L$4:$L$1463,"&lt;&gt;")*$A143*100/100,0)),MASTER!$AI$4:$AI$1463,0))),NA()))))</f>
        <v>3400</v>
      </c>
      <c r="G143" s="37">
        <f>IF($B$4="RESONANCE",IFERROR(IF(INDEX(MASTER!$I$4:$I$1463,MATCH("AZUKI"&amp;"|"&amp;MAX(1,ROUND(COUNTIFS(MASTER!$B$4:$B$1463,"AZUKI",MASTER!$I$4:$I$1463,"&lt;&gt;")*$A143*100/100,0)),MASTER!$Y$4:$Y$1463,0))="",NA(),INDEX(MASTER!$I$4:$I$1463,MATCH("AZUKI"&amp;"|"&amp;MAX(1,ROUND(COUNTIFS(MASTER!$B$4:$B$1463,"AZUKI",MASTER!$I$4:$I$1463,"&lt;&gt;")*$A143*100/100,0)),MASTER!$Y$4:$Y$1463,0))),NA()),IF($B$4="COMBAT RATING",IFERROR(IF(INDEX(MASTER!$G$4:$G$1463,MATCH("AZUKI"&amp;"|"&amp;MAX(1,ROUND(COUNTIFS(MASTER!$B$4:$B$1463,"AZUKI",MASTER!$G$4:$G$1463,"&lt;&gt;")*$A143*100/100,0)),MASTER!$AH$4:$AH$1463,0))="",NA(),INDEX(MASTER!$G$4:$G$1463,MATCH("AZUKI"&amp;"|"&amp;MAX(1,ROUND(COUNTIFS(MASTER!$B$4:$B$1463,"AZUKI",MASTER!$G$4:$G$1463,"&lt;&gt;")*$A143*100/100,0)),MASTER!$AH$4:$AH$1463,0))),NA()),IF($B$4="SECONDARY",IFERROR(IF(INDEX(MASTER!$L$4:$L$1463,MATCH("AZUKI"&amp;"|"&amp;MAX(1,ROUND(COUNTIFS(MASTER!$B$4:$B$1463,"AZUKI",MASTER!$L$4:$L$1463,"&lt;&gt;")*$A143*100/100,0)),MASTER!$AI$4:$AI$1463,0))="",NA(),INDEX(MASTER!$L$4:$L$1463,MATCH("AZUKI"&amp;"|"&amp;MAX(1,ROUND(COUNTIFS(MASTER!$B$4:$B$1463,"AZUKI",MASTER!$L$4:$L$1463,"&lt;&gt;")*$A143*100/100,0)),MASTER!$AI$4:$AI$1463,0))),NA()))))</f>
        <v>3046</v>
      </c>
      <c r="H143" s="37">
        <f>IF($B$4="RESONANCE",IFERROR(IF(INDEX(MASTER!$I$4:$I$1463,MATCH("RECKONING"&amp;"|"&amp;MAX(1,ROUND(COUNTIFS(MASTER!$B$4:$B$1463,"RECKONING",MASTER!$I$4:$I$1463,"&lt;&gt;")*$A143*100/100,0)),MASTER!$Y$4:$Y$1463,0))="",NA(),INDEX(MASTER!$I$4:$I$1463,MATCH("RECKONING"&amp;"|"&amp;MAX(1,ROUND(COUNTIFS(MASTER!$B$4:$B$1463,"RECKONING",MASTER!$I$4:$I$1463,"&lt;&gt;")*$A143*100/100,0)),MASTER!$Y$4:$Y$1463,0))),NA()),IF($B$4="COMBAT RATING",IFERROR(IF(INDEX(MASTER!$G$4:$G$1463,MATCH("RECKONING"&amp;"|"&amp;MAX(1,ROUND(COUNTIFS(MASTER!$B$4:$B$1463,"RECKONING",MASTER!$G$4:$G$1463,"&lt;&gt;")*$A143*100/100,0)),MASTER!$AH$4:$AH$1463,0))="",NA(),INDEX(MASTER!$G$4:$G$1463,MATCH("RECKONING"&amp;"|"&amp;MAX(1,ROUND(COUNTIFS(MASTER!$B$4:$B$1463,"RECKONING",MASTER!$G$4:$G$1463,"&lt;&gt;")*$A143*100/100,0)),MASTER!$AH$4:$AH$1463,0))),NA()),IF($B$4="SECONDARY",IFERROR(IF(INDEX(MASTER!$L$4:$L$1463,MATCH("RECKONING"&amp;"|"&amp;MAX(1,ROUND(COUNTIFS(MASTER!$B$4:$B$1463,"RECKONING",MASTER!$L$4:$L$1463,"&lt;&gt;")*$A143*100/100,0)),MASTER!$AI$4:$AI$1463,0))="",NA(),INDEX(MASTER!$L$4:$L$1463,MATCH("RECKONING"&amp;"|"&amp;MAX(1,ROUND(COUNTIFS(MASTER!$B$4:$B$1463,"RECKONING",MASTER!$L$4:$L$1463,"&lt;&gt;")*$A143*100/100,0)),MASTER!$AI$4:$AI$1463,0))),NA()))))</f>
        <v>3175</v>
      </c>
      <c r="I143" s="37">
        <f>IF($B$4="RESONANCE",IFERROR(IF(INDEX(MASTER!$I$4:$I$1463,MATCH("ACHERON"&amp;"|"&amp;MAX(1,ROUND(COUNTIFS(MASTER!$B$4:$B$1463,"ACHERON",MASTER!$I$4:$I$1463,"&lt;&gt;")*$A143*100/100,0)),MASTER!$Y$4:$Y$1463,0))="",NA(),INDEX(MASTER!$I$4:$I$1463,MATCH("ACHERON"&amp;"|"&amp;MAX(1,ROUND(COUNTIFS(MASTER!$B$4:$B$1463,"ACHERON",MASTER!$I$4:$I$1463,"&lt;&gt;")*$A143*100/100,0)),MASTER!$Y$4:$Y$1463,0))),NA()),IF($B$4="COMBAT RATING",IFERROR(IF(INDEX(MASTER!$G$4:$G$1463,MATCH("ACHERON"&amp;"|"&amp;MAX(1,ROUND(COUNTIFS(MASTER!$B$4:$B$1463,"ACHERON",MASTER!$G$4:$G$1463,"&lt;&gt;")*$A143*100/100,0)),MASTER!$AH$4:$AH$1463,0))="",NA(),INDEX(MASTER!$G$4:$G$1463,MATCH("ACHERON"&amp;"|"&amp;MAX(1,ROUND(COUNTIFS(MASTER!$B$4:$B$1463,"ACHERON",MASTER!$G$4:$G$1463,"&lt;&gt;")*$A143*100/100,0)),MASTER!$AH$4:$AH$1463,0))),NA()),IF($B$4="SECONDARY",IFERROR(IF(INDEX(MASTER!$L$4:$L$1463,MATCH("ACHERON"&amp;"|"&amp;MAX(1,ROUND(COUNTIFS(MASTER!$B$4:$B$1463,"ACHERON",MASTER!$L$4:$L$1463,"&lt;&gt;")*$A143*100/100,0)),MASTER!$AI$4:$AI$1463,0))="",NA(),INDEX(MASTER!$L$4:$L$1463,MATCH("ACHERON"&amp;"|"&amp;MAX(1,ROUND(COUNTIFS(MASTER!$B$4:$B$1463,"ACHERON",MASTER!$L$4:$L$1463,"&lt;&gt;")*$A143*100/100,0)),MASTER!$AI$4:$AI$1463,0))),NA()))))</f>
        <v>2108</v>
      </c>
      <c r="J143" s="37">
        <f>IF($B$4="RESONANCE",IFERROR(IF(INDEX(MASTER!$I$4:$I$1463,MATCH("INVICTUS"&amp;"|"&amp;MAX(1,ROUND(COUNTIFS(MASTER!$B$4:$B$1463,"INVICTUS",MASTER!$I$4:$I$1463,"&lt;&gt;")*$A143*100/100,0)),MASTER!$Y$4:$Y$1463,0))="",NA(),INDEX(MASTER!$I$4:$I$1463,MATCH("INVICTUS"&amp;"|"&amp;MAX(1,ROUND(COUNTIFS(MASTER!$B$4:$B$1463,"INVICTUS",MASTER!$I$4:$I$1463,"&lt;&gt;")*$A143*100/100,0)),MASTER!$Y$4:$Y$1463,0))),NA()),IF($B$4="COMBAT RATING",IFERROR(IF(INDEX(MASTER!$G$4:$G$1463,MATCH("INVICTUS"&amp;"|"&amp;MAX(1,ROUND(COUNTIFS(MASTER!$B$4:$B$1463,"INVICTUS",MASTER!$G$4:$G$1463,"&lt;&gt;")*$A143*100/100,0)),MASTER!$AH$4:$AH$1463,0))="",NA(),INDEX(MASTER!$G$4:$G$1463,MATCH("INVICTUS"&amp;"|"&amp;MAX(1,ROUND(COUNTIFS(MASTER!$B$4:$B$1463,"INVICTUS",MASTER!$G$4:$G$1463,"&lt;&gt;")*$A143*100/100,0)),MASTER!$AH$4:$AH$1463,0))),NA()),IF($B$4="SECONDARY",IFERROR(IF(INDEX(MASTER!$L$4:$L$1463,MATCH("INVICTUS"&amp;"|"&amp;MAX(1,ROUND(COUNTIFS(MASTER!$B$4:$B$1463,"INVICTUS",MASTER!$L$4:$L$1463,"&lt;&gt;")*$A143*100/100,0)),MASTER!$AI$4:$AI$1463,0))="",NA(),INDEX(MASTER!$L$4:$L$1463,MATCH("INVICTUS"&amp;"|"&amp;MAX(1,ROUND(COUNTIFS(MASTER!$B$4:$B$1463,"INVICTUS",MASTER!$L$4:$L$1463,"&lt;&gt;")*$A143*100/100,0)),MASTER!$AI$4:$AI$1463,0))),NA()))))</f>
        <v>1673</v>
      </c>
      <c r="K143" s="37">
        <f>IF($B$4="RESONANCE",IFERROR(IF(INDEX(MASTER!$I$4:$I$1463,MATCH("EMERALD LEAF TRIBE"&amp;"|"&amp;MAX(1,ROUND(COUNTIFS(MASTER!$B$4:$B$1463,"EMERALD LEAF TRIBE",MASTER!$I$4:$I$1463,"&lt;&gt;")*$A143*100/100,0)),MASTER!$Y$4:$Y$1463,0))="",NA(),INDEX(MASTER!$I$4:$I$1463,MATCH("EMERALD LEAF TRIBE"&amp;"|"&amp;MAX(1,ROUND(COUNTIFS(MASTER!$B$4:$B$1463,"EMERALD LEAF TRIBE",MASTER!$I$4:$I$1463,"&lt;&gt;")*$A143*100/100,0)),MASTER!$Y$4:$Y$1463,0))),NA()),IF($B$4="COMBAT RATING",IFERROR(IF(INDEX(MASTER!$G$4:$G$1463,MATCH("EMERALD LEAF TRIBE"&amp;"|"&amp;MAX(1,ROUND(COUNTIFS(MASTER!$B$4:$B$1463,"EMERALD LEAF TRIBE",MASTER!$G$4:$G$1463,"&lt;&gt;")*$A143*100/100,0)),MASTER!$AH$4:$AH$1463,0))="",NA(),INDEX(MASTER!$G$4:$G$1463,MATCH("EMERALD LEAF TRIBE"&amp;"|"&amp;MAX(1,ROUND(COUNTIFS(MASTER!$B$4:$B$1463,"EMERALD LEAF TRIBE",MASTER!$G$4:$G$1463,"&lt;&gt;")*$A143*100/100,0)),MASTER!$AH$4:$AH$1463,0))),NA()),IF($B$4="SECONDARY",IFERROR(IF(INDEX(MASTER!$L$4:$L$1463,MATCH("EMERALD LEAF TRIBE"&amp;"|"&amp;MAX(1,ROUND(COUNTIFS(MASTER!$B$4:$B$1463,"EMERALD LEAF TRIBE",MASTER!$L$4:$L$1463,"&lt;&gt;")*$A143*100/100,0)),MASTER!$AI$4:$AI$1463,0))="",NA(),INDEX(MASTER!$L$4:$L$1463,MATCH("EMERALD LEAF TRIBE"&amp;"|"&amp;MAX(1,ROUND(COUNTIFS(MASTER!$B$4:$B$1463,"EMERALD LEAF TRIBE",MASTER!$L$4:$L$1463,"&lt;&gt;")*$A143*100/100,0)),MASTER!$AI$4:$AI$1463,0))),NA()))))</f>
        <v>985</v>
      </c>
      <c r="L143" s="37">
        <f>IF($B$4="RESONANCE",IFERROR(IF(INDEX(MASTER!$I$4:$I$1463,MATCH("SUB ROSA"&amp;"|"&amp;MAX(1,ROUND(COUNTIFS(MASTER!$B$4:$B$1463,"SUB ROSA",MASTER!$I$4:$I$1463,"&lt;&gt;")*$A143*100/100,0)),MASTER!$Y$4:$Y$1463,0))="",NA(),INDEX(MASTER!$I$4:$I$1463,MATCH("SUB ROSA"&amp;"|"&amp;MAX(1,ROUND(COUNTIFS(MASTER!$B$4:$B$1463,"SUB ROSA",MASTER!$I$4:$I$1463,"&lt;&gt;")*$A143*100/100,0)),MASTER!$Y$4:$Y$1463,0))),NA()),IF($B$4="COMBAT RATING",IFERROR(IF(INDEX(MASTER!$G$4:$G$1463,MATCH("SUB ROSA"&amp;"|"&amp;MAX(1,ROUND(COUNTIFS(MASTER!$B$4:$B$1463,"SUB ROSA",MASTER!$G$4:$G$1463,"&lt;&gt;")*$A143*100/100,0)),MASTER!$AH$4:$AH$1463,0))="",NA(),INDEX(MASTER!$G$4:$G$1463,MATCH("SUB ROSA"&amp;"|"&amp;MAX(1,ROUND(COUNTIFS(MASTER!$B$4:$B$1463,"SUB ROSA",MASTER!$G$4:$G$1463,"&lt;&gt;")*$A143*100/100,0)),MASTER!$AH$4:$AH$1463,0))),NA()),IF($B$4="SECONDARY",IFERROR(IF(INDEX(MASTER!$L$4:$L$1463,MATCH("SUB ROSA"&amp;"|"&amp;MAX(1,ROUND(COUNTIFS(MASTER!$B$4:$B$1463,"SUB ROSA",MASTER!$L$4:$L$1463,"&lt;&gt;")*$A143*100/100,0)),MASTER!$AI$4:$AI$1463,0))="",NA(),INDEX(MASTER!$L$4:$L$1463,MATCH("SUB ROSA"&amp;"|"&amp;MAX(1,ROUND(COUNTIFS(MASTER!$B$4:$B$1463,"SUB ROSA",MASTER!$L$4:$L$1463,"&lt;&gt;")*$A143*100/100,0)),MASTER!$AI$4:$AI$1463,0))),NA()))))</f>
        <v>1060</v>
      </c>
      <c r="M143" s="37">
        <f>IF($B$4="RESONANCE",IFERROR(IF(INDEX(MASTER!$I$4:$I$1463,MATCH("VENGEANCE"&amp;"|"&amp;MAX(1,ROUND(COUNTIFS(MASTER!$B$4:$B$1463,"VENGEANCE",MASTER!$I$4:$I$1463,"&lt;&gt;")*$A143*100/100,0)),MASTER!$Y$4:$Y$1463,0))="",NA(),INDEX(MASTER!$I$4:$I$1463,MATCH("VENGEANCE"&amp;"|"&amp;MAX(1,ROUND(COUNTIFS(MASTER!$B$4:$B$1463,"VENGEANCE",MASTER!$I$4:$I$1463,"&lt;&gt;")*$A143*100/100,0)),MASTER!$Y$4:$Y$1463,0))),NA()),IF($B$4="COMBAT RATING",IFERROR(IF(INDEX(MASTER!$G$4:$G$1463,MATCH("VENGEANCE"&amp;"|"&amp;MAX(1,ROUND(COUNTIFS(MASTER!$B$4:$B$1463,"VENGEANCE",MASTER!$G$4:$G$1463,"&lt;&gt;")*$A143*100/100,0)),MASTER!$AH$4:$AH$1463,0))="",NA(),INDEX(MASTER!$G$4:$G$1463,MATCH("VENGEANCE"&amp;"|"&amp;MAX(1,ROUND(COUNTIFS(MASTER!$B$4:$B$1463,"VENGEANCE",MASTER!$G$4:$G$1463,"&lt;&gt;")*$A143*100/100,0)),MASTER!$AH$4:$AH$1463,0))),NA()),IF($B$4="SECONDARY",IFERROR(IF(INDEX(MASTER!$L$4:$L$1463,MATCH("VENGEANCE"&amp;"|"&amp;MAX(1,ROUND(COUNTIFS(MASTER!$B$4:$B$1463,"VENGEANCE",MASTER!$L$4:$L$1463,"&lt;&gt;")*$A143*100/100,0)),MASTER!$AI$4:$AI$1463,0))="",NA(),INDEX(MASTER!$L$4:$L$1463,MATCH("VENGEANCE"&amp;"|"&amp;MAX(1,ROUND(COUNTIFS(MASTER!$B$4:$B$1463,"VENGEANCE",MASTER!$L$4:$L$1463,"&lt;&gt;")*$A143*100/100,0)),MASTER!$AI$4:$AI$1463,0))),NA()))))</f>
        <v>2044</v>
      </c>
      <c r="N143" s="37">
        <f>IF($B$4="RESONANCE",IFERROR(IF(INDEX(MASTER!$I$4:$I$1463,MATCH("VENDETTA"&amp;"|"&amp;MAX(1,ROUND(COUNTIFS(MASTER!$B$4:$B$1463,"VENDETTA",MASTER!$I$4:$I$1463,"&lt;&gt;")*$A143*100/100,0)),MASTER!$Y$4:$Y$1463,0))="",NA(),INDEX(MASTER!$I$4:$I$1463,MATCH("VENDETTA"&amp;"|"&amp;MAX(1,ROUND(COUNTIFS(MASTER!$B$4:$B$1463,"VENDETTA",MASTER!$I$4:$I$1463,"&lt;&gt;")*$A143*100/100,0)),MASTER!$Y$4:$Y$1463,0))),NA()),IF($B$4="COMBAT RATING",IFERROR(IF(INDEX(MASTER!$G$4:$G$1463,MATCH("VENDETTA"&amp;"|"&amp;MAX(1,ROUND(COUNTIFS(MASTER!$B$4:$B$1463,"VENDETTA",MASTER!$G$4:$G$1463,"&lt;&gt;")*$A143*100/100,0)),MASTER!$AH$4:$AH$1463,0))="",NA(),INDEX(MASTER!$G$4:$G$1463,MATCH("VENDETTA"&amp;"|"&amp;MAX(1,ROUND(COUNTIFS(MASTER!$B$4:$B$1463,"VENDETTA",MASTER!$G$4:$G$1463,"&lt;&gt;")*$A143*100/100,0)),MASTER!$AH$4:$AH$1463,0))),NA()),IF($B$4="SECONDARY",IFERROR(IF(INDEX(MASTER!$L$4:$L$1463,MATCH("VENDETTA"&amp;"|"&amp;MAX(1,ROUND(COUNTIFS(MASTER!$B$4:$B$1463,"VENDETTA",MASTER!$L$4:$L$1463,"&lt;&gt;")*$A143*100/100,0)),MASTER!$AI$4:$AI$1463,0))="",NA(),INDEX(MASTER!$L$4:$L$1463,MATCH("VENDETTA"&amp;"|"&amp;MAX(1,ROUND(COUNTIFS(MASTER!$B$4:$B$1463,"VENDETTA",MASTER!$L$4:$L$1463,"&lt;&gt;")*$A143*100/100,0)),MASTER!$AI$4:$AI$1463,0))),NA()))))</f>
        <v>1095</v>
      </c>
      <c r="O143" s="37">
        <f>IF($B$4="RESONANCE",IFERROR(IF(INDEX(MASTER!$I$4:$I$1463,MATCH("ZOMBIES"&amp;"|"&amp;MAX(1,ROUND(COUNTIFS(MASTER!$B$4:$B$1463,"ZOMBIES",MASTER!$I$4:$I$1463,"&lt;&gt;")*$A143*100/100,0)),MASTER!$Y$4:$Y$1463,0))="",NA(),INDEX(MASTER!$I$4:$I$1463,MATCH("ZOMBIES"&amp;"|"&amp;MAX(1,ROUND(COUNTIFS(MASTER!$B$4:$B$1463,"ZOMBIES",MASTER!$I$4:$I$1463,"&lt;&gt;")*$A143*100/100,0)),MASTER!$Y$4:$Y$1463,0))),NA()),IF($B$4="COMBAT RATING",IFERROR(IF(INDEX(MASTER!$G$4:$G$1463,MATCH("ZOMBIES"&amp;"|"&amp;MAX(1,ROUND(COUNTIFS(MASTER!$B$4:$B$1463,"ZOMBIES",MASTER!$G$4:$G$1463,"&lt;&gt;")*$A143*100/100,0)),MASTER!$AH$4:$AH$1463,0))="",NA(),INDEX(MASTER!$G$4:$G$1463,MATCH("ZOMBIES"&amp;"|"&amp;MAX(1,ROUND(COUNTIFS(MASTER!$B$4:$B$1463,"ZOMBIES",MASTER!$G$4:$G$1463,"&lt;&gt;")*$A143*100/100,0)),MASTER!$AH$4:$AH$1463,0))),NA()),IF($B$4="SECONDARY",IFERROR(IF(INDEX(MASTER!$L$4:$L$1463,MATCH("ZOMBIES"&amp;"|"&amp;MAX(1,ROUND(COUNTIFS(MASTER!$B$4:$B$1463,"ZOMBIES",MASTER!$L$4:$L$1463,"&lt;&gt;")*$A143*100/100,0)),MASTER!$AI$4:$AI$1463,0))="",NA(),INDEX(MASTER!$L$4:$L$1463,MATCH("ZOMBIES"&amp;"|"&amp;MAX(1,ROUND(COUNTIFS(MASTER!$B$4:$B$1463,"ZOMBIES",MASTER!$L$4:$L$1463,"&lt;&gt;")*$A143*100/100,0)),MASTER!$AI$4:$AI$1463,0))),NA()))))</f>
        <v>885</v>
      </c>
      <c r="P143" s="37">
        <f>IF($B$4="RESONANCE",IFERROR(IF(INDEX(MASTER!$I$4:$I$1463,MATCH("FUCT"&amp;"|"&amp;MAX(1,ROUND(COUNTIFS(MASTER!$B$4:$B$1463,"FUCT",MASTER!$I$4:$I$1463,"&lt;&gt;")*$A143*100/100,0)),MASTER!$Y$4:$Y$1463,0))="",NA(),INDEX(MASTER!$I$4:$I$1463,MATCH("FUCT"&amp;"|"&amp;MAX(1,ROUND(COUNTIFS(MASTER!$B$4:$B$1463,"FUCT",MASTER!$I$4:$I$1463,"&lt;&gt;")*$A143*100/100,0)),MASTER!$Y$4:$Y$1463,0))),NA()),IF($B$4="COMBAT RATING",IFERROR(IF(INDEX(MASTER!$G$4:$G$1463,MATCH("FUCT"&amp;"|"&amp;MAX(1,ROUND(COUNTIFS(MASTER!$B$4:$B$1463,"FUCT",MASTER!$G$4:$G$1463,"&lt;&gt;")*$A143*100/100,0)),MASTER!$AH$4:$AH$1463,0))="",NA(),INDEX(MASTER!$G$4:$G$1463,MATCH("FUCT"&amp;"|"&amp;MAX(1,ROUND(COUNTIFS(MASTER!$B$4:$B$1463,"FUCT",MASTER!$G$4:$G$1463,"&lt;&gt;")*$A143*100/100,0)),MASTER!$AH$4:$AH$1463,0))),NA()),IF($B$4="SECONDARY",IFERROR(IF(INDEX(MASTER!$L$4:$L$1463,MATCH("FUCT"&amp;"|"&amp;MAX(1,ROUND(COUNTIFS(MASTER!$B$4:$B$1463,"FUCT",MASTER!$L$4:$L$1463,"&lt;&gt;")*$A143*100/100,0)),MASTER!$AI$4:$AI$1463,0))="",NA(),INDEX(MASTER!$L$4:$L$1463,MATCH("FUCT"&amp;"|"&amp;MAX(1,ROUND(COUNTIFS(MASTER!$B$4:$B$1463,"FUCT",MASTER!$L$4:$L$1463,"&lt;&gt;")*$A143*100/100,0)),MASTER!$AI$4:$AI$1463,0))),NA()))))</f>
        <v>3182</v>
      </c>
      <c r="Q143" s="37">
        <f>IF($B$4="RESONANCE",IFERROR(IF(INDEX(MASTER!$I$4:$I$1463,MATCH($E$4&amp;"|"&amp;MAX(1,ROUND(COUNTIFS(MASTER!$B$4:$B$1463,$E$4,MASTER!$I$4:$I$1463,"&lt;&gt;")*$A143*100/100,0)),MASTER!$Y$4:$Y$1463,0))="",NA(),INDEX(MASTER!$I$4:$I$1463,MATCH($E$4&amp;"|"&amp;MAX(1,ROUND(COUNTIFS(MASTER!$B$4:$B$1463,$E$4,MASTER!$I$4:$I$1463,"&lt;&gt;")*$A143*100/100,0)),MASTER!$Y$4:$Y$1463,0))),NA()),IF($B$4="COMBAT RATING",IFERROR(IF(INDEX(MASTER!$G$4:$G$1463,MATCH($E$4&amp;"|"&amp;MAX(1,ROUND(COUNTIFS(MASTER!$B$4:$B$1463,$E$4,MASTER!$G$4:$G$1463,"&lt;&gt;")*$A143*100/100,0)),MASTER!$AH$4:$AH$1463,0))="",NA(),INDEX(MASTER!$G$4:$G$1463,MATCH($E$4&amp;"|"&amp;MAX(1,ROUND(COUNTIFS(MASTER!$B$4:$B$1463,$E$4,MASTER!$G$4:$G$1463,"&lt;&gt;")*$A143*100/100,0)),MASTER!$AH$4:$AH$1463,0))),NA()),IF($B$4="SECONDARY",IFERROR(IF(INDEX(MASTER!$L$4:$L$1463,MATCH($E$4&amp;"|"&amp;MAX(1,ROUND(COUNTIFS(MASTER!$B$4:$B$1463,$E$4,MASTER!$L$4:$L$1463,"&lt;&gt;")*$A143*100/100,0)),MASTER!$AI$4:$AI$1463,0))="",NA(),INDEX(MASTER!$L$4:$L$1463,MATCH($E$4&amp;"|"&amp;MAX(1,ROUND(COUNTIFS(MASTER!$B$4:$B$1463,$E$4,MASTER!$L$4:$L$1463,"&lt;&gt;")*$A143*100/100,0)),MASTER!$AI$4:$AI$1463,0))),NA()))))</f>
        <v>2885</v>
      </c>
    </row>
    <row r="144" spans="1:17" hidden="1">
      <c r="A144" s="36">
        <v>0.89</v>
      </c>
      <c r="B144" s="37">
        <f>IF($B$4="RESONANCE",IFERROR(IF(INDEX(MASTER!$I$4:$I$1463,MATCH("FUCT"&amp;"|"&amp;MAX(1,ROUND(COUNTIFS(MASTER!$B$4:$B$1463,"FUCT",MASTER!$I$4:$I$1463,"&lt;&gt;")*$A144*100/100,0)),MASTER!$Y$4:$Y$1463,0))="",NA(),INDEX(MASTER!$I$4:$I$1463,MATCH("FUCT"&amp;"|"&amp;MAX(1,ROUND(COUNTIFS(MASTER!$B$4:$B$1463,"FUCT",MASTER!$I$4:$I$1463,"&lt;&gt;")*$A144*100/100,0)),MASTER!$Y$4:$Y$1463,0))),NA()),IF($B$4="COMBAT RATING",IFERROR(IF(INDEX(MASTER!$G$4:$G$1463,MATCH("FUCT"&amp;"|"&amp;MAX(1,ROUND(COUNTIFS(MASTER!$B$4:$B$1463,"FUCT",MASTER!$G$4:$G$1463,"&lt;&gt;")*$A144*100/100,0)),MASTER!$AH$4:$AH$1463,0))="",NA(),INDEX(MASTER!$G$4:$G$1463,MATCH("FUCT"&amp;"|"&amp;MAX(1,ROUND(COUNTIFS(MASTER!$B$4:$B$1463,"FUCT",MASTER!$G$4:$G$1463,"&lt;&gt;")*$A144*100/100,0)),MASTER!$AH$4:$AH$1463,0))),NA()),IF($B$4="SECONDARY",IFERROR(IF(INDEX(MASTER!$L$4:$L$1463,MATCH("FUCT"&amp;"|"&amp;MAX(1,ROUND(COUNTIFS(MASTER!$B$4:$B$1463,"FUCT",MASTER!$L$4:$L$1463,"&lt;&gt;")*$A144*100/100,0)),MASTER!$AI$4:$AI$1463,0))="",NA(),INDEX(MASTER!$L$4:$L$1463,MATCH("FUCT"&amp;"|"&amp;MAX(1,ROUND(COUNTIFS(MASTER!$B$4:$B$1463,"FUCT",MASTER!$L$4:$L$1463,"&lt;&gt;")*$A144*100/100,0)),MASTER!$AI$4:$AI$1463,0))),NA()))))</f>
        <v>3165</v>
      </c>
      <c r="C144" s="37">
        <f>IF($B$4="RESONANCE",IFERROR(IF(INDEX(MASTER!$I$4:$I$1463,MATCH("LEGENDS"&amp;"|"&amp;MAX(1,ROUND(COUNTIFS(MASTER!$B$4:$B$1463,"LEGENDS",MASTER!$I$4:$I$1463,"&lt;&gt;")*$A144*100/100,0)),MASTER!$Y$4:$Y$1463,0))="",NA(),INDEX(MASTER!$I$4:$I$1463,MATCH("LEGENDS"&amp;"|"&amp;MAX(1,ROUND(COUNTIFS(MASTER!$B$4:$B$1463,"LEGENDS",MASTER!$I$4:$I$1463,"&lt;&gt;")*$A144*100/100,0)),MASTER!$Y$4:$Y$1463,0))),NA()),IF($B$4="COMBAT RATING",IFERROR(IF(INDEX(MASTER!$G$4:$G$1463,MATCH("LEGENDS"&amp;"|"&amp;MAX(1,ROUND(COUNTIFS(MASTER!$B$4:$B$1463,"LEGENDS",MASTER!$G$4:$G$1463,"&lt;&gt;")*$A144*100/100,0)),MASTER!$AH$4:$AH$1463,0))="",NA(),INDEX(MASTER!$G$4:$G$1463,MATCH("LEGENDS"&amp;"|"&amp;MAX(1,ROUND(COUNTIFS(MASTER!$B$4:$B$1463,"LEGENDS",MASTER!$G$4:$G$1463,"&lt;&gt;")*$A144*100/100,0)),MASTER!$AH$4:$AH$1463,0))),NA()),IF($B$4="SECONDARY",IFERROR(IF(INDEX(MASTER!$L$4:$L$1463,MATCH("LEGENDS"&amp;"|"&amp;MAX(1,ROUND(COUNTIFS(MASTER!$B$4:$B$1463,"LEGENDS",MASTER!$L$4:$L$1463,"&lt;&gt;")*$A144*100/100,0)),MASTER!$AI$4:$AI$1463,0))="",NA(),INDEX(MASTER!$L$4:$L$1463,MATCH("LEGENDS"&amp;"|"&amp;MAX(1,ROUND(COUNTIFS(MASTER!$B$4:$B$1463,"LEGENDS",MASTER!$L$4:$L$1463,"&lt;&gt;")*$A144*100/100,0)),MASTER!$AI$4:$AI$1463,0))),NA()))))</f>
        <v>3436</v>
      </c>
      <c r="D144" s="37">
        <f>IF($B$4="RESONANCE",IFERROR(IF(INDEX(MASTER!$I$4:$I$1463,MATCH("VANGUARD"&amp;"|"&amp;MAX(1,ROUND(COUNTIFS(MASTER!$B$4:$B$1463,"VANGUARD",MASTER!$I$4:$I$1463,"&lt;&gt;")*$A144*100/100,0)),MASTER!$Y$4:$Y$1463,0))="",NA(),INDEX(MASTER!$I$4:$I$1463,MATCH("VANGUARD"&amp;"|"&amp;MAX(1,ROUND(COUNTIFS(MASTER!$B$4:$B$1463,"VANGUARD",MASTER!$I$4:$I$1463,"&lt;&gt;")*$A144*100/100,0)),MASTER!$Y$4:$Y$1463,0))),NA()),IF($B$4="COMBAT RATING",IFERROR(IF(INDEX(MASTER!$G$4:$G$1463,MATCH("VANGUARD"&amp;"|"&amp;MAX(1,ROUND(COUNTIFS(MASTER!$B$4:$B$1463,"VANGUARD",MASTER!$G$4:$G$1463,"&lt;&gt;")*$A144*100/100,0)),MASTER!$AH$4:$AH$1463,0))="",NA(),INDEX(MASTER!$G$4:$G$1463,MATCH("VANGUARD"&amp;"|"&amp;MAX(1,ROUND(COUNTIFS(MASTER!$B$4:$B$1463,"VANGUARD",MASTER!$G$4:$G$1463,"&lt;&gt;")*$A144*100/100,0)),MASTER!$AH$4:$AH$1463,0))),NA()),IF($B$4="SECONDARY",IFERROR(IF(INDEX(MASTER!$L$4:$L$1463,MATCH("VANGUARD"&amp;"|"&amp;MAX(1,ROUND(COUNTIFS(MASTER!$B$4:$B$1463,"VANGUARD",MASTER!$L$4:$L$1463,"&lt;&gt;")*$A144*100/100,0)),MASTER!$AI$4:$AI$1463,0))="",NA(),INDEX(MASTER!$L$4:$L$1463,MATCH("VANGUARD"&amp;"|"&amp;MAX(1,ROUND(COUNTIFS(MASTER!$B$4:$B$1463,"VANGUARD",MASTER!$L$4:$L$1463,"&lt;&gt;")*$A144*100/100,0)),MASTER!$AI$4:$AI$1463,0))),NA()))))</f>
        <v>3532</v>
      </c>
      <c r="E144" s="37">
        <f>IF($B$4="RESONANCE",IFERROR(IF(INDEX(MASTER!$I$4:$I$1463,MATCH("UNDYING"&amp;"|"&amp;MAX(1,ROUND(COUNTIFS(MASTER!$B$4:$B$1463,"UNDYING",MASTER!$I$4:$I$1463,"&lt;&gt;")*$A144*100/100,0)),MASTER!$Y$4:$Y$1463,0))="",NA(),INDEX(MASTER!$I$4:$I$1463,MATCH("UNDYING"&amp;"|"&amp;MAX(1,ROUND(COUNTIFS(MASTER!$B$4:$B$1463,"UNDYING",MASTER!$I$4:$I$1463,"&lt;&gt;")*$A144*100/100,0)),MASTER!$Y$4:$Y$1463,0))),NA()),IF($B$4="COMBAT RATING",IFERROR(IF(INDEX(MASTER!$G$4:$G$1463,MATCH("UNDYING"&amp;"|"&amp;MAX(1,ROUND(COUNTIFS(MASTER!$B$4:$B$1463,"UNDYING",MASTER!$G$4:$G$1463,"&lt;&gt;")*$A144*100/100,0)),MASTER!$AH$4:$AH$1463,0))="",NA(),INDEX(MASTER!$G$4:$G$1463,MATCH("UNDYING"&amp;"|"&amp;MAX(1,ROUND(COUNTIFS(MASTER!$B$4:$B$1463,"UNDYING",MASTER!$G$4:$G$1463,"&lt;&gt;")*$A144*100/100,0)),MASTER!$AH$4:$AH$1463,0))),NA()),IF($B$4="SECONDARY",IFERROR(IF(INDEX(MASTER!$L$4:$L$1463,MATCH("UNDYING"&amp;"|"&amp;MAX(1,ROUND(COUNTIFS(MASTER!$B$4:$B$1463,"UNDYING",MASTER!$L$4:$L$1463,"&lt;&gt;")*$A144*100/100,0)),MASTER!$AI$4:$AI$1463,0))="",NA(),INDEX(MASTER!$L$4:$L$1463,MATCH("UNDYING"&amp;"|"&amp;MAX(1,ROUND(COUNTIFS(MASTER!$B$4:$B$1463,"UNDYING",MASTER!$L$4:$L$1463,"&lt;&gt;")*$A144*100/100,0)),MASTER!$AI$4:$AI$1463,0))),NA()))))</f>
        <v>2840</v>
      </c>
      <c r="F144" s="37">
        <f>IF($B$4="RESONANCE",IFERROR(IF(INDEX(MASTER!$I$4:$I$1463,MATCH("SBG"&amp;"|"&amp;MAX(1,ROUND(COUNTIFS(MASTER!$B$4:$B$1463,"SBG",MASTER!$I$4:$I$1463,"&lt;&gt;")*$A144*100/100,0)),MASTER!$Y$4:$Y$1463,0))="",NA(),INDEX(MASTER!$I$4:$I$1463,MATCH("SBG"&amp;"|"&amp;MAX(1,ROUND(COUNTIFS(MASTER!$B$4:$B$1463,"SBG",MASTER!$I$4:$I$1463,"&lt;&gt;")*$A144*100/100,0)),MASTER!$Y$4:$Y$1463,0))),NA()),IF($B$4="COMBAT RATING",IFERROR(IF(INDEX(MASTER!$G$4:$G$1463,MATCH("SBG"&amp;"|"&amp;MAX(1,ROUND(COUNTIFS(MASTER!$B$4:$B$1463,"SBG",MASTER!$G$4:$G$1463,"&lt;&gt;")*$A144*100/100,0)),MASTER!$AH$4:$AH$1463,0))="",NA(),INDEX(MASTER!$G$4:$G$1463,MATCH("SBG"&amp;"|"&amp;MAX(1,ROUND(COUNTIFS(MASTER!$B$4:$B$1463,"SBG",MASTER!$G$4:$G$1463,"&lt;&gt;")*$A144*100/100,0)),MASTER!$AH$4:$AH$1463,0))),NA()),IF($B$4="SECONDARY",IFERROR(IF(INDEX(MASTER!$L$4:$L$1463,MATCH("SBG"&amp;"|"&amp;MAX(1,ROUND(COUNTIFS(MASTER!$B$4:$B$1463,"SBG",MASTER!$L$4:$L$1463,"&lt;&gt;")*$A144*100/100,0)),MASTER!$AI$4:$AI$1463,0))="",NA(),INDEX(MASTER!$L$4:$L$1463,MATCH("SBG"&amp;"|"&amp;MAX(1,ROUND(COUNTIFS(MASTER!$B$4:$B$1463,"SBG",MASTER!$L$4:$L$1463,"&lt;&gt;")*$A144*100/100,0)),MASTER!$AI$4:$AI$1463,0))),NA()))))</f>
        <v>3372</v>
      </c>
      <c r="G144" s="37">
        <f>IF($B$4="RESONANCE",IFERROR(IF(INDEX(MASTER!$I$4:$I$1463,MATCH("AZUKI"&amp;"|"&amp;MAX(1,ROUND(COUNTIFS(MASTER!$B$4:$B$1463,"AZUKI",MASTER!$I$4:$I$1463,"&lt;&gt;")*$A144*100/100,0)),MASTER!$Y$4:$Y$1463,0))="",NA(),INDEX(MASTER!$I$4:$I$1463,MATCH("AZUKI"&amp;"|"&amp;MAX(1,ROUND(COUNTIFS(MASTER!$B$4:$B$1463,"AZUKI",MASTER!$I$4:$I$1463,"&lt;&gt;")*$A144*100/100,0)),MASTER!$Y$4:$Y$1463,0))),NA()),IF($B$4="COMBAT RATING",IFERROR(IF(INDEX(MASTER!$G$4:$G$1463,MATCH("AZUKI"&amp;"|"&amp;MAX(1,ROUND(COUNTIFS(MASTER!$B$4:$B$1463,"AZUKI",MASTER!$G$4:$G$1463,"&lt;&gt;")*$A144*100/100,0)),MASTER!$AH$4:$AH$1463,0))="",NA(),INDEX(MASTER!$G$4:$G$1463,MATCH("AZUKI"&amp;"|"&amp;MAX(1,ROUND(COUNTIFS(MASTER!$B$4:$B$1463,"AZUKI",MASTER!$G$4:$G$1463,"&lt;&gt;")*$A144*100/100,0)),MASTER!$AH$4:$AH$1463,0))),NA()),IF($B$4="SECONDARY",IFERROR(IF(INDEX(MASTER!$L$4:$L$1463,MATCH("AZUKI"&amp;"|"&amp;MAX(1,ROUND(COUNTIFS(MASTER!$B$4:$B$1463,"AZUKI",MASTER!$L$4:$L$1463,"&lt;&gt;")*$A144*100/100,0)),MASTER!$AI$4:$AI$1463,0))="",NA(),INDEX(MASTER!$L$4:$L$1463,MATCH("AZUKI"&amp;"|"&amp;MAX(1,ROUND(COUNTIFS(MASTER!$B$4:$B$1463,"AZUKI",MASTER!$L$4:$L$1463,"&lt;&gt;")*$A144*100/100,0)),MASTER!$AI$4:$AI$1463,0))),NA()))))</f>
        <v>3042</v>
      </c>
      <c r="H144" s="37">
        <f>IF($B$4="RESONANCE",IFERROR(IF(INDEX(MASTER!$I$4:$I$1463,MATCH("RECKONING"&amp;"|"&amp;MAX(1,ROUND(COUNTIFS(MASTER!$B$4:$B$1463,"RECKONING",MASTER!$I$4:$I$1463,"&lt;&gt;")*$A144*100/100,0)),MASTER!$Y$4:$Y$1463,0))="",NA(),INDEX(MASTER!$I$4:$I$1463,MATCH("RECKONING"&amp;"|"&amp;MAX(1,ROUND(COUNTIFS(MASTER!$B$4:$B$1463,"RECKONING",MASTER!$I$4:$I$1463,"&lt;&gt;")*$A144*100/100,0)),MASTER!$Y$4:$Y$1463,0))),NA()),IF($B$4="COMBAT RATING",IFERROR(IF(INDEX(MASTER!$G$4:$G$1463,MATCH("RECKONING"&amp;"|"&amp;MAX(1,ROUND(COUNTIFS(MASTER!$B$4:$B$1463,"RECKONING",MASTER!$G$4:$G$1463,"&lt;&gt;")*$A144*100/100,0)),MASTER!$AH$4:$AH$1463,0))="",NA(),INDEX(MASTER!$G$4:$G$1463,MATCH("RECKONING"&amp;"|"&amp;MAX(1,ROUND(COUNTIFS(MASTER!$B$4:$B$1463,"RECKONING",MASTER!$G$4:$G$1463,"&lt;&gt;")*$A144*100/100,0)),MASTER!$AH$4:$AH$1463,0))),NA()),IF($B$4="SECONDARY",IFERROR(IF(INDEX(MASTER!$L$4:$L$1463,MATCH("RECKONING"&amp;"|"&amp;MAX(1,ROUND(COUNTIFS(MASTER!$B$4:$B$1463,"RECKONING",MASTER!$L$4:$L$1463,"&lt;&gt;")*$A144*100/100,0)),MASTER!$AI$4:$AI$1463,0))="",NA(),INDEX(MASTER!$L$4:$L$1463,MATCH("RECKONING"&amp;"|"&amp;MAX(1,ROUND(COUNTIFS(MASTER!$B$4:$B$1463,"RECKONING",MASTER!$L$4:$L$1463,"&lt;&gt;")*$A144*100/100,0)),MASTER!$AI$4:$AI$1463,0))),NA()))))</f>
        <v>3101</v>
      </c>
      <c r="I144" s="37">
        <f>IF($B$4="RESONANCE",IFERROR(IF(INDEX(MASTER!$I$4:$I$1463,MATCH("ACHERON"&amp;"|"&amp;MAX(1,ROUND(COUNTIFS(MASTER!$B$4:$B$1463,"ACHERON",MASTER!$I$4:$I$1463,"&lt;&gt;")*$A144*100/100,0)),MASTER!$Y$4:$Y$1463,0))="",NA(),INDEX(MASTER!$I$4:$I$1463,MATCH("ACHERON"&amp;"|"&amp;MAX(1,ROUND(COUNTIFS(MASTER!$B$4:$B$1463,"ACHERON",MASTER!$I$4:$I$1463,"&lt;&gt;")*$A144*100/100,0)),MASTER!$Y$4:$Y$1463,0))),NA()),IF($B$4="COMBAT RATING",IFERROR(IF(INDEX(MASTER!$G$4:$G$1463,MATCH("ACHERON"&amp;"|"&amp;MAX(1,ROUND(COUNTIFS(MASTER!$B$4:$B$1463,"ACHERON",MASTER!$G$4:$G$1463,"&lt;&gt;")*$A144*100/100,0)),MASTER!$AH$4:$AH$1463,0))="",NA(),INDEX(MASTER!$G$4:$G$1463,MATCH("ACHERON"&amp;"|"&amp;MAX(1,ROUND(COUNTIFS(MASTER!$B$4:$B$1463,"ACHERON",MASTER!$G$4:$G$1463,"&lt;&gt;")*$A144*100/100,0)),MASTER!$AH$4:$AH$1463,0))),NA()),IF($B$4="SECONDARY",IFERROR(IF(INDEX(MASTER!$L$4:$L$1463,MATCH("ACHERON"&amp;"|"&amp;MAX(1,ROUND(COUNTIFS(MASTER!$B$4:$B$1463,"ACHERON",MASTER!$L$4:$L$1463,"&lt;&gt;")*$A144*100/100,0)),MASTER!$AI$4:$AI$1463,0))="",NA(),INDEX(MASTER!$L$4:$L$1463,MATCH("ACHERON"&amp;"|"&amp;MAX(1,ROUND(COUNTIFS(MASTER!$B$4:$B$1463,"ACHERON",MASTER!$L$4:$L$1463,"&lt;&gt;")*$A144*100/100,0)),MASTER!$AI$4:$AI$1463,0))),NA()))))</f>
        <v>2056</v>
      </c>
      <c r="J144" s="37">
        <f>IF($B$4="RESONANCE",IFERROR(IF(INDEX(MASTER!$I$4:$I$1463,MATCH("INVICTUS"&amp;"|"&amp;MAX(1,ROUND(COUNTIFS(MASTER!$B$4:$B$1463,"INVICTUS",MASTER!$I$4:$I$1463,"&lt;&gt;")*$A144*100/100,0)),MASTER!$Y$4:$Y$1463,0))="",NA(),INDEX(MASTER!$I$4:$I$1463,MATCH("INVICTUS"&amp;"|"&amp;MAX(1,ROUND(COUNTIFS(MASTER!$B$4:$B$1463,"INVICTUS",MASTER!$I$4:$I$1463,"&lt;&gt;")*$A144*100/100,0)),MASTER!$Y$4:$Y$1463,0))),NA()),IF($B$4="COMBAT RATING",IFERROR(IF(INDEX(MASTER!$G$4:$G$1463,MATCH("INVICTUS"&amp;"|"&amp;MAX(1,ROUND(COUNTIFS(MASTER!$B$4:$B$1463,"INVICTUS",MASTER!$G$4:$G$1463,"&lt;&gt;")*$A144*100/100,0)),MASTER!$AH$4:$AH$1463,0))="",NA(),INDEX(MASTER!$G$4:$G$1463,MATCH("INVICTUS"&amp;"|"&amp;MAX(1,ROUND(COUNTIFS(MASTER!$B$4:$B$1463,"INVICTUS",MASTER!$G$4:$G$1463,"&lt;&gt;")*$A144*100/100,0)),MASTER!$AH$4:$AH$1463,0))),NA()),IF($B$4="SECONDARY",IFERROR(IF(INDEX(MASTER!$L$4:$L$1463,MATCH("INVICTUS"&amp;"|"&amp;MAX(1,ROUND(COUNTIFS(MASTER!$B$4:$B$1463,"INVICTUS",MASTER!$L$4:$L$1463,"&lt;&gt;")*$A144*100/100,0)),MASTER!$AI$4:$AI$1463,0))="",NA(),INDEX(MASTER!$L$4:$L$1463,MATCH("INVICTUS"&amp;"|"&amp;MAX(1,ROUND(COUNTIFS(MASTER!$B$4:$B$1463,"INVICTUS",MASTER!$L$4:$L$1463,"&lt;&gt;")*$A144*100/100,0)),MASTER!$AI$4:$AI$1463,0))),NA()))))</f>
        <v>1638</v>
      </c>
      <c r="K144" s="37">
        <f>IF($B$4="RESONANCE",IFERROR(IF(INDEX(MASTER!$I$4:$I$1463,MATCH("EMERALD LEAF TRIBE"&amp;"|"&amp;MAX(1,ROUND(COUNTIFS(MASTER!$B$4:$B$1463,"EMERALD LEAF TRIBE",MASTER!$I$4:$I$1463,"&lt;&gt;")*$A144*100/100,0)),MASTER!$Y$4:$Y$1463,0))="",NA(),INDEX(MASTER!$I$4:$I$1463,MATCH("EMERALD LEAF TRIBE"&amp;"|"&amp;MAX(1,ROUND(COUNTIFS(MASTER!$B$4:$B$1463,"EMERALD LEAF TRIBE",MASTER!$I$4:$I$1463,"&lt;&gt;")*$A144*100/100,0)),MASTER!$Y$4:$Y$1463,0))),NA()),IF($B$4="COMBAT RATING",IFERROR(IF(INDEX(MASTER!$G$4:$G$1463,MATCH("EMERALD LEAF TRIBE"&amp;"|"&amp;MAX(1,ROUND(COUNTIFS(MASTER!$B$4:$B$1463,"EMERALD LEAF TRIBE",MASTER!$G$4:$G$1463,"&lt;&gt;")*$A144*100/100,0)),MASTER!$AH$4:$AH$1463,0))="",NA(),INDEX(MASTER!$G$4:$G$1463,MATCH("EMERALD LEAF TRIBE"&amp;"|"&amp;MAX(1,ROUND(COUNTIFS(MASTER!$B$4:$B$1463,"EMERALD LEAF TRIBE",MASTER!$G$4:$G$1463,"&lt;&gt;")*$A144*100/100,0)),MASTER!$AH$4:$AH$1463,0))),NA()),IF($B$4="SECONDARY",IFERROR(IF(INDEX(MASTER!$L$4:$L$1463,MATCH("EMERALD LEAF TRIBE"&amp;"|"&amp;MAX(1,ROUND(COUNTIFS(MASTER!$B$4:$B$1463,"EMERALD LEAF TRIBE",MASTER!$L$4:$L$1463,"&lt;&gt;")*$A144*100/100,0)),MASTER!$AI$4:$AI$1463,0))="",NA(),INDEX(MASTER!$L$4:$L$1463,MATCH("EMERALD LEAF TRIBE"&amp;"|"&amp;MAX(1,ROUND(COUNTIFS(MASTER!$B$4:$B$1463,"EMERALD LEAF TRIBE",MASTER!$L$4:$L$1463,"&lt;&gt;")*$A144*100/100,0)),MASTER!$AI$4:$AI$1463,0))),NA()))))</f>
        <v>920</v>
      </c>
      <c r="L144" s="37">
        <f>IF($B$4="RESONANCE",IFERROR(IF(INDEX(MASTER!$I$4:$I$1463,MATCH("SUB ROSA"&amp;"|"&amp;MAX(1,ROUND(COUNTIFS(MASTER!$B$4:$B$1463,"SUB ROSA",MASTER!$I$4:$I$1463,"&lt;&gt;")*$A144*100/100,0)),MASTER!$Y$4:$Y$1463,0))="",NA(),INDEX(MASTER!$I$4:$I$1463,MATCH("SUB ROSA"&amp;"|"&amp;MAX(1,ROUND(COUNTIFS(MASTER!$B$4:$B$1463,"SUB ROSA",MASTER!$I$4:$I$1463,"&lt;&gt;")*$A144*100/100,0)),MASTER!$Y$4:$Y$1463,0))),NA()),IF($B$4="COMBAT RATING",IFERROR(IF(INDEX(MASTER!$G$4:$G$1463,MATCH("SUB ROSA"&amp;"|"&amp;MAX(1,ROUND(COUNTIFS(MASTER!$B$4:$B$1463,"SUB ROSA",MASTER!$G$4:$G$1463,"&lt;&gt;")*$A144*100/100,0)),MASTER!$AH$4:$AH$1463,0))="",NA(),INDEX(MASTER!$G$4:$G$1463,MATCH("SUB ROSA"&amp;"|"&amp;MAX(1,ROUND(COUNTIFS(MASTER!$B$4:$B$1463,"SUB ROSA",MASTER!$G$4:$G$1463,"&lt;&gt;")*$A144*100/100,0)),MASTER!$AH$4:$AH$1463,0))),NA()),IF($B$4="SECONDARY",IFERROR(IF(INDEX(MASTER!$L$4:$L$1463,MATCH("SUB ROSA"&amp;"|"&amp;MAX(1,ROUND(COUNTIFS(MASTER!$B$4:$B$1463,"SUB ROSA",MASTER!$L$4:$L$1463,"&lt;&gt;")*$A144*100/100,0)),MASTER!$AI$4:$AI$1463,0))="",NA(),INDEX(MASTER!$L$4:$L$1463,MATCH("SUB ROSA"&amp;"|"&amp;MAX(1,ROUND(COUNTIFS(MASTER!$B$4:$B$1463,"SUB ROSA",MASTER!$L$4:$L$1463,"&lt;&gt;")*$A144*100/100,0)),MASTER!$AI$4:$AI$1463,0))),NA()))))</f>
        <v>1030</v>
      </c>
      <c r="M144" s="37">
        <f>IF($B$4="RESONANCE",IFERROR(IF(INDEX(MASTER!$I$4:$I$1463,MATCH("VENGEANCE"&amp;"|"&amp;MAX(1,ROUND(COUNTIFS(MASTER!$B$4:$B$1463,"VENGEANCE",MASTER!$I$4:$I$1463,"&lt;&gt;")*$A144*100/100,0)),MASTER!$Y$4:$Y$1463,0))="",NA(),INDEX(MASTER!$I$4:$I$1463,MATCH("VENGEANCE"&amp;"|"&amp;MAX(1,ROUND(COUNTIFS(MASTER!$B$4:$B$1463,"VENGEANCE",MASTER!$I$4:$I$1463,"&lt;&gt;")*$A144*100/100,0)),MASTER!$Y$4:$Y$1463,0))),NA()),IF($B$4="COMBAT RATING",IFERROR(IF(INDEX(MASTER!$G$4:$G$1463,MATCH("VENGEANCE"&amp;"|"&amp;MAX(1,ROUND(COUNTIFS(MASTER!$B$4:$B$1463,"VENGEANCE",MASTER!$G$4:$G$1463,"&lt;&gt;")*$A144*100/100,0)),MASTER!$AH$4:$AH$1463,0))="",NA(),INDEX(MASTER!$G$4:$G$1463,MATCH("VENGEANCE"&amp;"|"&amp;MAX(1,ROUND(COUNTIFS(MASTER!$B$4:$B$1463,"VENGEANCE",MASTER!$G$4:$G$1463,"&lt;&gt;")*$A144*100/100,0)),MASTER!$AH$4:$AH$1463,0))),NA()),IF($B$4="SECONDARY",IFERROR(IF(INDEX(MASTER!$L$4:$L$1463,MATCH("VENGEANCE"&amp;"|"&amp;MAX(1,ROUND(COUNTIFS(MASTER!$B$4:$B$1463,"VENGEANCE",MASTER!$L$4:$L$1463,"&lt;&gt;")*$A144*100/100,0)),MASTER!$AI$4:$AI$1463,0))="",NA(),INDEX(MASTER!$L$4:$L$1463,MATCH("VENGEANCE"&amp;"|"&amp;MAX(1,ROUND(COUNTIFS(MASTER!$B$4:$B$1463,"VENGEANCE",MASTER!$L$4:$L$1463,"&lt;&gt;")*$A144*100/100,0)),MASTER!$AI$4:$AI$1463,0))),NA()))))</f>
        <v>2039</v>
      </c>
      <c r="N144" s="37">
        <f>IF($B$4="RESONANCE",IFERROR(IF(INDEX(MASTER!$I$4:$I$1463,MATCH("VENDETTA"&amp;"|"&amp;MAX(1,ROUND(COUNTIFS(MASTER!$B$4:$B$1463,"VENDETTA",MASTER!$I$4:$I$1463,"&lt;&gt;")*$A144*100/100,0)),MASTER!$Y$4:$Y$1463,0))="",NA(),INDEX(MASTER!$I$4:$I$1463,MATCH("VENDETTA"&amp;"|"&amp;MAX(1,ROUND(COUNTIFS(MASTER!$B$4:$B$1463,"VENDETTA",MASTER!$I$4:$I$1463,"&lt;&gt;")*$A144*100/100,0)),MASTER!$Y$4:$Y$1463,0))),NA()),IF($B$4="COMBAT RATING",IFERROR(IF(INDEX(MASTER!$G$4:$G$1463,MATCH("VENDETTA"&amp;"|"&amp;MAX(1,ROUND(COUNTIFS(MASTER!$B$4:$B$1463,"VENDETTA",MASTER!$G$4:$G$1463,"&lt;&gt;")*$A144*100/100,0)),MASTER!$AH$4:$AH$1463,0))="",NA(),INDEX(MASTER!$G$4:$G$1463,MATCH("VENDETTA"&amp;"|"&amp;MAX(1,ROUND(COUNTIFS(MASTER!$B$4:$B$1463,"VENDETTA",MASTER!$G$4:$G$1463,"&lt;&gt;")*$A144*100/100,0)),MASTER!$AH$4:$AH$1463,0))),NA()),IF($B$4="SECONDARY",IFERROR(IF(INDEX(MASTER!$L$4:$L$1463,MATCH("VENDETTA"&amp;"|"&amp;MAX(1,ROUND(COUNTIFS(MASTER!$B$4:$B$1463,"VENDETTA",MASTER!$L$4:$L$1463,"&lt;&gt;")*$A144*100/100,0)),MASTER!$AI$4:$AI$1463,0))="",NA(),INDEX(MASTER!$L$4:$L$1463,MATCH("VENDETTA"&amp;"|"&amp;MAX(1,ROUND(COUNTIFS(MASTER!$B$4:$B$1463,"VENDETTA",MASTER!$L$4:$L$1463,"&lt;&gt;")*$A144*100/100,0)),MASTER!$AI$4:$AI$1463,0))),NA()))))</f>
        <v>995</v>
      </c>
      <c r="O144" s="37">
        <f>IF($B$4="RESONANCE",IFERROR(IF(INDEX(MASTER!$I$4:$I$1463,MATCH("ZOMBIES"&amp;"|"&amp;MAX(1,ROUND(COUNTIFS(MASTER!$B$4:$B$1463,"ZOMBIES",MASTER!$I$4:$I$1463,"&lt;&gt;")*$A144*100/100,0)),MASTER!$Y$4:$Y$1463,0))="",NA(),INDEX(MASTER!$I$4:$I$1463,MATCH("ZOMBIES"&amp;"|"&amp;MAX(1,ROUND(COUNTIFS(MASTER!$B$4:$B$1463,"ZOMBIES",MASTER!$I$4:$I$1463,"&lt;&gt;")*$A144*100/100,0)),MASTER!$Y$4:$Y$1463,0))),NA()),IF($B$4="COMBAT RATING",IFERROR(IF(INDEX(MASTER!$G$4:$G$1463,MATCH("ZOMBIES"&amp;"|"&amp;MAX(1,ROUND(COUNTIFS(MASTER!$B$4:$B$1463,"ZOMBIES",MASTER!$G$4:$G$1463,"&lt;&gt;")*$A144*100/100,0)),MASTER!$AH$4:$AH$1463,0))="",NA(),INDEX(MASTER!$G$4:$G$1463,MATCH("ZOMBIES"&amp;"|"&amp;MAX(1,ROUND(COUNTIFS(MASTER!$B$4:$B$1463,"ZOMBIES",MASTER!$G$4:$G$1463,"&lt;&gt;")*$A144*100/100,0)),MASTER!$AH$4:$AH$1463,0))),NA()),IF($B$4="SECONDARY",IFERROR(IF(INDEX(MASTER!$L$4:$L$1463,MATCH("ZOMBIES"&amp;"|"&amp;MAX(1,ROUND(COUNTIFS(MASTER!$B$4:$B$1463,"ZOMBIES",MASTER!$L$4:$L$1463,"&lt;&gt;")*$A144*100/100,0)),MASTER!$AI$4:$AI$1463,0))="",NA(),INDEX(MASTER!$L$4:$L$1463,MATCH("ZOMBIES"&amp;"|"&amp;MAX(1,ROUND(COUNTIFS(MASTER!$B$4:$B$1463,"ZOMBIES",MASTER!$L$4:$L$1463,"&lt;&gt;")*$A144*100/100,0)),MASTER!$AI$4:$AI$1463,0))),NA()))))</f>
        <v>841</v>
      </c>
      <c r="P144" s="37">
        <f>IF($B$4="RESONANCE",IFERROR(IF(INDEX(MASTER!$I$4:$I$1463,MATCH("FUCT"&amp;"|"&amp;MAX(1,ROUND(COUNTIFS(MASTER!$B$4:$B$1463,"FUCT",MASTER!$I$4:$I$1463,"&lt;&gt;")*$A144*100/100,0)),MASTER!$Y$4:$Y$1463,0))="",NA(),INDEX(MASTER!$I$4:$I$1463,MATCH("FUCT"&amp;"|"&amp;MAX(1,ROUND(COUNTIFS(MASTER!$B$4:$B$1463,"FUCT",MASTER!$I$4:$I$1463,"&lt;&gt;")*$A144*100/100,0)),MASTER!$Y$4:$Y$1463,0))),NA()),IF($B$4="COMBAT RATING",IFERROR(IF(INDEX(MASTER!$G$4:$G$1463,MATCH("FUCT"&amp;"|"&amp;MAX(1,ROUND(COUNTIFS(MASTER!$B$4:$B$1463,"FUCT",MASTER!$G$4:$G$1463,"&lt;&gt;")*$A144*100/100,0)),MASTER!$AH$4:$AH$1463,0))="",NA(),INDEX(MASTER!$G$4:$G$1463,MATCH("FUCT"&amp;"|"&amp;MAX(1,ROUND(COUNTIFS(MASTER!$B$4:$B$1463,"FUCT",MASTER!$G$4:$G$1463,"&lt;&gt;")*$A144*100/100,0)),MASTER!$AH$4:$AH$1463,0))),NA()),IF($B$4="SECONDARY",IFERROR(IF(INDEX(MASTER!$L$4:$L$1463,MATCH("FUCT"&amp;"|"&amp;MAX(1,ROUND(COUNTIFS(MASTER!$B$4:$B$1463,"FUCT",MASTER!$L$4:$L$1463,"&lt;&gt;")*$A144*100/100,0)),MASTER!$AI$4:$AI$1463,0))="",NA(),INDEX(MASTER!$L$4:$L$1463,MATCH("FUCT"&amp;"|"&amp;MAX(1,ROUND(COUNTIFS(MASTER!$B$4:$B$1463,"FUCT",MASTER!$L$4:$L$1463,"&lt;&gt;")*$A144*100/100,0)),MASTER!$AI$4:$AI$1463,0))),NA()))))</f>
        <v>3165</v>
      </c>
      <c r="Q144" s="37">
        <f>IF($B$4="RESONANCE",IFERROR(IF(INDEX(MASTER!$I$4:$I$1463,MATCH($E$4&amp;"|"&amp;MAX(1,ROUND(COUNTIFS(MASTER!$B$4:$B$1463,$E$4,MASTER!$I$4:$I$1463,"&lt;&gt;")*$A144*100/100,0)),MASTER!$Y$4:$Y$1463,0))="",NA(),INDEX(MASTER!$I$4:$I$1463,MATCH($E$4&amp;"|"&amp;MAX(1,ROUND(COUNTIFS(MASTER!$B$4:$B$1463,$E$4,MASTER!$I$4:$I$1463,"&lt;&gt;")*$A144*100/100,0)),MASTER!$Y$4:$Y$1463,0))),NA()),IF($B$4="COMBAT RATING",IFERROR(IF(INDEX(MASTER!$G$4:$G$1463,MATCH($E$4&amp;"|"&amp;MAX(1,ROUND(COUNTIFS(MASTER!$B$4:$B$1463,$E$4,MASTER!$G$4:$G$1463,"&lt;&gt;")*$A144*100/100,0)),MASTER!$AH$4:$AH$1463,0))="",NA(),INDEX(MASTER!$G$4:$G$1463,MATCH($E$4&amp;"|"&amp;MAX(1,ROUND(COUNTIFS(MASTER!$B$4:$B$1463,$E$4,MASTER!$G$4:$G$1463,"&lt;&gt;")*$A144*100/100,0)),MASTER!$AH$4:$AH$1463,0))),NA()),IF($B$4="SECONDARY",IFERROR(IF(INDEX(MASTER!$L$4:$L$1463,MATCH($E$4&amp;"|"&amp;MAX(1,ROUND(COUNTIFS(MASTER!$B$4:$B$1463,$E$4,MASTER!$L$4:$L$1463,"&lt;&gt;")*$A144*100/100,0)),MASTER!$AI$4:$AI$1463,0))="",NA(),INDEX(MASTER!$L$4:$L$1463,MATCH($E$4&amp;"|"&amp;MAX(1,ROUND(COUNTIFS(MASTER!$B$4:$B$1463,$E$4,MASTER!$L$4:$L$1463,"&lt;&gt;")*$A144*100/100,0)),MASTER!$AI$4:$AI$1463,0))),NA()))))</f>
        <v>2840</v>
      </c>
    </row>
    <row r="145" spans="1:17" hidden="1">
      <c r="A145" s="36">
        <v>0.9</v>
      </c>
      <c r="B145" s="37">
        <f>IF($B$4="RESONANCE",IFERROR(IF(INDEX(MASTER!$I$4:$I$1463,MATCH("FUCT"&amp;"|"&amp;MAX(1,ROUND(COUNTIFS(MASTER!$B$4:$B$1463,"FUCT",MASTER!$I$4:$I$1463,"&lt;&gt;")*$A145*100/100,0)),MASTER!$Y$4:$Y$1463,0))="",NA(),INDEX(MASTER!$I$4:$I$1463,MATCH("FUCT"&amp;"|"&amp;MAX(1,ROUND(COUNTIFS(MASTER!$B$4:$B$1463,"FUCT",MASTER!$I$4:$I$1463,"&lt;&gt;")*$A145*100/100,0)),MASTER!$Y$4:$Y$1463,0))),NA()),IF($B$4="COMBAT RATING",IFERROR(IF(INDEX(MASTER!$G$4:$G$1463,MATCH("FUCT"&amp;"|"&amp;MAX(1,ROUND(COUNTIFS(MASTER!$B$4:$B$1463,"FUCT",MASTER!$G$4:$G$1463,"&lt;&gt;")*$A145*100/100,0)),MASTER!$AH$4:$AH$1463,0))="",NA(),INDEX(MASTER!$G$4:$G$1463,MATCH("FUCT"&amp;"|"&amp;MAX(1,ROUND(COUNTIFS(MASTER!$B$4:$B$1463,"FUCT",MASTER!$G$4:$G$1463,"&lt;&gt;")*$A145*100/100,0)),MASTER!$AH$4:$AH$1463,0))),NA()),IF($B$4="SECONDARY",IFERROR(IF(INDEX(MASTER!$L$4:$L$1463,MATCH("FUCT"&amp;"|"&amp;MAX(1,ROUND(COUNTIFS(MASTER!$B$4:$B$1463,"FUCT",MASTER!$L$4:$L$1463,"&lt;&gt;")*$A145*100/100,0)),MASTER!$AI$4:$AI$1463,0))="",NA(),INDEX(MASTER!$L$4:$L$1463,MATCH("FUCT"&amp;"|"&amp;MAX(1,ROUND(COUNTIFS(MASTER!$B$4:$B$1463,"FUCT",MASTER!$L$4:$L$1463,"&lt;&gt;")*$A145*100/100,0)),MASTER!$AI$4:$AI$1463,0))),NA()))))</f>
        <v>3156</v>
      </c>
      <c r="C145" s="37">
        <f>IF($B$4="RESONANCE",IFERROR(IF(INDEX(MASTER!$I$4:$I$1463,MATCH("LEGENDS"&amp;"|"&amp;MAX(1,ROUND(COUNTIFS(MASTER!$B$4:$B$1463,"LEGENDS",MASTER!$I$4:$I$1463,"&lt;&gt;")*$A145*100/100,0)),MASTER!$Y$4:$Y$1463,0))="",NA(),INDEX(MASTER!$I$4:$I$1463,MATCH("LEGENDS"&amp;"|"&amp;MAX(1,ROUND(COUNTIFS(MASTER!$B$4:$B$1463,"LEGENDS",MASTER!$I$4:$I$1463,"&lt;&gt;")*$A145*100/100,0)),MASTER!$Y$4:$Y$1463,0))),NA()),IF($B$4="COMBAT RATING",IFERROR(IF(INDEX(MASTER!$G$4:$G$1463,MATCH("LEGENDS"&amp;"|"&amp;MAX(1,ROUND(COUNTIFS(MASTER!$B$4:$B$1463,"LEGENDS",MASTER!$G$4:$G$1463,"&lt;&gt;")*$A145*100/100,0)),MASTER!$AH$4:$AH$1463,0))="",NA(),INDEX(MASTER!$G$4:$G$1463,MATCH("LEGENDS"&amp;"|"&amp;MAX(1,ROUND(COUNTIFS(MASTER!$B$4:$B$1463,"LEGENDS",MASTER!$G$4:$G$1463,"&lt;&gt;")*$A145*100/100,0)),MASTER!$AH$4:$AH$1463,0))),NA()),IF($B$4="SECONDARY",IFERROR(IF(INDEX(MASTER!$L$4:$L$1463,MATCH("LEGENDS"&amp;"|"&amp;MAX(1,ROUND(COUNTIFS(MASTER!$B$4:$B$1463,"LEGENDS",MASTER!$L$4:$L$1463,"&lt;&gt;")*$A145*100/100,0)),MASTER!$AI$4:$AI$1463,0))="",NA(),INDEX(MASTER!$L$4:$L$1463,MATCH("LEGENDS"&amp;"|"&amp;MAX(1,ROUND(COUNTIFS(MASTER!$B$4:$B$1463,"LEGENDS",MASTER!$L$4:$L$1463,"&lt;&gt;")*$A145*100/100,0)),MASTER!$AI$4:$AI$1463,0))),NA()))))</f>
        <v>3306</v>
      </c>
      <c r="D145" s="37">
        <f>IF($B$4="RESONANCE",IFERROR(IF(INDEX(MASTER!$I$4:$I$1463,MATCH("VANGUARD"&amp;"|"&amp;MAX(1,ROUND(COUNTIFS(MASTER!$B$4:$B$1463,"VANGUARD",MASTER!$I$4:$I$1463,"&lt;&gt;")*$A145*100/100,0)),MASTER!$Y$4:$Y$1463,0))="",NA(),INDEX(MASTER!$I$4:$I$1463,MATCH("VANGUARD"&amp;"|"&amp;MAX(1,ROUND(COUNTIFS(MASTER!$B$4:$B$1463,"VANGUARD",MASTER!$I$4:$I$1463,"&lt;&gt;")*$A145*100/100,0)),MASTER!$Y$4:$Y$1463,0))),NA()),IF($B$4="COMBAT RATING",IFERROR(IF(INDEX(MASTER!$G$4:$G$1463,MATCH("VANGUARD"&amp;"|"&amp;MAX(1,ROUND(COUNTIFS(MASTER!$B$4:$B$1463,"VANGUARD",MASTER!$G$4:$G$1463,"&lt;&gt;")*$A145*100/100,0)),MASTER!$AH$4:$AH$1463,0))="",NA(),INDEX(MASTER!$G$4:$G$1463,MATCH("VANGUARD"&amp;"|"&amp;MAX(1,ROUND(COUNTIFS(MASTER!$B$4:$B$1463,"VANGUARD",MASTER!$G$4:$G$1463,"&lt;&gt;")*$A145*100/100,0)),MASTER!$AH$4:$AH$1463,0))),NA()),IF($B$4="SECONDARY",IFERROR(IF(INDEX(MASTER!$L$4:$L$1463,MATCH("VANGUARD"&amp;"|"&amp;MAX(1,ROUND(COUNTIFS(MASTER!$B$4:$B$1463,"VANGUARD",MASTER!$L$4:$L$1463,"&lt;&gt;")*$A145*100/100,0)),MASTER!$AI$4:$AI$1463,0))="",NA(),INDEX(MASTER!$L$4:$L$1463,MATCH("VANGUARD"&amp;"|"&amp;MAX(1,ROUND(COUNTIFS(MASTER!$B$4:$B$1463,"VANGUARD",MASTER!$L$4:$L$1463,"&lt;&gt;")*$A145*100/100,0)),MASTER!$AI$4:$AI$1463,0))),NA()))))</f>
        <v>3410</v>
      </c>
      <c r="E145" s="37">
        <f>IF($B$4="RESONANCE",IFERROR(IF(INDEX(MASTER!$I$4:$I$1463,MATCH("UNDYING"&amp;"|"&amp;MAX(1,ROUND(COUNTIFS(MASTER!$B$4:$B$1463,"UNDYING",MASTER!$I$4:$I$1463,"&lt;&gt;")*$A145*100/100,0)),MASTER!$Y$4:$Y$1463,0))="",NA(),INDEX(MASTER!$I$4:$I$1463,MATCH("UNDYING"&amp;"|"&amp;MAX(1,ROUND(COUNTIFS(MASTER!$B$4:$B$1463,"UNDYING",MASTER!$I$4:$I$1463,"&lt;&gt;")*$A145*100/100,0)),MASTER!$Y$4:$Y$1463,0))),NA()),IF($B$4="COMBAT RATING",IFERROR(IF(INDEX(MASTER!$G$4:$G$1463,MATCH("UNDYING"&amp;"|"&amp;MAX(1,ROUND(COUNTIFS(MASTER!$B$4:$B$1463,"UNDYING",MASTER!$G$4:$G$1463,"&lt;&gt;")*$A145*100/100,0)),MASTER!$AH$4:$AH$1463,0))="",NA(),INDEX(MASTER!$G$4:$G$1463,MATCH("UNDYING"&amp;"|"&amp;MAX(1,ROUND(COUNTIFS(MASTER!$B$4:$B$1463,"UNDYING",MASTER!$G$4:$G$1463,"&lt;&gt;")*$A145*100/100,0)),MASTER!$AH$4:$AH$1463,0))),NA()),IF($B$4="SECONDARY",IFERROR(IF(INDEX(MASTER!$L$4:$L$1463,MATCH("UNDYING"&amp;"|"&amp;MAX(1,ROUND(COUNTIFS(MASTER!$B$4:$B$1463,"UNDYING",MASTER!$L$4:$L$1463,"&lt;&gt;")*$A145*100/100,0)),MASTER!$AI$4:$AI$1463,0))="",NA(),INDEX(MASTER!$L$4:$L$1463,MATCH("UNDYING"&amp;"|"&amp;MAX(1,ROUND(COUNTIFS(MASTER!$B$4:$B$1463,"UNDYING",MASTER!$L$4:$L$1463,"&lt;&gt;")*$A145*100/100,0)),MASTER!$AI$4:$AI$1463,0))),NA()))))</f>
        <v>2794</v>
      </c>
      <c r="F145" s="37">
        <f>IF($B$4="RESONANCE",IFERROR(IF(INDEX(MASTER!$I$4:$I$1463,MATCH("SBG"&amp;"|"&amp;MAX(1,ROUND(COUNTIFS(MASTER!$B$4:$B$1463,"SBG",MASTER!$I$4:$I$1463,"&lt;&gt;")*$A145*100/100,0)),MASTER!$Y$4:$Y$1463,0))="",NA(),INDEX(MASTER!$I$4:$I$1463,MATCH("SBG"&amp;"|"&amp;MAX(1,ROUND(COUNTIFS(MASTER!$B$4:$B$1463,"SBG",MASTER!$I$4:$I$1463,"&lt;&gt;")*$A145*100/100,0)),MASTER!$Y$4:$Y$1463,0))),NA()),IF($B$4="COMBAT RATING",IFERROR(IF(INDEX(MASTER!$G$4:$G$1463,MATCH("SBG"&amp;"|"&amp;MAX(1,ROUND(COUNTIFS(MASTER!$B$4:$B$1463,"SBG",MASTER!$G$4:$G$1463,"&lt;&gt;")*$A145*100/100,0)),MASTER!$AH$4:$AH$1463,0))="",NA(),INDEX(MASTER!$G$4:$G$1463,MATCH("SBG"&amp;"|"&amp;MAX(1,ROUND(COUNTIFS(MASTER!$B$4:$B$1463,"SBG",MASTER!$G$4:$G$1463,"&lt;&gt;")*$A145*100/100,0)),MASTER!$AH$4:$AH$1463,0))),NA()),IF($B$4="SECONDARY",IFERROR(IF(INDEX(MASTER!$L$4:$L$1463,MATCH("SBG"&amp;"|"&amp;MAX(1,ROUND(COUNTIFS(MASTER!$B$4:$B$1463,"SBG",MASTER!$L$4:$L$1463,"&lt;&gt;")*$A145*100/100,0)),MASTER!$AI$4:$AI$1463,0))="",NA(),INDEX(MASTER!$L$4:$L$1463,MATCH("SBG"&amp;"|"&amp;MAX(1,ROUND(COUNTIFS(MASTER!$B$4:$B$1463,"SBG",MASTER!$L$4:$L$1463,"&lt;&gt;")*$A145*100/100,0)),MASTER!$AI$4:$AI$1463,0))),NA()))))</f>
        <v>3281</v>
      </c>
      <c r="G145" s="37">
        <f>IF($B$4="RESONANCE",IFERROR(IF(INDEX(MASTER!$I$4:$I$1463,MATCH("AZUKI"&amp;"|"&amp;MAX(1,ROUND(COUNTIFS(MASTER!$B$4:$B$1463,"AZUKI",MASTER!$I$4:$I$1463,"&lt;&gt;")*$A145*100/100,0)),MASTER!$Y$4:$Y$1463,0))="",NA(),INDEX(MASTER!$I$4:$I$1463,MATCH("AZUKI"&amp;"|"&amp;MAX(1,ROUND(COUNTIFS(MASTER!$B$4:$B$1463,"AZUKI",MASTER!$I$4:$I$1463,"&lt;&gt;")*$A145*100/100,0)),MASTER!$Y$4:$Y$1463,0))),NA()),IF($B$4="COMBAT RATING",IFERROR(IF(INDEX(MASTER!$G$4:$G$1463,MATCH("AZUKI"&amp;"|"&amp;MAX(1,ROUND(COUNTIFS(MASTER!$B$4:$B$1463,"AZUKI",MASTER!$G$4:$G$1463,"&lt;&gt;")*$A145*100/100,0)),MASTER!$AH$4:$AH$1463,0))="",NA(),INDEX(MASTER!$G$4:$G$1463,MATCH("AZUKI"&amp;"|"&amp;MAX(1,ROUND(COUNTIFS(MASTER!$B$4:$B$1463,"AZUKI",MASTER!$G$4:$G$1463,"&lt;&gt;")*$A145*100/100,0)),MASTER!$AH$4:$AH$1463,0))),NA()),IF($B$4="SECONDARY",IFERROR(IF(INDEX(MASTER!$L$4:$L$1463,MATCH("AZUKI"&amp;"|"&amp;MAX(1,ROUND(COUNTIFS(MASTER!$B$4:$B$1463,"AZUKI",MASTER!$L$4:$L$1463,"&lt;&gt;")*$A145*100/100,0)),MASTER!$AI$4:$AI$1463,0))="",NA(),INDEX(MASTER!$L$4:$L$1463,MATCH("AZUKI"&amp;"|"&amp;MAX(1,ROUND(COUNTIFS(MASTER!$B$4:$B$1463,"AZUKI",MASTER!$L$4:$L$1463,"&lt;&gt;")*$A145*100/100,0)),MASTER!$AI$4:$AI$1463,0))),NA()))))</f>
        <v>3027</v>
      </c>
      <c r="H145" s="37">
        <f>IF($B$4="RESONANCE",IFERROR(IF(INDEX(MASTER!$I$4:$I$1463,MATCH("RECKONING"&amp;"|"&amp;MAX(1,ROUND(COUNTIFS(MASTER!$B$4:$B$1463,"RECKONING",MASTER!$I$4:$I$1463,"&lt;&gt;")*$A145*100/100,0)),MASTER!$Y$4:$Y$1463,0))="",NA(),INDEX(MASTER!$I$4:$I$1463,MATCH("RECKONING"&amp;"|"&amp;MAX(1,ROUND(COUNTIFS(MASTER!$B$4:$B$1463,"RECKONING",MASTER!$I$4:$I$1463,"&lt;&gt;")*$A145*100/100,0)),MASTER!$Y$4:$Y$1463,0))),NA()),IF($B$4="COMBAT RATING",IFERROR(IF(INDEX(MASTER!$G$4:$G$1463,MATCH("RECKONING"&amp;"|"&amp;MAX(1,ROUND(COUNTIFS(MASTER!$B$4:$B$1463,"RECKONING",MASTER!$G$4:$G$1463,"&lt;&gt;")*$A145*100/100,0)),MASTER!$AH$4:$AH$1463,0))="",NA(),INDEX(MASTER!$G$4:$G$1463,MATCH("RECKONING"&amp;"|"&amp;MAX(1,ROUND(COUNTIFS(MASTER!$B$4:$B$1463,"RECKONING",MASTER!$G$4:$G$1463,"&lt;&gt;")*$A145*100/100,0)),MASTER!$AH$4:$AH$1463,0))),NA()),IF($B$4="SECONDARY",IFERROR(IF(INDEX(MASTER!$L$4:$L$1463,MATCH("RECKONING"&amp;"|"&amp;MAX(1,ROUND(COUNTIFS(MASTER!$B$4:$B$1463,"RECKONING",MASTER!$L$4:$L$1463,"&lt;&gt;")*$A145*100/100,0)),MASTER!$AI$4:$AI$1463,0))="",NA(),INDEX(MASTER!$L$4:$L$1463,MATCH("RECKONING"&amp;"|"&amp;MAX(1,ROUND(COUNTIFS(MASTER!$B$4:$B$1463,"RECKONING",MASTER!$L$4:$L$1463,"&lt;&gt;")*$A145*100/100,0)),MASTER!$AI$4:$AI$1463,0))),NA()))))</f>
        <v>3094</v>
      </c>
      <c r="I145" s="37">
        <f>IF($B$4="RESONANCE",IFERROR(IF(INDEX(MASTER!$I$4:$I$1463,MATCH("ACHERON"&amp;"|"&amp;MAX(1,ROUND(COUNTIFS(MASTER!$B$4:$B$1463,"ACHERON",MASTER!$I$4:$I$1463,"&lt;&gt;")*$A145*100/100,0)),MASTER!$Y$4:$Y$1463,0))="",NA(),INDEX(MASTER!$I$4:$I$1463,MATCH("ACHERON"&amp;"|"&amp;MAX(1,ROUND(COUNTIFS(MASTER!$B$4:$B$1463,"ACHERON",MASTER!$I$4:$I$1463,"&lt;&gt;")*$A145*100/100,0)),MASTER!$Y$4:$Y$1463,0))),NA()),IF($B$4="COMBAT RATING",IFERROR(IF(INDEX(MASTER!$G$4:$G$1463,MATCH("ACHERON"&amp;"|"&amp;MAX(1,ROUND(COUNTIFS(MASTER!$B$4:$B$1463,"ACHERON",MASTER!$G$4:$G$1463,"&lt;&gt;")*$A145*100/100,0)),MASTER!$AH$4:$AH$1463,0))="",NA(),INDEX(MASTER!$G$4:$G$1463,MATCH("ACHERON"&amp;"|"&amp;MAX(1,ROUND(COUNTIFS(MASTER!$B$4:$B$1463,"ACHERON",MASTER!$G$4:$G$1463,"&lt;&gt;")*$A145*100/100,0)),MASTER!$AH$4:$AH$1463,0))),NA()),IF($B$4="SECONDARY",IFERROR(IF(INDEX(MASTER!$L$4:$L$1463,MATCH("ACHERON"&amp;"|"&amp;MAX(1,ROUND(COUNTIFS(MASTER!$B$4:$B$1463,"ACHERON",MASTER!$L$4:$L$1463,"&lt;&gt;")*$A145*100/100,0)),MASTER!$AI$4:$AI$1463,0))="",NA(),INDEX(MASTER!$L$4:$L$1463,MATCH("ACHERON"&amp;"|"&amp;MAX(1,ROUND(COUNTIFS(MASTER!$B$4:$B$1463,"ACHERON",MASTER!$L$4:$L$1463,"&lt;&gt;")*$A145*100/100,0)),MASTER!$AI$4:$AI$1463,0))),NA()))))</f>
        <v>2030</v>
      </c>
      <c r="J145" s="37">
        <f>IF($B$4="RESONANCE",IFERROR(IF(INDEX(MASTER!$I$4:$I$1463,MATCH("INVICTUS"&amp;"|"&amp;MAX(1,ROUND(COUNTIFS(MASTER!$B$4:$B$1463,"INVICTUS",MASTER!$I$4:$I$1463,"&lt;&gt;")*$A145*100/100,0)),MASTER!$Y$4:$Y$1463,0))="",NA(),INDEX(MASTER!$I$4:$I$1463,MATCH("INVICTUS"&amp;"|"&amp;MAX(1,ROUND(COUNTIFS(MASTER!$B$4:$B$1463,"INVICTUS",MASTER!$I$4:$I$1463,"&lt;&gt;")*$A145*100/100,0)),MASTER!$Y$4:$Y$1463,0))),NA()),IF($B$4="COMBAT RATING",IFERROR(IF(INDEX(MASTER!$G$4:$G$1463,MATCH("INVICTUS"&amp;"|"&amp;MAX(1,ROUND(COUNTIFS(MASTER!$B$4:$B$1463,"INVICTUS",MASTER!$G$4:$G$1463,"&lt;&gt;")*$A145*100/100,0)),MASTER!$AH$4:$AH$1463,0))="",NA(),INDEX(MASTER!$G$4:$G$1463,MATCH("INVICTUS"&amp;"|"&amp;MAX(1,ROUND(COUNTIFS(MASTER!$B$4:$B$1463,"INVICTUS",MASTER!$G$4:$G$1463,"&lt;&gt;")*$A145*100/100,0)),MASTER!$AH$4:$AH$1463,0))),NA()),IF($B$4="SECONDARY",IFERROR(IF(INDEX(MASTER!$L$4:$L$1463,MATCH("INVICTUS"&amp;"|"&amp;MAX(1,ROUND(COUNTIFS(MASTER!$B$4:$B$1463,"INVICTUS",MASTER!$L$4:$L$1463,"&lt;&gt;")*$A145*100/100,0)),MASTER!$AI$4:$AI$1463,0))="",NA(),INDEX(MASTER!$L$4:$L$1463,MATCH("INVICTUS"&amp;"|"&amp;MAX(1,ROUND(COUNTIFS(MASTER!$B$4:$B$1463,"INVICTUS",MASTER!$L$4:$L$1463,"&lt;&gt;")*$A145*100/100,0)),MASTER!$AI$4:$AI$1463,0))),NA()))))</f>
        <v>1520</v>
      </c>
      <c r="K145" s="37">
        <f>IF($B$4="RESONANCE",IFERROR(IF(INDEX(MASTER!$I$4:$I$1463,MATCH("EMERALD LEAF TRIBE"&amp;"|"&amp;MAX(1,ROUND(COUNTIFS(MASTER!$B$4:$B$1463,"EMERALD LEAF TRIBE",MASTER!$I$4:$I$1463,"&lt;&gt;")*$A145*100/100,0)),MASTER!$Y$4:$Y$1463,0))="",NA(),INDEX(MASTER!$I$4:$I$1463,MATCH("EMERALD LEAF TRIBE"&amp;"|"&amp;MAX(1,ROUND(COUNTIFS(MASTER!$B$4:$B$1463,"EMERALD LEAF TRIBE",MASTER!$I$4:$I$1463,"&lt;&gt;")*$A145*100/100,0)),MASTER!$Y$4:$Y$1463,0))),NA()),IF($B$4="COMBAT RATING",IFERROR(IF(INDEX(MASTER!$G$4:$G$1463,MATCH("EMERALD LEAF TRIBE"&amp;"|"&amp;MAX(1,ROUND(COUNTIFS(MASTER!$B$4:$B$1463,"EMERALD LEAF TRIBE",MASTER!$G$4:$G$1463,"&lt;&gt;")*$A145*100/100,0)),MASTER!$AH$4:$AH$1463,0))="",NA(),INDEX(MASTER!$G$4:$G$1463,MATCH("EMERALD LEAF TRIBE"&amp;"|"&amp;MAX(1,ROUND(COUNTIFS(MASTER!$B$4:$B$1463,"EMERALD LEAF TRIBE",MASTER!$G$4:$G$1463,"&lt;&gt;")*$A145*100/100,0)),MASTER!$AH$4:$AH$1463,0))),NA()),IF($B$4="SECONDARY",IFERROR(IF(INDEX(MASTER!$L$4:$L$1463,MATCH("EMERALD LEAF TRIBE"&amp;"|"&amp;MAX(1,ROUND(COUNTIFS(MASTER!$B$4:$B$1463,"EMERALD LEAF TRIBE",MASTER!$L$4:$L$1463,"&lt;&gt;")*$A145*100/100,0)),MASTER!$AI$4:$AI$1463,0))="",NA(),INDEX(MASTER!$L$4:$L$1463,MATCH("EMERALD LEAF TRIBE"&amp;"|"&amp;MAX(1,ROUND(COUNTIFS(MASTER!$B$4:$B$1463,"EMERALD LEAF TRIBE",MASTER!$L$4:$L$1463,"&lt;&gt;")*$A145*100/100,0)),MASTER!$AI$4:$AI$1463,0))),NA()))))</f>
        <v>918</v>
      </c>
      <c r="L145" s="37">
        <f>IF($B$4="RESONANCE",IFERROR(IF(INDEX(MASTER!$I$4:$I$1463,MATCH("SUB ROSA"&amp;"|"&amp;MAX(1,ROUND(COUNTIFS(MASTER!$B$4:$B$1463,"SUB ROSA",MASTER!$I$4:$I$1463,"&lt;&gt;")*$A145*100/100,0)),MASTER!$Y$4:$Y$1463,0))="",NA(),INDEX(MASTER!$I$4:$I$1463,MATCH("SUB ROSA"&amp;"|"&amp;MAX(1,ROUND(COUNTIFS(MASTER!$B$4:$B$1463,"SUB ROSA",MASTER!$I$4:$I$1463,"&lt;&gt;")*$A145*100/100,0)),MASTER!$Y$4:$Y$1463,0))),NA()),IF($B$4="COMBAT RATING",IFERROR(IF(INDEX(MASTER!$G$4:$G$1463,MATCH("SUB ROSA"&amp;"|"&amp;MAX(1,ROUND(COUNTIFS(MASTER!$B$4:$B$1463,"SUB ROSA",MASTER!$G$4:$G$1463,"&lt;&gt;")*$A145*100/100,0)),MASTER!$AH$4:$AH$1463,0))="",NA(),INDEX(MASTER!$G$4:$G$1463,MATCH("SUB ROSA"&amp;"|"&amp;MAX(1,ROUND(COUNTIFS(MASTER!$B$4:$B$1463,"SUB ROSA",MASTER!$G$4:$G$1463,"&lt;&gt;")*$A145*100/100,0)),MASTER!$AH$4:$AH$1463,0))),NA()),IF($B$4="SECONDARY",IFERROR(IF(INDEX(MASTER!$L$4:$L$1463,MATCH("SUB ROSA"&amp;"|"&amp;MAX(1,ROUND(COUNTIFS(MASTER!$B$4:$B$1463,"SUB ROSA",MASTER!$L$4:$L$1463,"&lt;&gt;")*$A145*100/100,0)),MASTER!$AI$4:$AI$1463,0))="",NA(),INDEX(MASTER!$L$4:$L$1463,MATCH("SUB ROSA"&amp;"|"&amp;MAX(1,ROUND(COUNTIFS(MASTER!$B$4:$B$1463,"SUB ROSA",MASTER!$L$4:$L$1463,"&lt;&gt;")*$A145*100/100,0)),MASTER!$AI$4:$AI$1463,0))),NA()))))</f>
        <v>1030</v>
      </c>
      <c r="M145" s="37">
        <f>IF($B$4="RESONANCE",IFERROR(IF(INDEX(MASTER!$I$4:$I$1463,MATCH("VENGEANCE"&amp;"|"&amp;MAX(1,ROUND(COUNTIFS(MASTER!$B$4:$B$1463,"VENGEANCE",MASTER!$I$4:$I$1463,"&lt;&gt;")*$A145*100/100,0)),MASTER!$Y$4:$Y$1463,0))="",NA(),INDEX(MASTER!$I$4:$I$1463,MATCH("VENGEANCE"&amp;"|"&amp;MAX(1,ROUND(COUNTIFS(MASTER!$B$4:$B$1463,"VENGEANCE",MASTER!$I$4:$I$1463,"&lt;&gt;")*$A145*100/100,0)),MASTER!$Y$4:$Y$1463,0))),NA()),IF($B$4="COMBAT RATING",IFERROR(IF(INDEX(MASTER!$G$4:$G$1463,MATCH("VENGEANCE"&amp;"|"&amp;MAX(1,ROUND(COUNTIFS(MASTER!$B$4:$B$1463,"VENGEANCE",MASTER!$G$4:$G$1463,"&lt;&gt;")*$A145*100/100,0)),MASTER!$AH$4:$AH$1463,0))="",NA(),INDEX(MASTER!$G$4:$G$1463,MATCH("VENGEANCE"&amp;"|"&amp;MAX(1,ROUND(COUNTIFS(MASTER!$B$4:$B$1463,"VENGEANCE",MASTER!$G$4:$G$1463,"&lt;&gt;")*$A145*100/100,0)),MASTER!$AH$4:$AH$1463,0))),NA()),IF($B$4="SECONDARY",IFERROR(IF(INDEX(MASTER!$L$4:$L$1463,MATCH("VENGEANCE"&amp;"|"&amp;MAX(1,ROUND(COUNTIFS(MASTER!$B$4:$B$1463,"VENGEANCE",MASTER!$L$4:$L$1463,"&lt;&gt;")*$A145*100/100,0)),MASTER!$AI$4:$AI$1463,0))="",NA(),INDEX(MASTER!$L$4:$L$1463,MATCH("VENGEANCE"&amp;"|"&amp;MAX(1,ROUND(COUNTIFS(MASTER!$B$4:$B$1463,"VENGEANCE",MASTER!$L$4:$L$1463,"&lt;&gt;")*$A145*100/100,0)),MASTER!$AI$4:$AI$1463,0))),NA()))))</f>
        <v>1869</v>
      </c>
      <c r="N145" s="37">
        <f>IF($B$4="RESONANCE",IFERROR(IF(INDEX(MASTER!$I$4:$I$1463,MATCH("VENDETTA"&amp;"|"&amp;MAX(1,ROUND(COUNTIFS(MASTER!$B$4:$B$1463,"VENDETTA",MASTER!$I$4:$I$1463,"&lt;&gt;")*$A145*100/100,0)),MASTER!$Y$4:$Y$1463,0))="",NA(),INDEX(MASTER!$I$4:$I$1463,MATCH("VENDETTA"&amp;"|"&amp;MAX(1,ROUND(COUNTIFS(MASTER!$B$4:$B$1463,"VENDETTA",MASTER!$I$4:$I$1463,"&lt;&gt;")*$A145*100/100,0)),MASTER!$Y$4:$Y$1463,0))),NA()),IF($B$4="COMBAT RATING",IFERROR(IF(INDEX(MASTER!$G$4:$G$1463,MATCH("VENDETTA"&amp;"|"&amp;MAX(1,ROUND(COUNTIFS(MASTER!$B$4:$B$1463,"VENDETTA",MASTER!$G$4:$G$1463,"&lt;&gt;")*$A145*100/100,0)),MASTER!$AH$4:$AH$1463,0))="",NA(),INDEX(MASTER!$G$4:$G$1463,MATCH("VENDETTA"&amp;"|"&amp;MAX(1,ROUND(COUNTIFS(MASTER!$B$4:$B$1463,"VENDETTA",MASTER!$G$4:$G$1463,"&lt;&gt;")*$A145*100/100,0)),MASTER!$AH$4:$AH$1463,0))),NA()),IF($B$4="SECONDARY",IFERROR(IF(INDEX(MASTER!$L$4:$L$1463,MATCH("VENDETTA"&amp;"|"&amp;MAX(1,ROUND(COUNTIFS(MASTER!$B$4:$B$1463,"VENDETTA",MASTER!$L$4:$L$1463,"&lt;&gt;")*$A145*100/100,0)),MASTER!$AI$4:$AI$1463,0))="",NA(),INDEX(MASTER!$L$4:$L$1463,MATCH("VENDETTA"&amp;"|"&amp;MAX(1,ROUND(COUNTIFS(MASTER!$B$4:$B$1463,"VENDETTA",MASTER!$L$4:$L$1463,"&lt;&gt;")*$A145*100/100,0)),MASTER!$AI$4:$AI$1463,0))),NA()))))</f>
        <v>986</v>
      </c>
      <c r="O145" s="37">
        <f>IF($B$4="RESONANCE",IFERROR(IF(INDEX(MASTER!$I$4:$I$1463,MATCH("ZOMBIES"&amp;"|"&amp;MAX(1,ROUND(COUNTIFS(MASTER!$B$4:$B$1463,"ZOMBIES",MASTER!$I$4:$I$1463,"&lt;&gt;")*$A145*100/100,0)),MASTER!$Y$4:$Y$1463,0))="",NA(),INDEX(MASTER!$I$4:$I$1463,MATCH("ZOMBIES"&amp;"|"&amp;MAX(1,ROUND(COUNTIFS(MASTER!$B$4:$B$1463,"ZOMBIES",MASTER!$I$4:$I$1463,"&lt;&gt;")*$A145*100/100,0)),MASTER!$Y$4:$Y$1463,0))),NA()),IF($B$4="COMBAT RATING",IFERROR(IF(INDEX(MASTER!$G$4:$G$1463,MATCH("ZOMBIES"&amp;"|"&amp;MAX(1,ROUND(COUNTIFS(MASTER!$B$4:$B$1463,"ZOMBIES",MASTER!$G$4:$G$1463,"&lt;&gt;")*$A145*100/100,0)),MASTER!$AH$4:$AH$1463,0))="",NA(),INDEX(MASTER!$G$4:$G$1463,MATCH("ZOMBIES"&amp;"|"&amp;MAX(1,ROUND(COUNTIFS(MASTER!$B$4:$B$1463,"ZOMBIES",MASTER!$G$4:$G$1463,"&lt;&gt;")*$A145*100/100,0)),MASTER!$AH$4:$AH$1463,0))),NA()),IF($B$4="SECONDARY",IFERROR(IF(INDEX(MASTER!$L$4:$L$1463,MATCH("ZOMBIES"&amp;"|"&amp;MAX(1,ROUND(COUNTIFS(MASTER!$B$4:$B$1463,"ZOMBIES",MASTER!$L$4:$L$1463,"&lt;&gt;")*$A145*100/100,0)),MASTER!$AI$4:$AI$1463,0))="",NA(),INDEX(MASTER!$L$4:$L$1463,MATCH("ZOMBIES"&amp;"|"&amp;MAX(1,ROUND(COUNTIFS(MASTER!$B$4:$B$1463,"ZOMBIES",MASTER!$L$4:$L$1463,"&lt;&gt;")*$A145*100/100,0)),MASTER!$AI$4:$AI$1463,0))),NA()))))</f>
        <v>833</v>
      </c>
      <c r="P145" s="37">
        <f>IF($B$4="RESONANCE",IFERROR(IF(INDEX(MASTER!$I$4:$I$1463,MATCH("FUCT"&amp;"|"&amp;MAX(1,ROUND(COUNTIFS(MASTER!$B$4:$B$1463,"FUCT",MASTER!$I$4:$I$1463,"&lt;&gt;")*$A145*100/100,0)),MASTER!$Y$4:$Y$1463,0))="",NA(),INDEX(MASTER!$I$4:$I$1463,MATCH("FUCT"&amp;"|"&amp;MAX(1,ROUND(COUNTIFS(MASTER!$B$4:$B$1463,"FUCT",MASTER!$I$4:$I$1463,"&lt;&gt;")*$A145*100/100,0)),MASTER!$Y$4:$Y$1463,0))),NA()),IF($B$4="COMBAT RATING",IFERROR(IF(INDEX(MASTER!$G$4:$G$1463,MATCH("FUCT"&amp;"|"&amp;MAX(1,ROUND(COUNTIFS(MASTER!$B$4:$B$1463,"FUCT",MASTER!$G$4:$G$1463,"&lt;&gt;")*$A145*100/100,0)),MASTER!$AH$4:$AH$1463,0))="",NA(),INDEX(MASTER!$G$4:$G$1463,MATCH("FUCT"&amp;"|"&amp;MAX(1,ROUND(COUNTIFS(MASTER!$B$4:$B$1463,"FUCT",MASTER!$G$4:$G$1463,"&lt;&gt;")*$A145*100/100,0)),MASTER!$AH$4:$AH$1463,0))),NA()),IF($B$4="SECONDARY",IFERROR(IF(INDEX(MASTER!$L$4:$L$1463,MATCH("FUCT"&amp;"|"&amp;MAX(1,ROUND(COUNTIFS(MASTER!$B$4:$B$1463,"FUCT",MASTER!$L$4:$L$1463,"&lt;&gt;")*$A145*100/100,0)),MASTER!$AI$4:$AI$1463,0))="",NA(),INDEX(MASTER!$L$4:$L$1463,MATCH("FUCT"&amp;"|"&amp;MAX(1,ROUND(COUNTIFS(MASTER!$B$4:$B$1463,"FUCT",MASTER!$L$4:$L$1463,"&lt;&gt;")*$A145*100/100,0)),MASTER!$AI$4:$AI$1463,0))),NA()))))</f>
        <v>3156</v>
      </c>
      <c r="Q145" s="37">
        <f>IF($B$4="RESONANCE",IFERROR(IF(INDEX(MASTER!$I$4:$I$1463,MATCH($E$4&amp;"|"&amp;MAX(1,ROUND(COUNTIFS(MASTER!$B$4:$B$1463,$E$4,MASTER!$I$4:$I$1463,"&lt;&gt;")*$A145*100/100,0)),MASTER!$Y$4:$Y$1463,0))="",NA(),INDEX(MASTER!$I$4:$I$1463,MATCH($E$4&amp;"|"&amp;MAX(1,ROUND(COUNTIFS(MASTER!$B$4:$B$1463,$E$4,MASTER!$I$4:$I$1463,"&lt;&gt;")*$A145*100/100,0)),MASTER!$Y$4:$Y$1463,0))),NA()),IF($B$4="COMBAT RATING",IFERROR(IF(INDEX(MASTER!$G$4:$G$1463,MATCH($E$4&amp;"|"&amp;MAX(1,ROUND(COUNTIFS(MASTER!$B$4:$B$1463,$E$4,MASTER!$G$4:$G$1463,"&lt;&gt;")*$A145*100/100,0)),MASTER!$AH$4:$AH$1463,0))="",NA(),INDEX(MASTER!$G$4:$G$1463,MATCH($E$4&amp;"|"&amp;MAX(1,ROUND(COUNTIFS(MASTER!$B$4:$B$1463,$E$4,MASTER!$G$4:$G$1463,"&lt;&gt;")*$A145*100/100,0)),MASTER!$AH$4:$AH$1463,0))),NA()),IF($B$4="SECONDARY",IFERROR(IF(INDEX(MASTER!$L$4:$L$1463,MATCH($E$4&amp;"|"&amp;MAX(1,ROUND(COUNTIFS(MASTER!$B$4:$B$1463,$E$4,MASTER!$L$4:$L$1463,"&lt;&gt;")*$A145*100/100,0)),MASTER!$AI$4:$AI$1463,0))="",NA(),INDEX(MASTER!$L$4:$L$1463,MATCH($E$4&amp;"|"&amp;MAX(1,ROUND(COUNTIFS(MASTER!$B$4:$B$1463,$E$4,MASTER!$L$4:$L$1463,"&lt;&gt;")*$A145*100/100,0)),MASTER!$AI$4:$AI$1463,0))),NA()))))</f>
        <v>2794</v>
      </c>
    </row>
    <row r="146" spans="1:17" hidden="1">
      <c r="A146" s="36">
        <v>0.91</v>
      </c>
      <c r="B146" s="37">
        <f>IF($B$4="RESONANCE",IFERROR(IF(INDEX(MASTER!$I$4:$I$1463,MATCH("FUCT"&amp;"|"&amp;MAX(1,ROUND(COUNTIFS(MASTER!$B$4:$B$1463,"FUCT",MASTER!$I$4:$I$1463,"&lt;&gt;")*$A146*100/100,0)),MASTER!$Y$4:$Y$1463,0))="",NA(),INDEX(MASTER!$I$4:$I$1463,MATCH("FUCT"&amp;"|"&amp;MAX(1,ROUND(COUNTIFS(MASTER!$B$4:$B$1463,"FUCT",MASTER!$I$4:$I$1463,"&lt;&gt;")*$A146*100/100,0)),MASTER!$Y$4:$Y$1463,0))),NA()),IF($B$4="COMBAT RATING",IFERROR(IF(INDEX(MASTER!$G$4:$G$1463,MATCH("FUCT"&amp;"|"&amp;MAX(1,ROUND(COUNTIFS(MASTER!$B$4:$B$1463,"FUCT",MASTER!$G$4:$G$1463,"&lt;&gt;")*$A146*100/100,0)),MASTER!$AH$4:$AH$1463,0))="",NA(),INDEX(MASTER!$G$4:$G$1463,MATCH("FUCT"&amp;"|"&amp;MAX(1,ROUND(COUNTIFS(MASTER!$B$4:$B$1463,"FUCT",MASTER!$G$4:$G$1463,"&lt;&gt;")*$A146*100/100,0)),MASTER!$AH$4:$AH$1463,0))),NA()),IF($B$4="SECONDARY",IFERROR(IF(INDEX(MASTER!$L$4:$L$1463,MATCH("FUCT"&amp;"|"&amp;MAX(1,ROUND(COUNTIFS(MASTER!$B$4:$B$1463,"FUCT",MASTER!$L$4:$L$1463,"&lt;&gt;")*$A146*100/100,0)),MASTER!$AI$4:$AI$1463,0))="",NA(),INDEX(MASTER!$L$4:$L$1463,MATCH("FUCT"&amp;"|"&amp;MAX(1,ROUND(COUNTIFS(MASTER!$B$4:$B$1463,"FUCT",MASTER!$L$4:$L$1463,"&lt;&gt;")*$A146*100/100,0)),MASTER!$AI$4:$AI$1463,0))),NA()))))</f>
        <v>3074</v>
      </c>
      <c r="C146" s="37">
        <f>IF($B$4="RESONANCE",IFERROR(IF(INDEX(MASTER!$I$4:$I$1463,MATCH("LEGENDS"&amp;"|"&amp;MAX(1,ROUND(COUNTIFS(MASTER!$B$4:$B$1463,"LEGENDS",MASTER!$I$4:$I$1463,"&lt;&gt;")*$A146*100/100,0)),MASTER!$Y$4:$Y$1463,0))="",NA(),INDEX(MASTER!$I$4:$I$1463,MATCH("LEGENDS"&amp;"|"&amp;MAX(1,ROUND(COUNTIFS(MASTER!$B$4:$B$1463,"LEGENDS",MASTER!$I$4:$I$1463,"&lt;&gt;")*$A146*100/100,0)),MASTER!$Y$4:$Y$1463,0))),NA()),IF($B$4="COMBAT RATING",IFERROR(IF(INDEX(MASTER!$G$4:$G$1463,MATCH("LEGENDS"&amp;"|"&amp;MAX(1,ROUND(COUNTIFS(MASTER!$B$4:$B$1463,"LEGENDS",MASTER!$G$4:$G$1463,"&lt;&gt;")*$A146*100/100,0)),MASTER!$AH$4:$AH$1463,0))="",NA(),INDEX(MASTER!$G$4:$G$1463,MATCH("LEGENDS"&amp;"|"&amp;MAX(1,ROUND(COUNTIFS(MASTER!$B$4:$B$1463,"LEGENDS",MASTER!$G$4:$G$1463,"&lt;&gt;")*$A146*100/100,0)),MASTER!$AH$4:$AH$1463,0))),NA()),IF($B$4="SECONDARY",IFERROR(IF(INDEX(MASTER!$L$4:$L$1463,MATCH("LEGENDS"&amp;"|"&amp;MAX(1,ROUND(COUNTIFS(MASTER!$B$4:$B$1463,"LEGENDS",MASTER!$L$4:$L$1463,"&lt;&gt;")*$A146*100/100,0)),MASTER!$AI$4:$AI$1463,0))="",NA(),INDEX(MASTER!$L$4:$L$1463,MATCH("LEGENDS"&amp;"|"&amp;MAX(1,ROUND(COUNTIFS(MASTER!$B$4:$B$1463,"LEGENDS",MASTER!$L$4:$L$1463,"&lt;&gt;")*$A146*100/100,0)),MASTER!$AI$4:$AI$1463,0))),NA()))))</f>
        <v>3250</v>
      </c>
      <c r="D146" s="37">
        <f>IF($B$4="RESONANCE",IFERROR(IF(INDEX(MASTER!$I$4:$I$1463,MATCH("VANGUARD"&amp;"|"&amp;MAX(1,ROUND(COUNTIFS(MASTER!$B$4:$B$1463,"VANGUARD",MASTER!$I$4:$I$1463,"&lt;&gt;")*$A146*100/100,0)),MASTER!$Y$4:$Y$1463,0))="",NA(),INDEX(MASTER!$I$4:$I$1463,MATCH("VANGUARD"&amp;"|"&amp;MAX(1,ROUND(COUNTIFS(MASTER!$B$4:$B$1463,"VANGUARD",MASTER!$I$4:$I$1463,"&lt;&gt;")*$A146*100/100,0)),MASTER!$Y$4:$Y$1463,0))),NA()),IF($B$4="COMBAT RATING",IFERROR(IF(INDEX(MASTER!$G$4:$G$1463,MATCH("VANGUARD"&amp;"|"&amp;MAX(1,ROUND(COUNTIFS(MASTER!$B$4:$B$1463,"VANGUARD",MASTER!$G$4:$G$1463,"&lt;&gt;")*$A146*100/100,0)),MASTER!$AH$4:$AH$1463,0))="",NA(),INDEX(MASTER!$G$4:$G$1463,MATCH("VANGUARD"&amp;"|"&amp;MAX(1,ROUND(COUNTIFS(MASTER!$B$4:$B$1463,"VANGUARD",MASTER!$G$4:$G$1463,"&lt;&gt;")*$A146*100/100,0)),MASTER!$AH$4:$AH$1463,0))),NA()),IF($B$4="SECONDARY",IFERROR(IF(INDEX(MASTER!$L$4:$L$1463,MATCH("VANGUARD"&amp;"|"&amp;MAX(1,ROUND(COUNTIFS(MASTER!$B$4:$B$1463,"VANGUARD",MASTER!$L$4:$L$1463,"&lt;&gt;")*$A146*100/100,0)),MASTER!$AI$4:$AI$1463,0))="",NA(),INDEX(MASTER!$L$4:$L$1463,MATCH("VANGUARD"&amp;"|"&amp;MAX(1,ROUND(COUNTIFS(MASTER!$B$4:$B$1463,"VANGUARD",MASTER!$L$4:$L$1463,"&lt;&gt;")*$A146*100/100,0)),MASTER!$AI$4:$AI$1463,0))),NA()))))</f>
        <v>3410</v>
      </c>
      <c r="E146" s="37">
        <f>IF($B$4="RESONANCE",IFERROR(IF(INDEX(MASTER!$I$4:$I$1463,MATCH("UNDYING"&amp;"|"&amp;MAX(1,ROUND(COUNTIFS(MASTER!$B$4:$B$1463,"UNDYING",MASTER!$I$4:$I$1463,"&lt;&gt;")*$A146*100/100,0)),MASTER!$Y$4:$Y$1463,0))="",NA(),INDEX(MASTER!$I$4:$I$1463,MATCH("UNDYING"&amp;"|"&amp;MAX(1,ROUND(COUNTIFS(MASTER!$B$4:$B$1463,"UNDYING",MASTER!$I$4:$I$1463,"&lt;&gt;")*$A146*100/100,0)),MASTER!$Y$4:$Y$1463,0))),NA()),IF($B$4="COMBAT RATING",IFERROR(IF(INDEX(MASTER!$G$4:$G$1463,MATCH("UNDYING"&amp;"|"&amp;MAX(1,ROUND(COUNTIFS(MASTER!$B$4:$B$1463,"UNDYING",MASTER!$G$4:$G$1463,"&lt;&gt;")*$A146*100/100,0)),MASTER!$AH$4:$AH$1463,0))="",NA(),INDEX(MASTER!$G$4:$G$1463,MATCH("UNDYING"&amp;"|"&amp;MAX(1,ROUND(COUNTIFS(MASTER!$B$4:$B$1463,"UNDYING",MASTER!$G$4:$G$1463,"&lt;&gt;")*$A146*100/100,0)),MASTER!$AH$4:$AH$1463,0))),NA()),IF($B$4="SECONDARY",IFERROR(IF(INDEX(MASTER!$L$4:$L$1463,MATCH("UNDYING"&amp;"|"&amp;MAX(1,ROUND(COUNTIFS(MASTER!$B$4:$B$1463,"UNDYING",MASTER!$L$4:$L$1463,"&lt;&gt;")*$A146*100/100,0)),MASTER!$AI$4:$AI$1463,0))="",NA(),INDEX(MASTER!$L$4:$L$1463,MATCH("UNDYING"&amp;"|"&amp;MAX(1,ROUND(COUNTIFS(MASTER!$B$4:$B$1463,"UNDYING",MASTER!$L$4:$L$1463,"&lt;&gt;")*$A146*100/100,0)),MASTER!$AI$4:$AI$1463,0))),NA()))))</f>
        <v>2727</v>
      </c>
      <c r="F146" s="37">
        <f>IF($B$4="RESONANCE",IFERROR(IF(INDEX(MASTER!$I$4:$I$1463,MATCH("SBG"&amp;"|"&amp;MAX(1,ROUND(COUNTIFS(MASTER!$B$4:$B$1463,"SBG",MASTER!$I$4:$I$1463,"&lt;&gt;")*$A146*100/100,0)),MASTER!$Y$4:$Y$1463,0))="",NA(),INDEX(MASTER!$I$4:$I$1463,MATCH("SBG"&amp;"|"&amp;MAX(1,ROUND(COUNTIFS(MASTER!$B$4:$B$1463,"SBG",MASTER!$I$4:$I$1463,"&lt;&gt;")*$A146*100/100,0)),MASTER!$Y$4:$Y$1463,0))),NA()),IF($B$4="COMBAT RATING",IFERROR(IF(INDEX(MASTER!$G$4:$G$1463,MATCH("SBG"&amp;"|"&amp;MAX(1,ROUND(COUNTIFS(MASTER!$B$4:$B$1463,"SBG",MASTER!$G$4:$G$1463,"&lt;&gt;")*$A146*100/100,0)),MASTER!$AH$4:$AH$1463,0))="",NA(),INDEX(MASTER!$G$4:$G$1463,MATCH("SBG"&amp;"|"&amp;MAX(1,ROUND(COUNTIFS(MASTER!$B$4:$B$1463,"SBG",MASTER!$G$4:$G$1463,"&lt;&gt;")*$A146*100/100,0)),MASTER!$AH$4:$AH$1463,0))),NA()),IF($B$4="SECONDARY",IFERROR(IF(INDEX(MASTER!$L$4:$L$1463,MATCH("SBG"&amp;"|"&amp;MAX(1,ROUND(COUNTIFS(MASTER!$B$4:$B$1463,"SBG",MASTER!$L$4:$L$1463,"&lt;&gt;")*$A146*100/100,0)),MASTER!$AI$4:$AI$1463,0))="",NA(),INDEX(MASTER!$L$4:$L$1463,MATCH("SBG"&amp;"|"&amp;MAX(1,ROUND(COUNTIFS(MASTER!$B$4:$B$1463,"SBG",MASTER!$L$4:$L$1463,"&lt;&gt;")*$A146*100/100,0)),MASTER!$AI$4:$AI$1463,0))),NA()))))</f>
        <v>3224</v>
      </c>
      <c r="G146" s="37">
        <f>IF($B$4="RESONANCE",IFERROR(IF(INDEX(MASTER!$I$4:$I$1463,MATCH("AZUKI"&amp;"|"&amp;MAX(1,ROUND(COUNTIFS(MASTER!$B$4:$B$1463,"AZUKI",MASTER!$I$4:$I$1463,"&lt;&gt;")*$A146*100/100,0)),MASTER!$Y$4:$Y$1463,0))="",NA(),INDEX(MASTER!$I$4:$I$1463,MATCH("AZUKI"&amp;"|"&amp;MAX(1,ROUND(COUNTIFS(MASTER!$B$4:$B$1463,"AZUKI",MASTER!$I$4:$I$1463,"&lt;&gt;")*$A146*100/100,0)),MASTER!$Y$4:$Y$1463,0))),NA()),IF($B$4="COMBAT RATING",IFERROR(IF(INDEX(MASTER!$G$4:$G$1463,MATCH("AZUKI"&amp;"|"&amp;MAX(1,ROUND(COUNTIFS(MASTER!$B$4:$B$1463,"AZUKI",MASTER!$G$4:$G$1463,"&lt;&gt;")*$A146*100/100,0)),MASTER!$AH$4:$AH$1463,0))="",NA(),INDEX(MASTER!$G$4:$G$1463,MATCH("AZUKI"&amp;"|"&amp;MAX(1,ROUND(COUNTIFS(MASTER!$B$4:$B$1463,"AZUKI",MASTER!$G$4:$G$1463,"&lt;&gt;")*$A146*100/100,0)),MASTER!$AH$4:$AH$1463,0))),NA()),IF($B$4="SECONDARY",IFERROR(IF(INDEX(MASTER!$L$4:$L$1463,MATCH("AZUKI"&amp;"|"&amp;MAX(1,ROUND(COUNTIFS(MASTER!$B$4:$B$1463,"AZUKI",MASTER!$L$4:$L$1463,"&lt;&gt;")*$A146*100/100,0)),MASTER!$AI$4:$AI$1463,0))="",NA(),INDEX(MASTER!$L$4:$L$1463,MATCH("AZUKI"&amp;"|"&amp;MAX(1,ROUND(COUNTIFS(MASTER!$B$4:$B$1463,"AZUKI",MASTER!$L$4:$L$1463,"&lt;&gt;")*$A146*100/100,0)),MASTER!$AI$4:$AI$1463,0))),NA()))))</f>
        <v>3008</v>
      </c>
      <c r="H146" s="37">
        <f>IF($B$4="RESONANCE",IFERROR(IF(INDEX(MASTER!$I$4:$I$1463,MATCH("RECKONING"&amp;"|"&amp;MAX(1,ROUND(COUNTIFS(MASTER!$B$4:$B$1463,"RECKONING",MASTER!$I$4:$I$1463,"&lt;&gt;")*$A146*100/100,0)),MASTER!$Y$4:$Y$1463,0))="",NA(),INDEX(MASTER!$I$4:$I$1463,MATCH("RECKONING"&amp;"|"&amp;MAX(1,ROUND(COUNTIFS(MASTER!$B$4:$B$1463,"RECKONING",MASTER!$I$4:$I$1463,"&lt;&gt;")*$A146*100/100,0)),MASTER!$Y$4:$Y$1463,0))),NA()),IF($B$4="COMBAT RATING",IFERROR(IF(INDEX(MASTER!$G$4:$G$1463,MATCH("RECKONING"&amp;"|"&amp;MAX(1,ROUND(COUNTIFS(MASTER!$B$4:$B$1463,"RECKONING",MASTER!$G$4:$G$1463,"&lt;&gt;")*$A146*100/100,0)),MASTER!$AH$4:$AH$1463,0))="",NA(),INDEX(MASTER!$G$4:$G$1463,MATCH("RECKONING"&amp;"|"&amp;MAX(1,ROUND(COUNTIFS(MASTER!$B$4:$B$1463,"RECKONING",MASTER!$G$4:$G$1463,"&lt;&gt;")*$A146*100/100,0)),MASTER!$AH$4:$AH$1463,0))),NA()),IF($B$4="SECONDARY",IFERROR(IF(INDEX(MASTER!$L$4:$L$1463,MATCH("RECKONING"&amp;"|"&amp;MAX(1,ROUND(COUNTIFS(MASTER!$B$4:$B$1463,"RECKONING",MASTER!$L$4:$L$1463,"&lt;&gt;")*$A146*100/100,0)),MASTER!$AI$4:$AI$1463,0))="",NA(),INDEX(MASTER!$L$4:$L$1463,MATCH("RECKONING"&amp;"|"&amp;MAX(1,ROUND(COUNTIFS(MASTER!$B$4:$B$1463,"RECKONING",MASTER!$L$4:$L$1463,"&lt;&gt;")*$A146*100/100,0)),MASTER!$AI$4:$AI$1463,0))),NA()))))</f>
        <v>3014</v>
      </c>
      <c r="I146" s="37">
        <f>IF($B$4="RESONANCE",IFERROR(IF(INDEX(MASTER!$I$4:$I$1463,MATCH("ACHERON"&amp;"|"&amp;MAX(1,ROUND(COUNTIFS(MASTER!$B$4:$B$1463,"ACHERON",MASTER!$I$4:$I$1463,"&lt;&gt;")*$A146*100/100,0)),MASTER!$Y$4:$Y$1463,0))="",NA(),INDEX(MASTER!$I$4:$I$1463,MATCH("ACHERON"&amp;"|"&amp;MAX(1,ROUND(COUNTIFS(MASTER!$B$4:$B$1463,"ACHERON",MASTER!$I$4:$I$1463,"&lt;&gt;")*$A146*100/100,0)),MASTER!$Y$4:$Y$1463,0))),NA()),IF($B$4="COMBAT RATING",IFERROR(IF(INDEX(MASTER!$G$4:$G$1463,MATCH("ACHERON"&amp;"|"&amp;MAX(1,ROUND(COUNTIFS(MASTER!$B$4:$B$1463,"ACHERON",MASTER!$G$4:$G$1463,"&lt;&gt;")*$A146*100/100,0)),MASTER!$AH$4:$AH$1463,0))="",NA(),INDEX(MASTER!$G$4:$G$1463,MATCH("ACHERON"&amp;"|"&amp;MAX(1,ROUND(COUNTIFS(MASTER!$B$4:$B$1463,"ACHERON",MASTER!$G$4:$G$1463,"&lt;&gt;")*$A146*100/100,0)),MASTER!$AH$4:$AH$1463,0))),NA()),IF($B$4="SECONDARY",IFERROR(IF(INDEX(MASTER!$L$4:$L$1463,MATCH("ACHERON"&amp;"|"&amp;MAX(1,ROUND(COUNTIFS(MASTER!$B$4:$B$1463,"ACHERON",MASTER!$L$4:$L$1463,"&lt;&gt;")*$A146*100/100,0)),MASTER!$AI$4:$AI$1463,0))="",NA(),INDEX(MASTER!$L$4:$L$1463,MATCH("ACHERON"&amp;"|"&amp;MAX(1,ROUND(COUNTIFS(MASTER!$B$4:$B$1463,"ACHERON",MASTER!$L$4:$L$1463,"&lt;&gt;")*$A146*100/100,0)),MASTER!$AI$4:$AI$1463,0))),NA()))))</f>
        <v>2019</v>
      </c>
      <c r="J146" s="37">
        <f>IF($B$4="RESONANCE",IFERROR(IF(INDEX(MASTER!$I$4:$I$1463,MATCH("INVICTUS"&amp;"|"&amp;MAX(1,ROUND(COUNTIFS(MASTER!$B$4:$B$1463,"INVICTUS",MASTER!$I$4:$I$1463,"&lt;&gt;")*$A146*100/100,0)),MASTER!$Y$4:$Y$1463,0))="",NA(),INDEX(MASTER!$I$4:$I$1463,MATCH("INVICTUS"&amp;"|"&amp;MAX(1,ROUND(COUNTIFS(MASTER!$B$4:$B$1463,"INVICTUS",MASTER!$I$4:$I$1463,"&lt;&gt;")*$A146*100/100,0)),MASTER!$Y$4:$Y$1463,0))),NA()),IF($B$4="COMBAT RATING",IFERROR(IF(INDEX(MASTER!$G$4:$G$1463,MATCH("INVICTUS"&amp;"|"&amp;MAX(1,ROUND(COUNTIFS(MASTER!$B$4:$B$1463,"INVICTUS",MASTER!$G$4:$G$1463,"&lt;&gt;")*$A146*100/100,0)),MASTER!$AH$4:$AH$1463,0))="",NA(),INDEX(MASTER!$G$4:$G$1463,MATCH("INVICTUS"&amp;"|"&amp;MAX(1,ROUND(COUNTIFS(MASTER!$B$4:$B$1463,"INVICTUS",MASTER!$G$4:$G$1463,"&lt;&gt;")*$A146*100/100,0)),MASTER!$AH$4:$AH$1463,0))),NA()),IF($B$4="SECONDARY",IFERROR(IF(INDEX(MASTER!$L$4:$L$1463,MATCH("INVICTUS"&amp;"|"&amp;MAX(1,ROUND(COUNTIFS(MASTER!$B$4:$B$1463,"INVICTUS",MASTER!$L$4:$L$1463,"&lt;&gt;")*$A146*100/100,0)),MASTER!$AI$4:$AI$1463,0))="",NA(),INDEX(MASTER!$L$4:$L$1463,MATCH("INVICTUS"&amp;"|"&amp;MAX(1,ROUND(COUNTIFS(MASTER!$B$4:$B$1463,"INVICTUS",MASTER!$L$4:$L$1463,"&lt;&gt;")*$A146*100/100,0)),MASTER!$AI$4:$AI$1463,0))),NA()))))</f>
        <v>1500</v>
      </c>
      <c r="K146" s="37">
        <f>IF($B$4="RESONANCE",IFERROR(IF(INDEX(MASTER!$I$4:$I$1463,MATCH("EMERALD LEAF TRIBE"&amp;"|"&amp;MAX(1,ROUND(COUNTIFS(MASTER!$B$4:$B$1463,"EMERALD LEAF TRIBE",MASTER!$I$4:$I$1463,"&lt;&gt;")*$A146*100/100,0)),MASTER!$Y$4:$Y$1463,0))="",NA(),INDEX(MASTER!$I$4:$I$1463,MATCH("EMERALD LEAF TRIBE"&amp;"|"&amp;MAX(1,ROUND(COUNTIFS(MASTER!$B$4:$B$1463,"EMERALD LEAF TRIBE",MASTER!$I$4:$I$1463,"&lt;&gt;")*$A146*100/100,0)),MASTER!$Y$4:$Y$1463,0))),NA()),IF($B$4="COMBAT RATING",IFERROR(IF(INDEX(MASTER!$G$4:$G$1463,MATCH("EMERALD LEAF TRIBE"&amp;"|"&amp;MAX(1,ROUND(COUNTIFS(MASTER!$B$4:$B$1463,"EMERALD LEAF TRIBE",MASTER!$G$4:$G$1463,"&lt;&gt;")*$A146*100/100,0)),MASTER!$AH$4:$AH$1463,0))="",NA(),INDEX(MASTER!$G$4:$G$1463,MATCH("EMERALD LEAF TRIBE"&amp;"|"&amp;MAX(1,ROUND(COUNTIFS(MASTER!$B$4:$B$1463,"EMERALD LEAF TRIBE",MASTER!$G$4:$G$1463,"&lt;&gt;")*$A146*100/100,0)),MASTER!$AH$4:$AH$1463,0))),NA()),IF($B$4="SECONDARY",IFERROR(IF(INDEX(MASTER!$L$4:$L$1463,MATCH("EMERALD LEAF TRIBE"&amp;"|"&amp;MAX(1,ROUND(COUNTIFS(MASTER!$B$4:$B$1463,"EMERALD LEAF TRIBE",MASTER!$L$4:$L$1463,"&lt;&gt;")*$A146*100/100,0)),MASTER!$AI$4:$AI$1463,0))="",NA(),INDEX(MASTER!$L$4:$L$1463,MATCH("EMERALD LEAF TRIBE"&amp;"|"&amp;MAX(1,ROUND(COUNTIFS(MASTER!$B$4:$B$1463,"EMERALD LEAF TRIBE",MASTER!$L$4:$L$1463,"&lt;&gt;")*$A146*100/100,0)),MASTER!$AI$4:$AI$1463,0))),NA()))))</f>
        <v>840</v>
      </c>
      <c r="L146" s="37">
        <f>IF($B$4="RESONANCE",IFERROR(IF(INDEX(MASTER!$I$4:$I$1463,MATCH("SUB ROSA"&amp;"|"&amp;MAX(1,ROUND(COUNTIFS(MASTER!$B$4:$B$1463,"SUB ROSA",MASTER!$I$4:$I$1463,"&lt;&gt;")*$A146*100/100,0)),MASTER!$Y$4:$Y$1463,0))="",NA(),INDEX(MASTER!$I$4:$I$1463,MATCH("SUB ROSA"&amp;"|"&amp;MAX(1,ROUND(COUNTIFS(MASTER!$B$4:$B$1463,"SUB ROSA",MASTER!$I$4:$I$1463,"&lt;&gt;")*$A146*100/100,0)),MASTER!$Y$4:$Y$1463,0))),NA()),IF($B$4="COMBAT RATING",IFERROR(IF(INDEX(MASTER!$G$4:$G$1463,MATCH("SUB ROSA"&amp;"|"&amp;MAX(1,ROUND(COUNTIFS(MASTER!$B$4:$B$1463,"SUB ROSA",MASTER!$G$4:$G$1463,"&lt;&gt;")*$A146*100/100,0)),MASTER!$AH$4:$AH$1463,0))="",NA(),INDEX(MASTER!$G$4:$G$1463,MATCH("SUB ROSA"&amp;"|"&amp;MAX(1,ROUND(COUNTIFS(MASTER!$B$4:$B$1463,"SUB ROSA",MASTER!$G$4:$G$1463,"&lt;&gt;")*$A146*100/100,0)),MASTER!$AH$4:$AH$1463,0))),NA()),IF($B$4="SECONDARY",IFERROR(IF(INDEX(MASTER!$L$4:$L$1463,MATCH("SUB ROSA"&amp;"|"&amp;MAX(1,ROUND(COUNTIFS(MASTER!$B$4:$B$1463,"SUB ROSA",MASTER!$L$4:$L$1463,"&lt;&gt;")*$A146*100/100,0)),MASTER!$AI$4:$AI$1463,0))="",NA(),INDEX(MASTER!$L$4:$L$1463,MATCH("SUB ROSA"&amp;"|"&amp;MAX(1,ROUND(COUNTIFS(MASTER!$B$4:$B$1463,"SUB ROSA",MASTER!$L$4:$L$1463,"&lt;&gt;")*$A146*100/100,0)),MASTER!$AI$4:$AI$1463,0))),NA()))))</f>
        <v>1010</v>
      </c>
      <c r="M146" s="37">
        <f>IF($B$4="RESONANCE",IFERROR(IF(INDEX(MASTER!$I$4:$I$1463,MATCH("VENGEANCE"&amp;"|"&amp;MAX(1,ROUND(COUNTIFS(MASTER!$B$4:$B$1463,"VENGEANCE",MASTER!$I$4:$I$1463,"&lt;&gt;")*$A146*100/100,0)),MASTER!$Y$4:$Y$1463,0))="",NA(),INDEX(MASTER!$I$4:$I$1463,MATCH("VENGEANCE"&amp;"|"&amp;MAX(1,ROUND(COUNTIFS(MASTER!$B$4:$B$1463,"VENGEANCE",MASTER!$I$4:$I$1463,"&lt;&gt;")*$A146*100/100,0)),MASTER!$Y$4:$Y$1463,0))),NA()),IF($B$4="COMBAT RATING",IFERROR(IF(INDEX(MASTER!$G$4:$G$1463,MATCH("VENGEANCE"&amp;"|"&amp;MAX(1,ROUND(COUNTIFS(MASTER!$B$4:$B$1463,"VENGEANCE",MASTER!$G$4:$G$1463,"&lt;&gt;")*$A146*100/100,0)),MASTER!$AH$4:$AH$1463,0))="",NA(),INDEX(MASTER!$G$4:$G$1463,MATCH("VENGEANCE"&amp;"|"&amp;MAX(1,ROUND(COUNTIFS(MASTER!$B$4:$B$1463,"VENGEANCE",MASTER!$G$4:$G$1463,"&lt;&gt;")*$A146*100/100,0)),MASTER!$AH$4:$AH$1463,0))),NA()),IF($B$4="SECONDARY",IFERROR(IF(INDEX(MASTER!$L$4:$L$1463,MATCH("VENGEANCE"&amp;"|"&amp;MAX(1,ROUND(COUNTIFS(MASTER!$B$4:$B$1463,"VENGEANCE",MASTER!$L$4:$L$1463,"&lt;&gt;")*$A146*100/100,0)),MASTER!$AI$4:$AI$1463,0))="",NA(),INDEX(MASTER!$L$4:$L$1463,MATCH("VENGEANCE"&amp;"|"&amp;MAX(1,ROUND(COUNTIFS(MASTER!$B$4:$B$1463,"VENGEANCE",MASTER!$L$4:$L$1463,"&lt;&gt;")*$A146*100/100,0)),MASTER!$AI$4:$AI$1463,0))),NA()))))</f>
        <v>1855</v>
      </c>
      <c r="N146" s="37">
        <f>IF($B$4="RESONANCE",IFERROR(IF(INDEX(MASTER!$I$4:$I$1463,MATCH("VENDETTA"&amp;"|"&amp;MAX(1,ROUND(COUNTIFS(MASTER!$B$4:$B$1463,"VENDETTA",MASTER!$I$4:$I$1463,"&lt;&gt;")*$A146*100/100,0)),MASTER!$Y$4:$Y$1463,0))="",NA(),INDEX(MASTER!$I$4:$I$1463,MATCH("VENDETTA"&amp;"|"&amp;MAX(1,ROUND(COUNTIFS(MASTER!$B$4:$B$1463,"VENDETTA",MASTER!$I$4:$I$1463,"&lt;&gt;")*$A146*100/100,0)),MASTER!$Y$4:$Y$1463,0))),NA()),IF($B$4="COMBAT RATING",IFERROR(IF(INDEX(MASTER!$G$4:$G$1463,MATCH("VENDETTA"&amp;"|"&amp;MAX(1,ROUND(COUNTIFS(MASTER!$B$4:$B$1463,"VENDETTA",MASTER!$G$4:$G$1463,"&lt;&gt;")*$A146*100/100,0)),MASTER!$AH$4:$AH$1463,0))="",NA(),INDEX(MASTER!$G$4:$G$1463,MATCH("VENDETTA"&amp;"|"&amp;MAX(1,ROUND(COUNTIFS(MASTER!$B$4:$B$1463,"VENDETTA",MASTER!$G$4:$G$1463,"&lt;&gt;")*$A146*100/100,0)),MASTER!$AH$4:$AH$1463,0))),NA()),IF($B$4="SECONDARY",IFERROR(IF(INDEX(MASTER!$L$4:$L$1463,MATCH("VENDETTA"&amp;"|"&amp;MAX(1,ROUND(COUNTIFS(MASTER!$B$4:$B$1463,"VENDETTA",MASTER!$L$4:$L$1463,"&lt;&gt;")*$A146*100/100,0)),MASTER!$AI$4:$AI$1463,0))="",NA(),INDEX(MASTER!$L$4:$L$1463,MATCH("VENDETTA"&amp;"|"&amp;MAX(1,ROUND(COUNTIFS(MASTER!$B$4:$B$1463,"VENDETTA",MASTER!$L$4:$L$1463,"&lt;&gt;")*$A146*100/100,0)),MASTER!$AI$4:$AI$1463,0))),NA()))))</f>
        <v>980</v>
      </c>
      <c r="O146" s="37">
        <f>IF($B$4="RESONANCE",IFERROR(IF(INDEX(MASTER!$I$4:$I$1463,MATCH("ZOMBIES"&amp;"|"&amp;MAX(1,ROUND(COUNTIFS(MASTER!$B$4:$B$1463,"ZOMBIES",MASTER!$I$4:$I$1463,"&lt;&gt;")*$A146*100/100,0)),MASTER!$Y$4:$Y$1463,0))="",NA(),INDEX(MASTER!$I$4:$I$1463,MATCH("ZOMBIES"&amp;"|"&amp;MAX(1,ROUND(COUNTIFS(MASTER!$B$4:$B$1463,"ZOMBIES",MASTER!$I$4:$I$1463,"&lt;&gt;")*$A146*100/100,0)),MASTER!$Y$4:$Y$1463,0))),NA()),IF($B$4="COMBAT RATING",IFERROR(IF(INDEX(MASTER!$G$4:$G$1463,MATCH("ZOMBIES"&amp;"|"&amp;MAX(1,ROUND(COUNTIFS(MASTER!$B$4:$B$1463,"ZOMBIES",MASTER!$G$4:$G$1463,"&lt;&gt;")*$A146*100/100,0)),MASTER!$AH$4:$AH$1463,0))="",NA(),INDEX(MASTER!$G$4:$G$1463,MATCH("ZOMBIES"&amp;"|"&amp;MAX(1,ROUND(COUNTIFS(MASTER!$B$4:$B$1463,"ZOMBIES",MASTER!$G$4:$G$1463,"&lt;&gt;")*$A146*100/100,0)),MASTER!$AH$4:$AH$1463,0))),NA()),IF($B$4="SECONDARY",IFERROR(IF(INDEX(MASTER!$L$4:$L$1463,MATCH("ZOMBIES"&amp;"|"&amp;MAX(1,ROUND(COUNTIFS(MASTER!$B$4:$B$1463,"ZOMBIES",MASTER!$L$4:$L$1463,"&lt;&gt;")*$A146*100/100,0)),MASTER!$AI$4:$AI$1463,0))="",NA(),INDEX(MASTER!$L$4:$L$1463,MATCH("ZOMBIES"&amp;"|"&amp;MAX(1,ROUND(COUNTIFS(MASTER!$B$4:$B$1463,"ZOMBIES",MASTER!$L$4:$L$1463,"&lt;&gt;")*$A146*100/100,0)),MASTER!$AI$4:$AI$1463,0))),NA()))))</f>
        <v>785</v>
      </c>
      <c r="P146" s="37">
        <f>IF($B$4="RESONANCE",IFERROR(IF(INDEX(MASTER!$I$4:$I$1463,MATCH("FUCT"&amp;"|"&amp;MAX(1,ROUND(COUNTIFS(MASTER!$B$4:$B$1463,"FUCT",MASTER!$I$4:$I$1463,"&lt;&gt;")*$A146*100/100,0)),MASTER!$Y$4:$Y$1463,0))="",NA(),INDEX(MASTER!$I$4:$I$1463,MATCH("FUCT"&amp;"|"&amp;MAX(1,ROUND(COUNTIFS(MASTER!$B$4:$B$1463,"FUCT",MASTER!$I$4:$I$1463,"&lt;&gt;")*$A146*100/100,0)),MASTER!$Y$4:$Y$1463,0))),NA()),IF($B$4="COMBAT RATING",IFERROR(IF(INDEX(MASTER!$G$4:$G$1463,MATCH("FUCT"&amp;"|"&amp;MAX(1,ROUND(COUNTIFS(MASTER!$B$4:$B$1463,"FUCT",MASTER!$G$4:$G$1463,"&lt;&gt;")*$A146*100/100,0)),MASTER!$AH$4:$AH$1463,0))="",NA(),INDEX(MASTER!$G$4:$G$1463,MATCH("FUCT"&amp;"|"&amp;MAX(1,ROUND(COUNTIFS(MASTER!$B$4:$B$1463,"FUCT",MASTER!$G$4:$G$1463,"&lt;&gt;")*$A146*100/100,0)),MASTER!$AH$4:$AH$1463,0))),NA()),IF($B$4="SECONDARY",IFERROR(IF(INDEX(MASTER!$L$4:$L$1463,MATCH("FUCT"&amp;"|"&amp;MAX(1,ROUND(COUNTIFS(MASTER!$B$4:$B$1463,"FUCT",MASTER!$L$4:$L$1463,"&lt;&gt;")*$A146*100/100,0)),MASTER!$AI$4:$AI$1463,0))="",NA(),INDEX(MASTER!$L$4:$L$1463,MATCH("FUCT"&amp;"|"&amp;MAX(1,ROUND(COUNTIFS(MASTER!$B$4:$B$1463,"FUCT",MASTER!$L$4:$L$1463,"&lt;&gt;")*$A146*100/100,0)),MASTER!$AI$4:$AI$1463,0))),NA()))))</f>
        <v>3074</v>
      </c>
      <c r="Q146" s="37">
        <f>IF($B$4="RESONANCE",IFERROR(IF(INDEX(MASTER!$I$4:$I$1463,MATCH($E$4&amp;"|"&amp;MAX(1,ROUND(COUNTIFS(MASTER!$B$4:$B$1463,$E$4,MASTER!$I$4:$I$1463,"&lt;&gt;")*$A146*100/100,0)),MASTER!$Y$4:$Y$1463,0))="",NA(),INDEX(MASTER!$I$4:$I$1463,MATCH($E$4&amp;"|"&amp;MAX(1,ROUND(COUNTIFS(MASTER!$B$4:$B$1463,$E$4,MASTER!$I$4:$I$1463,"&lt;&gt;")*$A146*100/100,0)),MASTER!$Y$4:$Y$1463,0))),NA()),IF($B$4="COMBAT RATING",IFERROR(IF(INDEX(MASTER!$G$4:$G$1463,MATCH($E$4&amp;"|"&amp;MAX(1,ROUND(COUNTIFS(MASTER!$B$4:$B$1463,$E$4,MASTER!$G$4:$G$1463,"&lt;&gt;")*$A146*100/100,0)),MASTER!$AH$4:$AH$1463,0))="",NA(),INDEX(MASTER!$G$4:$G$1463,MATCH($E$4&amp;"|"&amp;MAX(1,ROUND(COUNTIFS(MASTER!$B$4:$B$1463,$E$4,MASTER!$G$4:$G$1463,"&lt;&gt;")*$A146*100/100,0)),MASTER!$AH$4:$AH$1463,0))),NA()),IF($B$4="SECONDARY",IFERROR(IF(INDEX(MASTER!$L$4:$L$1463,MATCH($E$4&amp;"|"&amp;MAX(1,ROUND(COUNTIFS(MASTER!$B$4:$B$1463,$E$4,MASTER!$L$4:$L$1463,"&lt;&gt;")*$A146*100/100,0)),MASTER!$AI$4:$AI$1463,0))="",NA(),INDEX(MASTER!$L$4:$L$1463,MATCH($E$4&amp;"|"&amp;MAX(1,ROUND(COUNTIFS(MASTER!$B$4:$B$1463,$E$4,MASTER!$L$4:$L$1463,"&lt;&gt;")*$A146*100/100,0)),MASTER!$AI$4:$AI$1463,0))),NA()))))</f>
        <v>2727</v>
      </c>
    </row>
    <row r="147" spans="1:17" hidden="1">
      <c r="A147" s="36">
        <v>0.92</v>
      </c>
      <c r="B147" s="37">
        <f>IF($B$4="RESONANCE",IFERROR(IF(INDEX(MASTER!$I$4:$I$1463,MATCH("FUCT"&amp;"|"&amp;MAX(1,ROUND(COUNTIFS(MASTER!$B$4:$B$1463,"FUCT",MASTER!$I$4:$I$1463,"&lt;&gt;")*$A147*100/100,0)),MASTER!$Y$4:$Y$1463,0))="",NA(),INDEX(MASTER!$I$4:$I$1463,MATCH("FUCT"&amp;"|"&amp;MAX(1,ROUND(COUNTIFS(MASTER!$B$4:$B$1463,"FUCT",MASTER!$I$4:$I$1463,"&lt;&gt;")*$A147*100/100,0)),MASTER!$Y$4:$Y$1463,0))),NA()),IF($B$4="COMBAT RATING",IFERROR(IF(INDEX(MASTER!$G$4:$G$1463,MATCH("FUCT"&amp;"|"&amp;MAX(1,ROUND(COUNTIFS(MASTER!$B$4:$B$1463,"FUCT",MASTER!$G$4:$G$1463,"&lt;&gt;")*$A147*100/100,0)),MASTER!$AH$4:$AH$1463,0))="",NA(),INDEX(MASTER!$G$4:$G$1463,MATCH("FUCT"&amp;"|"&amp;MAX(1,ROUND(COUNTIFS(MASTER!$B$4:$B$1463,"FUCT",MASTER!$G$4:$G$1463,"&lt;&gt;")*$A147*100/100,0)),MASTER!$AH$4:$AH$1463,0))),NA()),IF($B$4="SECONDARY",IFERROR(IF(INDEX(MASTER!$L$4:$L$1463,MATCH("FUCT"&amp;"|"&amp;MAX(1,ROUND(COUNTIFS(MASTER!$B$4:$B$1463,"FUCT",MASTER!$L$4:$L$1463,"&lt;&gt;")*$A147*100/100,0)),MASTER!$AI$4:$AI$1463,0))="",NA(),INDEX(MASTER!$L$4:$L$1463,MATCH("FUCT"&amp;"|"&amp;MAX(1,ROUND(COUNTIFS(MASTER!$B$4:$B$1463,"FUCT",MASTER!$L$4:$L$1463,"&lt;&gt;")*$A147*100/100,0)),MASTER!$AI$4:$AI$1463,0))),NA()))))</f>
        <v>3055</v>
      </c>
      <c r="C147" s="37">
        <f>IF($B$4="RESONANCE",IFERROR(IF(INDEX(MASTER!$I$4:$I$1463,MATCH("LEGENDS"&amp;"|"&amp;MAX(1,ROUND(COUNTIFS(MASTER!$B$4:$B$1463,"LEGENDS",MASTER!$I$4:$I$1463,"&lt;&gt;")*$A147*100/100,0)),MASTER!$Y$4:$Y$1463,0))="",NA(),INDEX(MASTER!$I$4:$I$1463,MATCH("LEGENDS"&amp;"|"&amp;MAX(1,ROUND(COUNTIFS(MASTER!$B$4:$B$1463,"LEGENDS",MASTER!$I$4:$I$1463,"&lt;&gt;")*$A147*100/100,0)),MASTER!$Y$4:$Y$1463,0))),NA()),IF($B$4="COMBAT RATING",IFERROR(IF(INDEX(MASTER!$G$4:$G$1463,MATCH("LEGENDS"&amp;"|"&amp;MAX(1,ROUND(COUNTIFS(MASTER!$B$4:$B$1463,"LEGENDS",MASTER!$G$4:$G$1463,"&lt;&gt;")*$A147*100/100,0)),MASTER!$AH$4:$AH$1463,0))="",NA(),INDEX(MASTER!$G$4:$G$1463,MATCH("LEGENDS"&amp;"|"&amp;MAX(1,ROUND(COUNTIFS(MASTER!$B$4:$B$1463,"LEGENDS",MASTER!$G$4:$G$1463,"&lt;&gt;")*$A147*100/100,0)),MASTER!$AH$4:$AH$1463,0))),NA()),IF($B$4="SECONDARY",IFERROR(IF(INDEX(MASTER!$L$4:$L$1463,MATCH("LEGENDS"&amp;"|"&amp;MAX(1,ROUND(COUNTIFS(MASTER!$B$4:$B$1463,"LEGENDS",MASTER!$L$4:$L$1463,"&lt;&gt;")*$A147*100/100,0)),MASTER!$AI$4:$AI$1463,0))="",NA(),INDEX(MASTER!$L$4:$L$1463,MATCH("LEGENDS"&amp;"|"&amp;MAX(1,ROUND(COUNTIFS(MASTER!$B$4:$B$1463,"LEGENDS",MASTER!$L$4:$L$1463,"&lt;&gt;")*$A147*100/100,0)),MASTER!$AI$4:$AI$1463,0))),NA()))))</f>
        <v>3246</v>
      </c>
      <c r="D147" s="37">
        <f>IF($B$4="RESONANCE",IFERROR(IF(INDEX(MASTER!$I$4:$I$1463,MATCH("VANGUARD"&amp;"|"&amp;MAX(1,ROUND(COUNTIFS(MASTER!$B$4:$B$1463,"VANGUARD",MASTER!$I$4:$I$1463,"&lt;&gt;")*$A147*100/100,0)),MASTER!$Y$4:$Y$1463,0))="",NA(),INDEX(MASTER!$I$4:$I$1463,MATCH("VANGUARD"&amp;"|"&amp;MAX(1,ROUND(COUNTIFS(MASTER!$B$4:$B$1463,"VANGUARD",MASTER!$I$4:$I$1463,"&lt;&gt;")*$A147*100/100,0)),MASTER!$Y$4:$Y$1463,0))),NA()),IF($B$4="COMBAT RATING",IFERROR(IF(INDEX(MASTER!$G$4:$G$1463,MATCH("VANGUARD"&amp;"|"&amp;MAX(1,ROUND(COUNTIFS(MASTER!$B$4:$B$1463,"VANGUARD",MASTER!$G$4:$G$1463,"&lt;&gt;")*$A147*100/100,0)),MASTER!$AH$4:$AH$1463,0))="",NA(),INDEX(MASTER!$G$4:$G$1463,MATCH("VANGUARD"&amp;"|"&amp;MAX(1,ROUND(COUNTIFS(MASTER!$B$4:$B$1463,"VANGUARD",MASTER!$G$4:$G$1463,"&lt;&gt;")*$A147*100/100,0)),MASTER!$AH$4:$AH$1463,0))),NA()),IF($B$4="SECONDARY",IFERROR(IF(INDEX(MASTER!$L$4:$L$1463,MATCH("VANGUARD"&amp;"|"&amp;MAX(1,ROUND(COUNTIFS(MASTER!$B$4:$B$1463,"VANGUARD",MASTER!$L$4:$L$1463,"&lt;&gt;")*$A147*100/100,0)),MASTER!$AI$4:$AI$1463,0))="",NA(),INDEX(MASTER!$L$4:$L$1463,MATCH("VANGUARD"&amp;"|"&amp;MAX(1,ROUND(COUNTIFS(MASTER!$B$4:$B$1463,"VANGUARD",MASTER!$L$4:$L$1463,"&lt;&gt;")*$A147*100/100,0)),MASTER!$AI$4:$AI$1463,0))),NA()))))</f>
        <v>3328</v>
      </c>
      <c r="E147" s="37">
        <f>IF($B$4="RESONANCE",IFERROR(IF(INDEX(MASTER!$I$4:$I$1463,MATCH("UNDYING"&amp;"|"&amp;MAX(1,ROUND(COUNTIFS(MASTER!$B$4:$B$1463,"UNDYING",MASTER!$I$4:$I$1463,"&lt;&gt;")*$A147*100/100,0)),MASTER!$Y$4:$Y$1463,0))="",NA(),INDEX(MASTER!$I$4:$I$1463,MATCH("UNDYING"&amp;"|"&amp;MAX(1,ROUND(COUNTIFS(MASTER!$B$4:$B$1463,"UNDYING",MASTER!$I$4:$I$1463,"&lt;&gt;")*$A147*100/100,0)),MASTER!$Y$4:$Y$1463,0))),NA()),IF($B$4="COMBAT RATING",IFERROR(IF(INDEX(MASTER!$G$4:$G$1463,MATCH("UNDYING"&amp;"|"&amp;MAX(1,ROUND(COUNTIFS(MASTER!$B$4:$B$1463,"UNDYING",MASTER!$G$4:$G$1463,"&lt;&gt;")*$A147*100/100,0)),MASTER!$AH$4:$AH$1463,0))="",NA(),INDEX(MASTER!$G$4:$G$1463,MATCH("UNDYING"&amp;"|"&amp;MAX(1,ROUND(COUNTIFS(MASTER!$B$4:$B$1463,"UNDYING",MASTER!$G$4:$G$1463,"&lt;&gt;")*$A147*100/100,0)),MASTER!$AH$4:$AH$1463,0))),NA()),IF($B$4="SECONDARY",IFERROR(IF(INDEX(MASTER!$L$4:$L$1463,MATCH("UNDYING"&amp;"|"&amp;MAX(1,ROUND(COUNTIFS(MASTER!$B$4:$B$1463,"UNDYING",MASTER!$L$4:$L$1463,"&lt;&gt;")*$A147*100/100,0)),MASTER!$AI$4:$AI$1463,0))="",NA(),INDEX(MASTER!$L$4:$L$1463,MATCH("UNDYING"&amp;"|"&amp;MAX(1,ROUND(COUNTIFS(MASTER!$B$4:$B$1463,"UNDYING",MASTER!$L$4:$L$1463,"&lt;&gt;")*$A147*100/100,0)),MASTER!$AI$4:$AI$1463,0))),NA()))))</f>
        <v>2670</v>
      </c>
      <c r="F147" s="37">
        <f>IF($B$4="RESONANCE",IFERROR(IF(INDEX(MASTER!$I$4:$I$1463,MATCH("SBG"&amp;"|"&amp;MAX(1,ROUND(COUNTIFS(MASTER!$B$4:$B$1463,"SBG",MASTER!$I$4:$I$1463,"&lt;&gt;")*$A147*100/100,0)),MASTER!$Y$4:$Y$1463,0))="",NA(),INDEX(MASTER!$I$4:$I$1463,MATCH("SBG"&amp;"|"&amp;MAX(1,ROUND(COUNTIFS(MASTER!$B$4:$B$1463,"SBG",MASTER!$I$4:$I$1463,"&lt;&gt;")*$A147*100/100,0)),MASTER!$Y$4:$Y$1463,0))),NA()),IF($B$4="COMBAT RATING",IFERROR(IF(INDEX(MASTER!$G$4:$G$1463,MATCH("SBG"&amp;"|"&amp;MAX(1,ROUND(COUNTIFS(MASTER!$B$4:$B$1463,"SBG",MASTER!$G$4:$G$1463,"&lt;&gt;")*$A147*100/100,0)),MASTER!$AH$4:$AH$1463,0))="",NA(),INDEX(MASTER!$G$4:$G$1463,MATCH("SBG"&amp;"|"&amp;MAX(1,ROUND(COUNTIFS(MASTER!$B$4:$B$1463,"SBG",MASTER!$G$4:$G$1463,"&lt;&gt;")*$A147*100/100,0)),MASTER!$AH$4:$AH$1463,0))),NA()),IF($B$4="SECONDARY",IFERROR(IF(INDEX(MASTER!$L$4:$L$1463,MATCH("SBG"&amp;"|"&amp;MAX(1,ROUND(COUNTIFS(MASTER!$B$4:$B$1463,"SBG",MASTER!$L$4:$L$1463,"&lt;&gt;")*$A147*100/100,0)),MASTER!$AI$4:$AI$1463,0))="",NA(),INDEX(MASTER!$L$4:$L$1463,MATCH("SBG"&amp;"|"&amp;MAX(1,ROUND(COUNTIFS(MASTER!$B$4:$B$1463,"SBG",MASTER!$L$4:$L$1463,"&lt;&gt;")*$A147*100/100,0)),MASTER!$AI$4:$AI$1463,0))),NA()))))</f>
        <v>3163</v>
      </c>
      <c r="G147" s="37">
        <f>IF($B$4="RESONANCE",IFERROR(IF(INDEX(MASTER!$I$4:$I$1463,MATCH("AZUKI"&amp;"|"&amp;MAX(1,ROUND(COUNTIFS(MASTER!$B$4:$B$1463,"AZUKI",MASTER!$I$4:$I$1463,"&lt;&gt;")*$A147*100/100,0)),MASTER!$Y$4:$Y$1463,0))="",NA(),INDEX(MASTER!$I$4:$I$1463,MATCH("AZUKI"&amp;"|"&amp;MAX(1,ROUND(COUNTIFS(MASTER!$B$4:$B$1463,"AZUKI",MASTER!$I$4:$I$1463,"&lt;&gt;")*$A147*100/100,0)),MASTER!$Y$4:$Y$1463,0))),NA()),IF($B$4="COMBAT RATING",IFERROR(IF(INDEX(MASTER!$G$4:$G$1463,MATCH("AZUKI"&amp;"|"&amp;MAX(1,ROUND(COUNTIFS(MASTER!$B$4:$B$1463,"AZUKI",MASTER!$G$4:$G$1463,"&lt;&gt;")*$A147*100/100,0)),MASTER!$AH$4:$AH$1463,0))="",NA(),INDEX(MASTER!$G$4:$G$1463,MATCH("AZUKI"&amp;"|"&amp;MAX(1,ROUND(COUNTIFS(MASTER!$B$4:$B$1463,"AZUKI",MASTER!$G$4:$G$1463,"&lt;&gt;")*$A147*100/100,0)),MASTER!$AH$4:$AH$1463,0))),NA()),IF($B$4="SECONDARY",IFERROR(IF(INDEX(MASTER!$L$4:$L$1463,MATCH("AZUKI"&amp;"|"&amp;MAX(1,ROUND(COUNTIFS(MASTER!$B$4:$B$1463,"AZUKI",MASTER!$L$4:$L$1463,"&lt;&gt;")*$A147*100/100,0)),MASTER!$AI$4:$AI$1463,0))="",NA(),INDEX(MASTER!$L$4:$L$1463,MATCH("AZUKI"&amp;"|"&amp;MAX(1,ROUND(COUNTIFS(MASTER!$B$4:$B$1463,"AZUKI",MASTER!$L$4:$L$1463,"&lt;&gt;")*$A147*100/100,0)),MASTER!$AI$4:$AI$1463,0))),NA()))))</f>
        <v>2997</v>
      </c>
      <c r="H147" s="37">
        <f>IF($B$4="RESONANCE",IFERROR(IF(INDEX(MASTER!$I$4:$I$1463,MATCH("RECKONING"&amp;"|"&amp;MAX(1,ROUND(COUNTIFS(MASTER!$B$4:$B$1463,"RECKONING",MASTER!$I$4:$I$1463,"&lt;&gt;")*$A147*100/100,0)),MASTER!$Y$4:$Y$1463,0))="",NA(),INDEX(MASTER!$I$4:$I$1463,MATCH("RECKONING"&amp;"|"&amp;MAX(1,ROUND(COUNTIFS(MASTER!$B$4:$B$1463,"RECKONING",MASTER!$I$4:$I$1463,"&lt;&gt;")*$A147*100/100,0)),MASTER!$Y$4:$Y$1463,0))),NA()),IF($B$4="COMBAT RATING",IFERROR(IF(INDEX(MASTER!$G$4:$G$1463,MATCH("RECKONING"&amp;"|"&amp;MAX(1,ROUND(COUNTIFS(MASTER!$B$4:$B$1463,"RECKONING",MASTER!$G$4:$G$1463,"&lt;&gt;")*$A147*100/100,0)),MASTER!$AH$4:$AH$1463,0))="",NA(),INDEX(MASTER!$G$4:$G$1463,MATCH("RECKONING"&amp;"|"&amp;MAX(1,ROUND(COUNTIFS(MASTER!$B$4:$B$1463,"RECKONING",MASTER!$G$4:$G$1463,"&lt;&gt;")*$A147*100/100,0)),MASTER!$AH$4:$AH$1463,0))),NA()),IF($B$4="SECONDARY",IFERROR(IF(INDEX(MASTER!$L$4:$L$1463,MATCH("RECKONING"&amp;"|"&amp;MAX(1,ROUND(COUNTIFS(MASTER!$B$4:$B$1463,"RECKONING",MASTER!$L$4:$L$1463,"&lt;&gt;")*$A147*100/100,0)),MASTER!$AI$4:$AI$1463,0))="",NA(),INDEX(MASTER!$L$4:$L$1463,MATCH("RECKONING"&amp;"|"&amp;MAX(1,ROUND(COUNTIFS(MASTER!$B$4:$B$1463,"RECKONING",MASTER!$L$4:$L$1463,"&lt;&gt;")*$A147*100/100,0)),MASTER!$AI$4:$AI$1463,0))),NA()))))</f>
        <v>2730</v>
      </c>
      <c r="I147" s="37">
        <f>IF($B$4="RESONANCE",IFERROR(IF(INDEX(MASTER!$I$4:$I$1463,MATCH("ACHERON"&amp;"|"&amp;MAX(1,ROUND(COUNTIFS(MASTER!$B$4:$B$1463,"ACHERON",MASTER!$I$4:$I$1463,"&lt;&gt;")*$A147*100/100,0)),MASTER!$Y$4:$Y$1463,0))="",NA(),INDEX(MASTER!$I$4:$I$1463,MATCH("ACHERON"&amp;"|"&amp;MAX(1,ROUND(COUNTIFS(MASTER!$B$4:$B$1463,"ACHERON",MASTER!$I$4:$I$1463,"&lt;&gt;")*$A147*100/100,0)),MASTER!$Y$4:$Y$1463,0))),NA()),IF($B$4="COMBAT RATING",IFERROR(IF(INDEX(MASTER!$G$4:$G$1463,MATCH("ACHERON"&amp;"|"&amp;MAX(1,ROUND(COUNTIFS(MASTER!$B$4:$B$1463,"ACHERON",MASTER!$G$4:$G$1463,"&lt;&gt;")*$A147*100/100,0)),MASTER!$AH$4:$AH$1463,0))="",NA(),INDEX(MASTER!$G$4:$G$1463,MATCH("ACHERON"&amp;"|"&amp;MAX(1,ROUND(COUNTIFS(MASTER!$B$4:$B$1463,"ACHERON",MASTER!$G$4:$G$1463,"&lt;&gt;")*$A147*100/100,0)),MASTER!$AH$4:$AH$1463,0))),NA()),IF($B$4="SECONDARY",IFERROR(IF(INDEX(MASTER!$L$4:$L$1463,MATCH("ACHERON"&amp;"|"&amp;MAX(1,ROUND(COUNTIFS(MASTER!$B$4:$B$1463,"ACHERON",MASTER!$L$4:$L$1463,"&lt;&gt;")*$A147*100/100,0)),MASTER!$AI$4:$AI$1463,0))="",NA(),INDEX(MASTER!$L$4:$L$1463,MATCH("ACHERON"&amp;"|"&amp;MAX(1,ROUND(COUNTIFS(MASTER!$B$4:$B$1463,"ACHERON",MASTER!$L$4:$L$1463,"&lt;&gt;")*$A147*100/100,0)),MASTER!$AI$4:$AI$1463,0))),NA()))))</f>
        <v>2019</v>
      </c>
      <c r="J147" s="37">
        <f>IF($B$4="RESONANCE",IFERROR(IF(INDEX(MASTER!$I$4:$I$1463,MATCH("INVICTUS"&amp;"|"&amp;MAX(1,ROUND(COUNTIFS(MASTER!$B$4:$B$1463,"INVICTUS",MASTER!$I$4:$I$1463,"&lt;&gt;")*$A147*100/100,0)),MASTER!$Y$4:$Y$1463,0))="",NA(),INDEX(MASTER!$I$4:$I$1463,MATCH("INVICTUS"&amp;"|"&amp;MAX(1,ROUND(COUNTIFS(MASTER!$B$4:$B$1463,"INVICTUS",MASTER!$I$4:$I$1463,"&lt;&gt;")*$A147*100/100,0)),MASTER!$Y$4:$Y$1463,0))),NA()),IF($B$4="COMBAT RATING",IFERROR(IF(INDEX(MASTER!$G$4:$G$1463,MATCH("INVICTUS"&amp;"|"&amp;MAX(1,ROUND(COUNTIFS(MASTER!$B$4:$B$1463,"INVICTUS",MASTER!$G$4:$G$1463,"&lt;&gt;")*$A147*100/100,0)),MASTER!$AH$4:$AH$1463,0))="",NA(),INDEX(MASTER!$G$4:$G$1463,MATCH("INVICTUS"&amp;"|"&amp;MAX(1,ROUND(COUNTIFS(MASTER!$B$4:$B$1463,"INVICTUS",MASTER!$G$4:$G$1463,"&lt;&gt;")*$A147*100/100,0)),MASTER!$AH$4:$AH$1463,0))),NA()),IF($B$4="SECONDARY",IFERROR(IF(INDEX(MASTER!$L$4:$L$1463,MATCH("INVICTUS"&amp;"|"&amp;MAX(1,ROUND(COUNTIFS(MASTER!$B$4:$B$1463,"INVICTUS",MASTER!$L$4:$L$1463,"&lt;&gt;")*$A147*100/100,0)),MASTER!$AI$4:$AI$1463,0))="",NA(),INDEX(MASTER!$L$4:$L$1463,MATCH("INVICTUS"&amp;"|"&amp;MAX(1,ROUND(COUNTIFS(MASTER!$B$4:$B$1463,"INVICTUS",MASTER!$L$4:$L$1463,"&lt;&gt;")*$A147*100/100,0)),MASTER!$AI$4:$AI$1463,0))),NA()))))</f>
        <v>1470</v>
      </c>
      <c r="K147" s="37">
        <f>IF($B$4="RESONANCE",IFERROR(IF(INDEX(MASTER!$I$4:$I$1463,MATCH("EMERALD LEAF TRIBE"&amp;"|"&amp;MAX(1,ROUND(COUNTIFS(MASTER!$B$4:$B$1463,"EMERALD LEAF TRIBE",MASTER!$I$4:$I$1463,"&lt;&gt;")*$A147*100/100,0)),MASTER!$Y$4:$Y$1463,0))="",NA(),INDEX(MASTER!$I$4:$I$1463,MATCH("EMERALD LEAF TRIBE"&amp;"|"&amp;MAX(1,ROUND(COUNTIFS(MASTER!$B$4:$B$1463,"EMERALD LEAF TRIBE",MASTER!$I$4:$I$1463,"&lt;&gt;")*$A147*100/100,0)),MASTER!$Y$4:$Y$1463,0))),NA()),IF($B$4="COMBAT RATING",IFERROR(IF(INDEX(MASTER!$G$4:$G$1463,MATCH("EMERALD LEAF TRIBE"&amp;"|"&amp;MAX(1,ROUND(COUNTIFS(MASTER!$B$4:$B$1463,"EMERALD LEAF TRIBE",MASTER!$G$4:$G$1463,"&lt;&gt;")*$A147*100/100,0)),MASTER!$AH$4:$AH$1463,0))="",NA(),INDEX(MASTER!$G$4:$G$1463,MATCH("EMERALD LEAF TRIBE"&amp;"|"&amp;MAX(1,ROUND(COUNTIFS(MASTER!$B$4:$B$1463,"EMERALD LEAF TRIBE",MASTER!$G$4:$G$1463,"&lt;&gt;")*$A147*100/100,0)),MASTER!$AH$4:$AH$1463,0))),NA()),IF($B$4="SECONDARY",IFERROR(IF(INDEX(MASTER!$L$4:$L$1463,MATCH("EMERALD LEAF TRIBE"&amp;"|"&amp;MAX(1,ROUND(COUNTIFS(MASTER!$B$4:$B$1463,"EMERALD LEAF TRIBE",MASTER!$L$4:$L$1463,"&lt;&gt;")*$A147*100/100,0)),MASTER!$AI$4:$AI$1463,0))="",NA(),INDEX(MASTER!$L$4:$L$1463,MATCH("EMERALD LEAF TRIBE"&amp;"|"&amp;MAX(1,ROUND(COUNTIFS(MASTER!$B$4:$B$1463,"EMERALD LEAF TRIBE",MASTER!$L$4:$L$1463,"&lt;&gt;")*$A147*100/100,0)),MASTER!$AI$4:$AI$1463,0))),NA()))))</f>
        <v>759</v>
      </c>
      <c r="L147" s="37">
        <f>IF($B$4="RESONANCE",IFERROR(IF(INDEX(MASTER!$I$4:$I$1463,MATCH("SUB ROSA"&amp;"|"&amp;MAX(1,ROUND(COUNTIFS(MASTER!$B$4:$B$1463,"SUB ROSA",MASTER!$I$4:$I$1463,"&lt;&gt;")*$A147*100/100,0)),MASTER!$Y$4:$Y$1463,0))="",NA(),INDEX(MASTER!$I$4:$I$1463,MATCH("SUB ROSA"&amp;"|"&amp;MAX(1,ROUND(COUNTIFS(MASTER!$B$4:$B$1463,"SUB ROSA",MASTER!$I$4:$I$1463,"&lt;&gt;")*$A147*100/100,0)),MASTER!$Y$4:$Y$1463,0))),NA()),IF($B$4="COMBAT RATING",IFERROR(IF(INDEX(MASTER!$G$4:$G$1463,MATCH("SUB ROSA"&amp;"|"&amp;MAX(1,ROUND(COUNTIFS(MASTER!$B$4:$B$1463,"SUB ROSA",MASTER!$G$4:$G$1463,"&lt;&gt;")*$A147*100/100,0)),MASTER!$AH$4:$AH$1463,0))="",NA(),INDEX(MASTER!$G$4:$G$1463,MATCH("SUB ROSA"&amp;"|"&amp;MAX(1,ROUND(COUNTIFS(MASTER!$B$4:$B$1463,"SUB ROSA",MASTER!$G$4:$G$1463,"&lt;&gt;")*$A147*100/100,0)),MASTER!$AH$4:$AH$1463,0))),NA()),IF($B$4="SECONDARY",IFERROR(IF(INDEX(MASTER!$L$4:$L$1463,MATCH("SUB ROSA"&amp;"|"&amp;MAX(1,ROUND(COUNTIFS(MASTER!$B$4:$B$1463,"SUB ROSA",MASTER!$L$4:$L$1463,"&lt;&gt;")*$A147*100/100,0)),MASTER!$AI$4:$AI$1463,0))="",NA(),INDEX(MASTER!$L$4:$L$1463,MATCH("SUB ROSA"&amp;"|"&amp;MAX(1,ROUND(COUNTIFS(MASTER!$B$4:$B$1463,"SUB ROSA",MASTER!$L$4:$L$1463,"&lt;&gt;")*$A147*100/100,0)),MASTER!$AI$4:$AI$1463,0))),NA()))))</f>
        <v>963</v>
      </c>
      <c r="M147" s="37">
        <f>IF($B$4="RESONANCE",IFERROR(IF(INDEX(MASTER!$I$4:$I$1463,MATCH("VENGEANCE"&amp;"|"&amp;MAX(1,ROUND(COUNTIFS(MASTER!$B$4:$B$1463,"VENGEANCE",MASTER!$I$4:$I$1463,"&lt;&gt;")*$A147*100/100,0)),MASTER!$Y$4:$Y$1463,0))="",NA(),INDEX(MASTER!$I$4:$I$1463,MATCH("VENGEANCE"&amp;"|"&amp;MAX(1,ROUND(COUNTIFS(MASTER!$B$4:$B$1463,"VENGEANCE",MASTER!$I$4:$I$1463,"&lt;&gt;")*$A147*100/100,0)),MASTER!$Y$4:$Y$1463,0))),NA()),IF($B$4="COMBAT RATING",IFERROR(IF(INDEX(MASTER!$G$4:$G$1463,MATCH("VENGEANCE"&amp;"|"&amp;MAX(1,ROUND(COUNTIFS(MASTER!$B$4:$B$1463,"VENGEANCE",MASTER!$G$4:$G$1463,"&lt;&gt;")*$A147*100/100,0)),MASTER!$AH$4:$AH$1463,0))="",NA(),INDEX(MASTER!$G$4:$G$1463,MATCH("VENGEANCE"&amp;"|"&amp;MAX(1,ROUND(COUNTIFS(MASTER!$B$4:$B$1463,"VENGEANCE",MASTER!$G$4:$G$1463,"&lt;&gt;")*$A147*100/100,0)),MASTER!$AH$4:$AH$1463,0))),NA()),IF($B$4="SECONDARY",IFERROR(IF(INDEX(MASTER!$L$4:$L$1463,MATCH("VENGEANCE"&amp;"|"&amp;MAX(1,ROUND(COUNTIFS(MASTER!$B$4:$B$1463,"VENGEANCE",MASTER!$L$4:$L$1463,"&lt;&gt;")*$A147*100/100,0)),MASTER!$AI$4:$AI$1463,0))="",NA(),INDEX(MASTER!$L$4:$L$1463,MATCH("VENGEANCE"&amp;"|"&amp;MAX(1,ROUND(COUNTIFS(MASTER!$B$4:$B$1463,"VENGEANCE",MASTER!$L$4:$L$1463,"&lt;&gt;")*$A147*100/100,0)),MASTER!$AI$4:$AI$1463,0))),NA()))))</f>
        <v>1855</v>
      </c>
      <c r="N147" s="37">
        <f>IF($B$4="RESONANCE",IFERROR(IF(INDEX(MASTER!$I$4:$I$1463,MATCH("VENDETTA"&amp;"|"&amp;MAX(1,ROUND(COUNTIFS(MASTER!$B$4:$B$1463,"VENDETTA",MASTER!$I$4:$I$1463,"&lt;&gt;")*$A147*100/100,0)),MASTER!$Y$4:$Y$1463,0))="",NA(),INDEX(MASTER!$I$4:$I$1463,MATCH("VENDETTA"&amp;"|"&amp;MAX(1,ROUND(COUNTIFS(MASTER!$B$4:$B$1463,"VENDETTA",MASTER!$I$4:$I$1463,"&lt;&gt;")*$A147*100/100,0)),MASTER!$Y$4:$Y$1463,0))),NA()),IF($B$4="COMBAT RATING",IFERROR(IF(INDEX(MASTER!$G$4:$G$1463,MATCH("VENDETTA"&amp;"|"&amp;MAX(1,ROUND(COUNTIFS(MASTER!$B$4:$B$1463,"VENDETTA",MASTER!$G$4:$G$1463,"&lt;&gt;")*$A147*100/100,0)),MASTER!$AH$4:$AH$1463,0))="",NA(),INDEX(MASTER!$G$4:$G$1463,MATCH("VENDETTA"&amp;"|"&amp;MAX(1,ROUND(COUNTIFS(MASTER!$B$4:$B$1463,"VENDETTA",MASTER!$G$4:$G$1463,"&lt;&gt;")*$A147*100/100,0)),MASTER!$AH$4:$AH$1463,0))),NA()),IF($B$4="SECONDARY",IFERROR(IF(INDEX(MASTER!$L$4:$L$1463,MATCH("VENDETTA"&amp;"|"&amp;MAX(1,ROUND(COUNTIFS(MASTER!$B$4:$B$1463,"VENDETTA",MASTER!$L$4:$L$1463,"&lt;&gt;")*$A147*100/100,0)),MASTER!$AI$4:$AI$1463,0))="",NA(),INDEX(MASTER!$L$4:$L$1463,MATCH("VENDETTA"&amp;"|"&amp;MAX(1,ROUND(COUNTIFS(MASTER!$B$4:$B$1463,"VENDETTA",MASTER!$L$4:$L$1463,"&lt;&gt;")*$A147*100/100,0)),MASTER!$AI$4:$AI$1463,0))),NA()))))</f>
        <v>972</v>
      </c>
      <c r="O147" s="37">
        <f>IF($B$4="RESONANCE",IFERROR(IF(INDEX(MASTER!$I$4:$I$1463,MATCH("ZOMBIES"&amp;"|"&amp;MAX(1,ROUND(COUNTIFS(MASTER!$B$4:$B$1463,"ZOMBIES",MASTER!$I$4:$I$1463,"&lt;&gt;")*$A147*100/100,0)),MASTER!$Y$4:$Y$1463,0))="",NA(),INDEX(MASTER!$I$4:$I$1463,MATCH("ZOMBIES"&amp;"|"&amp;MAX(1,ROUND(COUNTIFS(MASTER!$B$4:$B$1463,"ZOMBIES",MASTER!$I$4:$I$1463,"&lt;&gt;")*$A147*100/100,0)),MASTER!$Y$4:$Y$1463,0))),NA()),IF($B$4="COMBAT RATING",IFERROR(IF(INDEX(MASTER!$G$4:$G$1463,MATCH("ZOMBIES"&amp;"|"&amp;MAX(1,ROUND(COUNTIFS(MASTER!$B$4:$B$1463,"ZOMBIES",MASTER!$G$4:$G$1463,"&lt;&gt;")*$A147*100/100,0)),MASTER!$AH$4:$AH$1463,0))="",NA(),INDEX(MASTER!$G$4:$G$1463,MATCH("ZOMBIES"&amp;"|"&amp;MAX(1,ROUND(COUNTIFS(MASTER!$B$4:$B$1463,"ZOMBIES",MASTER!$G$4:$G$1463,"&lt;&gt;")*$A147*100/100,0)),MASTER!$AH$4:$AH$1463,0))),NA()),IF($B$4="SECONDARY",IFERROR(IF(INDEX(MASTER!$L$4:$L$1463,MATCH("ZOMBIES"&amp;"|"&amp;MAX(1,ROUND(COUNTIFS(MASTER!$B$4:$B$1463,"ZOMBIES",MASTER!$L$4:$L$1463,"&lt;&gt;")*$A147*100/100,0)),MASTER!$AI$4:$AI$1463,0))="",NA(),INDEX(MASTER!$L$4:$L$1463,MATCH("ZOMBIES"&amp;"|"&amp;MAX(1,ROUND(COUNTIFS(MASTER!$B$4:$B$1463,"ZOMBIES",MASTER!$L$4:$L$1463,"&lt;&gt;")*$A147*100/100,0)),MASTER!$AI$4:$AI$1463,0))),NA()))))</f>
        <v>760</v>
      </c>
      <c r="P147" s="37">
        <f>IF($B$4="RESONANCE",IFERROR(IF(INDEX(MASTER!$I$4:$I$1463,MATCH("FUCT"&amp;"|"&amp;MAX(1,ROUND(COUNTIFS(MASTER!$B$4:$B$1463,"FUCT",MASTER!$I$4:$I$1463,"&lt;&gt;")*$A147*100/100,0)),MASTER!$Y$4:$Y$1463,0))="",NA(),INDEX(MASTER!$I$4:$I$1463,MATCH("FUCT"&amp;"|"&amp;MAX(1,ROUND(COUNTIFS(MASTER!$B$4:$B$1463,"FUCT",MASTER!$I$4:$I$1463,"&lt;&gt;")*$A147*100/100,0)),MASTER!$Y$4:$Y$1463,0))),NA()),IF($B$4="COMBAT RATING",IFERROR(IF(INDEX(MASTER!$G$4:$G$1463,MATCH("FUCT"&amp;"|"&amp;MAX(1,ROUND(COUNTIFS(MASTER!$B$4:$B$1463,"FUCT",MASTER!$G$4:$G$1463,"&lt;&gt;")*$A147*100/100,0)),MASTER!$AH$4:$AH$1463,0))="",NA(),INDEX(MASTER!$G$4:$G$1463,MATCH("FUCT"&amp;"|"&amp;MAX(1,ROUND(COUNTIFS(MASTER!$B$4:$B$1463,"FUCT",MASTER!$G$4:$G$1463,"&lt;&gt;")*$A147*100/100,0)),MASTER!$AH$4:$AH$1463,0))),NA()),IF($B$4="SECONDARY",IFERROR(IF(INDEX(MASTER!$L$4:$L$1463,MATCH("FUCT"&amp;"|"&amp;MAX(1,ROUND(COUNTIFS(MASTER!$B$4:$B$1463,"FUCT",MASTER!$L$4:$L$1463,"&lt;&gt;")*$A147*100/100,0)),MASTER!$AI$4:$AI$1463,0))="",NA(),INDEX(MASTER!$L$4:$L$1463,MATCH("FUCT"&amp;"|"&amp;MAX(1,ROUND(COUNTIFS(MASTER!$B$4:$B$1463,"FUCT",MASTER!$L$4:$L$1463,"&lt;&gt;")*$A147*100/100,0)),MASTER!$AI$4:$AI$1463,0))),NA()))))</f>
        <v>3055</v>
      </c>
      <c r="Q147" s="37">
        <f>IF($B$4="RESONANCE",IFERROR(IF(INDEX(MASTER!$I$4:$I$1463,MATCH($E$4&amp;"|"&amp;MAX(1,ROUND(COUNTIFS(MASTER!$B$4:$B$1463,$E$4,MASTER!$I$4:$I$1463,"&lt;&gt;")*$A147*100/100,0)),MASTER!$Y$4:$Y$1463,0))="",NA(),INDEX(MASTER!$I$4:$I$1463,MATCH($E$4&amp;"|"&amp;MAX(1,ROUND(COUNTIFS(MASTER!$B$4:$B$1463,$E$4,MASTER!$I$4:$I$1463,"&lt;&gt;")*$A147*100/100,0)),MASTER!$Y$4:$Y$1463,0))),NA()),IF($B$4="COMBAT RATING",IFERROR(IF(INDEX(MASTER!$G$4:$G$1463,MATCH($E$4&amp;"|"&amp;MAX(1,ROUND(COUNTIFS(MASTER!$B$4:$B$1463,$E$4,MASTER!$G$4:$G$1463,"&lt;&gt;")*$A147*100/100,0)),MASTER!$AH$4:$AH$1463,0))="",NA(),INDEX(MASTER!$G$4:$G$1463,MATCH($E$4&amp;"|"&amp;MAX(1,ROUND(COUNTIFS(MASTER!$B$4:$B$1463,$E$4,MASTER!$G$4:$G$1463,"&lt;&gt;")*$A147*100/100,0)),MASTER!$AH$4:$AH$1463,0))),NA()),IF($B$4="SECONDARY",IFERROR(IF(INDEX(MASTER!$L$4:$L$1463,MATCH($E$4&amp;"|"&amp;MAX(1,ROUND(COUNTIFS(MASTER!$B$4:$B$1463,$E$4,MASTER!$L$4:$L$1463,"&lt;&gt;")*$A147*100/100,0)),MASTER!$AI$4:$AI$1463,0))="",NA(),INDEX(MASTER!$L$4:$L$1463,MATCH($E$4&amp;"|"&amp;MAX(1,ROUND(COUNTIFS(MASTER!$B$4:$B$1463,$E$4,MASTER!$L$4:$L$1463,"&lt;&gt;")*$A147*100/100,0)),MASTER!$AI$4:$AI$1463,0))),NA()))))</f>
        <v>2670</v>
      </c>
    </row>
    <row r="148" spans="1:17" hidden="1">
      <c r="A148" s="36">
        <v>0.93</v>
      </c>
      <c r="B148" s="37">
        <f>IF($B$4="RESONANCE",IFERROR(IF(INDEX(MASTER!$I$4:$I$1463,MATCH("FUCT"&amp;"|"&amp;MAX(1,ROUND(COUNTIFS(MASTER!$B$4:$B$1463,"FUCT",MASTER!$I$4:$I$1463,"&lt;&gt;")*$A148*100/100,0)),MASTER!$Y$4:$Y$1463,0))="",NA(),INDEX(MASTER!$I$4:$I$1463,MATCH("FUCT"&amp;"|"&amp;MAX(1,ROUND(COUNTIFS(MASTER!$B$4:$B$1463,"FUCT",MASTER!$I$4:$I$1463,"&lt;&gt;")*$A148*100/100,0)),MASTER!$Y$4:$Y$1463,0))),NA()),IF($B$4="COMBAT RATING",IFERROR(IF(INDEX(MASTER!$G$4:$G$1463,MATCH("FUCT"&amp;"|"&amp;MAX(1,ROUND(COUNTIFS(MASTER!$B$4:$B$1463,"FUCT",MASTER!$G$4:$G$1463,"&lt;&gt;")*$A148*100/100,0)),MASTER!$AH$4:$AH$1463,0))="",NA(),INDEX(MASTER!$G$4:$G$1463,MATCH("FUCT"&amp;"|"&amp;MAX(1,ROUND(COUNTIFS(MASTER!$B$4:$B$1463,"FUCT",MASTER!$G$4:$G$1463,"&lt;&gt;")*$A148*100/100,0)),MASTER!$AH$4:$AH$1463,0))),NA()),IF($B$4="SECONDARY",IFERROR(IF(INDEX(MASTER!$L$4:$L$1463,MATCH("FUCT"&amp;"|"&amp;MAX(1,ROUND(COUNTIFS(MASTER!$B$4:$B$1463,"FUCT",MASTER!$L$4:$L$1463,"&lt;&gt;")*$A148*100/100,0)),MASTER!$AI$4:$AI$1463,0))="",NA(),INDEX(MASTER!$L$4:$L$1463,MATCH("FUCT"&amp;"|"&amp;MAX(1,ROUND(COUNTIFS(MASTER!$B$4:$B$1463,"FUCT",MASTER!$L$4:$L$1463,"&lt;&gt;")*$A148*100/100,0)),MASTER!$AI$4:$AI$1463,0))),NA()))))</f>
        <v>3028</v>
      </c>
      <c r="C148" s="37">
        <f>IF($B$4="RESONANCE",IFERROR(IF(INDEX(MASTER!$I$4:$I$1463,MATCH("LEGENDS"&amp;"|"&amp;MAX(1,ROUND(COUNTIFS(MASTER!$B$4:$B$1463,"LEGENDS",MASTER!$I$4:$I$1463,"&lt;&gt;")*$A148*100/100,0)),MASTER!$Y$4:$Y$1463,0))="",NA(),INDEX(MASTER!$I$4:$I$1463,MATCH("LEGENDS"&amp;"|"&amp;MAX(1,ROUND(COUNTIFS(MASTER!$B$4:$B$1463,"LEGENDS",MASTER!$I$4:$I$1463,"&lt;&gt;")*$A148*100/100,0)),MASTER!$Y$4:$Y$1463,0))),NA()),IF($B$4="COMBAT RATING",IFERROR(IF(INDEX(MASTER!$G$4:$G$1463,MATCH("LEGENDS"&amp;"|"&amp;MAX(1,ROUND(COUNTIFS(MASTER!$B$4:$B$1463,"LEGENDS",MASTER!$G$4:$G$1463,"&lt;&gt;")*$A148*100/100,0)),MASTER!$AH$4:$AH$1463,0))="",NA(),INDEX(MASTER!$G$4:$G$1463,MATCH("LEGENDS"&amp;"|"&amp;MAX(1,ROUND(COUNTIFS(MASTER!$B$4:$B$1463,"LEGENDS",MASTER!$G$4:$G$1463,"&lt;&gt;")*$A148*100/100,0)),MASTER!$AH$4:$AH$1463,0))),NA()),IF($B$4="SECONDARY",IFERROR(IF(INDEX(MASTER!$L$4:$L$1463,MATCH("LEGENDS"&amp;"|"&amp;MAX(1,ROUND(COUNTIFS(MASTER!$B$4:$B$1463,"LEGENDS",MASTER!$L$4:$L$1463,"&lt;&gt;")*$A148*100/100,0)),MASTER!$AI$4:$AI$1463,0))="",NA(),INDEX(MASTER!$L$4:$L$1463,MATCH("LEGENDS"&amp;"|"&amp;MAX(1,ROUND(COUNTIFS(MASTER!$B$4:$B$1463,"LEGENDS",MASTER!$L$4:$L$1463,"&lt;&gt;")*$A148*100/100,0)),MASTER!$AI$4:$AI$1463,0))),NA()))))</f>
        <v>3238</v>
      </c>
      <c r="D148" s="37">
        <f>IF($B$4="RESONANCE",IFERROR(IF(INDEX(MASTER!$I$4:$I$1463,MATCH("VANGUARD"&amp;"|"&amp;MAX(1,ROUND(COUNTIFS(MASTER!$B$4:$B$1463,"VANGUARD",MASTER!$I$4:$I$1463,"&lt;&gt;")*$A148*100/100,0)),MASTER!$Y$4:$Y$1463,0))="",NA(),INDEX(MASTER!$I$4:$I$1463,MATCH("VANGUARD"&amp;"|"&amp;MAX(1,ROUND(COUNTIFS(MASTER!$B$4:$B$1463,"VANGUARD",MASTER!$I$4:$I$1463,"&lt;&gt;")*$A148*100/100,0)),MASTER!$Y$4:$Y$1463,0))),NA()),IF($B$4="COMBAT RATING",IFERROR(IF(INDEX(MASTER!$G$4:$G$1463,MATCH("VANGUARD"&amp;"|"&amp;MAX(1,ROUND(COUNTIFS(MASTER!$B$4:$B$1463,"VANGUARD",MASTER!$G$4:$G$1463,"&lt;&gt;")*$A148*100/100,0)),MASTER!$AH$4:$AH$1463,0))="",NA(),INDEX(MASTER!$G$4:$G$1463,MATCH("VANGUARD"&amp;"|"&amp;MAX(1,ROUND(COUNTIFS(MASTER!$B$4:$B$1463,"VANGUARD",MASTER!$G$4:$G$1463,"&lt;&gt;")*$A148*100/100,0)),MASTER!$AH$4:$AH$1463,0))),NA()),IF($B$4="SECONDARY",IFERROR(IF(INDEX(MASTER!$L$4:$L$1463,MATCH("VANGUARD"&amp;"|"&amp;MAX(1,ROUND(COUNTIFS(MASTER!$B$4:$B$1463,"VANGUARD",MASTER!$L$4:$L$1463,"&lt;&gt;")*$A148*100/100,0)),MASTER!$AI$4:$AI$1463,0))="",NA(),INDEX(MASTER!$L$4:$L$1463,MATCH("VANGUARD"&amp;"|"&amp;MAX(1,ROUND(COUNTIFS(MASTER!$B$4:$B$1463,"VANGUARD",MASTER!$L$4:$L$1463,"&lt;&gt;")*$A148*100/100,0)),MASTER!$AI$4:$AI$1463,0))),NA()))))</f>
        <v>3026</v>
      </c>
      <c r="E148" s="37">
        <f>IF($B$4="RESONANCE",IFERROR(IF(INDEX(MASTER!$I$4:$I$1463,MATCH("UNDYING"&amp;"|"&amp;MAX(1,ROUND(COUNTIFS(MASTER!$B$4:$B$1463,"UNDYING",MASTER!$I$4:$I$1463,"&lt;&gt;")*$A148*100/100,0)),MASTER!$Y$4:$Y$1463,0))="",NA(),INDEX(MASTER!$I$4:$I$1463,MATCH("UNDYING"&amp;"|"&amp;MAX(1,ROUND(COUNTIFS(MASTER!$B$4:$B$1463,"UNDYING",MASTER!$I$4:$I$1463,"&lt;&gt;")*$A148*100/100,0)),MASTER!$Y$4:$Y$1463,0))),NA()),IF($B$4="COMBAT RATING",IFERROR(IF(INDEX(MASTER!$G$4:$G$1463,MATCH("UNDYING"&amp;"|"&amp;MAX(1,ROUND(COUNTIFS(MASTER!$B$4:$B$1463,"UNDYING",MASTER!$G$4:$G$1463,"&lt;&gt;")*$A148*100/100,0)),MASTER!$AH$4:$AH$1463,0))="",NA(),INDEX(MASTER!$G$4:$G$1463,MATCH("UNDYING"&amp;"|"&amp;MAX(1,ROUND(COUNTIFS(MASTER!$B$4:$B$1463,"UNDYING",MASTER!$G$4:$G$1463,"&lt;&gt;")*$A148*100/100,0)),MASTER!$AH$4:$AH$1463,0))),NA()),IF($B$4="SECONDARY",IFERROR(IF(INDEX(MASTER!$L$4:$L$1463,MATCH("UNDYING"&amp;"|"&amp;MAX(1,ROUND(COUNTIFS(MASTER!$B$4:$B$1463,"UNDYING",MASTER!$L$4:$L$1463,"&lt;&gt;")*$A148*100/100,0)),MASTER!$AI$4:$AI$1463,0))="",NA(),INDEX(MASTER!$L$4:$L$1463,MATCH("UNDYING"&amp;"|"&amp;MAX(1,ROUND(COUNTIFS(MASTER!$B$4:$B$1463,"UNDYING",MASTER!$L$4:$L$1463,"&lt;&gt;")*$A148*100/100,0)),MASTER!$AI$4:$AI$1463,0))),NA()))))</f>
        <v>2626</v>
      </c>
      <c r="F148" s="37">
        <f>IF($B$4="RESONANCE",IFERROR(IF(INDEX(MASTER!$I$4:$I$1463,MATCH("SBG"&amp;"|"&amp;MAX(1,ROUND(COUNTIFS(MASTER!$B$4:$B$1463,"SBG",MASTER!$I$4:$I$1463,"&lt;&gt;")*$A148*100/100,0)),MASTER!$Y$4:$Y$1463,0))="",NA(),INDEX(MASTER!$I$4:$I$1463,MATCH("SBG"&amp;"|"&amp;MAX(1,ROUND(COUNTIFS(MASTER!$B$4:$B$1463,"SBG",MASTER!$I$4:$I$1463,"&lt;&gt;")*$A148*100/100,0)),MASTER!$Y$4:$Y$1463,0))),NA()),IF($B$4="COMBAT RATING",IFERROR(IF(INDEX(MASTER!$G$4:$G$1463,MATCH("SBG"&amp;"|"&amp;MAX(1,ROUND(COUNTIFS(MASTER!$B$4:$B$1463,"SBG",MASTER!$G$4:$G$1463,"&lt;&gt;")*$A148*100/100,0)),MASTER!$AH$4:$AH$1463,0))="",NA(),INDEX(MASTER!$G$4:$G$1463,MATCH("SBG"&amp;"|"&amp;MAX(1,ROUND(COUNTIFS(MASTER!$B$4:$B$1463,"SBG",MASTER!$G$4:$G$1463,"&lt;&gt;")*$A148*100/100,0)),MASTER!$AH$4:$AH$1463,0))),NA()),IF($B$4="SECONDARY",IFERROR(IF(INDEX(MASTER!$L$4:$L$1463,MATCH("SBG"&amp;"|"&amp;MAX(1,ROUND(COUNTIFS(MASTER!$B$4:$B$1463,"SBG",MASTER!$L$4:$L$1463,"&lt;&gt;")*$A148*100/100,0)),MASTER!$AI$4:$AI$1463,0))="",NA(),INDEX(MASTER!$L$4:$L$1463,MATCH("SBG"&amp;"|"&amp;MAX(1,ROUND(COUNTIFS(MASTER!$B$4:$B$1463,"SBG",MASTER!$L$4:$L$1463,"&lt;&gt;")*$A148*100/100,0)),MASTER!$AI$4:$AI$1463,0))),NA()))))</f>
        <v>3038</v>
      </c>
      <c r="G148" s="37">
        <f>IF($B$4="RESONANCE",IFERROR(IF(INDEX(MASTER!$I$4:$I$1463,MATCH("AZUKI"&amp;"|"&amp;MAX(1,ROUND(COUNTIFS(MASTER!$B$4:$B$1463,"AZUKI",MASTER!$I$4:$I$1463,"&lt;&gt;")*$A148*100/100,0)),MASTER!$Y$4:$Y$1463,0))="",NA(),INDEX(MASTER!$I$4:$I$1463,MATCH("AZUKI"&amp;"|"&amp;MAX(1,ROUND(COUNTIFS(MASTER!$B$4:$B$1463,"AZUKI",MASTER!$I$4:$I$1463,"&lt;&gt;")*$A148*100/100,0)),MASTER!$Y$4:$Y$1463,0))),NA()),IF($B$4="COMBAT RATING",IFERROR(IF(INDEX(MASTER!$G$4:$G$1463,MATCH("AZUKI"&amp;"|"&amp;MAX(1,ROUND(COUNTIFS(MASTER!$B$4:$B$1463,"AZUKI",MASTER!$G$4:$G$1463,"&lt;&gt;")*$A148*100/100,0)),MASTER!$AH$4:$AH$1463,0))="",NA(),INDEX(MASTER!$G$4:$G$1463,MATCH("AZUKI"&amp;"|"&amp;MAX(1,ROUND(COUNTIFS(MASTER!$B$4:$B$1463,"AZUKI",MASTER!$G$4:$G$1463,"&lt;&gt;")*$A148*100/100,0)),MASTER!$AH$4:$AH$1463,0))),NA()),IF($B$4="SECONDARY",IFERROR(IF(INDEX(MASTER!$L$4:$L$1463,MATCH("AZUKI"&amp;"|"&amp;MAX(1,ROUND(COUNTIFS(MASTER!$B$4:$B$1463,"AZUKI",MASTER!$L$4:$L$1463,"&lt;&gt;")*$A148*100/100,0)),MASTER!$AI$4:$AI$1463,0))="",NA(),INDEX(MASTER!$L$4:$L$1463,MATCH("AZUKI"&amp;"|"&amp;MAX(1,ROUND(COUNTIFS(MASTER!$B$4:$B$1463,"AZUKI",MASTER!$L$4:$L$1463,"&lt;&gt;")*$A148*100/100,0)),MASTER!$AI$4:$AI$1463,0))),NA()))))</f>
        <v>2988</v>
      </c>
      <c r="H148" s="37">
        <f>IF($B$4="RESONANCE",IFERROR(IF(INDEX(MASTER!$I$4:$I$1463,MATCH("RECKONING"&amp;"|"&amp;MAX(1,ROUND(COUNTIFS(MASTER!$B$4:$B$1463,"RECKONING",MASTER!$I$4:$I$1463,"&lt;&gt;")*$A148*100/100,0)),MASTER!$Y$4:$Y$1463,0))="",NA(),INDEX(MASTER!$I$4:$I$1463,MATCH("RECKONING"&amp;"|"&amp;MAX(1,ROUND(COUNTIFS(MASTER!$B$4:$B$1463,"RECKONING",MASTER!$I$4:$I$1463,"&lt;&gt;")*$A148*100/100,0)),MASTER!$Y$4:$Y$1463,0))),NA()),IF($B$4="COMBAT RATING",IFERROR(IF(INDEX(MASTER!$G$4:$G$1463,MATCH("RECKONING"&amp;"|"&amp;MAX(1,ROUND(COUNTIFS(MASTER!$B$4:$B$1463,"RECKONING",MASTER!$G$4:$G$1463,"&lt;&gt;")*$A148*100/100,0)),MASTER!$AH$4:$AH$1463,0))="",NA(),INDEX(MASTER!$G$4:$G$1463,MATCH("RECKONING"&amp;"|"&amp;MAX(1,ROUND(COUNTIFS(MASTER!$B$4:$B$1463,"RECKONING",MASTER!$G$4:$G$1463,"&lt;&gt;")*$A148*100/100,0)),MASTER!$AH$4:$AH$1463,0))),NA()),IF($B$4="SECONDARY",IFERROR(IF(INDEX(MASTER!$L$4:$L$1463,MATCH("RECKONING"&amp;"|"&amp;MAX(1,ROUND(COUNTIFS(MASTER!$B$4:$B$1463,"RECKONING",MASTER!$L$4:$L$1463,"&lt;&gt;")*$A148*100/100,0)),MASTER!$AI$4:$AI$1463,0))="",NA(),INDEX(MASTER!$L$4:$L$1463,MATCH("RECKONING"&amp;"|"&amp;MAX(1,ROUND(COUNTIFS(MASTER!$B$4:$B$1463,"RECKONING",MASTER!$L$4:$L$1463,"&lt;&gt;")*$A148*100/100,0)),MASTER!$AI$4:$AI$1463,0))),NA()))))</f>
        <v>2674</v>
      </c>
      <c r="I148" s="37">
        <f>IF($B$4="RESONANCE",IFERROR(IF(INDEX(MASTER!$I$4:$I$1463,MATCH("ACHERON"&amp;"|"&amp;MAX(1,ROUND(COUNTIFS(MASTER!$B$4:$B$1463,"ACHERON",MASTER!$I$4:$I$1463,"&lt;&gt;")*$A148*100/100,0)),MASTER!$Y$4:$Y$1463,0))="",NA(),INDEX(MASTER!$I$4:$I$1463,MATCH("ACHERON"&amp;"|"&amp;MAX(1,ROUND(COUNTIFS(MASTER!$B$4:$B$1463,"ACHERON",MASTER!$I$4:$I$1463,"&lt;&gt;")*$A148*100/100,0)),MASTER!$Y$4:$Y$1463,0))),NA()),IF($B$4="COMBAT RATING",IFERROR(IF(INDEX(MASTER!$G$4:$G$1463,MATCH("ACHERON"&amp;"|"&amp;MAX(1,ROUND(COUNTIFS(MASTER!$B$4:$B$1463,"ACHERON",MASTER!$G$4:$G$1463,"&lt;&gt;")*$A148*100/100,0)),MASTER!$AH$4:$AH$1463,0))="",NA(),INDEX(MASTER!$G$4:$G$1463,MATCH("ACHERON"&amp;"|"&amp;MAX(1,ROUND(COUNTIFS(MASTER!$B$4:$B$1463,"ACHERON",MASTER!$G$4:$G$1463,"&lt;&gt;")*$A148*100/100,0)),MASTER!$AH$4:$AH$1463,0))),NA()),IF($B$4="SECONDARY",IFERROR(IF(INDEX(MASTER!$L$4:$L$1463,MATCH("ACHERON"&amp;"|"&amp;MAX(1,ROUND(COUNTIFS(MASTER!$B$4:$B$1463,"ACHERON",MASTER!$L$4:$L$1463,"&lt;&gt;")*$A148*100/100,0)),MASTER!$AI$4:$AI$1463,0))="",NA(),INDEX(MASTER!$L$4:$L$1463,MATCH("ACHERON"&amp;"|"&amp;MAX(1,ROUND(COUNTIFS(MASTER!$B$4:$B$1463,"ACHERON",MASTER!$L$4:$L$1463,"&lt;&gt;")*$A148*100/100,0)),MASTER!$AI$4:$AI$1463,0))),NA()))))</f>
        <v>1440</v>
      </c>
      <c r="J148" s="37">
        <f>IF($B$4="RESONANCE",IFERROR(IF(INDEX(MASTER!$I$4:$I$1463,MATCH("INVICTUS"&amp;"|"&amp;MAX(1,ROUND(COUNTIFS(MASTER!$B$4:$B$1463,"INVICTUS",MASTER!$I$4:$I$1463,"&lt;&gt;")*$A148*100/100,0)),MASTER!$Y$4:$Y$1463,0))="",NA(),INDEX(MASTER!$I$4:$I$1463,MATCH("INVICTUS"&amp;"|"&amp;MAX(1,ROUND(COUNTIFS(MASTER!$B$4:$B$1463,"INVICTUS",MASTER!$I$4:$I$1463,"&lt;&gt;")*$A148*100/100,0)),MASTER!$Y$4:$Y$1463,0))),NA()),IF($B$4="COMBAT RATING",IFERROR(IF(INDEX(MASTER!$G$4:$G$1463,MATCH("INVICTUS"&amp;"|"&amp;MAX(1,ROUND(COUNTIFS(MASTER!$B$4:$B$1463,"INVICTUS",MASTER!$G$4:$G$1463,"&lt;&gt;")*$A148*100/100,0)),MASTER!$AH$4:$AH$1463,0))="",NA(),INDEX(MASTER!$G$4:$G$1463,MATCH("INVICTUS"&amp;"|"&amp;MAX(1,ROUND(COUNTIFS(MASTER!$B$4:$B$1463,"INVICTUS",MASTER!$G$4:$G$1463,"&lt;&gt;")*$A148*100/100,0)),MASTER!$AH$4:$AH$1463,0))),NA()),IF($B$4="SECONDARY",IFERROR(IF(INDEX(MASTER!$L$4:$L$1463,MATCH("INVICTUS"&amp;"|"&amp;MAX(1,ROUND(COUNTIFS(MASTER!$B$4:$B$1463,"INVICTUS",MASTER!$L$4:$L$1463,"&lt;&gt;")*$A148*100/100,0)),MASTER!$AI$4:$AI$1463,0))="",NA(),INDEX(MASTER!$L$4:$L$1463,MATCH("INVICTUS"&amp;"|"&amp;MAX(1,ROUND(COUNTIFS(MASTER!$B$4:$B$1463,"INVICTUS",MASTER!$L$4:$L$1463,"&lt;&gt;")*$A148*100/100,0)),MASTER!$AI$4:$AI$1463,0))),NA()))))</f>
        <v>1470</v>
      </c>
      <c r="K148" s="37">
        <f>IF($B$4="RESONANCE",IFERROR(IF(INDEX(MASTER!$I$4:$I$1463,MATCH("EMERALD LEAF TRIBE"&amp;"|"&amp;MAX(1,ROUND(COUNTIFS(MASTER!$B$4:$B$1463,"EMERALD LEAF TRIBE",MASTER!$I$4:$I$1463,"&lt;&gt;")*$A148*100/100,0)),MASTER!$Y$4:$Y$1463,0))="",NA(),INDEX(MASTER!$I$4:$I$1463,MATCH("EMERALD LEAF TRIBE"&amp;"|"&amp;MAX(1,ROUND(COUNTIFS(MASTER!$B$4:$B$1463,"EMERALD LEAF TRIBE",MASTER!$I$4:$I$1463,"&lt;&gt;")*$A148*100/100,0)),MASTER!$Y$4:$Y$1463,0))),NA()),IF($B$4="COMBAT RATING",IFERROR(IF(INDEX(MASTER!$G$4:$G$1463,MATCH("EMERALD LEAF TRIBE"&amp;"|"&amp;MAX(1,ROUND(COUNTIFS(MASTER!$B$4:$B$1463,"EMERALD LEAF TRIBE",MASTER!$G$4:$G$1463,"&lt;&gt;")*$A148*100/100,0)),MASTER!$AH$4:$AH$1463,0))="",NA(),INDEX(MASTER!$G$4:$G$1463,MATCH("EMERALD LEAF TRIBE"&amp;"|"&amp;MAX(1,ROUND(COUNTIFS(MASTER!$B$4:$B$1463,"EMERALD LEAF TRIBE",MASTER!$G$4:$G$1463,"&lt;&gt;")*$A148*100/100,0)),MASTER!$AH$4:$AH$1463,0))),NA()),IF($B$4="SECONDARY",IFERROR(IF(INDEX(MASTER!$L$4:$L$1463,MATCH("EMERALD LEAF TRIBE"&amp;"|"&amp;MAX(1,ROUND(COUNTIFS(MASTER!$B$4:$B$1463,"EMERALD LEAF TRIBE",MASTER!$L$4:$L$1463,"&lt;&gt;")*$A148*100/100,0)),MASTER!$AI$4:$AI$1463,0))="",NA(),INDEX(MASTER!$L$4:$L$1463,MATCH("EMERALD LEAF TRIBE"&amp;"|"&amp;MAX(1,ROUND(COUNTIFS(MASTER!$B$4:$B$1463,"EMERALD LEAF TRIBE",MASTER!$L$4:$L$1463,"&lt;&gt;")*$A148*100/100,0)),MASTER!$AI$4:$AI$1463,0))),NA()))))</f>
        <v>740</v>
      </c>
      <c r="L148" s="37">
        <f>IF($B$4="RESONANCE",IFERROR(IF(INDEX(MASTER!$I$4:$I$1463,MATCH("SUB ROSA"&amp;"|"&amp;MAX(1,ROUND(COUNTIFS(MASTER!$B$4:$B$1463,"SUB ROSA",MASTER!$I$4:$I$1463,"&lt;&gt;")*$A148*100/100,0)),MASTER!$Y$4:$Y$1463,0))="",NA(),INDEX(MASTER!$I$4:$I$1463,MATCH("SUB ROSA"&amp;"|"&amp;MAX(1,ROUND(COUNTIFS(MASTER!$B$4:$B$1463,"SUB ROSA",MASTER!$I$4:$I$1463,"&lt;&gt;")*$A148*100/100,0)),MASTER!$Y$4:$Y$1463,0))),NA()),IF($B$4="COMBAT RATING",IFERROR(IF(INDEX(MASTER!$G$4:$G$1463,MATCH("SUB ROSA"&amp;"|"&amp;MAX(1,ROUND(COUNTIFS(MASTER!$B$4:$B$1463,"SUB ROSA",MASTER!$G$4:$G$1463,"&lt;&gt;")*$A148*100/100,0)),MASTER!$AH$4:$AH$1463,0))="",NA(),INDEX(MASTER!$G$4:$G$1463,MATCH("SUB ROSA"&amp;"|"&amp;MAX(1,ROUND(COUNTIFS(MASTER!$B$4:$B$1463,"SUB ROSA",MASTER!$G$4:$G$1463,"&lt;&gt;")*$A148*100/100,0)),MASTER!$AH$4:$AH$1463,0))),NA()),IF($B$4="SECONDARY",IFERROR(IF(INDEX(MASTER!$L$4:$L$1463,MATCH("SUB ROSA"&amp;"|"&amp;MAX(1,ROUND(COUNTIFS(MASTER!$B$4:$B$1463,"SUB ROSA",MASTER!$L$4:$L$1463,"&lt;&gt;")*$A148*100/100,0)),MASTER!$AI$4:$AI$1463,0))="",NA(),INDEX(MASTER!$L$4:$L$1463,MATCH("SUB ROSA"&amp;"|"&amp;MAX(1,ROUND(COUNTIFS(MASTER!$B$4:$B$1463,"SUB ROSA",MASTER!$L$4:$L$1463,"&lt;&gt;")*$A148*100/100,0)),MASTER!$AI$4:$AI$1463,0))),NA()))))</f>
        <v>963</v>
      </c>
      <c r="M148" s="37">
        <f>IF($B$4="RESONANCE",IFERROR(IF(INDEX(MASTER!$I$4:$I$1463,MATCH("VENGEANCE"&amp;"|"&amp;MAX(1,ROUND(COUNTIFS(MASTER!$B$4:$B$1463,"VENGEANCE",MASTER!$I$4:$I$1463,"&lt;&gt;")*$A148*100/100,0)),MASTER!$Y$4:$Y$1463,0))="",NA(),INDEX(MASTER!$I$4:$I$1463,MATCH("VENGEANCE"&amp;"|"&amp;MAX(1,ROUND(COUNTIFS(MASTER!$B$4:$B$1463,"VENGEANCE",MASTER!$I$4:$I$1463,"&lt;&gt;")*$A148*100/100,0)),MASTER!$Y$4:$Y$1463,0))),NA()),IF($B$4="COMBAT RATING",IFERROR(IF(INDEX(MASTER!$G$4:$G$1463,MATCH("VENGEANCE"&amp;"|"&amp;MAX(1,ROUND(COUNTIFS(MASTER!$B$4:$B$1463,"VENGEANCE",MASTER!$G$4:$G$1463,"&lt;&gt;")*$A148*100/100,0)),MASTER!$AH$4:$AH$1463,0))="",NA(),INDEX(MASTER!$G$4:$G$1463,MATCH("VENGEANCE"&amp;"|"&amp;MAX(1,ROUND(COUNTIFS(MASTER!$B$4:$B$1463,"VENGEANCE",MASTER!$G$4:$G$1463,"&lt;&gt;")*$A148*100/100,0)),MASTER!$AH$4:$AH$1463,0))),NA()),IF($B$4="SECONDARY",IFERROR(IF(INDEX(MASTER!$L$4:$L$1463,MATCH("VENGEANCE"&amp;"|"&amp;MAX(1,ROUND(COUNTIFS(MASTER!$B$4:$B$1463,"VENGEANCE",MASTER!$L$4:$L$1463,"&lt;&gt;")*$A148*100/100,0)),MASTER!$AI$4:$AI$1463,0))="",NA(),INDEX(MASTER!$L$4:$L$1463,MATCH("VENGEANCE"&amp;"|"&amp;MAX(1,ROUND(COUNTIFS(MASTER!$B$4:$B$1463,"VENGEANCE",MASTER!$L$4:$L$1463,"&lt;&gt;")*$A148*100/100,0)),MASTER!$AI$4:$AI$1463,0))),NA()))))</f>
        <v>1780</v>
      </c>
      <c r="N148" s="37">
        <f>IF($B$4="RESONANCE",IFERROR(IF(INDEX(MASTER!$I$4:$I$1463,MATCH("VENDETTA"&amp;"|"&amp;MAX(1,ROUND(COUNTIFS(MASTER!$B$4:$B$1463,"VENDETTA",MASTER!$I$4:$I$1463,"&lt;&gt;")*$A148*100/100,0)),MASTER!$Y$4:$Y$1463,0))="",NA(),INDEX(MASTER!$I$4:$I$1463,MATCH("VENDETTA"&amp;"|"&amp;MAX(1,ROUND(COUNTIFS(MASTER!$B$4:$B$1463,"VENDETTA",MASTER!$I$4:$I$1463,"&lt;&gt;")*$A148*100/100,0)),MASTER!$Y$4:$Y$1463,0))),NA()),IF($B$4="COMBAT RATING",IFERROR(IF(INDEX(MASTER!$G$4:$G$1463,MATCH("VENDETTA"&amp;"|"&amp;MAX(1,ROUND(COUNTIFS(MASTER!$B$4:$B$1463,"VENDETTA",MASTER!$G$4:$G$1463,"&lt;&gt;")*$A148*100/100,0)),MASTER!$AH$4:$AH$1463,0))="",NA(),INDEX(MASTER!$G$4:$G$1463,MATCH("VENDETTA"&amp;"|"&amp;MAX(1,ROUND(COUNTIFS(MASTER!$B$4:$B$1463,"VENDETTA",MASTER!$G$4:$G$1463,"&lt;&gt;")*$A148*100/100,0)),MASTER!$AH$4:$AH$1463,0))),NA()),IF($B$4="SECONDARY",IFERROR(IF(INDEX(MASTER!$L$4:$L$1463,MATCH("VENDETTA"&amp;"|"&amp;MAX(1,ROUND(COUNTIFS(MASTER!$B$4:$B$1463,"VENDETTA",MASTER!$L$4:$L$1463,"&lt;&gt;")*$A148*100/100,0)),MASTER!$AI$4:$AI$1463,0))="",NA(),INDEX(MASTER!$L$4:$L$1463,MATCH("VENDETTA"&amp;"|"&amp;MAX(1,ROUND(COUNTIFS(MASTER!$B$4:$B$1463,"VENDETTA",MASTER!$L$4:$L$1463,"&lt;&gt;")*$A148*100/100,0)),MASTER!$AI$4:$AI$1463,0))),NA()))))</f>
        <v>972</v>
      </c>
      <c r="O148" s="37">
        <f>IF($B$4="RESONANCE",IFERROR(IF(INDEX(MASTER!$I$4:$I$1463,MATCH("ZOMBIES"&amp;"|"&amp;MAX(1,ROUND(COUNTIFS(MASTER!$B$4:$B$1463,"ZOMBIES",MASTER!$I$4:$I$1463,"&lt;&gt;")*$A148*100/100,0)),MASTER!$Y$4:$Y$1463,0))="",NA(),INDEX(MASTER!$I$4:$I$1463,MATCH("ZOMBIES"&amp;"|"&amp;MAX(1,ROUND(COUNTIFS(MASTER!$B$4:$B$1463,"ZOMBIES",MASTER!$I$4:$I$1463,"&lt;&gt;")*$A148*100/100,0)),MASTER!$Y$4:$Y$1463,0))),NA()),IF($B$4="COMBAT RATING",IFERROR(IF(INDEX(MASTER!$G$4:$G$1463,MATCH("ZOMBIES"&amp;"|"&amp;MAX(1,ROUND(COUNTIFS(MASTER!$B$4:$B$1463,"ZOMBIES",MASTER!$G$4:$G$1463,"&lt;&gt;")*$A148*100/100,0)),MASTER!$AH$4:$AH$1463,0))="",NA(),INDEX(MASTER!$G$4:$G$1463,MATCH("ZOMBIES"&amp;"|"&amp;MAX(1,ROUND(COUNTIFS(MASTER!$B$4:$B$1463,"ZOMBIES",MASTER!$G$4:$G$1463,"&lt;&gt;")*$A148*100/100,0)),MASTER!$AH$4:$AH$1463,0))),NA()),IF($B$4="SECONDARY",IFERROR(IF(INDEX(MASTER!$L$4:$L$1463,MATCH("ZOMBIES"&amp;"|"&amp;MAX(1,ROUND(COUNTIFS(MASTER!$B$4:$B$1463,"ZOMBIES",MASTER!$L$4:$L$1463,"&lt;&gt;")*$A148*100/100,0)),MASTER!$AI$4:$AI$1463,0))="",NA(),INDEX(MASTER!$L$4:$L$1463,MATCH("ZOMBIES"&amp;"|"&amp;MAX(1,ROUND(COUNTIFS(MASTER!$B$4:$B$1463,"ZOMBIES",MASTER!$L$4:$L$1463,"&lt;&gt;")*$A148*100/100,0)),MASTER!$AI$4:$AI$1463,0))),NA()))))</f>
        <v>752</v>
      </c>
      <c r="P148" s="37">
        <f>IF($B$4="RESONANCE",IFERROR(IF(INDEX(MASTER!$I$4:$I$1463,MATCH("FUCT"&amp;"|"&amp;MAX(1,ROUND(COUNTIFS(MASTER!$B$4:$B$1463,"FUCT",MASTER!$I$4:$I$1463,"&lt;&gt;")*$A148*100/100,0)),MASTER!$Y$4:$Y$1463,0))="",NA(),INDEX(MASTER!$I$4:$I$1463,MATCH("FUCT"&amp;"|"&amp;MAX(1,ROUND(COUNTIFS(MASTER!$B$4:$B$1463,"FUCT",MASTER!$I$4:$I$1463,"&lt;&gt;")*$A148*100/100,0)),MASTER!$Y$4:$Y$1463,0))),NA()),IF($B$4="COMBAT RATING",IFERROR(IF(INDEX(MASTER!$G$4:$G$1463,MATCH("FUCT"&amp;"|"&amp;MAX(1,ROUND(COUNTIFS(MASTER!$B$4:$B$1463,"FUCT",MASTER!$G$4:$G$1463,"&lt;&gt;")*$A148*100/100,0)),MASTER!$AH$4:$AH$1463,0))="",NA(),INDEX(MASTER!$G$4:$G$1463,MATCH("FUCT"&amp;"|"&amp;MAX(1,ROUND(COUNTIFS(MASTER!$B$4:$B$1463,"FUCT",MASTER!$G$4:$G$1463,"&lt;&gt;")*$A148*100/100,0)),MASTER!$AH$4:$AH$1463,0))),NA()),IF($B$4="SECONDARY",IFERROR(IF(INDEX(MASTER!$L$4:$L$1463,MATCH("FUCT"&amp;"|"&amp;MAX(1,ROUND(COUNTIFS(MASTER!$B$4:$B$1463,"FUCT",MASTER!$L$4:$L$1463,"&lt;&gt;")*$A148*100/100,0)),MASTER!$AI$4:$AI$1463,0))="",NA(),INDEX(MASTER!$L$4:$L$1463,MATCH("FUCT"&amp;"|"&amp;MAX(1,ROUND(COUNTIFS(MASTER!$B$4:$B$1463,"FUCT",MASTER!$L$4:$L$1463,"&lt;&gt;")*$A148*100/100,0)),MASTER!$AI$4:$AI$1463,0))),NA()))))</f>
        <v>3028</v>
      </c>
      <c r="Q148" s="37">
        <f>IF($B$4="RESONANCE",IFERROR(IF(INDEX(MASTER!$I$4:$I$1463,MATCH($E$4&amp;"|"&amp;MAX(1,ROUND(COUNTIFS(MASTER!$B$4:$B$1463,$E$4,MASTER!$I$4:$I$1463,"&lt;&gt;")*$A148*100/100,0)),MASTER!$Y$4:$Y$1463,0))="",NA(),INDEX(MASTER!$I$4:$I$1463,MATCH($E$4&amp;"|"&amp;MAX(1,ROUND(COUNTIFS(MASTER!$B$4:$B$1463,$E$4,MASTER!$I$4:$I$1463,"&lt;&gt;")*$A148*100/100,0)),MASTER!$Y$4:$Y$1463,0))),NA()),IF($B$4="COMBAT RATING",IFERROR(IF(INDEX(MASTER!$G$4:$G$1463,MATCH($E$4&amp;"|"&amp;MAX(1,ROUND(COUNTIFS(MASTER!$B$4:$B$1463,$E$4,MASTER!$G$4:$G$1463,"&lt;&gt;")*$A148*100/100,0)),MASTER!$AH$4:$AH$1463,0))="",NA(),INDEX(MASTER!$G$4:$G$1463,MATCH($E$4&amp;"|"&amp;MAX(1,ROUND(COUNTIFS(MASTER!$B$4:$B$1463,$E$4,MASTER!$G$4:$G$1463,"&lt;&gt;")*$A148*100/100,0)),MASTER!$AH$4:$AH$1463,0))),NA()),IF($B$4="SECONDARY",IFERROR(IF(INDEX(MASTER!$L$4:$L$1463,MATCH($E$4&amp;"|"&amp;MAX(1,ROUND(COUNTIFS(MASTER!$B$4:$B$1463,$E$4,MASTER!$L$4:$L$1463,"&lt;&gt;")*$A148*100/100,0)),MASTER!$AI$4:$AI$1463,0))="",NA(),INDEX(MASTER!$L$4:$L$1463,MATCH($E$4&amp;"|"&amp;MAX(1,ROUND(COUNTIFS(MASTER!$B$4:$B$1463,$E$4,MASTER!$L$4:$L$1463,"&lt;&gt;")*$A148*100/100,0)),MASTER!$AI$4:$AI$1463,0))),NA()))))</f>
        <v>2626</v>
      </c>
    </row>
    <row r="149" spans="1:17" hidden="1">
      <c r="A149" s="36">
        <v>0.94</v>
      </c>
      <c r="B149" s="37">
        <f>IF($B$4="RESONANCE",IFERROR(IF(INDEX(MASTER!$I$4:$I$1463,MATCH("FUCT"&amp;"|"&amp;MAX(1,ROUND(COUNTIFS(MASTER!$B$4:$B$1463,"FUCT",MASTER!$I$4:$I$1463,"&lt;&gt;")*$A149*100/100,0)),MASTER!$Y$4:$Y$1463,0))="",NA(),INDEX(MASTER!$I$4:$I$1463,MATCH("FUCT"&amp;"|"&amp;MAX(1,ROUND(COUNTIFS(MASTER!$B$4:$B$1463,"FUCT",MASTER!$I$4:$I$1463,"&lt;&gt;")*$A149*100/100,0)),MASTER!$Y$4:$Y$1463,0))),NA()),IF($B$4="COMBAT RATING",IFERROR(IF(INDEX(MASTER!$G$4:$G$1463,MATCH("FUCT"&amp;"|"&amp;MAX(1,ROUND(COUNTIFS(MASTER!$B$4:$B$1463,"FUCT",MASTER!$G$4:$G$1463,"&lt;&gt;")*$A149*100/100,0)),MASTER!$AH$4:$AH$1463,0))="",NA(),INDEX(MASTER!$G$4:$G$1463,MATCH("FUCT"&amp;"|"&amp;MAX(1,ROUND(COUNTIFS(MASTER!$B$4:$B$1463,"FUCT",MASTER!$G$4:$G$1463,"&lt;&gt;")*$A149*100/100,0)),MASTER!$AH$4:$AH$1463,0))),NA()),IF($B$4="SECONDARY",IFERROR(IF(INDEX(MASTER!$L$4:$L$1463,MATCH("FUCT"&amp;"|"&amp;MAX(1,ROUND(COUNTIFS(MASTER!$B$4:$B$1463,"FUCT",MASTER!$L$4:$L$1463,"&lt;&gt;")*$A149*100/100,0)),MASTER!$AI$4:$AI$1463,0))="",NA(),INDEX(MASTER!$L$4:$L$1463,MATCH("FUCT"&amp;"|"&amp;MAX(1,ROUND(COUNTIFS(MASTER!$B$4:$B$1463,"FUCT",MASTER!$L$4:$L$1463,"&lt;&gt;")*$A149*100/100,0)),MASTER!$AI$4:$AI$1463,0))),NA()))))</f>
        <v>3001</v>
      </c>
      <c r="C149" s="37">
        <f>IF($B$4="RESONANCE",IFERROR(IF(INDEX(MASTER!$I$4:$I$1463,MATCH("LEGENDS"&amp;"|"&amp;MAX(1,ROUND(COUNTIFS(MASTER!$B$4:$B$1463,"LEGENDS",MASTER!$I$4:$I$1463,"&lt;&gt;")*$A149*100/100,0)),MASTER!$Y$4:$Y$1463,0))="",NA(),INDEX(MASTER!$I$4:$I$1463,MATCH("LEGENDS"&amp;"|"&amp;MAX(1,ROUND(COUNTIFS(MASTER!$B$4:$B$1463,"LEGENDS",MASTER!$I$4:$I$1463,"&lt;&gt;")*$A149*100/100,0)),MASTER!$Y$4:$Y$1463,0))),NA()),IF($B$4="COMBAT RATING",IFERROR(IF(INDEX(MASTER!$G$4:$G$1463,MATCH("LEGENDS"&amp;"|"&amp;MAX(1,ROUND(COUNTIFS(MASTER!$B$4:$B$1463,"LEGENDS",MASTER!$G$4:$G$1463,"&lt;&gt;")*$A149*100/100,0)),MASTER!$AH$4:$AH$1463,0))="",NA(),INDEX(MASTER!$G$4:$G$1463,MATCH("LEGENDS"&amp;"|"&amp;MAX(1,ROUND(COUNTIFS(MASTER!$B$4:$B$1463,"LEGENDS",MASTER!$G$4:$G$1463,"&lt;&gt;")*$A149*100/100,0)),MASTER!$AH$4:$AH$1463,0))),NA()),IF($B$4="SECONDARY",IFERROR(IF(INDEX(MASTER!$L$4:$L$1463,MATCH("LEGENDS"&amp;"|"&amp;MAX(1,ROUND(COUNTIFS(MASTER!$B$4:$B$1463,"LEGENDS",MASTER!$L$4:$L$1463,"&lt;&gt;")*$A149*100/100,0)),MASTER!$AI$4:$AI$1463,0))="",NA(),INDEX(MASTER!$L$4:$L$1463,MATCH("LEGENDS"&amp;"|"&amp;MAX(1,ROUND(COUNTIFS(MASTER!$B$4:$B$1463,"LEGENDS",MASTER!$L$4:$L$1463,"&lt;&gt;")*$A149*100/100,0)),MASTER!$AI$4:$AI$1463,0))),NA()))))</f>
        <v>3220</v>
      </c>
      <c r="D149" s="37">
        <f>IF($B$4="RESONANCE",IFERROR(IF(INDEX(MASTER!$I$4:$I$1463,MATCH("VANGUARD"&amp;"|"&amp;MAX(1,ROUND(COUNTIFS(MASTER!$B$4:$B$1463,"VANGUARD",MASTER!$I$4:$I$1463,"&lt;&gt;")*$A149*100/100,0)),MASTER!$Y$4:$Y$1463,0))="",NA(),INDEX(MASTER!$I$4:$I$1463,MATCH("VANGUARD"&amp;"|"&amp;MAX(1,ROUND(COUNTIFS(MASTER!$B$4:$B$1463,"VANGUARD",MASTER!$I$4:$I$1463,"&lt;&gt;")*$A149*100/100,0)),MASTER!$Y$4:$Y$1463,0))),NA()),IF($B$4="COMBAT RATING",IFERROR(IF(INDEX(MASTER!$G$4:$G$1463,MATCH("VANGUARD"&amp;"|"&amp;MAX(1,ROUND(COUNTIFS(MASTER!$B$4:$B$1463,"VANGUARD",MASTER!$G$4:$G$1463,"&lt;&gt;")*$A149*100/100,0)),MASTER!$AH$4:$AH$1463,0))="",NA(),INDEX(MASTER!$G$4:$G$1463,MATCH("VANGUARD"&amp;"|"&amp;MAX(1,ROUND(COUNTIFS(MASTER!$B$4:$B$1463,"VANGUARD",MASTER!$G$4:$G$1463,"&lt;&gt;")*$A149*100/100,0)),MASTER!$AH$4:$AH$1463,0))),NA()),IF($B$4="SECONDARY",IFERROR(IF(INDEX(MASTER!$L$4:$L$1463,MATCH("VANGUARD"&amp;"|"&amp;MAX(1,ROUND(COUNTIFS(MASTER!$B$4:$B$1463,"VANGUARD",MASTER!$L$4:$L$1463,"&lt;&gt;")*$A149*100/100,0)),MASTER!$AI$4:$AI$1463,0))="",NA(),INDEX(MASTER!$L$4:$L$1463,MATCH("VANGUARD"&amp;"|"&amp;MAX(1,ROUND(COUNTIFS(MASTER!$B$4:$B$1463,"VANGUARD",MASTER!$L$4:$L$1463,"&lt;&gt;")*$A149*100/100,0)),MASTER!$AI$4:$AI$1463,0))),NA()))))</f>
        <v>3019</v>
      </c>
      <c r="E149" s="37">
        <f>IF($B$4="RESONANCE",IFERROR(IF(INDEX(MASTER!$I$4:$I$1463,MATCH("UNDYING"&amp;"|"&amp;MAX(1,ROUND(COUNTIFS(MASTER!$B$4:$B$1463,"UNDYING",MASTER!$I$4:$I$1463,"&lt;&gt;")*$A149*100/100,0)),MASTER!$Y$4:$Y$1463,0))="",NA(),INDEX(MASTER!$I$4:$I$1463,MATCH("UNDYING"&amp;"|"&amp;MAX(1,ROUND(COUNTIFS(MASTER!$B$4:$B$1463,"UNDYING",MASTER!$I$4:$I$1463,"&lt;&gt;")*$A149*100/100,0)),MASTER!$Y$4:$Y$1463,0))),NA()),IF($B$4="COMBAT RATING",IFERROR(IF(INDEX(MASTER!$G$4:$G$1463,MATCH("UNDYING"&amp;"|"&amp;MAX(1,ROUND(COUNTIFS(MASTER!$B$4:$B$1463,"UNDYING",MASTER!$G$4:$G$1463,"&lt;&gt;")*$A149*100/100,0)),MASTER!$AH$4:$AH$1463,0))="",NA(),INDEX(MASTER!$G$4:$G$1463,MATCH("UNDYING"&amp;"|"&amp;MAX(1,ROUND(COUNTIFS(MASTER!$B$4:$B$1463,"UNDYING",MASTER!$G$4:$G$1463,"&lt;&gt;")*$A149*100/100,0)),MASTER!$AH$4:$AH$1463,0))),NA()),IF($B$4="SECONDARY",IFERROR(IF(INDEX(MASTER!$L$4:$L$1463,MATCH("UNDYING"&amp;"|"&amp;MAX(1,ROUND(COUNTIFS(MASTER!$B$4:$B$1463,"UNDYING",MASTER!$L$4:$L$1463,"&lt;&gt;")*$A149*100/100,0)),MASTER!$AI$4:$AI$1463,0))="",NA(),INDEX(MASTER!$L$4:$L$1463,MATCH("UNDYING"&amp;"|"&amp;MAX(1,ROUND(COUNTIFS(MASTER!$B$4:$B$1463,"UNDYING",MASTER!$L$4:$L$1463,"&lt;&gt;")*$A149*100/100,0)),MASTER!$AI$4:$AI$1463,0))),NA()))))</f>
        <v>2506</v>
      </c>
      <c r="F149" s="37">
        <f>IF($B$4="RESONANCE",IFERROR(IF(INDEX(MASTER!$I$4:$I$1463,MATCH("SBG"&amp;"|"&amp;MAX(1,ROUND(COUNTIFS(MASTER!$B$4:$B$1463,"SBG",MASTER!$I$4:$I$1463,"&lt;&gt;")*$A149*100/100,0)),MASTER!$Y$4:$Y$1463,0))="",NA(),INDEX(MASTER!$I$4:$I$1463,MATCH("SBG"&amp;"|"&amp;MAX(1,ROUND(COUNTIFS(MASTER!$B$4:$B$1463,"SBG",MASTER!$I$4:$I$1463,"&lt;&gt;")*$A149*100/100,0)),MASTER!$Y$4:$Y$1463,0))),NA()),IF($B$4="COMBAT RATING",IFERROR(IF(INDEX(MASTER!$G$4:$G$1463,MATCH("SBG"&amp;"|"&amp;MAX(1,ROUND(COUNTIFS(MASTER!$B$4:$B$1463,"SBG",MASTER!$G$4:$G$1463,"&lt;&gt;")*$A149*100/100,0)),MASTER!$AH$4:$AH$1463,0))="",NA(),INDEX(MASTER!$G$4:$G$1463,MATCH("SBG"&amp;"|"&amp;MAX(1,ROUND(COUNTIFS(MASTER!$B$4:$B$1463,"SBG",MASTER!$G$4:$G$1463,"&lt;&gt;")*$A149*100/100,0)),MASTER!$AH$4:$AH$1463,0))),NA()),IF($B$4="SECONDARY",IFERROR(IF(INDEX(MASTER!$L$4:$L$1463,MATCH("SBG"&amp;"|"&amp;MAX(1,ROUND(COUNTIFS(MASTER!$B$4:$B$1463,"SBG",MASTER!$L$4:$L$1463,"&lt;&gt;")*$A149*100/100,0)),MASTER!$AI$4:$AI$1463,0))="",NA(),INDEX(MASTER!$L$4:$L$1463,MATCH("SBG"&amp;"|"&amp;MAX(1,ROUND(COUNTIFS(MASTER!$B$4:$B$1463,"SBG",MASTER!$L$4:$L$1463,"&lt;&gt;")*$A149*100/100,0)),MASTER!$AI$4:$AI$1463,0))),NA()))))</f>
        <v>3002</v>
      </c>
      <c r="G149" s="37">
        <f>IF($B$4="RESONANCE",IFERROR(IF(INDEX(MASTER!$I$4:$I$1463,MATCH("AZUKI"&amp;"|"&amp;MAX(1,ROUND(COUNTIFS(MASTER!$B$4:$B$1463,"AZUKI",MASTER!$I$4:$I$1463,"&lt;&gt;")*$A149*100/100,0)),MASTER!$Y$4:$Y$1463,0))="",NA(),INDEX(MASTER!$I$4:$I$1463,MATCH("AZUKI"&amp;"|"&amp;MAX(1,ROUND(COUNTIFS(MASTER!$B$4:$B$1463,"AZUKI",MASTER!$I$4:$I$1463,"&lt;&gt;")*$A149*100/100,0)),MASTER!$Y$4:$Y$1463,0))),NA()),IF($B$4="COMBAT RATING",IFERROR(IF(INDEX(MASTER!$G$4:$G$1463,MATCH("AZUKI"&amp;"|"&amp;MAX(1,ROUND(COUNTIFS(MASTER!$B$4:$B$1463,"AZUKI",MASTER!$G$4:$G$1463,"&lt;&gt;")*$A149*100/100,0)),MASTER!$AH$4:$AH$1463,0))="",NA(),INDEX(MASTER!$G$4:$G$1463,MATCH("AZUKI"&amp;"|"&amp;MAX(1,ROUND(COUNTIFS(MASTER!$B$4:$B$1463,"AZUKI",MASTER!$G$4:$G$1463,"&lt;&gt;")*$A149*100/100,0)),MASTER!$AH$4:$AH$1463,0))),NA()),IF($B$4="SECONDARY",IFERROR(IF(INDEX(MASTER!$L$4:$L$1463,MATCH("AZUKI"&amp;"|"&amp;MAX(1,ROUND(COUNTIFS(MASTER!$B$4:$B$1463,"AZUKI",MASTER!$L$4:$L$1463,"&lt;&gt;")*$A149*100/100,0)),MASTER!$AI$4:$AI$1463,0))="",NA(),INDEX(MASTER!$L$4:$L$1463,MATCH("AZUKI"&amp;"|"&amp;MAX(1,ROUND(COUNTIFS(MASTER!$B$4:$B$1463,"AZUKI",MASTER!$L$4:$L$1463,"&lt;&gt;")*$A149*100/100,0)),MASTER!$AI$4:$AI$1463,0))),NA()))))</f>
        <v>2969</v>
      </c>
      <c r="H149" s="37">
        <f>IF($B$4="RESONANCE",IFERROR(IF(INDEX(MASTER!$I$4:$I$1463,MATCH("RECKONING"&amp;"|"&amp;MAX(1,ROUND(COUNTIFS(MASTER!$B$4:$B$1463,"RECKONING",MASTER!$I$4:$I$1463,"&lt;&gt;")*$A149*100/100,0)),MASTER!$Y$4:$Y$1463,0))="",NA(),INDEX(MASTER!$I$4:$I$1463,MATCH("RECKONING"&amp;"|"&amp;MAX(1,ROUND(COUNTIFS(MASTER!$B$4:$B$1463,"RECKONING",MASTER!$I$4:$I$1463,"&lt;&gt;")*$A149*100/100,0)),MASTER!$Y$4:$Y$1463,0))),NA()),IF($B$4="COMBAT RATING",IFERROR(IF(INDEX(MASTER!$G$4:$G$1463,MATCH("RECKONING"&amp;"|"&amp;MAX(1,ROUND(COUNTIFS(MASTER!$B$4:$B$1463,"RECKONING",MASTER!$G$4:$G$1463,"&lt;&gt;")*$A149*100/100,0)),MASTER!$AH$4:$AH$1463,0))="",NA(),INDEX(MASTER!$G$4:$G$1463,MATCH("RECKONING"&amp;"|"&amp;MAX(1,ROUND(COUNTIFS(MASTER!$B$4:$B$1463,"RECKONING",MASTER!$G$4:$G$1463,"&lt;&gt;")*$A149*100/100,0)),MASTER!$AH$4:$AH$1463,0))),NA()),IF($B$4="SECONDARY",IFERROR(IF(INDEX(MASTER!$L$4:$L$1463,MATCH("RECKONING"&amp;"|"&amp;MAX(1,ROUND(COUNTIFS(MASTER!$B$4:$B$1463,"RECKONING",MASTER!$L$4:$L$1463,"&lt;&gt;")*$A149*100/100,0)),MASTER!$AI$4:$AI$1463,0))="",NA(),INDEX(MASTER!$L$4:$L$1463,MATCH("RECKONING"&amp;"|"&amp;MAX(1,ROUND(COUNTIFS(MASTER!$B$4:$B$1463,"RECKONING",MASTER!$L$4:$L$1463,"&lt;&gt;")*$A149*100/100,0)),MASTER!$AI$4:$AI$1463,0))),NA()))))</f>
        <v>2560</v>
      </c>
      <c r="I149" s="37">
        <f>IF($B$4="RESONANCE",IFERROR(IF(INDEX(MASTER!$I$4:$I$1463,MATCH("ACHERON"&amp;"|"&amp;MAX(1,ROUND(COUNTIFS(MASTER!$B$4:$B$1463,"ACHERON",MASTER!$I$4:$I$1463,"&lt;&gt;")*$A149*100/100,0)),MASTER!$Y$4:$Y$1463,0))="",NA(),INDEX(MASTER!$I$4:$I$1463,MATCH("ACHERON"&amp;"|"&amp;MAX(1,ROUND(COUNTIFS(MASTER!$B$4:$B$1463,"ACHERON",MASTER!$I$4:$I$1463,"&lt;&gt;")*$A149*100/100,0)),MASTER!$Y$4:$Y$1463,0))),NA()),IF($B$4="COMBAT RATING",IFERROR(IF(INDEX(MASTER!$G$4:$G$1463,MATCH("ACHERON"&amp;"|"&amp;MAX(1,ROUND(COUNTIFS(MASTER!$B$4:$B$1463,"ACHERON",MASTER!$G$4:$G$1463,"&lt;&gt;")*$A149*100/100,0)),MASTER!$AH$4:$AH$1463,0))="",NA(),INDEX(MASTER!$G$4:$G$1463,MATCH("ACHERON"&amp;"|"&amp;MAX(1,ROUND(COUNTIFS(MASTER!$B$4:$B$1463,"ACHERON",MASTER!$G$4:$G$1463,"&lt;&gt;")*$A149*100/100,0)),MASTER!$AH$4:$AH$1463,0))),NA()),IF($B$4="SECONDARY",IFERROR(IF(INDEX(MASTER!$L$4:$L$1463,MATCH("ACHERON"&amp;"|"&amp;MAX(1,ROUND(COUNTIFS(MASTER!$B$4:$B$1463,"ACHERON",MASTER!$L$4:$L$1463,"&lt;&gt;")*$A149*100/100,0)),MASTER!$AI$4:$AI$1463,0))="",NA(),INDEX(MASTER!$L$4:$L$1463,MATCH("ACHERON"&amp;"|"&amp;MAX(1,ROUND(COUNTIFS(MASTER!$B$4:$B$1463,"ACHERON",MASTER!$L$4:$L$1463,"&lt;&gt;")*$A149*100/100,0)),MASTER!$AI$4:$AI$1463,0))),NA()))))</f>
        <v>1271</v>
      </c>
      <c r="J149" s="37">
        <f>IF($B$4="RESONANCE",IFERROR(IF(INDEX(MASTER!$I$4:$I$1463,MATCH("INVICTUS"&amp;"|"&amp;MAX(1,ROUND(COUNTIFS(MASTER!$B$4:$B$1463,"INVICTUS",MASTER!$I$4:$I$1463,"&lt;&gt;")*$A149*100/100,0)),MASTER!$Y$4:$Y$1463,0))="",NA(),INDEX(MASTER!$I$4:$I$1463,MATCH("INVICTUS"&amp;"|"&amp;MAX(1,ROUND(COUNTIFS(MASTER!$B$4:$B$1463,"INVICTUS",MASTER!$I$4:$I$1463,"&lt;&gt;")*$A149*100/100,0)),MASTER!$Y$4:$Y$1463,0))),NA()),IF($B$4="COMBAT RATING",IFERROR(IF(INDEX(MASTER!$G$4:$G$1463,MATCH("INVICTUS"&amp;"|"&amp;MAX(1,ROUND(COUNTIFS(MASTER!$B$4:$B$1463,"INVICTUS",MASTER!$G$4:$G$1463,"&lt;&gt;")*$A149*100/100,0)),MASTER!$AH$4:$AH$1463,0))="",NA(),INDEX(MASTER!$G$4:$G$1463,MATCH("INVICTUS"&amp;"|"&amp;MAX(1,ROUND(COUNTIFS(MASTER!$B$4:$B$1463,"INVICTUS",MASTER!$G$4:$G$1463,"&lt;&gt;")*$A149*100/100,0)),MASTER!$AH$4:$AH$1463,0))),NA()),IF($B$4="SECONDARY",IFERROR(IF(INDEX(MASTER!$L$4:$L$1463,MATCH("INVICTUS"&amp;"|"&amp;MAX(1,ROUND(COUNTIFS(MASTER!$B$4:$B$1463,"INVICTUS",MASTER!$L$4:$L$1463,"&lt;&gt;")*$A149*100/100,0)),MASTER!$AI$4:$AI$1463,0))="",NA(),INDEX(MASTER!$L$4:$L$1463,MATCH("INVICTUS"&amp;"|"&amp;MAX(1,ROUND(COUNTIFS(MASTER!$B$4:$B$1463,"INVICTUS",MASTER!$L$4:$L$1463,"&lt;&gt;")*$A149*100/100,0)),MASTER!$AI$4:$AI$1463,0))),NA()))))</f>
        <v>1248</v>
      </c>
      <c r="K149" s="37">
        <f>IF($B$4="RESONANCE",IFERROR(IF(INDEX(MASTER!$I$4:$I$1463,MATCH("EMERALD LEAF TRIBE"&amp;"|"&amp;MAX(1,ROUND(COUNTIFS(MASTER!$B$4:$B$1463,"EMERALD LEAF TRIBE",MASTER!$I$4:$I$1463,"&lt;&gt;")*$A149*100/100,0)),MASTER!$Y$4:$Y$1463,0))="",NA(),INDEX(MASTER!$I$4:$I$1463,MATCH("EMERALD LEAF TRIBE"&amp;"|"&amp;MAX(1,ROUND(COUNTIFS(MASTER!$B$4:$B$1463,"EMERALD LEAF TRIBE",MASTER!$I$4:$I$1463,"&lt;&gt;")*$A149*100/100,0)),MASTER!$Y$4:$Y$1463,0))),NA()),IF($B$4="COMBAT RATING",IFERROR(IF(INDEX(MASTER!$G$4:$G$1463,MATCH("EMERALD LEAF TRIBE"&amp;"|"&amp;MAX(1,ROUND(COUNTIFS(MASTER!$B$4:$B$1463,"EMERALD LEAF TRIBE",MASTER!$G$4:$G$1463,"&lt;&gt;")*$A149*100/100,0)),MASTER!$AH$4:$AH$1463,0))="",NA(),INDEX(MASTER!$G$4:$G$1463,MATCH("EMERALD LEAF TRIBE"&amp;"|"&amp;MAX(1,ROUND(COUNTIFS(MASTER!$B$4:$B$1463,"EMERALD LEAF TRIBE",MASTER!$G$4:$G$1463,"&lt;&gt;")*$A149*100/100,0)),MASTER!$AH$4:$AH$1463,0))),NA()),IF($B$4="SECONDARY",IFERROR(IF(INDEX(MASTER!$L$4:$L$1463,MATCH("EMERALD LEAF TRIBE"&amp;"|"&amp;MAX(1,ROUND(COUNTIFS(MASTER!$B$4:$B$1463,"EMERALD LEAF TRIBE",MASTER!$L$4:$L$1463,"&lt;&gt;")*$A149*100/100,0)),MASTER!$AI$4:$AI$1463,0))="",NA(),INDEX(MASTER!$L$4:$L$1463,MATCH("EMERALD LEAF TRIBE"&amp;"|"&amp;MAX(1,ROUND(COUNTIFS(MASTER!$B$4:$B$1463,"EMERALD LEAF TRIBE",MASTER!$L$4:$L$1463,"&lt;&gt;")*$A149*100/100,0)),MASTER!$AI$4:$AI$1463,0))),NA()))))</f>
        <v>710</v>
      </c>
      <c r="L149" s="37">
        <f>IF($B$4="RESONANCE",IFERROR(IF(INDEX(MASTER!$I$4:$I$1463,MATCH("SUB ROSA"&amp;"|"&amp;MAX(1,ROUND(COUNTIFS(MASTER!$B$4:$B$1463,"SUB ROSA",MASTER!$I$4:$I$1463,"&lt;&gt;")*$A149*100/100,0)),MASTER!$Y$4:$Y$1463,0))="",NA(),INDEX(MASTER!$I$4:$I$1463,MATCH("SUB ROSA"&amp;"|"&amp;MAX(1,ROUND(COUNTIFS(MASTER!$B$4:$B$1463,"SUB ROSA",MASTER!$I$4:$I$1463,"&lt;&gt;")*$A149*100/100,0)),MASTER!$Y$4:$Y$1463,0))),NA()),IF($B$4="COMBAT RATING",IFERROR(IF(INDEX(MASTER!$G$4:$G$1463,MATCH("SUB ROSA"&amp;"|"&amp;MAX(1,ROUND(COUNTIFS(MASTER!$B$4:$B$1463,"SUB ROSA",MASTER!$G$4:$G$1463,"&lt;&gt;")*$A149*100/100,0)),MASTER!$AH$4:$AH$1463,0))="",NA(),INDEX(MASTER!$G$4:$G$1463,MATCH("SUB ROSA"&amp;"|"&amp;MAX(1,ROUND(COUNTIFS(MASTER!$B$4:$B$1463,"SUB ROSA",MASTER!$G$4:$G$1463,"&lt;&gt;")*$A149*100/100,0)),MASTER!$AH$4:$AH$1463,0))),NA()),IF($B$4="SECONDARY",IFERROR(IF(INDEX(MASTER!$L$4:$L$1463,MATCH("SUB ROSA"&amp;"|"&amp;MAX(1,ROUND(COUNTIFS(MASTER!$B$4:$B$1463,"SUB ROSA",MASTER!$L$4:$L$1463,"&lt;&gt;")*$A149*100/100,0)),MASTER!$AI$4:$AI$1463,0))="",NA(),INDEX(MASTER!$L$4:$L$1463,MATCH("SUB ROSA"&amp;"|"&amp;MAX(1,ROUND(COUNTIFS(MASTER!$B$4:$B$1463,"SUB ROSA",MASTER!$L$4:$L$1463,"&lt;&gt;")*$A149*100/100,0)),MASTER!$AI$4:$AI$1463,0))),NA()))))</f>
        <v>849</v>
      </c>
      <c r="M149" s="37">
        <f>IF($B$4="RESONANCE",IFERROR(IF(INDEX(MASTER!$I$4:$I$1463,MATCH("VENGEANCE"&amp;"|"&amp;MAX(1,ROUND(COUNTIFS(MASTER!$B$4:$B$1463,"VENGEANCE",MASTER!$I$4:$I$1463,"&lt;&gt;")*$A149*100/100,0)),MASTER!$Y$4:$Y$1463,0))="",NA(),INDEX(MASTER!$I$4:$I$1463,MATCH("VENGEANCE"&amp;"|"&amp;MAX(1,ROUND(COUNTIFS(MASTER!$B$4:$B$1463,"VENGEANCE",MASTER!$I$4:$I$1463,"&lt;&gt;")*$A149*100/100,0)),MASTER!$Y$4:$Y$1463,0))),NA()),IF($B$4="COMBAT RATING",IFERROR(IF(INDEX(MASTER!$G$4:$G$1463,MATCH("VENGEANCE"&amp;"|"&amp;MAX(1,ROUND(COUNTIFS(MASTER!$B$4:$B$1463,"VENGEANCE",MASTER!$G$4:$G$1463,"&lt;&gt;")*$A149*100/100,0)),MASTER!$AH$4:$AH$1463,0))="",NA(),INDEX(MASTER!$G$4:$G$1463,MATCH("VENGEANCE"&amp;"|"&amp;MAX(1,ROUND(COUNTIFS(MASTER!$B$4:$B$1463,"VENGEANCE",MASTER!$G$4:$G$1463,"&lt;&gt;")*$A149*100/100,0)),MASTER!$AH$4:$AH$1463,0))),NA()),IF($B$4="SECONDARY",IFERROR(IF(INDEX(MASTER!$L$4:$L$1463,MATCH("VENGEANCE"&amp;"|"&amp;MAX(1,ROUND(COUNTIFS(MASTER!$B$4:$B$1463,"VENGEANCE",MASTER!$L$4:$L$1463,"&lt;&gt;")*$A149*100/100,0)),MASTER!$AI$4:$AI$1463,0))="",NA(),INDEX(MASTER!$L$4:$L$1463,MATCH("VENGEANCE"&amp;"|"&amp;MAX(1,ROUND(COUNTIFS(MASTER!$B$4:$B$1463,"VENGEANCE",MASTER!$L$4:$L$1463,"&lt;&gt;")*$A149*100/100,0)),MASTER!$AI$4:$AI$1463,0))),NA()))))</f>
        <v>1717</v>
      </c>
      <c r="N149" s="37">
        <f>IF($B$4="RESONANCE",IFERROR(IF(INDEX(MASTER!$I$4:$I$1463,MATCH("VENDETTA"&amp;"|"&amp;MAX(1,ROUND(COUNTIFS(MASTER!$B$4:$B$1463,"VENDETTA",MASTER!$I$4:$I$1463,"&lt;&gt;")*$A149*100/100,0)),MASTER!$Y$4:$Y$1463,0))="",NA(),INDEX(MASTER!$I$4:$I$1463,MATCH("VENDETTA"&amp;"|"&amp;MAX(1,ROUND(COUNTIFS(MASTER!$B$4:$B$1463,"VENDETTA",MASTER!$I$4:$I$1463,"&lt;&gt;")*$A149*100/100,0)),MASTER!$Y$4:$Y$1463,0))),NA()),IF($B$4="COMBAT RATING",IFERROR(IF(INDEX(MASTER!$G$4:$G$1463,MATCH("VENDETTA"&amp;"|"&amp;MAX(1,ROUND(COUNTIFS(MASTER!$B$4:$B$1463,"VENDETTA",MASTER!$G$4:$G$1463,"&lt;&gt;")*$A149*100/100,0)),MASTER!$AH$4:$AH$1463,0))="",NA(),INDEX(MASTER!$G$4:$G$1463,MATCH("VENDETTA"&amp;"|"&amp;MAX(1,ROUND(COUNTIFS(MASTER!$B$4:$B$1463,"VENDETTA",MASTER!$G$4:$G$1463,"&lt;&gt;")*$A149*100/100,0)),MASTER!$AH$4:$AH$1463,0))),NA()),IF($B$4="SECONDARY",IFERROR(IF(INDEX(MASTER!$L$4:$L$1463,MATCH("VENDETTA"&amp;"|"&amp;MAX(1,ROUND(COUNTIFS(MASTER!$B$4:$B$1463,"VENDETTA",MASTER!$L$4:$L$1463,"&lt;&gt;")*$A149*100/100,0)),MASTER!$AI$4:$AI$1463,0))="",NA(),INDEX(MASTER!$L$4:$L$1463,MATCH("VENDETTA"&amp;"|"&amp;MAX(1,ROUND(COUNTIFS(MASTER!$B$4:$B$1463,"VENDETTA",MASTER!$L$4:$L$1463,"&lt;&gt;")*$A149*100/100,0)),MASTER!$AI$4:$AI$1463,0))),NA()))))</f>
        <v>945</v>
      </c>
      <c r="O149" s="37">
        <f>IF($B$4="RESONANCE",IFERROR(IF(INDEX(MASTER!$I$4:$I$1463,MATCH("ZOMBIES"&amp;"|"&amp;MAX(1,ROUND(COUNTIFS(MASTER!$B$4:$B$1463,"ZOMBIES",MASTER!$I$4:$I$1463,"&lt;&gt;")*$A149*100/100,0)),MASTER!$Y$4:$Y$1463,0))="",NA(),INDEX(MASTER!$I$4:$I$1463,MATCH("ZOMBIES"&amp;"|"&amp;MAX(1,ROUND(COUNTIFS(MASTER!$B$4:$B$1463,"ZOMBIES",MASTER!$I$4:$I$1463,"&lt;&gt;")*$A149*100/100,0)),MASTER!$Y$4:$Y$1463,0))),NA()),IF($B$4="COMBAT RATING",IFERROR(IF(INDEX(MASTER!$G$4:$G$1463,MATCH("ZOMBIES"&amp;"|"&amp;MAX(1,ROUND(COUNTIFS(MASTER!$B$4:$B$1463,"ZOMBIES",MASTER!$G$4:$G$1463,"&lt;&gt;")*$A149*100/100,0)),MASTER!$AH$4:$AH$1463,0))="",NA(),INDEX(MASTER!$G$4:$G$1463,MATCH("ZOMBIES"&amp;"|"&amp;MAX(1,ROUND(COUNTIFS(MASTER!$B$4:$B$1463,"ZOMBIES",MASTER!$G$4:$G$1463,"&lt;&gt;")*$A149*100/100,0)),MASTER!$AH$4:$AH$1463,0))),NA()),IF($B$4="SECONDARY",IFERROR(IF(INDEX(MASTER!$L$4:$L$1463,MATCH("ZOMBIES"&amp;"|"&amp;MAX(1,ROUND(COUNTIFS(MASTER!$B$4:$B$1463,"ZOMBIES",MASTER!$L$4:$L$1463,"&lt;&gt;")*$A149*100/100,0)),MASTER!$AI$4:$AI$1463,0))="",NA(),INDEX(MASTER!$L$4:$L$1463,MATCH("ZOMBIES"&amp;"|"&amp;MAX(1,ROUND(COUNTIFS(MASTER!$B$4:$B$1463,"ZOMBIES",MASTER!$L$4:$L$1463,"&lt;&gt;")*$A149*100/100,0)),MASTER!$AI$4:$AI$1463,0))),NA()))))</f>
        <v>730</v>
      </c>
      <c r="P149" s="37">
        <f>IF($B$4="RESONANCE",IFERROR(IF(INDEX(MASTER!$I$4:$I$1463,MATCH("FUCT"&amp;"|"&amp;MAX(1,ROUND(COUNTIFS(MASTER!$B$4:$B$1463,"FUCT",MASTER!$I$4:$I$1463,"&lt;&gt;")*$A149*100/100,0)),MASTER!$Y$4:$Y$1463,0))="",NA(),INDEX(MASTER!$I$4:$I$1463,MATCH("FUCT"&amp;"|"&amp;MAX(1,ROUND(COUNTIFS(MASTER!$B$4:$B$1463,"FUCT",MASTER!$I$4:$I$1463,"&lt;&gt;")*$A149*100/100,0)),MASTER!$Y$4:$Y$1463,0))),NA()),IF($B$4="COMBAT RATING",IFERROR(IF(INDEX(MASTER!$G$4:$G$1463,MATCH("FUCT"&amp;"|"&amp;MAX(1,ROUND(COUNTIFS(MASTER!$B$4:$B$1463,"FUCT",MASTER!$G$4:$G$1463,"&lt;&gt;")*$A149*100/100,0)),MASTER!$AH$4:$AH$1463,0))="",NA(),INDEX(MASTER!$G$4:$G$1463,MATCH("FUCT"&amp;"|"&amp;MAX(1,ROUND(COUNTIFS(MASTER!$B$4:$B$1463,"FUCT",MASTER!$G$4:$G$1463,"&lt;&gt;")*$A149*100/100,0)),MASTER!$AH$4:$AH$1463,0))),NA()),IF($B$4="SECONDARY",IFERROR(IF(INDEX(MASTER!$L$4:$L$1463,MATCH("FUCT"&amp;"|"&amp;MAX(1,ROUND(COUNTIFS(MASTER!$B$4:$B$1463,"FUCT",MASTER!$L$4:$L$1463,"&lt;&gt;")*$A149*100/100,0)),MASTER!$AI$4:$AI$1463,0))="",NA(),INDEX(MASTER!$L$4:$L$1463,MATCH("FUCT"&amp;"|"&amp;MAX(1,ROUND(COUNTIFS(MASTER!$B$4:$B$1463,"FUCT",MASTER!$L$4:$L$1463,"&lt;&gt;")*$A149*100/100,0)),MASTER!$AI$4:$AI$1463,0))),NA()))))</f>
        <v>3001</v>
      </c>
      <c r="Q149" s="37">
        <f>IF($B$4="RESONANCE",IFERROR(IF(INDEX(MASTER!$I$4:$I$1463,MATCH($E$4&amp;"|"&amp;MAX(1,ROUND(COUNTIFS(MASTER!$B$4:$B$1463,$E$4,MASTER!$I$4:$I$1463,"&lt;&gt;")*$A149*100/100,0)),MASTER!$Y$4:$Y$1463,0))="",NA(),INDEX(MASTER!$I$4:$I$1463,MATCH($E$4&amp;"|"&amp;MAX(1,ROUND(COUNTIFS(MASTER!$B$4:$B$1463,$E$4,MASTER!$I$4:$I$1463,"&lt;&gt;")*$A149*100/100,0)),MASTER!$Y$4:$Y$1463,0))),NA()),IF($B$4="COMBAT RATING",IFERROR(IF(INDEX(MASTER!$G$4:$G$1463,MATCH($E$4&amp;"|"&amp;MAX(1,ROUND(COUNTIFS(MASTER!$B$4:$B$1463,$E$4,MASTER!$G$4:$G$1463,"&lt;&gt;")*$A149*100/100,0)),MASTER!$AH$4:$AH$1463,0))="",NA(),INDEX(MASTER!$G$4:$G$1463,MATCH($E$4&amp;"|"&amp;MAX(1,ROUND(COUNTIFS(MASTER!$B$4:$B$1463,$E$4,MASTER!$G$4:$G$1463,"&lt;&gt;")*$A149*100/100,0)),MASTER!$AH$4:$AH$1463,0))),NA()),IF($B$4="SECONDARY",IFERROR(IF(INDEX(MASTER!$L$4:$L$1463,MATCH($E$4&amp;"|"&amp;MAX(1,ROUND(COUNTIFS(MASTER!$B$4:$B$1463,$E$4,MASTER!$L$4:$L$1463,"&lt;&gt;")*$A149*100/100,0)),MASTER!$AI$4:$AI$1463,0))="",NA(),INDEX(MASTER!$L$4:$L$1463,MATCH($E$4&amp;"|"&amp;MAX(1,ROUND(COUNTIFS(MASTER!$B$4:$B$1463,$E$4,MASTER!$L$4:$L$1463,"&lt;&gt;")*$A149*100/100,0)),MASTER!$AI$4:$AI$1463,0))),NA()))))</f>
        <v>2506</v>
      </c>
    </row>
    <row r="150" spans="1:17" hidden="1">
      <c r="A150" s="36">
        <v>0.95</v>
      </c>
      <c r="B150" s="37">
        <f>IF($B$4="RESONANCE",IFERROR(IF(INDEX(MASTER!$I$4:$I$1463,MATCH("FUCT"&amp;"|"&amp;MAX(1,ROUND(COUNTIFS(MASTER!$B$4:$B$1463,"FUCT",MASTER!$I$4:$I$1463,"&lt;&gt;")*$A150*100/100,0)),MASTER!$Y$4:$Y$1463,0))="",NA(),INDEX(MASTER!$I$4:$I$1463,MATCH("FUCT"&amp;"|"&amp;MAX(1,ROUND(COUNTIFS(MASTER!$B$4:$B$1463,"FUCT",MASTER!$I$4:$I$1463,"&lt;&gt;")*$A150*100/100,0)),MASTER!$Y$4:$Y$1463,0))),NA()),IF($B$4="COMBAT RATING",IFERROR(IF(INDEX(MASTER!$G$4:$G$1463,MATCH("FUCT"&amp;"|"&amp;MAX(1,ROUND(COUNTIFS(MASTER!$B$4:$B$1463,"FUCT",MASTER!$G$4:$G$1463,"&lt;&gt;")*$A150*100/100,0)),MASTER!$AH$4:$AH$1463,0))="",NA(),INDEX(MASTER!$G$4:$G$1463,MATCH("FUCT"&amp;"|"&amp;MAX(1,ROUND(COUNTIFS(MASTER!$B$4:$B$1463,"FUCT",MASTER!$G$4:$G$1463,"&lt;&gt;")*$A150*100/100,0)),MASTER!$AH$4:$AH$1463,0))),NA()),IF($B$4="SECONDARY",IFERROR(IF(INDEX(MASTER!$L$4:$L$1463,MATCH("FUCT"&amp;"|"&amp;MAX(1,ROUND(COUNTIFS(MASTER!$B$4:$B$1463,"FUCT",MASTER!$L$4:$L$1463,"&lt;&gt;")*$A150*100/100,0)),MASTER!$AI$4:$AI$1463,0))="",NA(),INDEX(MASTER!$L$4:$L$1463,MATCH("FUCT"&amp;"|"&amp;MAX(1,ROUND(COUNTIFS(MASTER!$B$4:$B$1463,"FUCT",MASTER!$L$4:$L$1463,"&lt;&gt;")*$A150*100/100,0)),MASTER!$AI$4:$AI$1463,0))),NA()))))</f>
        <v>2922</v>
      </c>
      <c r="C150" s="37">
        <f>IF($B$4="RESONANCE",IFERROR(IF(INDEX(MASTER!$I$4:$I$1463,MATCH("LEGENDS"&amp;"|"&amp;MAX(1,ROUND(COUNTIFS(MASTER!$B$4:$B$1463,"LEGENDS",MASTER!$I$4:$I$1463,"&lt;&gt;")*$A150*100/100,0)),MASTER!$Y$4:$Y$1463,0))="",NA(),INDEX(MASTER!$I$4:$I$1463,MATCH("LEGENDS"&amp;"|"&amp;MAX(1,ROUND(COUNTIFS(MASTER!$B$4:$B$1463,"LEGENDS",MASTER!$I$4:$I$1463,"&lt;&gt;")*$A150*100/100,0)),MASTER!$Y$4:$Y$1463,0))),NA()),IF($B$4="COMBAT RATING",IFERROR(IF(INDEX(MASTER!$G$4:$G$1463,MATCH("LEGENDS"&amp;"|"&amp;MAX(1,ROUND(COUNTIFS(MASTER!$B$4:$B$1463,"LEGENDS",MASTER!$G$4:$G$1463,"&lt;&gt;")*$A150*100/100,0)),MASTER!$AH$4:$AH$1463,0))="",NA(),INDEX(MASTER!$G$4:$G$1463,MATCH("LEGENDS"&amp;"|"&amp;MAX(1,ROUND(COUNTIFS(MASTER!$B$4:$B$1463,"LEGENDS",MASTER!$G$4:$G$1463,"&lt;&gt;")*$A150*100/100,0)),MASTER!$AH$4:$AH$1463,0))),NA()),IF($B$4="SECONDARY",IFERROR(IF(INDEX(MASTER!$L$4:$L$1463,MATCH("LEGENDS"&amp;"|"&amp;MAX(1,ROUND(COUNTIFS(MASTER!$B$4:$B$1463,"LEGENDS",MASTER!$L$4:$L$1463,"&lt;&gt;")*$A150*100/100,0)),MASTER!$AI$4:$AI$1463,0))="",NA(),INDEX(MASTER!$L$4:$L$1463,MATCH("LEGENDS"&amp;"|"&amp;MAX(1,ROUND(COUNTIFS(MASTER!$B$4:$B$1463,"LEGENDS",MASTER!$L$4:$L$1463,"&lt;&gt;")*$A150*100/100,0)),MASTER!$AI$4:$AI$1463,0))),NA()))))</f>
        <v>3150</v>
      </c>
      <c r="D150" s="37">
        <f>IF($B$4="RESONANCE",IFERROR(IF(INDEX(MASTER!$I$4:$I$1463,MATCH("VANGUARD"&amp;"|"&amp;MAX(1,ROUND(COUNTIFS(MASTER!$B$4:$B$1463,"VANGUARD",MASTER!$I$4:$I$1463,"&lt;&gt;")*$A150*100/100,0)),MASTER!$Y$4:$Y$1463,0))="",NA(),INDEX(MASTER!$I$4:$I$1463,MATCH("VANGUARD"&amp;"|"&amp;MAX(1,ROUND(COUNTIFS(MASTER!$B$4:$B$1463,"VANGUARD",MASTER!$I$4:$I$1463,"&lt;&gt;")*$A150*100/100,0)),MASTER!$Y$4:$Y$1463,0))),NA()),IF($B$4="COMBAT RATING",IFERROR(IF(INDEX(MASTER!$G$4:$G$1463,MATCH("VANGUARD"&amp;"|"&amp;MAX(1,ROUND(COUNTIFS(MASTER!$B$4:$B$1463,"VANGUARD",MASTER!$G$4:$G$1463,"&lt;&gt;")*$A150*100/100,0)),MASTER!$AH$4:$AH$1463,0))="",NA(),INDEX(MASTER!$G$4:$G$1463,MATCH("VANGUARD"&amp;"|"&amp;MAX(1,ROUND(COUNTIFS(MASTER!$B$4:$B$1463,"VANGUARD",MASTER!$G$4:$G$1463,"&lt;&gt;")*$A150*100/100,0)),MASTER!$AH$4:$AH$1463,0))),NA()),IF($B$4="SECONDARY",IFERROR(IF(INDEX(MASTER!$L$4:$L$1463,MATCH("VANGUARD"&amp;"|"&amp;MAX(1,ROUND(COUNTIFS(MASTER!$B$4:$B$1463,"VANGUARD",MASTER!$L$4:$L$1463,"&lt;&gt;")*$A150*100/100,0)),MASTER!$AI$4:$AI$1463,0))="",NA(),INDEX(MASTER!$L$4:$L$1463,MATCH("VANGUARD"&amp;"|"&amp;MAX(1,ROUND(COUNTIFS(MASTER!$B$4:$B$1463,"VANGUARD",MASTER!$L$4:$L$1463,"&lt;&gt;")*$A150*100/100,0)),MASTER!$AI$4:$AI$1463,0))),NA()))))</f>
        <v>3012</v>
      </c>
      <c r="E150" s="37">
        <f>IF($B$4="RESONANCE",IFERROR(IF(INDEX(MASTER!$I$4:$I$1463,MATCH("UNDYING"&amp;"|"&amp;MAX(1,ROUND(COUNTIFS(MASTER!$B$4:$B$1463,"UNDYING",MASTER!$I$4:$I$1463,"&lt;&gt;")*$A150*100/100,0)),MASTER!$Y$4:$Y$1463,0))="",NA(),INDEX(MASTER!$I$4:$I$1463,MATCH("UNDYING"&amp;"|"&amp;MAX(1,ROUND(COUNTIFS(MASTER!$B$4:$B$1463,"UNDYING",MASTER!$I$4:$I$1463,"&lt;&gt;")*$A150*100/100,0)),MASTER!$Y$4:$Y$1463,0))),NA()),IF($B$4="COMBAT RATING",IFERROR(IF(INDEX(MASTER!$G$4:$G$1463,MATCH("UNDYING"&amp;"|"&amp;MAX(1,ROUND(COUNTIFS(MASTER!$B$4:$B$1463,"UNDYING",MASTER!$G$4:$G$1463,"&lt;&gt;")*$A150*100/100,0)),MASTER!$AH$4:$AH$1463,0))="",NA(),INDEX(MASTER!$G$4:$G$1463,MATCH("UNDYING"&amp;"|"&amp;MAX(1,ROUND(COUNTIFS(MASTER!$B$4:$B$1463,"UNDYING",MASTER!$G$4:$G$1463,"&lt;&gt;")*$A150*100/100,0)),MASTER!$AH$4:$AH$1463,0))),NA()),IF($B$4="SECONDARY",IFERROR(IF(INDEX(MASTER!$L$4:$L$1463,MATCH("UNDYING"&amp;"|"&amp;MAX(1,ROUND(COUNTIFS(MASTER!$B$4:$B$1463,"UNDYING",MASTER!$L$4:$L$1463,"&lt;&gt;")*$A150*100/100,0)),MASTER!$AI$4:$AI$1463,0))="",NA(),INDEX(MASTER!$L$4:$L$1463,MATCH("UNDYING"&amp;"|"&amp;MAX(1,ROUND(COUNTIFS(MASTER!$B$4:$B$1463,"UNDYING",MASTER!$L$4:$L$1463,"&lt;&gt;")*$A150*100/100,0)),MASTER!$AI$4:$AI$1463,0))),NA()))))</f>
        <v>2314</v>
      </c>
      <c r="F150" s="37">
        <f>IF($B$4="RESONANCE",IFERROR(IF(INDEX(MASTER!$I$4:$I$1463,MATCH("SBG"&amp;"|"&amp;MAX(1,ROUND(COUNTIFS(MASTER!$B$4:$B$1463,"SBG",MASTER!$I$4:$I$1463,"&lt;&gt;")*$A150*100/100,0)),MASTER!$Y$4:$Y$1463,0))="",NA(),INDEX(MASTER!$I$4:$I$1463,MATCH("SBG"&amp;"|"&amp;MAX(1,ROUND(COUNTIFS(MASTER!$B$4:$B$1463,"SBG",MASTER!$I$4:$I$1463,"&lt;&gt;")*$A150*100/100,0)),MASTER!$Y$4:$Y$1463,0))),NA()),IF($B$4="COMBAT RATING",IFERROR(IF(INDEX(MASTER!$G$4:$G$1463,MATCH("SBG"&amp;"|"&amp;MAX(1,ROUND(COUNTIFS(MASTER!$B$4:$B$1463,"SBG",MASTER!$G$4:$G$1463,"&lt;&gt;")*$A150*100/100,0)),MASTER!$AH$4:$AH$1463,0))="",NA(),INDEX(MASTER!$G$4:$G$1463,MATCH("SBG"&amp;"|"&amp;MAX(1,ROUND(COUNTIFS(MASTER!$B$4:$B$1463,"SBG",MASTER!$G$4:$G$1463,"&lt;&gt;")*$A150*100/100,0)),MASTER!$AH$4:$AH$1463,0))),NA()),IF($B$4="SECONDARY",IFERROR(IF(INDEX(MASTER!$L$4:$L$1463,MATCH("SBG"&amp;"|"&amp;MAX(1,ROUND(COUNTIFS(MASTER!$B$4:$B$1463,"SBG",MASTER!$L$4:$L$1463,"&lt;&gt;")*$A150*100/100,0)),MASTER!$AI$4:$AI$1463,0))="",NA(),INDEX(MASTER!$L$4:$L$1463,MATCH("SBG"&amp;"|"&amp;MAX(1,ROUND(COUNTIFS(MASTER!$B$4:$B$1463,"SBG",MASTER!$L$4:$L$1463,"&lt;&gt;")*$A150*100/100,0)),MASTER!$AI$4:$AI$1463,0))),NA()))))</f>
        <v>2964</v>
      </c>
      <c r="G150" s="37">
        <f>IF($B$4="RESONANCE",IFERROR(IF(INDEX(MASTER!$I$4:$I$1463,MATCH("AZUKI"&amp;"|"&amp;MAX(1,ROUND(COUNTIFS(MASTER!$B$4:$B$1463,"AZUKI",MASTER!$I$4:$I$1463,"&lt;&gt;")*$A150*100/100,0)),MASTER!$Y$4:$Y$1463,0))="",NA(),INDEX(MASTER!$I$4:$I$1463,MATCH("AZUKI"&amp;"|"&amp;MAX(1,ROUND(COUNTIFS(MASTER!$B$4:$B$1463,"AZUKI",MASTER!$I$4:$I$1463,"&lt;&gt;")*$A150*100/100,0)),MASTER!$Y$4:$Y$1463,0))),NA()),IF($B$4="COMBAT RATING",IFERROR(IF(INDEX(MASTER!$G$4:$G$1463,MATCH("AZUKI"&amp;"|"&amp;MAX(1,ROUND(COUNTIFS(MASTER!$B$4:$B$1463,"AZUKI",MASTER!$G$4:$G$1463,"&lt;&gt;")*$A150*100/100,0)),MASTER!$AH$4:$AH$1463,0))="",NA(),INDEX(MASTER!$G$4:$G$1463,MATCH("AZUKI"&amp;"|"&amp;MAX(1,ROUND(COUNTIFS(MASTER!$B$4:$B$1463,"AZUKI",MASTER!$G$4:$G$1463,"&lt;&gt;")*$A150*100/100,0)),MASTER!$AH$4:$AH$1463,0))),NA()),IF($B$4="SECONDARY",IFERROR(IF(INDEX(MASTER!$L$4:$L$1463,MATCH("AZUKI"&amp;"|"&amp;MAX(1,ROUND(COUNTIFS(MASTER!$B$4:$B$1463,"AZUKI",MASTER!$L$4:$L$1463,"&lt;&gt;")*$A150*100/100,0)),MASTER!$AI$4:$AI$1463,0))="",NA(),INDEX(MASTER!$L$4:$L$1463,MATCH("AZUKI"&amp;"|"&amp;MAX(1,ROUND(COUNTIFS(MASTER!$B$4:$B$1463,"AZUKI",MASTER!$L$4:$L$1463,"&lt;&gt;")*$A150*100/100,0)),MASTER!$AI$4:$AI$1463,0))),NA()))))</f>
        <v>2951</v>
      </c>
      <c r="H150" s="37">
        <f>IF($B$4="RESONANCE",IFERROR(IF(INDEX(MASTER!$I$4:$I$1463,MATCH("RECKONING"&amp;"|"&amp;MAX(1,ROUND(COUNTIFS(MASTER!$B$4:$B$1463,"RECKONING",MASTER!$I$4:$I$1463,"&lt;&gt;")*$A150*100/100,0)),MASTER!$Y$4:$Y$1463,0))="",NA(),INDEX(MASTER!$I$4:$I$1463,MATCH("RECKONING"&amp;"|"&amp;MAX(1,ROUND(COUNTIFS(MASTER!$B$4:$B$1463,"RECKONING",MASTER!$I$4:$I$1463,"&lt;&gt;")*$A150*100/100,0)),MASTER!$Y$4:$Y$1463,0))),NA()),IF($B$4="COMBAT RATING",IFERROR(IF(INDEX(MASTER!$G$4:$G$1463,MATCH("RECKONING"&amp;"|"&amp;MAX(1,ROUND(COUNTIFS(MASTER!$B$4:$B$1463,"RECKONING",MASTER!$G$4:$G$1463,"&lt;&gt;")*$A150*100/100,0)),MASTER!$AH$4:$AH$1463,0))="",NA(),INDEX(MASTER!$G$4:$G$1463,MATCH("RECKONING"&amp;"|"&amp;MAX(1,ROUND(COUNTIFS(MASTER!$B$4:$B$1463,"RECKONING",MASTER!$G$4:$G$1463,"&lt;&gt;")*$A150*100/100,0)),MASTER!$AH$4:$AH$1463,0))),NA()),IF($B$4="SECONDARY",IFERROR(IF(INDEX(MASTER!$L$4:$L$1463,MATCH("RECKONING"&amp;"|"&amp;MAX(1,ROUND(COUNTIFS(MASTER!$B$4:$B$1463,"RECKONING",MASTER!$L$4:$L$1463,"&lt;&gt;")*$A150*100/100,0)),MASTER!$AI$4:$AI$1463,0))="",NA(),INDEX(MASTER!$L$4:$L$1463,MATCH("RECKONING"&amp;"|"&amp;MAX(1,ROUND(COUNTIFS(MASTER!$B$4:$B$1463,"RECKONING",MASTER!$L$4:$L$1463,"&lt;&gt;")*$A150*100/100,0)),MASTER!$AI$4:$AI$1463,0))),NA()))))</f>
        <v>2480</v>
      </c>
      <c r="I150" s="37">
        <f>IF($B$4="RESONANCE",IFERROR(IF(INDEX(MASTER!$I$4:$I$1463,MATCH("ACHERON"&amp;"|"&amp;MAX(1,ROUND(COUNTIFS(MASTER!$B$4:$B$1463,"ACHERON",MASTER!$I$4:$I$1463,"&lt;&gt;")*$A150*100/100,0)),MASTER!$Y$4:$Y$1463,0))="",NA(),INDEX(MASTER!$I$4:$I$1463,MATCH("ACHERON"&amp;"|"&amp;MAX(1,ROUND(COUNTIFS(MASTER!$B$4:$B$1463,"ACHERON",MASTER!$I$4:$I$1463,"&lt;&gt;")*$A150*100/100,0)),MASTER!$Y$4:$Y$1463,0))),NA()),IF($B$4="COMBAT RATING",IFERROR(IF(INDEX(MASTER!$G$4:$G$1463,MATCH("ACHERON"&amp;"|"&amp;MAX(1,ROUND(COUNTIFS(MASTER!$B$4:$B$1463,"ACHERON",MASTER!$G$4:$G$1463,"&lt;&gt;")*$A150*100/100,0)),MASTER!$AH$4:$AH$1463,0))="",NA(),INDEX(MASTER!$G$4:$G$1463,MATCH("ACHERON"&amp;"|"&amp;MAX(1,ROUND(COUNTIFS(MASTER!$B$4:$B$1463,"ACHERON",MASTER!$G$4:$G$1463,"&lt;&gt;")*$A150*100/100,0)),MASTER!$AH$4:$AH$1463,0))),NA()),IF($B$4="SECONDARY",IFERROR(IF(INDEX(MASTER!$L$4:$L$1463,MATCH("ACHERON"&amp;"|"&amp;MAX(1,ROUND(COUNTIFS(MASTER!$B$4:$B$1463,"ACHERON",MASTER!$L$4:$L$1463,"&lt;&gt;")*$A150*100/100,0)),MASTER!$AI$4:$AI$1463,0))="",NA(),INDEX(MASTER!$L$4:$L$1463,MATCH("ACHERON"&amp;"|"&amp;MAX(1,ROUND(COUNTIFS(MASTER!$B$4:$B$1463,"ACHERON",MASTER!$L$4:$L$1463,"&lt;&gt;")*$A150*100/100,0)),MASTER!$AI$4:$AI$1463,0))),NA()))))</f>
        <v>1195</v>
      </c>
      <c r="J150" s="37">
        <f>IF($B$4="RESONANCE",IFERROR(IF(INDEX(MASTER!$I$4:$I$1463,MATCH("INVICTUS"&amp;"|"&amp;MAX(1,ROUND(COUNTIFS(MASTER!$B$4:$B$1463,"INVICTUS",MASTER!$I$4:$I$1463,"&lt;&gt;")*$A150*100/100,0)),MASTER!$Y$4:$Y$1463,0))="",NA(),INDEX(MASTER!$I$4:$I$1463,MATCH("INVICTUS"&amp;"|"&amp;MAX(1,ROUND(COUNTIFS(MASTER!$B$4:$B$1463,"INVICTUS",MASTER!$I$4:$I$1463,"&lt;&gt;")*$A150*100/100,0)),MASTER!$Y$4:$Y$1463,0))),NA()),IF($B$4="COMBAT RATING",IFERROR(IF(INDEX(MASTER!$G$4:$G$1463,MATCH("INVICTUS"&amp;"|"&amp;MAX(1,ROUND(COUNTIFS(MASTER!$B$4:$B$1463,"INVICTUS",MASTER!$G$4:$G$1463,"&lt;&gt;")*$A150*100/100,0)),MASTER!$AH$4:$AH$1463,0))="",NA(),INDEX(MASTER!$G$4:$G$1463,MATCH("INVICTUS"&amp;"|"&amp;MAX(1,ROUND(COUNTIFS(MASTER!$B$4:$B$1463,"INVICTUS",MASTER!$G$4:$G$1463,"&lt;&gt;")*$A150*100/100,0)),MASTER!$AH$4:$AH$1463,0))),NA()),IF($B$4="SECONDARY",IFERROR(IF(INDEX(MASTER!$L$4:$L$1463,MATCH("INVICTUS"&amp;"|"&amp;MAX(1,ROUND(COUNTIFS(MASTER!$B$4:$B$1463,"INVICTUS",MASTER!$L$4:$L$1463,"&lt;&gt;")*$A150*100/100,0)),MASTER!$AI$4:$AI$1463,0))="",NA(),INDEX(MASTER!$L$4:$L$1463,MATCH("INVICTUS"&amp;"|"&amp;MAX(1,ROUND(COUNTIFS(MASTER!$B$4:$B$1463,"INVICTUS",MASTER!$L$4:$L$1463,"&lt;&gt;")*$A150*100/100,0)),MASTER!$AI$4:$AI$1463,0))),NA()))))</f>
        <v>1217</v>
      </c>
      <c r="K150" s="37">
        <f>IF($B$4="RESONANCE",IFERROR(IF(INDEX(MASTER!$I$4:$I$1463,MATCH("EMERALD LEAF TRIBE"&amp;"|"&amp;MAX(1,ROUND(COUNTIFS(MASTER!$B$4:$B$1463,"EMERALD LEAF TRIBE",MASTER!$I$4:$I$1463,"&lt;&gt;")*$A150*100/100,0)),MASTER!$Y$4:$Y$1463,0))="",NA(),INDEX(MASTER!$I$4:$I$1463,MATCH("EMERALD LEAF TRIBE"&amp;"|"&amp;MAX(1,ROUND(COUNTIFS(MASTER!$B$4:$B$1463,"EMERALD LEAF TRIBE",MASTER!$I$4:$I$1463,"&lt;&gt;")*$A150*100/100,0)),MASTER!$Y$4:$Y$1463,0))),NA()),IF($B$4="COMBAT RATING",IFERROR(IF(INDEX(MASTER!$G$4:$G$1463,MATCH("EMERALD LEAF TRIBE"&amp;"|"&amp;MAX(1,ROUND(COUNTIFS(MASTER!$B$4:$B$1463,"EMERALD LEAF TRIBE",MASTER!$G$4:$G$1463,"&lt;&gt;")*$A150*100/100,0)),MASTER!$AH$4:$AH$1463,0))="",NA(),INDEX(MASTER!$G$4:$G$1463,MATCH("EMERALD LEAF TRIBE"&amp;"|"&amp;MAX(1,ROUND(COUNTIFS(MASTER!$B$4:$B$1463,"EMERALD LEAF TRIBE",MASTER!$G$4:$G$1463,"&lt;&gt;")*$A150*100/100,0)),MASTER!$AH$4:$AH$1463,0))),NA()),IF($B$4="SECONDARY",IFERROR(IF(INDEX(MASTER!$L$4:$L$1463,MATCH("EMERALD LEAF TRIBE"&amp;"|"&amp;MAX(1,ROUND(COUNTIFS(MASTER!$B$4:$B$1463,"EMERALD LEAF TRIBE",MASTER!$L$4:$L$1463,"&lt;&gt;")*$A150*100/100,0)),MASTER!$AI$4:$AI$1463,0))="",NA(),INDEX(MASTER!$L$4:$L$1463,MATCH("EMERALD LEAF TRIBE"&amp;"|"&amp;MAX(1,ROUND(COUNTIFS(MASTER!$B$4:$B$1463,"EMERALD LEAF TRIBE",MASTER!$L$4:$L$1463,"&lt;&gt;")*$A150*100/100,0)),MASTER!$AI$4:$AI$1463,0))),NA()))))</f>
        <v>685</v>
      </c>
      <c r="L150" s="37">
        <f>IF($B$4="RESONANCE",IFERROR(IF(INDEX(MASTER!$I$4:$I$1463,MATCH("SUB ROSA"&amp;"|"&amp;MAX(1,ROUND(COUNTIFS(MASTER!$B$4:$B$1463,"SUB ROSA",MASTER!$I$4:$I$1463,"&lt;&gt;")*$A150*100/100,0)),MASTER!$Y$4:$Y$1463,0))="",NA(),INDEX(MASTER!$I$4:$I$1463,MATCH("SUB ROSA"&amp;"|"&amp;MAX(1,ROUND(COUNTIFS(MASTER!$B$4:$B$1463,"SUB ROSA",MASTER!$I$4:$I$1463,"&lt;&gt;")*$A150*100/100,0)),MASTER!$Y$4:$Y$1463,0))),NA()),IF($B$4="COMBAT RATING",IFERROR(IF(INDEX(MASTER!$G$4:$G$1463,MATCH("SUB ROSA"&amp;"|"&amp;MAX(1,ROUND(COUNTIFS(MASTER!$B$4:$B$1463,"SUB ROSA",MASTER!$G$4:$G$1463,"&lt;&gt;")*$A150*100/100,0)),MASTER!$AH$4:$AH$1463,0))="",NA(),INDEX(MASTER!$G$4:$G$1463,MATCH("SUB ROSA"&amp;"|"&amp;MAX(1,ROUND(COUNTIFS(MASTER!$B$4:$B$1463,"SUB ROSA",MASTER!$G$4:$G$1463,"&lt;&gt;")*$A150*100/100,0)),MASTER!$AH$4:$AH$1463,0))),NA()),IF($B$4="SECONDARY",IFERROR(IF(INDEX(MASTER!$L$4:$L$1463,MATCH("SUB ROSA"&amp;"|"&amp;MAX(1,ROUND(COUNTIFS(MASTER!$B$4:$B$1463,"SUB ROSA",MASTER!$L$4:$L$1463,"&lt;&gt;")*$A150*100/100,0)),MASTER!$AI$4:$AI$1463,0))="",NA(),INDEX(MASTER!$L$4:$L$1463,MATCH("SUB ROSA"&amp;"|"&amp;MAX(1,ROUND(COUNTIFS(MASTER!$B$4:$B$1463,"SUB ROSA",MASTER!$L$4:$L$1463,"&lt;&gt;")*$A150*100/100,0)),MASTER!$AI$4:$AI$1463,0))),NA()))))</f>
        <v>791</v>
      </c>
      <c r="M150" s="37">
        <f>IF($B$4="RESONANCE",IFERROR(IF(INDEX(MASTER!$I$4:$I$1463,MATCH("VENGEANCE"&amp;"|"&amp;MAX(1,ROUND(COUNTIFS(MASTER!$B$4:$B$1463,"VENGEANCE",MASTER!$I$4:$I$1463,"&lt;&gt;")*$A150*100/100,0)),MASTER!$Y$4:$Y$1463,0))="",NA(),INDEX(MASTER!$I$4:$I$1463,MATCH("VENGEANCE"&amp;"|"&amp;MAX(1,ROUND(COUNTIFS(MASTER!$B$4:$B$1463,"VENGEANCE",MASTER!$I$4:$I$1463,"&lt;&gt;")*$A150*100/100,0)),MASTER!$Y$4:$Y$1463,0))),NA()),IF($B$4="COMBAT RATING",IFERROR(IF(INDEX(MASTER!$G$4:$G$1463,MATCH("VENGEANCE"&amp;"|"&amp;MAX(1,ROUND(COUNTIFS(MASTER!$B$4:$B$1463,"VENGEANCE",MASTER!$G$4:$G$1463,"&lt;&gt;")*$A150*100/100,0)),MASTER!$AH$4:$AH$1463,0))="",NA(),INDEX(MASTER!$G$4:$G$1463,MATCH("VENGEANCE"&amp;"|"&amp;MAX(1,ROUND(COUNTIFS(MASTER!$B$4:$B$1463,"VENGEANCE",MASTER!$G$4:$G$1463,"&lt;&gt;")*$A150*100/100,0)),MASTER!$AH$4:$AH$1463,0))),NA()),IF($B$4="SECONDARY",IFERROR(IF(INDEX(MASTER!$L$4:$L$1463,MATCH("VENGEANCE"&amp;"|"&amp;MAX(1,ROUND(COUNTIFS(MASTER!$B$4:$B$1463,"VENGEANCE",MASTER!$L$4:$L$1463,"&lt;&gt;")*$A150*100/100,0)),MASTER!$AI$4:$AI$1463,0))="",NA(),INDEX(MASTER!$L$4:$L$1463,MATCH("VENGEANCE"&amp;"|"&amp;MAX(1,ROUND(COUNTIFS(MASTER!$B$4:$B$1463,"VENGEANCE",MASTER!$L$4:$L$1463,"&lt;&gt;")*$A150*100/100,0)),MASTER!$AI$4:$AI$1463,0))),NA()))))</f>
        <v>1686</v>
      </c>
      <c r="N150" s="37">
        <f>IF($B$4="RESONANCE",IFERROR(IF(INDEX(MASTER!$I$4:$I$1463,MATCH("VENDETTA"&amp;"|"&amp;MAX(1,ROUND(COUNTIFS(MASTER!$B$4:$B$1463,"VENDETTA",MASTER!$I$4:$I$1463,"&lt;&gt;")*$A150*100/100,0)),MASTER!$Y$4:$Y$1463,0))="",NA(),INDEX(MASTER!$I$4:$I$1463,MATCH("VENDETTA"&amp;"|"&amp;MAX(1,ROUND(COUNTIFS(MASTER!$B$4:$B$1463,"VENDETTA",MASTER!$I$4:$I$1463,"&lt;&gt;")*$A150*100/100,0)),MASTER!$Y$4:$Y$1463,0))),NA()),IF($B$4="COMBAT RATING",IFERROR(IF(INDEX(MASTER!$G$4:$G$1463,MATCH("VENDETTA"&amp;"|"&amp;MAX(1,ROUND(COUNTIFS(MASTER!$B$4:$B$1463,"VENDETTA",MASTER!$G$4:$G$1463,"&lt;&gt;")*$A150*100/100,0)),MASTER!$AH$4:$AH$1463,0))="",NA(),INDEX(MASTER!$G$4:$G$1463,MATCH("VENDETTA"&amp;"|"&amp;MAX(1,ROUND(COUNTIFS(MASTER!$B$4:$B$1463,"VENDETTA",MASTER!$G$4:$G$1463,"&lt;&gt;")*$A150*100/100,0)),MASTER!$AH$4:$AH$1463,0))),NA()),IF($B$4="SECONDARY",IFERROR(IF(INDEX(MASTER!$L$4:$L$1463,MATCH("VENDETTA"&amp;"|"&amp;MAX(1,ROUND(COUNTIFS(MASTER!$B$4:$B$1463,"VENDETTA",MASTER!$L$4:$L$1463,"&lt;&gt;")*$A150*100/100,0)),MASTER!$AI$4:$AI$1463,0))="",NA(),INDEX(MASTER!$L$4:$L$1463,MATCH("VENDETTA"&amp;"|"&amp;MAX(1,ROUND(COUNTIFS(MASTER!$B$4:$B$1463,"VENDETTA",MASTER!$L$4:$L$1463,"&lt;&gt;")*$A150*100/100,0)),MASTER!$AI$4:$AI$1463,0))),NA()))))</f>
        <v>860</v>
      </c>
      <c r="O150" s="37">
        <f>IF($B$4="RESONANCE",IFERROR(IF(INDEX(MASTER!$I$4:$I$1463,MATCH("ZOMBIES"&amp;"|"&amp;MAX(1,ROUND(COUNTIFS(MASTER!$B$4:$B$1463,"ZOMBIES",MASTER!$I$4:$I$1463,"&lt;&gt;")*$A150*100/100,0)),MASTER!$Y$4:$Y$1463,0))="",NA(),INDEX(MASTER!$I$4:$I$1463,MATCH("ZOMBIES"&amp;"|"&amp;MAX(1,ROUND(COUNTIFS(MASTER!$B$4:$B$1463,"ZOMBIES",MASTER!$I$4:$I$1463,"&lt;&gt;")*$A150*100/100,0)),MASTER!$Y$4:$Y$1463,0))),NA()),IF($B$4="COMBAT RATING",IFERROR(IF(INDEX(MASTER!$G$4:$G$1463,MATCH("ZOMBIES"&amp;"|"&amp;MAX(1,ROUND(COUNTIFS(MASTER!$B$4:$B$1463,"ZOMBIES",MASTER!$G$4:$G$1463,"&lt;&gt;")*$A150*100/100,0)),MASTER!$AH$4:$AH$1463,0))="",NA(),INDEX(MASTER!$G$4:$G$1463,MATCH("ZOMBIES"&amp;"|"&amp;MAX(1,ROUND(COUNTIFS(MASTER!$B$4:$B$1463,"ZOMBIES",MASTER!$G$4:$G$1463,"&lt;&gt;")*$A150*100/100,0)),MASTER!$AH$4:$AH$1463,0))),NA()),IF($B$4="SECONDARY",IFERROR(IF(INDEX(MASTER!$L$4:$L$1463,MATCH("ZOMBIES"&amp;"|"&amp;MAX(1,ROUND(COUNTIFS(MASTER!$B$4:$B$1463,"ZOMBIES",MASTER!$L$4:$L$1463,"&lt;&gt;")*$A150*100/100,0)),MASTER!$AI$4:$AI$1463,0))="",NA(),INDEX(MASTER!$L$4:$L$1463,MATCH("ZOMBIES"&amp;"|"&amp;MAX(1,ROUND(COUNTIFS(MASTER!$B$4:$B$1463,"ZOMBIES",MASTER!$L$4:$L$1463,"&lt;&gt;")*$A150*100/100,0)),MASTER!$AI$4:$AI$1463,0))),NA()))))</f>
        <v>700</v>
      </c>
      <c r="P150" s="37">
        <f>IF($B$4="RESONANCE",IFERROR(IF(INDEX(MASTER!$I$4:$I$1463,MATCH("FUCT"&amp;"|"&amp;MAX(1,ROUND(COUNTIFS(MASTER!$B$4:$B$1463,"FUCT",MASTER!$I$4:$I$1463,"&lt;&gt;")*$A150*100/100,0)),MASTER!$Y$4:$Y$1463,0))="",NA(),INDEX(MASTER!$I$4:$I$1463,MATCH("FUCT"&amp;"|"&amp;MAX(1,ROUND(COUNTIFS(MASTER!$B$4:$B$1463,"FUCT",MASTER!$I$4:$I$1463,"&lt;&gt;")*$A150*100/100,0)),MASTER!$Y$4:$Y$1463,0))),NA()),IF($B$4="COMBAT RATING",IFERROR(IF(INDEX(MASTER!$G$4:$G$1463,MATCH("FUCT"&amp;"|"&amp;MAX(1,ROUND(COUNTIFS(MASTER!$B$4:$B$1463,"FUCT",MASTER!$G$4:$G$1463,"&lt;&gt;")*$A150*100/100,0)),MASTER!$AH$4:$AH$1463,0))="",NA(),INDEX(MASTER!$G$4:$G$1463,MATCH("FUCT"&amp;"|"&amp;MAX(1,ROUND(COUNTIFS(MASTER!$B$4:$B$1463,"FUCT",MASTER!$G$4:$G$1463,"&lt;&gt;")*$A150*100/100,0)),MASTER!$AH$4:$AH$1463,0))),NA()),IF($B$4="SECONDARY",IFERROR(IF(INDEX(MASTER!$L$4:$L$1463,MATCH("FUCT"&amp;"|"&amp;MAX(1,ROUND(COUNTIFS(MASTER!$B$4:$B$1463,"FUCT",MASTER!$L$4:$L$1463,"&lt;&gt;")*$A150*100/100,0)),MASTER!$AI$4:$AI$1463,0))="",NA(),INDEX(MASTER!$L$4:$L$1463,MATCH("FUCT"&amp;"|"&amp;MAX(1,ROUND(COUNTIFS(MASTER!$B$4:$B$1463,"FUCT",MASTER!$L$4:$L$1463,"&lt;&gt;")*$A150*100/100,0)),MASTER!$AI$4:$AI$1463,0))),NA()))))</f>
        <v>2922</v>
      </c>
      <c r="Q150" s="37">
        <f>IF($B$4="RESONANCE",IFERROR(IF(INDEX(MASTER!$I$4:$I$1463,MATCH($E$4&amp;"|"&amp;MAX(1,ROUND(COUNTIFS(MASTER!$B$4:$B$1463,$E$4,MASTER!$I$4:$I$1463,"&lt;&gt;")*$A150*100/100,0)),MASTER!$Y$4:$Y$1463,0))="",NA(),INDEX(MASTER!$I$4:$I$1463,MATCH($E$4&amp;"|"&amp;MAX(1,ROUND(COUNTIFS(MASTER!$B$4:$B$1463,$E$4,MASTER!$I$4:$I$1463,"&lt;&gt;")*$A150*100/100,0)),MASTER!$Y$4:$Y$1463,0))),NA()),IF($B$4="COMBAT RATING",IFERROR(IF(INDEX(MASTER!$G$4:$G$1463,MATCH($E$4&amp;"|"&amp;MAX(1,ROUND(COUNTIFS(MASTER!$B$4:$B$1463,$E$4,MASTER!$G$4:$G$1463,"&lt;&gt;")*$A150*100/100,0)),MASTER!$AH$4:$AH$1463,0))="",NA(),INDEX(MASTER!$G$4:$G$1463,MATCH($E$4&amp;"|"&amp;MAX(1,ROUND(COUNTIFS(MASTER!$B$4:$B$1463,$E$4,MASTER!$G$4:$G$1463,"&lt;&gt;")*$A150*100/100,0)),MASTER!$AH$4:$AH$1463,0))),NA()),IF($B$4="SECONDARY",IFERROR(IF(INDEX(MASTER!$L$4:$L$1463,MATCH($E$4&amp;"|"&amp;MAX(1,ROUND(COUNTIFS(MASTER!$B$4:$B$1463,$E$4,MASTER!$L$4:$L$1463,"&lt;&gt;")*$A150*100/100,0)),MASTER!$AI$4:$AI$1463,0))="",NA(),INDEX(MASTER!$L$4:$L$1463,MATCH($E$4&amp;"|"&amp;MAX(1,ROUND(COUNTIFS(MASTER!$B$4:$B$1463,$E$4,MASTER!$L$4:$L$1463,"&lt;&gt;")*$A150*100/100,0)),MASTER!$AI$4:$AI$1463,0))),NA()))))</f>
        <v>2314</v>
      </c>
    </row>
    <row r="151" spans="1:17" hidden="1">
      <c r="A151" s="36">
        <v>0.96</v>
      </c>
      <c r="B151" s="37">
        <f>IF($B$4="RESONANCE",IFERROR(IF(INDEX(MASTER!$I$4:$I$1463,MATCH("FUCT"&amp;"|"&amp;MAX(1,ROUND(COUNTIFS(MASTER!$B$4:$B$1463,"FUCT",MASTER!$I$4:$I$1463,"&lt;&gt;")*$A151*100/100,0)),MASTER!$Y$4:$Y$1463,0))="",NA(),INDEX(MASTER!$I$4:$I$1463,MATCH("FUCT"&amp;"|"&amp;MAX(1,ROUND(COUNTIFS(MASTER!$B$4:$B$1463,"FUCT",MASTER!$I$4:$I$1463,"&lt;&gt;")*$A151*100/100,0)),MASTER!$Y$4:$Y$1463,0))),NA()),IF($B$4="COMBAT RATING",IFERROR(IF(INDEX(MASTER!$G$4:$G$1463,MATCH("FUCT"&amp;"|"&amp;MAX(1,ROUND(COUNTIFS(MASTER!$B$4:$B$1463,"FUCT",MASTER!$G$4:$G$1463,"&lt;&gt;")*$A151*100/100,0)),MASTER!$AH$4:$AH$1463,0))="",NA(),INDEX(MASTER!$G$4:$G$1463,MATCH("FUCT"&amp;"|"&amp;MAX(1,ROUND(COUNTIFS(MASTER!$B$4:$B$1463,"FUCT",MASTER!$G$4:$G$1463,"&lt;&gt;")*$A151*100/100,0)),MASTER!$AH$4:$AH$1463,0))),NA()),IF($B$4="SECONDARY",IFERROR(IF(INDEX(MASTER!$L$4:$L$1463,MATCH("FUCT"&amp;"|"&amp;MAX(1,ROUND(COUNTIFS(MASTER!$B$4:$B$1463,"FUCT",MASTER!$L$4:$L$1463,"&lt;&gt;")*$A151*100/100,0)),MASTER!$AI$4:$AI$1463,0))="",NA(),INDEX(MASTER!$L$4:$L$1463,MATCH("FUCT"&amp;"|"&amp;MAX(1,ROUND(COUNTIFS(MASTER!$B$4:$B$1463,"FUCT",MASTER!$L$4:$L$1463,"&lt;&gt;")*$A151*100/100,0)),MASTER!$AI$4:$AI$1463,0))),NA()))))</f>
        <v>2830</v>
      </c>
      <c r="C151" s="37">
        <f>IF($B$4="RESONANCE",IFERROR(IF(INDEX(MASTER!$I$4:$I$1463,MATCH("LEGENDS"&amp;"|"&amp;MAX(1,ROUND(COUNTIFS(MASTER!$B$4:$B$1463,"LEGENDS",MASTER!$I$4:$I$1463,"&lt;&gt;")*$A151*100/100,0)),MASTER!$Y$4:$Y$1463,0))="",NA(),INDEX(MASTER!$I$4:$I$1463,MATCH("LEGENDS"&amp;"|"&amp;MAX(1,ROUND(COUNTIFS(MASTER!$B$4:$B$1463,"LEGENDS",MASTER!$I$4:$I$1463,"&lt;&gt;")*$A151*100/100,0)),MASTER!$Y$4:$Y$1463,0))),NA()),IF($B$4="COMBAT RATING",IFERROR(IF(INDEX(MASTER!$G$4:$G$1463,MATCH("LEGENDS"&amp;"|"&amp;MAX(1,ROUND(COUNTIFS(MASTER!$B$4:$B$1463,"LEGENDS",MASTER!$G$4:$G$1463,"&lt;&gt;")*$A151*100/100,0)),MASTER!$AH$4:$AH$1463,0))="",NA(),INDEX(MASTER!$G$4:$G$1463,MATCH("LEGENDS"&amp;"|"&amp;MAX(1,ROUND(COUNTIFS(MASTER!$B$4:$B$1463,"LEGENDS",MASTER!$G$4:$G$1463,"&lt;&gt;")*$A151*100/100,0)),MASTER!$AH$4:$AH$1463,0))),NA()),IF($B$4="SECONDARY",IFERROR(IF(INDEX(MASTER!$L$4:$L$1463,MATCH("LEGENDS"&amp;"|"&amp;MAX(1,ROUND(COUNTIFS(MASTER!$B$4:$B$1463,"LEGENDS",MASTER!$L$4:$L$1463,"&lt;&gt;")*$A151*100/100,0)),MASTER!$AI$4:$AI$1463,0))="",NA(),INDEX(MASTER!$L$4:$L$1463,MATCH("LEGENDS"&amp;"|"&amp;MAX(1,ROUND(COUNTIFS(MASTER!$B$4:$B$1463,"LEGENDS",MASTER!$L$4:$L$1463,"&lt;&gt;")*$A151*100/100,0)),MASTER!$AI$4:$AI$1463,0))),NA()))))</f>
        <v>3028</v>
      </c>
      <c r="D151" s="37">
        <f>IF($B$4="RESONANCE",IFERROR(IF(INDEX(MASTER!$I$4:$I$1463,MATCH("VANGUARD"&amp;"|"&amp;MAX(1,ROUND(COUNTIFS(MASTER!$B$4:$B$1463,"VANGUARD",MASTER!$I$4:$I$1463,"&lt;&gt;")*$A151*100/100,0)),MASTER!$Y$4:$Y$1463,0))="",NA(),INDEX(MASTER!$I$4:$I$1463,MATCH("VANGUARD"&amp;"|"&amp;MAX(1,ROUND(COUNTIFS(MASTER!$B$4:$B$1463,"VANGUARD",MASTER!$I$4:$I$1463,"&lt;&gt;")*$A151*100/100,0)),MASTER!$Y$4:$Y$1463,0))),NA()),IF($B$4="COMBAT RATING",IFERROR(IF(INDEX(MASTER!$G$4:$G$1463,MATCH("VANGUARD"&amp;"|"&amp;MAX(1,ROUND(COUNTIFS(MASTER!$B$4:$B$1463,"VANGUARD",MASTER!$G$4:$G$1463,"&lt;&gt;")*$A151*100/100,0)),MASTER!$AH$4:$AH$1463,0))="",NA(),INDEX(MASTER!$G$4:$G$1463,MATCH("VANGUARD"&amp;"|"&amp;MAX(1,ROUND(COUNTIFS(MASTER!$B$4:$B$1463,"VANGUARD",MASTER!$G$4:$G$1463,"&lt;&gt;")*$A151*100/100,0)),MASTER!$AH$4:$AH$1463,0))),NA()),IF($B$4="SECONDARY",IFERROR(IF(INDEX(MASTER!$L$4:$L$1463,MATCH("VANGUARD"&amp;"|"&amp;MAX(1,ROUND(COUNTIFS(MASTER!$B$4:$B$1463,"VANGUARD",MASTER!$L$4:$L$1463,"&lt;&gt;")*$A151*100/100,0)),MASTER!$AI$4:$AI$1463,0))="",NA(),INDEX(MASTER!$L$4:$L$1463,MATCH("VANGUARD"&amp;"|"&amp;MAX(1,ROUND(COUNTIFS(MASTER!$B$4:$B$1463,"VANGUARD",MASTER!$L$4:$L$1463,"&lt;&gt;")*$A151*100/100,0)),MASTER!$AI$4:$AI$1463,0))),NA()))))</f>
        <v>2770</v>
      </c>
      <c r="E151" s="37">
        <f>IF($B$4="RESONANCE",IFERROR(IF(INDEX(MASTER!$I$4:$I$1463,MATCH("UNDYING"&amp;"|"&amp;MAX(1,ROUND(COUNTIFS(MASTER!$B$4:$B$1463,"UNDYING",MASTER!$I$4:$I$1463,"&lt;&gt;")*$A151*100/100,0)),MASTER!$Y$4:$Y$1463,0))="",NA(),INDEX(MASTER!$I$4:$I$1463,MATCH("UNDYING"&amp;"|"&amp;MAX(1,ROUND(COUNTIFS(MASTER!$B$4:$B$1463,"UNDYING",MASTER!$I$4:$I$1463,"&lt;&gt;")*$A151*100/100,0)),MASTER!$Y$4:$Y$1463,0))),NA()),IF($B$4="COMBAT RATING",IFERROR(IF(INDEX(MASTER!$G$4:$G$1463,MATCH("UNDYING"&amp;"|"&amp;MAX(1,ROUND(COUNTIFS(MASTER!$B$4:$B$1463,"UNDYING",MASTER!$G$4:$G$1463,"&lt;&gt;")*$A151*100/100,0)),MASTER!$AH$4:$AH$1463,0))="",NA(),INDEX(MASTER!$G$4:$G$1463,MATCH("UNDYING"&amp;"|"&amp;MAX(1,ROUND(COUNTIFS(MASTER!$B$4:$B$1463,"UNDYING",MASTER!$G$4:$G$1463,"&lt;&gt;")*$A151*100/100,0)),MASTER!$AH$4:$AH$1463,0))),NA()),IF($B$4="SECONDARY",IFERROR(IF(INDEX(MASTER!$L$4:$L$1463,MATCH("UNDYING"&amp;"|"&amp;MAX(1,ROUND(COUNTIFS(MASTER!$B$4:$B$1463,"UNDYING",MASTER!$L$4:$L$1463,"&lt;&gt;")*$A151*100/100,0)),MASTER!$AI$4:$AI$1463,0))="",NA(),INDEX(MASTER!$L$4:$L$1463,MATCH("UNDYING"&amp;"|"&amp;MAX(1,ROUND(COUNTIFS(MASTER!$B$4:$B$1463,"UNDYING",MASTER!$L$4:$L$1463,"&lt;&gt;")*$A151*100/100,0)),MASTER!$AI$4:$AI$1463,0))),NA()))))</f>
        <v>2280</v>
      </c>
      <c r="F151" s="37">
        <f>IF($B$4="RESONANCE",IFERROR(IF(INDEX(MASTER!$I$4:$I$1463,MATCH("SBG"&amp;"|"&amp;MAX(1,ROUND(COUNTIFS(MASTER!$B$4:$B$1463,"SBG",MASTER!$I$4:$I$1463,"&lt;&gt;")*$A151*100/100,0)),MASTER!$Y$4:$Y$1463,0))="",NA(),INDEX(MASTER!$I$4:$I$1463,MATCH("SBG"&amp;"|"&amp;MAX(1,ROUND(COUNTIFS(MASTER!$B$4:$B$1463,"SBG",MASTER!$I$4:$I$1463,"&lt;&gt;")*$A151*100/100,0)),MASTER!$Y$4:$Y$1463,0))),NA()),IF($B$4="COMBAT RATING",IFERROR(IF(INDEX(MASTER!$G$4:$G$1463,MATCH("SBG"&amp;"|"&amp;MAX(1,ROUND(COUNTIFS(MASTER!$B$4:$B$1463,"SBG",MASTER!$G$4:$G$1463,"&lt;&gt;")*$A151*100/100,0)),MASTER!$AH$4:$AH$1463,0))="",NA(),INDEX(MASTER!$G$4:$G$1463,MATCH("SBG"&amp;"|"&amp;MAX(1,ROUND(COUNTIFS(MASTER!$B$4:$B$1463,"SBG",MASTER!$G$4:$G$1463,"&lt;&gt;")*$A151*100/100,0)),MASTER!$AH$4:$AH$1463,0))),NA()),IF($B$4="SECONDARY",IFERROR(IF(INDEX(MASTER!$L$4:$L$1463,MATCH("SBG"&amp;"|"&amp;MAX(1,ROUND(COUNTIFS(MASTER!$B$4:$B$1463,"SBG",MASTER!$L$4:$L$1463,"&lt;&gt;")*$A151*100/100,0)),MASTER!$AI$4:$AI$1463,0))="",NA(),INDEX(MASTER!$L$4:$L$1463,MATCH("SBG"&amp;"|"&amp;MAX(1,ROUND(COUNTIFS(MASTER!$B$4:$B$1463,"SBG",MASTER!$L$4:$L$1463,"&lt;&gt;")*$A151*100/100,0)),MASTER!$AI$4:$AI$1463,0))),NA()))))</f>
        <v>2880</v>
      </c>
      <c r="G151" s="37">
        <f>IF($B$4="RESONANCE",IFERROR(IF(INDEX(MASTER!$I$4:$I$1463,MATCH("AZUKI"&amp;"|"&amp;MAX(1,ROUND(COUNTIFS(MASTER!$B$4:$B$1463,"AZUKI",MASTER!$I$4:$I$1463,"&lt;&gt;")*$A151*100/100,0)),MASTER!$Y$4:$Y$1463,0))="",NA(),INDEX(MASTER!$I$4:$I$1463,MATCH("AZUKI"&amp;"|"&amp;MAX(1,ROUND(COUNTIFS(MASTER!$B$4:$B$1463,"AZUKI",MASTER!$I$4:$I$1463,"&lt;&gt;")*$A151*100/100,0)),MASTER!$Y$4:$Y$1463,0))),NA()),IF($B$4="COMBAT RATING",IFERROR(IF(INDEX(MASTER!$G$4:$G$1463,MATCH("AZUKI"&amp;"|"&amp;MAX(1,ROUND(COUNTIFS(MASTER!$B$4:$B$1463,"AZUKI",MASTER!$G$4:$G$1463,"&lt;&gt;")*$A151*100/100,0)),MASTER!$AH$4:$AH$1463,0))="",NA(),INDEX(MASTER!$G$4:$G$1463,MATCH("AZUKI"&amp;"|"&amp;MAX(1,ROUND(COUNTIFS(MASTER!$B$4:$B$1463,"AZUKI",MASTER!$G$4:$G$1463,"&lt;&gt;")*$A151*100/100,0)),MASTER!$AH$4:$AH$1463,0))),NA()),IF($B$4="SECONDARY",IFERROR(IF(INDEX(MASTER!$L$4:$L$1463,MATCH("AZUKI"&amp;"|"&amp;MAX(1,ROUND(COUNTIFS(MASTER!$B$4:$B$1463,"AZUKI",MASTER!$L$4:$L$1463,"&lt;&gt;")*$A151*100/100,0)),MASTER!$AI$4:$AI$1463,0))="",NA(),INDEX(MASTER!$L$4:$L$1463,MATCH("AZUKI"&amp;"|"&amp;MAX(1,ROUND(COUNTIFS(MASTER!$B$4:$B$1463,"AZUKI",MASTER!$L$4:$L$1463,"&lt;&gt;")*$A151*100/100,0)),MASTER!$AI$4:$AI$1463,0))),NA()))))</f>
        <v>2908</v>
      </c>
      <c r="H151" s="37">
        <f>IF($B$4="RESONANCE",IFERROR(IF(INDEX(MASTER!$I$4:$I$1463,MATCH("RECKONING"&amp;"|"&amp;MAX(1,ROUND(COUNTIFS(MASTER!$B$4:$B$1463,"RECKONING",MASTER!$I$4:$I$1463,"&lt;&gt;")*$A151*100/100,0)),MASTER!$Y$4:$Y$1463,0))="",NA(),INDEX(MASTER!$I$4:$I$1463,MATCH("RECKONING"&amp;"|"&amp;MAX(1,ROUND(COUNTIFS(MASTER!$B$4:$B$1463,"RECKONING",MASTER!$I$4:$I$1463,"&lt;&gt;")*$A151*100/100,0)),MASTER!$Y$4:$Y$1463,0))),NA()),IF($B$4="COMBAT RATING",IFERROR(IF(INDEX(MASTER!$G$4:$G$1463,MATCH("RECKONING"&amp;"|"&amp;MAX(1,ROUND(COUNTIFS(MASTER!$B$4:$B$1463,"RECKONING",MASTER!$G$4:$G$1463,"&lt;&gt;")*$A151*100/100,0)),MASTER!$AH$4:$AH$1463,0))="",NA(),INDEX(MASTER!$G$4:$G$1463,MATCH("RECKONING"&amp;"|"&amp;MAX(1,ROUND(COUNTIFS(MASTER!$B$4:$B$1463,"RECKONING",MASTER!$G$4:$G$1463,"&lt;&gt;")*$A151*100/100,0)),MASTER!$AH$4:$AH$1463,0))),NA()),IF($B$4="SECONDARY",IFERROR(IF(INDEX(MASTER!$L$4:$L$1463,MATCH("RECKONING"&amp;"|"&amp;MAX(1,ROUND(COUNTIFS(MASTER!$B$4:$B$1463,"RECKONING",MASTER!$L$4:$L$1463,"&lt;&gt;")*$A151*100/100,0)),MASTER!$AI$4:$AI$1463,0))="",NA(),INDEX(MASTER!$L$4:$L$1463,MATCH("RECKONING"&amp;"|"&amp;MAX(1,ROUND(COUNTIFS(MASTER!$B$4:$B$1463,"RECKONING",MASTER!$L$4:$L$1463,"&lt;&gt;")*$A151*100/100,0)),MASTER!$AI$4:$AI$1463,0))),NA()))))</f>
        <v>2414</v>
      </c>
      <c r="I151" s="37">
        <f>IF($B$4="RESONANCE",IFERROR(IF(INDEX(MASTER!$I$4:$I$1463,MATCH("ACHERON"&amp;"|"&amp;MAX(1,ROUND(COUNTIFS(MASTER!$B$4:$B$1463,"ACHERON",MASTER!$I$4:$I$1463,"&lt;&gt;")*$A151*100/100,0)),MASTER!$Y$4:$Y$1463,0))="",NA(),INDEX(MASTER!$I$4:$I$1463,MATCH("ACHERON"&amp;"|"&amp;MAX(1,ROUND(COUNTIFS(MASTER!$B$4:$B$1463,"ACHERON",MASTER!$I$4:$I$1463,"&lt;&gt;")*$A151*100/100,0)),MASTER!$Y$4:$Y$1463,0))),NA()),IF($B$4="COMBAT RATING",IFERROR(IF(INDEX(MASTER!$G$4:$G$1463,MATCH("ACHERON"&amp;"|"&amp;MAX(1,ROUND(COUNTIFS(MASTER!$B$4:$B$1463,"ACHERON",MASTER!$G$4:$G$1463,"&lt;&gt;")*$A151*100/100,0)),MASTER!$AH$4:$AH$1463,0))="",NA(),INDEX(MASTER!$G$4:$G$1463,MATCH("ACHERON"&amp;"|"&amp;MAX(1,ROUND(COUNTIFS(MASTER!$B$4:$B$1463,"ACHERON",MASTER!$G$4:$G$1463,"&lt;&gt;")*$A151*100/100,0)),MASTER!$AH$4:$AH$1463,0))),NA()),IF($B$4="SECONDARY",IFERROR(IF(INDEX(MASTER!$L$4:$L$1463,MATCH("ACHERON"&amp;"|"&amp;MAX(1,ROUND(COUNTIFS(MASTER!$B$4:$B$1463,"ACHERON",MASTER!$L$4:$L$1463,"&lt;&gt;")*$A151*100/100,0)),MASTER!$AI$4:$AI$1463,0))="",NA(),INDEX(MASTER!$L$4:$L$1463,MATCH("ACHERON"&amp;"|"&amp;MAX(1,ROUND(COUNTIFS(MASTER!$B$4:$B$1463,"ACHERON",MASTER!$L$4:$L$1463,"&lt;&gt;")*$A151*100/100,0)),MASTER!$AI$4:$AI$1463,0))),NA()))))</f>
        <v>1127</v>
      </c>
      <c r="J151" s="37">
        <f>IF($B$4="RESONANCE",IFERROR(IF(INDEX(MASTER!$I$4:$I$1463,MATCH("INVICTUS"&amp;"|"&amp;MAX(1,ROUND(COUNTIFS(MASTER!$B$4:$B$1463,"INVICTUS",MASTER!$I$4:$I$1463,"&lt;&gt;")*$A151*100/100,0)),MASTER!$Y$4:$Y$1463,0))="",NA(),INDEX(MASTER!$I$4:$I$1463,MATCH("INVICTUS"&amp;"|"&amp;MAX(1,ROUND(COUNTIFS(MASTER!$B$4:$B$1463,"INVICTUS",MASTER!$I$4:$I$1463,"&lt;&gt;")*$A151*100/100,0)),MASTER!$Y$4:$Y$1463,0))),NA()),IF($B$4="COMBAT RATING",IFERROR(IF(INDEX(MASTER!$G$4:$G$1463,MATCH("INVICTUS"&amp;"|"&amp;MAX(1,ROUND(COUNTIFS(MASTER!$B$4:$B$1463,"INVICTUS",MASTER!$G$4:$G$1463,"&lt;&gt;")*$A151*100/100,0)),MASTER!$AH$4:$AH$1463,0))="",NA(),INDEX(MASTER!$G$4:$G$1463,MATCH("INVICTUS"&amp;"|"&amp;MAX(1,ROUND(COUNTIFS(MASTER!$B$4:$B$1463,"INVICTUS",MASTER!$G$4:$G$1463,"&lt;&gt;")*$A151*100/100,0)),MASTER!$AH$4:$AH$1463,0))),NA()),IF($B$4="SECONDARY",IFERROR(IF(INDEX(MASTER!$L$4:$L$1463,MATCH("INVICTUS"&amp;"|"&amp;MAX(1,ROUND(COUNTIFS(MASTER!$B$4:$B$1463,"INVICTUS",MASTER!$L$4:$L$1463,"&lt;&gt;")*$A151*100/100,0)),MASTER!$AI$4:$AI$1463,0))="",NA(),INDEX(MASTER!$L$4:$L$1463,MATCH("INVICTUS"&amp;"|"&amp;MAX(1,ROUND(COUNTIFS(MASTER!$B$4:$B$1463,"INVICTUS",MASTER!$L$4:$L$1463,"&lt;&gt;")*$A151*100/100,0)),MASTER!$AI$4:$AI$1463,0))),NA()))))</f>
        <v>1075</v>
      </c>
      <c r="K151" s="37">
        <f>IF($B$4="RESONANCE",IFERROR(IF(INDEX(MASTER!$I$4:$I$1463,MATCH("EMERALD LEAF TRIBE"&amp;"|"&amp;MAX(1,ROUND(COUNTIFS(MASTER!$B$4:$B$1463,"EMERALD LEAF TRIBE",MASTER!$I$4:$I$1463,"&lt;&gt;")*$A151*100/100,0)),MASTER!$Y$4:$Y$1463,0))="",NA(),INDEX(MASTER!$I$4:$I$1463,MATCH("EMERALD LEAF TRIBE"&amp;"|"&amp;MAX(1,ROUND(COUNTIFS(MASTER!$B$4:$B$1463,"EMERALD LEAF TRIBE",MASTER!$I$4:$I$1463,"&lt;&gt;")*$A151*100/100,0)),MASTER!$Y$4:$Y$1463,0))),NA()),IF($B$4="COMBAT RATING",IFERROR(IF(INDEX(MASTER!$G$4:$G$1463,MATCH("EMERALD LEAF TRIBE"&amp;"|"&amp;MAX(1,ROUND(COUNTIFS(MASTER!$B$4:$B$1463,"EMERALD LEAF TRIBE",MASTER!$G$4:$G$1463,"&lt;&gt;")*$A151*100/100,0)),MASTER!$AH$4:$AH$1463,0))="",NA(),INDEX(MASTER!$G$4:$G$1463,MATCH("EMERALD LEAF TRIBE"&amp;"|"&amp;MAX(1,ROUND(COUNTIFS(MASTER!$B$4:$B$1463,"EMERALD LEAF TRIBE",MASTER!$G$4:$G$1463,"&lt;&gt;")*$A151*100/100,0)),MASTER!$AH$4:$AH$1463,0))),NA()),IF($B$4="SECONDARY",IFERROR(IF(INDEX(MASTER!$L$4:$L$1463,MATCH("EMERALD LEAF TRIBE"&amp;"|"&amp;MAX(1,ROUND(COUNTIFS(MASTER!$B$4:$B$1463,"EMERALD LEAF TRIBE",MASTER!$L$4:$L$1463,"&lt;&gt;")*$A151*100/100,0)),MASTER!$AI$4:$AI$1463,0))="",NA(),INDEX(MASTER!$L$4:$L$1463,MATCH("EMERALD LEAF TRIBE"&amp;"|"&amp;MAX(1,ROUND(COUNTIFS(MASTER!$B$4:$B$1463,"EMERALD LEAF TRIBE",MASTER!$L$4:$L$1463,"&lt;&gt;")*$A151*100/100,0)),MASTER!$AI$4:$AI$1463,0))),NA()))))</f>
        <v>622</v>
      </c>
      <c r="L151" s="37">
        <f>IF($B$4="RESONANCE",IFERROR(IF(INDEX(MASTER!$I$4:$I$1463,MATCH("SUB ROSA"&amp;"|"&amp;MAX(1,ROUND(COUNTIFS(MASTER!$B$4:$B$1463,"SUB ROSA",MASTER!$I$4:$I$1463,"&lt;&gt;")*$A151*100/100,0)),MASTER!$Y$4:$Y$1463,0))="",NA(),INDEX(MASTER!$I$4:$I$1463,MATCH("SUB ROSA"&amp;"|"&amp;MAX(1,ROUND(COUNTIFS(MASTER!$B$4:$B$1463,"SUB ROSA",MASTER!$I$4:$I$1463,"&lt;&gt;")*$A151*100/100,0)),MASTER!$Y$4:$Y$1463,0))),NA()),IF($B$4="COMBAT RATING",IFERROR(IF(INDEX(MASTER!$G$4:$G$1463,MATCH("SUB ROSA"&amp;"|"&amp;MAX(1,ROUND(COUNTIFS(MASTER!$B$4:$B$1463,"SUB ROSA",MASTER!$G$4:$G$1463,"&lt;&gt;")*$A151*100/100,0)),MASTER!$AH$4:$AH$1463,0))="",NA(),INDEX(MASTER!$G$4:$G$1463,MATCH("SUB ROSA"&amp;"|"&amp;MAX(1,ROUND(COUNTIFS(MASTER!$B$4:$B$1463,"SUB ROSA",MASTER!$G$4:$G$1463,"&lt;&gt;")*$A151*100/100,0)),MASTER!$AH$4:$AH$1463,0))),NA()),IF($B$4="SECONDARY",IFERROR(IF(INDEX(MASTER!$L$4:$L$1463,MATCH("SUB ROSA"&amp;"|"&amp;MAX(1,ROUND(COUNTIFS(MASTER!$B$4:$B$1463,"SUB ROSA",MASTER!$L$4:$L$1463,"&lt;&gt;")*$A151*100/100,0)),MASTER!$AI$4:$AI$1463,0))="",NA(),INDEX(MASTER!$L$4:$L$1463,MATCH("SUB ROSA"&amp;"|"&amp;MAX(1,ROUND(COUNTIFS(MASTER!$B$4:$B$1463,"SUB ROSA",MASTER!$L$4:$L$1463,"&lt;&gt;")*$A151*100/100,0)),MASTER!$AI$4:$AI$1463,0))),NA()))))</f>
        <v>791</v>
      </c>
      <c r="M151" s="37">
        <f>IF($B$4="RESONANCE",IFERROR(IF(INDEX(MASTER!$I$4:$I$1463,MATCH("VENGEANCE"&amp;"|"&amp;MAX(1,ROUND(COUNTIFS(MASTER!$B$4:$B$1463,"VENGEANCE",MASTER!$I$4:$I$1463,"&lt;&gt;")*$A151*100/100,0)),MASTER!$Y$4:$Y$1463,0))="",NA(),INDEX(MASTER!$I$4:$I$1463,MATCH("VENGEANCE"&amp;"|"&amp;MAX(1,ROUND(COUNTIFS(MASTER!$B$4:$B$1463,"VENGEANCE",MASTER!$I$4:$I$1463,"&lt;&gt;")*$A151*100/100,0)),MASTER!$Y$4:$Y$1463,0))),NA()),IF($B$4="COMBAT RATING",IFERROR(IF(INDEX(MASTER!$G$4:$G$1463,MATCH("VENGEANCE"&amp;"|"&amp;MAX(1,ROUND(COUNTIFS(MASTER!$B$4:$B$1463,"VENGEANCE",MASTER!$G$4:$G$1463,"&lt;&gt;")*$A151*100/100,0)),MASTER!$AH$4:$AH$1463,0))="",NA(),INDEX(MASTER!$G$4:$G$1463,MATCH("VENGEANCE"&amp;"|"&amp;MAX(1,ROUND(COUNTIFS(MASTER!$B$4:$B$1463,"VENGEANCE",MASTER!$G$4:$G$1463,"&lt;&gt;")*$A151*100/100,0)),MASTER!$AH$4:$AH$1463,0))),NA()),IF($B$4="SECONDARY",IFERROR(IF(INDEX(MASTER!$L$4:$L$1463,MATCH("VENGEANCE"&amp;"|"&amp;MAX(1,ROUND(COUNTIFS(MASTER!$B$4:$B$1463,"VENGEANCE",MASTER!$L$4:$L$1463,"&lt;&gt;")*$A151*100/100,0)),MASTER!$AI$4:$AI$1463,0))="",NA(),INDEX(MASTER!$L$4:$L$1463,MATCH("VENGEANCE"&amp;"|"&amp;MAX(1,ROUND(COUNTIFS(MASTER!$B$4:$B$1463,"VENGEANCE",MASTER!$L$4:$L$1463,"&lt;&gt;")*$A151*100/100,0)),MASTER!$AI$4:$AI$1463,0))),NA()))))</f>
        <v>1680</v>
      </c>
      <c r="N151" s="37">
        <f>IF($B$4="RESONANCE",IFERROR(IF(INDEX(MASTER!$I$4:$I$1463,MATCH("VENDETTA"&amp;"|"&amp;MAX(1,ROUND(COUNTIFS(MASTER!$B$4:$B$1463,"VENDETTA",MASTER!$I$4:$I$1463,"&lt;&gt;")*$A151*100/100,0)),MASTER!$Y$4:$Y$1463,0))="",NA(),INDEX(MASTER!$I$4:$I$1463,MATCH("VENDETTA"&amp;"|"&amp;MAX(1,ROUND(COUNTIFS(MASTER!$B$4:$B$1463,"VENDETTA",MASTER!$I$4:$I$1463,"&lt;&gt;")*$A151*100/100,0)),MASTER!$Y$4:$Y$1463,0))),NA()),IF($B$4="COMBAT RATING",IFERROR(IF(INDEX(MASTER!$G$4:$G$1463,MATCH("VENDETTA"&amp;"|"&amp;MAX(1,ROUND(COUNTIFS(MASTER!$B$4:$B$1463,"VENDETTA",MASTER!$G$4:$G$1463,"&lt;&gt;")*$A151*100/100,0)),MASTER!$AH$4:$AH$1463,0))="",NA(),INDEX(MASTER!$G$4:$G$1463,MATCH("VENDETTA"&amp;"|"&amp;MAX(1,ROUND(COUNTIFS(MASTER!$B$4:$B$1463,"VENDETTA",MASTER!$G$4:$G$1463,"&lt;&gt;")*$A151*100/100,0)),MASTER!$AH$4:$AH$1463,0))),NA()),IF($B$4="SECONDARY",IFERROR(IF(INDEX(MASTER!$L$4:$L$1463,MATCH("VENDETTA"&amp;"|"&amp;MAX(1,ROUND(COUNTIFS(MASTER!$B$4:$B$1463,"VENDETTA",MASTER!$L$4:$L$1463,"&lt;&gt;")*$A151*100/100,0)),MASTER!$AI$4:$AI$1463,0))="",NA(),INDEX(MASTER!$L$4:$L$1463,MATCH("VENDETTA"&amp;"|"&amp;MAX(1,ROUND(COUNTIFS(MASTER!$B$4:$B$1463,"VENDETTA",MASTER!$L$4:$L$1463,"&lt;&gt;")*$A151*100/100,0)),MASTER!$AI$4:$AI$1463,0))),NA()))))</f>
        <v>825</v>
      </c>
      <c r="O151" s="37">
        <f>IF($B$4="RESONANCE",IFERROR(IF(INDEX(MASTER!$I$4:$I$1463,MATCH("ZOMBIES"&amp;"|"&amp;MAX(1,ROUND(COUNTIFS(MASTER!$B$4:$B$1463,"ZOMBIES",MASTER!$I$4:$I$1463,"&lt;&gt;")*$A151*100/100,0)),MASTER!$Y$4:$Y$1463,0))="",NA(),INDEX(MASTER!$I$4:$I$1463,MATCH("ZOMBIES"&amp;"|"&amp;MAX(1,ROUND(COUNTIFS(MASTER!$B$4:$B$1463,"ZOMBIES",MASTER!$I$4:$I$1463,"&lt;&gt;")*$A151*100/100,0)),MASTER!$Y$4:$Y$1463,0))),NA()),IF($B$4="COMBAT RATING",IFERROR(IF(INDEX(MASTER!$G$4:$G$1463,MATCH("ZOMBIES"&amp;"|"&amp;MAX(1,ROUND(COUNTIFS(MASTER!$B$4:$B$1463,"ZOMBIES",MASTER!$G$4:$G$1463,"&lt;&gt;")*$A151*100/100,0)),MASTER!$AH$4:$AH$1463,0))="",NA(),INDEX(MASTER!$G$4:$G$1463,MATCH("ZOMBIES"&amp;"|"&amp;MAX(1,ROUND(COUNTIFS(MASTER!$B$4:$B$1463,"ZOMBIES",MASTER!$G$4:$G$1463,"&lt;&gt;")*$A151*100/100,0)),MASTER!$AH$4:$AH$1463,0))),NA()),IF($B$4="SECONDARY",IFERROR(IF(INDEX(MASTER!$L$4:$L$1463,MATCH("ZOMBIES"&amp;"|"&amp;MAX(1,ROUND(COUNTIFS(MASTER!$B$4:$B$1463,"ZOMBIES",MASTER!$L$4:$L$1463,"&lt;&gt;")*$A151*100/100,0)),MASTER!$AI$4:$AI$1463,0))="",NA(),INDEX(MASTER!$L$4:$L$1463,MATCH("ZOMBIES"&amp;"|"&amp;MAX(1,ROUND(COUNTIFS(MASTER!$B$4:$B$1463,"ZOMBIES",MASTER!$L$4:$L$1463,"&lt;&gt;")*$A151*100/100,0)),MASTER!$AI$4:$AI$1463,0))),NA()))))</f>
        <v>600</v>
      </c>
      <c r="P151" s="37">
        <f>IF($B$4="RESONANCE",IFERROR(IF(INDEX(MASTER!$I$4:$I$1463,MATCH("FUCT"&amp;"|"&amp;MAX(1,ROUND(COUNTIFS(MASTER!$B$4:$B$1463,"FUCT",MASTER!$I$4:$I$1463,"&lt;&gt;")*$A151*100/100,0)),MASTER!$Y$4:$Y$1463,0))="",NA(),INDEX(MASTER!$I$4:$I$1463,MATCH("FUCT"&amp;"|"&amp;MAX(1,ROUND(COUNTIFS(MASTER!$B$4:$B$1463,"FUCT",MASTER!$I$4:$I$1463,"&lt;&gt;")*$A151*100/100,0)),MASTER!$Y$4:$Y$1463,0))),NA()),IF($B$4="COMBAT RATING",IFERROR(IF(INDEX(MASTER!$G$4:$G$1463,MATCH("FUCT"&amp;"|"&amp;MAX(1,ROUND(COUNTIFS(MASTER!$B$4:$B$1463,"FUCT",MASTER!$G$4:$G$1463,"&lt;&gt;")*$A151*100/100,0)),MASTER!$AH$4:$AH$1463,0))="",NA(),INDEX(MASTER!$G$4:$G$1463,MATCH("FUCT"&amp;"|"&amp;MAX(1,ROUND(COUNTIFS(MASTER!$B$4:$B$1463,"FUCT",MASTER!$G$4:$G$1463,"&lt;&gt;")*$A151*100/100,0)),MASTER!$AH$4:$AH$1463,0))),NA()),IF($B$4="SECONDARY",IFERROR(IF(INDEX(MASTER!$L$4:$L$1463,MATCH("FUCT"&amp;"|"&amp;MAX(1,ROUND(COUNTIFS(MASTER!$B$4:$B$1463,"FUCT",MASTER!$L$4:$L$1463,"&lt;&gt;")*$A151*100/100,0)),MASTER!$AI$4:$AI$1463,0))="",NA(),INDEX(MASTER!$L$4:$L$1463,MATCH("FUCT"&amp;"|"&amp;MAX(1,ROUND(COUNTIFS(MASTER!$B$4:$B$1463,"FUCT",MASTER!$L$4:$L$1463,"&lt;&gt;")*$A151*100/100,0)),MASTER!$AI$4:$AI$1463,0))),NA()))))</f>
        <v>2830</v>
      </c>
      <c r="Q151" s="37">
        <f>IF($B$4="RESONANCE",IFERROR(IF(INDEX(MASTER!$I$4:$I$1463,MATCH($E$4&amp;"|"&amp;MAX(1,ROUND(COUNTIFS(MASTER!$B$4:$B$1463,$E$4,MASTER!$I$4:$I$1463,"&lt;&gt;")*$A151*100/100,0)),MASTER!$Y$4:$Y$1463,0))="",NA(),INDEX(MASTER!$I$4:$I$1463,MATCH($E$4&amp;"|"&amp;MAX(1,ROUND(COUNTIFS(MASTER!$B$4:$B$1463,$E$4,MASTER!$I$4:$I$1463,"&lt;&gt;")*$A151*100/100,0)),MASTER!$Y$4:$Y$1463,0))),NA()),IF($B$4="COMBAT RATING",IFERROR(IF(INDEX(MASTER!$G$4:$G$1463,MATCH($E$4&amp;"|"&amp;MAX(1,ROUND(COUNTIFS(MASTER!$B$4:$B$1463,$E$4,MASTER!$G$4:$G$1463,"&lt;&gt;")*$A151*100/100,0)),MASTER!$AH$4:$AH$1463,0))="",NA(),INDEX(MASTER!$G$4:$G$1463,MATCH($E$4&amp;"|"&amp;MAX(1,ROUND(COUNTIFS(MASTER!$B$4:$B$1463,$E$4,MASTER!$G$4:$G$1463,"&lt;&gt;")*$A151*100/100,0)),MASTER!$AH$4:$AH$1463,0))),NA()),IF($B$4="SECONDARY",IFERROR(IF(INDEX(MASTER!$L$4:$L$1463,MATCH($E$4&amp;"|"&amp;MAX(1,ROUND(COUNTIFS(MASTER!$B$4:$B$1463,$E$4,MASTER!$L$4:$L$1463,"&lt;&gt;")*$A151*100/100,0)),MASTER!$AI$4:$AI$1463,0))="",NA(),INDEX(MASTER!$L$4:$L$1463,MATCH($E$4&amp;"|"&amp;MAX(1,ROUND(COUNTIFS(MASTER!$B$4:$B$1463,$E$4,MASTER!$L$4:$L$1463,"&lt;&gt;")*$A151*100/100,0)),MASTER!$AI$4:$AI$1463,0))),NA()))))</f>
        <v>2280</v>
      </c>
    </row>
    <row r="152" spans="1:17" hidden="1">
      <c r="A152" s="36">
        <v>0.97</v>
      </c>
      <c r="B152" s="37">
        <f>IF($B$4="RESONANCE",IFERROR(IF(INDEX(MASTER!$I$4:$I$1463,MATCH("FUCT"&amp;"|"&amp;MAX(1,ROUND(COUNTIFS(MASTER!$B$4:$B$1463,"FUCT",MASTER!$I$4:$I$1463,"&lt;&gt;")*$A152*100/100,0)),MASTER!$Y$4:$Y$1463,0))="",NA(),INDEX(MASTER!$I$4:$I$1463,MATCH("FUCT"&amp;"|"&amp;MAX(1,ROUND(COUNTIFS(MASTER!$B$4:$B$1463,"FUCT",MASTER!$I$4:$I$1463,"&lt;&gt;")*$A152*100/100,0)),MASTER!$Y$4:$Y$1463,0))),NA()),IF($B$4="COMBAT RATING",IFERROR(IF(INDEX(MASTER!$G$4:$G$1463,MATCH("FUCT"&amp;"|"&amp;MAX(1,ROUND(COUNTIFS(MASTER!$B$4:$B$1463,"FUCT",MASTER!$G$4:$G$1463,"&lt;&gt;")*$A152*100/100,0)),MASTER!$AH$4:$AH$1463,0))="",NA(),INDEX(MASTER!$G$4:$G$1463,MATCH("FUCT"&amp;"|"&amp;MAX(1,ROUND(COUNTIFS(MASTER!$B$4:$B$1463,"FUCT",MASTER!$G$4:$G$1463,"&lt;&gt;")*$A152*100/100,0)),MASTER!$AH$4:$AH$1463,0))),NA()),IF($B$4="SECONDARY",IFERROR(IF(INDEX(MASTER!$L$4:$L$1463,MATCH("FUCT"&amp;"|"&amp;MAX(1,ROUND(COUNTIFS(MASTER!$B$4:$B$1463,"FUCT",MASTER!$L$4:$L$1463,"&lt;&gt;")*$A152*100/100,0)),MASTER!$AI$4:$AI$1463,0))="",NA(),INDEX(MASTER!$L$4:$L$1463,MATCH("FUCT"&amp;"|"&amp;MAX(1,ROUND(COUNTIFS(MASTER!$B$4:$B$1463,"FUCT",MASTER!$L$4:$L$1463,"&lt;&gt;")*$A152*100/100,0)),MASTER!$AI$4:$AI$1463,0))),NA()))))</f>
        <v>2768</v>
      </c>
      <c r="C152" s="37">
        <f>IF($B$4="RESONANCE",IFERROR(IF(INDEX(MASTER!$I$4:$I$1463,MATCH("LEGENDS"&amp;"|"&amp;MAX(1,ROUND(COUNTIFS(MASTER!$B$4:$B$1463,"LEGENDS",MASTER!$I$4:$I$1463,"&lt;&gt;")*$A152*100/100,0)),MASTER!$Y$4:$Y$1463,0))="",NA(),INDEX(MASTER!$I$4:$I$1463,MATCH("LEGENDS"&amp;"|"&amp;MAX(1,ROUND(COUNTIFS(MASTER!$B$4:$B$1463,"LEGENDS",MASTER!$I$4:$I$1463,"&lt;&gt;")*$A152*100/100,0)),MASTER!$Y$4:$Y$1463,0))),NA()),IF($B$4="COMBAT RATING",IFERROR(IF(INDEX(MASTER!$G$4:$G$1463,MATCH("LEGENDS"&amp;"|"&amp;MAX(1,ROUND(COUNTIFS(MASTER!$B$4:$B$1463,"LEGENDS",MASTER!$G$4:$G$1463,"&lt;&gt;")*$A152*100/100,0)),MASTER!$AH$4:$AH$1463,0))="",NA(),INDEX(MASTER!$G$4:$G$1463,MATCH("LEGENDS"&amp;"|"&amp;MAX(1,ROUND(COUNTIFS(MASTER!$B$4:$B$1463,"LEGENDS",MASTER!$G$4:$G$1463,"&lt;&gt;")*$A152*100/100,0)),MASTER!$AH$4:$AH$1463,0))),NA()),IF($B$4="SECONDARY",IFERROR(IF(INDEX(MASTER!$L$4:$L$1463,MATCH("LEGENDS"&amp;"|"&amp;MAX(1,ROUND(COUNTIFS(MASTER!$B$4:$B$1463,"LEGENDS",MASTER!$L$4:$L$1463,"&lt;&gt;")*$A152*100/100,0)),MASTER!$AI$4:$AI$1463,0))="",NA(),INDEX(MASTER!$L$4:$L$1463,MATCH("LEGENDS"&amp;"|"&amp;MAX(1,ROUND(COUNTIFS(MASTER!$B$4:$B$1463,"LEGENDS",MASTER!$L$4:$L$1463,"&lt;&gt;")*$A152*100/100,0)),MASTER!$AI$4:$AI$1463,0))),NA()))))</f>
        <v>3012</v>
      </c>
      <c r="D152" s="37">
        <f>IF($B$4="RESONANCE",IFERROR(IF(INDEX(MASTER!$I$4:$I$1463,MATCH("VANGUARD"&amp;"|"&amp;MAX(1,ROUND(COUNTIFS(MASTER!$B$4:$B$1463,"VANGUARD",MASTER!$I$4:$I$1463,"&lt;&gt;")*$A152*100/100,0)),MASTER!$Y$4:$Y$1463,0))="",NA(),INDEX(MASTER!$I$4:$I$1463,MATCH("VANGUARD"&amp;"|"&amp;MAX(1,ROUND(COUNTIFS(MASTER!$B$4:$B$1463,"VANGUARD",MASTER!$I$4:$I$1463,"&lt;&gt;")*$A152*100/100,0)),MASTER!$Y$4:$Y$1463,0))),NA()),IF($B$4="COMBAT RATING",IFERROR(IF(INDEX(MASTER!$G$4:$G$1463,MATCH("VANGUARD"&amp;"|"&amp;MAX(1,ROUND(COUNTIFS(MASTER!$B$4:$B$1463,"VANGUARD",MASTER!$G$4:$G$1463,"&lt;&gt;")*$A152*100/100,0)),MASTER!$AH$4:$AH$1463,0))="",NA(),INDEX(MASTER!$G$4:$G$1463,MATCH("VANGUARD"&amp;"|"&amp;MAX(1,ROUND(COUNTIFS(MASTER!$B$4:$B$1463,"VANGUARD",MASTER!$G$4:$G$1463,"&lt;&gt;")*$A152*100/100,0)),MASTER!$AH$4:$AH$1463,0))),NA()),IF($B$4="SECONDARY",IFERROR(IF(INDEX(MASTER!$L$4:$L$1463,MATCH("VANGUARD"&amp;"|"&amp;MAX(1,ROUND(COUNTIFS(MASTER!$B$4:$B$1463,"VANGUARD",MASTER!$L$4:$L$1463,"&lt;&gt;")*$A152*100/100,0)),MASTER!$AI$4:$AI$1463,0))="",NA(),INDEX(MASTER!$L$4:$L$1463,MATCH("VANGUARD"&amp;"|"&amp;MAX(1,ROUND(COUNTIFS(MASTER!$B$4:$B$1463,"VANGUARD",MASTER!$L$4:$L$1463,"&lt;&gt;")*$A152*100/100,0)),MASTER!$AI$4:$AI$1463,0))),NA()))))</f>
        <v>2206</v>
      </c>
      <c r="E152" s="37">
        <f>IF($B$4="RESONANCE",IFERROR(IF(INDEX(MASTER!$I$4:$I$1463,MATCH("UNDYING"&amp;"|"&amp;MAX(1,ROUND(COUNTIFS(MASTER!$B$4:$B$1463,"UNDYING",MASTER!$I$4:$I$1463,"&lt;&gt;")*$A152*100/100,0)),MASTER!$Y$4:$Y$1463,0))="",NA(),INDEX(MASTER!$I$4:$I$1463,MATCH("UNDYING"&amp;"|"&amp;MAX(1,ROUND(COUNTIFS(MASTER!$B$4:$B$1463,"UNDYING",MASTER!$I$4:$I$1463,"&lt;&gt;")*$A152*100/100,0)),MASTER!$Y$4:$Y$1463,0))),NA()),IF($B$4="COMBAT RATING",IFERROR(IF(INDEX(MASTER!$G$4:$G$1463,MATCH("UNDYING"&amp;"|"&amp;MAX(1,ROUND(COUNTIFS(MASTER!$B$4:$B$1463,"UNDYING",MASTER!$G$4:$G$1463,"&lt;&gt;")*$A152*100/100,0)),MASTER!$AH$4:$AH$1463,0))="",NA(),INDEX(MASTER!$G$4:$G$1463,MATCH("UNDYING"&amp;"|"&amp;MAX(1,ROUND(COUNTIFS(MASTER!$B$4:$B$1463,"UNDYING",MASTER!$G$4:$G$1463,"&lt;&gt;")*$A152*100/100,0)),MASTER!$AH$4:$AH$1463,0))),NA()),IF($B$4="SECONDARY",IFERROR(IF(INDEX(MASTER!$L$4:$L$1463,MATCH("UNDYING"&amp;"|"&amp;MAX(1,ROUND(COUNTIFS(MASTER!$B$4:$B$1463,"UNDYING",MASTER!$L$4:$L$1463,"&lt;&gt;")*$A152*100/100,0)),MASTER!$AI$4:$AI$1463,0))="",NA(),INDEX(MASTER!$L$4:$L$1463,MATCH("UNDYING"&amp;"|"&amp;MAX(1,ROUND(COUNTIFS(MASTER!$B$4:$B$1463,"UNDYING",MASTER!$L$4:$L$1463,"&lt;&gt;")*$A152*100/100,0)),MASTER!$AI$4:$AI$1463,0))),NA()))))</f>
        <v>2230</v>
      </c>
      <c r="F152" s="37">
        <f>IF($B$4="RESONANCE",IFERROR(IF(INDEX(MASTER!$I$4:$I$1463,MATCH("SBG"&amp;"|"&amp;MAX(1,ROUND(COUNTIFS(MASTER!$B$4:$B$1463,"SBG",MASTER!$I$4:$I$1463,"&lt;&gt;")*$A152*100/100,0)),MASTER!$Y$4:$Y$1463,0))="",NA(),INDEX(MASTER!$I$4:$I$1463,MATCH("SBG"&amp;"|"&amp;MAX(1,ROUND(COUNTIFS(MASTER!$B$4:$B$1463,"SBG",MASTER!$I$4:$I$1463,"&lt;&gt;")*$A152*100/100,0)),MASTER!$Y$4:$Y$1463,0))),NA()),IF($B$4="COMBAT RATING",IFERROR(IF(INDEX(MASTER!$G$4:$G$1463,MATCH("SBG"&amp;"|"&amp;MAX(1,ROUND(COUNTIFS(MASTER!$B$4:$B$1463,"SBG",MASTER!$G$4:$G$1463,"&lt;&gt;")*$A152*100/100,0)),MASTER!$AH$4:$AH$1463,0))="",NA(),INDEX(MASTER!$G$4:$G$1463,MATCH("SBG"&amp;"|"&amp;MAX(1,ROUND(COUNTIFS(MASTER!$B$4:$B$1463,"SBG",MASTER!$G$4:$G$1463,"&lt;&gt;")*$A152*100/100,0)),MASTER!$AH$4:$AH$1463,0))),NA()),IF($B$4="SECONDARY",IFERROR(IF(INDEX(MASTER!$L$4:$L$1463,MATCH("SBG"&amp;"|"&amp;MAX(1,ROUND(COUNTIFS(MASTER!$B$4:$B$1463,"SBG",MASTER!$L$4:$L$1463,"&lt;&gt;")*$A152*100/100,0)),MASTER!$AI$4:$AI$1463,0))="",NA(),INDEX(MASTER!$L$4:$L$1463,MATCH("SBG"&amp;"|"&amp;MAX(1,ROUND(COUNTIFS(MASTER!$B$4:$B$1463,"SBG",MASTER!$L$4:$L$1463,"&lt;&gt;")*$A152*100/100,0)),MASTER!$AI$4:$AI$1463,0))),NA()))))</f>
        <v>2831</v>
      </c>
      <c r="G152" s="37">
        <f>IF($B$4="RESONANCE",IFERROR(IF(INDEX(MASTER!$I$4:$I$1463,MATCH("AZUKI"&amp;"|"&amp;MAX(1,ROUND(COUNTIFS(MASTER!$B$4:$B$1463,"AZUKI",MASTER!$I$4:$I$1463,"&lt;&gt;")*$A152*100/100,0)),MASTER!$Y$4:$Y$1463,0))="",NA(),INDEX(MASTER!$I$4:$I$1463,MATCH("AZUKI"&amp;"|"&amp;MAX(1,ROUND(COUNTIFS(MASTER!$B$4:$B$1463,"AZUKI",MASTER!$I$4:$I$1463,"&lt;&gt;")*$A152*100/100,0)),MASTER!$Y$4:$Y$1463,0))),NA()),IF($B$4="COMBAT RATING",IFERROR(IF(INDEX(MASTER!$G$4:$G$1463,MATCH("AZUKI"&amp;"|"&amp;MAX(1,ROUND(COUNTIFS(MASTER!$B$4:$B$1463,"AZUKI",MASTER!$G$4:$G$1463,"&lt;&gt;")*$A152*100/100,0)),MASTER!$AH$4:$AH$1463,0))="",NA(),INDEX(MASTER!$G$4:$G$1463,MATCH("AZUKI"&amp;"|"&amp;MAX(1,ROUND(COUNTIFS(MASTER!$B$4:$B$1463,"AZUKI",MASTER!$G$4:$G$1463,"&lt;&gt;")*$A152*100/100,0)),MASTER!$AH$4:$AH$1463,0))),NA()),IF($B$4="SECONDARY",IFERROR(IF(INDEX(MASTER!$L$4:$L$1463,MATCH("AZUKI"&amp;"|"&amp;MAX(1,ROUND(COUNTIFS(MASTER!$B$4:$B$1463,"AZUKI",MASTER!$L$4:$L$1463,"&lt;&gt;")*$A152*100/100,0)),MASTER!$AI$4:$AI$1463,0))="",NA(),INDEX(MASTER!$L$4:$L$1463,MATCH("AZUKI"&amp;"|"&amp;MAX(1,ROUND(COUNTIFS(MASTER!$B$4:$B$1463,"AZUKI",MASTER!$L$4:$L$1463,"&lt;&gt;")*$A152*100/100,0)),MASTER!$AI$4:$AI$1463,0))),NA()))))</f>
        <v>2714</v>
      </c>
      <c r="H152" s="37">
        <f>IF($B$4="RESONANCE",IFERROR(IF(INDEX(MASTER!$I$4:$I$1463,MATCH("RECKONING"&amp;"|"&amp;MAX(1,ROUND(COUNTIFS(MASTER!$B$4:$B$1463,"RECKONING",MASTER!$I$4:$I$1463,"&lt;&gt;")*$A152*100/100,0)),MASTER!$Y$4:$Y$1463,0))="",NA(),INDEX(MASTER!$I$4:$I$1463,MATCH("RECKONING"&amp;"|"&amp;MAX(1,ROUND(COUNTIFS(MASTER!$B$4:$B$1463,"RECKONING",MASTER!$I$4:$I$1463,"&lt;&gt;")*$A152*100/100,0)),MASTER!$Y$4:$Y$1463,0))),NA()),IF($B$4="COMBAT RATING",IFERROR(IF(INDEX(MASTER!$G$4:$G$1463,MATCH("RECKONING"&amp;"|"&amp;MAX(1,ROUND(COUNTIFS(MASTER!$B$4:$B$1463,"RECKONING",MASTER!$G$4:$G$1463,"&lt;&gt;")*$A152*100/100,0)),MASTER!$AH$4:$AH$1463,0))="",NA(),INDEX(MASTER!$G$4:$G$1463,MATCH("RECKONING"&amp;"|"&amp;MAX(1,ROUND(COUNTIFS(MASTER!$B$4:$B$1463,"RECKONING",MASTER!$G$4:$G$1463,"&lt;&gt;")*$A152*100/100,0)),MASTER!$AH$4:$AH$1463,0))),NA()),IF($B$4="SECONDARY",IFERROR(IF(INDEX(MASTER!$L$4:$L$1463,MATCH("RECKONING"&amp;"|"&amp;MAX(1,ROUND(COUNTIFS(MASTER!$B$4:$B$1463,"RECKONING",MASTER!$L$4:$L$1463,"&lt;&gt;")*$A152*100/100,0)),MASTER!$AI$4:$AI$1463,0))="",NA(),INDEX(MASTER!$L$4:$L$1463,MATCH("RECKONING"&amp;"|"&amp;MAX(1,ROUND(COUNTIFS(MASTER!$B$4:$B$1463,"RECKONING",MASTER!$L$4:$L$1463,"&lt;&gt;")*$A152*100/100,0)),MASTER!$AI$4:$AI$1463,0))),NA()))))</f>
        <v>2273</v>
      </c>
      <c r="I152" s="37">
        <f>IF($B$4="RESONANCE",IFERROR(IF(INDEX(MASTER!$I$4:$I$1463,MATCH("ACHERON"&amp;"|"&amp;MAX(1,ROUND(COUNTIFS(MASTER!$B$4:$B$1463,"ACHERON",MASTER!$I$4:$I$1463,"&lt;&gt;")*$A152*100/100,0)),MASTER!$Y$4:$Y$1463,0))="",NA(),INDEX(MASTER!$I$4:$I$1463,MATCH("ACHERON"&amp;"|"&amp;MAX(1,ROUND(COUNTIFS(MASTER!$B$4:$B$1463,"ACHERON",MASTER!$I$4:$I$1463,"&lt;&gt;")*$A152*100/100,0)),MASTER!$Y$4:$Y$1463,0))),NA()),IF($B$4="COMBAT RATING",IFERROR(IF(INDEX(MASTER!$G$4:$G$1463,MATCH("ACHERON"&amp;"|"&amp;MAX(1,ROUND(COUNTIFS(MASTER!$B$4:$B$1463,"ACHERON",MASTER!$G$4:$G$1463,"&lt;&gt;")*$A152*100/100,0)),MASTER!$AH$4:$AH$1463,0))="",NA(),INDEX(MASTER!$G$4:$G$1463,MATCH("ACHERON"&amp;"|"&amp;MAX(1,ROUND(COUNTIFS(MASTER!$B$4:$B$1463,"ACHERON",MASTER!$G$4:$G$1463,"&lt;&gt;")*$A152*100/100,0)),MASTER!$AH$4:$AH$1463,0))),NA()),IF($B$4="SECONDARY",IFERROR(IF(INDEX(MASTER!$L$4:$L$1463,MATCH("ACHERON"&amp;"|"&amp;MAX(1,ROUND(COUNTIFS(MASTER!$B$4:$B$1463,"ACHERON",MASTER!$L$4:$L$1463,"&lt;&gt;")*$A152*100/100,0)),MASTER!$AI$4:$AI$1463,0))="",NA(),INDEX(MASTER!$L$4:$L$1463,MATCH("ACHERON"&amp;"|"&amp;MAX(1,ROUND(COUNTIFS(MASTER!$B$4:$B$1463,"ACHERON",MASTER!$L$4:$L$1463,"&lt;&gt;")*$A152*100/100,0)),MASTER!$AI$4:$AI$1463,0))),NA()))))</f>
        <v>1095</v>
      </c>
      <c r="J152" s="37">
        <f>IF($B$4="RESONANCE",IFERROR(IF(INDEX(MASTER!$I$4:$I$1463,MATCH("INVICTUS"&amp;"|"&amp;MAX(1,ROUND(COUNTIFS(MASTER!$B$4:$B$1463,"INVICTUS",MASTER!$I$4:$I$1463,"&lt;&gt;")*$A152*100/100,0)),MASTER!$Y$4:$Y$1463,0))="",NA(),INDEX(MASTER!$I$4:$I$1463,MATCH("INVICTUS"&amp;"|"&amp;MAX(1,ROUND(COUNTIFS(MASTER!$B$4:$B$1463,"INVICTUS",MASTER!$I$4:$I$1463,"&lt;&gt;")*$A152*100/100,0)),MASTER!$Y$4:$Y$1463,0))),NA()),IF($B$4="COMBAT RATING",IFERROR(IF(INDEX(MASTER!$G$4:$G$1463,MATCH("INVICTUS"&amp;"|"&amp;MAX(1,ROUND(COUNTIFS(MASTER!$B$4:$B$1463,"INVICTUS",MASTER!$G$4:$G$1463,"&lt;&gt;")*$A152*100/100,0)),MASTER!$AH$4:$AH$1463,0))="",NA(),INDEX(MASTER!$G$4:$G$1463,MATCH("INVICTUS"&amp;"|"&amp;MAX(1,ROUND(COUNTIFS(MASTER!$B$4:$B$1463,"INVICTUS",MASTER!$G$4:$G$1463,"&lt;&gt;")*$A152*100/100,0)),MASTER!$AH$4:$AH$1463,0))),NA()),IF($B$4="SECONDARY",IFERROR(IF(INDEX(MASTER!$L$4:$L$1463,MATCH("INVICTUS"&amp;"|"&amp;MAX(1,ROUND(COUNTIFS(MASTER!$B$4:$B$1463,"INVICTUS",MASTER!$L$4:$L$1463,"&lt;&gt;")*$A152*100/100,0)),MASTER!$AI$4:$AI$1463,0))="",NA(),INDEX(MASTER!$L$4:$L$1463,MATCH("INVICTUS"&amp;"|"&amp;MAX(1,ROUND(COUNTIFS(MASTER!$B$4:$B$1463,"INVICTUS",MASTER!$L$4:$L$1463,"&lt;&gt;")*$A152*100/100,0)),MASTER!$AI$4:$AI$1463,0))),NA()))))</f>
        <v>1000</v>
      </c>
      <c r="K152" s="37">
        <f>IF($B$4="RESONANCE",IFERROR(IF(INDEX(MASTER!$I$4:$I$1463,MATCH("EMERALD LEAF TRIBE"&amp;"|"&amp;MAX(1,ROUND(COUNTIFS(MASTER!$B$4:$B$1463,"EMERALD LEAF TRIBE",MASTER!$I$4:$I$1463,"&lt;&gt;")*$A152*100/100,0)),MASTER!$Y$4:$Y$1463,0))="",NA(),INDEX(MASTER!$I$4:$I$1463,MATCH("EMERALD LEAF TRIBE"&amp;"|"&amp;MAX(1,ROUND(COUNTIFS(MASTER!$B$4:$B$1463,"EMERALD LEAF TRIBE",MASTER!$I$4:$I$1463,"&lt;&gt;")*$A152*100/100,0)),MASTER!$Y$4:$Y$1463,0))),NA()),IF($B$4="COMBAT RATING",IFERROR(IF(INDEX(MASTER!$G$4:$G$1463,MATCH("EMERALD LEAF TRIBE"&amp;"|"&amp;MAX(1,ROUND(COUNTIFS(MASTER!$B$4:$B$1463,"EMERALD LEAF TRIBE",MASTER!$G$4:$G$1463,"&lt;&gt;")*$A152*100/100,0)),MASTER!$AH$4:$AH$1463,0))="",NA(),INDEX(MASTER!$G$4:$G$1463,MATCH("EMERALD LEAF TRIBE"&amp;"|"&amp;MAX(1,ROUND(COUNTIFS(MASTER!$B$4:$B$1463,"EMERALD LEAF TRIBE",MASTER!$G$4:$G$1463,"&lt;&gt;")*$A152*100/100,0)),MASTER!$AH$4:$AH$1463,0))),NA()),IF($B$4="SECONDARY",IFERROR(IF(INDEX(MASTER!$L$4:$L$1463,MATCH("EMERALD LEAF TRIBE"&amp;"|"&amp;MAX(1,ROUND(COUNTIFS(MASTER!$B$4:$B$1463,"EMERALD LEAF TRIBE",MASTER!$L$4:$L$1463,"&lt;&gt;")*$A152*100/100,0)),MASTER!$AI$4:$AI$1463,0))="",NA(),INDEX(MASTER!$L$4:$L$1463,MATCH("EMERALD LEAF TRIBE"&amp;"|"&amp;MAX(1,ROUND(COUNTIFS(MASTER!$B$4:$B$1463,"EMERALD LEAF TRIBE",MASTER!$L$4:$L$1463,"&lt;&gt;")*$A152*100/100,0)),MASTER!$AI$4:$AI$1463,0))),NA()))))</f>
        <v>562</v>
      </c>
      <c r="L152" s="37">
        <f>IF($B$4="RESONANCE",IFERROR(IF(INDEX(MASTER!$I$4:$I$1463,MATCH("SUB ROSA"&amp;"|"&amp;MAX(1,ROUND(COUNTIFS(MASTER!$B$4:$B$1463,"SUB ROSA",MASTER!$I$4:$I$1463,"&lt;&gt;")*$A152*100/100,0)),MASTER!$Y$4:$Y$1463,0))="",NA(),INDEX(MASTER!$I$4:$I$1463,MATCH("SUB ROSA"&amp;"|"&amp;MAX(1,ROUND(COUNTIFS(MASTER!$B$4:$B$1463,"SUB ROSA",MASTER!$I$4:$I$1463,"&lt;&gt;")*$A152*100/100,0)),MASTER!$Y$4:$Y$1463,0))),NA()),IF($B$4="COMBAT RATING",IFERROR(IF(INDEX(MASTER!$G$4:$G$1463,MATCH("SUB ROSA"&amp;"|"&amp;MAX(1,ROUND(COUNTIFS(MASTER!$B$4:$B$1463,"SUB ROSA",MASTER!$G$4:$G$1463,"&lt;&gt;")*$A152*100/100,0)),MASTER!$AH$4:$AH$1463,0))="",NA(),INDEX(MASTER!$G$4:$G$1463,MATCH("SUB ROSA"&amp;"|"&amp;MAX(1,ROUND(COUNTIFS(MASTER!$B$4:$B$1463,"SUB ROSA",MASTER!$G$4:$G$1463,"&lt;&gt;")*$A152*100/100,0)),MASTER!$AH$4:$AH$1463,0))),NA()),IF($B$4="SECONDARY",IFERROR(IF(INDEX(MASTER!$L$4:$L$1463,MATCH("SUB ROSA"&amp;"|"&amp;MAX(1,ROUND(COUNTIFS(MASTER!$B$4:$B$1463,"SUB ROSA",MASTER!$L$4:$L$1463,"&lt;&gt;")*$A152*100/100,0)),MASTER!$AI$4:$AI$1463,0))="",NA(),INDEX(MASTER!$L$4:$L$1463,MATCH("SUB ROSA"&amp;"|"&amp;MAX(1,ROUND(COUNTIFS(MASTER!$B$4:$B$1463,"SUB ROSA",MASTER!$L$4:$L$1463,"&lt;&gt;")*$A152*100/100,0)),MASTER!$AI$4:$AI$1463,0))),NA()))))</f>
        <v>620</v>
      </c>
      <c r="M152" s="37">
        <f>IF($B$4="RESONANCE",IFERROR(IF(INDEX(MASTER!$I$4:$I$1463,MATCH("VENGEANCE"&amp;"|"&amp;MAX(1,ROUND(COUNTIFS(MASTER!$B$4:$B$1463,"VENGEANCE",MASTER!$I$4:$I$1463,"&lt;&gt;")*$A152*100/100,0)),MASTER!$Y$4:$Y$1463,0))="",NA(),INDEX(MASTER!$I$4:$I$1463,MATCH("VENGEANCE"&amp;"|"&amp;MAX(1,ROUND(COUNTIFS(MASTER!$B$4:$B$1463,"VENGEANCE",MASTER!$I$4:$I$1463,"&lt;&gt;")*$A152*100/100,0)),MASTER!$Y$4:$Y$1463,0))),NA()),IF($B$4="COMBAT RATING",IFERROR(IF(INDEX(MASTER!$G$4:$G$1463,MATCH("VENGEANCE"&amp;"|"&amp;MAX(1,ROUND(COUNTIFS(MASTER!$B$4:$B$1463,"VENGEANCE",MASTER!$G$4:$G$1463,"&lt;&gt;")*$A152*100/100,0)),MASTER!$AH$4:$AH$1463,0))="",NA(),INDEX(MASTER!$G$4:$G$1463,MATCH("VENGEANCE"&amp;"|"&amp;MAX(1,ROUND(COUNTIFS(MASTER!$B$4:$B$1463,"VENGEANCE",MASTER!$G$4:$G$1463,"&lt;&gt;")*$A152*100/100,0)),MASTER!$AH$4:$AH$1463,0))),NA()),IF($B$4="SECONDARY",IFERROR(IF(INDEX(MASTER!$L$4:$L$1463,MATCH("VENGEANCE"&amp;"|"&amp;MAX(1,ROUND(COUNTIFS(MASTER!$B$4:$B$1463,"VENGEANCE",MASTER!$L$4:$L$1463,"&lt;&gt;")*$A152*100/100,0)),MASTER!$AI$4:$AI$1463,0))="",NA(),INDEX(MASTER!$L$4:$L$1463,MATCH("VENGEANCE"&amp;"|"&amp;MAX(1,ROUND(COUNTIFS(MASTER!$B$4:$B$1463,"VENGEANCE",MASTER!$L$4:$L$1463,"&lt;&gt;")*$A152*100/100,0)),MASTER!$AI$4:$AI$1463,0))),NA()))))</f>
        <v>1680</v>
      </c>
      <c r="N152" s="37">
        <f>IF($B$4="RESONANCE",IFERROR(IF(INDEX(MASTER!$I$4:$I$1463,MATCH("VENDETTA"&amp;"|"&amp;MAX(1,ROUND(COUNTIFS(MASTER!$B$4:$B$1463,"VENDETTA",MASTER!$I$4:$I$1463,"&lt;&gt;")*$A152*100/100,0)),MASTER!$Y$4:$Y$1463,0))="",NA(),INDEX(MASTER!$I$4:$I$1463,MATCH("VENDETTA"&amp;"|"&amp;MAX(1,ROUND(COUNTIFS(MASTER!$B$4:$B$1463,"VENDETTA",MASTER!$I$4:$I$1463,"&lt;&gt;")*$A152*100/100,0)),MASTER!$Y$4:$Y$1463,0))),NA()),IF($B$4="COMBAT RATING",IFERROR(IF(INDEX(MASTER!$G$4:$G$1463,MATCH("VENDETTA"&amp;"|"&amp;MAX(1,ROUND(COUNTIFS(MASTER!$B$4:$B$1463,"VENDETTA",MASTER!$G$4:$G$1463,"&lt;&gt;")*$A152*100/100,0)),MASTER!$AH$4:$AH$1463,0))="",NA(),INDEX(MASTER!$G$4:$G$1463,MATCH("VENDETTA"&amp;"|"&amp;MAX(1,ROUND(COUNTIFS(MASTER!$B$4:$B$1463,"VENDETTA",MASTER!$G$4:$G$1463,"&lt;&gt;")*$A152*100/100,0)),MASTER!$AH$4:$AH$1463,0))),NA()),IF($B$4="SECONDARY",IFERROR(IF(INDEX(MASTER!$L$4:$L$1463,MATCH("VENDETTA"&amp;"|"&amp;MAX(1,ROUND(COUNTIFS(MASTER!$B$4:$B$1463,"VENDETTA",MASTER!$L$4:$L$1463,"&lt;&gt;")*$A152*100/100,0)),MASTER!$AI$4:$AI$1463,0))="",NA(),INDEX(MASTER!$L$4:$L$1463,MATCH("VENDETTA"&amp;"|"&amp;MAX(1,ROUND(COUNTIFS(MASTER!$B$4:$B$1463,"VENDETTA",MASTER!$L$4:$L$1463,"&lt;&gt;")*$A152*100/100,0)),MASTER!$AI$4:$AI$1463,0))),NA()))))</f>
        <v>740</v>
      </c>
      <c r="O152" s="37">
        <f>IF($B$4="RESONANCE",IFERROR(IF(INDEX(MASTER!$I$4:$I$1463,MATCH("ZOMBIES"&amp;"|"&amp;MAX(1,ROUND(COUNTIFS(MASTER!$B$4:$B$1463,"ZOMBIES",MASTER!$I$4:$I$1463,"&lt;&gt;")*$A152*100/100,0)),MASTER!$Y$4:$Y$1463,0))="",NA(),INDEX(MASTER!$I$4:$I$1463,MATCH("ZOMBIES"&amp;"|"&amp;MAX(1,ROUND(COUNTIFS(MASTER!$B$4:$B$1463,"ZOMBIES",MASTER!$I$4:$I$1463,"&lt;&gt;")*$A152*100/100,0)),MASTER!$Y$4:$Y$1463,0))),NA()),IF($B$4="COMBAT RATING",IFERROR(IF(INDEX(MASTER!$G$4:$G$1463,MATCH("ZOMBIES"&amp;"|"&amp;MAX(1,ROUND(COUNTIFS(MASTER!$B$4:$B$1463,"ZOMBIES",MASTER!$G$4:$G$1463,"&lt;&gt;")*$A152*100/100,0)),MASTER!$AH$4:$AH$1463,0))="",NA(),INDEX(MASTER!$G$4:$G$1463,MATCH("ZOMBIES"&amp;"|"&amp;MAX(1,ROUND(COUNTIFS(MASTER!$B$4:$B$1463,"ZOMBIES",MASTER!$G$4:$G$1463,"&lt;&gt;")*$A152*100/100,0)),MASTER!$AH$4:$AH$1463,0))),NA()),IF($B$4="SECONDARY",IFERROR(IF(INDEX(MASTER!$L$4:$L$1463,MATCH("ZOMBIES"&amp;"|"&amp;MAX(1,ROUND(COUNTIFS(MASTER!$B$4:$B$1463,"ZOMBIES",MASTER!$L$4:$L$1463,"&lt;&gt;")*$A152*100/100,0)),MASTER!$AI$4:$AI$1463,0))="",NA(),INDEX(MASTER!$L$4:$L$1463,MATCH("ZOMBIES"&amp;"|"&amp;MAX(1,ROUND(COUNTIFS(MASTER!$B$4:$B$1463,"ZOMBIES",MASTER!$L$4:$L$1463,"&lt;&gt;")*$A152*100/100,0)),MASTER!$AI$4:$AI$1463,0))),NA()))))</f>
        <v>560</v>
      </c>
      <c r="P152" s="37">
        <f>IF($B$4="RESONANCE",IFERROR(IF(INDEX(MASTER!$I$4:$I$1463,MATCH("FUCT"&amp;"|"&amp;MAX(1,ROUND(COUNTIFS(MASTER!$B$4:$B$1463,"FUCT",MASTER!$I$4:$I$1463,"&lt;&gt;")*$A152*100/100,0)),MASTER!$Y$4:$Y$1463,0))="",NA(),INDEX(MASTER!$I$4:$I$1463,MATCH("FUCT"&amp;"|"&amp;MAX(1,ROUND(COUNTIFS(MASTER!$B$4:$B$1463,"FUCT",MASTER!$I$4:$I$1463,"&lt;&gt;")*$A152*100/100,0)),MASTER!$Y$4:$Y$1463,0))),NA()),IF($B$4="COMBAT RATING",IFERROR(IF(INDEX(MASTER!$G$4:$G$1463,MATCH("FUCT"&amp;"|"&amp;MAX(1,ROUND(COUNTIFS(MASTER!$B$4:$B$1463,"FUCT",MASTER!$G$4:$G$1463,"&lt;&gt;")*$A152*100/100,0)),MASTER!$AH$4:$AH$1463,0))="",NA(),INDEX(MASTER!$G$4:$G$1463,MATCH("FUCT"&amp;"|"&amp;MAX(1,ROUND(COUNTIFS(MASTER!$B$4:$B$1463,"FUCT",MASTER!$G$4:$G$1463,"&lt;&gt;")*$A152*100/100,0)),MASTER!$AH$4:$AH$1463,0))),NA()),IF($B$4="SECONDARY",IFERROR(IF(INDEX(MASTER!$L$4:$L$1463,MATCH("FUCT"&amp;"|"&amp;MAX(1,ROUND(COUNTIFS(MASTER!$B$4:$B$1463,"FUCT",MASTER!$L$4:$L$1463,"&lt;&gt;")*$A152*100/100,0)),MASTER!$AI$4:$AI$1463,0))="",NA(),INDEX(MASTER!$L$4:$L$1463,MATCH("FUCT"&amp;"|"&amp;MAX(1,ROUND(COUNTIFS(MASTER!$B$4:$B$1463,"FUCT",MASTER!$L$4:$L$1463,"&lt;&gt;")*$A152*100/100,0)),MASTER!$AI$4:$AI$1463,0))),NA()))))</f>
        <v>2768</v>
      </c>
      <c r="Q152" s="37">
        <f>IF($B$4="RESONANCE",IFERROR(IF(INDEX(MASTER!$I$4:$I$1463,MATCH($E$4&amp;"|"&amp;MAX(1,ROUND(COUNTIFS(MASTER!$B$4:$B$1463,$E$4,MASTER!$I$4:$I$1463,"&lt;&gt;")*$A152*100/100,0)),MASTER!$Y$4:$Y$1463,0))="",NA(),INDEX(MASTER!$I$4:$I$1463,MATCH($E$4&amp;"|"&amp;MAX(1,ROUND(COUNTIFS(MASTER!$B$4:$B$1463,$E$4,MASTER!$I$4:$I$1463,"&lt;&gt;")*$A152*100/100,0)),MASTER!$Y$4:$Y$1463,0))),NA()),IF($B$4="COMBAT RATING",IFERROR(IF(INDEX(MASTER!$G$4:$G$1463,MATCH($E$4&amp;"|"&amp;MAX(1,ROUND(COUNTIFS(MASTER!$B$4:$B$1463,$E$4,MASTER!$G$4:$G$1463,"&lt;&gt;")*$A152*100/100,0)),MASTER!$AH$4:$AH$1463,0))="",NA(),INDEX(MASTER!$G$4:$G$1463,MATCH($E$4&amp;"|"&amp;MAX(1,ROUND(COUNTIFS(MASTER!$B$4:$B$1463,$E$4,MASTER!$G$4:$G$1463,"&lt;&gt;")*$A152*100/100,0)),MASTER!$AH$4:$AH$1463,0))),NA()),IF($B$4="SECONDARY",IFERROR(IF(INDEX(MASTER!$L$4:$L$1463,MATCH($E$4&amp;"|"&amp;MAX(1,ROUND(COUNTIFS(MASTER!$B$4:$B$1463,$E$4,MASTER!$L$4:$L$1463,"&lt;&gt;")*$A152*100/100,0)),MASTER!$AI$4:$AI$1463,0))="",NA(),INDEX(MASTER!$L$4:$L$1463,MATCH($E$4&amp;"|"&amp;MAX(1,ROUND(COUNTIFS(MASTER!$B$4:$B$1463,$E$4,MASTER!$L$4:$L$1463,"&lt;&gt;")*$A152*100/100,0)),MASTER!$AI$4:$AI$1463,0))),NA()))))</f>
        <v>2230</v>
      </c>
    </row>
    <row r="153" spans="1:17" hidden="1">
      <c r="A153" s="36">
        <v>0.98</v>
      </c>
      <c r="B153" s="37">
        <f>IF($B$4="RESONANCE",IFERROR(IF(INDEX(MASTER!$I$4:$I$1463,MATCH("FUCT"&amp;"|"&amp;MAX(1,ROUND(COUNTIFS(MASTER!$B$4:$B$1463,"FUCT",MASTER!$I$4:$I$1463,"&lt;&gt;")*$A153*100/100,0)),MASTER!$Y$4:$Y$1463,0))="",NA(),INDEX(MASTER!$I$4:$I$1463,MATCH("FUCT"&amp;"|"&amp;MAX(1,ROUND(COUNTIFS(MASTER!$B$4:$B$1463,"FUCT",MASTER!$I$4:$I$1463,"&lt;&gt;")*$A153*100/100,0)),MASTER!$Y$4:$Y$1463,0))),NA()),IF($B$4="COMBAT RATING",IFERROR(IF(INDEX(MASTER!$G$4:$G$1463,MATCH("FUCT"&amp;"|"&amp;MAX(1,ROUND(COUNTIFS(MASTER!$B$4:$B$1463,"FUCT",MASTER!$G$4:$G$1463,"&lt;&gt;")*$A153*100/100,0)),MASTER!$AH$4:$AH$1463,0))="",NA(),INDEX(MASTER!$G$4:$G$1463,MATCH("FUCT"&amp;"|"&amp;MAX(1,ROUND(COUNTIFS(MASTER!$B$4:$B$1463,"FUCT",MASTER!$G$4:$G$1463,"&lt;&gt;")*$A153*100/100,0)),MASTER!$AH$4:$AH$1463,0))),NA()),IF($B$4="SECONDARY",IFERROR(IF(INDEX(MASTER!$L$4:$L$1463,MATCH("FUCT"&amp;"|"&amp;MAX(1,ROUND(COUNTIFS(MASTER!$B$4:$B$1463,"FUCT",MASTER!$L$4:$L$1463,"&lt;&gt;")*$A153*100/100,0)),MASTER!$AI$4:$AI$1463,0))="",NA(),INDEX(MASTER!$L$4:$L$1463,MATCH("FUCT"&amp;"|"&amp;MAX(1,ROUND(COUNTIFS(MASTER!$B$4:$B$1463,"FUCT",MASTER!$L$4:$L$1463,"&lt;&gt;")*$A153*100/100,0)),MASTER!$AI$4:$AI$1463,0))),NA()))))</f>
        <v>2649</v>
      </c>
      <c r="C153" s="37">
        <f>IF($B$4="RESONANCE",IFERROR(IF(INDEX(MASTER!$I$4:$I$1463,MATCH("LEGENDS"&amp;"|"&amp;MAX(1,ROUND(COUNTIFS(MASTER!$B$4:$B$1463,"LEGENDS",MASTER!$I$4:$I$1463,"&lt;&gt;")*$A153*100/100,0)),MASTER!$Y$4:$Y$1463,0))="",NA(),INDEX(MASTER!$I$4:$I$1463,MATCH("LEGENDS"&amp;"|"&amp;MAX(1,ROUND(COUNTIFS(MASTER!$B$4:$B$1463,"LEGENDS",MASTER!$I$4:$I$1463,"&lt;&gt;")*$A153*100/100,0)),MASTER!$Y$4:$Y$1463,0))),NA()),IF($B$4="COMBAT RATING",IFERROR(IF(INDEX(MASTER!$G$4:$G$1463,MATCH("LEGENDS"&amp;"|"&amp;MAX(1,ROUND(COUNTIFS(MASTER!$B$4:$B$1463,"LEGENDS",MASTER!$G$4:$G$1463,"&lt;&gt;")*$A153*100/100,0)),MASTER!$AH$4:$AH$1463,0))="",NA(),INDEX(MASTER!$G$4:$G$1463,MATCH("LEGENDS"&amp;"|"&amp;MAX(1,ROUND(COUNTIFS(MASTER!$B$4:$B$1463,"LEGENDS",MASTER!$G$4:$G$1463,"&lt;&gt;")*$A153*100/100,0)),MASTER!$AH$4:$AH$1463,0))),NA()),IF($B$4="SECONDARY",IFERROR(IF(INDEX(MASTER!$L$4:$L$1463,MATCH("LEGENDS"&amp;"|"&amp;MAX(1,ROUND(COUNTIFS(MASTER!$B$4:$B$1463,"LEGENDS",MASTER!$L$4:$L$1463,"&lt;&gt;")*$A153*100/100,0)),MASTER!$AI$4:$AI$1463,0))="",NA(),INDEX(MASTER!$L$4:$L$1463,MATCH("LEGENDS"&amp;"|"&amp;MAX(1,ROUND(COUNTIFS(MASTER!$B$4:$B$1463,"LEGENDS",MASTER!$L$4:$L$1463,"&lt;&gt;")*$A153*100/100,0)),MASTER!$AI$4:$AI$1463,0))),NA()))))</f>
        <v>2940</v>
      </c>
      <c r="D153" s="37">
        <f>IF($B$4="RESONANCE",IFERROR(IF(INDEX(MASTER!$I$4:$I$1463,MATCH("VANGUARD"&amp;"|"&amp;MAX(1,ROUND(COUNTIFS(MASTER!$B$4:$B$1463,"VANGUARD",MASTER!$I$4:$I$1463,"&lt;&gt;")*$A153*100/100,0)),MASTER!$Y$4:$Y$1463,0))="",NA(),INDEX(MASTER!$I$4:$I$1463,MATCH("VANGUARD"&amp;"|"&amp;MAX(1,ROUND(COUNTIFS(MASTER!$B$4:$B$1463,"VANGUARD",MASTER!$I$4:$I$1463,"&lt;&gt;")*$A153*100/100,0)),MASTER!$Y$4:$Y$1463,0))),NA()),IF($B$4="COMBAT RATING",IFERROR(IF(INDEX(MASTER!$G$4:$G$1463,MATCH("VANGUARD"&amp;"|"&amp;MAX(1,ROUND(COUNTIFS(MASTER!$B$4:$B$1463,"VANGUARD",MASTER!$G$4:$G$1463,"&lt;&gt;")*$A153*100/100,0)),MASTER!$AH$4:$AH$1463,0))="",NA(),INDEX(MASTER!$G$4:$G$1463,MATCH("VANGUARD"&amp;"|"&amp;MAX(1,ROUND(COUNTIFS(MASTER!$B$4:$B$1463,"VANGUARD",MASTER!$G$4:$G$1463,"&lt;&gt;")*$A153*100/100,0)),MASTER!$AH$4:$AH$1463,0))),NA()),IF($B$4="SECONDARY",IFERROR(IF(INDEX(MASTER!$L$4:$L$1463,MATCH("VANGUARD"&amp;"|"&amp;MAX(1,ROUND(COUNTIFS(MASTER!$B$4:$B$1463,"VANGUARD",MASTER!$L$4:$L$1463,"&lt;&gt;")*$A153*100/100,0)),MASTER!$AI$4:$AI$1463,0))="",NA(),INDEX(MASTER!$L$4:$L$1463,MATCH("VANGUARD"&amp;"|"&amp;MAX(1,ROUND(COUNTIFS(MASTER!$B$4:$B$1463,"VANGUARD",MASTER!$L$4:$L$1463,"&lt;&gt;")*$A153*100/100,0)),MASTER!$AI$4:$AI$1463,0))),NA()))))</f>
        <v>2200</v>
      </c>
      <c r="E153" s="37">
        <f>IF($B$4="RESONANCE",IFERROR(IF(INDEX(MASTER!$I$4:$I$1463,MATCH("UNDYING"&amp;"|"&amp;MAX(1,ROUND(COUNTIFS(MASTER!$B$4:$B$1463,"UNDYING",MASTER!$I$4:$I$1463,"&lt;&gt;")*$A153*100/100,0)),MASTER!$Y$4:$Y$1463,0))="",NA(),INDEX(MASTER!$I$4:$I$1463,MATCH("UNDYING"&amp;"|"&amp;MAX(1,ROUND(COUNTIFS(MASTER!$B$4:$B$1463,"UNDYING",MASTER!$I$4:$I$1463,"&lt;&gt;")*$A153*100/100,0)),MASTER!$Y$4:$Y$1463,0))),NA()),IF($B$4="COMBAT RATING",IFERROR(IF(INDEX(MASTER!$G$4:$G$1463,MATCH("UNDYING"&amp;"|"&amp;MAX(1,ROUND(COUNTIFS(MASTER!$B$4:$B$1463,"UNDYING",MASTER!$G$4:$G$1463,"&lt;&gt;")*$A153*100/100,0)),MASTER!$AH$4:$AH$1463,0))="",NA(),INDEX(MASTER!$G$4:$G$1463,MATCH("UNDYING"&amp;"|"&amp;MAX(1,ROUND(COUNTIFS(MASTER!$B$4:$B$1463,"UNDYING",MASTER!$G$4:$G$1463,"&lt;&gt;")*$A153*100/100,0)),MASTER!$AH$4:$AH$1463,0))),NA()),IF($B$4="SECONDARY",IFERROR(IF(INDEX(MASTER!$L$4:$L$1463,MATCH("UNDYING"&amp;"|"&amp;MAX(1,ROUND(COUNTIFS(MASTER!$B$4:$B$1463,"UNDYING",MASTER!$L$4:$L$1463,"&lt;&gt;")*$A153*100/100,0)),MASTER!$AI$4:$AI$1463,0))="",NA(),INDEX(MASTER!$L$4:$L$1463,MATCH("UNDYING"&amp;"|"&amp;MAX(1,ROUND(COUNTIFS(MASTER!$B$4:$B$1463,"UNDYING",MASTER!$L$4:$L$1463,"&lt;&gt;")*$A153*100/100,0)),MASTER!$AI$4:$AI$1463,0))),NA()))))</f>
        <v>2134</v>
      </c>
      <c r="F153" s="37">
        <f>IF($B$4="RESONANCE",IFERROR(IF(INDEX(MASTER!$I$4:$I$1463,MATCH("SBG"&amp;"|"&amp;MAX(1,ROUND(COUNTIFS(MASTER!$B$4:$B$1463,"SBG",MASTER!$I$4:$I$1463,"&lt;&gt;")*$A153*100/100,0)),MASTER!$Y$4:$Y$1463,0))="",NA(),INDEX(MASTER!$I$4:$I$1463,MATCH("SBG"&amp;"|"&amp;MAX(1,ROUND(COUNTIFS(MASTER!$B$4:$B$1463,"SBG",MASTER!$I$4:$I$1463,"&lt;&gt;")*$A153*100/100,0)),MASTER!$Y$4:$Y$1463,0))),NA()),IF($B$4="COMBAT RATING",IFERROR(IF(INDEX(MASTER!$G$4:$G$1463,MATCH("SBG"&amp;"|"&amp;MAX(1,ROUND(COUNTIFS(MASTER!$B$4:$B$1463,"SBG",MASTER!$G$4:$G$1463,"&lt;&gt;")*$A153*100/100,0)),MASTER!$AH$4:$AH$1463,0))="",NA(),INDEX(MASTER!$G$4:$G$1463,MATCH("SBG"&amp;"|"&amp;MAX(1,ROUND(COUNTIFS(MASTER!$B$4:$B$1463,"SBG",MASTER!$G$4:$G$1463,"&lt;&gt;")*$A153*100/100,0)),MASTER!$AH$4:$AH$1463,0))),NA()),IF($B$4="SECONDARY",IFERROR(IF(INDEX(MASTER!$L$4:$L$1463,MATCH("SBG"&amp;"|"&amp;MAX(1,ROUND(COUNTIFS(MASTER!$B$4:$B$1463,"SBG",MASTER!$L$4:$L$1463,"&lt;&gt;")*$A153*100/100,0)),MASTER!$AI$4:$AI$1463,0))="",NA(),INDEX(MASTER!$L$4:$L$1463,MATCH("SBG"&amp;"|"&amp;MAX(1,ROUND(COUNTIFS(MASTER!$B$4:$B$1463,"SBG",MASTER!$L$4:$L$1463,"&lt;&gt;")*$A153*100/100,0)),MASTER!$AI$4:$AI$1463,0))),NA()))))</f>
        <v>2483</v>
      </c>
      <c r="G153" s="37">
        <f>IF($B$4="RESONANCE",IFERROR(IF(INDEX(MASTER!$I$4:$I$1463,MATCH("AZUKI"&amp;"|"&amp;MAX(1,ROUND(COUNTIFS(MASTER!$B$4:$B$1463,"AZUKI",MASTER!$I$4:$I$1463,"&lt;&gt;")*$A153*100/100,0)),MASTER!$Y$4:$Y$1463,0))="",NA(),INDEX(MASTER!$I$4:$I$1463,MATCH("AZUKI"&amp;"|"&amp;MAX(1,ROUND(COUNTIFS(MASTER!$B$4:$B$1463,"AZUKI",MASTER!$I$4:$I$1463,"&lt;&gt;")*$A153*100/100,0)),MASTER!$Y$4:$Y$1463,0))),NA()),IF($B$4="COMBAT RATING",IFERROR(IF(INDEX(MASTER!$G$4:$G$1463,MATCH("AZUKI"&amp;"|"&amp;MAX(1,ROUND(COUNTIFS(MASTER!$B$4:$B$1463,"AZUKI",MASTER!$G$4:$G$1463,"&lt;&gt;")*$A153*100/100,0)),MASTER!$AH$4:$AH$1463,0))="",NA(),INDEX(MASTER!$G$4:$G$1463,MATCH("AZUKI"&amp;"|"&amp;MAX(1,ROUND(COUNTIFS(MASTER!$B$4:$B$1463,"AZUKI",MASTER!$G$4:$G$1463,"&lt;&gt;")*$A153*100/100,0)),MASTER!$AH$4:$AH$1463,0))),NA()),IF($B$4="SECONDARY",IFERROR(IF(INDEX(MASTER!$L$4:$L$1463,MATCH("AZUKI"&amp;"|"&amp;MAX(1,ROUND(COUNTIFS(MASTER!$B$4:$B$1463,"AZUKI",MASTER!$L$4:$L$1463,"&lt;&gt;")*$A153*100/100,0)),MASTER!$AI$4:$AI$1463,0))="",NA(),INDEX(MASTER!$L$4:$L$1463,MATCH("AZUKI"&amp;"|"&amp;MAX(1,ROUND(COUNTIFS(MASTER!$B$4:$B$1463,"AZUKI",MASTER!$L$4:$L$1463,"&lt;&gt;")*$A153*100/100,0)),MASTER!$AI$4:$AI$1463,0))),NA()))))</f>
        <v>2580</v>
      </c>
      <c r="H153" s="37">
        <f>IF($B$4="RESONANCE",IFERROR(IF(INDEX(MASTER!$I$4:$I$1463,MATCH("RECKONING"&amp;"|"&amp;MAX(1,ROUND(COUNTIFS(MASTER!$B$4:$B$1463,"RECKONING",MASTER!$I$4:$I$1463,"&lt;&gt;")*$A153*100/100,0)),MASTER!$Y$4:$Y$1463,0))="",NA(),INDEX(MASTER!$I$4:$I$1463,MATCH("RECKONING"&amp;"|"&amp;MAX(1,ROUND(COUNTIFS(MASTER!$B$4:$B$1463,"RECKONING",MASTER!$I$4:$I$1463,"&lt;&gt;")*$A153*100/100,0)),MASTER!$Y$4:$Y$1463,0))),NA()),IF($B$4="COMBAT RATING",IFERROR(IF(INDEX(MASTER!$G$4:$G$1463,MATCH("RECKONING"&amp;"|"&amp;MAX(1,ROUND(COUNTIFS(MASTER!$B$4:$B$1463,"RECKONING",MASTER!$G$4:$G$1463,"&lt;&gt;")*$A153*100/100,0)),MASTER!$AH$4:$AH$1463,0))="",NA(),INDEX(MASTER!$G$4:$G$1463,MATCH("RECKONING"&amp;"|"&amp;MAX(1,ROUND(COUNTIFS(MASTER!$B$4:$B$1463,"RECKONING",MASTER!$G$4:$G$1463,"&lt;&gt;")*$A153*100/100,0)),MASTER!$AH$4:$AH$1463,0))),NA()),IF($B$4="SECONDARY",IFERROR(IF(INDEX(MASTER!$L$4:$L$1463,MATCH("RECKONING"&amp;"|"&amp;MAX(1,ROUND(COUNTIFS(MASTER!$B$4:$B$1463,"RECKONING",MASTER!$L$4:$L$1463,"&lt;&gt;")*$A153*100/100,0)),MASTER!$AI$4:$AI$1463,0))="",NA(),INDEX(MASTER!$L$4:$L$1463,MATCH("RECKONING"&amp;"|"&amp;MAX(1,ROUND(COUNTIFS(MASTER!$B$4:$B$1463,"RECKONING",MASTER!$L$4:$L$1463,"&lt;&gt;")*$A153*100/100,0)),MASTER!$AI$4:$AI$1463,0))),NA()))))</f>
        <v>2015</v>
      </c>
      <c r="I153" s="37">
        <f>IF($B$4="RESONANCE",IFERROR(IF(INDEX(MASTER!$I$4:$I$1463,MATCH("ACHERON"&amp;"|"&amp;MAX(1,ROUND(COUNTIFS(MASTER!$B$4:$B$1463,"ACHERON",MASTER!$I$4:$I$1463,"&lt;&gt;")*$A153*100/100,0)),MASTER!$Y$4:$Y$1463,0))="",NA(),INDEX(MASTER!$I$4:$I$1463,MATCH("ACHERON"&amp;"|"&amp;MAX(1,ROUND(COUNTIFS(MASTER!$B$4:$B$1463,"ACHERON",MASTER!$I$4:$I$1463,"&lt;&gt;")*$A153*100/100,0)),MASTER!$Y$4:$Y$1463,0))),NA()),IF($B$4="COMBAT RATING",IFERROR(IF(INDEX(MASTER!$G$4:$G$1463,MATCH("ACHERON"&amp;"|"&amp;MAX(1,ROUND(COUNTIFS(MASTER!$B$4:$B$1463,"ACHERON",MASTER!$G$4:$G$1463,"&lt;&gt;")*$A153*100/100,0)),MASTER!$AH$4:$AH$1463,0))="",NA(),INDEX(MASTER!$G$4:$G$1463,MATCH("ACHERON"&amp;"|"&amp;MAX(1,ROUND(COUNTIFS(MASTER!$B$4:$B$1463,"ACHERON",MASTER!$G$4:$G$1463,"&lt;&gt;")*$A153*100/100,0)),MASTER!$AH$4:$AH$1463,0))),NA()),IF($B$4="SECONDARY",IFERROR(IF(INDEX(MASTER!$L$4:$L$1463,MATCH("ACHERON"&amp;"|"&amp;MAX(1,ROUND(COUNTIFS(MASTER!$B$4:$B$1463,"ACHERON",MASTER!$L$4:$L$1463,"&lt;&gt;")*$A153*100/100,0)),MASTER!$AI$4:$AI$1463,0))="",NA(),INDEX(MASTER!$L$4:$L$1463,MATCH("ACHERON"&amp;"|"&amp;MAX(1,ROUND(COUNTIFS(MASTER!$B$4:$B$1463,"ACHERON",MASTER!$L$4:$L$1463,"&lt;&gt;")*$A153*100/100,0)),MASTER!$AI$4:$AI$1463,0))),NA()))))</f>
        <v>915</v>
      </c>
      <c r="J153" s="37">
        <f>IF($B$4="RESONANCE",IFERROR(IF(INDEX(MASTER!$I$4:$I$1463,MATCH("INVICTUS"&amp;"|"&amp;MAX(1,ROUND(COUNTIFS(MASTER!$B$4:$B$1463,"INVICTUS",MASTER!$I$4:$I$1463,"&lt;&gt;")*$A153*100/100,0)),MASTER!$Y$4:$Y$1463,0))="",NA(),INDEX(MASTER!$I$4:$I$1463,MATCH("INVICTUS"&amp;"|"&amp;MAX(1,ROUND(COUNTIFS(MASTER!$B$4:$B$1463,"INVICTUS",MASTER!$I$4:$I$1463,"&lt;&gt;")*$A153*100/100,0)),MASTER!$Y$4:$Y$1463,0))),NA()),IF($B$4="COMBAT RATING",IFERROR(IF(INDEX(MASTER!$G$4:$G$1463,MATCH("INVICTUS"&amp;"|"&amp;MAX(1,ROUND(COUNTIFS(MASTER!$B$4:$B$1463,"INVICTUS",MASTER!$G$4:$G$1463,"&lt;&gt;")*$A153*100/100,0)),MASTER!$AH$4:$AH$1463,0))="",NA(),INDEX(MASTER!$G$4:$G$1463,MATCH("INVICTUS"&amp;"|"&amp;MAX(1,ROUND(COUNTIFS(MASTER!$B$4:$B$1463,"INVICTUS",MASTER!$G$4:$G$1463,"&lt;&gt;")*$A153*100/100,0)),MASTER!$AH$4:$AH$1463,0))),NA()),IF($B$4="SECONDARY",IFERROR(IF(INDEX(MASTER!$L$4:$L$1463,MATCH("INVICTUS"&amp;"|"&amp;MAX(1,ROUND(COUNTIFS(MASTER!$B$4:$B$1463,"INVICTUS",MASTER!$L$4:$L$1463,"&lt;&gt;")*$A153*100/100,0)),MASTER!$AI$4:$AI$1463,0))="",NA(),INDEX(MASTER!$L$4:$L$1463,MATCH("INVICTUS"&amp;"|"&amp;MAX(1,ROUND(COUNTIFS(MASTER!$B$4:$B$1463,"INVICTUS",MASTER!$L$4:$L$1463,"&lt;&gt;")*$A153*100/100,0)),MASTER!$AI$4:$AI$1463,0))),NA()))))</f>
        <v>869</v>
      </c>
      <c r="K153" s="37">
        <f>IF($B$4="RESONANCE",IFERROR(IF(INDEX(MASTER!$I$4:$I$1463,MATCH("EMERALD LEAF TRIBE"&amp;"|"&amp;MAX(1,ROUND(COUNTIFS(MASTER!$B$4:$B$1463,"EMERALD LEAF TRIBE",MASTER!$I$4:$I$1463,"&lt;&gt;")*$A153*100/100,0)),MASTER!$Y$4:$Y$1463,0))="",NA(),INDEX(MASTER!$I$4:$I$1463,MATCH("EMERALD LEAF TRIBE"&amp;"|"&amp;MAX(1,ROUND(COUNTIFS(MASTER!$B$4:$B$1463,"EMERALD LEAF TRIBE",MASTER!$I$4:$I$1463,"&lt;&gt;")*$A153*100/100,0)),MASTER!$Y$4:$Y$1463,0))),NA()),IF($B$4="COMBAT RATING",IFERROR(IF(INDEX(MASTER!$G$4:$G$1463,MATCH("EMERALD LEAF TRIBE"&amp;"|"&amp;MAX(1,ROUND(COUNTIFS(MASTER!$B$4:$B$1463,"EMERALD LEAF TRIBE",MASTER!$G$4:$G$1463,"&lt;&gt;")*$A153*100/100,0)),MASTER!$AH$4:$AH$1463,0))="",NA(),INDEX(MASTER!$G$4:$G$1463,MATCH("EMERALD LEAF TRIBE"&amp;"|"&amp;MAX(1,ROUND(COUNTIFS(MASTER!$B$4:$B$1463,"EMERALD LEAF TRIBE",MASTER!$G$4:$G$1463,"&lt;&gt;")*$A153*100/100,0)),MASTER!$AH$4:$AH$1463,0))),NA()),IF($B$4="SECONDARY",IFERROR(IF(INDEX(MASTER!$L$4:$L$1463,MATCH("EMERALD LEAF TRIBE"&amp;"|"&amp;MAX(1,ROUND(COUNTIFS(MASTER!$B$4:$B$1463,"EMERALD LEAF TRIBE",MASTER!$L$4:$L$1463,"&lt;&gt;")*$A153*100/100,0)),MASTER!$AI$4:$AI$1463,0))="",NA(),INDEX(MASTER!$L$4:$L$1463,MATCH("EMERALD LEAF TRIBE"&amp;"|"&amp;MAX(1,ROUND(COUNTIFS(MASTER!$B$4:$B$1463,"EMERALD LEAF TRIBE",MASTER!$L$4:$L$1463,"&lt;&gt;")*$A153*100/100,0)),MASTER!$AI$4:$AI$1463,0))),NA()))))</f>
        <v>544</v>
      </c>
      <c r="L153" s="37">
        <f>IF($B$4="RESONANCE",IFERROR(IF(INDEX(MASTER!$I$4:$I$1463,MATCH("SUB ROSA"&amp;"|"&amp;MAX(1,ROUND(COUNTIFS(MASTER!$B$4:$B$1463,"SUB ROSA",MASTER!$I$4:$I$1463,"&lt;&gt;")*$A153*100/100,0)),MASTER!$Y$4:$Y$1463,0))="",NA(),INDEX(MASTER!$I$4:$I$1463,MATCH("SUB ROSA"&amp;"|"&amp;MAX(1,ROUND(COUNTIFS(MASTER!$B$4:$B$1463,"SUB ROSA",MASTER!$I$4:$I$1463,"&lt;&gt;")*$A153*100/100,0)),MASTER!$Y$4:$Y$1463,0))),NA()),IF($B$4="COMBAT RATING",IFERROR(IF(INDEX(MASTER!$G$4:$G$1463,MATCH("SUB ROSA"&amp;"|"&amp;MAX(1,ROUND(COUNTIFS(MASTER!$B$4:$B$1463,"SUB ROSA",MASTER!$G$4:$G$1463,"&lt;&gt;")*$A153*100/100,0)),MASTER!$AH$4:$AH$1463,0))="",NA(),INDEX(MASTER!$G$4:$G$1463,MATCH("SUB ROSA"&amp;"|"&amp;MAX(1,ROUND(COUNTIFS(MASTER!$B$4:$B$1463,"SUB ROSA",MASTER!$G$4:$G$1463,"&lt;&gt;")*$A153*100/100,0)),MASTER!$AH$4:$AH$1463,0))),NA()),IF($B$4="SECONDARY",IFERROR(IF(INDEX(MASTER!$L$4:$L$1463,MATCH("SUB ROSA"&amp;"|"&amp;MAX(1,ROUND(COUNTIFS(MASTER!$B$4:$B$1463,"SUB ROSA",MASTER!$L$4:$L$1463,"&lt;&gt;")*$A153*100/100,0)),MASTER!$AI$4:$AI$1463,0))="",NA(),INDEX(MASTER!$L$4:$L$1463,MATCH("SUB ROSA"&amp;"|"&amp;MAX(1,ROUND(COUNTIFS(MASTER!$B$4:$B$1463,"SUB ROSA",MASTER!$L$4:$L$1463,"&lt;&gt;")*$A153*100/100,0)),MASTER!$AI$4:$AI$1463,0))),NA()))))</f>
        <v>465</v>
      </c>
      <c r="M153" s="37">
        <f>IF($B$4="RESONANCE",IFERROR(IF(INDEX(MASTER!$I$4:$I$1463,MATCH("VENGEANCE"&amp;"|"&amp;MAX(1,ROUND(COUNTIFS(MASTER!$B$4:$B$1463,"VENGEANCE",MASTER!$I$4:$I$1463,"&lt;&gt;")*$A153*100/100,0)),MASTER!$Y$4:$Y$1463,0))="",NA(),INDEX(MASTER!$I$4:$I$1463,MATCH("VENGEANCE"&amp;"|"&amp;MAX(1,ROUND(COUNTIFS(MASTER!$B$4:$B$1463,"VENGEANCE",MASTER!$I$4:$I$1463,"&lt;&gt;")*$A153*100/100,0)),MASTER!$Y$4:$Y$1463,0))),NA()),IF($B$4="COMBAT RATING",IFERROR(IF(INDEX(MASTER!$G$4:$G$1463,MATCH("VENGEANCE"&amp;"|"&amp;MAX(1,ROUND(COUNTIFS(MASTER!$B$4:$B$1463,"VENGEANCE",MASTER!$G$4:$G$1463,"&lt;&gt;")*$A153*100/100,0)),MASTER!$AH$4:$AH$1463,0))="",NA(),INDEX(MASTER!$G$4:$G$1463,MATCH("VENGEANCE"&amp;"|"&amp;MAX(1,ROUND(COUNTIFS(MASTER!$B$4:$B$1463,"VENGEANCE",MASTER!$G$4:$G$1463,"&lt;&gt;")*$A153*100/100,0)),MASTER!$AH$4:$AH$1463,0))),NA()),IF($B$4="SECONDARY",IFERROR(IF(INDEX(MASTER!$L$4:$L$1463,MATCH("VENGEANCE"&amp;"|"&amp;MAX(1,ROUND(COUNTIFS(MASTER!$B$4:$B$1463,"VENGEANCE",MASTER!$L$4:$L$1463,"&lt;&gt;")*$A153*100/100,0)),MASTER!$AI$4:$AI$1463,0))="",NA(),INDEX(MASTER!$L$4:$L$1463,MATCH("VENGEANCE"&amp;"|"&amp;MAX(1,ROUND(COUNTIFS(MASTER!$B$4:$B$1463,"VENGEANCE",MASTER!$L$4:$L$1463,"&lt;&gt;")*$A153*100/100,0)),MASTER!$AI$4:$AI$1463,0))),NA()))))</f>
        <v>1588</v>
      </c>
      <c r="N153" s="37">
        <f>IF($B$4="RESONANCE",IFERROR(IF(INDEX(MASTER!$I$4:$I$1463,MATCH("VENDETTA"&amp;"|"&amp;MAX(1,ROUND(COUNTIFS(MASTER!$B$4:$B$1463,"VENDETTA",MASTER!$I$4:$I$1463,"&lt;&gt;")*$A153*100/100,0)),MASTER!$Y$4:$Y$1463,0))="",NA(),INDEX(MASTER!$I$4:$I$1463,MATCH("VENDETTA"&amp;"|"&amp;MAX(1,ROUND(COUNTIFS(MASTER!$B$4:$B$1463,"VENDETTA",MASTER!$I$4:$I$1463,"&lt;&gt;")*$A153*100/100,0)),MASTER!$Y$4:$Y$1463,0))),NA()),IF($B$4="COMBAT RATING",IFERROR(IF(INDEX(MASTER!$G$4:$G$1463,MATCH("VENDETTA"&amp;"|"&amp;MAX(1,ROUND(COUNTIFS(MASTER!$B$4:$B$1463,"VENDETTA",MASTER!$G$4:$G$1463,"&lt;&gt;")*$A153*100/100,0)),MASTER!$AH$4:$AH$1463,0))="",NA(),INDEX(MASTER!$G$4:$G$1463,MATCH("VENDETTA"&amp;"|"&amp;MAX(1,ROUND(COUNTIFS(MASTER!$B$4:$B$1463,"VENDETTA",MASTER!$G$4:$G$1463,"&lt;&gt;")*$A153*100/100,0)),MASTER!$AH$4:$AH$1463,0))),NA()),IF($B$4="SECONDARY",IFERROR(IF(INDEX(MASTER!$L$4:$L$1463,MATCH("VENDETTA"&amp;"|"&amp;MAX(1,ROUND(COUNTIFS(MASTER!$B$4:$B$1463,"VENDETTA",MASTER!$L$4:$L$1463,"&lt;&gt;")*$A153*100/100,0)),MASTER!$AI$4:$AI$1463,0))="",NA(),INDEX(MASTER!$L$4:$L$1463,MATCH("VENDETTA"&amp;"|"&amp;MAX(1,ROUND(COUNTIFS(MASTER!$B$4:$B$1463,"VENDETTA",MASTER!$L$4:$L$1463,"&lt;&gt;")*$A153*100/100,0)),MASTER!$AI$4:$AI$1463,0))),NA()))))</f>
        <v>710</v>
      </c>
      <c r="O153" s="37">
        <f>IF($B$4="RESONANCE",IFERROR(IF(INDEX(MASTER!$I$4:$I$1463,MATCH("ZOMBIES"&amp;"|"&amp;MAX(1,ROUND(COUNTIFS(MASTER!$B$4:$B$1463,"ZOMBIES",MASTER!$I$4:$I$1463,"&lt;&gt;")*$A153*100/100,0)),MASTER!$Y$4:$Y$1463,0))="",NA(),INDEX(MASTER!$I$4:$I$1463,MATCH("ZOMBIES"&amp;"|"&amp;MAX(1,ROUND(COUNTIFS(MASTER!$B$4:$B$1463,"ZOMBIES",MASTER!$I$4:$I$1463,"&lt;&gt;")*$A153*100/100,0)),MASTER!$Y$4:$Y$1463,0))),NA()),IF($B$4="COMBAT RATING",IFERROR(IF(INDEX(MASTER!$G$4:$G$1463,MATCH("ZOMBIES"&amp;"|"&amp;MAX(1,ROUND(COUNTIFS(MASTER!$B$4:$B$1463,"ZOMBIES",MASTER!$G$4:$G$1463,"&lt;&gt;")*$A153*100/100,0)),MASTER!$AH$4:$AH$1463,0))="",NA(),INDEX(MASTER!$G$4:$G$1463,MATCH("ZOMBIES"&amp;"|"&amp;MAX(1,ROUND(COUNTIFS(MASTER!$B$4:$B$1463,"ZOMBIES",MASTER!$G$4:$G$1463,"&lt;&gt;")*$A153*100/100,0)),MASTER!$AH$4:$AH$1463,0))),NA()),IF($B$4="SECONDARY",IFERROR(IF(INDEX(MASTER!$L$4:$L$1463,MATCH("ZOMBIES"&amp;"|"&amp;MAX(1,ROUND(COUNTIFS(MASTER!$B$4:$B$1463,"ZOMBIES",MASTER!$L$4:$L$1463,"&lt;&gt;")*$A153*100/100,0)),MASTER!$AI$4:$AI$1463,0))="",NA(),INDEX(MASTER!$L$4:$L$1463,MATCH("ZOMBIES"&amp;"|"&amp;MAX(1,ROUND(COUNTIFS(MASTER!$B$4:$B$1463,"ZOMBIES",MASTER!$L$4:$L$1463,"&lt;&gt;")*$A153*100/100,0)),MASTER!$AI$4:$AI$1463,0))),NA()))))</f>
        <v>540</v>
      </c>
      <c r="P153" s="37">
        <f>IF($B$4="RESONANCE",IFERROR(IF(INDEX(MASTER!$I$4:$I$1463,MATCH("FUCT"&amp;"|"&amp;MAX(1,ROUND(COUNTIFS(MASTER!$B$4:$B$1463,"FUCT",MASTER!$I$4:$I$1463,"&lt;&gt;")*$A153*100/100,0)),MASTER!$Y$4:$Y$1463,0))="",NA(),INDEX(MASTER!$I$4:$I$1463,MATCH("FUCT"&amp;"|"&amp;MAX(1,ROUND(COUNTIFS(MASTER!$B$4:$B$1463,"FUCT",MASTER!$I$4:$I$1463,"&lt;&gt;")*$A153*100/100,0)),MASTER!$Y$4:$Y$1463,0))),NA()),IF($B$4="COMBAT RATING",IFERROR(IF(INDEX(MASTER!$G$4:$G$1463,MATCH("FUCT"&amp;"|"&amp;MAX(1,ROUND(COUNTIFS(MASTER!$B$4:$B$1463,"FUCT",MASTER!$G$4:$G$1463,"&lt;&gt;")*$A153*100/100,0)),MASTER!$AH$4:$AH$1463,0))="",NA(),INDEX(MASTER!$G$4:$G$1463,MATCH("FUCT"&amp;"|"&amp;MAX(1,ROUND(COUNTIFS(MASTER!$B$4:$B$1463,"FUCT",MASTER!$G$4:$G$1463,"&lt;&gt;")*$A153*100/100,0)),MASTER!$AH$4:$AH$1463,0))),NA()),IF($B$4="SECONDARY",IFERROR(IF(INDEX(MASTER!$L$4:$L$1463,MATCH("FUCT"&amp;"|"&amp;MAX(1,ROUND(COUNTIFS(MASTER!$B$4:$B$1463,"FUCT",MASTER!$L$4:$L$1463,"&lt;&gt;")*$A153*100/100,0)),MASTER!$AI$4:$AI$1463,0))="",NA(),INDEX(MASTER!$L$4:$L$1463,MATCH("FUCT"&amp;"|"&amp;MAX(1,ROUND(COUNTIFS(MASTER!$B$4:$B$1463,"FUCT",MASTER!$L$4:$L$1463,"&lt;&gt;")*$A153*100/100,0)),MASTER!$AI$4:$AI$1463,0))),NA()))))</f>
        <v>2649</v>
      </c>
      <c r="Q153" s="37">
        <f>IF($B$4="RESONANCE",IFERROR(IF(INDEX(MASTER!$I$4:$I$1463,MATCH($E$4&amp;"|"&amp;MAX(1,ROUND(COUNTIFS(MASTER!$B$4:$B$1463,$E$4,MASTER!$I$4:$I$1463,"&lt;&gt;")*$A153*100/100,0)),MASTER!$Y$4:$Y$1463,0))="",NA(),INDEX(MASTER!$I$4:$I$1463,MATCH($E$4&amp;"|"&amp;MAX(1,ROUND(COUNTIFS(MASTER!$B$4:$B$1463,$E$4,MASTER!$I$4:$I$1463,"&lt;&gt;")*$A153*100/100,0)),MASTER!$Y$4:$Y$1463,0))),NA()),IF($B$4="COMBAT RATING",IFERROR(IF(INDEX(MASTER!$G$4:$G$1463,MATCH($E$4&amp;"|"&amp;MAX(1,ROUND(COUNTIFS(MASTER!$B$4:$B$1463,$E$4,MASTER!$G$4:$G$1463,"&lt;&gt;")*$A153*100/100,0)),MASTER!$AH$4:$AH$1463,0))="",NA(),INDEX(MASTER!$G$4:$G$1463,MATCH($E$4&amp;"|"&amp;MAX(1,ROUND(COUNTIFS(MASTER!$B$4:$B$1463,$E$4,MASTER!$G$4:$G$1463,"&lt;&gt;")*$A153*100/100,0)),MASTER!$AH$4:$AH$1463,0))),NA()),IF($B$4="SECONDARY",IFERROR(IF(INDEX(MASTER!$L$4:$L$1463,MATCH($E$4&amp;"|"&amp;MAX(1,ROUND(COUNTIFS(MASTER!$B$4:$B$1463,$E$4,MASTER!$L$4:$L$1463,"&lt;&gt;")*$A153*100/100,0)),MASTER!$AI$4:$AI$1463,0))="",NA(),INDEX(MASTER!$L$4:$L$1463,MATCH($E$4&amp;"|"&amp;MAX(1,ROUND(COUNTIFS(MASTER!$B$4:$B$1463,$E$4,MASTER!$L$4:$L$1463,"&lt;&gt;")*$A153*100/100,0)),MASTER!$AI$4:$AI$1463,0))),NA()))))</f>
        <v>2134</v>
      </c>
    </row>
    <row r="154" spans="1:17" hidden="1">
      <c r="A154" s="36">
        <v>0.99</v>
      </c>
      <c r="B154" s="37">
        <f>IF($B$4="RESONANCE",IFERROR(IF(INDEX(MASTER!$I$4:$I$1463,MATCH("FUCT"&amp;"|"&amp;MAX(1,ROUND(COUNTIFS(MASTER!$B$4:$B$1463,"FUCT",MASTER!$I$4:$I$1463,"&lt;&gt;")*$A154*100/100,0)),MASTER!$Y$4:$Y$1463,0))="",NA(),INDEX(MASTER!$I$4:$I$1463,MATCH("FUCT"&amp;"|"&amp;MAX(1,ROUND(COUNTIFS(MASTER!$B$4:$B$1463,"FUCT",MASTER!$I$4:$I$1463,"&lt;&gt;")*$A154*100/100,0)),MASTER!$Y$4:$Y$1463,0))),NA()),IF($B$4="COMBAT RATING",IFERROR(IF(INDEX(MASTER!$G$4:$G$1463,MATCH("FUCT"&amp;"|"&amp;MAX(1,ROUND(COUNTIFS(MASTER!$B$4:$B$1463,"FUCT",MASTER!$G$4:$G$1463,"&lt;&gt;")*$A154*100/100,0)),MASTER!$AH$4:$AH$1463,0))="",NA(),INDEX(MASTER!$G$4:$G$1463,MATCH("FUCT"&amp;"|"&amp;MAX(1,ROUND(COUNTIFS(MASTER!$B$4:$B$1463,"FUCT",MASTER!$G$4:$G$1463,"&lt;&gt;")*$A154*100/100,0)),MASTER!$AH$4:$AH$1463,0))),NA()),IF($B$4="SECONDARY",IFERROR(IF(INDEX(MASTER!$L$4:$L$1463,MATCH("FUCT"&amp;"|"&amp;MAX(1,ROUND(COUNTIFS(MASTER!$B$4:$B$1463,"FUCT",MASTER!$L$4:$L$1463,"&lt;&gt;")*$A154*100/100,0)),MASTER!$AI$4:$AI$1463,0))="",NA(),INDEX(MASTER!$L$4:$L$1463,MATCH("FUCT"&amp;"|"&amp;MAX(1,ROUND(COUNTIFS(MASTER!$B$4:$B$1463,"FUCT",MASTER!$L$4:$L$1463,"&lt;&gt;")*$A154*100/100,0)),MASTER!$AI$4:$AI$1463,0))),NA()))))</f>
        <v>2552</v>
      </c>
      <c r="C154" s="37">
        <f>IF($B$4="RESONANCE",IFERROR(IF(INDEX(MASTER!$I$4:$I$1463,MATCH("LEGENDS"&amp;"|"&amp;MAX(1,ROUND(COUNTIFS(MASTER!$B$4:$B$1463,"LEGENDS",MASTER!$I$4:$I$1463,"&lt;&gt;")*$A154*100/100,0)),MASTER!$Y$4:$Y$1463,0))="",NA(),INDEX(MASTER!$I$4:$I$1463,MATCH("LEGENDS"&amp;"|"&amp;MAX(1,ROUND(COUNTIFS(MASTER!$B$4:$B$1463,"LEGENDS",MASTER!$I$4:$I$1463,"&lt;&gt;")*$A154*100/100,0)),MASTER!$Y$4:$Y$1463,0))),NA()),IF($B$4="COMBAT RATING",IFERROR(IF(INDEX(MASTER!$G$4:$G$1463,MATCH("LEGENDS"&amp;"|"&amp;MAX(1,ROUND(COUNTIFS(MASTER!$B$4:$B$1463,"LEGENDS",MASTER!$G$4:$G$1463,"&lt;&gt;")*$A154*100/100,0)),MASTER!$AH$4:$AH$1463,0))="",NA(),INDEX(MASTER!$G$4:$G$1463,MATCH("LEGENDS"&amp;"|"&amp;MAX(1,ROUND(COUNTIFS(MASTER!$B$4:$B$1463,"LEGENDS",MASTER!$G$4:$G$1463,"&lt;&gt;")*$A154*100/100,0)),MASTER!$AH$4:$AH$1463,0))),NA()),IF($B$4="SECONDARY",IFERROR(IF(INDEX(MASTER!$L$4:$L$1463,MATCH("LEGENDS"&amp;"|"&amp;MAX(1,ROUND(COUNTIFS(MASTER!$B$4:$B$1463,"LEGENDS",MASTER!$L$4:$L$1463,"&lt;&gt;")*$A154*100/100,0)),MASTER!$AI$4:$AI$1463,0))="",NA(),INDEX(MASTER!$L$4:$L$1463,MATCH("LEGENDS"&amp;"|"&amp;MAX(1,ROUND(COUNTIFS(MASTER!$B$4:$B$1463,"LEGENDS",MASTER!$L$4:$L$1463,"&lt;&gt;")*$A154*100/100,0)),MASTER!$AI$4:$AI$1463,0))),NA()))))</f>
        <v>2865</v>
      </c>
      <c r="D154" s="37">
        <f>IF($B$4="RESONANCE",IFERROR(IF(INDEX(MASTER!$I$4:$I$1463,MATCH("VANGUARD"&amp;"|"&amp;MAX(1,ROUND(COUNTIFS(MASTER!$B$4:$B$1463,"VANGUARD",MASTER!$I$4:$I$1463,"&lt;&gt;")*$A154*100/100,0)),MASTER!$Y$4:$Y$1463,0))="",NA(),INDEX(MASTER!$I$4:$I$1463,MATCH("VANGUARD"&amp;"|"&amp;MAX(1,ROUND(COUNTIFS(MASTER!$B$4:$B$1463,"VANGUARD",MASTER!$I$4:$I$1463,"&lt;&gt;")*$A154*100/100,0)),MASTER!$Y$4:$Y$1463,0))),NA()),IF($B$4="COMBAT RATING",IFERROR(IF(INDEX(MASTER!$G$4:$G$1463,MATCH("VANGUARD"&amp;"|"&amp;MAX(1,ROUND(COUNTIFS(MASTER!$B$4:$B$1463,"VANGUARD",MASTER!$G$4:$G$1463,"&lt;&gt;")*$A154*100/100,0)),MASTER!$AH$4:$AH$1463,0))="",NA(),INDEX(MASTER!$G$4:$G$1463,MATCH("VANGUARD"&amp;"|"&amp;MAX(1,ROUND(COUNTIFS(MASTER!$B$4:$B$1463,"VANGUARD",MASTER!$G$4:$G$1463,"&lt;&gt;")*$A154*100/100,0)),MASTER!$AH$4:$AH$1463,0))),NA()),IF($B$4="SECONDARY",IFERROR(IF(INDEX(MASTER!$L$4:$L$1463,MATCH("VANGUARD"&amp;"|"&amp;MAX(1,ROUND(COUNTIFS(MASTER!$B$4:$B$1463,"VANGUARD",MASTER!$L$4:$L$1463,"&lt;&gt;")*$A154*100/100,0)),MASTER!$AI$4:$AI$1463,0))="",NA(),INDEX(MASTER!$L$4:$L$1463,MATCH("VANGUARD"&amp;"|"&amp;MAX(1,ROUND(COUNTIFS(MASTER!$B$4:$B$1463,"VANGUARD",MASTER!$L$4:$L$1463,"&lt;&gt;")*$A154*100/100,0)),MASTER!$AI$4:$AI$1463,0))),NA()))))</f>
        <v>2148</v>
      </c>
      <c r="E154" s="37">
        <f>IF($B$4="RESONANCE",IFERROR(IF(INDEX(MASTER!$I$4:$I$1463,MATCH("UNDYING"&amp;"|"&amp;MAX(1,ROUND(COUNTIFS(MASTER!$B$4:$B$1463,"UNDYING",MASTER!$I$4:$I$1463,"&lt;&gt;")*$A154*100/100,0)),MASTER!$Y$4:$Y$1463,0))="",NA(),INDEX(MASTER!$I$4:$I$1463,MATCH("UNDYING"&amp;"|"&amp;MAX(1,ROUND(COUNTIFS(MASTER!$B$4:$B$1463,"UNDYING",MASTER!$I$4:$I$1463,"&lt;&gt;")*$A154*100/100,0)),MASTER!$Y$4:$Y$1463,0))),NA()),IF($B$4="COMBAT RATING",IFERROR(IF(INDEX(MASTER!$G$4:$G$1463,MATCH("UNDYING"&amp;"|"&amp;MAX(1,ROUND(COUNTIFS(MASTER!$B$4:$B$1463,"UNDYING",MASTER!$G$4:$G$1463,"&lt;&gt;")*$A154*100/100,0)),MASTER!$AH$4:$AH$1463,0))="",NA(),INDEX(MASTER!$G$4:$G$1463,MATCH("UNDYING"&amp;"|"&amp;MAX(1,ROUND(COUNTIFS(MASTER!$B$4:$B$1463,"UNDYING",MASTER!$G$4:$G$1463,"&lt;&gt;")*$A154*100/100,0)),MASTER!$AH$4:$AH$1463,0))),NA()),IF($B$4="SECONDARY",IFERROR(IF(INDEX(MASTER!$L$4:$L$1463,MATCH("UNDYING"&amp;"|"&amp;MAX(1,ROUND(COUNTIFS(MASTER!$B$4:$B$1463,"UNDYING",MASTER!$L$4:$L$1463,"&lt;&gt;")*$A154*100/100,0)),MASTER!$AI$4:$AI$1463,0))="",NA(),INDEX(MASTER!$L$4:$L$1463,MATCH("UNDYING"&amp;"|"&amp;MAX(1,ROUND(COUNTIFS(MASTER!$B$4:$B$1463,"UNDYING",MASTER!$L$4:$L$1463,"&lt;&gt;")*$A154*100/100,0)),MASTER!$AI$4:$AI$1463,0))),NA()))))</f>
        <v>2133</v>
      </c>
      <c r="F154" s="37">
        <f>IF($B$4="RESONANCE",IFERROR(IF(INDEX(MASTER!$I$4:$I$1463,MATCH("SBG"&amp;"|"&amp;MAX(1,ROUND(COUNTIFS(MASTER!$B$4:$B$1463,"SBG",MASTER!$I$4:$I$1463,"&lt;&gt;")*$A154*100/100,0)),MASTER!$Y$4:$Y$1463,0))="",NA(),INDEX(MASTER!$I$4:$I$1463,MATCH("SBG"&amp;"|"&amp;MAX(1,ROUND(COUNTIFS(MASTER!$B$4:$B$1463,"SBG",MASTER!$I$4:$I$1463,"&lt;&gt;")*$A154*100/100,0)),MASTER!$Y$4:$Y$1463,0))),NA()),IF($B$4="COMBAT RATING",IFERROR(IF(INDEX(MASTER!$G$4:$G$1463,MATCH("SBG"&amp;"|"&amp;MAX(1,ROUND(COUNTIFS(MASTER!$B$4:$B$1463,"SBG",MASTER!$G$4:$G$1463,"&lt;&gt;")*$A154*100/100,0)),MASTER!$AH$4:$AH$1463,0))="",NA(),INDEX(MASTER!$G$4:$G$1463,MATCH("SBG"&amp;"|"&amp;MAX(1,ROUND(COUNTIFS(MASTER!$B$4:$B$1463,"SBG",MASTER!$G$4:$G$1463,"&lt;&gt;")*$A154*100/100,0)),MASTER!$AH$4:$AH$1463,0))),NA()),IF($B$4="SECONDARY",IFERROR(IF(INDEX(MASTER!$L$4:$L$1463,MATCH("SBG"&amp;"|"&amp;MAX(1,ROUND(COUNTIFS(MASTER!$B$4:$B$1463,"SBG",MASTER!$L$4:$L$1463,"&lt;&gt;")*$A154*100/100,0)),MASTER!$AI$4:$AI$1463,0))="",NA(),INDEX(MASTER!$L$4:$L$1463,MATCH("SBG"&amp;"|"&amp;MAX(1,ROUND(COUNTIFS(MASTER!$B$4:$B$1463,"SBG",MASTER!$L$4:$L$1463,"&lt;&gt;")*$A154*100/100,0)),MASTER!$AI$4:$AI$1463,0))),NA()))))</f>
        <v>2304</v>
      </c>
      <c r="G154" s="37">
        <f>IF($B$4="RESONANCE",IFERROR(IF(INDEX(MASTER!$I$4:$I$1463,MATCH("AZUKI"&amp;"|"&amp;MAX(1,ROUND(COUNTIFS(MASTER!$B$4:$B$1463,"AZUKI",MASTER!$I$4:$I$1463,"&lt;&gt;")*$A154*100/100,0)),MASTER!$Y$4:$Y$1463,0))="",NA(),INDEX(MASTER!$I$4:$I$1463,MATCH("AZUKI"&amp;"|"&amp;MAX(1,ROUND(COUNTIFS(MASTER!$B$4:$B$1463,"AZUKI",MASTER!$I$4:$I$1463,"&lt;&gt;")*$A154*100/100,0)),MASTER!$Y$4:$Y$1463,0))),NA()),IF($B$4="COMBAT RATING",IFERROR(IF(INDEX(MASTER!$G$4:$G$1463,MATCH("AZUKI"&amp;"|"&amp;MAX(1,ROUND(COUNTIFS(MASTER!$B$4:$B$1463,"AZUKI",MASTER!$G$4:$G$1463,"&lt;&gt;")*$A154*100/100,0)),MASTER!$AH$4:$AH$1463,0))="",NA(),INDEX(MASTER!$G$4:$G$1463,MATCH("AZUKI"&amp;"|"&amp;MAX(1,ROUND(COUNTIFS(MASTER!$B$4:$B$1463,"AZUKI",MASTER!$G$4:$G$1463,"&lt;&gt;")*$A154*100/100,0)),MASTER!$AH$4:$AH$1463,0))),NA()),IF($B$4="SECONDARY",IFERROR(IF(INDEX(MASTER!$L$4:$L$1463,MATCH("AZUKI"&amp;"|"&amp;MAX(1,ROUND(COUNTIFS(MASTER!$B$4:$B$1463,"AZUKI",MASTER!$L$4:$L$1463,"&lt;&gt;")*$A154*100/100,0)),MASTER!$AI$4:$AI$1463,0))="",NA(),INDEX(MASTER!$L$4:$L$1463,MATCH("AZUKI"&amp;"|"&amp;MAX(1,ROUND(COUNTIFS(MASTER!$B$4:$B$1463,"AZUKI",MASTER!$L$4:$L$1463,"&lt;&gt;")*$A154*100/100,0)),MASTER!$AI$4:$AI$1463,0))),NA()))))</f>
        <v>2130</v>
      </c>
      <c r="H154" s="37">
        <f>IF($B$4="RESONANCE",IFERROR(IF(INDEX(MASTER!$I$4:$I$1463,MATCH("RECKONING"&amp;"|"&amp;MAX(1,ROUND(COUNTIFS(MASTER!$B$4:$B$1463,"RECKONING",MASTER!$I$4:$I$1463,"&lt;&gt;")*$A154*100/100,0)),MASTER!$Y$4:$Y$1463,0))="",NA(),INDEX(MASTER!$I$4:$I$1463,MATCH("RECKONING"&amp;"|"&amp;MAX(1,ROUND(COUNTIFS(MASTER!$B$4:$B$1463,"RECKONING",MASTER!$I$4:$I$1463,"&lt;&gt;")*$A154*100/100,0)),MASTER!$Y$4:$Y$1463,0))),NA()),IF($B$4="COMBAT RATING",IFERROR(IF(INDEX(MASTER!$G$4:$G$1463,MATCH("RECKONING"&amp;"|"&amp;MAX(1,ROUND(COUNTIFS(MASTER!$B$4:$B$1463,"RECKONING",MASTER!$G$4:$G$1463,"&lt;&gt;")*$A154*100/100,0)),MASTER!$AH$4:$AH$1463,0))="",NA(),INDEX(MASTER!$G$4:$G$1463,MATCH("RECKONING"&amp;"|"&amp;MAX(1,ROUND(COUNTIFS(MASTER!$B$4:$B$1463,"RECKONING",MASTER!$G$4:$G$1463,"&lt;&gt;")*$A154*100/100,0)),MASTER!$AH$4:$AH$1463,0))),NA()),IF($B$4="SECONDARY",IFERROR(IF(INDEX(MASTER!$L$4:$L$1463,MATCH("RECKONING"&amp;"|"&amp;MAX(1,ROUND(COUNTIFS(MASTER!$B$4:$B$1463,"RECKONING",MASTER!$L$4:$L$1463,"&lt;&gt;")*$A154*100/100,0)),MASTER!$AI$4:$AI$1463,0))="",NA(),INDEX(MASTER!$L$4:$L$1463,MATCH("RECKONING"&amp;"|"&amp;MAX(1,ROUND(COUNTIFS(MASTER!$B$4:$B$1463,"RECKONING",MASTER!$L$4:$L$1463,"&lt;&gt;")*$A154*100/100,0)),MASTER!$AI$4:$AI$1463,0))),NA()))))</f>
        <v>1350</v>
      </c>
      <c r="I154" s="37">
        <f>IF($B$4="RESONANCE",IFERROR(IF(INDEX(MASTER!$I$4:$I$1463,MATCH("ACHERON"&amp;"|"&amp;MAX(1,ROUND(COUNTIFS(MASTER!$B$4:$B$1463,"ACHERON",MASTER!$I$4:$I$1463,"&lt;&gt;")*$A154*100/100,0)),MASTER!$Y$4:$Y$1463,0))="",NA(),INDEX(MASTER!$I$4:$I$1463,MATCH("ACHERON"&amp;"|"&amp;MAX(1,ROUND(COUNTIFS(MASTER!$B$4:$B$1463,"ACHERON",MASTER!$I$4:$I$1463,"&lt;&gt;")*$A154*100/100,0)),MASTER!$Y$4:$Y$1463,0))),NA()),IF($B$4="COMBAT RATING",IFERROR(IF(INDEX(MASTER!$G$4:$G$1463,MATCH("ACHERON"&amp;"|"&amp;MAX(1,ROUND(COUNTIFS(MASTER!$B$4:$B$1463,"ACHERON",MASTER!$G$4:$G$1463,"&lt;&gt;")*$A154*100/100,0)),MASTER!$AH$4:$AH$1463,0))="",NA(),INDEX(MASTER!$G$4:$G$1463,MATCH("ACHERON"&amp;"|"&amp;MAX(1,ROUND(COUNTIFS(MASTER!$B$4:$B$1463,"ACHERON",MASTER!$G$4:$G$1463,"&lt;&gt;")*$A154*100/100,0)),MASTER!$AH$4:$AH$1463,0))),NA()),IF($B$4="SECONDARY",IFERROR(IF(INDEX(MASTER!$L$4:$L$1463,MATCH("ACHERON"&amp;"|"&amp;MAX(1,ROUND(COUNTIFS(MASTER!$B$4:$B$1463,"ACHERON",MASTER!$L$4:$L$1463,"&lt;&gt;")*$A154*100/100,0)),MASTER!$AI$4:$AI$1463,0))="",NA(),INDEX(MASTER!$L$4:$L$1463,MATCH("ACHERON"&amp;"|"&amp;MAX(1,ROUND(COUNTIFS(MASTER!$B$4:$B$1463,"ACHERON",MASTER!$L$4:$L$1463,"&lt;&gt;")*$A154*100/100,0)),MASTER!$AI$4:$AI$1463,0))),NA()))))</f>
        <v>782</v>
      </c>
      <c r="J154" s="37">
        <f>IF($B$4="RESONANCE",IFERROR(IF(INDEX(MASTER!$I$4:$I$1463,MATCH("INVICTUS"&amp;"|"&amp;MAX(1,ROUND(COUNTIFS(MASTER!$B$4:$B$1463,"INVICTUS",MASTER!$I$4:$I$1463,"&lt;&gt;")*$A154*100/100,0)),MASTER!$Y$4:$Y$1463,0))="",NA(),INDEX(MASTER!$I$4:$I$1463,MATCH("INVICTUS"&amp;"|"&amp;MAX(1,ROUND(COUNTIFS(MASTER!$B$4:$B$1463,"INVICTUS",MASTER!$I$4:$I$1463,"&lt;&gt;")*$A154*100/100,0)),MASTER!$Y$4:$Y$1463,0))),NA()),IF($B$4="COMBAT RATING",IFERROR(IF(INDEX(MASTER!$G$4:$G$1463,MATCH("INVICTUS"&amp;"|"&amp;MAX(1,ROUND(COUNTIFS(MASTER!$B$4:$B$1463,"INVICTUS",MASTER!$G$4:$G$1463,"&lt;&gt;")*$A154*100/100,0)),MASTER!$AH$4:$AH$1463,0))="",NA(),INDEX(MASTER!$G$4:$G$1463,MATCH("INVICTUS"&amp;"|"&amp;MAX(1,ROUND(COUNTIFS(MASTER!$B$4:$B$1463,"INVICTUS",MASTER!$G$4:$G$1463,"&lt;&gt;")*$A154*100/100,0)),MASTER!$AH$4:$AH$1463,0))),NA()),IF($B$4="SECONDARY",IFERROR(IF(INDEX(MASTER!$L$4:$L$1463,MATCH("INVICTUS"&amp;"|"&amp;MAX(1,ROUND(COUNTIFS(MASTER!$B$4:$B$1463,"INVICTUS",MASTER!$L$4:$L$1463,"&lt;&gt;")*$A154*100/100,0)),MASTER!$AI$4:$AI$1463,0))="",NA(),INDEX(MASTER!$L$4:$L$1463,MATCH("INVICTUS"&amp;"|"&amp;MAX(1,ROUND(COUNTIFS(MASTER!$B$4:$B$1463,"INVICTUS",MASTER!$L$4:$L$1463,"&lt;&gt;")*$A154*100/100,0)),MASTER!$AI$4:$AI$1463,0))),NA()))))</f>
        <v>860</v>
      </c>
      <c r="K154" s="37">
        <f>IF($B$4="RESONANCE",IFERROR(IF(INDEX(MASTER!$I$4:$I$1463,MATCH("EMERALD LEAF TRIBE"&amp;"|"&amp;MAX(1,ROUND(COUNTIFS(MASTER!$B$4:$B$1463,"EMERALD LEAF TRIBE",MASTER!$I$4:$I$1463,"&lt;&gt;")*$A154*100/100,0)),MASTER!$Y$4:$Y$1463,0))="",NA(),INDEX(MASTER!$I$4:$I$1463,MATCH("EMERALD LEAF TRIBE"&amp;"|"&amp;MAX(1,ROUND(COUNTIFS(MASTER!$B$4:$B$1463,"EMERALD LEAF TRIBE",MASTER!$I$4:$I$1463,"&lt;&gt;")*$A154*100/100,0)),MASTER!$Y$4:$Y$1463,0))),NA()),IF($B$4="COMBAT RATING",IFERROR(IF(INDEX(MASTER!$G$4:$G$1463,MATCH("EMERALD LEAF TRIBE"&amp;"|"&amp;MAX(1,ROUND(COUNTIFS(MASTER!$B$4:$B$1463,"EMERALD LEAF TRIBE",MASTER!$G$4:$G$1463,"&lt;&gt;")*$A154*100/100,0)),MASTER!$AH$4:$AH$1463,0))="",NA(),INDEX(MASTER!$G$4:$G$1463,MATCH("EMERALD LEAF TRIBE"&amp;"|"&amp;MAX(1,ROUND(COUNTIFS(MASTER!$B$4:$B$1463,"EMERALD LEAF TRIBE",MASTER!$G$4:$G$1463,"&lt;&gt;")*$A154*100/100,0)),MASTER!$AH$4:$AH$1463,0))),NA()),IF($B$4="SECONDARY",IFERROR(IF(INDEX(MASTER!$L$4:$L$1463,MATCH("EMERALD LEAF TRIBE"&amp;"|"&amp;MAX(1,ROUND(COUNTIFS(MASTER!$B$4:$B$1463,"EMERALD LEAF TRIBE",MASTER!$L$4:$L$1463,"&lt;&gt;")*$A154*100/100,0)),MASTER!$AI$4:$AI$1463,0))="",NA(),INDEX(MASTER!$L$4:$L$1463,MATCH("EMERALD LEAF TRIBE"&amp;"|"&amp;MAX(1,ROUND(COUNTIFS(MASTER!$B$4:$B$1463,"EMERALD LEAF TRIBE",MASTER!$L$4:$L$1463,"&lt;&gt;")*$A154*100/100,0)),MASTER!$AI$4:$AI$1463,0))),NA()))))</f>
        <v>540</v>
      </c>
      <c r="L154" s="37">
        <f>IF($B$4="RESONANCE",IFERROR(IF(INDEX(MASTER!$I$4:$I$1463,MATCH("SUB ROSA"&amp;"|"&amp;MAX(1,ROUND(COUNTIFS(MASTER!$B$4:$B$1463,"SUB ROSA",MASTER!$I$4:$I$1463,"&lt;&gt;")*$A154*100/100,0)),MASTER!$Y$4:$Y$1463,0))="",NA(),INDEX(MASTER!$I$4:$I$1463,MATCH("SUB ROSA"&amp;"|"&amp;MAX(1,ROUND(COUNTIFS(MASTER!$B$4:$B$1463,"SUB ROSA",MASTER!$I$4:$I$1463,"&lt;&gt;")*$A154*100/100,0)),MASTER!$Y$4:$Y$1463,0))),NA()),IF($B$4="COMBAT RATING",IFERROR(IF(INDEX(MASTER!$G$4:$G$1463,MATCH("SUB ROSA"&amp;"|"&amp;MAX(1,ROUND(COUNTIFS(MASTER!$B$4:$B$1463,"SUB ROSA",MASTER!$G$4:$G$1463,"&lt;&gt;")*$A154*100/100,0)),MASTER!$AH$4:$AH$1463,0))="",NA(),INDEX(MASTER!$G$4:$G$1463,MATCH("SUB ROSA"&amp;"|"&amp;MAX(1,ROUND(COUNTIFS(MASTER!$B$4:$B$1463,"SUB ROSA",MASTER!$G$4:$G$1463,"&lt;&gt;")*$A154*100/100,0)),MASTER!$AH$4:$AH$1463,0))),NA()),IF($B$4="SECONDARY",IFERROR(IF(INDEX(MASTER!$L$4:$L$1463,MATCH("SUB ROSA"&amp;"|"&amp;MAX(1,ROUND(COUNTIFS(MASTER!$B$4:$B$1463,"SUB ROSA",MASTER!$L$4:$L$1463,"&lt;&gt;")*$A154*100/100,0)),MASTER!$AI$4:$AI$1463,0))="",NA(),INDEX(MASTER!$L$4:$L$1463,MATCH("SUB ROSA"&amp;"|"&amp;MAX(1,ROUND(COUNTIFS(MASTER!$B$4:$B$1463,"SUB ROSA",MASTER!$L$4:$L$1463,"&lt;&gt;")*$A154*100/100,0)),MASTER!$AI$4:$AI$1463,0))),NA()))))</f>
        <v>465</v>
      </c>
      <c r="M154" s="37">
        <f>IF($B$4="RESONANCE",IFERROR(IF(INDEX(MASTER!$I$4:$I$1463,MATCH("VENGEANCE"&amp;"|"&amp;MAX(1,ROUND(COUNTIFS(MASTER!$B$4:$B$1463,"VENGEANCE",MASTER!$I$4:$I$1463,"&lt;&gt;")*$A154*100/100,0)),MASTER!$Y$4:$Y$1463,0))="",NA(),INDEX(MASTER!$I$4:$I$1463,MATCH("VENGEANCE"&amp;"|"&amp;MAX(1,ROUND(COUNTIFS(MASTER!$B$4:$B$1463,"VENGEANCE",MASTER!$I$4:$I$1463,"&lt;&gt;")*$A154*100/100,0)),MASTER!$Y$4:$Y$1463,0))),NA()),IF($B$4="COMBAT RATING",IFERROR(IF(INDEX(MASTER!$G$4:$G$1463,MATCH("VENGEANCE"&amp;"|"&amp;MAX(1,ROUND(COUNTIFS(MASTER!$B$4:$B$1463,"VENGEANCE",MASTER!$G$4:$G$1463,"&lt;&gt;")*$A154*100/100,0)),MASTER!$AH$4:$AH$1463,0))="",NA(),INDEX(MASTER!$G$4:$G$1463,MATCH("VENGEANCE"&amp;"|"&amp;MAX(1,ROUND(COUNTIFS(MASTER!$B$4:$B$1463,"VENGEANCE",MASTER!$G$4:$G$1463,"&lt;&gt;")*$A154*100/100,0)),MASTER!$AH$4:$AH$1463,0))),NA()),IF($B$4="SECONDARY",IFERROR(IF(INDEX(MASTER!$L$4:$L$1463,MATCH("VENGEANCE"&amp;"|"&amp;MAX(1,ROUND(COUNTIFS(MASTER!$B$4:$B$1463,"VENGEANCE",MASTER!$L$4:$L$1463,"&lt;&gt;")*$A154*100/100,0)),MASTER!$AI$4:$AI$1463,0))="",NA(),INDEX(MASTER!$L$4:$L$1463,MATCH("VENGEANCE"&amp;"|"&amp;MAX(1,ROUND(COUNTIFS(MASTER!$B$4:$B$1463,"VENGEANCE",MASTER!$L$4:$L$1463,"&lt;&gt;")*$A154*100/100,0)),MASTER!$AI$4:$AI$1463,0))),NA()))))</f>
        <v>1304</v>
      </c>
      <c r="N154" s="37">
        <f>IF($B$4="RESONANCE",IFERROR(IF(INDEX(MASTER!$I$4:$I$1463,MATCH("VENDETTA"&amp;"|"&amp;MAX(1,ROUND(COUNTIFS(MASTER!$B$4:$B$1463,"VENDETTA",MASTER!$I$4:$I$1463,"&lt;&gt;")*$A154*100/100,0)),MASTER!$Y$4:$Y$1463,0))="",NA(),INDEX(MASTER!$I$4:$I$1463,MATCH("VENDETTA"&amp;"|"&amp;MAX(1,ROUND(COUNTIFS(MASTER!$B$4:$B$1463,"VENDETTA",MASTER!$I$4:$I$1463,"&lt;&gt;")*$A154*100/100,0)),MASTER!$Y$4:$Y$1463,0))),NA()),IF($B$4="COMBAT RATING",IFERROR(IF(INDEX(MASTER!$G$4:$G$1463,MATCH("VENDETTA"&amp;"|"&amp;MAX(1,ROUND(COUNTIFS(MASTER!$B$4:$B$1463,"VENDETTA",MASTER!$G$4:$G$1463,"&lt;&gt;")*$A154*100/100,0)),MASTER!$AH$4:$AH$1463,0))="",NA(),INDEX(MASTER!$G$4:$G$1463,MATCH("VENDETTA"&amp;"|"&amp;MAX(1,ROUND(COUNTIFS(MASTER!$B$4:$B$1463,"VENDETTA",MASTER!$G$4:$G$1463,"&lt;&gt;")*$A154*100/100,0)),MASTER!$AH$4:$AH$1463,0))),NA()),IF($B$4="SECONDARY",IFERROR(IF(INDEX(MASTER!$L$4:$L$1463,MATCH("VENDETTA"&amp;"|"&amp;MAX(1,ROUND(COUNTIFS(MASTER!$B$4:$B$1463,"VENDETTA",MASTER!$L$4:$L$1463,"&lt;&gt;")*$A154*100/100,0)),MASTER!$AI$4:$AI$1463,0))="",NA(),INDEX(MASTER!$L$4:$L$1463,MATCH("VENDETTA"&amp;"|"&amp;MAX(1,ROUND(COUNTIFS(MASTER!$B$4:$B$1463,"VENDETTA",MASTER!$L$4:$L$1463,"&lt;&gt;")*$A154*100/100,0)),MASTER!$AI$4:$AI$1463,0))),NA()))))</f>
        <v>685</v>
      </c>
      <c r="O154" s="37">
        <f>IF($B$4="RESONANCE",IFERROR(IF(INDEX(MASTER!$I$4:$I$1463,MATCH("ZOMBIES"&amp;"|"&amp;MAX(1,ROUND(COUNTIFS(MASTER!$B$4:$B$1463,"ZOMBIES",MASTER!$I$4:$I$1463,"&lt;&gt;")*$A154*100/100,0)),MASTER!$Y$4:$Y$1463,0))="",NA(),INDEX(MASTER!$I$4:$I$1463,MATCH("ZOMBIES"&amp;"|"&amp;MAX(1,ROUND(COUNTIFS(MASTER!$B$4:$B$1463,"ZOMBIES",MASTER!$I$4:$I$1463,"&lt;&gt;")*$A154*100/100,0)),MASTER!$Y$4:$Y$1463,0))),NA()),IF($B$4="COMBAT RATING",IFERROR(IF(INDEX(MASTER!$G$4:$G$1463,MATCH("ZOMBIES"&amp;"|"&amp;MAX(1,ROUND(COUNTIFS(MASTER!$B$4:$B$1463,"ZOMBIES",MASTER!$G$4:$G$1463,"&lt;&gt;")*$A154*100/100,0)),MASTER!$AH$4:$AH$1463,0))="",NA(),INDEX(MASTER!$G$4:$G$1463,MATCH("ZOMBIES"&amp;"|"&amp;MAX(1,ROUND(COUNTIFS(MASTER!$B$4:$B$1463,"ZOMBIES",MASTER!$G$4:$G$1463,"&lt;&gt;")*$A154*100/100,0)),MASTER!$AH$4:$AH$1463,0))),NA()),IF($B$4="SECONDARY",IFERROR(IF(INDEX(MASTER!$L$4:$L$1463,MATCH("ZOMBIES"&amp;"|"&amp;MAX(1,ROUND(COUNTIFS(MASTER!$B$4:$B$1463,"ZOMBIES",MASTER!$L$4:$L$1463,"&lt;&gt;")*$A154*100/100,0)),MASTER!$AI$4:$AI$1463,0))="",NA(),INDEX(MASTER!$L$4:$L$1463,MATCH("ZOMBIES"&amp;"|"&amp;MAX(1,ROUND(COUNTIFS(MASTER!$B$4:$B$1463,"ZOMBIES",MASTER!$L$4:$L$1463,"&lt;&gt;")*$A154*100/100,0)),MASTER!$AI$4:$AI$1463,0))),NA()))))</f>
        <v>531</v>
      </c>
      <c r="P154" s="37">
        <f>IF($B$4="RESONANCE",IFERROR(IF(INDEX(MASTER!$I$4:$I$1463,MATCH("FUCT"&amp;"|"&amp;MAX(1,ROUND(COUNTIFS(MASTER!$B$4:$B$1463,"FUCT",MASTER!$I$4:$I$1463,"&lt;&gt;")*$A154*100/100,0)),MASTER!$Y$4:$Y$1463,0))="",NA(),INDEX(MASTER!$I$4:$I$1463,MATCH("FUCT"&amp;"|"&amp;MAX(1,ROUND(COUNTIFS(MASTER!$B$4:$B$1463,"FUCT",MASTER!$I$4:$I$1463,"&lt;&gt;")*$A154*100/100,0)),MASTER!$Y$4:$Y$1463,0))),NA()),IF($B$4="COMBAT RATING",IFERROR(IF(INDEX(MASTER!$G$4:$G$1463,MATCH("FUCT"&amp;"|"&amp;MAX(1,ROUND(COUNTIFS(MASTER!$B$4:$B$1463,"FUCT",MASTER!$G$4:$G$1463,"&lt;&gt;")*$A154*100/100,0)),MASTER!$AH$4:$AH$1463,0))="",NA(),INDEX(MASTER!$G$4:$G$1463,MATCH("FUCT"&amp;"|"&amp;MAX(1,ROUND(COUNTIFS(MASTER!$B$4:$B$1463,"FUCT",MASTER!$G$4:$G$1463,"&lt;&gt;")*$A154*100/100,0)),MASTER!$AH$4:$AH$1463,0))),NA()),IF($B$4="SECONDARY",IFERROR(IF(INDEX(MASTER!$L$4:$L$1463,MATCH("FUCT"&amp;"|"&amp;MAX(1,ROUND(COUNTIFS(MASTER!$B$4:$B$1463,"FUCT",MASTER!$L$4:$L$1463,"&lt;&gt;")*$A154*100/100,0)),MASTER!$AI$4:$AI$1463,0))="",NA(),INDEX(MASTER!$L$4:$L$1463,MATCH("FUCT"&amp;"|"&amp;MAX(1,ROUND(COUNTIFS(MASTER!$B$4:$B$1463,"FUCT",MASTER!$L$4:$L$1463,"&lt;&gt;")*$A154*100/100,0)),MASTER!$AI$4:$AI$1463,0))),NA()))))</f>
        <v>2552</v>
      </c>
      <c r="Q154" s="37">
        <f>IF($B$4="RESONANCE",IFERROR(IF(INDEX(MASTER!$I$4:$I$1463,MATCH($E$4&amp;"|"&amp;MAX(1,ROUND(COUNTIFS(MASTER!$B$4:$B$1463,$E$4,MASTER!$I$4:$I$1463,"&lt;&gt;")*$A154*100/100,0)),MASTER!$Y$4:$Y$1463,0))="",NA(),INDEX(MASTER!$I$4:$I$1463,MATCH($E$4&amp;"|"&amp;MAX(1,ROUND(COUNTIFS(MASTER!$B$4:$B$1463,$E$4,MASTER!$I$4:$I$1463,"&lt;&gt;")*$A154*100/100,0)),MASTER!$Y$4:$Y$1463,0))),NA()),IF($B$4="COMBAT RATING",IFERROR(IF(INDEX(MASTER!$G$4:$G$1463,MATCH($E$4&amp;"|"&amp;MAX(1,ROUND(COUNTIFS(MASTER!$B$4:$B$1463,$E$4,MASTER!$G$4:$G$1463,"&lt;&gt;")*$A154*100/100,0)),MASTER!$AH$4:$AH$1463,0))="",NA(),INDEX(MASTER!$G$4:$G$1463,MATCH($E$4&amp;"|"&amp;MAX(1,ROUND(COUNTIFS(MASTER!$B$4:$B$1463,$E$4,MASTER!$G$4:$G$1463,"&lt;&gt;")*$A154*100/100,0)),MASTER!$AH$4:$AH$1463,0))),NA()),IF($B$4="SECONDARY",IFERROR(IF(INDEX(MASTER!$L$4:$L$1463,MATCH($E$4&amp;"|"&amp;MAX(1,ROUND(COUNTIFS(MASTER!$B$4:$B$1463,$E$4,MASTER!$L$4:$L$1463,"&lt;&gt;")*$A154*100/100,0)),MASTER!$AI$4:$AI$1463,0))="",NA(),INDEX(MASTER!$L$4:$L$1463,MATCH($E$4&amp;"|"&amp;MAX(1,ROUND(COUNTIFS(MASTER!$B$4:$B$1463,$E$4,MASTER!$L$4:$L$1463,"&lt;&gt;")*$A154*100/100,0)),MASTER!$AI$4:$AI$1463,0))),NA()))))</f>
        <v>2133</v>
      </c>
    </row>
    <row r="155" spans="1:17" hidden="1">
      <c r="A155" s="36">
        <v>1</v>
      </c>
      <c r="B155" s="37">
        <f>IF($B$4="RESONANCE",IFERROR(IF(INDEX(MASTER!$I$4:$I$1463,MATCH("FUCT"&amp;"|"&amp;MAX(1,ROUND(COUNTIFS(MASTER!$B$4:$B$1463,"FUCT",MASTER!$I$4:$I$1463,"&lt;&gt;")*$A155*100/100,0)),MASTER!$Y$4:$Y$1463,0))="",NA(),INDEX(MASTER!$I$4:$I$1463,MATCH("FUCT"&amp;"|"&amp;MAX(1,ROUND(COUNTIFS(MASTER!$B$4:$B$1463,"FUCT",MASTER!$I$4:$I$1463,"&lt;&gt;")*$A155*100/100,0)),MASTER!$Y$4:$Y$1463,0))),NA()),IF($B$4="COMBAT RATING",IFERROR(IF(INDEX(MASTER!$G$4:$G$1463,MATCH("FUCT"&amp;"|"&amp;MAX(1,ROUND(COUNTIFS(MASTER!$B$4:$B$1463,"FUCT",MASTER!$G$4:$G$1463,"&lt;&gt;")*$A155*100/100,0)),MASTER!$AH$4:$AH$1463,0))="",NA(),INDEX(MASTER!$G$4:$G$1463,MATCH("FUCT"&amp;"|"&amp;MAX(1,ROUND(COUNTIFS(MASTER!$B$4:$B$1463,"FUCT",MASTER!$G$4:$G$1463,"&lt;&gt;")*$A155*100/100,0)),MASTER!$AH$4:$AH$1463,0))),NA()),IF($B$4="SECONDARY",IFERROR(IF(INDEX(MASTER!$L$4:$L$1463,MATCH("FUCT"&amp;"|"&amp;MAX(1,ROUND(COUNTIFS(MASTER!$B$4:$B$1463,"FUCT",MASTER!$L$4:$L$1463,"&lt;&gt;")*$A155*100/100,0)),MASTER!$AI$4:$AI$1463,0))="",NA(),INDEX(MASTER!$L$4:$L$1463,MATCH("FUCT"&amp;"|"&amp;MAX(1,ROUND(COUNTIFS(MASTER!$B$4:$B$1463,"FUCT",MASTER!$L$4:$L$1463,"&lt;&gt;")*$A155*100/100,0)),MASTER!$AI$4:$AI$1463,0))),NA()))))</f>
        <v>2462</v>
      </c>
      <c r="C155" s="37">
        <f>IF($B$4="RESONANCE",IFERROR(IF(INDEX(MASTER!$I$4:$I$1463,MATCH("LEGENDS"&amp;"|"&amp;MAX(1,ROUND(COUNTIFS(MASTER!$B$4:$B$1463,"LEGENDS",MASTER!$I$4:$I$1463,"&lt;&gt;")*$A155*100/100,0)),MASTER!$Y$4:$Y$1463,0))="",NA(),INDEX(MASTER!$I$4:$I$1463,MATCH("LEGENDS"&amp;"|"&amp;MAX(1,ROUND(COUNTIFS(MASTER!$B$4:$B$1463,"LEGENDS",MASTER!$I$4:$I$1463,"&lt;&gt;")*$A155*100/100,0)),MASTER!$Y$4:$Y$1463,0))),NA()),IF($B$4="COMBAT RATING",IFERROR(IF(INDEX(MASTER!$G$4:$G$1463,MATCH("LEGENDS"&amp;"|"&amp;MAX(1,ROUND(COUNTIFS(MASTER!$B$4:$B$1463,"LEGENDS",MASTER!$G$4:$G$1463,"&lt;&gt;")*$A155*100/100,0)),MASTER!$AH$4:$AH$1463,0))="",NA(),INDEX(MASTER!$G$4:$G$1463,MATCH("LEGENDS"&amp;"|"&amp;MAX(1,ROUND(COUNTIFS(MASTER!$B$4:$B$1463,"LEGENDS",MASTER!$G$4:$G$1463,"&lt;&gt;")*$A155*100/100,0)),MASTER!$AH$4:$AH$1463,0))),NA()),IF($B$4="SECONDARY",IFERROR(IF(INDEX(MASTER!$L$4:$L$1463,MATCH("LEGENDS"&amp;"|"&amp;MAX(1,ROUND(COUNTIFS(MASTER!$B$4:$B$1463,"LEGENDS",MASTER!$L$4:$L$1463,"&lt;&gt;")*$A155*100/100,0)),MASTER!$AI$4:$AI$1463,0))="",NA(),INDEX(MASTER!$L$4:$L$1463,MATCH("LEGENDS"&amp;"|"&amp;MAX(1,ROUND(COUNTIFS(MASTER!$B$4:$B$1463,"LEGENDS",MASTER!$L$4:$L$1463,"&lt;&gt;")*$A155*100/100,0)),MASTER!$AI$4:$AI$1463,0))),NA()))))</f>
        <v>2526</v>
      </c>
      <c r="D155" s="37">
        <f>IF($B$4="RESONANCE",IFERROR(IF(INDEX(MASTER!$I$4:$I$1463,MATCH("VANGUARD"&amp;"|"&amp;MAX(1,ROUND(COUNTIFS(MASTER!$B$4:$B$1463,"VANGUARD",MASTER!$I$4:$I$1463,"&lt;&gt;")*$A155*100/100,0)),MASTER!$Y$4:$Y$1463,0))="",NA(),INDEX(MASTER!$I$4:$I$1463,MATCH("VANGUARD"&amp;"|"&amp;MAX(1,ROUND(COUNTIFS(MASTER!$B$4:$B$1463,"VANGUARD",MASTER!$I$4:$I$1463,"&lt;&gt;")*$A155*100/100,0)),MASTER!$Y$4:$Y$1463,0))),NA()),IF($B$4="COMBAT RATING",IFERROR(IF(INDEX(MASTER!$G$4:$G$1463,MATCH("VANGUARD"&amp;"|"&amp;MAX(1,ROUND(COUNTIFS(MASTER!$B$4:$B$1463,"VANGUARD",MASTER!$G$4:$G$1463,"&lt;&gt;")*$A155*100/100,0)),MASTER!$AH$4:$AH$1463,0))="",NA(),INDEX(MASTER!$G$4:$G$1463,MATCH("VANGUARD"&amp;"|"&amp;MAX(1,ROUND(COUNTIFS(MASTER!$B$4:$B$1463,"VANGUARD",MASTER!$G$4:$G$1463,"&lt;&gt;")*$A155*100/100,0)),MASTER!$AH$4:$AH$1463,0))),NA()),IF($B$4="SECONDARY",IFERROR(IF(INDEX(MASTER!$L$4:$L$1463,MATCH("VANGUARD"&amp;"|"&amp;MAX(1,ROUND(COUNTIFS(MASTER!$B$4:$B$1463,"VANGUARD",MASTER!$L$4:$L$1463,"&lt;&gt;")*$A155*100/100,0)),MASTER!$AI$4:$AI$1463,0))="",NA(),INDEX(MASTER!$L$4:$L$1463,MATCH("VANGUARD"&amp;"|"&amp;MAX(1,ROUND(COUNTIFS(MASTER!$B$4:$B$1463,"VANGUARD",MASTER!$L$4:$L$1463,"&lt;&gt;")*$A155*100/100,0)),MASTER!$AI$4:$AI$1463,0))),NA()))))</f>
        <v>1780</v>
      </c>
      <c r="E155" s="37">
        <f>IF($B$4="RESONANCE",IFERROR(IF(INDEX(MASTER!$I$4:$I$1463,MATCH("UNDYING"&amp;"|"&amp;MAX(1,ROUND(COUNTIFS(MASTER!$B$4:$B$1463,"UNDYING",MASTER!$I$4:$I$1463,"&lt;&gt;")*$A155*100/100,0)),MASTER!$Y$4:$Y$1463,0))="",NA(),INDEX(MASTER!$I$4:$I$1463,MATCH("UNDYING"&amp;"|"&amp;MAX(1,ROUND(COUNTIFS(MASTER!$B$4:$B$1463,"UNDYING",MASTER!$I$4:$I$1463,"&lt;&gt;")*$A155*100/100,0)),MASTER!$Y$4:$Y$1463,0))),NA()),IF($B$4="COMBAT RATING",IFERROR(IF(INDEX(MASTER!$G$4:$G$1463,MATCH("UNDYING"&amp;"|"&amp;MAX(1,ROUND(COUNTIFS(MASTER!$B$4:$B$1463,"UNDYING",MASTER!$G$4:$G$1463,"&lt;&gt;")*$A155*100/100,0)),MASTER!$AH$4:$AH$1463,0))="",NA(),INDEX(MASTER!$G$4:$G$1463,MATCH("UNDYING"&amp;"|"&amp;MAX(1,ROUND(COUNTIFS(MASTER!$B$4:$B$1463,"UNDYING",MASTER!$G$4:$G$1463,"&lt;&gt;")*$A155*100/100,0)),MASTER!$AH$4:$AH$1463,0))),NA()),IF($B$4="SECONDARY",IFERROR(IF(INDEX(MASTER!$L$4:$L$1463,MATCH("UNDYING"&amp;"|"&amp;MAX(1,ROUND(COUNTIFS(MASTER!$B$4:$B$1463,"UNDYING",MASTER!$L$4:$L$1463,"&lt;&gt;")*$A155*100/100,0)),MASTER!$AI$4:$AI$1463,0))="",NA(),INDEX(MASTER!$L$4:$L$1463,MATCH("UNDYING"&amp;"|"&amp;MAX(1,ROUND(COUNTIFS(MASTER!$B$4:$B$1463,"UNDYING",MASTER!$L$4:$L$1463,"&lt;&gt;")*$A155*100/100,0)),MASTER!$AI$4:$AI$1463,0))),NA()))))</f>
        <v>1260</v>
      </c>
      <c r="F155" s="37">
        <f>IF($B$4="RESONANCE",IFERROR(IF(INDEX(MASTER!$I$4:$I$1463,MATCH("SBG"&amp;"|"&amp;MAX(1,ROUND(COUNTIFS(MASTER!$B$4:$B$1463,"SBG",MASTER!$I$4:$I$1463,"&lt;&gt;")*$A155*100/100,0)),MASTER!$Y$4:$Y$1463,0))="",NA(),INDEX(MASTER!$I$4:$I$1463,MATCH("SBG"&amp;"|"&amp;MAX(1,ROUND(COUNTIFS(MASTER!$B$4:$B$1463,"SBG",MASTER!$I$4:$I$1463,"&lt;&gt;")*$A155*100/100,0)),MASTER!$Y$4:$Y$1463,0))),NA()),IF($B$4="COMBAT RATING",IFERROR(IF(INDEX(MASTER!$G$4:$G$1463,MATCH("SBG"&amp;"|"&amp;MAX(1,ROUND(COUNTIFS(MASTER!$B$4:$B$1463,"SBG",MASTER!$G$4:$G$1463,"&lt;&gt;")*$A155*100/100,0)),MASTER!$AH$4:$AH$1463,0))="",NA(),INDEX(MASTER!$G$4:$G$1463,MATCH("SBG"&amp;"|"&amp;MAX(1,ROUND(COUNTIFS(MASTER!$B$4:$B$1463,"SBG",MASTER!$G$4:$G$1463,"&lt;&gt;")*$A155*100/100,0)),MASTER!$AH$4:$AH$1463,0))),NA()),IF($B$4="SECONDARY",IFERROR(IF(INDEX(MASTER!$L$4:$L$1463,MATCH("SBG"&amp;"|"&amp;MAX(1,ROUND(COUNTIFS(MASTER!$B$4:$B$1463,"SBG",MASTER!$L$4:$L$1463,"&lt;&gt;")*$A155*100/100,0)),MASTER!$AI$4:$AI$1463,0))="",NA(),INDEX(MASTER!$L$4:$L$1463,MATCH("SBG"&amp;"|"&amp;MAX(1,ROUND(COUNTIFS(MASTER!$B$4:$B$1463,"SBG",MASTER!$L$4:$L$1463,"&lt;&gt;")*$A155*100/100,0)),MASTER!$AI$4:$AI$1463,0))),NA()))))</f>
        <v>2062</v>
      </c>
      <c r="G155" s="37">
        <f>IF($B$4="RESONANCE",IFERROR(IF(INDEX(MASTER!$I$4:$I$1463,MATCH("AZUKI"&amp;"|"&amp;MAX(1,ROUND(COUNTIFS(MASTER!$B$4:$B$1463,"AZUKI",MASTER!$I$4:$I$1463,"&lt;&gt;")*$A155*100/100,0)),MASTER!$Y$4:$Y$1463,0))="",NA(),INDEX(MASTER!$I$4:$I$1463,MATCH("AZUKI"&amp;"|"&amp;MAX(1,ROUND(COUNTIFS(MASTER!$B$4:$B$1463,"AZUKI",MASTER!$I$4:$I$1463,"&lt;&gt;")*$A155*100/100,0)),MASTER!$Y$4:$Y$1463,0))),NA()),IF($B$4="COMBAT RATING",IFERROR(IF(INDEX(MASTER!$G$4:$G$1463,MATCH("AZUKI"&amp;"|"&amp;MAX(1,ROUND(COUNTIFS(MASTER!$B$4:$B$1463,"AZUKI",MASTER!$G$4:$G$1463,"&lt;&gt;")*$A155*100/100,0)),MASTER!$AH$4:$AH$1463,0))="",NA(),INDEX(MASTER!$G$4:$G$1463,MATCH("AZUKI"&amp;"|"&amp;MAX(1,ROUND(COUNTIFS(MASTER!$B$4:$B$1463,"AZUKI",MASTER!$G$4:$G$1463,"&lt;&gt;")*$A155*100/100,0)),MASTER!$AH$4:$AH$1463,0))),NA()),IF($B$4="SECONDARY",IFERROR(IF(INDEX(MASTER!$L$4:$L$1463,MATCH("AZUKI"&amp;"|"&amp;MAX(1,ROUND(COUNTIFS(MASTER!$B$4:$B$1463,"AZUKI",MASTER!$L$4:$L$1463,"&lt;&gt;")*$A155*100/100,0)),MASTER!$AI$4:$AI$1463,0))="",NA(),INDEX(MASTER!$L$4:$L$1463,MATCH("AZUKI"&amp;"|"&amp;MAX(1,ROUND(COUNTIFS(MASTER!$B$4:$B$1463,"AZUKI",MASTER!$L$4:$L$1463,"&lt;&gt;")*$A155*100/100,0)),MASTER!$AI$4:$AI$1463,0))),NA()))))</f>
        <v>2107</v>
      </c>
      <c r="H155" s="37">
        <f>IF($B$4="RESONANCE",IFERROR(IF(INDEX(MASTER!$I$4:$I$1463,MATCH("RECKONING"&amp;"|"&amp;MAX(1,ROUND(COUNTIFS(MASTER!$B$4:$B$1463,"RECKONING",MASTER!$I$4:$I$1463,"&lt;&gt;")*$A155*100/100,0)),MASTER!$Y$4:$Y$1463,0))="",NA(),INDEX(MASTER!$I$4:$I$1463,MATCH("RECKONING"&amp;"|"&amp;MAX(1,ROUND(COUNTIFS(MASTER!$B$4:$B$1463,"RECKONING",MASTER!$I$4:$I$1463,"&lt;&gt;")*$A155*100/100,0)),MASTER!$Y$4:$Y$1463,0))),NA()),IF($B$4="COMBAT RATING",IFERROR(IF(INDEX(MASTER!$G$4:$G$1463,MATCH("RECKONING"&amp;"|"&amp;MAX(1,ROUND(COUNTIFS(MASTER!$B$4:$B$1463,"RECKONING",MASTER!$G$4:$G$1463,"&lt;&gt;")*$A155*100/100,0)),MASTER!$AH$4:$AH$1463,0))="",NA(),INDEX(MASTER!$G$4:$G$1463,MATCH("RECKONING"&amp;"|"&amp;MAX(1,ROUND(COUNTIFS(MASTER!$B$4:$B$1463,"RECKONING",MASTER!$G$4:$G$1463,"&lt;&gt;")*$A155*100/100,0)),MASTER!$AH$4:$AH$1463,0))),NA()),IF($B$4="SECONDARY",IFERROR(IF(INDEX(MASTER!$L$4:$L$1463,MATCH("RECKONING"&amp;"|"&amp;MAX(1,ROUND(COUNTIFS(MASTER!$B$4:$B$1463,"RECKONING",MASTER!$L$4:$L$1463,"&lt;&gt;")*$A155*100/100,0)),MASTER!$AI$4:$AI$1463,0))="",NA(),INDEX(MASTER!$L$4:$L$1463,MATCH("RECKONING"&amp;"|"&amp;MAX(1,ROUND(COUNTIFS(MASTER!$B$4:$B$1463,"RECKONING",MASTER!$L$4:$L$1463,"&lt;&gt;")*$A155*100/100,0)),MASTER!$AI$4:$AI$1463,0))),NA()))))</f>
        <v>1310</v>
      </c>
      <c r="I155" s="37">
        <f>IF($B$4="RESONANCE",IFERROR(IF(INDEX(MASTER!$I$4:$I$1463,MATCH("ACHERON"&amp;"|"&amp;MAX(1,ROUND(COUNTIFS(MASTER!$B$4:$B$1463,"ACHERON",MASTER!$I$4:$I$1463,"&lt;&gt;")*$A155*100/100,0)),MASTER!$Y$4:$Y$1463,0))="",NA(),INDEX(MASTER!$I$4:$I$1463,MATCH("ACHERON"&amp;"|"&amp;MAX(1,ROUND(COUNTIFS(MASTER!$B$4:$B$1463,"ACHERON",MASTER!$I$4:$I$1463,"&lt;&gt;")*$A155*100/100,0)),MASTER!$Y$4:$Y$1463,0))),NA()),IF($B$4="COMBAT RATING",IFERROR(IF(INDEX(MASTER!$G$4:$G$1463,MATCH("ACHERON"&amp;"|"&amp;MAX(1,ROUND(COUNTIFS(MASTER!$B$4:$B$1463,"ACHERON",MASTER!$G$4:$G$1463,"&lt;&gt;")*$A155*100/100,0)),MASTER!$AH$4:$AH$1463,0))="",NA(),INDEX(MASTER!$G$4:$G$1463,MATCH("ACHERON"&amp;"|"&amp;MAX(1,ROUND(COUNTIFS(MASTER!$B$4:$B$1463,"ACHERON",MASTER!$G$4:$G$1463,"&lt;&gt;")*$A155*100/100,0)),MASTER!$AH$4:$AH$1463,0))),NA()),IF($B$4="SECONDARY",IFERROR(IF(INDEX(MASTER!$L$4:$L$1463,MATCH("ACHERON"&amp;"|"&amp;MAX(1,ROUND(COUNTIFS(MASTER!$B$4:$B$1463,"ACHERON",MASTER!$L$4:$L$1463,"&lt;&gt;")*$A155*100/100,0)),MASTER!$AI$4:$AI$1463,0))="",NA(),INDEX(MASTER!$L$4:$L$1463,MATCH("ACHERON"&amp;"|"&amp;MAX(1,ROUND(COUNTIFS(MASTER!$B$4:$B$1463,"ACHERON",MASTER!$L$4:$L$1463,"&lt;&gt;")*$A155*100/100,0)),MASTER!$AI$4:$AI$1463,0))),NA()))))</f>
        <v>285</v>
      </c>
      <c r="J155" s="37">
        <f>IF($B$4="RESONANCE",IFERROR(IF(INDEX(MASTER!$I$4:$I$1463,MATCH("INVICTUS"&amp;"|"&amp;MAX(1,ROUND(COUNTIFS(MASTER!$B$4:$B$1463,"INVICTUS",MASTER!$I$4:$I$1463,"&lt;&gt;")*$A155*100/100,0)),MASTER!$Y$4:$Y$1463,0))="",NA(),INDEX(MASTER!$I$4:$I$1463,MATCH("INVICTUS"&amp;"|"&amp;MAX(1,ROUND(COUNTIFS(MASTER!$B$4:$B$1463,"INVICTUS",MASTER!$I$4:$I$1463,"&lt;&gt;")*$A155*100/100,0)),MASTER!$Y$4:$Y$1463,0))),NA()),IF($B$4="COMBAT RATING",IFERROR(IF(INDEX(MASTER!$G$4:$G$1463,MATCH("INVICTUS"&amp;"|"&amp;MAX(1,ROUND(COUNTIFS(MASTER!$B$4:$B$1463,"INVICTUS",MASTER!$G$4:$G$1463,"&lt;&gt;")*$A155*100/100,0)),MASTER!$AH$4:$AH$1463,0))="",NA(),INDEX(MASTER!$G$4:$G$1463,MATCH("INVICTUS"&amp;"|"&amp;MAX(1,ROUND(COUNTIFS(MASTER!$B$4:$B$1463,"INVICTUS",MASTER!$G$4:$G$1463,"&lt;&gt;")*$A155*100/100,0)),MASTER!$AH$4:$AH$1463,0))),NA()),IF($B$4="SECONDARY",IFERROR(IF(INDEX(MASTER!$L$4:$L$1463,MATCH("INVICTUS"&amp;"|"&amp;MAX(1,ROUND(COUNTIFS(MASTER!$B$4:$B$1463,"INVICTUS",MASTER!$L$4:$L$1463,"&lt;&gt;")*$A155*100/100,0)),MASTER!$AI$4:$AI$1463,0))="",NA(),INDEX(MASTER!$L$4:$L$1463,MATCH("INVICTUS"&amp;"|"&amp;MAX(1,ROUND(COUNTIFS(MASTER!$B$4:$B$1463,"INVICTUS",MASTER!$L$4:$L$1463,"&lt;&gt;")*$A155*100/100,0)),MASTER!$AI$4:$AI$1463,0))),NA()))))</f>
        <v>510</v>
      </c>
      <c r="K155" s="37">
        <f>IF($B$4="RESONANCE",IFERROR(IF(INDEX(MASTER!$I$4:$I$1463,MATCH("EMERALD LEAF TRIBE"&amp;"|"&amp;MAX(1,ROUND(COUNTIFS(MASTER!$B$4:$B$1463,"EMERALD LEAF TRIBE",MASTER!$I$4:$I$1463,"&lt;&gt;")*$A155*100/100,0)),MASTER!$Y$4:$Y$1463,0))="",NA(),INDEX(MASTER!$I$4:$I$1463,MATCH("EMERALD LEAF TRIBE"&amp;"|"&amp;MAX(1,ROUND(COUNTIFS(MASTER!$B$4:$B$1463,"EMERALD LEAF TRIBE",MASTER!$I$4:$I$1463,"&lt;&gt;")*$A155*100/100,0)),MASTER!$Y$4:$Y$1463,0))),NA()),IF($B$4="COMBAT RATING",IFERROR(IF(INDEX(MASTER!$G$4:$G$1463,MATCH("EMERALD LEAF TRIBE"&amp;"|"&amp;MAX(1,ROUND(COUNTIFS(MASTER!$B$4:$B$1463,"EMERALD LEAF TRIBE",MASTER!$G$4:$G$1463,"&lt;&gt;")*$A155*100/100,0)),MASTER!$AH$4:$AH$1463,0))="",NA(),INDEX(MASTER!$G$4:$G$1463,MATCH("EMERALD LEAF TRIBE"&amp;"|"&amp;MAX(1,ROUND(COUNTIFS(MASTER!$B$4:$B$1463,"EMERALD LEAF TRIBE",MASTER!$G$4:$G$1463,"&lt;&gt;")*$A155*100/100,0)),MASTER!$AH$4:$AH$1463,0))),NA()),IF($B$4="SECONDARY",IFERROR(IF(INDEX(MASTER!$L$4:$L$1463,MATCH("EMERALD LEAF TRIBE"&amp;"|"&amp;MAX(1,ROUND(COUNTIFS(MASTER!$B$4:$B$1463,"EMERALD LEAF TRIBE",MASTER!$L$4:$L$1463,"&lt;&gt;")*$A155*100/100,0)),MASTER!$AI$4:$AI$1463,0))="",NA(),INDEX(MASTER!$L$4:$L$1463,MATCH("EMERALD LEAF TRIBE"&amp;"|"&amp;MAX(1,ROUND(COUNTIFS(MASTER!$B$4:$B$1463,"EMERALD LEAF TRIBE",MASTER!$L$4:$L$1463,"&lt;&gt;")*$A155*100/100,0)),MASTER!$AI$4:$AI$1463,0))),NA()))))</f>
        <v>30</v>
      </c>
      <c r="L155" s="37">
        <f>IF($B$4="RESONANCE",IFERROR(IF(INDEX(MASTER!$I$4:$I$1463,MATCH("SUB ROSA"&amp;"|"&amp;MAX(1,ROUND(COUNTIFS(MASTER!$B$4:$B$1463,"SUB ROSA",MASTER!$I$4:$I$1463,"&lt;&gt;")*$A155*100/100,0)),MASTER!$Y$4:$Y$1463,0))="",NA(),INDEX(MASTER!$I$4:$I$1463,MATCH("SUB ROSA"&amp;"|"&amp;MAX(1,ROUND(COUNTIFS(MASTER!$B$4:$B$1463,"SUB ROSA",MASTER!$I$4:$I$1463,"&lt;&gt;")*$A155*100/100,0)),MASTER!$Y$4:$Y$1463,0))),NA()),IF($B$4="COMBAT RATING",IFERROR(IF(INDEX(MASTER!$G$4:$G$1463,MATCH("SUB ROSA"&amp;"|"&amp;MAX(1,ROUND(COUNTIFS(MASTER!$B$4:$B$1463,"SUB ROSA",MASTER!$G$4:$G$1463,"&lt;&gt;")*$A155*100/100,0)),MASTER!$AH$4:$AH$1463,0))="",NA(),INDEX(MASTER!$G$4:$G$1463,MATCH("SUB ROSA"&amp;"|"&amp;MAX(1,ROUND(COUNTIFS(MASTER!$B$4:$B$1463,"SUB ROSA",MASTER!$G$4:$G$1463,"&lt;&gt;")*$A155*100/100,0)),MASTER!$AH$4:$AH$1463,0))),NA()),IF($B$4="SECONDARY",IFERROR(IF(INDEX(MASTER!$L$4:$L$1463,MATCH("SUB ROSA"&amp;"|"&amp;MAX(1,ROUND(COUNTIFS(MASTER!$B$4:$B$1463,"SUB ROSA",MASTER!$L$4:$L$1463,"&lt;&gt;")*$A155*100/100,0)),MASTER!$AI$4:$AI$1463,0))="",NA(),INDEX(MASTER!$L$4:$L$1463,MATCH("SUB ROSA"&amp;"|"&amp;MAX(1,ROUND(COUNTIFS(MASTER!$B$4:$B$1463,"SUB ROSA",MASTER!$L$4:$L$1463,"&lt;&gt;")*$A155*100/100,0)),MASTER!$AI$4:$AI$1463,0))),NA()))))</f>
        <v>460</v>
      </c>
      <c r="M155" s="37">
        <f>IF($B$4="RESONANCE",IFERROR(IF(INDEX(MASTER!$I$4:$I$1463,MATCH("VENGEANCE"&amp;"|"&amp;MAX(1,ROUND(COUNTIFS(MASTER!$B$4:$B$1463,"VENGEANCE",MASTER!$I$4:$I$1463,"&lt;&gt;")*$A155*100/100,0)),MASTER!$Y$4:$Y$1463,0))="",NA(),INDEX(MASTER!$I$4:$I$1463,MATCH("VENGEANCE"&amp;"|"&amp;MAX(1,ROUND(COUNTIFS(MASTER!$B$4:$B$1463,"VENGEANCE",MASTER!$I$4:$I$1463,"&lt;&gt;")*$A155*100/100,0)),MASTER!$Y$4:$Y$1463,0))),NA()),IF($B$4="COMBAT RATING",IFERROR(IF(INDEX(MASTER!$G$4:$G$1463,MATCH("VENGEANCE"&amp;"|"&amp;MAX(1,ROUND(COUNTIFS(MASTER!$B$4:$B$1463,"VENGEANCE",MASTER!$G$4:$G$1463,"&lt;&gt;")*$A155*100/100,0)),MASTER!$AH$4:$AH$1463,0))="",NA(),INDEX(MASTER!$G$4:$G$1463,MATCH("VENGEANCE"&amp;"|"&amp;MAX(1,ROUND(COUNTIFS(MASTER!$B$4:$B$1463,"VENGEANCE",MASTER!$G$4:$G$1463,"&lt;&gt;")*$A155*100/100,0)),MASTER!$AH$4:$AH$1463,0))),NA()),IF($B$4="SECONDARY",IFERROR(IF(INDEX(MASTER!$L$4:$L$1463,MATCH("VENGEANCE"&amp;"|"&amp;MAX(1,ROUND(COUNTIFS(MASTER!$B$4:$B$1463,"VENGEANCE",MASTER!$L$4:$L$1463,"&lt;&gt;")*$A155*100/100,0)),MASTER!$AI$4:$AI$1463,0))="",NA(),INDEX(MASTER!$L$4:$L$1463,MATCH("VENGEANCE"&amp;"|"&amp;MAX(1,ROUND(COUNTIFS(MASTER!$B$4:$B$1463,"VENGEANCE",MASTER!$L$4:$L$1463,"&lt;&gt;")*$A155*100/100,0)),MASTER!$AI$4:$AI$1463,0))),NA()))))</f>
        <v>440</v>
      </c>
      <c r="N155" s="37">
        <f>IF($B$4="RESONANCE",IFERROR(IF(INDEX(MASTER!$I$4:$I$1463,MATCH("VENDETTA"&amp;"|"&amp;MAX(1,ROUND(COUNTIFS(MASTER!$B$4:$B$1463,"VENDETTA",MASTER!$I$4:$I$1463,"&lt;&gt;")*$A155*100/100,0)),MASTER!$Y$4:$Y$1463,0))="",NA(),INDEX(MASTER!$I$4:$I$1463,MATCH("VENDETTA"&amp;"|"&amp;MAX(1,ROUND(COUNTIFS(MASTER!$B$4:$B$1463,"VENDETTA",MASTER!$I$4:$I$1463,"&lt;&gt;")*$A155*100/100,0)),MASTER!$Y$4:$Y$1463,0))),NA()),IF($B$4="COMBAT RATING",IFERROR(IF(INDEX(MASTER!$G$4:$G$1463,MATCH("VENDETTA"&amp;"|"&amp;MAX(1,ROUND(COUNTIFS(MASTER!$B$4:$B$1463,"VENDETTA",MASTER!$G$4:$G$1463,"&lt;&gt;")*$A155*100/100,0)),MASTER!$AH$4:$AH$1463,0))="",NA(),INDEX(MASTER!$G$4:$G$1463,MATCH("VENDETTA"&amp;"|"&amp;MAX(1,ROUND(COUNTIFS(MASTER!$B$4:$B$1463,"VENDETTA",MASTER!$G$4:$G$1463,"&lt;&gt;")*$A155*100/100,0)),MASTER!$AH$4:$AH$1463,0))),NA()),IF($B$4="SECONDARY",IFERROR(IF(INDEX(MASTER!$L$4:$L$1463,MATCH("VENDETTA"&amp;"|"&amp;MAX(1,ROUND(COUNTIFS(MASTER!$B$4:$B$1463,"VENDETTA",MASTER!$L$4:$L$1463,"&lt;&gt;")*$A155*100/100,0)),MASTER!$AI$4:$AI$1463,0))="",NA(),INDEX(MASTER!$L$4:$L$1463,MATCH("VENDETTA"&amp;"|"&amp;MAX(1,ROUND(COUNTIFS(MASTER!$B$4:$B$1463,"VENDETTA",MASTER!$L$4:$L$1463,"&lt;&gt;")*$A155*100/100,0)),MASTER!$AI$4:$AI$1463,0))),NA()))))</f>
        <v>225</v>
      </c>
      <c r="O155" s="37">
        <f>IF($B$4="RESONANCE",IFERROR(IF(INDEX(MASTER!$I$4:$I$1463,MATCH("ZOMBIES"&amp;"|"&amp;MAX(1,ROUND(COUNTIFS(MASTER!$B$4:$B$1463,"ZOMBIES",MASTER!$I$4:$I$1463,"&lt;&gt;")*$A155*100/100,0)),MASTER!$Y$4:$Y$1463,0))="",NA(),INDEX(MASTER!$I$4:$I$1463,MATCH("ZOMBIES"&amp;"|"&amp;MAX(1,ROUND(COUNTIFS(MASTER!$B$4:$B$1463,"ZOMBIES",MASTER!$I$4:$I$1463,"&lt;&gt;")*$A155*100/100,0)),MASTER!$Y$4:$Y$1463,0))),NA()),IF($B$4="COMBAT RATING",IFERROR(IF(INDEX(MASTER!$G$4:$G$1463,MATCH("ZOMBIES"&amp;"|"&amp;MAX(1,ROUND(COUNTIFS(MASTER!$B$4:$B$1463,"ZOMBIES",MASTER!$G$4:$G$1463,"&lt;&gt;")*$A155*100/100,0)),MASTER!$AH$4:$AH$1463,0))="",NA(),INDEX(MASTER!$G$4:$G$1463,MATCH("ZOMBIES"&amp;"|"&amp;MAX(1,ROUND(COUNTIFS(MASTER!$B$4:$B$1463,"ZOMBIES",MASTER!$G$4:$G$1463,"&lt;&gt;")*$A155*100/100,0)),MASTER!$AH$4:$AH$1463,0))),NA()),IF($B$4="SECONDARY",IFERROR(IF(INDEX(MASTER!$L$4:$L$1463,MATCH("ZOMBIES"&amp;"|"&amp;MAX(1,ROUND(COUNTIFS(MASTER!$B$4:$B$1463,"ZOMBIES",MASTER!$L$4:$L$1463,"&lt;&gt;")*$A155*100/100,0)),MASTER!$AI$4:$AI$1463,0))="",NA(),INDEX(MASTER!$L$4:$L$1463,MATCH("ZOMBIES"&amp;"|"&amp;MAX(1,ROUND(COUNTIFS(MASTER!$B$4:$B$1463,"ZOMBIES",MASTER!$L$4:$L$1463,"&lt;&gt;")*$A155*100/100,0)),MASTER!$AI$4:$AI$1463,0))),NA()))))</f>
        <v>380</v>
      </c>
      <c r="P155" s="37">
        <f>IF($B$4="RESONANCE",IFERROR(IF(INDEX(MASTER!$I$4:$I$1463,MATCH("FUCT"&amp;"|"&amp;MAX(1,ROUND(COUNTIFS(MASTER!$B$4:$B$1463,"FUCT",MASTER!$I$4:$I$1463,"&lt;&gt;")*$A155*100/100,0)),MASTER!$Y$4:$Y$1463,0))="",NA(),INDEX(MASTER!$I$4:$I$1463,MATCH("FUCT"&amp;"|"&amp;MAX(1,ROUND(COUNTIFS(MASTER!$B$4:$B$1463,"FUCT",MASTER!$I$4:$I$1463,"&lt;&gt;")*$A155*100/100,0)),MASTER!$Y$4:$Y$1463,0))),NA()),IF($B$4="COMBAT RATING",IFERROR(IF(INDEX(MASTER!$G$4:$G$1463,MATCH("FUCT"&amp;"|"&amp;MAX(1,ROUND(COUNTIFS(MASTER!$B$4:$B$1463,"FUCT",MASTER!$G$4:$G$1463,"&lt;&gt;")*$A155*100/100,0)),MASTER!$AH$4:$AH$1463,0))="",NA(),INDEX(MASTER!$G$4:$G$1463,MATCH("FUCT"&amp;"|"&amp;MAX(1,ROUND(COUNTIFS(MASTER!$B$4:$B$1463,"FUCT",MASTER!$G$4:$G$1463,"&lt;&gt;")*$A155*100/100,0)),MASTER!$AH$4:$AH$1463,0))),NA()),IF($B$4="SECONDARY",IFERROR(IF(INDEX(MASTER!$L$4:$L$1463,MATCH("FUCT"&amp;"|"&amp;MAX(1,ROUND(COUNTIFS(MASTER!$B$4:$B$1463,"FUCT",MASTER!$L$4:$L$1463,"&lt;&gt;")*$A155*100/100,0)),MASTER!$AI$4:$AI$1463,0))="",NA(),INDEX(MASTER!$L$4:$L$1463,MATCH("FUCT"&amp;"|"&amp;MAX(1,ROUND(COUNTIFS(MASTER!$B$4:$B$1463,"FUCT",MASTER!$L$4:$L$1463,"&lt;&gt;")*$A155*100/100,0)),MASTER!$AI$4:$AI$1463,0))),NA()))))</f>
        <v>2462</v>
      </c>
      <c r="Q155" s="37">
        <f>IF($B$4="RESONANCE",IFERROR(IF(INDEX(MASTER!$I$4:$I$1463,MATCH($E$4&amp;"|"&amp;MAX(1,ROUND(COUNTIFS(MASTER!$B$4:$B$1463,$E$4,MASTER!$I$4:$I$1463,"&lt;&gt;")*$A155*100/100,0)),MASTER!$Y$4:$Y$1463,0))="",NA(),INDEX(MASTER!$I$4:$I$1463,MATCH($E$4&amp;"|"&amp;MAX(1,ROUND(COUNTIFS(MASTER!$B$4:$B$1463,$E$4,MASTER!$I$4:$I$1463,"&lt;&gt;")*$A155*100/100,0)),MASTER!$Y$4:$Y$1463,0))),NA()),IF($B$4="COMBAT RATING",IFERROR(IF(INDEX(MASTER!$G$4:$G$1463,MATCH($E$4&amp;"|"&amp;MAX(1,ROUND(COUNTIFS(MASTER!$B$4:$B$1463,$E$4,MASTER!$G$4:$G$1463,"&lt;&gt;")*$A155*100/100,0)),MASTER!$AH$4:$AH$1463,0))="",NA(),INDEX(MASTER!$G$4:$G$1463,MATCH($E$4&amp;"|"&amp;MAX(1,ROUND(COUNTIFS(MASTER!$B$4:$B$1463,$E$4,MASTER!$G$4:$G$1463,"&lt;&gt;")*$A155*100/100,0)),MASTER!$AH$4:$AH$1463,0))),NA()),IF($B$4="SECONDARY",IFERROR(IF(INDEX(MASTER!$L$4:$L$1463,MATCH($E$4&amp;"|"&amp;MAX(1,ROUND(COUNTIFS(MASTER!$B$4:$B$1463,$E$4,MASTER!$L$4:$L$1463,"&lt;&gt;")*$A155*100/100,0)),MASTER!$AI$4:$AI$1463,0))="",NA(),INDEX(MASTER!$L$4:$L$1463,MATCH($E$4&amp;"|"&amp;MAX(1,ROUND(COUNTIFS(MASTER!$B$4:$B$1463,$E$4,MASTER!$L$4:$L$1463,"&lt;&gt;")*$A155*100/100,0)),MASTER!$AI$4:$AI$1463,0))),NA()))))</f>
        <v>1260</v>
      </c>
    </row>
  </sheetData>
  <mergeCells count="7">
    <mergeCell ref="A7:P34"/>
    <mergeCell ref="A36:H36"/>
    <mergeCell ref="A1:R1"/>
    <mergeCell ref="A2:R2"/>
    <mergeCell ref="B4:C4"/>
    <mergeCell ref="E4:F4"/>
    <mergeCell ref="A6:O6"/>
  </mergeCells>
  <conditionalFormatting sqref="H38:H51">
    <cfRule type="cellIs" dxfId="26" priority="2" operator="lessThan">
      <formula>0</formula>
    </cfRule>
    <cfRule type="cellIs" dxfId="25" priority="3" operator="greaterThan">
      <formula>0</formula>
    </cfRule>
  </conditionalFormatting>
  <dataValidations count="1">
    <dataValidation type="list" sqref="B4" xr:uid="{00000000-0002-0000-0200-000000000000}">
      <formula1>"RESONANCE,COMBAT RATING,SECONDARY"</formula1>
      <formula2>0</formula2>
    </dataValidation>
  </dataValidations>
  <printOptions horizontalCentered="1"/>
  <pageMargins left="0.75" right="0.75" top="1" bottom="1" header="0.511811023622047" footer="0.511811023622047"/>
  <pageSetup fitToHeight="0" orientation="landscape" horizontalDpi="300" verticalDpi="300"/>
  <ignoredErrors>
    <ignoredError sqref="A1:R3 A5:R155 A4 C4:D4 F4:R4" evalError="1" twoDigitTextYear="1" numberStoredAsText="1" formula="1" formulaRange="1" unlockedFormula="1" emptyCellReference="1" listDataValidation="1" calculatedColumn="1"/>
  </ignoredErrors>
  <drawing r:id="rId1"/>
  <extLst>
    <ext xmlns:x14="http://schemas.microsoft.com/office/spreadsheetml/2009/9/main" uri="{CCE6A557-97BC-4b89-ADB6-D9C93CAAB3DF}">
      <x14:dataValidations xmlns:xm="http://schemas.microsoft.com/office/excel/2006/main" count="1">
        <x14:dataValidation type="list" xr:uid="{00000000-0002-0000-0200-000001000000}">
          <x14:formula1>
            <xm:f>SETUP!$A$68:$A$81</xm:f>
          </x14:formula1>
          <x14:formula2>
            <xm:f>0</xm:f>
          </x14:formula2>
          <xm:sqref>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1E54"/>
    <pageSetUpPr fitToPage="1"/>
  </sheetPr>
  <dimension ref="A1:T81"/>
  <sheetViews>
    <sheetView showGridLines="0" topLeftCell="A45" zoomScaleNormal="100" workbookViewId="0">
      <selection activeCell="K47" sqref="K47"/>
    </sheetView>
  </sheetViews>
  <sheetFormatPr defaultColWidth="8.7109375" defaultRowHeight="15"/>
  <cols>
    <col min="1" max="1" width="5" customWidth="1"/>
    <col min="2" max="2" width="24" customWidth="1"/>
    <col min="3" max="3" width="20" customWidth="1"/>
    <col min="4" max="4" width="16" customWidth="1"/>
    <col min="5" max="5" width="11" customWidth="1"/>
    <col min="6" max="6" width="14" customWidth="1"/>
    <col min="7" max="7" width="3" customWidth="1"/>
    <col min="8" max="8" width="5" customWidth="1"/>
    <col min="9" max="9" width="24" customWidth="1"/>
    <col min="10" max="10" width="20" customWidth="1"/>
    <col min="11" max="11" width="16" customWidth="1"/>
    <col min="12" max="12" width="11" customWidth="1"/>
    <col min="13" max="13" width="14" customWidth="1"/>
    <col min="14" max="14" width="3" customWidth="1"/>
    <col min="15" max="15" width="5" customWidth="1"/>
    <col min="16" max="16" width="24" customWidth="1"/>
    <col min="17" max="17" width="20" customWidth="1"/>
    <col min="18" max="18" width="16" customWidth="1"/>
    <col min="19" max="19" width="10" customWidth="1"/>
    <col min="20" max="20" width="8" customWidth="1"/>
  </cols>
  <sheetData>
    <row r="1" spans="1:20" ht="30" customHeight="1">
      <c r="A1" s="92" t="s">
        <v>122</v>
      </c>
      <c r="B1" s="92"/>
      <c r="C1" s="92"/>
      <c r="D1" s="92"/>
      <c r="E1" s="92"/>
      <c r="F1" s="92"/>
      <c r="G1" s="92"/>
      <c r="H1" s="92"/>
      <c r="I1" s="92"/>
      <c r="J1" s="92"/>
      <c r="K1" s="92"/>
      <c r="L1" s="92"/>
      <c r="M1" s="92"/>
      <c r="N1" s="92"/>
      <c r="O1" s="92"/>
      <c r="P1" s="92"/>
      <c r="Q1" s="92"/>
      <c r="R1" s="92"/>
      <c r="S1" s="92"/>
      <c r="T1" s="92"/>
    </row>
    <row r="2" spans="1:20" ht="15.75" customHeight="1">
      <c r="A2" s="93" t="s">
        <v>123</v>
      </c>
      <c r="B2" s="93"/>
      <c r="C2" s="93"/>
      <c r="D2" s="93"/>
      <c r="E2" s="93"/>
      <c r="F2" s="93"/>
      <c r="G2" s="93"/>
      <c r="H2" s="93"/>
      <c r="I2" s="93"/>
      <c r="J2" s="93"/>
      <c r="K2" s="93"/>
      <c r="L2" s="93"/>
      <c r="M2" s="93"/>
      <c r="N2" s="93"/>
      <c r="O2" s="93"/>
      <c r="P2" s="93"/>
      <c r="Q2" s="93"/>
      <c r="R2" s="93"/>
      <c r="S2" s="93"/>
      <c r="T2" s="93"/>
    </row>
    <row r="4" spans="1:20" ht="19.5" customHeight="1">
      <c r="A4" s="91" t="s">
        <v>124</v>
      </c>
      <c r="B4" s="91"/>
      <c r="C4" s="91"/>
      <c r="D4" s="91"/>
      <c r="E4" s="91"/>
      <c r="F4" s="91"/>
      <c r="H4" s="91" t="s">
        <v>125</v>
      </c>
      <c r="I4" s="91"/>
      <c r="J4" s="91"/>
      <c r="K4" s="91"/>
      <c r="L4" s="91"/>
      <c r="M4" s="91"/>
      <c r="O4" s="91" t="s">
        <v>126</v>
      </c>
      <c r="P4" s="91"/>
      <c r="Q4" s="91"/>
      <c r="R4" s="91"/>
      <c r="S4" s="91"/>
      <c r="T4" s="91"/>
    </row>
    <row r="5" spans="1:20" ht="27.75" customHeight="1">
      <c r="A5" s="13" t="s">
        <v>127</v>
      </c>
      <c r="B5" s="13" t="s">
        <v>128</v>
      </c>
      <c r="C5" s="13" t="s">
        <v>44</v>
      </c>
      <c r="D5" s="13" t="s">
        <v>68</v>
      </c>
      <c r="E5" s="13" t="s">
        <v>129</v>
      </c>
      <c r="F5" s="13" t="s">
        <v>63</v>
      </c>
      <c r="H5" s="13" t="s">
        <v>127</v>
      </c>
      <c r="I5" s="13" t="s">
        <v>128</v>
      </c>
      <c r="J5" s="13" t="s">
        <v>44</v>
      </c>
      <c r="K5" s="13" t="s">
        <v>68</v>
      </c>
      <c r="L5" s="13" t="s">
        <v>130</v>
      </c>
      <c r="M5" s="13" t="s">
        <v>131</v>
      </c>
      <c r="O5" s="13" t="s">
        <v>127</v>
      </c>
      <c r="P5" s="13" t="s">
        <v>128</v>
      </c>
      <c r="Q5" s="13" t="s">
        <v>44</v>
      </c>
      <c r="R5" s="13" t="s">
        <v>68</v>
      </c>
      <c r="S5" s="13" t="s">
        <v>132</v>
      </c>
      <c r="T5" s="13" t="s">
        <v>133</v>
      </c>
    </row>
    <row r="6" spans="1:20">
      <c r="A6" s="15">
        <v>1</v>
      </c>
      <c r="B6" s="14" t="str">
        <f>IFERROR(IF(INDEX(MASTER!$C$4:$C$1463,MATCH(1,MASTER!$P$4:$P$1463,0))="","-",INDEX(MASTER!$C$4:$C$1463,MATCH(1,MASTER!$P$4:$P$1463,0))),"-")</f>
        <v>AMBER</v>
      </c>
      <c r="C6" s="15" t="str">
        <f>IFERROR(IF(INDEX(MASTER!$B$4:$B$1463,MATCH(1,MASTER!$P$4:$P$1463,0))="","-",INDEX(MASTER!$B$4:$B$1463,MATCH(1,MASTER!$P$4:$P$1463,0))),"-")</f>
        <v>AZUKI</v>
      </c>
      <c r="D6" s="15" t="str">
        <f>IFERROR(IF(INDEX(MASTER!$E$4:$E$1463,MATCH(1,MASTER!$P$4:$P$1463,0))="","-",INDEX(MASTER!$E$4:$E$1463,MATCH(1,MASTER!$P$4:$P$1463,0))),"-")</f>
        <v>CRUSADER</v>
      </c>
      <c r="E6" s="16">
        <f>IFERROR(IF(INDEX(MASTER!$I$4:$I$1463,MATCH(1,MASTER!$P$4:$P$1463,0))="","-",INDEX(MASTER!$I$4:$I$1463,MATCH(1,MASTER!$P$4:$P$1463,0))),"-")</f>
        <v>12511</v>
      </c>
      <c r="F6" s="15" t="str">
        <f>IFERROR(IF(INDEX(MASTER!$J$4:$J$1463,MATCH(1,MASTER!$P$4:$P$1463,0))="","-",INDEX(MASTER!$J$4:$J$1463,MATCH(1,MASTER!$P$4:$P$1463,0))),"-")</f>
        <v>MYTHIC</v>
      </c>
      <c r="H6" s="15">
        <v>1</v>
      </c>
      <c r="I6" s="14" t="str">
        <f>IFERROR(IF(INDEX(MASTER!$C$4:$C$1463,MATCH(1,MASTER!$Z$4:$Z$1463,0))="","-",INDEX(MASTER!$C$4:$C$1463,MATCH(1,MASTER!$Z$4:$Z$1463,0))),"-")</f>
        <v>Visible</v>
      </c>
      <c r="J6" s="15" t="str">
        <f>IFERROR(IF(INDEX(MASTER!$B$4:$B$1463,MATCH(1,MASTER!$Z$4:$Z$1463,0))="","-",INDEX(MASTER!$B$4:$B$1463,MATCH(1,MASTER!$Z$4:$Z$1463,0))),"-")</f>
        <v>AZUKI</v>
      </c>
      <c r="K6" s="15" t="str">
        <f>IFERROR(IF(INDEX(MASTER!$E$4:$E$1463,MATCH(1,MASTER!$Z$4:$Z$1463,0))="","-",INDEX(MASTER!$E$4:$E$1463,MATCH(1,MASTER!$Z$4:$Z$1463,0))),"-")</f>
        <v>BARBARIAN</v>
      </c>
      <c r="L6" s="16">
        <f>IFERROR(IF(INDEX(MASTER!$G$4:$G$1463,MATCH(1,MASTER!$Z$4:$Z$1463,0))="","-",INDEX(MASTER!$G$4:$G$1463,MATCH(1,MASTER!$Z$4:$Z$1463,0))),"-")</f>
        <v>64467</v>
      </c>
      <c r="M6" s="15" t="str">
        <f>IFERROR(IF(INDEX(MASTER!$H$4:$H$1463,MATCH(1,MASTER!$Z$4:$Z$1463,0))="","-",INDEX(MASTER!$H$4:$H$1463,MATCH(1,MASTER!$Z$4:$Z$1463,0))),"-")</f>
        <v>64,000 +</v>
      </c>
      <c r="O6" s="15">
        <v>1</v>
      </c>
      <c r="P6" s="14" t="str">
        <f>IFERROR(IF(INDEX(MASTER!$C$4:$C$1463,MATCH(1,MASTER!$AA$4:$AA$1463,0))="","-",INDEX(MASTER!$C$4:$C$1463,MATCH(1,MASTER!$AA$4:$AA$1463,0))),"-")</f>
        <v>Solorin</v>
      </c>
      <c r="Q6" s="15" t="str">
        <f>IFERROR(IF(INDEX(MASTER!$B$4:$B$1463,MATCH(1,MASTER!$AA$4:$AA$1463,0))="","-",INDEX(MASTER!$B$4:$B$1463,MATCH(1,MASTER!$AA$4:$AA$1463,0))),"-")</f>
        <v>SBG</v>
      </c>
      <c r="R6" s="15" t="str">
        <f>IFERROR(IF(INDEX(MASTER!$E$4:$E$1463,MATCH(1,MASTER!$AA$4:$AA$1463,0))="","-",INDEX(MASTER!$E$4:$E$1463,MATCH(1,MASTER!$AA$4:$AA$1463,0))),"-")</f>
        <v>BLOOD KNIGHT</v>
      </c>
      <c r="S6" s="17">
        <f>IFERROR(IF(INDEX(MASTER!$N$4:$N$1463,MATCH(1,MASTER!$AA$4:$AA$1463,0))="","-",INDEX(MASTER!$N$4:$N$1463,MATCH(1,MASTER!$AA$4:$AA$1463,0))),"-")</f>
        <v>97.7</v>
      </c>
      <c r="T6" s="15" t="str">
        <f>IFERROR(IF(INDEX(MASTER!$O$4:$O$1463,MATCH(1,MASTER!$AA$4:$AA$1463,0))="","-",INDEX(MASTER!$O$4:$O$1463,MATCH(1,MASTER!$AA$4:$AA$1463,0))),"-")</f>
        <v>S+</v>
      </c>
    </row>
    <row r="7" spans="1:20">
      <c r="A7" s="19">
        <v>2</v>
      </c>
      <c r="B7" s="18" t="str">
        <f>IFERROR(IF(INDEX(MASTER!$C$4:$C$1463,MATCH(2,MASTER!$P$4:$P$1463,0))="","-",INDEX(MASTER!$C$4:$C$1463,MATCH(2,MASTER!$P$4:$P$1463,0))),"-")</f>
        <v>AMBÉRTURD</v>
      </c>
      <c r="C7" s="19" t="str">
        <f>IFERROR(IF(INDEX(MASTER!$B$4:$B$1463,MATCH(2,MASTER!$P$4:$P$1463,0))="","-",INDEX(MASTER!$B$4:$B$1463,MATCH(2,MASTER!$P$4:$P$1463,0))),"-")</f>
        <v>AZUKI</v>
      </c>
      <c r="D7" s="19" t="str">
        <f>IFERROR(IF(INDEX(MASTER!$E$4:$E$1463,MATCH(2,MASTER!$P$4:$P$1463,0))="","-",INDEX(MASTER!$E$4:$E$1463,MATCH(2,MASTER!$P$4:$P$1463,0))),"-")</f>
        <v>CRUSADER</v>
      </c>
      <c r="E7" s="20">
        <f>IFERROR(IF(INDEX(MASTER!$I$4:$I$1463,MATCH(2,MASTER!$P$4:$P$1463,0))="","-",INDEX(MASTER!$I$4:$I$1463,MATCH(2,MASTER!$P$4:$P$1463,0))),"-")</f>
        <v>12511</v>
      </c>
      <c r="F7" s="19" t="str">
        <f>IFERROR(IF(INDEX(MASTER!$J$4:$J$1463,MATCH(2,MASTER!$P$4:$P$1463,0))="","-",INDEX(MASTER!$J$4:$J$1463,MATCH(2,MASTER!$P$4:$P$1463,0))),"-")</f>
        <v>MYTHIC</v>
      </c>
      <c r="H7" s="19">
        <v>2</v>
      </c>
      <c r="I7" s="18" t="str">
        <f>IFERROR(IF(INDEX(MASTER!$C$4:$C$1463,MATCH(2,MASTER!$Z$4:$Z$1463,0))="","-",INDEX(MASTER!$C$4:$C$1463,MATCH(2,MASTER!$Z$4:$Z$1463,0))),"-")</f>
        <v>Wynterkiss</v>
      </c>
      <c r="J7" s="19" t="str">
        <f>IFERROR(IF(INDEX(MASTER!$B$4:$B$1463,MATCH(2,MASTER!$Z$4:$Z$1463,0))="","-",INDEX(MASTER!$B$4:$B$1463,MATCH(2,MASTER!$Z$4:$Z$1463,0))),"-")</f>
        <v>RECKONING</v>
      </c>
      <c r="K7" s="19" t="str">
        <f>IFERROR(IF(INDEX(MASTER!$E$4:$E$1463,MATCH(2,MASTER!$Z$4:$Z$1463,0))="","-",INDEX(MASTER!$E$4:$E$1463,MATCH(2,MASTER!$Z$4:$Z$1463,0))),"-")</f>
        <v>WARLOCK</v>
      </c>
      <c r="L7" s="20">
        <f>IFERROR(IF(INDEX(MASTER!$G$4:$G$1463,MATCH(2,MASTER!$Z$4:$Z$1463,0))="","-",INDEX(MASTER!$G$4:$G$1463,MATCH(2,MASTER!$Z$4:$Z$1463,0))),"-")</f>
        <v>64464</v>
      </c>
      <c r="M7" s="19" t="str">
        <f>IFERROR(IF(INDEX(MASTER!$H$4:$H$1463,MATCH(2,MASTER!$Z$4:$Z$1463,0))="","-",INDEX(MASTER!$H$4:$H$1463,MATCH(2,MASTER!$Z$4:$Z$1463,0))),"-")</f>
        <v>64,000 +</v>
      </c>
      <c r="O7" s="19">
        <v>2</v>
      </c>
      <c r="P7" s="18" t="str">
        <f>IFERROR(IF(INDEX(MASTER!$C$4:$C$1463,MATCH(2,MASTER!$AA$4:$AA$1463,0))="","-",INDEX(MASTER!$C$4:$C$1463,MATCH(2,MASTER!$AA$4:$AA$1463,0))),"-")</f>
        <v>AMBER</v>
      </c>
      <c r="Q7" s="19" t="str">
        <f>IFERROR(IF(INDEX(MASTER!$B$4:$B$1463,MATCH(2,MASTER!$AA$4:$AA$1463,0))="","-",INDEX(MASTER!$B$4:$B$1463,MATCH(2,MASTER!$AA$4:$AA$1463,0))),"-")</f>
        <v>AZUKI</v>
      </c>
      <c r="R7" s="19" t="str">
        <f>IFERROR(IF(INDEX(MASTER!$E$4:$E$1463,MATCH(2,MASTER!$AA$4:$AA$1463,0))="","-",INDEX(MASTER!$E$4:$E$1463,MATCH(2,MASTER!$AA$4:$AA$1463,0))),"-")</f>
        <v>CRUSADER</v>
      </c>
      <c r="S7" s="21">
        <f>IFERROR(IF(INDEX(MASTER!$N$4:$N$1463,MATCH(2,MASTER!$AA$4:$AA$1463,0))="","-",INDEX(MASTER!$N$4:$N$1463,MATCH(2,MASTER!$AA$4:$AA$1463,0))),"-")</f>
        <v>94.8</v>
      </c>
      <c r="T7" s="19" t="str">
        <f>IFERROR(IF(INDEX(MASTER!$O$4:$O$1463,MATCH(2,MASTER!$AA$4:$AA$1463,0))="","-",INDEX(MASTER!$O$4:$O$1463,MATCH(2,MASTER!$AA$4:$AA$1463,0))),"-")</f>
        <v>S+</v>
      </c>
    </row>
    <row r="8" spans="1:20">
      <c r="A8" s="15">
        <v>3</v>
      </c>
      <c r="B8" s="14" t="str">
        <f>IFERROR(IF(INDEX(MASTER!$C$4:$C$1463,MATCH(3,MASTER!$P$4:$P$1463,0))="","-",INDEX(MASTER!$C$4:$C$1463,MATCH(3,MASTER!$P$4:$P$1463,0))),"-")</f>
        <v>Solorin</v>
      </c>
      <c r="C8" s="15" t="str">
        <f>IFERROR(IF(INDEX(MASTER!$B$4:$B$1463,MATCH(3,MASTER!$P$4:$P$1463,0))="","-",INDEX(MASTER!$B$4:$B$1463,MATCH(3,MASTER!$P$4:$P$1463,0))),"-")</f>
        <v>SBG</v>
      </c>
      <c r="D8" s="15" t="str">
        <f>IFERROR(IF(INDEX(MASTER!$E$4:$E$1463,MATCH(3,MASTER!$P$4:$P$1463,0))="","-",INDEX(MASTER!$E$4:$E$1463,MATCH(3,MASTER!$P$4:$P$1463,0))),"-")</f>
        <v>BLOOD KNIGHT</v>
      </c>
      <c r="E8" s="16">
        <f>IFERROR(IF(INDEX(MASTER!$I$4:$I$1463,MATCH(3,MASTER!$P$4:$P$1463,0))="","-",INDEX(MASTER!$I$4:$I$1463,MATCH(3,MASTER!$P$4:$P$1463,0))),"-")</f>
        <v>12383</v>
      </c>
      <c r="F8" s="15" t="str">
        <f>IFERROR(IF(INDEX(MASTER!$J$4:$J$1463,MATCH(3,MASTER!$P$4:$P$1463,0))="","-",INDEX(MASTER!$J$4:$J$1463,MATCH(3,MASTER!$P$4:$P$1463,0))),"-")</f>
        <v>MYTHIC</v>
      </c>
      <c r="H8" s="15">
        <v>3</v>
      </c>
      <c r="I8" s="14" t="str">
        <f>IFERROR(IF(INDEX(MASTER!$C$4:$C$1463,MATCH(3,MASTER!$Z$4:$Z$1463,0))="","-",INDEX(MASTER!$C$4:$C$1463,MATCH(3,MASTER!$Z$4:$Z$1463,0))),"-")</f>
        <v>Swai</v>
      </c>
      <c r="J8" s="15" t="str">
        <f>IFERROR(IF(INDEX(MASTER!$B$4:$B$1463,MATCH(3,MASTER!$Z$4:$Z$1463,0))="","-",INDEX(MASTER!$B$4:$B$1463,MATCH(3,MASTER!$Z$4:$Z$1463,0))),"-")</f>
        <v>AZUKI</v>
      </c>
      <c r="K8" s="15" t="str">
        <f>IFERROR(IF(INDEX(MASTER!$E$4:$E$1463,MATCH(3,MASTER!$Z$4:$Z$1463,0))="","-",INDEX(MASTER!$E$4:$E$1463,MATCH(3,MASTER!$Z$4:$Z$1463,0))),"-")</f>
        <v>CRUSADER</v>
      </c>
      <c r="L8" s="16">
        <f>IFERROR(IF(INDEX(MASTER!$G$4:$G$1463,MATCH(3,MASTER!$Z$4:$Z$1463,0))="","-",INDEX(MASTER!$G$4:$G$1463,MATCH(3,MASTER!$Z$4:$Z$1463,0))),"-")</f>
        <v>64447</v>
      </c>
      <c r="M8" s="15" t="str">
        <f>IFERROR(IF(INDEX(MASTER!$H$4:$H$1463,MATCH(3,MASTER!$Z$4:$Z$1463,0))="","-",INDEX(MASTER!$H$4:$H$1463,MATCH(3,MASTER!$Z$4:$Z$1463,0))),"-")</f>
        <v>64,000 +</v>
      </c>
      <c r="O8" s="15">
        <v>3</v>
      </c>
      <c r="P8" s="14" t="str">
        <f>IFERROR(IF(INDEX(MASTER!$C$4:$C$1463,MATCH(3,MASTER!$AA$4:$AA$1463,0))="","-",INDEX(MASTER!$C$4:$C$1463,MATCH(3,MASTER!$AA$4:$AA$1463,0))),"-")</f>
        <v>AMBÉRTURD</v>
      </c>
      <c r="Q8" s="15" t="str">
        <f>IFERROR(IF(INDEX(MASTER!$B$4:$B$1463,MATCH(3,MASTER!$AA$4:$AA$1463,0))="","-",INDEX(MASTER!$B$4:$B$1463,MATCH(3,MASTER!$AA$4:$AA$1463,0))),"-")</f>
        <v>AZUKI</v>
      </c>
      <c r="R8" s="15" t="str">
        <f>IFERROR(IF(INDEX(MASTER!$E$4:$E$1463,MATCH(3,MASTER!$AA$4:$AA$1463,0))="","-",INDEX(MASTER!$E$4:$E$1463,MATCH(3,MASTER!$AA$4:$AA$1463,0))),"-")</f>
        <v>CRUSADER</v>
      </c>
      <c r="S8" s="17">
        <f>IFERROR(IF(INDEX(MASTER!$N$4:$N$1463,MATCH(3,MASTER!$AA$4:$AA$1463,0))="","-",INDEX(MASTER!$N$4:$N$1463,MATCH(3,MASTER!$AA$4:$AA$1463,0))),"-")</f>
        <v>94.7</v>
      </c>
      <c r="T8" s="15" t="str">
        <f>IFERROR(IF(INDEX(MASTER!$O$4:$O$1463,MATCH(3,MASTER!$AA$4:$AA$1463,0))="","-",INDEX(MASTER!$O$4:$O$1463,MATCH(3,MASTER!$AA$4:$AA$1463,0))),"-")</f>
        <v>S+</v>
      </c>
    </row>
    <row r="9" spans="1:20">
      <c r="A9" s="19">
        <v>4</v>
      </c>
      <c r="B9" s="18" t="str">
        <f>IFERROR(IF(INDEX(MASTER!$C$4:$C$1463,MATCH(4,MASTER!$P$4:$P$1463,0))="","-",INDEX(MASTER!$C$4:$C$1463,MATCH(4,MASTER!$P$4:$P$1463,0))),"-")</f>
        <v>GmanbcAlth</v>
      </c>
      <c r="C9" s="19" t="str">
        <f>IFERROR(IF(INDEX(MASTER!$B$4:$B$1463,MATCH(4,MASTER!$P$4:$P$1463,0))="","-",INDEX(MASTER!$B$4:$B$1463,MATCH(4,MASTER!$P$4:$P$1463,0))),"-")</f>
        <v>AZUKI</v>
      </c>
      <c r="D9" s="19" t="str">
        <f>IFERROR(IF(INDEX(MASTER!$E$4:$E$1463,MATCH(4,MASTER!$P$4:$P$1463,0))="","-",INDEX(MASTER!$E$4:$E$1463,MATCH(4,MASTER!$P$4:$P$1463,0))),"-")</f>
        <v>DEMON HUNTER</v>
      </c>
      <c r="E9" s="20">
        <f>IFERROR(IF(INDEX(MASTER!$I$4:$I$1463,MATCH(4,MASTER!$P$4:$P$1463,0))="","-",INDEX(MASTER!$I$4:$I$1463,MATCH(4,MASTER!$P$4:$P$1463,0))),"-")</f>
        <v>11863</v>
      </c>
      <c r="F9" s="19" t="str">
        <f>IFERROR(IF(INDEX(MASTER!$J$4:$J$1463,MATCH(4,MASTER!$P$4:$P$1463,0))="","-",INDEX(MASTER!$J$4:$J$1463,MATCH(4,MASTER!$P$4:$P$1463,0))),"-")</f>
        <v>APEX</v>
      </c>
      <c r="H9" s="19">
        <v>4</v>
      </c>
      <c r="I9" s="18" t="str">
        <f>IFERROR(IF(INDEX(MASTER!$C$4:$C$1463,MATCH(4,MASTER!$Z$4:$Z$1463,0))="","-",INDEX(MASTER!$C$4:$C$1463,MATCH(4,MASTER!$Z$4:$Z$1463,0))),"-")</f>
        <v>Dwai</v>
      </c>
      <c r="J9" s="19" t="str">
        <f>IFERROR(IF(INDEX(MASTER!$B$4:$B$1463,MATCH(4,MASTER!$Z$4:$Z$1463,0))="","-",INDEX(MASTER!$B$4:$B$1463,MATCH(4,MASTER!$Z$4:$Z$1463,0))),"-")</f>
        <v>SUB ROSA</v>
      </c>
      <c r="K9" s="19" t="str">
        <f>IFERROR(IF(INDEX(MASTER!$E$4:$E$1463,MATCH(4,MASTER!$Z$4:$Z$1463,0))="","-",INDEX(MASTER!$E$4:$E$1463,MATCH(4,MASTER!$Z$4:$Z$1463,0))),"-")</f>
        <v>CRUSADER</v>
      </c>
      <c r="L9" s="20">
        <f>IFERROR(IF(INDEX(MASTER!$G$4:$G$1463,MATCH(4,MASTER!$Z$4:$Z$1463,0))="","-",INDEX(MASTER!$G$4:$G$1463,MATCH(4,MASTER!$Z$4:$Z$1463,0))),"-")</f>
        <v>64435</v>
      </c>
      <c r="M9" s="19" t="str">
        <f>IFERROR(IF(INDEX(MASTER!$H$4:$H$1463,MATCH(4,MASTER!$Z$4:$Z$1463,0))="","-",INDEX(MASTER!$H$4:$H$1463,MATCH(4,MASTER!$Z$4:$Z$1463,0))),"-")</f>
        <v>64,000 +</v>
      </c>
      <c r="O9" s="19">
        <v>4</v>
      </c>
      <c r="P9" s="18" t="str">
        <f>IFERROR(IF(INDEX(MASTER!$C$4:$C$1463,MATCH(4,MASTER!$AA$4:$AA$1463,0))="","-",INDEX(MASTER!$C$4:$C$1463,MATCH(4,MASTER!$AA$4:$AA$1463,0))),"-")</f>
        <v>GmanbcAlth</v>
      </c>
      <c r="Q9" s="19" t="str">
        <f>IFERROR(IF(INDEX(MASTER!$B$4:$B$1463,MATCH(4,MASTER!$AA$4:$AA$1463,0))="","-",INDEX(MASTER!$B$4:$B$1463,MATCH(4,MASTER!$AA$4:$AA$1463,0))),"-")</f>
        <v>AZUKI</v>
      </c>
      <c r="R9" s="19" t="str">
        <f>IFERROR(IF(INDEX(MASTER!$E$4:$E$1463,MATCH(4,MASTER!$AA$4:$AA$1463,0))="","-",INDEX(MASTER!$E$4:$E$1463,MATCH(4,MASTER!$AA$4:$AA$1463,0))),"-")</f>
        <v>DEMON HUNTER</v>
      </c>
      <c r="S9" s="21">
        <f>IFERROR(IF(INDEX(MASTER!$N$4:$N$1463,MATCH(4,MASTER!$AA$4:$AA$1463,0))="","-",INDEX(MASTER!$N$4:$N$1463,MATCH(4,MASTER!$AA$4:$AA$1463,0))),"-")</f>
        <v>94.4</v>
      </c>
      <c r="T9" s="19" t="str">
        <f>IFERROR(IF(INDEX(MASTER!$O$4:$O$1463,MATCH(4,MASTER!$AA$4:$AA$1463,0))="","-",INDEX(MASTER!$O$4:$O$1463,MATCH(4,MASTER!$AA$4:$AA$1463,0))),"-")</f>
        <v>S+</v>
      </c>
    </row>
    <row r="10" spans="1:20">
      <c r="A10" s="15">
        <v>5</v>
      </c>
      <c r="B10" s="14" t="str">
        <f>IFERROR(IF(INDEX(MASTER!$C$4:$C$1463,MATCH(5,MASTER!$P$4:$P$1463,0))="","-",INDEX(MASTER!$C$4:$C$1463,MATCH(5,MASTER!$P$4:$P$1463,0))),"-")</f>
        <v>Wulf</v>
      </c>
      <c r="C10" s="15" t="str">
        <f>IFERROR(IF(INDEX(MASTER!$B$4:$B$1463,MATCH(5,MASTER!$P$4:$P$1463,0))="","-",INDEX(MASTER!$B$4:$B$1463,MATCH(5,MASTER!$P$4:$P$1463,0))),"-")</f>
        <v>FUCT</v>
      </c>
      <c r="D10" s="15" t="str">
        <f>IFERROR(IF(INDEX(MASTER!$E$4:$E$1463,MATCH(5,MASTER!$P$4:$P$1463,0))="","-",INDEX(MASTER!$E$4:$E$1463,MATCH(5,MASTER!$P$4:$P$1463,0))),"-")</f>
        <v>BARBARIAN</v>
      </c>
      <c r="E10" s="16">
        <f>IFERROR(IF(INDEX(MASTER!$I$4:$I$1463,MATCH(5,MASTER!$P$4:$P$1463,0))="","-",INDEX(MASTER!$I$4:$I$1463,MATCH(5,MASTER!$P$4:$P$1463,0))),"-")</f>
        <v>11602</v>
      </c>
      <c r="F10" s="15" t="str">
        <f>IFERROR(IF(INDEX(MASTER!$J$4:$J$1463,MATCH(5,MASTER!$P$4:$P$1463,0))="","-",INDEX(MASTER!$J$4:$J$1463,MATCH(5,MASTER!$P$4:$P$1463,0))),"-")</f>
        <v>APEX</v>
      </c>
      <c r="H10" s="15">
        <v>5</v>
      </c>
      <c r="I10" s="14" t="str">
        <f>IFERROR(IF(INDEX(MASTER!$C$4:$C$1463,MATCH(5,MASTER!$Z$4:$Z$1463,0))="","-",INDEX(MASTER!$C$4:$C$1463,MATCH(5,MASTER!$Z$4:$Z$1463,0))),"-")</f>
        <v>Deeds</v>
      </c>
      <c r="J10" s="15" t="str">
        <f>IFERROR(IF(INDEX(MASTER!$B$4:$B$1463,MATCH(5,MASTER!$Z$4:$Z$1463,0))="","-",INDEX(MASTER!$B$4:$B$1463,MATCH(5,MASTER!$Z$4:$Z$1463,0))),"-")</f>
        <v>LEGENDS</v>
      </c>
      <c r="K10" s="15" t="str">
        <f>IFERROR(IF(INDEX(MASTER!$E$4:$E$1463,MATCH(5,MASTER!$Z$4:$Z$1463,0))="","-",INDEX(MASTER!$E$4:$E$1463,MATCH(5,MASTER!$Z$4:$Z$1463,0))),"-")</f>
        <v>BARBARIAN</v>
      </c>
      <c r="L10" s="16">
        <f>IFERROR(IF(INDEX(MASTER!$G$4:$G$1463,MATCH(5,MASTER!$Z$4:$Z$1463,0))="","-",INDEX(MASTER!$G$4:$G$1463,MATCH(5,MASTER!$Z$4:$Z$1463,0))),"-")</f>
        <v>64418</v>
      </c>
      <c r="M10" s="15" t="str">
        <f>IFERROR(IF(INDEX(MASTER!$H$4:$H$1463,MATCH(5,MASTER!$Z$4:$Z$1463,0))="","-",INDEX(MASTER!$H$4:$H$1463,MATCH(5,MASTER!$Z$4:$Z$1463,0))),"-")</f>
        <v>64,000 +</v>
      </c>
      <c r="O10" s="15">
        <v>5</v>
      </c>
      <c r="P10" s="14" t="str">
        <f>IFERROR(IF(INDEX(MASTER!$C$4:$C$1463,MATCH(5,MASTER!$AA$4:$AA$1463,0))="","-",INDEX(MASTER!$C$4:$C$1463,MATCH(5,MASTER!$AA$4:$AA$1463,0))),"-")</f>
        <v>Mandirin Char #1</v>
      </c>
      <c r="Q10" s="15" t="str">
        <f>IFERROR(IF(INDEX(MASTER!$B$4:$B$1463,MATCH(5,MASTER!$AA$4:$AA$1463,0))="","-",INDEX(MASTER!$B$4:$B$1463,MATCH(5,MASTER!$AA$4:$AA$1463,0))),"-")</f>
        <v>AZUKI</v>
      </c>
      <c r="R10" s="15" t="str">
        <f>IFERROR(IF(INDEX(MASTER!$E$4:$E$1463,MATCH(5,MASTER!$AA$4:$AA$1463,0))="","-",INDEX(MASTER!$E$4:$E$1463,MATCH(5,MASTER!$AA$4:$AA$1463,0))),"-")</f>
        <v>WARLOCK</v>
      </c>
      <c r="S10" s="17">
        <f>IFERROR(IF(INDEX(MASTER!$N$4:$N$1463,MATCH(5,MASTER!$AA$4:$AA$1463,0))="","-",INDEX(MASTER!$N$4:$N$1463,MATCH(5,MASTER!$AA$4:$AA$1463,0))),"-")</f>
        <v>93.3</v>
      </c>
      <c r="T10" s="15" t="str">
        <f>IFERROR(IF(INDEX(MASTER!$O$4:$O$1463,MATCH(5,MASTER!$AA$4:$AA$1463,0))="","-",INDEX(MASTER!$O$4:$O$1463,MATCH(5,MASTER!$AA$4:$AA$1463,0))),"-")</f>
        <v>S+</v>
      </c>
    </row>
    <row r="11" spans="1:20">
      <c r="A11" s="19">
        <v>6</v>
      </c>
      <c r="B11" s="18" t="str">
        <f>IFERROR(IF(INDEX(MASTER!$C$4:$C$1463,MATCH(6,MASTER!$P$4:$P$1463,0))="","-",INDEX(MASTER!$C$4:$C$1463,MATCH(6,MASTER!$P$4:$P$1463,0))),"-")</f>
        <v>Deeds</v>
      </c>
      <c r="C11" s="19" t="str">
        <f>IFERROR(IF(INDEX(MASTER!$B$4:$B$1463,MATCH(6,MASTER!$P$4:$P$1463,0))="","-",INDEX(MASTER!$B$4:$B$1463,MATCH(6,MASTER!$P$4:$P$1463,0))),"-")</f>
        <v>LEGENDS</v>
      </c>
      <c r="D11" s="19" t="str">
        <f>IFERROR(IF(INDEX(MASTER!$E$4:$E$1463,MATCH(6,MASTER!$P$4:$P$1463,0))="","-",INDEX(MASTER!$E$4:$E$1463,MATCH(6,MASTER!$P$4:$P$1463,0))),"-")</f>
        <v>BARBARIAN</v>
      </c>
      <c r="E11" s="20">
        <f>IFERROR(IF(INDEX(MASTER!$I$4:$I$1463,MATCH(6,MASTER!$P$4:$P$1463,0))="","-",INDEX(MASTER!$I$4:$I$1463,MATCH(6,MASTER!$P$4:$P$1463,0))),"-")</f>
        <v>11601</v>
      </c>
      <c r="F11" s="19" t="str">
        <f>IFERROR(IF(INDEX(MASTER!$J$4:$J$1463,MATCH(6,MASTER!$P$4:$P$1463,0))="","-",INDEX(MASTER!$J$4:$J$1463,MATCH(6,MASTER!$P$4:$P$1463,0))),"-")</f>
        <v>APEX</v>
      </c>
      <c r="H11" s="19">
        <v>6</v>
      </c>
      <c r="I11" s="18" t="str">
        <f>IFERROR(IF(INDEX(MASTER!$C$4:$C$1463,MATCH(6,MASTER!$Z$4:$Z$1463,0))="","-",INDEX(MASTER!$C$4:$C$1463,MATCH(6,MASTER!$Z$4:$Z$1463,0))),"-")</f>
        <v>Rashomon</v>
      </c>
      <c r="J11" s="19" t="str">
        <f>IFERROR(IF(INDEX(MASTER!$B$4:$B$1463,MATCH(6,MASTER!$Z$4:$Z$1463,0))="","-",INDEX(MASTER!$B$4:$B$1463,MATCH(6,MASTER!$Z$4:$Z$1463,0))),"-")</f>
        <v>AZUKI</v>
      </c>
      <c r="K11" s="19" t="str">
        <f>IFERROR(IF(INDEX(MASTER!$E$4:$E$1463,MATCH(6,MASTER!$Z$4:$Z$1463,0))="","-",INDEX(MASTER!$E$4:$E$1463,MATCH(6,MASTER!$Z$4:$Z$1463,0))),"-")</f>
        <v>DRUID</v>
      </c>
      <c r="L11" s="20">
        <f>IFERROR(IF(INDEX(MASTER!$G$4:$G$1463,MATCH(6,MASTER!$Z$4:$Z$1463,0))="","-",INDEX(MASTER!$G$4:$G$1463,MATCH(6,MASTER!$Z$4:$Z$1463,0))),"-")</f>
        <v>64417</v>
      </c>
      <c r="M11" s="19" t="str">
        <f>IFERROR(IF(INDEX(MASTER!$H$4:$H$1463,MATCH(6,MASTER!$Z$4:$Z$1463,0))="","-",INDEX(MASTER!$H$4:$H$1463,MATCH(6,MASTER!$Z$4:$Z$1463,0))),"-")</f>
        <v>64,000 +</v>
      </c>
      <c r="O11" s="19">
        <v>6</v>
      </c>
      <c r="P11" s="18" t="str">
        <f>IFERROR(IF(INDEX(MASTER!$C$4:$C$1463,MATCH(6,MASTER!$AA$4:$AA$1463,0))="","-",INDEX(MASTER!$C$4:$C$1463,MATCH(6,MASTER!$AA$4:$AA$1463,0))),"-")</f>
        <v>BoneCrusher</v>
      </c>
      <c r="Q11" s="19" t="str">
        <f>IFERROR(IF(INDEX(MASTER!$B$4:$B$1463,MATCH(6,MASTER!$AA$4:$AA$1463,0))="","-",INDEX(MASTER!$B$4:$B$1463,MATCH(6,MASTER!$AA$4:$AA$1463,0))),"-")</f>
        <v>SBG</v>
      </c>
      <c r="R11" s="19" t="str">
        <f>IFERROR(IF(INDEX(MASTER!$E$4:$E$1463,MATCH(6,MASTER!$AA$4:$AA$1463,0))="","-",INDEX(MASTER!$E$4:$E$1463,MATCH(6,MASTER!$AA$4:$AA$1463,0))),"-")</f>
        <v>CRUSADER</v>
      </c>
      <c r="S11" s="21">
        <f>IFERROR(IF(INDEX(MASTER!$N$4:$N$1463,MATCH(6,MASTER!$AA$4:$AA$1463,0))="","-",INDEX(MASTER!$N$4:$N$1463,MATCH(6,MASTER!$AA$4:$AA$1463,0))),"-")</f>
        <v>92.1</v>
      </c>
      <c r="T11" s="19" t="str">
        <f>IFERROR(IF(INDEX(MASTER!$O$4:$O$1463,MATCH(6,MASTER!$AA$4:$AA$1463,0))="","-",INDEX(MASTER!$O$4:$O$1463,MATCH(6,MASTER!$AA$4:$AA$1463,0))),"-")</f>
        <v>S+</v>
      </c>
    </row>
    <row r="12" spans="1:20">
      <c r="A12" s="15">
        <v>7</v>
      </c>
      <c r="B12" s="14" t="str">
        <f>IFERROR(IF(INDEX(MASTER!$C$4:$C$1463,MATCH(7,MASTER!$P$4:$P$1463,0))="","-",INDEX(MASTER!$C$4:$C$1463,MATCH(7,MASTER!$P$4:$P$1463,0))),"-")</f>
        <v>Mandirin Char #1</v>
      </c>
      <c r="C12" s="15" t="str">
        <f>IFERROR(IF(INDEX(MASTER!$B$4:$B$1463,MATCH(7,MASTER!$P$4:$P$1463,0))="","-",INDEX(MASTER!$B$4:$B$1463,MATCH(7,MASTER!$P$4:$P$1463,0))),"-")</f>
        <v>AZUKI</v>
      </c>
      <c r="D12" s="15" t="str">
        <f>IFERROR(IF(INDEX(MASTER!$E$4:$E$1463,MATCH(7,MASTER!$P$4:$P$1463,0))="","-",INDEX(MASTER!$E$4:$E$1463,MATCH(7,MASTER!$P$4:$P$1463,0))),"-")</f>
        <v>WARLOCK</v>
      </c>
      <c r="E12" s="16">
        <f>IFERROR(IF(INDEX(MASTER!$I$4:$I$1463,MATCH(7,MASTER!$P$4:$P$1463,0))="","-",INDEX(MASTER!$I$4:$I$1463,MATCH(7,MASTER!$P$4:$P$1463,0))),"-")</f>
        <v>11506</v>
      </c>
      <c r="F12" s="15" t="str">
        <f>IFERROR(IF(INDEX(MASTER!$J$4:$J$1463,MATCH(7,MASTER!$P$4:$P$1463,0))="","-",INDEX(MASTER!$J$4:$J$1463,MATCH(7,MASTER!$P$4:$P$1463,0))),"-")</f>
        <v>APEX</v>
      </c>
      <c r="H12" s="15">
        <v>7</v>
      </c>
      <c r="I12" s="14" t="str">
        <f>IFERROR(IF(INDEX(MASTER!$C$4:$C$1463,MATCH(7,MASTER!$Z$4:$Z$1463,0))="","-",INDEX(MASTER!$C$4:$C$1463,MATCH(7,MASTER!$Z$4:$Z$1463,0))),"-")</f>
        <v>Smackie</v>
      </c>
      <c r="J12" s="15" t="str">
        <f>IFERROR(IF(INDEX(MASTER!$B$4:$B$1463,MATCH(7,MASTER!$Z$4:$Z$1463,0))="","-",INDEX(MASTER!$B$4:$B$1463,MATCH(7,MASTER!$Z$4:$Z$1463,0))),"-")</f>
        <v>FUCT</v>
      </c>
      <c r="K12" s="15" t="str">
        <f>IFERROR(IF(INDEX(MASTER!$E$4:$E$1463,MATCH(7,MASTER!$Z$4:$Z$1463,0))="","-",INDEX(MASTER!$E$4:$E$1463,MATCH(7,MASTER!$Z$4:$Z$1463,0))),"-")</f>
        <v>BARBARIAN</v>
      </c>
      <c r="L12" s="16">
        <f>IFERROR(IF(INDEX(MASTER!$G$4:$G$1463,MATCH(7,MASTER!$Z$4:$Z$1463,0))="","-",INDEX(MASTER!$G$4:$G$1463,MATCH(7,MASTER!$Z$4:$Z$1463,0))),"-")</f>
        <v>64415</v>
      </c>
      <c r="M12" s="15" t="str">
        <f>IFERROR(IF(INDEX(MASTER!$H$4:$H$1463,MATCH(7,MASTER!$Z$4:$Z$1463,0))="","-",INDEX(MASTER!$H$4:$H$1463,MATCH(7,MASTER!$Z$4:$Z$1463,0))),"-")</f>
        <v>64,000 +</v>
      </c>
      <c r="O12" s="15">
        <v>7</v>
      </c>
      <c r="P12" s="14" t="str">
        <f>IFERROR(IF(INDEX(MASTER!$C$4:$C$1463,MATCH(7,MASTER!$AA$4:$AA$1463,0))="","-",INDEX(MASTER!$C$4:$C$1463,MATCH(7,MASTER!$AA$4:$AA$1463,0))),"-")</f>
        <v>Untitled</v>
      </c>
      <c r="Q12" s="15" t="str">
        <f>IFERROR(IF(INDEX(MASTER!$B$4:$B$1463,MATCH(7,MASTER!$AA$4:$AA$1463,0))="","-",INDEX(MASTER!$B$4:$B$1463,MATCH(7,MASTER!$AA$4:$AA$1463,0))),"-")</f>
        <v>AZUKI</v>
      </c>
      <c r="R12" s="15" t="str">
        <f>IFERROR(IF(INDEX(MASTER!$E$4:$E$1463,MATCH(7,MASTER!$AA$4:$AA$1463,0))="","-",INDEX(MASTER!$E$4:$E$1463,MATCH(7,MASTER!$AA$4:$AA$1463,0))),"-")</f>
        <v>WIZARD</v>
      </c>
      <c r="S12" s="17">
        <f>IFERROR(IF(INDEX(MASTER!$N$4:$N$1463,MATCH(7,MASTER!$AA$4:$AA$1463,0))="","-",INDEX(MASTER!$N$4:$N$1463,MATCH(7,MASTER!$AA$4:$AA$1463,0))),"-")</f>
        <v>92</v>
      </c>
      <c r="T12" s="15" t="str">
        <f>IFERROR(IF(INDEX(MASTER!$O$4:$O$1463,MATCH(7,MASTER!$AA$4:$AA$1463,0))="","-",INDEX(MASTER!$O$4:$O$1463,MATCH(7,MASTER!$AA$4:$AA$1463,0))),"-")</f>
        <v>S+</v>
      </c>
    </row>
    <row r="13" spans="1:20">
      <c r="A13" s="19">
        <v>8</v>
      </c>
      <c r="B13" s="18" t="str">
        <f>IFERROR(IF(INDEX(MASTER!$C$4:$C$1463,MATCH(8,MASTER!$P$4:$P$1463,0))="","-",INDEX(MASTER!$C$4:$C$1463,MATCH(8,MASTER!$P$4:$P$1463,0))),"-")</f>
        <v>Rizzy</v>
      </c>
      <c r="C13" s="19" t="str">
        <f>IFERROR(IF(INDEX(MASTER!$B$4:$B$1463,MATCH(8,MASTER!$P$4:$P$1463,0))="","-",INDEX(MASTER!$B$4:$B$1463,MATCH(8,MASTER!$P$4:$P$1463,0))),"-")</f>
        <v>SBG</v>
      </c>
      <c r="D13" s="19" t="str">
        <f>IFERROR(IF(INDEX(MASTER!$E$4:$E$1463,MATCH(8,MASTER!$P$4:$P$1463,0))="","-",INDEX(MASTER!$E$4:$E$1463,MATCH(8,MASTER!$P$4:$P$1463,0))),"-")</f>
        <v>WARLOCK</v>
      </c>
      <c r="E13" s="20">
        <f>IFERROR(IF(INDEX(MASTER!$I$4:$I$1463,MATCH(8,MASTER!$P$4:$P$1463,0))="","-",INDEX(MASTER!$I$4:$I$1463,MATCH(8,MASTER!$P$4:$P$1463,0))),"-")</f>
        <v>11448</v>
      </c>
      <c r="F13" s="19" t="str">
        <f>IFERROR(IF(INDEX(MASTER!$J$4:$J$1463,MATCH(8,MASTER!$P$4:$P$1463,0))="","-",INDEX(MASTER!$J$4:$J$1463,MATCH(8,MASTER!$P$4:$P$1463,0))),"-")</f>
        <v>APEX</v>
      </c>
      <c r="H13" s="19">
        <v>8</v>
      </c>
      <c r="I13" s="18" t="str">
        <f>IFERROR(IF(INDEX(MASTER!$C$4:$C$1463,MATCH(8,MASTER!$Z$4:$Z$1463,0))="","-",INDEX(MASTER!$C$4:$C$1463,MATCH(8,MASTER!$Z$4:$Z$1463,0))),"-")</f>
        <v>DBZ MAJINBUU</v>
      </c>
      <c r="J13" s="19" t="str">
        <f>IFERROR(IF(INDEX(MASTER!$B$4:$B$1463,MATCH(8,MASTER!$Z$4:$Z$1463,0))="","-",INDEX(MASTER!$B$4:$B$1463,MATCH(8,MASTER!$Z$4:$Z$1463,0))),"-")</f>
        <v>LEGENDS</v>
      </c>
      <c r="K13" s="19" t="str">
        <f>IFERROR(IF(INDEX(MASTER!$E$4:$E$1463,MATCH(8,MASTER!$Z$4:$Z$1463,0))="","-",INDEX(MASTER!$E$4:$E$1463,MATCH(8,MASTER!$Z$4:$Z$1463,0))),"-")</f>
        <v>WARLOCK</v>
      </c>
      <c r="L13" s="20">
        <f>IFERROR(IF(INDEX(MASTER!$G$4:$G$1463,MATCH(8,MASTER!$Z$4:$Z$1463,0))="","-",INDEX(MASTER!$G$4:$G$1463,MATCH(8,MASTER!$Z$4:$Z$1463,0))),"-")</f>
        <v>64413</v>
      </c>
      <c r="M13" s="19" t="str">
        <f>IFERROR(IF(INDEX(MASTER!$H$4:$H$1463,MATCH(8,MASTER!$Z$4:$Z$1463,0))="","-",INDEX(MASTER!$H$4:$H$1463,MATCH(8,MASTER!$Z$4:$Z$1463,0))),"-")</f>
        <v>64,000 +</v>
      </c>
      <c r="O13" s="19">
        <v>8</v>
      </c>
      <c r="P13" s="18" t="str">
        <f>IFERROR(IF(INDEX(MASTER!$C$4:$C$1463,MATCH(8,MASTER!$AA$4:$AA$1463,0))="","-",INDEX(MASTER!$C$4:$C$1463,MATCH(8,MASTER!$AA$4:$AA$1463,0))),"-")</f>
        <v>GabbeGotSauce</v>
      </c>
      <c r="Q13" s="19" t="str">
        <f>IFERROR(IF(INDEX(MASTER!$B$4:$B$1463,MATCH(8,MASTER!$AA$4:$AA$1463,0))="","-",INDEX(MASTER!$B$4:$B$1463,MATCH(8,MASTER!$AA$4:$AA$1463,0))),"-")</f>
        <v>SBG</v>
      </c>
      <c r="R13" s="19" t="str">
        <f>IFERROR(IF(INDEX(MASTER!$E$4:$E$1463,MATCH(8,MASTER!$AA$4:$AA$1463,0))="","-",INDEX(MASTER!$E$4:$E$1463,MATCH(8,MASTER!$AA$4:$AA$1463,0))),"-")</f>
        <v>WIZARD</v>
      </c>
      <c r="S13" s="21">
        <f>IFERROR(IF(INDEX(MASTER!$N$4:$N$1463,MATCH(8,MASTER!$AA$4:$AA$1463,0))="","-",INDEX(MASTER!$N$4:$N$1463,MATCH(8,MASTER!$AA$4:$AA$1463,0))),"-")</f>
        <v>90.9</v>
      </c>
      <c r="T13" s="19" t="str">
        <f>IFERROR(IF(INDEX(MASTER!$O$4:$O$1463,MATCH(8,MASTER!$AA$4:$AA$1463,0))="","-",INDEX(MASTER!$O$4:$O$1463,MATCH(8,MASTER!$AA$4:$AA$1463,0))),"-")</f>
        <v>S+</v>
      </c>
    </row>
    <row r="14" spans="1:20">
      <c r="A14" s="15">
        <v>9</v>
      </c>
      <c r="B14" s="14" t="str">
        <f>IFERROR(IF(INDEX(MASTER!$C$4:$C$1463,MATCH(9,MASTER!$P$4:$P$1463,0))="","-",INDEX(MASTER!$C$4:$C$1463,MATCH(9,MASTER!$P$4:$P$1463,0))),"-")</f>
        <v>Untitled</v>
      </c>
      <c r="C14" s="15" t="str">
        <f>IFERROR(IF(INDEX(MASTER!$B$4:$B$1463,MATCH(9,MASTER!$P$4:$P$1463,0))="","-",INDEX(MASTER!$B$4:$B$1463,MATCH(9,MASTER!$P$4:$P$1463,0))),"-")</f>
        <v>AZUKI</v>
      </c>
      <c r="D14" s="15" t="str">
        <f>IFERROR(IF(INDEX(MASTER!$E$4:$E$1463,MATCH(9,MASTER!$P$4:$P$1463,0))="","-",INDEX(MASTER!$E$4:$E$1463,MATCH(9,MASTER!$P$4:$P$1463,0))),"-")</f>
        <v>WIZARD</v>
      </c>
      <c r="E14" s="16">
        <f>IFERROR(IF(INDEX(MASTER!$I$4:$I$1463,MATCH(9,MASTER!$P$4:$P$1463,0))="","-",INDEX(MASTER!$I$4:$I$1463,MATCH(9,MASTER!$P$4:$P$1463,0))),"-")</f>
        <v>11394</v>
      </c>
      <c r="F14" s="15" t="str">
        <f>IFERROR(IF(INDEX(MASTER!$J$4:$J$1463,MATCH(9,MASTER!$P$4:$P$1463,0))="","-",INDEX(MASTER!$J$4:$J$1463,MATCH(9,MASTER!$P$4:$P$1463,0))),"-")</f>
        <v>APEX</v>
      </c>
      <c r="H14" s="15">
        <v>9</v>
      </c>
      <c r="I14" s="14" t="str">
        <f>IFERROR(IF(INDEX(MASTER!$C$4:$C$1463,MATCH(9,MASTER!$Z$4:$Z$1463,0))="","-",INDEX(MASTER!$C$4:$C$1463,MATCH(9,MASTER!$Z$4:$Z$1463,0))),"-")</f>
        <v>VEGETA</v>
      </c>
      <c r="J14" s="15" t="str">
        <f>IFERROR(IF(INDEX(MASTER!$B$4:$B$1463,MATCH(9,MASTER!$Z$4:$Z$1463,0))="","-",INDEX(MASTER!$B$4:$B$1463,MATCH(9,MASTER!$Z$4:$Z$1463,0))),"-")</f>
        <v>LEGENDS</v>
      </c>
      <c r="K14" s="15" t="str">
        <f>IFERROR(IF(INDEX(MASTER!$E$4:$E$1463,MATCH(9,MASTER!$Z$4:$Z$1463,0))="","-",INDEX(MASTER!$E$4:$E$1463,MATCH(9,MASTER!$Z$4:$Z$1463,0))),"-")</f>
        <v>BLOOD KNIGHT</v>
      </c>
      <c r="L14" s="16">
        <f>IFERROR(IF(INDEX(MASTER!$G$4:$G$1463,MATCH(9,MASTER!$Z$4:$Z$1463,0))="","-",INDEX(MASTER!$G$4:$G$1463,MATCH(9,MASTER!$Z$4:$Z$1463,0))),"-")</f>
        <v>64402</v>
      </c>
      <c r="M14" s="15" t="str">
        <f>IFERROR(IF(INDEX(MASTER!$H$4:$H$1463,MATCH(9,MASTER!$Z$4:$Z$1463,0))="","-",INDEX(MASTER!$H$4:$H$1463,MATCH(9,MASTER!$Z$4:$Z$1463,0))),"-")</f>
        <v>64,000 +</v>
      </c>
      <c r="O14" s="15">
        <v>9</v>
      </c>
      <c r="P14" s="14" t="str">
        <f>IFERROR(IF(INDEX(MASTER!$C$4:$C$1463,MATCH(9,MASTER!$AA$4:$AA$1463,0))="","-",INDEX(MASTER!$C$4:$C$1463,MATCH(9,MASTER!$AA$4:$AA$1463,0))),"-")</f>
        <v>Rizzy</v>
      </c>
      <c r="Q14" s="15" t="str">
        <f>IFERROR(IF(INDEX(MASTER!$B$4:$B$1463,MATCH(9,MASTER!$AA$4:$AA$1463,0))="","-",INDEX(MASTER!$B$4:$B$1463,MATCH(9,MASTER!$AA$4:$AA$1463,0))),"-")</f>
        <v>SBG</v>
      </c>
      <c r="R14" s="15" t="str">
        <f>IFERROR(IF(INDEX(MASTER!$E$4:$E$1463,MATCH(9,MASTER!$AA$4:$AA$1463,0))="","-",INDEX(MASTER!$E$4:$E$1463,MATCH(9,MASTER!$AA$4:$AA$1463,0))),"-")</f>
        <v>WARLOCK</v>
      </c>
      <c r="S14" s="17">
        <f>IFERROR(IF(INDEX(MASTER!$N$4:$N$1463,MATCH(9,MASTER!$AA$4:$AA$1463,0))="","-",INDEX(MASTER!$N$4:$N$1463,MATCH(9,MASTER!$AA$4:$AA$1463,0))),"-")</f>
        <v>90.2</v>
      </c>
      <c r="T14" s="15" t="str">
        <f>IFERROR(IF(INDEX(MASTER!$O$4:$O$1463,MATCH(9,MASTER!$AA$4:$AA$1463,0))="","-",INDEX(MASTER!$O$4:$O$1463,MATCH(9,MASTER!$AA$4:$AA$1463,0))),"-")</f>
        <v>S+</v>
      </c>
    </row>
    <row r="15" spans="1:20">
      <c r="A15" s="19">
        <v>10</v>
      </c>
      <c r="B15" s="18" t="str">
        <f>IFERROR(IF(INDEX(MASTER!$C$4:$C$1463,MATCH(10,MASTER!$P$4:$P$1463,0))="","-",INDEX(MASTER!$C$4:$C$1463,MATCH(10,MASTER!$P$4:$P$1463,0))),"-")</f>
        <v>BoneCrusher</v>
      </c>
      <c r="C15" s="19" t="str">
        <f>IFERROR(IF(INDEX(MASTER!$B$4:$B$1463,MATCH(10,MASTER!$P$4:$P$1463,0))="","-",INDEX(MASTER!$B$4:$B$1463,MATCH(10,MASTER!$P$4:$P$1463,0))),"-")</f>
        <v>SBG</v>
      </c>
      <c r="D15" s="19" t="str">
        <f>IFERROR(IF(INDEX(MASTER!$E$4:$E$1463,MATCH(10,MASTER!$P$4:$P$1463,0))="","-",INDEX(MASTER!$E$4:$E$1463,MATCH(10,MASTER!$P$4:$P$1463,0))),"-")</f>
        <v>CRUSADER</v>
      </c>
      <c r="E15" s="20">
        <f>IFERROR(IF(INDEX(MASTER!$I$4:$I$1463,MATCH(10,MASTER!$P$4:$P$1463,0))="","-",INDEX(MASTER!$I$4:$I$1463,MATCH(10,MASTER!$P$4:$P$1463,0))),"-")</f>
        <v>11256</v>
      </c>
      <c r="F15" s="19" t="str">
        <f>IFERROR(IF(INDEX(MASTER!$J$4:$J$1463,MATCH(10,MASTER!$P$4:$P$1463,0))="","-",INDEX(MASTER!$J$4:$J$1463,MATCH(10,MASTER!$P$4:$P$1463,0))),"-")</f>
        <v>APEX</v>
      </c>
      <c r="H15" s="19">
        <v>10</v>
      </c>
      <c r="I15" s="18" t="str">
        <f>IFERROR(IF(INDEX(MASTER!$C$4:$C$1463,MATCH(10,MASTER!$Z$4:$Z$1463,0))="","-",INDEX(MASTER!$C$4:$C$1463,MATCH(10,MASTER!$Z$4:$Z$1463,0))),"-")</f>
        <v>Ali</v>
      </c>
      <c r="J15" s="19" t="str">
        <f>IFERROR(IF(INDEX(MASTER!$B$4:$B$1463,MATCH(10,MASTER!$Z$4:$Z$1463,0))="","-",INDEX(MASTER!$B$4:$B$1463,MATCH(10,MASTER!$Z$4:$Z$1463,0))),"-")</f>
        <v>AZUKI</v>
      </c>
      <c r="K15" s="19" t="str">
        <f>IFERROR(IF(INDEX(MASTER!$E$4:$E$1463,MATCH(10,MASTER!$Z$4:$Z$1463,0))="","-",INDEX(MASTER!$E$4:$E$1463,MATCH(10,MASTER!$Z$4:$Z$1463,0))),"-")</f>
        <v>DRUID</v>
      </c>
      <c r="L15" s="20">
        <f>IFERROR(IF(INDEX(MASTER!$G$4:$G$1463,MATCH(10,MASTER!$Z$4:$Z$1463,0))="","-",INDEX(MASTER!$G$4:$G$1463,MATCH(10,MASTER!$Z$4:$Z$1463,0))),"-")</f>
        <v>64393</v>
      </c>
      <c r="M15" s="19" t="str">
        <f>IFERROR(IF(INDEX(MASTER!$H$4:$H$1463,MATCH(10,MASTER!$Z$4:$Z$1463,0))="","-",INDEX(MASTER!$H$4:$H$1463,MATCH(10,MASTER!$Z$4:$Z$1463,0))),"-")</f>
        <v>64,000 +</v>
      </c>
      <c r="O15" s="19">
        <v>10</v>
      </c>
      <c r="P15" s="18" t="str">
        <f>IFERROR(IF(INDEX(MASTER!$C$4:$C$1463,MATCH(10,MASTER!$AA$4:$AA$1463,0))="","-",INDEX(MASTER!$C$4:$C$1463,MATCH(10,MASTER!$AA$4:$AA$1463,0))),"-")</f>
        <v>Dino</v>
      </c>
      <c r="Q15" s="19" t="str">
        <f>IFERROR(IF(INDEX(MASTER!$B$4:$B$1463,MATCH(10,MASTER!$AA$4:$AA$1463,0))="","-",INDEX(MASTER!$B$4:$B$1463,MATCH(10,MASTER!$AA$4:$AA$1463,0))),"-")</f>
        <v>VANGUARD</v>
      </c>
      <c r="R15" s="19" t="str">
        <f>IFERROR(IF(INDEX(MASTER!$E$4:$E$1463,MATCH(10,MASTER!$AA$4:$AA$1463,0))="","-",INDEX(MASTER!$E$4:$E$1463,MATCH(10,MASTER!$AA$4:$AA$1463,0))),"-")</f>
        <v>BARBARIAN</v>
      </c>
      <c r="S15" s="21">
        <f>IFERROR(IF(INDEX(MASTER!$N$4:$N$1463,MATCH(10,MASTER!$AA$4:$AA$1463,0))="","-",INDEX(MASTER!$N$4:$N$1463,MATCH(10,MASTER!$AA$4:$AA$1463,0))),"-")</f>
        <v>89.6</v>
      </c>
      <c r="T15" s="19" t="str">
        <f>IFERROR(IF(INDEX(MASTER!$O$4:$O$1463,MATCH(10,MASTER!$AA$4:$AA$1463,0))="","-",INDEX(MASTER!$O$4:$O$1463,MATCH(10,MASTER!$AA$4:$AA$1463,0))),"-")</f>
        <v>S+</v>
      </c>
    </row>
    <row r="16" spans="1:20">
      <c r="A16" s="15">
        <v>11</v>
      </c>
      <c r="B16" s="14" t="str">
        <f>IFERROR(IF(INDEX(MASTER!$C$4:$C$1463,MATCH(11,MASTER!$P$4:$P$1463,0))="","-",INDEX(MASTER!$C$4:$C$1463,MATCH(11,MASTER!$P$4:$P$1463,0))),"-")</f>
        <v>Swai</v>
      </c>
      <c r="C16" s="15" t="str">
        <f>IFERROR(IF(INDEX(MASTER!$B$4:$B$1463,MATCH(11,MASTER!$P$4:$P$1463,0))="","-",INDEX(MASTER!$B$4:$B$1463,MATCH(11,MASTER!$P$4:$P$1463,0))),"-")</f>
        <v>AZUKI</v>
      </c>
      <c r="D16" s="15" t="str">
        <f>IFERROR(IF(INDEX(MASTER!$E$4:$E$1463,MATCH(11,MASTER!$P$4:$P$1463,0))="","-",INDEX(MASTER!$E$4:$E$1463,MATCH(11,MASTER!$P$4:$P$1463,0))),"-")</f>
        <v>CRUSADER</v>
      </c>
      <c r="E16" s="16">
        <f>IFERROR(IF(INDEX(MASTER!$I$4:$I$1463,MATCH(11,MASTER!$P$4:$P$1463,0))="","-",INDEX(MASTER!$I$4:$I$1463,MATCH(11,MASTER!$P$4:$P$1463,0))),"-")</f>
        <v>11213</v>
      </c>
      <c r="F16" s="15" t="str">
        <f>IFERROR(IF(INDEX(MASTER!$J$4:$J$1463,MATCH(11,MASTER!$P$4:$P$1463,0))="","-",INDEX(MASTER!$J$4:$J$1463,MATCH(11,MASTER!$P$4:$P$1463,0))),"-")</f>
        <v>APEX</v>
      </c>
      <c r="H16" s="15">
        <v>11</v>
      </c>
      <c r="I16" s="14" t="str">
        <f>IFERROR(IF(INDEX(MASTER!$C$4:$C$1463,MATCH(11,MASTER!$Z$4:$Z$1463,0))="","-",INDEX(MASTER!$C$4:$C$1463,MATCH(11,MASTER!$Z$4:$Z$1463,0))),"-")</f>
        <v>Jinx</v>
      </c>
      <c r="J16" s="15" t="str">
        <f>IFERROR(IF(INDEX(MASTER!$B$4:$B$1463,MATCH(11,MASTER!$Z$4:$Z$1463,0))="","-",INDEX(MASTER!$B$4:$B$1463,MATCH(11,MASTER!$Z$4:$Z$1463,0))),"-")</f>
        <v>AZUKI</v>
      </c>
      <c r="K16" s="15" t="str">
        <f>IFERROR(IF(INDEX(MASTER!$E$4:$E$1463,MATCH(11,MASTER!$Z$4:$Z$1463,0))="","-",INDEX(MASTER!$E$4:$E$1463,MATCH(11,MASTER!$Z$4:$Z$1463,0))),"-")</f>
        <v>BARBARIAN</v>
      </c>
      <c r="L16" s="16">
        <f>IFERROR(IF(INDEX(MASTER!$G$4:$G$1463,MATCH(11,MASTER!$Z$4:$Z$1463,0))="","-",INDEX(MASTER!$G$4:$G$1463,MATCH(11,MASTER!$Z$4:$Z$1463,0))),"-")</f>
        <v>64368</v>
      </c>
      <c r="M16" s="15" t="str">
        <f>IFERROR(IF(INDEX(MASTER!$H$4:$H$1463,MATCH(11,MASTER!$Z$4:$Z$1463,0))="","-",INDEX(MASTER!$H$4:$H$1463,MATCH(11,MASTER!$Z$4:$Z$1463,0))),"-")</f>
        <v>64,000 +</v>
      </c>
      <c r="O16" s="15">
        <v>11</v>
      </c>
      <c r="P16" s="14" t="str">
        <f>IFERROR(IF(INDEX(MASTER!$C$4:$C$1463,MATCH(11,MASTER!$AA$4:$AA$1463,0))="","-",INDEX(MASTER!$C$4:$C$1463,MATCH(11,MASTER!$AA$4:$AA$1463,0))),"-")</f>
        <v>Deeds</v>
      </c>
      <c r="Q16" s="15" t="str">
        <f>IFERROR(IF(INDEX(MASTER!$B$4:$B$1463,MATCH(11,MASTER!$AA$4:$AA$1463,0))="","-",INDEX(MASTER!$B$4:$B$1463,MATCH(11,MASTER!$AA$4:$AA$1463,0))),"-")</f>
        <v>LEGENDS</v>
      </c>
      <c r="R16" s="15" t="str">
        <f>IFERROR(IF(INDEX(MASTER!$E$4:$E$1463,MATCH(11,MASTER!$AA$4:$AA$1463,0))="","-",INDEX(MASTER!$E$4:$E$1463,MATCH(11,MASTER!$AA$4:$AA$1463,0))),"-")</f>
        <v>BARBARIAN</v>
      </c>
      <c r="S16" s="17">
        <f>IFERROR(IF(INDEX(MASTER!$N$4:$N$1463,MATCH(11,MASTER!$AA$4:$AA$1463,0))="","-",INDEX(MASTER!$N$4:$N$1463,MATCH(11,MASTER!$AA$4:$AA$1463,0))),"-")</f>
        <v>88.2</v>
      </c>
      <c r="T16" s="15" t="str">
        <f>IFERROR(IF(INDEX(MASTER!$O$4:$O$1463,MATCH(11,MASTER!$AA$4:$AA$1463,0))="","-",INDEX(MASTER!$O$4:$O$1463,MATCH(11,MASTER!$AA$4:$AA$1463,0))),"-")</f>
        <v>S+</v>
      </c>
    </row>
    <row r="17" spans="1:20">
      <c r="A17" s="19">
        <v>12</v>
      </c>
      <c r="B17" s="18" t="str">
        <f>IFERROR(IF(INDEX(MASTER!$C$4:$C$1463,MATCH(12,MASTER!$P$4:$P$1463,0))="","-",INDEX(MASTER!$C$4:$C$1463,MATCH(12,MASTER!$P$4:$P$1463,0))),"-")</f>
        <v>GabbeGotSauce</v>
      </c>
      <c r="C17" s="19" t="str">
        <f>IFERROR(IF(INDEX(MASTER!$B$4:$B$1463,MATCH(12,MASTER!$P$4:$P$1463,0))="","-",INDEX(MASTER!$B$4:$B$1463,MATCH(12,MASTER!$P$4:$P$1463,0))),"-")</f>
        <v>SBG</v>
      </c>
      <c r="D17" s="19" t="str">
        <f>IFERROR(IF(INDEX(MASTER!$E$4:$E$1463,MATCH(12,MASTER!$P$4:$P$1463,0))="","-",INDEX(MASTER!$E$4:$E$1463,MATCH(12,MASTER!$P$4:$P$1463,0))),"-")</f>
        <v>WIZARD</v>
      </c>
      <c r="E17" s="20">
        <f>IFERROR(IF(INDEX(MASTER!$I$4:$I$1463,MATCH(12,MASTER!$P$4:$P$1463,0))="","-",INDEX(MASTER!$I$4:$I$1463,MATCH(12,MASTER!$P$4:$P$1463,0))),"-")</f>
        <v>11185</v>
      </c>
      <c r="F17" s="19" t="str">
        <f>IFERROR(IF(INDEX(MASTER!$J$4:$J$1463,MATCH(12,MASTER!$P$4:$P$1463,0))="","-",INDEX(MASTER!$J$4:$J$1463,MATCH(12,MASTER!$P$4:$P$1463,0))),"-")</f>
        <v>APEX</v>
      </c>
      <c r="H17" s="19">
        <v>12</v>
      </c>
      <c r="I17" s="18" t="str">
        <f>IFERROR(IF(INDEX(MASTER!$C$4:$C$1463,MATCH(12,MASTER!$Z$4:$Z$1463,0))="","-",INDEX(MASTER!$C$4:$C$1463,MATCH(12,MASTER!$Z$4:$Z$1463,0))),"-")</f>
        <v>T Y</v>
      </c>
      <c r="J17" s="19" t="str">
        <f>IFERROR(IF(INDEX(MASTER!$B$4:$B$1463,MATCH(12,MASTER!$Z$4:$Z$1463,0))="","-",INDEX(MASTER!$B$4:$B$1463,MATCH(12,MASTER!$Z$4:$Z$1463,0))),"-")</f>
        <v>VANGUARD</v>
      </c>
      <c r="K17" s="19" t="str">
        <f>IFERROR(IF(INDEX(MASTER!$E$4:$E$1463,MATCH(12,MASTER!$Z$4:$Z$1463,0))="","-",INDEX(MASTER!$E$4:$E$1463,MATCH(12,MASTER!$Z$4:$Z$1463,0))),"-")</f>
        <v>BARBARIAN</v>
      </c>
      <c r="L17" s="20">
        <f>IFERROR(IF(INDEX(MASTER!$G$4:$G$1463,MATCH(12,MASTER!$Z$4:$Z$1463,0))="","-",INDEX(MASTER!$G$4:$G$1463,MATCH(12,MASTER!$Z$4:$Z$1463,0))),"-")</f>
        <v>64366</v>
      </c>
      <c r="M17" s="19" t="str">
        <f>IFERROR(IF(INDEX(MASTER!$H$4:$H$1463,MATCH(12,MASTER!$Z$4:$Z$1463,0))="","-",INDEX(MASTER!$H$4:$H$1463,MATCH(12,MASTER!$Z$4:$Z$1463,0))),"-")</f>
        <v>64,000 +</v>
      </c>
      <c r="O17" s="19">
        <v>12</v>
      </c>
      <c r="P17" s="18" t="str">
        <f>IFERROR(IF(INDEX(MASTER!$C$4:$C$1463,MATCH(12,MASTER!$AA$4:$AA$1463,0))="","-",INDEX(MASTER!$C$4:$C$1463,MATCH(12,MASTER!$AA$4:$AA$1463,0))),"-")</f>
        <v>Swai</v>
      </c>
      <c r="Q17" s="19" t="str">
        <f>IFERROR(IF(INDEX(MASTER!$B$4:$B$1463,MATCH(12,MASTER!$AA$4:$AA$1463,0))="","-",INDEX(MASTER!$B$4:$B$1463,MATCH(12,MASTER!$AA$4:$AA$1463,0))),"-")</f>
        <v>AZUKI</v>
      </c>
      <c r="R17" s="19" t="str">
        <f>IFERROR(IF(INDEX(MASTER!$E$4:$E$1463,MATCH(12,MASTER!$AA$4:$AA$1463,0))="","-",INDEX(MASTER!$E$4:$E$1463,MATCH(12,MASTER!$AA$4:$AA$1463,0))),"-")</f>
        <v>CRUSADER</v>
      </c>
      <c r="S17" s="21">
        <f>IFERROR(IF(INDEX(MASTER!$N$4:$N$1463,MATCH(12,MASTER!$AA$4:$AA$1463,0))="","-",INDEX(MASTER!$N$4:$N$1463,MATCH(12,MASTER!$AA$4:$AA$1463,0))),"-")</f>
        <v>88</v>
      </c>
      <c r="T17" s="19" t="str">
        <f>IFERROR(IF(INDEX(MASTER!$O$4:$O$1463,MATCH(12,MASTER!$AA$4:$AA$1463,0))="","-",INDEX(MASTER!$O$4:$O$1463,MATCH(12,MASTER!$AA$4:$AA$1463,0))),"-")</f>
        <v>S+</v>
      </c>
    </row>
    <row r="18" spans="1:20">
      <c r="A18" s="15">
        <v>13</v>
      </c>
      <c r="B18" s="14" t="str">
        <f>IFERROR(IF(INDEX(MASTER!$C$4:$C$1463,MATCH(13,MASTER!$P$4:$P$1463,0))="","-",INDEX(MASTER!$C$4:$C$1463,MATCH(13,MASTER!$P$4:$P$1463,0))),"-")</f>
        <v>Dwai</v>
      </c>
      <c r="C18" s="15" t="str">
        <f>IFERROR(IF(INDEX(MASTER!$B$4:$B$1463,MATCH(13,MASTER!$P$4:$P$1463,0))="","-",INDEX(MASTER!$B$4:$B$1463,MATCH(13,MASTER!$P$4:$P$1463,0))),"-")</f>
        <v>SUB ROSA</v>
      </c>
      <c r="D18" s="15" t="str">
        <f>IFERROR(IF(INDEX(MASTER!$E$4:$E$1463,MATCH(13,MASTER!$P$4:$P$1463,0))="","-",INDEX(MASTER!$E$4:$E$1463,MATCH(13,MASTER!$P$4:$P$1463,0))),"-")</f>
        <v>CRUSADER</v>
      </c>
      <c r="E18" s="16">
        <f>IFERROR(IF(INDEX(MASTER!$I$4:$I$1463,MATCH(13,MASTER!$P$4:$P$1463,0))="","-",INDEX(MASTER!$I$4:$I$1463,MATCH(13,MASTER!$P$4:$P$1463,0))),"-")</f>
        <v>11094</v>
      </c>
      <c r="F18" s="15" t="str">
        <f>IFERROR(IF(INDEX(MASTER!$J$4:$J$1463,MATCH(13,MASTER!$P$4:$P$1463,0))="","-",INDEX(MASTER!$J$4:$J$1463,MATCH(13,MASTER!$P$4:$P$1463,0))),"-")</f>
        <v>APEX</v>
      </c>
      <c r="H18" s="15">
        <v>13</v>
      </c>
      <c r="I18" s="14" t="str">
        <f>IFERROR(IF(INDEX(MASTER!$C$4:$C$1463,MATCH(13,MASTER!$Z$4:$Z$1463,0))="","-",INDEX(MASTER!$C$4:$C$1463,MATCH(13,MASTER!$Z$4:$Z$1463,0))),"-")</f>
        <v>Tiltohwait</v>
      </c>
      <c r="J18" s="15" t="str">
        <f>IFERROR(IF(INDEX(MASTER!$B$4:$B$1463,MATCH(13,MASTER!$Z$4:$Z$1463,0))="","-",INDEX(MASTER!$B$4:$B$1463,MATCH(13,MASTER!$Z$4:$Z$1463,0))),"-")</f>
        <v>VANGUARD</v>
      </c>
      <c r="K18" s="15" t="str">
        <f>IFERROR(IF(INDEX(MASTER!$E$4:$E$1463,MATCH(13,MASTER!$Z$4:$Z$1463,0))="","-",INDEX(MASTER!$E$4:$E$1463,MATCH(13,MASTER!$Z$4:$Z$1463,0))),"-")</f>
        <v>DEMON HUNTER</v>
      </c>
      <c r="L18" s="16">
        <f>IFERROR(IF(INDEX(MASTER!$G$4:$G$1463,MATCH(13,MASTER!$Z$4:$Z$1463,0))="","-",INDEX(MASTER!$G$4:$G$1463,MATCH(13,MASTER!$Z$4:$Z$1463,0))),"-")</f>
        <v>64360</v>
      </c>
      <c r="M18" s="15" t="str">
        <f>IFERROR(IF(INDEX(MASTER!$H$4:$H$1463,MATCH(13,MASTER!$Z$4:$Z$1463,0))="","-",INDEX(MASTER!$H$4:$H$1463,MATCH(13,MASTER!$Z$4:$Z$1463,0))),"-")</f>
        <v>64,000 +</v>
      </c>
      <c r="O18" s="15">
        <v>13</v>
      </c>
      <c r="P18" s="14" t="str">
        <f>IFERROR(IF(INDEX(MASTER!$C$4:$C$1463,MATCH(13,MASTER!$AA$4:$AA$1463,0))="","-",INDEX(MASTER!$C$4:$C$1463,MATCH(13,MASTER!$AA$4:$AA$1463,0))),"-")</f>
        <v>Rashomon</v>
      </c>
      <c r="Q18" s="15" t="str">
        <f>IFERROR(IF(INDEX(MASTER!$B$4:$B$1463,MATCH(13,MASTER!$AA$4:$AA$1463,0))="","-",INDEX(MASTER!$B$4:$B$1463,MATCH(13,MASTER!$AA$4:$AA$1463,0))),"-")</f>
        <v>AZUKI</v>
      </c>
      <c r="R18" s="15" t="str">
        <f>IFERROR(IF(INDEX(MASTER!$E$4:$E$1463,MATCH(13,MASTER!$AA$4:$AA$1463,0))="","-",INDEX(MASTER!$E$4:$E$1463,MATCH(13,MASTER!$AA$4:$AA$1463,0))),"-")</f>
        <v>DRUID</v>
      </c>
      <c r="S18" s="17">
        <f>IFERROR(IF(INDEX(MASTER!$N$4:$N$1463,MATCH(13,MASTER!$AA$4:$AA$1463,0))="","-",INDEX(MASTER!$N$4:$N$1463,MATCH(13,MASTER!$AA$4:$AA$1463,0))),"-")</f>
        <v>87</v>
      </c>
      <c r="T18" s="15" t="str">
        <f>IFERROR(IF(INDEX(MASTER!$O$4:$O$1463,MATCH(13,MASTER!$AA$4:$AA$1463,0))="","-",INDEX(MASTER!$O$4:$O$1463,MATCH(13,MASTER!$AA$4:$AA$1463,0))),"-")</f>
        <v>S+</v>
      </c>
    </row>
    <row r="19" spans="1:20">
      <c r="A19" s="19">
        <v>14</v>
      </c>
      <c r="B19" s="18" t="str">
        <f>IFERROR(IF(INDEX(MASTER!$C$4:$C$1463,MATCH(14,MASTER!$P$4:$P$1463,0))="","-",INDEX(MASTER!$C$4:$C$1463,MATCH(14,MASTER!$P$4:$P$1463,0))),"-")</f>
        <v>Rydog</v>
      </c>
      <c r="C19" s="19" t="str">
        <f>IFERROR(IF(INDEX(MASTER!$B$4:$B$1463,MATCH(14,MASTER!$P$4:$P$1463,0))="","-",INDEX(MASTER!$B$4:$B$1463,MATCH(14,MASTER!$P$4:$P$1463,0))),"-")</f>
        <v>RECKONING</v>
      </c>
      <c r="D19" s="19" t="str">
        <f>IFERROR(IF(INDEX(MASTER!$E$4:$E$1463,MATCH(14,MASTER!$P$4:$P$1463,0))="","-",INDEX(MASTER!$E$4:$E$1463,MATCH(14,MASTER!$P$4:$P$1463,0))),"-")</f>
        <v>DEMON HUNTER</v>
      </c>
      <c r="E19" s="20">
        <f>IFERROR(IF(INDEX(MASTER!$I$4:$I$1463,MATCH(14,MASTER!$P$4:$P$1463,0))="","-",INDEX(MASTER!$I$4:$I$1463,MATCH(14,MASTER!$P$4:$P$1463,0))),"-")</f>
        <v>11024</v>
      </c>
      <c r="F19" s="19" t="str">
        <f>IFERROR(IF(INDEX(MASTER!$J$4:$J$1463,MATCH(14,MASTER!$P$4:$P$1463,0))="","-",INDEX(MASTER!$J$4:$J$1463,MATCH(14,MASTER!$P$4:$P$1463,0))),"-")</f>
        <v>APEX</v>
      </c>
      <c r="H19" s="19">
        <v>14</v>
      </c>
      <c r="I19" s="18" t="str">
        <f>IFERROR(IF(INDEX(MASTER!$C$4:$C$1463,MATCH(14,MASTER!$Z$4:$Z$1463,0))="","-",INDEX(MASTER!$C$4:$C$1463,MATCH(14,MASTER!$Z$4:$Z$1463,0))),"-")</f>
        <v>Rizzy</v>
      </c>
      <c r="J19" s="19" t="str">
        <f>IFERROR(IF(INDEX(MASTER!$B$4:$B$1463,MATCH(14,MASTER!$Z$4:$Z$1463,0))="","-",INDEX(MASTER!$B$4:$B$1463,MATCH(14,MASTER!$Z$4:$Z$1463,0))),"-")</f>
        <v>SBG</v>
      </c>
      <c r="K19" s="19" t="str">
        <f>IFERROR(IF(INDEX(MASTER!$E$4:$E$1463,MATCH(14,MASTER!$Z$4:$Z$1463,0))="","-",INDEX(MASTER!$E$4:$E$1463,MATCH(14,MASTER!$Z$4:$Z$1463,0))),"-")</f>
        <v>WARLOCK</v>
      </c>
      <c r="L19" s="20">
        <f>IFERROR(IF(INDEX(MASTER!$G$4:$G$1463,MATCH(14,MASTER!$Z$4:$Z$1463,0))="","-",INDEX(MASTER!$G$4:$G$1463,MATCH(14,MASTER!$Z$4:$Z$1463,0))),"-")</f>
        <v>64351</v>
      </c>
      <c r="M19" s="19" t="str">
        <f>IFERROR(IF(INDEX(MASTER!$H$4:$H$1463,MATCH(14,MASTER!$Z$4:$Z$1463,0))="","-",INDEX(MASTER!$H$4:$H$1463,MATCH(14,MASTER!$Z$4:$Z$1463,0))),"-")</f>
        <v>64,000 +</v>
      </c>
      <c r="O19" s="19">
        <v>14</v>
      </c>
      <c r="P19" s="18" t="str">
        <f>IFERROR(IF(INDEX(MASTER!$C$4:$C$1463,MATCH(14,MASTER!$AA$4:$AA$1463,0))="","-",INDEX(MASTER!$C$4:$C$1463,MATCH(14,MASTER!$AA$4:$AA$1463,0))),"-")</f>
        <v>Wulf</v>
      </c>
      <c r="Q19" s="19" t="str">
        <f>IFERROR(IF(INDEX(MASTER!$B$4:$B$1463,MATCH(14,MASTER!$AA$4:$AA$1463,0))="","-",INDEX(MASTER!$B$4:$B$1463,MATCH(14,MASTER!$AA$4:$AA$1463,0))),"-")</f>
        <v>FUCT</v>
      </c>
      <c r="R19" s="19" t="str">
        <f>IFERROR(IF(INDEX(MASTER!$E$4:$E$1463,MATCH(14,MASTER!$AA$4:$AA$1463,0))="","-",INDEX(MASTER!$E$4:$E$1463,MATCH(14,MASTER!$AA$4:$AA$1463,0))),"-")</f>
        <v>BARBARIAN</v>
      </c>
      <c r="S19" s="21">
        <f>IFERROR(IF(INDEX(MASTER!$N$4:$N$1463,MATCH(14,MASTER!$AA$4:$AA$1463,0))="","-",INDEX(MASTER!$N$4:$N$1463,MATCH(14,MASTER!$AA$4:$AA$1463,0))),"-")</f>
        <v>86.9</v>
      </c>
      <c r="T19" s="19" t="str">
        <f>IFERROR(IF(INDEX(MASTER!$O$4:$O$1463,MATCH(14,MASTER!$AA$4:$AA$1463,0))="","-",INDEX(MASTER!$O$4:$O$1463,MATCH(14,MASTER!$AA$4:$AA$1463,0))),"-")</f>
        <v>S+</v>
      </c>
    </row>
    <row r="20" spans="1:20">
      <c r="A20" s="15">
        <v>15</v>
      </c>
      <c r="B20" s="14" t="str">
        <f>IFERROR(IF(INDEX(MASTER!$C$4:$C$1463,MATCH(15,MASTER!$P$4:$P$1463,0))="","-",INDEX(MASTER!$C$4:$C$1463,MATCH(15,MASTER!$P$4:$P$1463,0))),"-")</f>
        <v>ANDROID18</v>
      </c>
      <c r="C20" s="15" t="str">
        <f>IFERROR(IF(INDEX(MASTER!$B$4:$B$1463,MATCH(15,MASTER!$P$4:$P$1463,0))="","-",INDEX(MASTER!$B$4:$B$1463,MATCH(15,MASTER!$P$4:$P$1463,0))),"-")</f>
        <v>LEGENDS</v>
      </c>
      <c r="D20" s="15" t="str">
        <f>IFERROR(IF(INDEX(MASTER!$E$4:$E$1463,MATCH(15,MASTER!$P$4:$P$1463,0))="","-",INDEX(MASTER!$E$4:$E$1463,MATCH(15,MASTER!$P$4:$P$1463,0))),"-")</f>
        <v>DEMON HUNTER</v>
      </c>
      <c r="E20" s="16">
        <f>IFERROR(IF(INDEX(MASTER!$I$4:$I$1463,MATCH(15,MASTER!$P$4:$P$1463,0))="","-",INDEX(MASTER!$I$4:$I$1463,MATCH(15,MASTER!$P$4:$P$1463,0))),"-")</f>
        <v>11001</v>
      </c>
      <c r="F20" s="15" t="str">
        <f>IFERROR(IF(INDEX(MASTER!$J$4:$J$1463,MATCH(15,MASTER!$P$4:$P$1463,0))="","-",INDEX(MASTER!$J$4:$J$1463,MATCH(15,MASTER!$P$4:$P$1463,0))),"-")</f>
        <v>APEX</v>
      </c>
      <c r="H20" s="15">
        <v>15</v>
      </c>
      <c r="I20" s="14" t="str">
        <f>IFERROR(IF(INDEX(MASTER!$C$4:$C$1463,MATCH(15,MASTER!$Z$4:$Z$1463,0))="","-",INDEX(MASTER!$C$4:$C$1463,MATCH(15,MASTER!$Z$4:$Z$1463,0))),"-")</f>
        <v>Incognito</v>
      </c>
      <c r="J20" s="15" t="str">
        <f>IFERROR(IF(INDEX(MASTER!$B$4:$B$1463,MATCH(15,MASTER!$Z$4:$Z$1463,0))="","-",INDEX(MASTER!$B$4:$B$1463,MATCH(15,MASTER!$Z$4:$Z$1463,0))),"-")</f>
        <v>VANGUARD</v>
      </c>
      <c r="K20" s="15" t="str">
        <f>IFERROR(IF(INDEX(MASTER!$E$4:$E$1463,MATCH(15,MASTER!$Z$4:$Z$1463,0))="","-",INDEX(MASTER!$E$4:$E$1463,MATCH(15,MASTER!$Z$4:$Z$1463,0))),"-")</f>
        <v>WARLOCK</v>
      </c>
      <c r="L20" s="16">
        <f>IFERROR(IF(INDEX(MASTER!$G$4:$G$1463,MATCH(15,MASTER!$Z$4:$Z$1463,0))="","-",INDEX(MASTER!$G$4:$G$1463,MATCH(15,MASTER!$Z$4:$Z$1463,0))),"-")</f>
        <v>64349</v>
      </c>
      <c r="M20" s="15" t="str">
        <f>IFERROR(IF(INDEX(MASTER!$H$4:$H$1463,MATCH(15,MASTER!$Z$4:$Z$1463,0))="","-",INDEX(MASTER!$H$4:$H$1463,MATCH(15,MASTER!$Z$4:$Z$1463,0))),"-")</f>
        <v>64,000 +</v>
      </c>
      <c r="O20" s="15">
        <v>15</v>
      </c>
      <c r="P20" s="14" t="str">
        <f>IFERROR(IF(INDEX(MASTER!$C$4:$C$1463,MATCH(15,MASTER!$AA$4:$AA$1463,0))="","-",INDEX(MASTER!$C$4:$C$1463,MATCH(15,MASTER!$AA$4:$AA$1463,0))),"-")</f>
        <v>Faolchumemn</v>
      </c>
      <c r="Q20" s="15" t="str">
        <f>IFERROR(IF(INDEX(MASTER!$B$4:$B$1463,MATCH(15,MASTER!$AA$4:$AA$1463,0))="","-",INDEX(MASTER!$B$4:$B$1463,MATCH(15,MASTER!$AA$4:$AA$1463,0))),"-")</f>
        <v>AZUKI</v>
      </c>
      <c r="R20" s="15" t="str">
        <f>IFERROR(IF(INDEX(MASTER!$E$4:$E$1463,MATCH(15,MASTER!$AA$4:$AA$1463,0))="","-",INDEX(MASTER!$E$4:$E$1463,MATCH(15,MASTER!$AA$4:$AA$1463,0))),"-")</f>
        <v>DEMON HUNTER</v>
      </c>
      <c r="S20" s="17">
        <f>IFERROR(IF(INDEX(MASTER!$N$4:$N$1463,MATCH(15,MASTER!$AA$4:$AA$1463,0))="","-",INDEX(MASTER!$N$4:$N$1463,MATCH(15,MASTER!$AA$4:$AA$1463,0))),"-")</f>
        <v>86.8</v>
      </c>
      <c r="T20" s="15" t="str">
        <f>IFERROR(IF(INDEX(MASTER!$O$4:$O$1463,MATCH(15,MASTER!$AA$4:$AA$1463,0))="","-",INDEX(MASTER!$O$4:$O$1463,MATCH(15,MASTER!$AA$4:$AA$1463,0))),"-")</f>
        <v>S+</v>
      </c>
    </row>
    <row r="21" spans="1:20">
      <c r="A21" s="19">
        <v>16</v>
      </c>
      <c r="B21" s="18" t="str">
        <f>IFERROR(IF(INDEX(MASTER!$C$4:$C$1463,MATCH(16,MASTER!$P$4:$P$1463,0))="","-",INDEX(MASTER!$C$4:$C$1463,MATCH(16,MASTER!$P$4:$P$1463,0))),"-")</f>
        <v>Aghogg</v>
      </c>
      <c r="C21" s="19" t="str">
        <f>IFERROR(IF(INDEX(MASTER!$B$4:$B$1463,MATCH(16,MASTER!$P$4:$P$1463,0))="","-",INDEX(MASTER!$B$4:$B$1463,MATCH(16,MASTER!$P$4:$P$1463,0))),"-")</f>
        <v>RECKONING</v>
      </c>
      <c r="D21" s="19" t="str">
        <f>IFERROR(IF(INDEX(MASTER!$E$4:$E$1463,MATCH(16,MASTER!$P$4:$P$1463,0))="","-",INDEX(MASTER!$E$4:$E$1463,MATCH(16,MASTER!$P$4:$P$1463,0))),"-")</f>
        <v>MONK</v>
      </c>
      <c r="E21" s="20">
        <f>IFERROR(IF(INDEX(MASTER!$I$4:$I$1463,MATCH(16,MASTER!$P$4:$P$1463,0))="","-",INDEX(MASTER!$I$4:$I$1463,MATCH(16,MASTER!$P$4:$P$1463,0))),"-")</f>
        <v>11000</v>
      </c>
      <c r="F21" s="19" t="str">
        <f>IFERROR(IF(INDEX(MASTER!$J$4:$J$1463,MATCH(16,MASTER!$P$4:$P$1463,0))="","-",INDEX(MASTER!$J$4:$J$1463,MATCH(16,MASTER!$P$4:$P$1463,0))),"-")</f>
        <v>APEX</v>
      </c>
      <c r="H21" s="19">
        <v>16</v>
      </c>
      <c r="I21" s="18" t="str">
        <f>IFERROR(IF(INDEX(MASTER!$C$4:$C$1463,MATCH(16,MASTER!$Z$4:$Z$1463,0))="","-",INDEX(MASTER!$C$4:$C$1463,MATCH(16,MASTER!$Z$4:$Z$1463,0))),"-")</f>
        <v>Ray168</v>
      </c>
      <c r="J21" s="19" t="str">
        <f>IFERROR(IF(INDEX(MASTER!$B$4:$B$1463,MATCH(16,MASTER!$Z$4:$Z$1463,0))="","-",INDEX(MASTER!$B$4:$B$1463,MATCH(16,MASTER!$Z$4:$Z$1463,0))),"-")</f>
        <v>SBG</v>
      </c>
      <c r="K21" s="19" t="str">
        <f>IFERROR(IF(INDEX(MASTER!$E$4:$E$1463,MATCH(16,MASTER!$Z$4:$Z$1463,0))="","-",INDEX(MASTER!$E$4:$E$1463,MATCH(16,MASTER!$Z$4:$Z$1463,0))),"-")</f>
        <v>BARBARIAN</v>
      </c>
      <c r="L21" s="20">
        <f>IFERROR(IF(INDEX(MASTER!$G$4:$G$1463,MATCH(16,MASTER!$Z$4:$Z$1463,0))="","-",INDEX(MASTER!$G$4:$G$1463,MATCH(16,MASTER!$Z$4:$Z$1463,0))),"-")</f>
        <v>64349</v>
      </c>
      <c r="M21" s="19" t="str">
        <f>IFERROR(IF(INDEX(MASTER!$H$4:$H$1463,MATCH(16,MASTER!$Z$4:$Z$1463,0))="","-",INDEX(MASTER!$H$4:$H$1463,MATCH(16,MASTER!$Z$4:$Z$1463,0))),"-")</f>
        <v>64,000 +</v>
      </c>
      <c r="O21" s="19">
        <v>16</v>
      </c>
      <c r="P21" s="18" t="str">
        <f>IFERROR(IF(INDEX(MASTER!$C$4:$C$1463,MATCH(16,MASTER!$AA$4:$AA$1463,0))="","-",INDEX(MASTER!$C$4:$C$1463,MATCH(16,MASTER!$AA$4:$AA$1463,0))),"-")</f>
        <v>DreadOlaf</v>
      </c>
      <c r="Q21" s="19" t="str">
        <f>IFERROR(IF(INDEX(MASTER!$B$4:$B$1463,MATCH(16,MASTER!$AA$4:$AA$1463,0))="","-",INDEX(MASTER!$B$4:$B$1463,MATCH(16,MASTER!$AA$4:$AA$1463,0))),"-")</f>
        <v>SBG</v>
      </c>
      <c r="R21" s="19" t="str">
        <f>IFERROR(IF(INDEX(MASTER!$E$4:$E$1463,MATCH(16,MASTER!$AA$4:$AA$1463,0))="","-",INDEX(MASTER!$E$4:$E$1463,MATCH(16,MASTER!$AA$4:$AA$1463,0))),"-")</f>
        <v>WARLOCK</v>
      </c>
      <c r="S21" s="21">
        <f>IFERROR(IF(INDEX(MASTER!$N$4:$N$1463,MATCH(16,MASTER!$AA$4:$AA$1463,0))="","-",INDEX(MASTER!$N$4:$N$1463,MATCH(16,MASTER!$AA$4:$AA$1463,0))),"-")</f>
        <v>86.7</v>
      </c>
      <c r="T21" s="19" t="str">
        <f>IFERROR(IF(INDEX(MASTER!$O$4:$O$1463,MATCH(16,MASTER!$AA$4:$AA$1463,0))="","-",INDEX(MASTER!$O$4:$O$1463,MATCH(16,MASTER!$AA$4:$AA$1463,0))),"-")</f>
        <v>S+</v>
      </c>
    </row>
    <row r="22" spans="1:20">
      <c r="A22" s="15">
        <v>17</v>
      </c>
      <c r="B22" s="14" t="str">
        <f>IFERROR(IF(INDEX(MASTER!$C$4:$C$1463,MATCH(17,MASTER!$P$4:$P$1463,0))="","-",INDEX(MASTER!$C$4:$C$1463,MATCH(17,MASTER!$P$4:$P$1463,0))),"-")</f>
        <v>DreadOlaf</v>
      </c>
      <c r="C22" s="15" t="str">
        <f>IFERROR(IF(INDEX(MASTER!$B$4:$B$1463,MATCH(17,MASTER!$P$4:$P$1463,0))="","-",INDEX(MASTER!$B$4:$B$1463,MATCH(17,MASTER!$P$4:$P$1463,0))),"-")</f>
        <v>SBG</v>
      </c>
      <c r="D22" s="15" t="str">
        <f>IFERROR(IF(INDEX(MASTER!$E$4:$E$1463,MATCH(17,MASTER!$P$4:$P$1463,0))="","-",INDEX(MASTER!$E$4:$E$1463,MATCH(17,MASTER!$P$4:$P$1463,0))),"-")</f>
        <v>WARLOCK</v>
      </c>
      <c r="E22" s="16">
        <f>IFERROR(IF(INDEX(MASTER!$I$4:$I$1463,MATCH(17,MASTER!$P$4:$P$1463,0))="","-",INDEX(MASTER!$I$4:$I$1463,MATCH(17,MASTER!$P$4:$P$1463,0))),"-")</f>
        <v>11000</v>
      </c>
      <c r="F22" s="15" t="str">
        <f>IFERROR(IF(INDEX(MASTER!$J$4:$J$1463,MATCH(17,MASTER!$P$4:$P$1463,0))="","-",INDEX(MASTER!$J$4:$J$1463,MATCH(17,MASTER!$P$4:$P$1463,0))),"-")</f>
        <v>APEX</v>
      </c>
      <c r="H22" s="15">
        <v>17</v>
      </c>
      <c r="I22" s="14" t="str">
        <f>IFERROR(IF(INDEX(MASTER!$C$4:$C$1463,MATCH(17,MASTER!$Z$4:$Z$1463,0))="","-",INDEX(MASTER!$C$4:$C$1463,MATCH(17,MASTER!$Z$4:$Z$1463,0))),"-")</f>
        <v>Mandirin Char #1</v>
      </c>
      <c r="J22" s="15" t="str">
        <f>IFERROR(IF(INDEX(MASTER!$B$4:$B$1463,MATCH(17,MASTER!$Z$4:$Z$1463,0))="","-",INDEX(MASTER!$B$4:$B$1463,MATCH(17,MASTER!$Z$4:$Z$1463,0))),"-")</f>
        <v>AZUKI</v>
      </c>
      <c r="K22" s="15" t="str">
        <f>IFERROR(IF(INDEX(MASTER!$E$4:$E$1463,MATCH(17,MASTER!$Z$4:$Z$1463,0))="","-",INDEX(MASTER!$E$4:$E$1463,MATCH(17,MASTER!$Z$4:$Z$1463,0))),"-")</f>
        <v>WARLOCK</v>
      </c>
      <c r="L22" s="16">
        <f>IFERROR(IF(INDEX(MASTER!$G$4:$G$1463,MATCH(17,MASTER!$Z$4:$Z$1463,0))="","-",INDEX(MASTER!$G$4:$G$1463,MATCH(17,MASTER!$Z$4:$Z$1463,0))),"-")</f>
        <v>64347</v>
      </c>
      <c r="M22" s="15" t="str">
        <f>IFERROR(IF(INDEX(MASTER!$H$4:$H$1463,MATCH(17,MASTER!$Z$4:$Z$1463,0))="","-",INDEX(MASTER!$H$4:$H$1463,MATCH(17,MASTER!$Z$4:$Z$1463,0))),"-")</f>
        <v>64,000 +</v>
      </c>
      <c r="O22" s="15">
        <v>17</v>
      </c>
      <c r="P22" s="14" t="str">
        <f>IFERROR(IF(INDEX(MASTER!$C$4:$C$1463,MATCH(17,MASTER!$AA$4:$AA$1463,0))="","-",INDEX(MASTER!$C$4:$C$1463,MATCH(17,MASTER!$AA$4:$AA$1463,0))),"-")</f>
        <v>Sölus</v>
      </c>
      <c r="Q22" s="15" t="str">
        <f>IFERROR(IF(INDEX(MASTER!$B$4:$B$1463,MATCH(17,MASTER!$AA$4:$AA$1463,0))="","-",INDEX(MASTER!$B$4:$B$1463,MATCH(17,MASTER!$AA$4:$AA$1463,0))),"-")</f>
        <v>ACHERON</v>
      </c>
      <c r="R22" s="15" t="str">
        <f>IFERROR(IF(INDEX(MASTER!$E$4:$E$1463,MATCH(17,MASTER!$AA$4:$AA$1463,0))="","-",INDEX(MASTER!$E$4:$E$1463,MATCH(17,MASTER!$AA$4:$AA$1463,0))),"-")</f>
        <v>BLOOD KNIGHT</v>
      </c>
      <c r="S22" s="17">
        <f>IFERROR(IF(INDEX(MASTER!$N$4:$N$1463,MATCH(17,MASTER!$AA$4:$AA$1463,0))="","-",INDEX(MASTER!$N$4:$N$1463,MATCH(17,MASTER!$AA$4:$AA$1463,0))),"-")</f>
        <v>86.5</v>
      </c>
      <c r="T22" s="15" t="str">
        <f>IFERROR(IF(INDEX(MASTER!$O$4:$O$1463,MATCH(17,MASTER!$AA$4:$AA$1463,0))="","-",INDEX(MASTER!$O$4:$O$1463,MATCH(17,MASTER!$AA$4:$AA$1463,0))),"-")</f>
        <v>S+</v>
      </c>
    </row>
    <row r="23" spans="1:20">
      <c r="A23" s="19">
        <v>18</v>
      </c>
      <c r="B23" s="18" t="str">
        <f>IFERROR(IF(INDEX(MASTER!$C$4:$C$1463,MATCH(18,MASTER!$P$4:$P$1463,0))="","-",INDEX(MASTER!$C$4:$C$1463,MATCH(18,MASTER!$P$4:$P$1463,0))),"-")</f>
        <v>Orionpax</v>
      </c>
      <c r="C23" s="19" t="str">
        <f>IFERROR(IF(INDEX(MASTER!$B$4:$B$1463,MATCH(18,MASTER!$P$4:$P$1463,0))="","-",INDEX(MASTER!$B$4:$B$1463,MATCH(18,MASTER!$P$4:$P$1463,0))),"-")</f>
        <v>VANGUARD</v>
      </c>
      <c r="D23" s="19" t="str">
        <f>IFERROR(IF(INDEX(MASTER!$E$4:$E$1463,MATCH(18,MASTER!$P$4:$P$1463,0))="","-",INDEX(MASTER!$E$4:$E$1463,MATCH(18,MASTER!$P$4:$P$1463,0))),"-")</f>
        <v>CRUSADER</v>
      </c>
      <c r="E23" s="20">
        <f>IFERROR(IF(INDEX(MASTER!$I$4:$I$1463,MATCH(18,MASTER!$P$4:$P$1463,0))="","-",INDEX(MASTER!$I$4:$I$1463,MATCH(18,MASTER!$P$4:$P$1463,0))),"-")</f>
        <v>10905</v>
      </c>
      <c r="F23" s="19" t="str">
        <f>IFERROR(IF(INDEX(MASTER!$J$4:$J$1463,MATCH(18,MASTER!$P$4:$P$1463,0))="","-",INDEX(MASTER!$J$4:$J$1463,MATCH(18,MASTER!$P$4:$P$1463,0))),"-")</f>
        <v>APEX</v>
      </c>
      <c r="H23" s="19">
        <v>18</v>
      </c>
      <c r="I23" s="18" t="str">
        <f>IFERROR(IF(INDEX(MASTER!$C$4:$C$1463,MATCH(18,MASTER!$Z$4:$Z$1463,0))="","-",INDEX(MASTER!$C$4:$C$1463,MATCH(18,MASTER!$Z$4:$Z$1463,0))),"-")</f>
        <v>Dino</v>
      </c>
      <c r="J23" s="19" t="str">
        <f>IFERROR(IF(INDEX(MASTER!$B$4:$B$1463,MATCH(18,MASTER!$Z$4:$Z$1463,0))="","-",INDEX(MASTER!$B$4:$B$1463,MATCH(18,MASTER!$Z$4:$Z$1463,0))),"-")</f>
        <v>VANGUARD</v>
      </c>
      <c r="K23" s="19" t="str">
        <f>IFERROR(IF(INDEX(MASTER!$E$4:$E$1463,MATCH(18,MASTER!$Z$4:$Z$1463,0))="","-",INDEX(MASTER!$E$4:$E$1463,MATCH(18,MASTER!$Z$4:$Z$1463,0))),"-")</f>
        <v>BARBARIAN</v>
      </c>
      <c r="L23" s="20">
        <f>IFERROR(IF(INDEX(MASTER!$G$4:$G$1463,MATCH(18,MASTER!$Z$4:$Z$1463,0))="","-",INDEX(MASTER!$G$4:$G$1463,MATCH(18,MASTER!$Z$4:$Z$1463,0))),"-")</f>
        <v>64343</v>
      </c>
      <c r="M23" s="19" t="str">
        <f>IFERROR(IF(INDEX(MASTER!$H$4:$H$1463,MATCH(18,MASTER!$Z$4:$Z$1463,0))="","-",INDEX(MASTER!$H$4:$H$1463,MATCH(18,MASTER!$Z$4:$Z$1463,0))),"-")</f>
        <v>64,000 +</v>
      </c>
      <c r="O23" s="19">
        <v>18</v>
      </c>
      <c r="P23" s="18" t="str">
        <f>IFERROR(IF(INDEX(MASTER!$C$4:$C$1463,MATCH(18,MASTER!$AA$4:$AA$1463,0))="","-",INDEX(MASTER!$C$4:$C$1463,MATCH(18,MASTER!$AA$4:$AA$1463,0))),"-")</f>
        <v>dstfate</v>
      </c>
      <c r="Q23" s="19" t="str">
        <f>IFERROR(IF(INDEX(MASTER!$B$4:$B$1463,MATCH(18,MASTER!$AA$4:$AA$1463,0))="","-",INDEX(MASTER!$B$4:$B$1463,MATCH(18,MASTER!$AA$4:$AA$1463,0))),"-")</f>
        <v>RECKONING</v>
      </c>
      <c r="R23" s="19" t="str">
        <f>IFERROR(IF(INDEX(MASTER!$E$4:$E$1463,MATCH(18,MASTER!$AA$4:$AA$1463,0))="","-",INDEX(MASTER!$E$4:$E$1463,MATCH(18,MASTER!$AA$4:$AA$1463,0))),"-")</f>
        <v>TEMPEST</v>
      </c>
      <c r="S23" s="21">
        <f>IFERROR(IF(INDEX(MASTER!$N$4:$N$1463,MATCH(18,MASTER!$AA$4:$AA$1463,0))="","-",INDEX(MASTER!$N$4:$N$1463,MATCH(18,MASTER!$AA$4:$AA$1463,0))),"-")</f>
        <v>86.2</v>
      </c>
      <c r="T23" s="19" t="str">
        <f>IFERROR(IF(INDEX(MASTER!$O$4:$O$1463,MATCH(18,MASTER!$AA$4:$AA$1463,0))="","-",INDEX(MASTER!$O$4:$O$1463,MATCH(18,MASTER!$AA$4:$AA$1463,0))),"-")</f>
        <v>S+</v>
      </c>
    </row>
    <row r="24" spans="1:20">
      <c r="A24" s="15">
        <v>19</v>
      </c>
      <c r="B24" s="14" t="str">
        <f>IFERROR(IF(INDEX(MASTER!$C$4:$C$1463,MATCH(19,MASTER!$P$4:$P$1463,0))="","-",INDEX(MASTER!$C$4:$C$1463,MATCH(19,MASTER!$P$4:$P$1463,0))),"-")</f>
        <v>Sölus</v>
      </c>
      <c r="C24" s="15" t="str">
        <f>IFERROR(IF(INDEX(MASTER!$B$4:$B$1463,MATCH(19,MASTER!$P$4:$P$1463,0))="","-",INDEX(MASTER!$B$4:$B$1463,MATCH(19,MASTER!$P$4:$P$1463,0))),"-")</f>
        <v>ACHERON</v>
      </c>
      <c r="D24" s="15" t="str">
        <f>IFERROR(IF(INDEX(MASTER!$E$4:$E$1463,MATCH(19,MASTER!$P$4:$P$1463,0))="","-",INDEX(MASTER!$E$4:$E$1463,MATCH(19,MASTER!$P$4:$P$1463,0))),"-")</f>
        <v>BLOOD KNIGHT</v>
      </c>
      <c r="E24" s="16">
        <f>IFERROR(IF(INDEX(MASTER!$I$4:$I$1463,MATCH(19,MASTER!$P$4:$P$1463,0))="","-",INDEX(MASTER!$I$4:$I$1463,MATCH(19,MASTER!$P$4:$P$1463,0))),"-")</f>
        <v>10705</v>
      </c>
      <c r="F24" s="15" t="str">
        <f>IFERROR(IF(INDEX(MASTER!$J$4:$J$1463,MATCH(19,MASTER!$P$4:$P$1463,0))="","-",INDEX(MASTER!$J$4:$J$1463,MATCH(19,MASTER!$P$4:$P$1463,0))),"-")</f>
        <v>APEX</v>
      </c>
      <c r="H24" s="15">
        <v>19</v>
      </c>
      <c r="I24" s="14" t="str">
        <f>IFERROR(IF(INDEX(MASTER!$C$4:$C$1463,MATCH(19,MASTER!$Z$4:$Z$1463,0))="","-",INDEX(MASTER!$C$4:$C$1463,MATCH(19,MASTER!$Z$4:$Z$1463,0))),"-")</f>
        <v>GabbeGotSauce</v>
      </c>
      <c r="J24" s="15" t="str">
        <f>IFERROR(IF(INDEX(MASTER!$B$4:$B$1463,MATCH(19,MASTER!$Z$4:$Z$1463,0))="","-",INDEX(MASTER!$B$4:$B$1463,MATCH(19,MASTER!$Z$4:$Z$1463,0))),"-")</f>
        <v>SBG</v>
      </c>
      <c r="K24" s="15" t="str">
        <f>IFERROR(IF(INDEX(MASTER!$E$4:$E$1463,MATCH(19,MASTER!$Z$4:$Z$1463,0))="","-",INDEX(MASTER!$E$4:$E$1463,MATCH(19,MASTER!$Z$4:$Z$1463,0))),"-")</f>
        <v>WIZARD</v>
      </c>
      <c r="L24" s="16">
        <f>IFERROR(IF(INDEX(MASTER!$G$4:$G$1463,MATCH(19,MASTER!$Z$4:$Z$1463,0))="","-",INDEX(MASTER!$G$4:$G$1463,MATCH(19,MASTER!$Z$4:$Z$1463,0))),"-")</f>
        <v>64339</v>
      </c>
      <c r="M24" s="15" t="str">
        <f>IFERROR(IF(INDEX(MASTER!$H$4:$H$1463,MATCH(19,MASTER!$Z$4:$Z$1463,0))="","-",INDEX(MASTER!$H$4:$H$1463,MATCH(19,MASTER!$Z$4:$Z$1463,0))),"-")</f>
        <v>64,000 +</v>
      </c>
      <c r="O24" s="15">
        <v>19</v>
      </c>
      <c r="P24" s="14" t="str">
        <f>IFERROR(IF(INDEX(MASTER!$C$4:$C$1463,MATCH(19,MASTER!$AA$4:$AA$1463,0))="","-",INDEX(MASTER!$C$4:$C$1463,MATCH(19,MASTER!$AA$4:$AA$1463,0))),"-")</f>
        <v>Wynterkiss</v>
      </c>
      <c r="Q24" s="15" t="str">
        <f>IFERROR(IF(INDEX(MASTER!$B$4:$B$1463,MATCH(19,MASTER!$AA$4:$AA$1463,0))="","-",INDEX(MASTER!$B$4:$B$1463,MATCH(19,MASTER!$AA$4:$AA$1463,0))),"-")</f>
        <v>RECKONING</v>
      </c>
      <c r="R24" s="15" t="str">
        <f>IFERROR(IF(INDEX(MASTER!$E$4:$E$1463,MATCH(19,MASTER!$AA$4:$AA$1463,0))="","-",INDEX(MASTER!$E$4:$E$1463,MATCH(19,MASTER!$AA$4:$AA$1463,0))),"-")</f>
        <v>WARLOCK</v>
      </c>
      <c r="S24" s="17">
        <f>IFERROR(IF(INDEX(MASTER!$N$4:$N$1463,MATCH(19,MASTER!$AA$4:$AA$1463,0))="","-",INDEX(MASTER!$N$4:$N$1463,MATCH(19,MASTER!$AA$4:$AA$1463,0))),"-")</f>
        <v>86.1</v>
      </c>
      <c r="T24" s="15" t="str">
        <f>IFERROR(IF(INDEX(MASTER!$O$4:$O$1463,MATCH(19,MASTER!$AA$4:$AA$1463,0))="","-",INDEX(MASTER!$O$4:$O$1463,MATCH(19,MASTER!$AA$4:$AA$1463,0))),"-")</f>
        <v>S+</v>
      </c>
    </row>
    <row r="25" spans="1:20">
      <c r="A25" s="19">
        <v>20</v>
      </c>
      <c r="B25" s="18" t="str">
        <f>IFERROR(IF(INDEX(MASTER!$C$4:$C$1463,MATCH(20,MASTER!$P$4:$P$1463,0))="","-",INDEX(MASTER!$C$4:$C$1463,MATCH(20,MASTER!$P$4:$P$1463,0))),"-")</f>
        <v>ROSHI</v>
      </c>
      <c r="C25" s="19" t="str">
        <f>IFERROR(IF(INDEX(MASTER!$B$4:$B$1463,MATCH(20,MASTER!$P$4:$P$1463,0))="","-",INDEX(MASTER!$B$4:$B$1463,MATCH(20,MASTER!$P$4:$P$1463,0))),"-")</f>
        <v>LEGENDS</v>
      </c>
      <c r="D25" s="19" t="str">
        <f>IFERROR(IF(INDEX(MASTER!$E$4:$E$1463,MATCH(20,MASTER!$P$4:$P$1463,0))="","-",INDEX(MASTER!$E$4:$E$1463,MATCH(20,MASTER!$P$4:$P$1463,0))),"-")</f>
        <v>WARLOCK</v>
      </c>
      <c r="E25" s="20">
        <f>IFERROR(IF(INDEX(MASTER!$I$4:$I$1463,MATCH(20,MASTER!$P$4:$P$1463,0))="","-",INDEX(MASTER!$I$4:$I$1463,MATCH(20,MASTER!$P$4:$P$1463,0))),"-")</f>
        <v>10652</v>
      </c>
      <c r="F25" s="19" t="str">
        <f>IFERROR(IF(INDEX(MASTER!$J$4:$J$1463,MATCH(20,MASTER!$P$4:$P$1463,0))="","-",INDEX(MASTER!$J$4:$J$1463,MATCH(20,MASTER!$P$4:$P$1463,0))),"-")</f>
        <v>APEX</v>
      </c>
      <c r="H25" s="19">
        <v>20</v>
      </c>
      <c r="I25" s="18" t="str">
        <f>IFERROR(IF(INDEX(MASTER!$C$4:$C$1463,MATCH(20,MASTER!$Z$4:$Z$1463,0))="","-",INDEX(MASTER!$C$4:$C$1463,MATCH(20,MASTER!$Z$4:$Z$1463,0))),"-")</f>
        <v>SirLoin</v>
      </c>
      <c r="J25" s="19" t="str">
        <f>IFERROR(IF(INDEX(MASTER!$B$4:$B$1463,MATCH(20,MASTER!$Z$4:$Z$1463,0))="","-",INDEX(MASTER!$B$4:$B$1463,MATCH(20,MASTER!$Z$4:$Z$1463,0))),"-")</f>
        <v>SBG</v>
      </c>
      <c r="K25" s="19" t="str">
        <f>IFERROR(IF(INDEX(MASTER!$E$4:$E$1463,MATCH(20,MASTER!$Z$4:$Z$1463,0))="","-",INDEX(MASTER!$E$4:$E$1463,MATCH(20,MASTER!$Z$4:$Z$1463,0))),"-")</f>
        <v>DEMON HUNTER</v>
      </c>
      <c r="L25" s="20">
        <f>IFERROR(IF(INDEX(MASTER!$G$4:$G$1463,MATCH(20,MASTER!$Z$4:$Z$1463,0))="","-",INDEX(MASTER!$G$4:$G$1463,MATCH(20,MASTER!$Z$4:$Z$1463,0))),"-")</f>
        <v>64337</v>
      </c>
      <c r="M25" s="19" t="str">
        <f>IFERROR(IF(INDEX(MASTER!$H$4:$H$1463,MATCH(20,MASTER!$Z$4:$Z$1463,0))="","-",INDEX(MASTER!$H$4:$H$1463,MATCH(20,MASTER!$Z$4:$Z$1463,0))),"-")</f>
        <v>64,000 +</v>
      </c>
      <c r="O25" s="19">
        <v>20</v>
      </c>
      <c r="P25" s="18" t="str">
        <f>IFERROR(IF(INDEX(MASTER!$C$4:$C$1463,MATCH(20,MASTER!$AA$4:$AA$1463,0))="","-",INDEX(MASTER!$C$4:$C$1463,MATCH(20,MASTER!$AA$4:$AA$1463,0))),"-")</f>
        <v>Rydog</v>
      </c>
      <c r="Q25" s="19" t="str">
        <f>IFERROR(IF(INDEX(MASTER!$B$4:$B$1463,MATCH(20,MASTER!$AA$4:$AA$1463,0))="","-",INDEX(MASTER!$B$4:$B$1463,MATCH(20,MASTER!$AA$4:$AA$1463,0))),"-")</f>
        <v>RECKONING</v>
      </c>
      <c r="R25" s="19" t="str">
        <f>IFERROR(IF(INDEX(MASTER!$E$4:$E$1463,MATCH(20,MASTER!$AA$4:$AA$1463,0))="","-",INDEX(MASTER!$E$4:$E$1463,MATCH(20,MASTER!$AA$4:$AA$1463,0))),"-")</f>
        <v>DEMON HUNTER</v>
      </c>
      <c r="S25" s="21">
        <f>IFERROR(IF(INDEX(MASTER!$N$4:$N$1463,MATCH(20,MASTER!$AA$4:$AA$1463,0))="","-",INDEX(MASTER!$N$4:$N$1463,MATCH(20,MASTER!$AA$4:$AA$1463,0))),"-")</f>
        <v>85.9</v>
      </c>
      <c r="T25" s="19" t="str">
        <f>IFERROR(IF(INDEX(MASTER!$O$4:$O$1463,MATCH(20,MASTER!$AA$4:$AA$1463,0))="","-",INDEX(MASTER!$O$4:$O$1463,MATCH(20,MASTER!$AA$4:$AA$1463,0))),"-")</f>
        <v>S+</v>
      </c>
    </row>
    <row r="26" spans="1:20">
      <c r="A26" s="15">
        <v>21</v>
      </c>
      <c r="B26" s="14" t="str">
        <f>IFERROR(IF(INDEX(MASTER!$C$4:$C$1463,MATCH(21,MASTER!$P$4:$P$1463,0))="","-",INDEX(MASTER!$C$4:$C$1463,MATCH(21,MASTER!$P$4:$P$1463,0))),"-")</f>
        <v>Jinx</v>
      </c>
      <c r="C26" s="15" t="str">
        <f>IFERROR(IF(INDEX(MASTER!$B$4:$B$1463,MATCH(21,MASTER!$P$4:$P$1463,0))="","-",INDEX(MASTER!$B$4:$B$1463,MATCH(21,MASTER!$P$4:$P$1463,0))),"-")</f>
        <v>AZUKI</v>
      </c>
      <c r="D26" s="15" t="str">
        <f>IFERROR(IF(INDEX(MASTER!$E$4:$E$1463,MATCH(21,MASTER!$P$4:$P$1463,0))="","-",INDEX(MASTER!$E$4:$E$1463,MATCH(21,MASTER!$P$4:$P$1463,0))),"-")</f>
        <v>BARBARIAN</v>
      </c>
      <c r="E26" s="16">
        <f>IFERROR(IF(INDEX(MASTER!$I$4:$I$1463,MATCH(21,MASTER!$P$4:$P$1463,0))="","-",INDEX(MASTER!$I$4:$I$1463,MATCH(21,MASTER!$P$4:$P$1463,0))),"-")</f>
        <v>10553</v>
      </c>
      <c r="F26" s="15" t="str">
        <f>IFERROR(IF(INDEX(MASTER!$J$4:$J$1463,MATCH(21,MASTER!$P$4:$P$1463,0))="","-",INDEX(MASTER!$J$4:$J$1463,MATCH(21,MASTER!$P$4:$P$1463,0))),"-")</f>
        <v>APEX</v>
      </c>
      <c r="H26" s="15">
        <v>21</v>
      </c>
      <c r="I26" s="14" t="str">
        <f>IFERROR(IF(INDEX(MASTER!$C$4:$C$1463,MATCH(21,MASTER!$Z$4:$Z$1463,0))="","-",INDEX(MASTER!$C$4:$C$1463,MATCH(21,MASTER!$Z$4:$Z$1463,0))),"-")</f>
        <v>Apshai</v>
      </c>
      <c r="J26" s="15" t="str">
        <f>IFERROR(IF(INDEX(MASTER!$B$4:$B$1463,MATCH(21,MASTER!$Z$4:$Z$1463,0))="","-",INDEX(MASTER!$B$4:$B$1463,MATCH(21,MASTER!$Z$4:$Z$1463,0))),"-")</f>
        <v>RECKONING</v>
      </c>
      <c r="K26" s="15" t="str">
        <f>IFERROR(IF(INDEX(MASTER!$E$4:$E$1463,MATCH(21,MASTER!$Z$4:$Z$1463,0))="","-",INDEX(MASTER!$E$4:$E$1463,MATCH(21,MASTER!$Z$4:$Z$1463,0))),"-")</f>
        <v>DEMON HUNTER</v>
      </c>
      <c r="L26" s="16">
        <f>IFERROR(IF(INDEX(MASTER!$G$4:$G$1463,MATCH(21,MASTER!$Z$4:$Z$1463,0))="","-",INDEX(MASTER!$G$4:$G$1463,MATCH(21,MASTER!$Z$4:$Z$1463,0))),"-")</f>
        <v>64325</v>
      </c>
      <c r="M26" s="15" t="str">
        <f>IFERROR(IF(INDEX(MASTER!$H$4:$H$1463,MATCH(21,MASTER!$Z$4:$Z$1463,0))="","-",INDEX(MASTER!$H$4:$H$1463,MATCH(21,MASTER!$Z$4:$Z$1463,0))),"-")</f>
        <v>64,000 +</v>
      </c>
      <c r="O26" s="15">
        <v>21</v>
      </c>
      <c r="P26" s="14" t="str">
        <f>IFERROR(IF(INDEX(MASTER!$C$4:$C$1463,MATCH(21,MASTER!$AA$4:$AA$1463,0))="","-",INDEX(MASTER!$C$4:$C$1463,MATCH(21,MASTER!$AA$4:$AA$1463,0))),"-")</f>
        <v>Jinx</v>
      </c>
      <c r="Q26" s="15" t="str">
        <f>IFERROR(IF(INDEX(MASTER!$B$4:$B$1463,MATCH(21,MASTER!$AA$4:$AA$1463,0))="","-",INDEX(MASTER!$B$4:$B$1463,MATCH(21,MASTER!$AA$4:$AA$1463,0))),"-")</f>
        <v>AZUKI</v>
      </c>
      <c r="R26" s="15" t="str">
        <f>IFERROR(IF(INDEX(MASTER!$E$4:$E$1463,MATCH(21,MASTER!$AA$4:$AA$1463,0))="","-",INDEX(MASTER!$E$4:$E$1463,MATCH(21,MASTER!$AA$4:$AA$1463,0))),"-")</f>
        <v>BARBARIAN</v>
      </c>
      <c r="S26" s="17">
        <f>IFERROR(IF(INDEX(MASTER!$N$4:$N$1463,MATCH(21,MASTER!$AA$4:$AA$1463,0))="","-",INDEX(MASTER!$N$4:$N$1463,MATCH(21,MASTER!$AA$4:$AA$1463,0))),"-")</f>
        <v>85.7</v>
      </c>
      <c r="T26" s="15" t="str">
        <f>IFERROR(IF(INDEX(MASTER!$O$4:$O$1463,MATCH(21,MASTER!$AA$4:$AA$1463,0))="","-",INDEX(MASTER!$O$4:$O$1463,MATCH(21,MASTER!$AA$4:$AA$1463,0))),"-")</f>
        <v>S+</v>
      </c>
    </row>
    <row r="27" spans="1:20">
      <c r="A27" s="19">
        <v>22</v>
      </c>
      <c r="B27" s="18" t="str">
        <f>IFERROR(IF(INDEX(MASTER!$C$4:$C$1463,MATCH(22,MASTER!$P$4:$P$1463,0))="","-",INDEX(MASTER!$C$4:$C$1463,MATCH(22,MASTER!$P$4:$P$1463,0))),"-")</f>
        <v>Rashomon</v>
      </c>
      <c r="C27" s="19" t="str">
        <f>IFERROR(IF(INDEX(MASTER!$B$4:$B$1463,MATCH(22,MASTER!$P$4:$P$1463,0))="","-",INDEX(MASTER!$B$4:$B$1463,MATCH(22,MASTER!$P$4:$P$1463,0))),"-")</f>
        <v>AZUKI</v>
      </c>
      <c r="D27" s="19" t="str">
        <f>IFERROR(IF(INDEX(MASTER!$E$4:$E$1463,MATCH(22,MASTER!$P$4:$P$1463,0))="","-",INDEX(MASTER!$E$4:$E$1463,MATCH(22,MASTER!$P$4:$P$1463,0))),"-")</f>
        <v>DRUID</v>
      </c>
      <c r="E27" s="20">
        <f>IFERROR(IF(INDEX(MASTER!$I$4:$I$1463,MATCH(22,MASTER!$P$4:$P$1463,0))="","-",INDEX(MASTER!$I$4:$I$1463,MATCH(22,MASTER!$P$4:$P$1463,0))),"-")</f>
        <v>10522</v>
      </c>
      <c r="F27" s="19" t="str">
        <f>IFERROR(IF(INDEX(MASTER!$J$4:$J$1463,MATCH(22,MASTER!$P$4:$P$1463,0))="","-",INDEX(MASTER!$J$4:$J$1463,MATCH(22,MASTER!$P$4:$P$1463,0))),"-")</f>
        <v>APEX</v>
      </c>
      <c r="H27" s="19">
        <v>22</v>
      </c>
      <c r="I27" s="18" t="str">
        <f>IFERROR(IF(INDEX(MASTER!$C$4:$C$1463,MATCH(22,MASTER!$Z$4:$Z$1463,0))="","-",INDEX(MASTER!$C$4:$C$1463,MATCH(22,MASTER!$Z$4:$Z$1463,0))),"-")</f>
        <v>DreadOlaf</v>
      </c>
      <c r="J27" s="19" t="str">
        <f>IFERROR(IF(INDEX(MASTER!$B$4:$B$1463,MATCH(22,MASTER!$Z$4:$Z$1463,0))="","-",INDEX(MASTER!$B$4:$B$1463,MATCH(22,MASTER!$Z$4:$Z$1463,0))),"-")</f>
        <v>SBG</v>
      </c>
      <c r="K27" s="19" t="str">
        <f>IFERROR(IF(INDEX(MASTER!$E$4:$E$1463,MATCH(22,MASTER!$Z$4:$Z$1463,0))="","-",INDEX(MASTER!$E$4:$E$1463,MATCH(22,MASTER!$Z$4:$Z$1463,0))),"-")</f>
        <v>WARLOCK</v>
      </c>
      <c r="L27" s="20">
        <f>IFERROR(IF(INDEX(MASTER!$G$4:$G$1463,MATCH(22,MASTER!$Z$4:$Z$1463,0))="","-",INDEX(MASTER!$G$4:$G$1463,MATCH(22,MASTER!$Z$4:$Z$1463,0))),"-")</f>
        <v>64304</v>
      </c>
      <c r="M27" s="19" t="str">
        <f>IFERROR(IF(INDEX(MASTER!$H$4:$H$1463,MATCH(22,MASTER!$Z$4:$Z$1463,0))="","-",INDEX(MASTER!$H$4:$H$1463,MATCH(22,MASTER!$Z$4:$Z$1463,0))),"-")</f>
        <v>64,000 +</v>
      </c>
      <c r="O27" s="19">
        <v>22</v>
      </c>
      <c r="P27" s="18" t="str">
        <f>IFERROR(IF(INDEX(MASTER!$C$4:$C$1463,MATCH(22,MASTER!$AA$4:$AA$1463,0))="","-",INDEX(MASTER!$C$4:$C$1463,MATCH(22,MASTER!$AA$4:$AA$1463,0))),"-")</f>
        <v>Visible</v>
      </c>
      <c r="Q27" s="19" t="str">
        <f>IFERROR(IF(INDEX(MASTER!$B$4:$B$1463,MATCH(22,MASTER!$AA$4:$AA$1463,0))="","-",INDEX(MASTER!$B$4:$B$1463,MATCH(22,MASTER!$AA$4:$AA$1463,0))),"-")</f>
        <v>AZUKI</v>
      </c>
      <c r="R27" s="19" t="str">
        <f>IFERROR(IF(INDEX(MASTER!$E$4:$E$1463,MATCH(22,MASTER!$AA$4:$AA$1463,0))="","-",INDEX(MASTER!$E$4:$E$1463,MATCH(22,MASTER!$AA$4:$AA$1463,0))),"-")</f>
        <v>BARBARIAN</v>
      </c>
      <c r="S27" s="21">
        <f>IFERROR(IF(INDEX(MASTER!$N$4:$N$1463,MATCH(22,MASTER!$AA$4:$AA$1463,0))="","-",INDEX(MASTER!$N$4:$N$1463,MATCH(22,MASTER!$AA$4:$AA$1463,0))),"-")</f>
        <v>85.6</v>
      </c>
      <c r="T27" s="19" t="str">
        <f>IFERROR(IF(INDEX(MASTER!$O$4:$O$1463,MATCH(22,MASTER!$AA$4:$AA$1463,0))="","-",INDEX(MASTER!$O$4:$O$1463,MATCH(22,MASTER!$AA$4:$AA$1463,0))),"-")</f>
        <v>S+</v>
      </c>
    </row>
    <row r="28" spans="1:20">
      <c r="A28" s="15">
        <v>23</v>
      </c>
      <c r="B28" s="14" t="str">
        <f>IFERROR(IF(INDEX(MASTER!$C$4:$C$1463,MATCH(23,MASTER!$P$4:$P$1463,0))="","-",INDEX(MASTER!$C$4:$C$1463,MATCH(23,MASTER!$P$4:$P$1463,0))),"-")</f>
        <v>Faolchumemn</v>
      </c>
      <c r="C28" s="15" t="str">
        <f>IFERROR(IF(INDEX(MASTER!$B$4:$B$1463,MATCH(23,MASTER!$P$4:$P$1463,0))="","-",INDEX(MASTER!$B$4:$B$1463,MATCH(23,MASTER!$P$4:$P$1463,0))),"-")</f>
        <v>AZUKI</v>
      </c>
      <c r="D28" s="15" t="str">
        <f>IFERROR(IF(INDEX(MASTER!$E$4:$E$1463,MATCH(23,MASTER!$P$4:$P$1463,0))="","-",INDEX(MASTER!$E$4:$E$1463,MATCH(23,MASTER!$P$4:$P$1463,0))),"-")</f>
        <v>DEMON HUNTER</v>
      </c>
      <c r="E28" s="16">
        <f>IFERROR(IF(INDEX(MASTER!$I$4:$I$1463,MATCH(23,MASTER!$P$4:$P$1463,0))="","-",INDEX(MASTER!$I$4:$I$1463,MATCH(23,MASTER!$P$4:$P$1463,0))),"-")</f>
        <v>10490</v>
      </c>
      <c r="F28" s="15" t="str">
        <f>IFERROR(IF(INDEX(MASTER!$J$4:$J$1463,MATCH(23,MASTER!$P$4:$P$1463,0))="","-",INDEX(MASTER!$J$4:$J$1463,MATCH(23,MASTER!$P$4:$P$1463,0))),"-")</f>
        <v>APEX</v>
      </c>
      <c r="H28" s="15">
        <v>23</v>
      </c>
      <c r="I28" s="14" t="str">
        <f>IFERROR(IF(INDEX(MASTER!$C$4:$C$1463,MATCH(23,MASTER!$Z$4:$Z$1463,0))="","-",INDEX(MASTER!$C$4:$C$1463,MATCH(23,MASTER!$Z$4:$Z$1463,0))),"-")</f>
        <v>RavenRage</v>
      </c>
      <c r="J28" s="15" t="str">
        <f>IFERROR(IF(INDEX(MASTER!$B$4:$B$1463,MATCH(23,MASTER!$Z$4:$Z$1463,0))="","-",INDEX(MASTER!$B$4:$B$1463,MATCH(23,MASTER!$Z$4:$Z$1463,0))),"-")</f>
        <v>SBG</v>
      </c>
      <c r="K28" s="15" t="str">
        <f>IFERROR(IF(INDEX(MASTER!$E$4:$E$1463,MATCH(23,MASTER!$Z$4:$Z$1463,0))="","-",INDEX(MASTER!$E$4:$E$1463,MATCH(23,MASTER!$Z$4:$Z$1463,0))),"-")</f>
        <v>WARLOCK</v>
      </c>
      <c r="L28" s="16">
        <f>IFERROR(IF(INDEX(MASTER!$G$4:$G$1463,MATCH(23,MASTER!$Z$4:$Z$1463,0))="","-",INDEX(MASTER!$G$4:$G$1463,MATCH(23,MASTER!$Z$4:$Z$1463,0))),"-")</f>
        <v>64291</v>
      </c>
      <c r="M28" s="15" t="str">
        <f>IFERROR(IF(INDEX(MASTER!$H$4:$H$1463,MATCH(23,MASTER!$Z$4:$Z$1463,0))="","-",INDEX(MASTER!$H$4:$H$1463,MATCH(23,MASTER!$Z$4:$Z$1463,0))),"-")</f>
        <v>64,000 +</v>
      </c>
      <c r="O28" s="15">
        <v>23</v>
      </c>
      <c r="P28" s="14" t="str">
        <f>IFERROR(IF(INDEX(MASTER!$C$4:$C$1463,MATCH(23,MASTER!$AA$4:$AA$1463,0))="","-",INDEX(MASTER!$C$4:$C$1463,MATCH(23,MASTER!$AA$4:$AA$1463,0))),"-")</f>
        <v>Dwai</v>
      </c>
      <c r="Q28" s="15" t="str">
        <f>IFERROR(IF(INDEX(MASTER!$B$4:$B$1463,MATCH(23,MASTER!$AA$4:$AA$1463,0))="","-",INDEX(MASTER!$B$4:$B$1463,MATCH(23,MASTER!$AA$4:$AA$1463,0))),"-")</f>
        <v>SUB ROSA</v>
      </c>
      <c r="R28" s="15" t="str">
        <f>IFERROR(IF(INDEX(MASTER!$E$4:$E$1463,MATCH(23,MASTER!$AA$4:$AA$1463,0))="","-",INDEX(MASTER!$E$4:$E$1463,MATCH(23,MASTER!$AA$4:$AA$1463,0))),"-")</f>
        <v>CRUSADER</v>
      </c>
      <c r="S28" s="17">
        <f>IFERROR(IF(INDEX(MASTER!$N$4:$N$1463,MATCH(23,MASTER!$AA$4:$AA$1463,0))="","-",INDEX(MASTER!$N$4:$N$1463,MATCH(23,MASTER!$AA$4:$AA$1463,0))),"-")</f>
        <v>84.5</v>
      </c>
      <c r="T28" s="15" t="str">
        <f>IFERROR(IF(INDEX(MASTER!$O$4:$O$1463,MATCH(23,MASTER!$AA$4:$AA$1463,0))="","-",INDEX(MASTER!$O$4:$O$1463,MATCH(23,MASTER!$AA$4:$AA$1463,0))),"-")</f>
        <v>S+</v>
      </c>
    </row>
    <row r="29" spans="1:20">
      <c r="A29" s="19">
        <v>24</v>
      </c>
      <c r="B29" s="18" t="str">
        <f>IFERROR(IF(INDEX(MASTER!$C$4:$C$1463,MATCH(24,MASTER!$P$4:$P$1463,0))="","-",INDEX(MASTER!$C$4:$C$1463,MATCH(24,MASTER!$P$4:$P$1463,0))),"-")</f>
        <v>Wynterkiss</v>
      </c>
      <c r="C29" s="19" t="str">
        <f>IFERROR(IF(INDEX(MASTER!$B$4:$B$1463,MATCH(24,MASTER!$P$4:$P$1463,0))="","-",INDEX(MASTER!$B$4:$B$1463,MATCH(24,MASTER!$P$4:$P$1463,0))),"-")</f>
        <v>RECKONING</v>
      </c>
      <c r="D29" s="19" t="str">
        <f>IFERROR(IF(INDEX(MASTER!$E$4:$E$1463,MATCH(24,MASTER!$P$4:$P$1463,0))="","-",INDEX(MASTER!$E$4:$E$1463,MATCH(24,MASTER!$P$4:$P$1463,0))),"-")</f>
        <v>WARLOCK</v>
      </c>
      <c r="E29" s="20">
        <f>IFERROR(IF(INDEX(MASTER!$I$4:$I$1463,MATCH(24,MASTER!$P$4:$P$1463,0))="","-",INDEX(MASTER!$I$4:$I$1463,MATCH(24,MASTER!$P$4:$P$1463,0))),"-")</f>
        <v>10435</v>
      </c>
      <c r="F29" s="19" t="str">
        <f>IFERROR(IF(INDEX(MASTER!$J$4:$J$1463,MATCH(24,MASTER!$P$4:$P$1463,0))="","-",INDEX(MASTER!$J$4:$J$1463,MATCH(24,MASTER!$P$4:$P$1463,0))),"-")</f>
        <v>APEX</v>
      </c>
      <c r="H29" s="19">
        <v>24</v>
      </c>
      <c r="I29" s="18" t="str">
        <f>IFERROR(IF(INDEX(MASTER!$C$4:$C$1463,MATCH(24,MASTER!$Z$4:$Z$1463,0))="","-",INDEX(MASTER!$C$4:$C$1463,MATCH(24,MASTER!$Z$4:$Z$1463,0))),"-")</f>
        <v>Solorin</v>
      </c>
      <c r="J29" s="19" t="str">
        <f>IFERROR(IF(INDEX(MASTER!$B$4:$B$1463,MATCH(24,MASTER!$Z$4:$Z$1463,0))="","-",INDEX(MASTER!$B$4:$B$1463,MATCH(24,MASTER!$Z$4:$Z$1463,0))),"-")</f>
        <v>SBG</v>
      </c>
      <c r="K29" s="19" t="str">
        <f>IFERROR(IF(INDEX(MASTER!$E$4:$E$1463,MATCH(24,MASTER!$Z$4:$Z$1463,0))="","-",INDEX(MASTER!$E$4:$E$1463,MATCH(24,MASTER!$Z$4:$Z$1463,0))),"-")</f>
        <v>BLOOD KNIGHT</v>
      </c>
      <c r="L29" s="20">
        <f>IFERROR(IF(INDEX(MASTER!$G$4:$G$1463,MATCH(24,MASTER!$Z$4:$Z$1463,0))="","-",INDEX(MASTER!$G$4:$G$1463,MATCH(24,MASTER!$Z$4:$Z$1463,0))),"-")</f>
        <v>64286</v>
      </c>
      <c r="M29" s="19" t="str">
        <f>IFERROR(IF(INDEX(MASTER!$H$4:$H$1463,MATCH(24,MASTER!$Z$4:$Z$1463,0))="","-",INDEX(MASTER!$H$4:$H$1463,MATCH(24,MASTER!$Z$4:$Z$1463,0))),"-")</f>
        <v>64,000 +</v>
      </c>
      <c r="O29" s="19">
        <v>24</v>
      </c>
      <c r="P29" s="18" t="str">
        <f>IFERROR(IF(INDEX(MASTER!$C$4:$C$1463,MATCH(24,MASTER!$AA$4:$AA$1463,0))="","-",INDEX(MASTER!$C$4:$C$1463,MATCH(24,MASTER!$AA$4:$AA$1463,0))),"-")</f>
        <v>SpinDieseI</v>
      </c>
      <c r="Q29" s="19" t="str">
        <f>IFERROR(IF(INDEX(MASTER!$B$4:$B$1463,MATCH(24,MASTER!$AA$4:$AA$1463,0))="","-",INDEX(MASTER!$B$4:$B$1463,MATCH(24,MASTER!$AA$4:$AA$1463,0))),"-")</f>
        <v>FUCT</v>
      </c>
      <c r="R29" s="19" t="str">
        <f>IFERROR(IF(INDEX(MASTER!$E$4:$E$1463,MATCH(24,MASTER!$AA$4:$AA$1463,0))="","-",INDEX(MASTER!$E$4:$E$1463,MATCH(24,MASTER!$AA$4:$AA$1463,0))),"-")</f>
        <v>DEMON HUNTER</v>
      </c>
      <c r="S29" s="21">
        <f>IFERROR(IF(INDEX(MASTER!$N$4:$N$1463,MATCH(24,MASTER!$AA$4:$AA$1463,0))="","-",INDEX(MASTER!$N$4:$N$1463,MATCH(24,MASTER!$AA$4:$AA$1463,0))),"-")</f>
        <v>84.4</v>
      </c>
      <c r="T29" s="19" t="str">
        <f>IFERROR(IF(INDEX(MASTER!$O$4:$O$1463,MATCH(24,MASTER!$AA$4:$AA$1463,0))="","-",INDEX(MASTER!$O$4:$O$1463,MATCH(24,MASTER!$AA$4:$AA$1463,0))),"-")</f>
        <v>S+</v>
      </c>
    </row>
    <row r="30" spans="1:20">
      <c r="A30" s="15">
        <v>25</v>
      </c>
      <c r="B30" s="14" t="str">
        <f>IFERROR(IF(INDEX(MASTER!$C$4:$C$1463,MATCH(25,MASTER!$P$4:$P$1463,0))="","-",INDEX(MASTER!$C$4:$C$1463,MATCH(25,MASTER!$P$4:$P$1463,0))),"-")</f>
        <v>CuppyCakes</v>
      </c>
      <c r="C30" s="15" t="str">
        <f>IFERROR(IF(INDEX(MASTER!$B$4:$B$1463,MATCH(25,MASTER!$P$4:$P$1463,0))="","-",INDEX(MASTER!$B$4:$B$1463,MATCH(25,MASTER!$P$4:$P$1463,0))),"-")</f>
        <v>RECKONING</v>
      </c>
      <c r="D30" s="15" t="str">
        <f>IFERROR(IF(INDEX(MASTER!$E$4:$E$1463,MATCH(25,MASTER!$P$4:$P$1463,0))="","-",INDEX(MASTER!$E$4:$E$1463,MATCH(25,MASTER!$P$4:$P$1463,0))),"-")</f>
        <v>CRUSADER</v>
      </c>
      <c r="E30" s="16">
        <f>IFERROR(IF(INDEX(MASTER!$I$4:$I$1463,MATCH(25,MASTER!$P$4:$P$1463,0))="","-",INDEX(MASTER!$I$4:$I$1463,MATCH(25,MASTER!$P$4:$P$1463,0))),"-")</f>
        <v>10392</v>
      </c>
      <c r="F30" s="15" t="str">
        <f>IFERROR(IF(INDEX(MASTER!$J$4:$J$1463,MATCH(25,MASTER!$P$4:$P$1463,0))="","-",INDEX(MASTER!$J$4:$J$1463,MATCH(25,MASTER!$P$4:$P$1463,0))),"-")</f>
        <v>APEX</v>
      </c>
      <c r="H30" s="15">
        <v>25</v>
      </c>
      <c r="I30" s="14" t="str">
        <f>IFERROR(IF(INDEX(MASTER!$C$4:$C$1463,MATCH(25,MASTER!$Z$4:$Z$1463,0))="","-",INDEX(MASTER!$C$4:$C$1463,MATCH(25,MASTER!$Z$4:$Z$1463,0))),"-")</f>
        <v>BoneCrusher</v>
      </c>
      <c r="J30" s="15" t="str">
        <f>IFERROR(IF(INDEX(MASTER!$B$4:$B$1463,MATCH(25,MASTER!$Z$4:$Z$1463,0))="","-",INDEX(MASTER!$B$4:$B$1463,MATCH(25,MASTER!$Z$4:$Z$1463,0))),"-")</f>
        <v>SBG</v>
      </c>
      <c r="K30" s="15" t="str">
        <f>IFERROR(IF(INDEX(MASTER!$E$4:$E$1463,MATCH(25,MASTER!$Z$4:$Z$1463,0))="","-",INDEX(MASTER!$E$4:$E$1463,MATCH(25,MASTER!$Z$4:$Z$1463,0))),"-")</f>
        <v>CRUSADER</v>
      </c>
      <c r="L30" s="16">
        <f>IFERROR(IF(INDEX(MASTER!$G$4:$G$1463,MATCH(25,MASTER!$Z$4:$Z$1463,0))="","-",INDEX(MASTER!$G$4:$G$1463,MATCH(25,MASTER!$Z$4:$Z$1463,0))),"-")</f>
        <v>64284</v>
      </c>
      <c r="M30" s="15" t="str">
        <f>IFERROR(IF(INDEX(MASTER!$H$4:$H$1463,MATCH(25,MASTER!$Z$4:$Z$1463,0))="","-",INDEX(MASTER!$H$4:$H$1463,MATCH(25,MASTER!$Z$4:$Z$1463,0))),"-")</f>
        <v>64,000 +</v>
      </c>
      <c r="O30" s="15">
        <v>25</v>
      </c>
      <c r="P30" s="14" t="str">
        <f>IFERROR(IF(INDEX(MASTER!$C$4:$C$1463,MATCH(25,MASTER!$AA$4:$AA$1463,0))="","-",INDEX(MASTER!$C$4:$C$1463,MATCH(25,MASTER!$AA$4:$AA$1463,0))),"-")</f>
        <v>AJsme</v>
      </c>
      <c r="Q30" s="15" t="str">
        <f>IFERROR(IF(INDEX(MASTER!$B$4:$B$1463,MATCH(25,MASTER!$AA$4:$AA$1463,0))="","-",INDEX(MASTER!$B$4:$B$1463,MATCH(25,MASTER!$AA$4:$AA$1463,0))),"-")</f>
        <v>VANGUARD</v>
      </c>
      <c r="R30" s="15" t="str">
        <f>IFERROR(IF(INDEX(MASTER!$E$4:$E$1463,MATCH(25,MASTER!$AA$4:$AA$1463,0))="","-",INDEX(MASTER!$E$4:$E$1463,MATCH(25,MASTER!$AA$4:$AA$1463,0))),"-")</f>
        <v>CRUSADER</v>
      </c>
      <c r="S30" s="17">
        <f>IFERROR(IF(INDEX(MASTER!$N$4:$N$1463,MATCH(25,MASTER!$AA$4:$AA$1463,0))="","-",INDEX(MASTER!$N$4:$N$1463,MATCH(25,MASTER!$AA$4:$AA$1463,0))),"-")</f>
        <v>84.2</v>
      </c>
      <c r="T30" s="15" t="str">
        <f>IFERROR(IF(INDEX(MASTER!$O$4:$O$1463,MATCH(25,MASTER!$AA$4:$AA$1463,0))="","-",INDEX(MASTER!$O$4:$O$1463,MATCH(25,MASTER!$AA$4:$AA$1463,0))),"-")</f>
        <v>S+</v>
      </c>
    </row>
    <row r="31" spans="1:20">
      <c r="A31" s="19">
        <v>26</v>
      </c>
      <c r="B31" s="18" t="str">
        <f>IFERROR(IF(INDEX(MASTER!$C$4:$C$1463,MATCH(26,MASTER!$P$4:$P$1463,0))="","-",INDEX(MASTER!$C$4:$C$1463,MATCH(26,MASTER!$P$4:$P$1463,0))),"-")</f>
        <v>dstfate</v>
      </c>
      <c r="C31" s="19" t="str">
        <f>IFERROR(IF(INDEX(MASTER!$B$4:$B$1463,MATCH(26,MASTER!$P$4:$P$1463,0))="","-",INDEX(MASTER!$B$4:$B$1463,MATCH(26,MASTER!$P$4:$P$1463,0))),"-")</f>
        <v>RECKONING</v>
      </c>
      <c r="D31" s="19" t="str">
        <f>IFERROR(IF(INDEX(MASTER!$E$4:$E$1463,MATCH(26,MASTER!$P$4:$P$1463,0))="","-",INDEX(MASTER!$E$4:$E$1463,MATCH(26,MASTER!$P$4:$P$1463,0))),"-")</f>
        <v>TEMPEST</v>
      </c>
      <c r="E31" s="20">
        <f>IFERROR(IF(INDEX(MASTER!$I$4:$I$1463,MATCH(26,MASTER!$P$4:$P$1463,0))="","-",INDEX(MASTER!$I$4:$I$1463,MATCH(26,MASTER!$P$4:$P$1463,0))),"-")</f>
        <v>10388</v>
      </c>
      <c r="F31" s="19" t="str">
        <f>IFERROR(IF(INDEX(MASTER!$J$4:$J$1463,MATCH(26,MASTER!$P$4:$P$1463,0))="","-",INDEX(MASTER!$J$4:$J$1463,MATCH(26,MASTER!$P$4:$P$1463,0))),"-")</f>
        <v>APEX</v>
      </c>
      <c r="H31" s="19">
        <v>26</v>
      </c>
      <c r="I31" s="18" t="str">
        <f>IFERROR(IF(INDEX(MASTER!$C$4:$C$1463,MATCH(26,MASTER!$Z$4:$Z$1463,0))="","-",INDEX(MASTER!$C$4:$C$1463,MATCH(26,MASTER!$Z$4:$Z$1463,0))),"-")</f>
        <v>xHxHx</v>
      </c>
      <c r="J31" s="19" t="str">
        <f>IFERROR(IF(INDEX(MASTER!$B$4:$B$1463,MATCH(26,MASTER!$Z$4:$Z$1463,0))="","-",INDEX(MASTER!$B$4:$B$1463,MATCH(26,MASTER!$Z$4:$Z$1463,0))),"-")</f>
        <v>VANGUARD</v>
      </c>
      <c r="K31" s="19" t="str">
        <f>IFERROR(IF(INDEX(MASTER!$E$4:$E$1463,MATCH(26,MASTER!$Z$4:$Z$1463,0))="","-",INDEX(MASTER!$E$4:$E$1463,MATCH(26,MASTER!$Z$4:$Z$1463,0))),"-")</f>
        <v>MONK</v>
      </c>
      <c r="L31" s="20">
        <f>IFERROR(IF(INDEX(MASTER!$G$4:$G$1463,MATCH(26,MASTER!$Z$4:$Z$1463,0))="","-",INDEX(MASTER!$G$4:$G$1463,MATCH(26,MASTER!$Z$4:$Z$1463,0))),"-")</f>
        <v>64282</v>
      </c>
      <c r="M31" s="19" t="str">
        <f>IFERROR(IF(INDEX(MASTER!$H$4:$H$1463,MATCH(26,MASTER!$Z$4:$Z$1463,0))="","-",INDEX(MASTER!$H$4:$H$1463,MATCH(26,MASTER!$Z$4:$Z$1463,0))),"-")</f>
        <v>64,000 +</v>
      </c>
      <c r="O31" s="19">
        <v>26</v>
      </c>
      <c r="P31" s="18" t="str">
        <f>IFERROR(IF(INDEX(MASTER!$C$4:$C$1463,MATCH(26,MASTER!$AA$4:$AA$1463,0))="","-",INDEX(MASTER!$C$4:$C$1463,MATCH(26,MASTER!$AA$4:$AA$1463,0))),"-")</f>
        <v>ANDROID18</v>
      </c>
      <c r="Q31" s="19" t="str">
        <f>IFERROR(IF(INDEX(MASTER!$B$4:$B$1463,MATCH(26,MASTER!$AA$4:$AA$1463,0))="","-",INDEX(MASTER!$B$4:$B$1463,MATCH(26,MASTER!$AA$4:$AA$1463,0))),"-")</f>
        <v>LEGENDS</v>
      </c>
      <c r="R31" s="19" t="str">
        <f>IFERROR(IF(INDEX(MASTER!$E$4:$E$1463,MATCH(26,MASTER!$AA$4:$AA$1463,0))="","-",INDEX(MASTER!$E$4:$E$1463,MATCH(26,MASTER!$AA$4:$AA$1463,0))),"-")</f>
        <v>DEMON HUNTER</v>
      </c>
      <c r="S31" s="21">
        <f>IFERROR(IF(INDEX(MASTER!$N$4:$N$1463,MATCH(26,MASTER!$AA$4:$AA$1463,0))="","-",INDEX(MASTER!$N$4:$N$1463,MATCH(26,MASTER!$AA$4:$AA$1463,0))),"-")</f>
        <v>84.2</v>
      </c>
      <c r="T31" s="19" t="str">
        <f>IFERROR(IF(INDEX(MASTER!$O$4:$O$1463,MATCH(26,MASTER!$AA$4:$AA$1463,0))="","-",INDEX(MASTER!$O$4:$O$1463,MATCH(26,MASTER!$AA$4:$AA$1463,0))),"-")</f>
        <v>S+</v>
      </c>
    </row>
    <row r="32" spans="1:20">
      <c r="A32" s="15">
        <v>27</v>
      </c>
      <c r="B32" s="14" t="str">
        <f>IFERROR(IF(INDEX(MASTER!$C$4:$C$1463,MATCH(27,MASTER!$P$4:$P$1463,0))="","-",INDEX(MASTER!$C$4:$C$1463,MATCH(27,MASTER!$P$4:$P$1463,0))),"-")</f>
        <v>Dax</v>
      </c>
      <c r="C32" s="15" t="str">
        <f>IFERROR(IF(INDEX(MASTER!$B$4:$B$1463,MATCH(27,MASTER!$P$4:$P$1463,0))="","-",INDEX(MASTER!$B$4:$B$1463,MATCH(27,MASTER!$P$4:$P$1463,0))),"-")</f>
        <v>FUCT</v>
      </c>
      <c r="D32" s="15" t="str">
        <f>IFERROR(IF(INDEX(MASTER!$E$4:$E$1463,MATCH(27,MASTER!$P$4:$P$1463,0))="","-",INDEX(MASTER!$E$4:$E$1463,MATCH(27,MASTER!$P$4:$P$1463,0))),"-")</f>
        <v>BARBARIAN</v>
      </c>
      <c r="E32" s="16">
        <f>IFERROR(IF(INDEX(MASTER!$I$4:$I$1463,MATCH(27,MASTER!$P$4:$P$1463,0))="","-",INDEX(MASTER!$I$4:$I$1463,MATCH(27,MASTER!$P$4:$P$1463,0))),"-")</f>
        <v>10376</v>
      </c>
      <c r="F32" s="15" t="str">
        <f>IFERROR(IF(INDEX(MASTER!$J$4:$J$1463,MATCH(27,MASTER!$P$4:$P$1463,0))="","-",INDEX(MASTER!$J$4:$J$1463,MATCH(27,MASTER!$P$4:$P$1463,0))),"-")</f>
        <v>APEX</v>
      </c>
      <c r="H32" s="15">
        <v>27</v>
      </c>
      <c r="I32" s="14" t="str">
        <f>IFERROR(IF(INDEX(MASTER!$C$4:$C$1463,MATCH(27,MASTER!$Z$4:$Z$1463,0))="","-",INDEX(MASTER!$C$4:$C$1463,MATCH(27,MASTER!$Z$4:$Z$1463,0))),"-")</f>
        <v>TGHOST</v>
      </c>
      <c r="J32" s="15" t="str">
        <f>IFERROR(IF(INDEX(MASTER!$B$4:$B$1463,MATCH(27,MASTER!$Z$4:$Z$1463,0))="","-",INDEX(MASTER!$B$4:$B$1463,MATCH(27,MASTER!$Z$4:$Z$1463,0))),"-")</f>
        <v>FUCT</v>
      </c>
      <c r="K32" s="15" t="str">
        <f>IFERROR(IF(INDEX(MASTER!$E$4:$E$1463,MATCH(27,MASTER!$Z$4:$Z$1463,0))="","-",INDEX(MASTER!$E$4:$E$1463,MATCH(27,MASTER!$Z$4:$Z$1463,0))),"-")</f>
        <v>BLOOD KNIGHT</v>
      </c>
      <c r="L32" s="16">
        <f>IFERROR(IF(INDEX(MASTER!$G$4:$G$1463,MATCH(27,MASTER!$Z$4:$Z$1463,0))="","-",INDEX(MASTER!$G$4:$G$1463,MATCH(27,MASTER!$Z$4:$Z$1463,0))),"-")</f>
        <v>64270</v>
      </c>
      <c r="M32" s="15" t="str">
        <f>IFERROR(IF(INDEX(MASTER!$H$4:$H$1463,MATCH(27,MASTER!$Z$4:$Z$1463,0))="","-",INDEX(MASTER!$H$4:$H$1463,MATCH(27,MASTER!$Z$4:$Z$1463,0))),"-")</f>
        <v>64,000 +</v>
      </c>
      <c r="O32" s="15">
        <v>27</v>
      </c>
      <c r="P32" s="14" t="str">
        <f>IFERROR(IF(INDEX(MASTER!$C$4:$C$1463,MATCH(27,MASTER!$AA$4:$AA$1463,0))="","-",INDEX(MASTER!$C$4:$C$1463,MATCH(27,MASTER!$AA$4:$AA$1463,0))),"-")</f>
        <v>Tapaking</v>
      </c>
      <c r="Q32" s="15" t="str">
        <f>IFERROR(IF(INDEX(MASTER!$B$4:$B$1463,MATCH(27,MASTER!$AA$4:$AA$1463,0))="","-",INDEX(MASTER!$B$4:$B$1463,MATCH(27,MASTER!$AA$4:$AA$1463,0))),"-")</f>
        <v>VANGUARD</v>
      </c>
      <c r="R32" s="15" t="str">
        <f>IFERROR(IF(INDEX(MASTER!$E$4:$E$1463,MATCH(27,MASTER!$AA$4:$AA$1463,0))="","-",INDEX(MASTER!$E$4:$E$1463,MATCH(27,MASTER!$AA$4:$AA$1463,0))),"-")</f>
        <v>DEMON HUNTER</v>
      </c>
      <c r="S32" s="17">
        <f>IFERROR(IF(INDEX(MASTER!$N$4:$N$1463,MATCH(27,MASTER!$AA$4:$AA$1463,0))="","-",INDEX(MASTER!$N$4:$N$1463,MATCH(27,MASTER!$AA$4:$AA$1463,0))),"-")</f>
        <v>83.8</v>
      </c>
      <c r="T32" s="15" t="str">
        <f>IFERROR(IF(INDEX(MASTER!$O$4:$O$1463,MATCH(27,MASTER!$AA$4:$AA$1463,0))="","-",INDEX(MASTER!$O$4:$O$1463,MATCH(27,MASTER!$AA$4:$AA$1463,0))),"-")</f>
        <v>S+</v>
      </c>
    </row>
    <row r="33" spans="1:20">
      <c r="A33" s="19">
        <v>28</v>
      </c>
      <c r="B33" s="18" t="str">
        <f>IFERROR(IF(INDEX(MASTER!$C$4:$C$1463,MATCH(28,MASTER!$P$4:$P$1463,0))="","-",INDEX(MASTER!$C$4:$C$1463,MATCH(28,MASTER!$P$4:$P$1463,0))),"-")</f>
        <v>Dáx</v>
      </c>
      <c r="C33" s="19" t="str">
        <f>IFERROR(IF(INDEX(MASTER!$B$4:$B$1463,MATCH(28,MASTER!$P$4:$P$1463,0))="","-",INDEX(MASTER!$B$4:$B$1463,MATCH(28,MASTER!$P$4:$P$1463,0))),"-")</f>
        <v>RECKONING</v>
      </c>
      <c r="D33" s="19" t="str">
        <f>IFERROR(IF(INDEX(MASTER!$E$4:$E$1463,MATCH(28,MASTER!$P$4:$P$1463,0))="","-",INDEX(MASTER!$E$4:$E$1463,MATCH(28,MASTER!$P$4:$P$1463,0))),"-")</f>
        <v>BARBARIAN</v>
      </c>
      <c r="E33" s="20">
        <f>IFERROR(IF(INDEX(MASTER!$I$4:$I$1463,MATCH(28,MASTER!$P$4:$P$1463,0))="","-",INDEX(MASTER!$I$4:$I$1463,MATCH(28,MASTER!$P$4:$P$1463,0))),"-")</f>
        <v>10376</v>
      </c>
      <c r="F33" s="19" t="str">
        <f>IFERROR(IF(INDEX(MASTER!$J$4:$J$1463,MATCH(28,MASTER!$P$4:$P$1463,0))="","-",INDEX(MASTER!$J$4:$J$1463,MATCH(28,MASTER!$P$4:$P$1463,0))),"-")</f>
        <v>APEX</v>
      </c>
      <c r="H33" s="19">
        <v>28</v>
      </c>
      <c r="I33" s="18" t="str">
        <f>IFERROR(IF(INDEX(MASTER!$C$4:$C$1463,MATCH(28,MASTER!$Z$4:$Z$1463,0))="","-",INDEX(MASTER!$C$4:$C$1463,MATCH(28,MASTER!$Z$4:$Z$1463,0))),"-")</f>
        <v>Untitled</v>
      </c>
      <c r="J33" s="19" t="str">
        <f>IFERROR(IF(INDEX(MASTER!$B$4:$B$1463,MATCH(28,MASTER!$Z$4:$Z$1463,0))="","-",INDEX(MASTER!$B$4:$B$1463,MATCH(28,MASTER!$Z$4:$Z$1463,0))),"-")</f>
        <v>AZUKI</v>
      </c>
      <c r="K33" s="19" t="str">
        <f>IFERROR(IF(INDEX(MASTER!$E$4:$E$1463,MATCH(28,MASTER!$Z$4:$Z$1463,0))="","-",INDEX(MASTER!$E$4:$E$1463,MATCH(28,MASTER!$Z$4:$Z$1463,0))),"-")</f>
        <v>WIZARD</v>
      </c>
      <c r="L33" s="20">
        <f>IFERROR(IF(INDEX(MASTER!$G$4:$G$1463,MATCH(28,MASTER!$Z$4:$Z$1463,0))="","-",INDEX(MASTER!$G$4:$G$1463,MATCH(28,MASTER!$Z$4:$Z$1463,0))),"-")</f>
        <v>64266</v>
      </c>
      <c r="M33" s="19" t="str">
        <f>IFERROR(IF(INDEX(MASTER!$H$4:$H$1463,MATCH(28,MASTER!$Z$4:$Z$1463,0))="","-",INDEX(MASTER!$H$4:$H$1463,MATCH(28,MASTER!$Z$4:$Z$1463,0))),"-")</f>
        <v>64,000 +</v>
      </c>
      <c r="O33" s="19">
        <v>28</v>
      </c>
      <c r="P33" s="18" t="str">
        <f>IFERROR(IF(INDEX(MASTER!$C$4:$C$1463,MATCH(28,MASTER!$AA$4:$AA$1463,0))="","-",INDEX(MASTER!$C$4:$C$1463,MATCH(28,MASTER!$AA$4:$AA$1463,0))),"-")</f>
        <v>xHxHx</v>
      </c>
      <c r="Q33" s="19" t="str">
        <f>IFERROR(IF(INDEX(MASTER!$B$4:$B$1463,MATCH(28,MASTER!$AA$4:$AA$1463,0))="","-",INDEX(MASTER!$B$4:$B$1463,MATCH(28,MASTER!$AA$4:$AA$1463,0))),"-")</f>
        <v>VANGUARD</v>
      </c>
      <c r="R33" s="19" t="str">
        <f>IFERROR(IF(INDEX(MASTER!$E$4:$E$1463,MATCH(28,MASTER!$AA$4:$AA$1463,0))="","-",INDEX(MASTER!$E$4:$E$1463,MATCH(28,MASTER!$AA$4:$AA$1463,0))),"-")</f>
        <v>MONK</v>
      </c>
      <c r="S33" s="21">
        <f>IFERROR(IF(INDEX(MASTER!$N$4:$N$1463,MATCH(28,MASTER!$AA$4:$AA$1463,0))="","-",INDEX(MASTER!$N$4:$N$1463,MATCH(28,MASTER!$AA$4:$AA$1463,0))),"-")</f>
        <v>83.8</v>
      </c>
      <c r="T33" s="19" t="str">
        <f>IFERROR(IF(INDEX(MASTER!$O$4:$O$1463,MATCH(28,MASTER!$AA$4:$AA$1463,0))="","-",INDEX(MASTER!$O$4:$O$1463,MATCH(28,MASTER!$AA$4:$AA$1463,0))),"-")</f>
        <v>S+</v>
      </c>
    </row>
    <row r="34" spans="1:20">
      <c r="A34" s="15">
        <v>29</v>
      </c>
      <c r="B34" s="14" t="str">
        <f>IFERROR(IF(INDEX(MASTER!$C$4:$C$1463,MATCH(29,MASTER!$P$4:$P$1463,0))="","-",INDEX(MASTER!$C$4:$C$1463,MATCH(29,MASTER!$P$4:$P$1463,0))),"-")</f>
        <v>Furealz</v>
      </c>
      <c r="C34" s="15" t="str">
        <f>IFERROR(IF(INDEX(MASTER!$B$4:$B$1463,MATCH(29,MASTER!$P$4:$P$1463,0))="","-",INDEX(MASTER!$B$4:$B$1463,MATCH(29,MASTER!$P$4:$P$1463,0))),"-")</f>
        <v>VANGUARD</v>
      </c>
      <c r="D34" s="15" t="str">
        <f>IFERROR(IF(INDEX(MASTER!$E$4:$E$1463,MATCH(29,MASTER!$P$4:$P$1463,0))="","-",INDEX(MASTER!$E$4:$E$1463,MATCH(29,MASTER!$P$4:$P$1463,0))),"-")</f>
        <v>WARLOCK</v>
      </c>
      <c r="E34" s="16">
        <f>IFERROR(IF(INDEX(MASTER!$I$4:$I$1463,MATCH(29,MASTER!$P$4:$P$1463,0))="","-",INDEX(MASTER!$I$4:$I$1463,MATCH(29,MASTER!$P$4:$P$1463,0))),"-")</f>
        <v>10352</v>
      </c>
      <c r="F34" s="15" t="str">
        <f>IFERROR(IF(INDEX(MASTER!$J$4:$J$1463,MATCH(29,MASTER!$P$4:$P$1463,0))="","-",INDEX(MASTER!$J$4:$J$1463,MATCH(29,MASTER!$P$4:$P$1463,0))),"-")</f>
        <v>APEX</v>
      </c>
      <c r="H34" s="15">
        <v>29</v>
      </c>
      <c r="I34" s="14" t="str">
        <f>IFERROR(IF(INDEX(MASTER!$C$4:$C$1463,MATCH(29,MASTER!$Z$4:$Z$1463,0))="","-",INDEX(MASTER!$C$4:$C$1463,MATCH(29,MASTER!$Z$4:$Z$1463,0))),"-")</f>
        <v>Sunfire</v>
      </c>
      <c r="J34" s="15" t="str">
        <f>IFERROR(IF(INDEX(MASTER!$B$4:$B$1463,MATCH(29,MASTER!$Z$4:$Z$1463,0))="","-",INDEX(MASTER!$B$4:$B$1463,MATCH(29,MASTER!$Z$4:$Z$1463,0))),"-")</f>
        <v>VANGUARD</v>
      </c>
      <c r="K34" s="15" t="str">
        <f>IFERROR(IF(INDEX(MASTER!$E$4:$E$1463,MATCH(29,MASTER!$Z$4:$Z$1463,0))="","-",INDEX(MASTER!$E$4:$E$1463,MATCH(29,MASTER!$Z$4:$Z$1463,0))),"-")</f>
        <v>WARLOCK</v>
      </c>
      <c r="L34" s="16">
        <f>IFERROR(IF(INDEX(MASTER!$G$4:$G$1463,MATCH(29,MASTER!$Z$4:$Z$1463,0))="","-",INDEX(MASTER!$G$4:$G$1463,MATCH(29,MASTER!$Z$4:$Z$1463,0))),"-")</f>
        <v>64248</v>
      </c>
      <c r="M34" s="15" t="str">
        <f>IFERROR(IF(INDEX(MASTER!$H$4:$H$1463,MATCH(29,MASTER!$Z$4:$Z$1463,0))="","-",INDEX(MASTER!$H$4:$H$1463,MATCH(29,MASTER!$Z$4:$Z$1463,0))),"-")</f>
        <v>64,000 +</v>
      </c>
      <c r="O34" s="15">
        <v>29</v>
      </c>
      <c r="P34" s="14" t="str">
        <f>IFERROR(IF(INDEX(MASTER!$C$4:$C$1463,MATCH(29,MASTER!$AA$4:$AA$1463,0))="","-",INDEX(MASTER!$C$4:$C$1463,MATCH(29,MASTER!$AA$4:$AA$1463,0))),"-")</f>
        <v>BîrthdayCake</v>
      </c>
      <c r="Q34" s="15" t="str">
        <f>IFERROR(IF(INDEX(MASTER!$B$4:$B$1463,MATCH(29,MASTER!$AA$4:$AA$1463,0))="","-",INDEX(MASTER!$B$4:$B$1463,MATCH(29,MASTER!$AA$4:$AA$1463,0))),"-")</f>
        <v>VANGUARD</v>
      </c>
      <c r="R34" s="15" t="str">
        <f>IFERROR(IF(INDEX(MASTER!$E$4:$E$1463,MATCH(29,MASTER!$AA$4:$AA$1463,0))="","-",INDEX(MASTER!$E$4:$E$1463,MATCH(29,MASTER!$AA$4:$AA$1463,0))),"-")</f>
        <v>DRUID</v>
      </c>
      <c r="S34" s="17">
        <f>IFERROR(IF(INDEX(MASTER!$N$4:$N$1463,MATCH(29,MASTER!$AA$4:$AA$1463,0))="","-",INDEX(MASTER!$N$4:$N$1463,MATCH(29,MASTER!$AA$4:$AA$1463,0))),"-")</f>
        <v>83.6</v>
      </c>
      <c r="T34" s="15" t="str">
        <f>IFERROR(IF(INDEX(MASTER!$O$4:$O$1463,MATCH(29,MASTER!$AA$4:$AA$1463,0))="","-",INDEX(MASTER!$O$4:$O$1463,MATCH(29,MASTER!$AA$4:$AA$1463,0))),"-")</f>
        <v>S+</v>
      </c>
    </row>
    <row r="35" spans="1:20">
      <c r="A35" s="19">
        <v>30</v>
      </c>
      <c r="B35" s="18" t="str">
        <f>IFERROR(IF(INDEX(MASTER!$C$4:$C$1463,MATCH(30,MASTER!$P$4:$P$1463,0))="","-",INDEX(MASTER!$C$4:$C$1463,MATCH(30,MASTER!$P$4:$P$1463,0))),"-")</f>
        <v>VEGETA</v>
      </c>
      <c r="C35" s="19" t="str">
        <f>IFERROR(IF(INDEX(MASTER!$B$4:$B$1463,MATCH(30,MASTER!$P$4:$P$1463,0))="","-",INDEX(MASTER!$B$4:$B$1463,MATCH(30,MASTER!$P$4:$P$1463,0))),"-")</f>
        <v>LEGENDS</v>
      </c>
      <c r="D35" s="19" t="str">
        <f>IFERROR(IF(INDEX(MASTER!$E$4:$E$1463,MATCH(30,MASTER!$P$4:$P$1463,0))="","-",INDEX(MASTER!$E$4:$E$1463,MATCH(30,MASTER!$P$4:$P$1463,0))),"-")</f>
        <v>BLOOD KNIGHT</v>
      </c>
      <c r="E35" s="20">
        <f>IFERROR(IF(INDEX(MASTER!$I$4:$I$1463,MATCH(30,MASTER!$P$4:$P$1463,0))="","-",INDEX(MASTER!$I$4:$I$1463,MATCH(30,MASTER!$P$4:$P$1463,0))),"-")</f>
        <v>10350</v>
      </c>
      <c r="F35" s="19" t="str">
        <f>IFERROR(IF(INDEX(MASTER!$J$4:$J$1463,MATCH(30,MASTER!$P$4:$P$1463,0))="","-",INDEX(MASTER!$J$4:$J$1463,MATCH(30,MASTER!$P$4:$P$1463,0))),"-")</f>
        <v>APEX</v>
      </c>
      <c r="H35" s="19">
        <v>30</v>
      </c>
      <c r="I35" s="18" t="str">
        <f>IFERROR(IF(INDEX(MASTER!$C$4:$C$1463,MATCH(30,MASTER!$Z$4:$Z$1463,0))="","-",INDEX(MASTER!$C$4:$C$1463,MATCH(30,MASTER!$Z$4:$Z$1463,0))),"-")</f>
        <v>IvartehBoneless</v>
      </c>
      <c r="J35" s="19" t="str">
        <f>IFERROR(IF(INDEX(MASTER!$B$4:$B$1463,MATCH(30,MASTER!$Z$4:$Z$1463,0))="","-",INDEX(MASTER!$B$4:$B$1463,MATCH(30,MASTER!$Z$4:$Z$1463,0))),"-")</f>
        <v>AZUKI</v>
      </c>
      <c r="K35" s="19" t="str">
        <f>IFERROR(IF(INDEX(MASTER!$E$4:$E$1463,MATCH(30,MASTER!$Z$4:$Z$1463,0))="","-",INDEX(MASTER!$E$4:$E$1463,MATCH(30,MASTER!$Z$4:$Z$1463,0))),"-")</f>
        <v>WARLOCK</v>
      </c>
      <c r="L35" s="20">
        <f>IFERROR(IF(INDEX(MASTER!$G$4:$G$1463,MATCH(30,MASTER!$Z$4:$Z$1463,0))="","-",INDEX(MASTER!$G$4:$G$1463,MATCH(30,MASTER!$Z$4:$Z$1463,0))),"-")</f>
        <v>64247</v>
      </c>
      <c r="M35" s="19" t="str">
        <f>IFERROR(IF(INDEX(MASTER!$H$4:$H$1463,MATCH(30,MASTER!$Z$4:$Z$1463,0))="","-",INDEX(MASTER!$H$4:$H$1463,MATCH(30,MASTER!$Z$4:$Z$1463,0))),"-")</f>
        <v>64,000 +</v>
      </c>
      <c r="O35" s="19">
        <v>30</v>
      </c>
      <c r="P35" s="18" t="str">
        <f>IFERROR(IF(INDEX(MASTER!$C$4:$C$1463,MATCH(30,MASTER!$AA$4:$AA$1463,0))="","-",INDEX(MASTER!$C$4:$C$1463,MATCH(30,MASTER!$AA$4:$AA$1463,0))),"-")</f>
        <v>S3RIOUSLY</v>
      </c>
      <c r="Q35" s="19" t="str">
        <f>IFERROR(IF(INDEX(MASTER!$B$4:$B$1463,MATCH(30,MASTER!$AA$4:$AA$1463,0))="","-",INDEX(MASTER!$B$4:$B$1463,MATCH(30,MASTER!$AA$4:$AA$1463,0))),"-")</f>
        <v>VANGUARD</v>
      </c>
      <c r="R35" s="19" t="str">
        <f>IFERROR(IF(INDEX(MASTER!$E$4:$E$1463,MATCH(30,MASTER!$AA$4:$AA$1463,0))="","-",INDEX(MASTER!$E$4:$E$1463,MATCH(30,MASTER!$AA$4:$AA$1463,0))),"-")</f>
        <v>DEMON HUNTER</v>
      </c>
      <c r="S35" s="21">
        <f>IFERROR(IF(INDEX(MASTER!$N$4:$N$1463,MATCH(30,MASTER!$AA$4:$AA$1463,0))="","-",INDEX(MASTER!$N$4:$N$1463,MATCH(30,MASTER!$AA$4:$AA$1463,0))),"-")</f>
        <v>83.2</v>
      </c>
      <c r="T35" s="19" t="str">
        <f>IFERROR(IF(INDEX(MASTER!$O$4:$O$1463,MATCH(30,MASTER!$AA$4:$AA$1463,0))="","-",INDEX(MASTER!$O$4:$O$1463,MATCH(30,MASTER!$AA$4:$AA$1463,0))),"-")</f>
        <v>S+</v>
      </c>
    </row>
    <row r="38" spans="1:20" ht="19.5" customHeight="1">
      <c r="A38" s="91" t="s">
        <v>134</v>
      </c>
      <c r="B38" s="91"/>
      <c r="C38" s="91"/>
      <c r="D38" s="91"/>
      <c r="E38" s="91"/>
      <c r="F38" s="91"/>
      <c r="H38" s="91" t="s">
        <v>135</v>
      </c>
      <c r="I38" s="91"/>
      <c r="J38" s="91"/>
      <c r="K38" s="91"/>
      <c r="L38" s="91"/>
      <c r="M38" s="91"/>
    </row>
    <row r="39" spans="1:20" ht="27.75" customHeight="1">
      <c r="A39" s="13" t="s">
        <v>127</v>
      </c>
      <c r="B39" s="13" t="s">
        <v>128</v>
      </c>
      <c r="C39" s="13" t="s">
        <v>44</v>
      </c>
      <c r="D39" s="13" t="s">
        <v>68</v>
      </c>
      <c r="E39" s="13" t="s">
        <v>129</v>
      </c>
      <c r="F39" s="13" t="s">
        <v>63</v>
      </c>
      <c r="H39" s="13"/>
      <c r="I39" s="13" t="s">
        <v>44</v>
      </c>
      <c r="J39" s="13" t="s">
        <v>45</v>
      </c>
      <c r="K39" s="13" t="s">
        <v>70</v>
      </c>
      <c r="L39" s="13" t="s">
        <v>136</v>
      </c>
      <c r="M39" s="13" t="s">
        <v>46</v>
      </c>
    </row>
    <row r="40" spans="1:20">
      <c r="A40" s="31">
        <v>1</v>
      </c>
      <c r="B40" s="30" t="str">
        <f>IFERROR(IF(INDEX(MASTER!$C$4:$C$1463,MATCH("FUCT|1",MASTER!$Y$4:$Y$1463,0))="","-",INDEX(MASTER!$C$4:$C$1463,MATCH("FUCT|1",MASTER!$Y$4:$Y$1463,0))),"-")</f>
        <v>Wulf</v>
      </c>
      <c r="C40" s="38" t="s">
        <v>66</v>
      </c>
      <c r="D40" s="31" t="str">
        <f>IFERROR(IF(INDEX(MASTER!$E$4:$E$1463,MATCH("FUCT|1",MASTER!$Y$4:$Y$1463,0))="","-",INDEX(MASTER!$E$4:$E$1463,MATCH("FUCT|1",MASTER!$Y$4:$Y$1463,0))),"-")</f>
        <v>BARBARIAN</v>
      </c>
      <c r="E40" s="39">
        <f>IFERROR(IF(INDEX(MASTER!$I$4:$I$1463,MATCH("FUCT|1",MASTER!$Y$4:$Y$1463,0))="","-",INDEX(MASTER!$I$4:$I$1463,MATCH("FUCT|1",MASTER!$Y$4:$Y$1463,0))),"-")</f>
        <v>11602</v>
      </c>
      <c r="F40" s="31" t="str">
        <f>IFERROR(IF(INDEX(MASTER!$J$4:$J$1463,MATCH("FUCT|1",MASTER!$Y$4:$Y$1463,0))="","-",INDEX(MASTER!$J$4:$J$1463,MATCH("FUCT|1",MASTER!$Y$4:$Y$1463,0))),"-")</f>
        <v>APEX</v>
      </c>
      <c r="H40" s="40"/>
      <c r="I40" s="30" t="s">
        <v>66</v>
      </c>
      <c r="J40" s="31" t="s">
        <v>104</v>
      </c>
      <c r="K40" s="39">
        <f>IFERROR(ROUND(AVERAGEIFS(MASTER!$I:$I,MASTER!$B:$B,$I40),0),"-")</f>
        <v>5214</v>
      </c>
      <c r="L40" s="39">
        <f>IFERROR(_xlfn.MAXIFS(MASTER!$I:$I,MASTER!$B:$B,$I40),"-")</f>
        <v>11602</v>
      </c>
      <c r="M40" s="39">
        <f>COUNTIF(MASTER!$B:$B,$I40)</f>
        <v>99</v>
      </c>
    </row>
    <row r="41" spans="1:20">
      <c r="A41" s="31">
        <v>2</v>
      </c>
      <c r="B41" s="30" t="str">
        <f>IFERROR(IF(INDEX(MASTER!$C$4:$C$1463,MATCH("FUCT|2",MASTER!$Y$4:$Y$1463,0))="","-",INDEX(MASTER!$C$4:$C$1463,MATCH("FUCT|2",MASTER!$Y$4:$Y$1463,0))),"-")</f>
        <v>Dax</v>
      </c>
      <c r="C41" s="38"/>
      <c r="D41" s="31" t="str">
        <f>IFERROR(IF(INDEX(MASTER!$E$4:$E$1463,MATCH("FUCT|2",MASTER!$Y$4:$Y$1463,0))="","-",INDEX(MASTER!$E$4:$E$1463,MATCH("FUCT|2",MASTER!$Y$4:$Y$1463,0))),"-")</f>
        <v>BARBARIAN</v>
      </c>
      <c r="E41" s="39">
        <f>IFERROR(IF(INDEX(MASTER!$I$4:$I$1463,MATCH("FUCT|2",MASTER!$Y$4:$Y$1463,0))="","-",INDEX(MASTER!$I$4:$I$1463,MATCH("FUCT|2",MASTER!$Y$4:$Y$1463,0))),"-")</f>
        <v>10376</v>
      </c>
      <c r="F41" s="31" t="str">
        <f>IFERROR(IF(INDEX(MASTER!$J$4:$J$1463,MATCH("FUCT|2",MASTER!$Y$4:$Y$1463,0))="","-",INDEX(MASTER!$J$4:$J$1463,MATCH("FUCT|2",MASTER!$Y$4:$Y$1463,0))),"-")</f>
        <v>APEX</v>
      </c>
      <c r="H41" s="41"/>
      <c r="I41" s="14" t="s">
        <v>105</v>
      </c>
      <c r="J41" s="15" t="s">
        <v>106</v>
      </c>
      <c r="K41" s="16">
        <f>IFERROR(ROUND(AVERAGEIFS(MASTER!$I:$I,MASTER!$B:$B,$I41),0),"-")</f>
        <v>5539</v>
      </c>
      <c r="L41" s="16">
        <f>IFERROR(_xlfn.MAXIFS(MASTER!$I:$I,MASTER!$B:$B,$I41),"-")</f>
        <v>11601</v>
      </c>
      <c r="M41" s="16">
        <f>COUNTIF(MASTER!$B:$B,$I41)</f>
        <v>100</v>
      </c>
    </row>
    <row r="42" spans="1:20">
      <c r="A42" s="31">
        <v>3</v>
      </c>
      <c r="B42" s="30" t="str">
        <f>IFERROR(IF(INDEX(MASTER!$C$4:$C$1463,MATCH("FUCT|3",MASTER!$Y$4:$Y$1463,0))="","-",INDEX(MASTER!$C$4:$C$1463,MATCH("FUCT|3",MASTER!$Y$4:$Y$1463,0))),"-")</f>
        <v>SpinDieseI</v>
      </c>
      <c r="C42" s="38"/>
      <c r="D42" s="31" t="str">
        <f>IFERROR(IF(INDEX(MASTER!$E$4:$E$1463,MATCH("FUCT|3",MASTER!$Y$4:$Y$1463,0))="","-",INDEX(MASTER!$E$4:$E$1463,MATCH("FUCT|3",MASTER!$Y$4:$Y$1463,0))),"-")</f>
        <v>DEMON HUNTER</v>
      </c>
      <c r="E42" s="39">
        <f>IFERROR(IF(INDEX(MASTER!$I$4:$I$1463,MATCH("FUCT|3",MASTER!$Y$4:$Y$1463,0))="","-",INDEX(MASTER!$I$4:$I$1463,MATCH("FUCT|3",MASTER!$Y$4:$Y$1463,0))),"-")</f>
        <v>10332</v>
      </c>
      <c r="F42" s="31" t="str">
        <f>IFERROR(IF(INDEX(MASTER!$J$4:$J$1463,MATCH("FUCT|3",MASTER!$Y$4:$Y$1463,0))="","-",INDEX(MASTER!$J$4:$J$1463,MATCH("FUCT|3",MASTER!$Y$4:$Y$1463,0))),"-")</f>
        <v>APEX</v>
      </c>
      <c r="H42" s="1"/>
      <c r="I42" s="18" t="s">
        <v>86</v>
      </c>
      <c r="J42" s="19" t="s">
        <v>106</v>
      </c>
      <c r="K42" s="20">
        <f>IFERROR(ROUND(AVERAGEIFS(MASTER!$I:$I,MASTER!$B:$B,$I42),0),"-")</f>
        <v>6666</v>
      </c>
      <c r="L42" s="20">
        <f>IFERROR(_xlfn.MAXIFS(MASTER!$I:$I,MASTER!$B:$B,$I42),"-")</f>
        <v>10905</v>
      </c>
      <c r="M42" s="20">
        <f>COUNTIF(MASTER!$B:$B,$I42)</f>
        <v>95</v>
      </c>
    </row>
    <row r="43" spans="1:20">
      <c r="A43" s="15">
        <v>1</v>
      </c>
      <c r="B43" s="14" t="str">
        <f>IFERROR(IF(INDEX(MASTER!$C$4:$C$1463,MATCH("LEGENDS|1",MASTER!$Y$4:$Y$1463,0))="","-",INDEX(MASTER!$C$4:$C$1463,MATCH("LEGENDS|1",MASTER!$Y$4:$Y$1463,0))),"-")</f>
        <v>Deeds</v>
      </c>
      <c r="C43" s="42" t="s">
        <v>105</v>
      </c>
      <c r="D43" s="15" t="str">
        <f>IFERROR(IF(INDEX(MASTER!$E$4:$E$1463,MATCH("LEGENDS|1",MASTER!$Y$4:$Y$1463,0))="","-",INDEX(MASTER!$E$4:$E$1463,MATCH("LEGENDS|1",MASTER!$Y$4:$Y$1463,0))),"-")</f>
        <v>BARBARIAN</v>
      </c>
      <c r="E43" s="16">
        <f>IFERROR(IF(INDEX(MASTER!$I$4:$I$1463,MATCH("LEGENDS|1",MASTER!$Y$4:$Y$1463,0))="","-",INDEX(MASTER!$I$4:$I$1463,MATCH("LEGENDS|1",MASTER!$Y$4:$Y$1463,0))),"-")</f>
        <v>11601</v>
      </c>
      <c r="F43" s="15" t="str">
        <f>IFERROR(IF(INDEX(MASTER!$J$4:$J$1463,MATCH("LEGENDS|1",MASTER!$Y$4:$Y$1463,0))="","-",INDEX(MASTER!$J$4:$J$1463,MATCH("LEGENDS|1",MASTER!$Y$4:$Y$1463,0))),"-")</f>
        <v>APEX</v>
      </c>
      <c r="H43" s="41"/>
      <c r="I43" s="14" t="s">
        <v>107</v>
      </c>
      <c r="J43" s="15" t="s">
        <v>106</v>
      </c>
      <c r="K43" s="16">
        <f>IFERROR(ROUND(AVERAGEIFS(MASTER!$I:$I,MASTER!$B:$B,$I43),0),"-")</f>
        <v>4582</v>
      </c>
      <c r="L43" s="16">
        <f>IFERROR(_xlfn.MAXIFS(MASTER!$I:$I,MASTER!$B:$B,$I43),"-")</f>
        <v>10023</v>
      </c>
      <c r="M43" s="16">
        <f>COUNTIF(MASTER!$B:$B,$I43)</f>
        <v>96</v>
      </c>
    </row>
    <row r="44" spans="1:20">
      <c r="A44" s="15">
        <v>2</v>
      </c>
      <c r="B44" s="14" t="str">
        <f>IFERROR(IF(INDEX(MASTER!$C$4:$C$1463,MATCH("LEGENDS|2",MASTER!$Y$4:$Y$1463,0))="","-",INDEX(MASTER!$C$4:$C$1463,MATCH("LEGENDS|2",MASTER!$Y$4:$Y$1463,0))),"-")</f>
        <v>ANDROID18</v>
      </c>
      <c r="C44" s="42"/>
      <c r="D44" s="15" t="str">
        <f>IFERROR(IF(INDEX(MASTER!$E$4:$E$1463,MATCH("LEGENDS|2",MASTER!$Y$4:$Y$1463,0))="","-",INDEX(MASTER!$E$4:$E$1463,MATCH("LEGENDS|2",MASTER!$Y$4:$Y$1463,0))),"-")</f>
        <v>DEMON HUNTER</v>
      </c>
      <c r="E44" s="16">
        <f>IFERROR(IF(INDEX(MASTER!$I$4:$I$1463,MATCH("LEGENDS|2",MASTER!$Y$4:$Y$1463,0))="","-",INDEX(MASTER!$I$4:$I$1463,MATCH("LEGENDS|2",MASTER!$Y$4:$Y$1463,0))),"-")</f>
        <v>11001</v>
      </c>
      <c r="F44" s="15" t="str">
        <f>IFERROR(IF(INDEX(MASTER!$J$4:$J$1463,MATCH("LEGENDS|2",MASTER!$Y$4:$Y$1463,0))="","-",INDEX(MASTER!$J$4:$J$1463,MATCH("LEGENDS|2",MASTER!$Y$4:$Y$1463,0))),"-")</f>
        <v>APEX</v>
      </c>
      <c r="H44" s="1"/>
      <c r="I44" s="18" t="s">
        <v>108</v>
      </c>
      <c r="J44" s="19" t="s">
        <v>109</v>
      </c>
      <c r="K44" s="20">
        <f>IFERROR(ROUND(AVERAGEIFS(MASTER!$I:$I,MASTER!$B:$B,$I44),0),"-")</f>
        <v>6056</v>
      </c>
      <c r="L44" s="20">
        <f>IFERROR(_xlfn.MAXIFS(MASTER!$I:$I,MASTER!$B:$B,$I44),"-")</f>
        <v>12383</v>
      </c>
      <c r="M44" s="20">
        <f>COUNTIF(MASTER!$B:$B,$I44)</f>
        <v>97</v>
      </c>
    </row>
    <row r="45" spans="1:20">
      <c r="A45" s="15">
        <v>3</v>
      </c>
      <c r="B45" s="14" t="str">
        <f>IFERROR(IF(INDEX(MASTER!$C$4:$C$1463,MATCH("LEGENDS|3",MASTER!$Y$4:$Y$1463,0))="","-",INDEX(MASTER!$C$4:$C$1463,MATCH("LEGENDS|3",MASTER!$Y$4:$Y$1463,0))),"-")</f>
        <v>ROSHI</v>
      </c>
      <c r="C45" s="42"/>
      <c r="D45" s="15" t="str">
        <f>IFERROR(IF(INDEX(MASTER!$E$4:$E$1463,MATCH("LEGENDS|3",MASTER!$Y$4:$Y$1463,0))="","-",INDEX(MASTER!$E$4:$E$1463,MATCH("LEGENDS|3",MASTER!$Y$4:$Y$1463,0))),"-")</f>
        <v>WARLOCK</v>
      </c>
      <c r="E45" s="16">
        <f>IFERROR(IF(INDEX(MASTER!$I$4:$I$1463,MATCH("LEGENDS|3",MASTER!$Y$4:$Y$1463,0))="","-",INDEX(MASTER!$I$4:$I$1463,MATCH("LEGENDS|3",MASTER!$Y$4:$Y$1463,0))),"-")</f>
        <v>10652</v>
      </c>
      <c r="F45" s="15" t="str">
        <f>IFERROR(IF(INDEX(MASTER!$J$4:$J$1463,MATCH("LEGENDS|3",MASTER!$Y$4:$Y$1463,0))="","-",INDEX(MASTER!$J$4:$J$1463,MATCH("LEGENDS|3",MASTER!$Y$4:$Y$1463,0))),"-")</f>
        <v>APEX</v>
      </c>
      <c r="H45" s="41"/>
      <c r="I45" s="14" t="s">
        <v>110</v>
      </c>
      <c r="J45" s="15" t="s">
        <v>109</v>
      </c>
      <c r="K45" s="16">
        <f>IFERROR(ROUND(AVERAGEIFS(MASTER!$I:$I,MASTER!$B:$B,$I45),0),"-")</f>
        <v>5754</v>
      </c>
      <c r="L45" s="16">
        <f>IFERROR(_xlfn.MAXIFS(MASTER!$I:$I,MASTER!$B:$B,$I45),"-")</f>
        <v>12511</v>
      </c>
      <c r="M45" s="16">
        <f>COUNTIF(MASTER!$B:$B,$I45)</f>
        <v>102</v>
      </c>
    </row>
    <row r="46" spans="1:20">
      <c r="A46" s="19">
        <v>1</v>
      </c>
      <c r="B46" s="18" t="str">
        <f>IFERROR(IF(INDEX(MASTER!$C$4:$C$1463,MATCH("VANGUARD|1",MASTER!$Y$4:$Y$1463,0))="","-",INDEX(MASTER!$C$4:$C$1463,MATCH("VANGUARD|1",MASTER!$Y$4:$Y$1463,0))),"-")</f>
        <v>Orionpax</v>
      </c>
      <c r="C46" s="43" t="s">
        <v>86</v>
      </c>
      <c r="D46" s="19" t="str">
        <f>IFERROR(IF(INDEX(MASTER!$E$4:$E$1463,MATCH("VANGUARD|1",MASTER!$Y$4:$Y$1463,0))="","-",INDEX(MASTER!$E$4:$E$1463,MATCH("VANGUARD|1",MASTER!$Y$4:$Y$1463,0))),"-")</f>
        <v>CRUSADER</v>
      </c>
      <c r="E46" s="20">
        <f>IFERROR(IF(INDEX(MASTER!$I$4:$I$1463,MATCH("VANGUARD|1",MASTER!$Y$4:$Y$1463,0))="","-",INDEX(MASTER!$I$4:$I$1463,MATCH("VANGUARD|1",MASTER!$Y$4:$Y$1463,0))),"-")</f>
        <v>10905</v>
      </c>
      <c r="F46" s="19" t="str">
        <f>IFERROR(IF(INDEX(MASTER!$J$4:$J$1463,MATCH("VANGUARD|1",MASTER!$Y$4:$Y$1463,0))="","-",INDEX(MASTER!$J$4:$J$1463,MATCH("VANGUARD|1",MASTER!$Y$4:$Y$1463,0))),"-")</f>
        <v>APEX</v>
      </c>
      <c r="H46" s="1"/>
      <c r="I46" s="18" t="s">
        <v>111</v>
      </c>
      <c r="J46" s="19" t="s">
        <v>109</v>
      </c>
      <c r="K46" s="20">
        <f>IFERROR(ROUND(AVERAGEIFS(MASTER!$I:$I,MASTER!$B:$B,$I46),0),"-")</f>
        <v>5541</v>
      </c>
      <c r="L46" s="20">
        <f>IFERROR(_xlfn.MAXIFS(MASTER!$I:$I,MASTER!$B:$B,$I46),"-")</f>
        <v>11024</v>
      </c>
      <c r="M46" s="20">
        <f>COUNTIF(MASTER!$B:$B,$I46)</f>
        <v>97</v>
      </c>
    </row>
    <row r="47" spans="1:20">
      <c r="A47" s="19">
        <v>2</v>
      </c>
      <c r="B47" s="18" t="str">
        <f>IFERROR(IF(INDEX(MASTER!$C$4:$C$1463,MATCH("VANGUARD|2",MASTER!$Y$4:$Y$1463,0))="","-",INDEX(MASTER!$C$4:$C$1463,MATCH("VANGUARD|2",MASTER!$Y$4:$Y$1463,0))),"-")</f>
        <v>Furealz</v>
      </c>
      <c r="C47" s="43"/>
      <c r="D47" s="19" t="str">
        <f>IFERROR(IF(INDEX(MASTER!$E$4:$E$1463,MATCH("VANGUARD|2",MASTER!$Y$4:$Y$1463,0))="","-",INDEX(MASTER!$E$4:$E$1463,MATCH("VANGUARD|2",MASTER!$Y$4:$Y$1463,0))),"-")</f>
        <v>WARLOCK</v>
      </c>
      <c r="E47" s="20">
        <f>IFERROR(IF(INDEX(MASTER!$I$4:$I$1463,MATCH("VANGUARD|2",MASTER!$Y$4:$Y$1463,0))="","-",INDEX(MASTER!$I$4:$I$1463,MATCH("VANGUARD|2",MASTER!$Y$4:$Y$1463,0))),"-")</f>
        <v>10352</v>
      </c>
      <c r="F47" s="19" t="str">
        <f>IFERROR(IF(INDEX(MASTER!$J$4:$J$1463,MATCH("VANGUARD|2",MASTER!$Y$4:$Y$1463,0))="","-",INDEX(MASTER!$J$4:$J$1463,MATCH("VANGUARD|2",MASTER!$Y$4:$Y$1463,0))),"-")</f>
        <v>APEX</v>
      </c>
      <c r="H47" s="41"/>
      <c r="I47" s="14" t="s">
        <v>112</v>
      </c>
      <c r="J47" s="15" t="s">
        <v>109</v>
      </c>
      <c r="K47" s="16">
        <f>IFERROR(ROUND(AVERAGEIFS(MASTER!$I:$I,MASTER!$B:$B,$I47),0),"-")</f>
        <v>4133</v>
      </c>
      <c r="L47" s="16">
        <f>IFERROR(_xlfn.MAXIFS(MASTER!$I:$I,MASTER!$B:$B,$I47),"-")</f>
        <v>10705</v>
      </c>
      <c r="M47" s="16">
        <f>COUNTIF(MASTER!$B:$B,$I47)</f>
        <v>96</v>
      </c>
    </row>
    <row r="48" spans="1:20">
      <c r="A48" s="19">
        <v>3</v>
      </c>
      <c r="B48" s="18" t="str">
        <f>IFERROR(IF(INDEX(MASTER!$C$4:$C$1463,MATCH("VANGUARD|3",MASTER!$Y$4:$Y$1463,0))="","-",INDEX(MASTER!$C$4:$C$1463,MATCH("VANGUARD|3",MASTER!$Y$4:$Y$1463,0))),"-")</f>
        <v>Dino</v>
      </c>
      <c r="C48" s="43"/>
      <c r="D48" s="19" t="str">
        <f>IFERROR(IF(INDEX(MASTER!$E$4:$E$1463,MATCH("VANGUARD|3",MASTER!$Y$4:$Y$1463,0))="","-",INDEX(MASTER!$E$4:$E$1463,MATCH("VANGUARD|3",MASTER!$Y$4:$Y$1463,0))),"-")</f>
        <v>BARBARIAN</v>
      </c>
      <c r="E48" s="20">
        <f>IFERROR(IF(INDEX(MASTER!$I$4:$I$1463,MATCH("VANGUARD|3",MASTER!$Y$4:$Y$1463,0))="","-",INDEX(MASTER!$I$4:$I$1463,MATCH("VANGUARD|3",MASTER!$Y$4:$Y$1463,0))),"-")</f>
        <v>10306</v>
      </c>
      <c r="F48" s="19" t="str">
        <f>IFERROR(IF(INDEX(MASTER!$J$4:$J$1463,MATCH("VANGUARD|3",MASTER!$Y$4:$Y$1463,0))="","-",INDEX(MASTER!$J$4:$J$1463,MATCH("VANGUARD|3",MASTER!$Y$4:$Y$1463,0))),"-")</f>
        <v>APEX</v>
      </c>
      <c r="H48" s="1"/>
      <c r="I48" s="18" t="s">
        <v>113</v>
      </c>
      <c r="J48" s="19" t="s">
        <v>109</v>
      </c>
      <c r="K48" s="20">
        <f>IFERROR(ROUND(AVERAGEIFS(MASTER!$I:$I,MASTER!$B:$B,$I48),0),"-")</f>
        <v>3415</v>
      </c>
      <c r="L48" s="20">
        <f>IFERROR(_xlfn.MAXIFS(MASTER!$I:$I,MASTER!$B:$B,$I48),"-")</f>
        <v>9752</v>
      </c>
      <c r="M48" s="20">
        <f>COUNTIF(MASTER!$B:$B,$I48)</f>
        <v>100</v>
      </c>
    </row>
    <row r="49" spans="1:13">
      <c r="A49" s="15">
        <v>1</v>
      </c>
      <c r="B49" s="14" t="str">
        <f>IFERROR(IF(INDEX(MASTER!$C$4:$C$1463,MATCH("UNDYING|1",MASTER!$Y$4:$Y$1463,0))="","-",INDEX(MASTER!$C$4:$C$1463,MATCH("UNDYING|1",MASTER!$Y$4:$Y$1463,0))),"-")</f>
        <v>BOR- Zeroth</v>
      </c>
      <c r="C49" s="42" t="s">
        <v>107</v>
      </c>
      <c r="D49" s="15" t="str">
        <f>IFERROR(IF(INDEX(MASTER!$E$4:$E$1463,MATCH("UNDYING|1",MASTER!$Y$4:$Y$1463,0))="","-",INDEX(MASTER!$E$4:$E$1463,MATCH("UNDYING|1",MASTER!$Y$4:$Y$1463,0))),"-")</f>
        <v>DEMON HUNTER</v>
      </c>
      <c r="E49" s="16">
        <f>IFERROR(IF(INDEX(MASTER!$I$4:$I$1463,MATCH("UNDYING|1",MASTER!$Y$4:$Y$1463,0))="","-",INDEX(MASTER!$I$4:$I$1463,MATCH("UNDYING|1",MASTER!$Y$4:$Y$1463,0))),"-")</f>
        <v>10023</v>
      </c>
      <c r="F49" s="15" t="str">
        <f>IFERROR(IF(INDEX(MASTER!$J$4:$J$1463,MATCH("UNDYING|1",MASTER!$Y$4:$Y$1463,0))="","-",INDEX(MASTER!$J$4:$J$1463,MATCH("UNDYING|1",MASTER!$Y$4:$Y$1463,0))),"-")</f>
        <v>APEX</v>
      </c>
      <c r="H49" s="41"/>
      <c r="I49" s="14" t="s">
        <v>114</v>
      </c>
      <c r="J49" s="15" t="s">
        <v>109</v>
      </c>
      <c r="K49" s="16">
        <f>IFERROR(ROUND(AVERAGEIFS(MASTER!$I:$I,MASTER!$B:$B,$I49),0),"-")</f>
        <v>2318</v>
      </c>
      <c r="L49" s="16">
        <f>IFERROR(_xlfn.MAXIFS(MASTER!$I:$I,MASTER!$B:$B,$I49),"-")</f>
        <v>5260</v>
      </c>
      <c r="M49" s="16">
        <f>COUNTIF(MASTER!$B:$B,$I49)</f>
        <v>97</v>
      </c>
    </row>
    <row r="50" spans="1:13">
      <c r="A50" s="15">
        <v>2</v>
      </c>
      <c r="B50" s="14" t="str">
        <f>IFERROR(IF(INDEX(MASTER!$C$4:$C$1463,MATCH("UNDYING|2",MASTER!$Y$4:$Y$1463,0))="","-",INDEX(MASTER!$C$4:$C$1463,MATCH("UNDYING|2",MASTER!$Y$4:$Y$1463,0))),"-")</f>
        <v>billd</v>
      </c>
      <c r="C50" s="42"/>
      <c r="D50" s="15" t="str">
        <f>IFERROR(IF(INDEX(MASTER!$E$4:$E$1463,MATCH("UNDYING|2",MASTER!$Y$4:$Y$1463,0))="","-",INDEX(MASTER!$E$4:$E$1463,MATCH("UNDYING|2",MASTER!$Y$4:$Y$1463,0))),"-")</f>
        <v>BARBARIAN</v>
      </c>
      <c r="E50" s="16">
        <f>IFERROR(IF(INDEX(MASTER!$I$4:$I$1463,MATCH("UNDYING|2",MASTER!$Y$4:$Y$1463,0))="","-",INDEX(MASTER!$I$4:$I$1463,MATCH("UNDYING|2",MASTER!$Y$4:$Y$1463,0))),"-")</f>
        <v>9637</v>
      </c>
      <c r="F50" s="15" t="str">
        <f>IFERROR(IF(INDEX(MASTER!$J$4:$J$1463,MATCH("UNDYING|2",MASTER!$Y$4:$Y$1463,0))="","-",INDEX(MASTER!$J$4:$J$1463,MATCH("UNDYING|2",MASTER!$Y$4:$Y$1463,0))),"-")</f>
        <v>ELITE</v>
      </c>
      <c r="H50" s="1"/>
      <c r="I50" s="18" t="s">
        <v>115</v>
      </c>
      <c r="J50" s="19" t="s">
        <v>109</v>
      </c>
      <c r="K50" s="20">
        <f>IFERROR(ROUND(AVERAGEIFS(MASTER!$I:$I,MASTER!$B:$B,$I50),0),"-")</f>
        <v>3056</v>
      </c>
      <c r="L50" s="20">
        <f>IFERROR(_xlfn.MAXIFS(MASTER!$I:$I,MASTER!$B:$B,$I50),"-")</f>
        <v>11094</v>
      </c>
      <c r="M50" s="20">
        <f>COUNTIF(MASTER!$B:$B,$I50)</f>
        <v>93</v>
      </c>
    </row>
    <row r="51" spans="1:13">
      <c r="A51" s="15">
        <v>3</v>
      </c>
      <c r="B51" s="14" t="str">
        <f>IFERROR(IF(INDEX(MASTER!$C$4:$C$1463,MATCH("UNDYING|3",MASTER!$Y$4:$Y$1463,0))="","-",INDEX(MASTER!$C$4:$C$1463,MATCH("UNDYING|3",MASTER!$Y$4:$Y$1463,0))),"-")</f>
        <v>KeynnyC</v>
      </c>
      <c r="C51" s="42"/>
      <c r="D51" s="15" t="str">
        <f>IFERROR(IF(INDEX(MASTER!$E$4:$E$1463,MATCH("UNDYING|3",MASTER!$Y$4:$Y$1463,0))="","-",INDEX(MASTER!$E$4:$E$1463,MATCH("UNDYING|3",MASTER!$Y$4:$Y$1463,0))),"-")</f>
        <v>CRUSADER</v>
      </c>
      <c r="E51" s="16">
        <f>IFERROR(IF(INDEX(MASTER!$I$4:$I$1463,MATCH("UNDYING|3",MASTER!$Y$4:$Y$1463,0))="","-",INDEX(MASTER!$I$4:$I$1463,MATCH("UNDYING|3",MASTER!$Y$4:$Y$1463,0))),"-")</f>
        <v>8843</v>
      </c>
      <c r="F51" s="15" t="str">
        <f>IFERROR(IF(INDEX(MASTER!$J$4:$J$1463,MATCH("UNDYING|3",MASTER!$Y$4:$Y$1463,0))="","-",INDEX(MASTER!$J$4:$J$1463,MATCH("UNDYING|3",MASTER!$Y$4:$Y$1463,0))),"-")</f>
        <v>ELITE</v>
      </c>
      <c r="H51" s="41"/>
      <c r="I51" s="14" t="s">
        <v>116</v>
      </c>
      <c r="J51" s="15" t="s">
        <v>109</v>
      </c>
      <c r="K51" s="16">
        <f>IFERROR(ROUND(AVERAGEIFS(MASTER!$I:$I,MASTER!$B:$B,$I51),0),"-")</f>
        <v>3603</v>
      </c>
      <c r="L51" s="16">
        <f>IFERROR(_xlfn.MAXIFS(MASTER!$I:$I,MASTER!$B:$B,$I51),"-")</f>
        <v>7759</v>
      </c>
      <c r="M51" s="16">
        <f>COUNTIF(MASTER!$B:$B,$I51)</f>
        <v>96</v>
      </c>
    </row>
    <row r="52" spans="1:13">
      <c r="A52" s="19">
        <v>1</v>
      </c>
      <c r="B52" s="18" t="str">
        <f>IFERROR(IF(INDEX(MASTER!$C$4:$C$1463,MATCH("SBG|1",MASTER!$Y$4:$Y$1463,0))="","-",INDEX(MASTER!$C$4:$C$1463,MATCH("SBG|1",MASTER!$Y$4:$Y$1463,0))),"-")</f>
        <v>Solorin</v>
      </c>
      <c r="C52" s="43" t="s">
        <v>108</v>
      </c>
      <c r="D52" s="19" t="str">
        <f>IFERROR(IF(INDEX(MASTER!$E$4:$E$1463,MATCH("SBG|1",MASTER!$Y$4:$Y$1463,0))="","-",INDEX(MASTER!$E$4:$E$1463,MATCH("SBG|1",MASTER!$Y$4:$Y$1463,0))),"-")</f>
        <v>BLOOD KNIGHT</v>
      </c>
      <c r="E52" s="20">
        <f>IFERROR(IF(INDEX(MASTER!$I$4:$I$1463,MATCH("SBG|1",MASTER!$Y$4:$Y$1463,0))="","-",INDEX(MASTER!$I$4:$I$1463,MATCH("SBG|1",MASTER!$Y$4:$Y$1463,0))),"-")</f>
        <v>12383</v>
      </c>
      <c r="F52" s="19" t="str">
        <f>IFERROR(IF(INDEX(MASTER!$J$4:$J$1463,MATCH("SBG|1",MASTER!$Y$4:$Y$1463,0))="","-",INDEX(MASTER!$J$4:$J$1463,MATCH("SBG|1",MASTER!$Y$4:$Y$1463,0))),"-")</f>
        <v>MYTHIC</v>
      </c>
      <c r="H52" s="1"/>
      <c r="I52" s="18" t="s">
        <v>117</v>
      </c>
      <c r="J52" s="19" t="s">
        <v>109</v>
      </c>
      <c r="K52" s="20">
        <f>IFERROR(ROUND(AVERAGEIFS(MASTER!$I:$I,MASTER!$B:$B,$I52),0),"-")</f>
        <v>2098</v>
      </c>
      <c r="L52" s="20">
        <f>IFERROR(_xlfn.MAXIFS(MASTER!$I:$I,MASTER!$B:$B,$I52),"-")</f>
        <v>4790</v>
      </c>
      <c r="M52" s="20">
        <f>COUNTIF(MASTER!$B:$B,$I52)</f>
        <v>94</v>
      </c>
    </row>
    <row r="53" spans="1:13">
      <c r="A53" s="19">
        <v>2</v>
      </c>
      <c r="B53" s="18" t="str">
        <f>IFERROR(IF(INDEX(MASTER!$C$4:$C$1463,MATCH("SBG|2",MASTER!$Y$4:$Y$1463,0))="","-",INDEX(MASTER!$C$4:$C$1463,MATCH("SBG|2",MASTER!$Y$4:$Y$1463,0))),"-")</f>
        <v>Rizzy</v>
      </c>
      <c r="C53" s="43"/>
      <c r="D53" s="19" t="str">
        <f>IFERROR(IF(INDEX(MASTER!$E$4:$E$1463,MATCH("SBG|2",MASTER!$Y$4:$Y$1463,0))="","-",INDEX(MASTER!$E$4:$E$1463,MATCH("SBG|2",MASTER!$Y$4:$Y$1463,0))),"-")</f>
        <v>WARLOCK</v>
      </c>
      <c r="E53" s="20">
        <f>IFERROR(IF(INDEX(MASTER!$I$4:$I$1463,MATCH("SBG|2",MASTER!$Y$4:$Y$1463,0))="","-",INDEX(MASTER!$I$4:$I$1463,MATCH("SBG|2",MASTER!$Y$4:$Y$1463,0))),"-")</f>
        <v>11448</v>
      </c>
      <c r="F53" s="19" t="str">
        <f>IFERROR(IF(INDEX(MASTER!$J$4:$J$1463,MATCH("SBG|2",MASTER!$Y$4:$Y$1463,0))="","-",INDEX(MASTER!$J$4:$J$1463,MATCH("SBG|2",MASTER!$Y$4:$Y$1463,0))),"-")</f>
        <v>APEX</v>
      </c>
      <c r="H53" s="41"/>
      <c r="I53" s="14" t="s">
        <v>118</v>
      </c>
      <c r="J53" s="15" t="s">
        <v>109</v>
      </c>
      <c r="K53" s="16">
        <f>IFERROR(ROUND(AVERAGEIFS(MASTER!$I:$I,MASTER!$B:$B,$I53),0),"-")</f>
        <v>2100</v>
      </c>
      <c r="L53" s="16">
        <f>IFERROR(_xlfn.MAXIFS(MASTER!$I:$I,MASTER!$B:$B,$I53),"-")</f>
        <v>8652</v>
      </c>
      <c r="M53" s="16">
        <f>COUNTIF(MASTER!$B:$B,$I53)</f>
        <v>98</v>
      </c>
    </row>
    <row r="54" spans="1:13">
      <c r="A54" s="19">
        <v>3</v>
      </c>
      <c r="B54" s="18" t="str">
        <f>IFERROR(IF(INDEX(MASTER!$C$4:$C$1463,MATCH("SBG|3",MASTER!$Y$4:$Y$1463,0))="","-",INDEX(MASTER!$C$4:$C$1463,MATCH("SBG|3",MASTER!$Y$4:$Y$1463,0))),"-")</f>
        <v>BoneCrusher</v>
      </c>
      <c r="C54" s="43"/>
      <c r="D54" s="19" t="str">
        <f>IFERROR(IF(INDEX(MASTER!$E$4:$E$1463,MATCH("SBG|3",MASTER!$Y$4:$Y$1463,0))="","-",INDEX(MASTER!$E$4:$E$1463,MATCH("SBG|3",MASTER!$Y$4:$Y$1463,0))),"-")</f>
        <v>CRUSADER</v>
      </c>
      <c r="E54" s="20">
        <f>IFERROR(IF(INDEX(MASTER!$I$4:$I$1463,MATCH("SBG|3",MASTER!$Y$4:$Y$1463,0))="","-",INDEX(MASTER!$I$4:$I$1463,MATCH("SBG|3",MASTER!$Y$4:$Y$1463,0))),"-")</f>
        <v>11256</v>
      </c>
      <c r="F54" s="19" t="str">
        <f>IFERROR(IF(INDEX(MASTER!$J$4:$J$1463,MATCH("SBG|3",MASTER!$Y$4:$Y$1463,0))="","-",INDEX(MASTER!$J$4:$J$1463,MATCH("SBG|3",MASTER!$Y$4:$Y$1463,0))),"-")</f>
        <v>APEX</v>
      </c>
    </row>
    <row r="55" spans="1:13">
      <c r="A55" s="15">
        <v>1</v>
      </c>
      <c r="B55" s="14" t="str">
        <f>IFERROR(IF(INDEX(MASTER!$C$4:$C$1463,MATCH("AZUKI|1",MASTER!$Y$4:$Y$1463,0))="","-",INDEX(MASTER!$C$4:$C$1463,MATCH("AZUKI|1",MASTER!$Y$4:$Y$1463,0))),"-")</f>
        <v>AMBER</v>
      </c>
      <c r="C55" s="42" t="s">
        <v>110</v>
      </c>
      <c r="D55" s="15" t="str">
        <f>IFERROR(IF(INDEX(MASTER!$E$4:$E$1463,MATCH("AZUKI|1",MASTER!$Y$4:$Y$1463,0))="","-",INDEX(MASTER!$E$4:$E$1463,MATCH("AZUKI|1",MASTER!$Y$4:$Y$1463,0))),"-")</f>
        <v>CRUSADER</v>
      </c>
      <c r="E55" s="16">
        <f>IFERROR(IF(INDEX(MASTER!$I$4:$I$1463,MATCH("AZUKI|1",MASTER!$Y$4:$Y$1463,0))="","-",INDEX(MASTER!$I$4:$I$1463,MATCH("AZUKI|1",MASTER!$Y$4:$Y$1463,0))),"-")</f>
        <v>12511</v>
      </c>
      <c r="F55" s="15" t="str">
        <f>IFERROR(IF(INDEX(MASTER!$J$4:$J$1463,MATCH("AZUKI|1",MASTER!$Y$4:$Y$1463,0))="","-",INDEX(MASTER!$J$4:$J$1463,MATCH("AZUKI|1",MASTER!$Y$4:$Y$1463,0))),"-")</f>
        <v>MYTHIC</v>
      </c>
    </row>
    <row r="56" spans="1:13">
      <c r="A56" s="15">
        <v>2</v>
      </c>
      <c r="B56" s="14" t="str">
        <f>IFERROR(IF(INDEX(MASTER!$C$4:$C$1463,MATCH("AZUKI|2",MASTER!$Y$4:$Y$1463,0))="","-",INDEX(MASTER!$C$4:$C$1463,MATCH("AZUKI|2",MASTER!$Y$4:$Y$1463,0))),"-")</f>
        <v>AMBÉRTURD</v>
      </c>
      <c r="C56" s="42"/>
      <c r="D56" s="15" t="str">
        <f>IFERROR(IF(INDEX(MASTER!$E$4:$E$1463,MATCH("AZUKI|2",MASTER!$Y$4:$Y$1463,0))="","-",INDEX(MASTER!$E$4:$E$1463,MATCH("AZUKI|2",MASTER!$Y$4:$Y$1463,0))),"-")</f>
        <v>CRUSADER</v>
      </c>
      <c r="E56" s="16">
        <f>IFERROR(IF(INDEX(MASTER!$I$4:$I$1463,MATCH("AZUKI|2",MASTER!$Y$4:$Y$1463,0))="","-",INDEX(MASTER!$I$4:$I$1463,MATCH("AZUKI|2",MASTER!$Y$4:$Y$1463,0))),"-")</f>
        <v>12511</v>
      </c>
      <c r="F56" s="15" t="str">
        <f>IFERROR(IF(INDEX(MASTER!$J$4:$J$1463,MATCH("AZUKI|2",MASTER!$Y$4:$Y$1463,0))="","-",INDEX(MASTER!$J$4:$J$1463,MATCH("AZUKI|2",MASTER!$Y$4:$Y$1463,0))),"-")</f>
        <v>MYTHIC</v>
      </c>
    </row>
    <row r="57" spans="1:13">
      <c r="A57" s="15">
        <v>3</v>
      </c>
      <c r="B57" s="14" t="str">
        <f>IFERROR(IF(INDEX(MASTER!$C$4:$C$1463,MATCH("AZUKI|3",MASTER!$Y$4:$Y$1463,0))="","-",INDEX(MASTER!$C$4:$C$1463,MATCH("AZUKI|3",MASTER!$Y$4:$Y$1463,0))),"-")</f>
        <v>GmanbcAlth</v>
      </c>
      <c r="C57" s="42"/>
      <c r="D57" s="15" t="str">
        <f>IFERROR(IF(INDEX(MASTER!$E$4:$E$1463,MATCH("AZUKI|3",MASTER!$Y$4:$Y$1463,0))="","-",INDEX(MASTER!$E$4:$E$1463,MATCH("AZUKI|3",MASTER!$Y$4:$Y$1463,0))),"-")</f>
        <v>DEMON HUNTER</v>
      </c>
      <c r="E57" s="16">
        <f>IFERROR(IF(INDEX(MASTER!$I$4:$I$1463,MATCH("AZUKI|3",MASTER!$Y$4:$Y$1463,0))="","-",INDEX(MASTER!$I$4:$I$1463,MATCH("AZUKI|3",MASTER!$Y$4:$Y$1463,0))),"-")</f>
        <v>11863</v>
      </c>
      <c r="F57" s="15" t="str">
        <f>IFERROR(IF(INDEX(MASTER!$J$4:$J$1463,MATCH("AZUKI|3",MASTER!$Y$4:$Y$1463,0))="","-",INDEX(MASTER!$J$4:$J$1463,MATCH("AZUKI|3",MASTER!$Y$4:$Y$1463,0))),"-")</f>
        <v>APEX</v>
      </c>
    </row>
    <row r="58" spans="1:13">
      <c r="A58" s="19">
        <v>1</v>
      </c>
      <c r="B58" s="18" t="str">
        <f>IFERROR(IF(INDEX(MASTER!$C$4:$C$1463,MATCH("RECKONING|1",MASTER!$Y$4:$Y$1463,0))="","-",INDEX(MASTER!$C$4:$C$1463,MATCH("RECKONING|1",MASTER!$Y$4:$Y$1463,0))),"-")</f>
        <v>Rydog</v>
      </c>
      <c r="C58" s="43" t="s">
        <v>111</v>
      </c>
      <c r="D58" s="19" t="str">
        <f>IFERROR(IF(INDEX(MASTER!$E$4:$E$1463,MATCH("RECKONING|1",MASTER!$Y$4:$Y$1463,0))="","-",INDEX(MASTER!$E$4:$E$1463,MATCH("RECKONING|1",MASTER!$Y$4:$Y$1463,0))),"-")</f>
        <v>DEMON HUNTER</v>
      </c>
      <c r="E58" s="20">
        <f>IFERROR(IF(INDEX(MASTER!$I$4:$I$1463,MATCH("RECKONING|1",MASTER!$Y$4:$Y$1463,0))="","-",INDEX(MASTER!$I$4:$I$1463,MATCH("RECKONING|1",MASTER!$Y$4:$Y$1463,0))),"-")</f>
        <v>11024</v>
      </c>
      <c r="F58" s="19" t="str">
        <f>IFERROR(IF(INDEX(MASTER!$J$4:$J$1463,MATCH("RECKONING|1",MASTER!$Y$4:$Y$1463,0))="","-",INDEX(MASTER!$J$4:$J$1463,MATCH("RECKONING|1",MASTER!$Y$4:$Y$1463,0))),"-")</f>
        <v>APEX</v>
      </c>
    </row>
    <row r="59" spans="1:13">
      <c r="A59" s="19">
        <v>2</v>
      </c>
      <c r="B59" s="18" t="str">
        <f>IFERROR(IF(INDEX(MASTER!$C$4:$C$1463,MATCH("RECKONING|2",MASTER!$Y$4:$Y$1463,0))="","-",INDEX(MASTER!$C$4:$C$1463,MATCH("RECKONING|2",MASTER!$Y$4:$Y$1463,0))),"-")</f>
        <v>Aghogg</v>
      </c>
      <c r="C59" s="43"/>
      <c r="D59" s="19" t="str">
        <f>IFERROR(IF(INDEX(MASTER!$E$4:$E$1463,MATCH("RECKONING|2",MASTER!$Y$4:$Y$1463,0))="","-",INDEX(MASTER!$E$4:$E$1463,MATCH("RECKONING|2",MASTER!$Y$4:$Y$1463,0))),"-")</f>
        <v>MONK</v>
      </c>
      <c r="E59" s="20">
        <f>IFERROR(IF(INDEX(MASTER!$I$4:$I$1463,MATCH("RECKONING|2",MASTER!$Y$4:$Y$1463,0))="","-",INDEX(MASTER!$I$4:$I$1463,MATCH("RECKONING|2",MASTER!$Y$4:$Y$1463,0))),"-")</f>
        <v>11000</v>
      </c>
      <c r="F59" s="19" t="str">
        <f>IFERROR(IF(INDEX(MASTER!$J$4:$J$1463,MATCH("RECKONING|2",MASTER!$Y$4:$Y$1463,0))="","-",INDEX(MASTER!$J$4:$J$1463,MATCH("RECKONING|2",MASTER!$Y$4:$Y$1463,0))),"-")</f>
        <v>APEX</v>
      </c>
    </row>
    <row r="60" spans="1:13">
      <c r="A60" s="19">
        <v>3</v>
      </c>
      <c r="B60" s="18" t="str">
        <f>IFERROR(IF(INDEX(MASTER!$C$4:$C$1463,MATCH("RECKONING|3",MASTER!$Y$4:$Y$1463,0))="","-",INDEX(MASTER!$C$4:$C$1463,MATCH("RECKONING|3",MASTER!$Y$4:$Y$1463,0))),"-")</f>
        <v>Wynterkiss</v>
      </c>
      <c r="C60" s="43"/>
      <c r="D60" s="19" t="str">
        <f>IFERROR(IF(INDEX(MASTER!$E$4:$E$1463,MATCH("RECKONING|3",MASTER!$Y$4:$Y$1463,0))="","-",INDEX(MASTER!$E$4:$E$1463,MATCH("RECKONING|3",MASTER!$Y$4:$Y$1463,0))),"-")</f>
        <v>WARLOCK</v>
      </c>
      <c r="E60" s="20">
        <f>IFERROR(IF(INDEX(MASTER!$I$4:$I$1463,MATCH("RECKONING|3",MASTER!$Y$4:$Y$1463,0))="","-",INDEX(MASTER!$I$4:$I$1463,MATCH("RECKONING|3",MASTER!$Y$4:$Y$1463,0))),"-")</f>
        <v>10435</v>
      </c>
      <c r="F60" s="19" t="str">
        <f>IFERROR(IF(INDEX(MASTER!$J$4:$J$1463,MATCH("RECKONING|3",MASTER!$Y$4:$Y$1463,0))="","-",INDEX(MASTER!$J$4:$J$1463,MATCH("RECKONING|3",MASTER!$Y$4:$Y$1463,0))),"-")</f>
        <v>APEX</v>
      </c>
    </row>
    <row r="61" spans="1:13">
      <c r="A61" s="15">
        <v>1</v>
      </c>
      <c r="B61" s="14" t="str">
        <f>IFERROR(IF(INDEX(MASTER!$C$4:$C$1463,MATCH("ACHERON|1",MASTER!$Y$4:$Y$1463,0))="","-",INDEX(MASTER!$C$4:$C$1463,MATCH("ACHERON|1",MASTER!$Y$4:$Y$1463,0))),"-")</f>
        <v>Sölus</v>
      </c>
      <c r="C61" s="42" t="s">
        <v>112</v>
      </c>
      <c r="D61" s="15" t="str">
        <f>IFERROR(IF(INDEX(MASTER!$E$4:$E$1463,MATCH("ACHERON|1",MASTER!$Y$4:$Y$1463,0))="","-",INDEX(MASTER!$E$4:$E$1463,MATCH("ACHERON|1",MASTER!$Y$4:$Y$1463,0))),"-")</f>
        <v>BLOOD KNIGHT</v>
      </c>
      <c r="E61" s="16">
        <f>IFERROR(IF(INDEX(MASTER!$I$4:$I$1463,MATCH("ACHERON|1",MASTER!$Y$4:$Y$1463,0))="","-",INDEX(MASTER!$I$4:$I$1463,MATCH("ACHERON|1",MASTER!$Y$4:$Y$1463,0))),"-")</f>
        <v>10705</v>
      </c>
      <c r="F61" s="15" t="str">
        <f>IFERROR(IF(INDEX(MASTER!$J$4:$J$1463,MATCH("ACHERON|1",MASTER!$Y$4:$Y$1463,0))="","-",INDEX(MASTER!$J$4:$J$1463,MATCH("ACHERON|1",MASTER!$Y$4:$Y$1463,0))),"-")</f>
        <v>APEX</v>
      </c>
    </row>
    <row r="62" spans="1:13">
      <c r="A62" s="15">
        <v>2</v>
      </c>
      <c r="B62" s="14" t="str">
        <f>IFERROR(IF(INDEX(MASTER!$C$4:$C$1463,MATCH("ACHERON|2",MASTER!$Y$4:$Y$1463,0))="","-",INDEX(MASTER!$C$4:$C$1463,MATCH("ACHERON|2",MASTER!$Y$4:$Y$1463,0))),"-")</f>
        <v>GOGETA</v>
      </c>
      <c r="C62" s="42"/>
      <c r="D62" s="15" t="str">
        <f>IFERROR(IF(INDEX(MASTER!$E$4:$E$1463,MATCH("ACHERON|2",MASTER!$Y$4:$Y$1463,0))="","-",INDEX(MASTER!$E$4:$E$1463,MATCH("ACHERON|2",MASTER!$Y$4:$Y$1463,0))),"-")</f>
        <v>BLOOD KNIGHT</v>
      </c>
      <c r="E62" s="16">
        <f>IFERROR(IF(INDEX(MASTER!$I$4:$I$1463,MATCH("ACHERON|2",MASTER!$Y$4:$Y$1463,0))="","-",INDEX(MASTER!$I$4:$I$1463,MATCH("ACHERON|2",MASTER!$Y$4:$Y$1463,0))),"-")</f>
        <v>9608</v>
      </c>
      <c r="F62" s="15" t="str">
        <f>IFERROR(IF(INDEX(MASTER!$J$4:$J$1463,MATCH("ACHERON|2",MASTER!$Y$4:$Y$1463,0))="","-",INDEX(MASTER!$J$4:$J$1463,MATCH("ACHERON|2",MASTER!$Y$4:$Y$1463,0))),"-")</f>
        <v>ELITE</v>
      </c>
    </row>
    <row r="63" spans="1:13">
      <c r="A63" s="15">
        <v>3</v>
      </c>
      <c r="B63" s="14" t="str">
        <f>IFERROR(IF(INDEX(MASTER!$C$4:$C$1463,MATCH("ACHERON|3",MASTER!$Y$4:$Y$1463,0))="","-",INDEX(MASTER!$C$4:$C$1463,MATCH("ACHERON|3",MASTER!$Y$4:$Y$1463,0))),"-")</f>
        <v>Zhakrin</v>
      </c>
      <c r="C63" s="42"/>
      <c r="D63" s="15" t="str">
        <f>IFERROR(IF(INDEX(MASTER!$E$4:$E$1463,MATCH("ACHERON|3",MASTER!$Y$4:$Y$1463,0))="","-",INDEX(MASTER!$E$4:$E$1463,MATCH("ACHERON|3",MASTER!$Y$4:$Y$1463,0))),"-")</f>
        <v>CRUSADER</v>
      </c>
      <c r="E63" s="16">
        <f>IFERROR(IF(INDEX(MASTER!$I$4:$I$1463,MATCH("ACHERON|3",MASTER!$Y$4:$Y$1463,0))="","-",INDEX(MASTER!$I$4:$I$1463,MATCH("ACHERON|3",MASTER!$Y$4:$Y$1463,0))),"-")</f>
        <v>9142</v>
      </c>
      <c r="F63" s="15" t="str">
        <f>IFERROR(IF(INDEX(MASTER!$J$4:$J$1463,MATCH("ACHERON|3",MASTER!$Y$4:$Y$1463,0))="","-",INDEX(MASTER!$J$4:$J$1463,MATCH("ACHERON|3",MASTER!$Y$4:$Y$1463,0))),"-")</f>
        <v>ELITE</v>
      </c>
    </row>
    <row r="64" spans="1:13">
      <c r="A64" s="19">
        <v>1</v>
      </c>
      <c r="B64" s="18" t="str">
        <f>IFERROR(IF(INDEX(MASTER!$C$4:$C$1463,MATCH("INVICTUS|1",MASTER!$Y$4:$Y$1463,0))="","-",INDEX(MASTER!$C$4:$C$1463,MATCH("INVICTUS|1",MASTER!$Y$4:$Y$1463,0))),"-")</f>
        <v>Seric</v>
      </c>
      <c r="C64" s="43" t="s">
        <v>113</v>
      </c>
      <c r="D64" s="19" t="str">
        <f>IFERROR(IF(INDEX(MASTER!$E$4:$E$1463,MATCH("INVICTUS|1",MASTER!$Y$4:$Y$1463,0))="","-",INDEX(MASTER!$E$4:$E$1463,MATCH("INVICTUS|1",MASTER!$Y$4:$Y$1463,0))),"-")</f>
        <v>BARBARIAN</v>
      </c>
      <c r="E64" s="20">
        <f>IFERROR(IF(INDEX(MASTER!$I$4:$I$1463,MATCH("INVICTUS|1",MASTER!$Y$4:$Y$1463,0))="","-",INDEX(MASTER!$I$4:$I$1463,MATCH("INVICTUS|1",MASTER!$Y$4:$Y$1463,0))),"-")</f>
        <v>9752</v>
      </c>
      <c r="F64" s="19" t="str">
        <f>IFERROR(IF(INDEX(MASTER!$J$4:$J$1463,MATCH("INVICTUS|1",MASTER!$Y$4:$Y$1463,0))="","-",INDEX(MASTER!$J$4:$J$1463,MATCH("INVICTUS|1",MASTER!$Y$4:$Y$1463,0))),"-")</f>
        <v>ELITE</v>
      </c>
    </row>
    <row r="65" spans="1:6">
      <c r="A65" s="19">
        <v>2</v>
      </c>
      <c r="B65" s="18" t="str">
        <f>IFERROR(IF(INDEX(MASTER!$C$4:$C$1463,MATCH("INVICTUS|2",MASTER!$Y$4:$Y$1463,0))="","-",INDEX(MASTER!$C$4:$C$1463,MATCH("INVICTUS|2",MASTER!$Y$4:$Y$1463,0))),"-")</f>
        <v>MEMNON</v>
      </c>
      <c r="C65" s="43"/>
      <c r="D65" s="19" t="str">
        <f>IFERROR(IF(INDEX(MASTER!$E$4:$E$1463,MATCH("INVICTUS|2",MASTER!$Y$4:$Y$1463,0))="","-",INDEX(MASTER!$E$4:$E$1463,MATCH("INVICTUS|2",MASTER!$Y$4:$Y$1463,0))),"-")</f>
        <v>CRUSADER</v>
      </c>
      <c r="E65" s="20">
        <f>IFERROR(IF(INDEX(MASTER!$I$4:$I$1463,MATCH("INVICTUS|2",MASTER!$Y$4:$Y$1463,0))="","-",INDEX(MASTER!$I$4:$I$1463,MATCH("INVICTUS|2",MASTER!$Y$4:$Y$1463,0))),"-")</f>
        <v>9175</v>
      </c>
      <c r="F65" s="19" t="str">
        <f>IFERROR(IF(INDEX(MASTER!$J$4:$J$1463,MATCH("INVICTUS|2",MASTER!$Y$4:$Y$1463,0))="","-",INDEX(MASTER!$J$4:$J$1463,MATCH("INVICTUS|2",MASTER!$Y$4:$Y$1463,0))),"-")</f>
        <v>ELITE</v>
      </c>
    </row>
    <row r="66" spans="1:6">
      <c r="A66" s="19">
        <v>3</v>
      </c>
      <c r="B66" s="18" t="str">
        <f>IFERROR(IF(INDEX(MASTER!$C$4:$C$1463,MATCH("INVICTUS|3",MASTER!$Y$4:$Y$1463,0))="","-",INDEX(MASTER!$C$4:$C$1463,MATCH("INVICTUS|3",MASTER!$Y$4:$Y$1463,0))),"-")</f>
        <v>ShadowIPA</v>
      </c>
      <c r="C66" s="43"/>
      <c r="D66" s="19" t="str">
        <f>IFERROR(IF(INDEX(MASTER!$E$4:$E$1463,MATCH("INVICTUS|3",MASTER!$Y$4:$Y$1463,0))="","-",INDEX(MASTER!$E$4:$E$1463,MATCH("INVICTUS|3",MASTER!$Y$4:$Y$1463,0))),"-")</f>
        <v>DEMON HUNTER</v>
      </c>
      <c r="E66" s="20">
        <f>IFERROR(IF(INDEX(MASTER!$I$4:$I$1463,MATCH("INVICTUS|3",MASTER!$Y$4:$Y$1463,0))="","-",INDEX(MASTER!$I$4:$I$1463,MATCH("INVICTUS|3",MASTER!$Y$4:$Y$1463,0))),"-")</f>
        <v>9005</v>
      </c>
      <c r="F66" s="19" t="str">
        <f>IFERROR(IF(INDEX(MASTER!$J$4:$J$1463,MATCH("INVICTUS|3",MASTER!$Y$4:$Y$1463,0))="","-",INDEX(MASTER!$J$4:$J$1463,MATCH("INVICTUS|3",MASTER!$Y$4:$Y$1463,0))),"-")</f>
        <v>ELITE</v>
      </c>
    </row>
    <row r="67" spans="1:6">
      <c r="A67" s="15">
        <v>1</v>
      </c>
      <c r="B67" s="14" t="str">
        <f>IFERROR(IF(INDEX(MASTER!$C$4:$C$1463,MATCH("EMERALD LEAF TRIBE|1",MASTER!$Y$4:$Y$1463,0))="","-",INDEX(MASTER!$C$4:$C$1463,MATCH("EMERALD LEAF TRIBE|1",MASTER!$Y$4:$Y$1463,0))),"-")</f>
        <v>Cal66</v>
      </c>
      <c r="C67" s="42" t="s">
        <v>114</v>
      </c>
      <c r="D67" s="15" t="str">
        <f>IFERROR(IF(INDEX(MASTER!$E$4:$E$1463,MATCH("EMERALD LEAF TRIBE|1",MASTER!$Y$4:$Y$1463,0))="","-",INDEX(MASTER!$E$4:$E$1463,MATCH("EMERALD LEAF TRIBE|1",MASTER!$Y$4:$Y$1463,0))),"-")</f>
        <v>WARLOCK</v>
      </c>
      <c r="E67" s="16">
        <f>IFERROR(IF(INDEX(MASTER!$I$4:$I$1463,MATCH("EMERALD LEAF TRIBE|1",MASTER!$Y$4:$Y$1463,0))="","-",INDEX(MASTER!$I$4:$I$1463,MATCH("EMERALD LEAF TRIBE|1",MASTER!$Y$4:$Y$1463,0))),"-")</f>
        <v>5260</v>
      </c>
      <c r="F67" s="15" t="str">
        <f>IFERROR(IF(INDEX(MASTER!$J$4:$J$1463,MATCH("EMERALD LEAF TRIBE|1",MASTER!$Y$4:$Y$1463,0))="","-",INDEX(MASTER!$J$4:$J$1463,MATCH("EMERALD LEAF TRIBE|1",MASTER!$Y$4:$Y$1463,0))),"-")</f>
        <v>CORE</v>
      </c>
    </row>
    <row r="68" spans="1:6">
      <c r="A68" s="15">
        <v>2</v>
      </c>
      <c r="B68" s="14" t="str">
        <f>IFERROR(IF(INDEX(MASTER!$C$4:$C$1463,MATCH("EMERALD LEAF TRIBE|2",MASTER!$Y$4:$Y$1463,0))="","-",INDEX(MASTER!$C$4:$C$1463,MATCH("EMERALD LEAF TRIBE|2",MASTER!$Y$4:$Y$1463,0))),"-")</f>
        <v>SudafedPM</v>
      </c>
      <c r="C68" s="42"/>
      <c r="D68" s="15" t="str">
        <f>IFERROR(IF(INDEX(MASTER!$E$4:$E$1463,MATCH("EMERALD LEAF TRIBE|2",MASTER!$Y$4:$Y$1463,0))="","-",INDEX(MASTER!$E$4:$E$1463,MATCH("EMERALD LEAF TRIBE|2",MASTER!$Y$4:$Y$1463,0))),"-")</f>
        <v>DEMON HUNTER</v>
      </c>
      <c r="E68" s="16">
        <f>IFERROR(IF(INDEX(MASTER!$I$4:$I$1463,MATCH("EMERALD LEAF TRIBE|2",MASTER!$Y$4:$Y$1463,0))="","-",INDEX(MASTER!$I$4:$I$1463,MATCH("EMERALD LEAF TRIBE|2",MASTER!$Y$4:$Y$1463,0))),"-")</f>
        <v>5118</v>
      </c>
      <c r="F68" s="15" t="str">
        <f>IFERROR(IF(INDEX(MASTER!$J$4:$J$1463,MATCH("EMERALD LEAF TRIBE|2",MASTER!$Y$4:$Y$1463,0))="","-",INDEX(MASTER!$J$4:$J$1463,MATCH("EMERALD LEAF TRIBE|2",MASTER!$Y$4:$Y$1463,0))),"-")</f>
        <v>CORE</v>
      </c>
    </row>
    <row r="69" spans="1:6">
      <c r="A69" s="15">
        <v>3</v>
      </c>
      <c r="B69" s="14" t="str">
        <f>IFERROR(IF(INDEX(MASTER!$C$4:$C$1463,MATCH("EMERALD LEAF TRIBE|3",MASTER!$Y$4:$Y$1463,0))="","-",INDEX(MASTER!$C$4:$C$1463,MATCH("EMERALD LEAF TRIBE|3",MASTER!$Y$4:$Y$1463,0))),"-")</f>
        <v>LilPoundcake</v>
      </c>
      <c r="C69" s="42"/>
      <c r="D69" s="15" t="str">
        <f>IFERROR(IF(INDEX(MASTER!$E$4:$E$1463,MATCH("EMERALD LEAF TRIBE|3",MASTER!$Y$4:$Y$1463,0))="","-",INDEX(MASTER!$E$4:$E$1463,MATCH("EMERALD LEAF TRIBE|3",MASTER!$Y$4:$Y$1463,0))),"-")</f>
        <v>WIZARD</v>
      </c>
      <c r="E69" s="16">
        <f>IFERROR(IF(INDEX(MASTER!$I$4:$I$1463,MATCH("EMERALD LEAF TRIBE|3",MASTER!$Y$4:$Y$1463,0))="","-",INDEX(MASTER!$I$4:$I$1463,MATCH("EMERALD LEAF TRIBE|3",MASTER!$Y$4:$Y$1463,0))),"-")</f>
        <v>5102</v>
      </c>
      <c r="F69" s="15" t="str">
        <f>IFERROR(IF(INDEX(MASTER!$J$4:$J$1463,MATCH("EMERALD LEAF TRIBE|3",MASTER!$Y$4:$Y$1463,0))="","-",INDEX(MASTER!$J$4:$J$1463,MATCH("EMERALD LEAF TRIBE|3",MASTER!$Y$4:$Y$1463,0))),"-")</f>
        <v>CORE</v>
      </c>
    </row>
    <row r="70" spans="1:6">
      <c r="A70" s="19">
        <v>1</v>
      </c>
      <c r="B70" s="18" t="str">
        <f>IFERROR(IF(INDEX(MASTER!$C$4:$C$1463,MATCH("SUB ROSA|1",MASTER!$Y$4:$Y$1463,0))="","-",INDEX(MASTER!$C$4:$C$1463,MATCH("SUB ROSA|1",MASTER!$Y$4:$Y$1463,0))),"-")</f>
        <v>Dwai</v>
      </c>
      <c r="C70" s="43" t="s">
        <v>115</v>
      </c>
      <c r="D70" s="19" t="str">
        <f>IFERROR(IF(INDEX(MASTER!$E$4:$E$1463,MATCH("SUB ROSA|1",MASTER!$Y$4:$Y$1463,0))="","-",INDEX(MASTER!$E$4:$E$1463,MATCH("SUB ROSA|1",MASTER!$Y$4:$Y$1463,0))),"-")</f>
        <v>CRUSADER</v>
      </c>
      <c r="E70" s="20">
        <f>IFERROR(IF(INDEX(MASTER!$I$4:$I$1463,MATCH("SUB ROSA|1",MASTER!$Y$4:$Y$1463,0))="","-",INDEX(MASTER!$I$4:$I$1463,MATCH("SUB ROSA|1",MASTER!$Y$4:$Y$1463,0))),"-")</f>
        <v>11094</v>
      </c>
      <c r="F70" s="19" t="str">
        <f>IFERROR(IF(INDEX(MASTER!$J$4:$J$1463,MATCH("SUB ROSA|1",MASTER!$Y$4:$Y$1463,0))="","-",INDEX(MASTER!$J$4:$J$1463,MATCH("SUB ROSA|1",MASTER!$Y$4:$Y$1463,0))),"-")</f>
        <v>APEX</v>
      </c>
    </row>
    <row r="71" spans="1:6">
      <c r="A71" s="19">
        <v>2</v>
      </c>
      <c r="B71" s="18" t="str">
        <f>IFERROR(IF(INDEX(MASTER!$C$4:$C$1463,MATCH("SUB ROSA|2",MASTER!$Y$4:$Y$1463,0))="","-",INDEX(MASTER!$C$4:$C$1463,MATCH("SUB ROSA|2",MASTER!$Y$4:$Y$1463,0))),"-")</f>
        <v>Gotop</v>
      </c>
      <c r="C71" s="43"/>
      <c r="D71" s="19" t="str">
        <f>IFERROR(IF(INDEX(MASTER!$E$4:$E$1463,MATCH("SUB ROSA|2",MASTER!$Y$4:$Y$1463,0))="","-",INDEX(MASTER!$E$4:$E$1463,MATCH("SUB ROSA|2",MASTER!$Y$4:$Y$1463,0))),"-")</f>
        <v>WIZARD</v>
      </c>
      <c r="E71" s="20">
        <f>IFERROR(IF(INDEX(MASTER!$I$4:$I$1463,MATCH("SUB ROSA|2",MASTER!$Y$4:$Y$1463,0))="","-",INDEX(MASTER!$I$4:$I$1463,MATCH("SUB ROSA|2",MASTER!$Y$4:$Y$1463,0))),"-")</f>
        <v>10121</v>
      </c>
      <c r="F71" s="19" t="str">
        <f>IFERROR(IF(INDEX(MASTER!$J$4:$J$1463,MATCH("SUB ROSA|2",MASTER!$Y$4:$Y$1463,0))="","-",INDEX(MASTER!$J$4:$J$1463,MATCH("SUB ROSA|2",MASTER!$Y$4:$Y$1463,0))),"-")</f>
        <v>APEX</v>
      </c>
    </row>
    <row r="72" spans="1:6">
      <c r="A72" s="19">
        <v>3</v>
      </c>
      <c r="B72" s="18" t="str">
        <f>IFERROR(IF(INDEX(MASTER!$C$4:$C$1463,MATCH("SUB ROSA|3",MASTER!$Y$4:$Y$1463,0))="","-",INDEX(MASTER!$C$4:$C$1463,MATCH("SUB ROSA|3",MASTER!$Y$4:$Y$1463,0))),"-")</f>
        <v>Aileai</v>
      </c>
      <c r="C72" s="43"/>
      <c r="D72" s="19" t="str">
        <f>IFERROR(IF(INDEX(MASTER!$E$4:$E$1463,MATCH("SUB ROSA|3",MASTER!$Y$4:$Y$1463,0))="","-",INDEX(MASTER!$E$4:$E$1463,MATCH("SUB ROSA|3",MASTER!$Y$4:$Y$1463,0))),"-")</f>
        <v>MONK</v>
      </c>
      <c r="E72" s="20">
        <f>IFERROR(IF(INDEX(MASTER!$I$4:$I$1463,MATCH("SUB ROSA|3",MASTER!$Y$4:$Y$1463,0))="","-",INDEX(MASTER!$I$4:$I$1463,MATCH("SUB ROSA|3",MASTER!$Y$4:$Y$1463,0))),"-")</f>
        <v>9887</v>
      </c>
      <c r="F72" s="19" t="str">
        <f>IFERROR(IF(INDEX(MASTER!$J$4:$J$1463,MATCH("SUB ROSA|3",MASTER!$Y$4:$Y$1463,0))="","-",INDEX(MASTER!$J$4:$J$1463,MATCH("SUB ROSA|3",MASTER!$Y$4:$Y$1463,0))),"-")</f>
        <v>ELITE</v>
      </c>
    </row>
    <row r="73" spans="1:6">
      <c r="A73" s="15">
        <v>1</v>
      </c>
      <c r="B73" s="14" t="str">
        <f>IFERROR(IF(INDEX(MASTER!$C$4:$C$1463,MATCH("VENGEANCE|1",MASTER!$Y$4:$Y$1463,0))="","-",INDEX(MASTER!$C$4:$C$1463,MATCH("VENGEANCE|1",MASTER!$Y$4:$Y$1463,0))),"-")</f>
        <v>Stevo77</v>
      </c>
      <c r="C73" s="42" t="s">
        <v>116</v>
      </c>
      <c r="D73" s="15" t="str">
        <f>IFERROR(IF(INDEX(MASTER!$E$4:$E$1463,MATCH("VENGEANCE|1",MASTER!$Y$4:$Y$1463,0))="","-",INDEX(MASTER!$E$4:$E$1463,MATCH("VENGEANCE|1",MASTER!$Y$4:$Y$1463,0))),"-")</f>
        <v>BARBARIAN</v>
      </c>
      <c r="E73" s="16">
        <f>IFERROR(IF(INDEX(MASTER!$I$4:$I$1463,MATCH("VENGEANCE|1",MASTER!$Y$4:$Y$1463,0))="","-",INDEX(MASTER!$I$4:$I$1463,MATCH("VENGEANCE|1",MASTER!$Y$4:$Y$1463,0))),"-")</f>
        <v>7759</v>
      </c>
      <c r="F73" s="15" t="str">
        <f>IFERROR(IF(INDEX(MASTER!$J$4:$J$1463,MATCH("VENGEANCE|1",MASTER!$Y$4:$Y$1463,0))="","-",INDEX(MASTER!$J$4:$J$1463,MATCH("VENGEANCE|1",MASTER!$Y$4:$Y$1463,0))),"-")</f>
        <v>VETERAN</v>
      </c>
    </row>
    <row r="74" spans="1:6">
      <c r="A74" s="15">
        <v>2</v>
      </c>
      <c r="B74" s="14" t="str">
        <f>IFERROR(IF(INDEX(MASTER!$C$4:$C$1463,MATCH("VENGEANCE|2",MASTER!$Y$4:$Y$1463,0))="","-",INDEX(MASTER!$C$4:$C$1463,MATCH("VENGEANCE|2",MASTER!$Y$4:$Y$1463,0))),"-")</f>
        <v>Yakumaru</v>
      </c>
      <c r="C74" s="42"/>
      <c r="D74" s="15" t="str">
        <f>IFERROR(IF(INDEX(MASTER!$E$4:$E$1463,MATCH("VENGEANCE|2",MASTER!$Y$4:$Y$1463,0))="","-",INDEX(MASTER!$E$4:$E$1463,MATCH("VENGEANCE|2",MASTER!$Y$4:$Y$1463,0))),"-")</f>
        <v>DEMON HUNTER</v>
      </c>
      <c r="E74" s="16">
        <f>IFERROR(IF(INDEX(MASTER!$I$4:$I$1463,MATCH("VENGEANCE|2",MASTER!$Y$4:$Y$1463,0))="","-",INDEX(MASTER!$I$4:$I$1463,MATCH("VENGEANCE|2",MASTER!$Y$4:$Y$1463,0))),"-")</f>
        <v>7574</v>
      </c>
      <c r="F74" s="15" t="str">
        <f>IFERROR(IF(INDEX(MASTER!$J$4:$J$1463,MATCH("VENGEANCE|2",MASTER!$Y$4:$Y$1463,0))="","-",INDEX(MASTER!$J$4:$J$1463,MATCH("VENGEANCE|2",MASTER!$Y$4:$Y$1463,0))),"-")</f>
        <v>VETERAN</v>
      </c>
    </row>
    <row r="75" spans="1:6">
      <c r="A75" s="15">
        <v>3</v>
      </c>
      <c r="B75" s="14" t="str">
        <f>IFERROR(IF(INDEX(MASTER!$C$4:$C$1463,MATCH("VENGEANCE|3",MASTER!$Y$4:$Y$1463,0))="","-",INDEX(MASTER!$C$4:$C$1463,MATCH("VENGEANCE|3",MASTER!$Y$4:$Y$1463,0))),"-")</f>
        <v>TazMdevil</v>
      </c>
      <c r="C75" s="42"/>
      <c r="D75" s="15" t="str">
        <f>IFERROR(IF(INDEX(MASTER!$E$4:$E$1463,MATCH("VENGEANCE|3",MASTER!$Y$4:$Y$1463,0))="","-",INDEX(MASTER!$E$4:$E$1463,MATCH("VENGEANCE|3",MASTER!$Y$4:$Y$1463,0))),"-")</f>
        <v>DEMON HUNTER</v>
      </c>
      <c r="E75" s="16">
        <f>IFERROR(IF(INDEX(MASTER!$I$4:$I$1463,MATCH("VENGEANCE|3",MASTER!$Y$4:$Y$1463,0))="","-",INDEX(MASTER!$I$4:$I$1463,MATCH("VENGEANCE|3",MASTER!$Y$4:$Y$1463,0))),"-")</f>
        <v>7544</v>
      </c>
      <c r="F75" s="15" t="str">
        <f>IFERROR(IF(INDEX(MASTER!$J$4:$J$1463,MATCH("VENGEANCE|3",MASTER!$Y$4:$Y$1463,0))="","-",INDEX(MASTER!$J$4:$J$1463,MATCH("VENGEANCE|3",MASTER!$Y$4:$Y$1463,0))),"-")</f>
        <v>VETERAN</v>
      </c>
    </row>
    <row r="76" spans="1:6">
      <c r="A76" s="19">
        <v>1</v>
      </c>
      <c r="B76" s="18" t="str">
        <f>IFERROR(IF(INDEX(MASTER!$C$4:$C$1463,MATCH("VENDETTA|1",MASTER!$Y$4:$Y$1463,0))="","-",INDEX(MASTER!$C$4:$C$1463,MATCH("VENDETTA|1",MASTER!$Y$4:$Y$1463,0))),"-")</f>
        <v>anamal</v>
      </c>
      <c r="C76" s="43" t="s">
        <v>117</v>
      </c>
      <c r="D76" s="19" t="str">
        <f>IFERROR(IF(INDEX(MASTER!$E$4:$E$1463,MATCH("VENDETTA|1",MASTER!$Y$4:$Y$1463,0))="","-",INDEX(MASTER!$E$4:$E$1463,MATCH("VENDETTA|1",MASTER!$Y$4:$Y$1463,0))),"-")</f>
        <v>BARBARIAN</v>
      </c>
      <c r="E76" s="20">
        <f>IFERROR(IF(INDEX(MASTER!$I$4:$I$1463,MATCH("VENDETTA|1",MASTER!$Y$4:$Y$1463,0))="","-",INDEX(MASTER!$I$4:$I$1463,MATCH("VENDETTA|1",MASTER!$Y$4:$Y$1463,0))),"-")</f>
        <v>4790</v>
      </c>
      <c r="F76" s="19" t="str">
        <f>IFERROR(IF(INDEX(MASTER!$J$4:$J$1463,MATCH("VENDETTA|1",MASTER!$Y$4:$Y$1463,0))="","-",INDEX(MASTER!$J$4:$J$1463,MATCH("VENDETTA|1",MASTER!$Y$4:$Y$1463,0))),"-")</f>
        <v>CORE</v>
      </c>
    </row>
    <row r="77" spans="1:6">
      <c r="A77" s="19">
        <v>2</v>
      </c>
      <c r="B77" s="18" t="str">
        <f>IFERROR(IF(INDEX(MASTER!$C$4:$C$1463,MATCH("VENDETTA|2",MASTER!$Y$4:$Y$1463,0))="","-",INDEX(MASTER!$C$4:$C$1463,MATCH("VENDETTA|2",MASTER!$Y$4:$Y$1463,0))),"-")</f>
        <v>TanyaRenee</v>
      </c>
      <c r="C77" s="43"/>
      <c r="D77" s="19" t="str">
        <f>IFERROR(IF(INDEX(MASTER!$E$4:$E$1463,MATCH("VENDETTA|2",MASTER!$Y$4:$Y$1463,0))="","-",INDEX(MASTER!$E$4:$E$1463,MATCH("VENDETTA|2",MASTER!$Y$4:$Y$1463,0))),"-")</f>
        <v>DRUID</v>
      </c>
      <c r="E77" s="20">
        <f>IFERROR(IF(INDEX(MASTER!$I$4:$I$1463,MATCH("VENDETTA|2",MASTER!$Y$4:$Y$1463,0))="","-",INDEX(MASTER!$I$4:$I$1463,MATCH("VENDETTA|2",MASTER!$Y$4:$Y$1463,0))),"-")</f>
        <v>3894</v>
      </c>
      <c r="F77" s="19" t="str">
        <f>IFERROR(IF(INDEX(MASTER!$J$4:$J$1463,MATCH("VENDETTA|2",MASTER!$Y$4:$Y$1463,0))="","-",INDEX(MASTER!$J$4:$J$1463,MATCH("VENDETTA|2",MASTER!$Y$4:$Y$1463,0))),"-")</f>
        <v>DEVELOPING</v>
      </c>
    </row>
    <row r="78" spans="1:6">
      <c r="A78" s="19">
        <v>3</v>
      </c>
      <c r="B78" s="18" t="str">
        <f>IFERROR(IF(INDEX(MASTER!$C$4:$C$1463,MATCH("VENDETTA|3",MASTER!$Y$4:$Y$1463,0))="","-",INDEX(MASTER!$C$4:$C$1463,MATCH("VENDETTA|3",MASTER!$Y$4:$Y$1463,0))),"-")</f>
        <v>7ron</v>
      </c>
      <c r="C78" s="43"/>
      <c r="D78" s="19" t="str">
        <f>IFERROR(IF(INDEX(MASTER!$E$4:$E$1463,MATCH("VENDETTA|3",MASTER!$Y$4:$Y$1463,0))="","-",INDEX(MASTER!$E$4:$E$1463,MATCH("VENDETTA|3",MASTER!$Y$4:$Y$1463,0))),"-")</f>
        <v>DEMON HUNTER</v>
      </c>
      <c r="E78" s="20">
        <f>IFERROR(IF(INDEX(MASTER!$I$4:$I$1463,MATCH("VENDETTA|3",MASTER!$Y$4:$Y$1463,0))="","-",INDEX(MASTER!$I$4:$I$1463,MATCH("VENDETTA|3",MASTER!$Y$4:$Y$1463,0))),"-")</f>
        <v>3833</v>
      </c>
      <c r="F78" s="19" t="str">
        <f>IFERROR(IF(INDEX(MASTER!$J$4:$J$1463,MATCH("VENDETTA|3",MASTER!$Y$4:$Y$1463,0))="","-",INDEX(MASTER!$J$4:$J$1463,MATCH("VENDETTA|3",MASTER!$Y$4:$Y$1463,0))),"-")</f>
        <v>DEVELOPING</v>
      </c>
    </row>
    <row r="79" spans="1:6">
      <c r="A79" s="15">
        <v>1</v>
      </c>
      <c r="B79" s="14" t="str">
        <f>IFERROR(IF(INDEX(MASTER!$C$4:$C$1463,MATCH("ZOMBIES|1",MASTER!$Y$4:$Y$1463,0))="","-",INDEX(MASTER!$C$4:$C$1463,MATCH("ZOMBIES|1",MASTER!$Y$4:$Y$1463,0))),"-")</f>
        <v>THERIDDIC</v>
      </c>
      <c r="C79" s="42" t="s">
        <v>118</v>
      </c>
      <c r="D79" s="15" t="str">
        <f>IFERROR(IF(INDEX(MASTER!$E$4:$E$1463,MATCH("ZOMBIES|1",MASTER!$Y$4:$Y$1463,0))="","-",INDEX(MASTER!$E$4:$E$1463,MATCH("ZOMBIES|1",MASTER!$Y$4:$Y$1463,0))),"-")</f>
        <v>DRUID</v>
      </c>
      <c r="E79" s="16">
        <f>IFERROR(IF(INDEX(MASTER!$I$4:$I$1463,MATCH("ZOMBIES|1",MASTER!$Y$4:$Y$1463,0))="","-",INDEX(MASTER!$I$4:$I$1463,MATCH("ZOMBIES|1",MASTER!$Y$4:$Y$1463,0))),"-")</f>
        <v>8652</v>
      </c>
      <c r="F79" s="15" t="str">
        <f>IFERROR(IF(INDEX(MASTER!$J$4:$J$1463,MATCH("ZOMBIES|1",MASTER!$Y$4:$Y$1463,0))="","-",INDEX(MASTER!$J$4:$J$1463,MATCH("ZOMBIES|1",MASTER!$Y$4:$Y$1463,0))),"-")</f>
        <v>ELITE</v>
      </c>
    </row>
    <row r="80" spans="1:6">
      <c r="A80" s="15">
        <v>2</v>
      </c>
      <c r="B80" s="14" t="str">
        <f>IFERROR(IF(INDEX(MASTER!$C$4:$C$1463,MATCH("ZOMBIES|2",MASTER!$Y$4:$Y$1463,0))="","-",INDEX(MASTER!$C$4:$C$1463,MATCH("ZOMBIES|2",MASTER!$Y$4:$Y$1463,0))),"-")</f>
        <v>RetroMortis</v>
      </c>
      <c r="C80" s="42"/>
      <c r="D80" s="15" t="str">
        <f>IFERROR(IF(INDEX(MASTER!$E$4:$E$1463,MATCH("ZOMBIES|2",MASTER!$Y$4:$Y$1463,0))="","-",INDEX(MASTER!$E$4:$E$1463,MATCH("ZOMBIES|2",MASTER!$Y$4:$Y$1463,0))),"-")</f>
        <v>MONK</v>
      </c>
      <c r="E80" s="16">
        <f>IFERROR(IF(INDEX(MASTER!$I$4:$I$1463,MATCH("ZOMBIES|2",MASTER!$Y$4:$Y$1463,0))="","-",INDEX(MASTER!$I$4:$I$1463,MATCH("ZOMBIES|2",MASTER!$Y$4:$Y$1463,0))),"-")</f>
        <v>8150</v>
      </c>
      <c r="F80" s="15" t="str">
        <f>IFERROR(IF(INDEX(MASTER!$J$4:$J$1463,MATCH("ZOMBIES|2",MASTER!$Y$4:$Y$1463,0))="","-",INDEX(MASTER!$J$4:$J$1463,MATCH("ZOMBIES|2",MASTER!$Y$4:$Y$1463,0))),"-")</f>
        <v>ELITE</v>
      </c>
    </row>
    <row r="81" spans="1:6">
      <c r="A81" s="15">
        <v>3</v>
      </c>
      <c r="B81" s="14" t="str">
        <f>IFERROR(IF(INDEX(MASTER!$C$4:$C$1463,MATCH("ZOMBIES|3",MASTER!$Y$4:$Y$1463,0))="","-",INDEX(MASTER!$C$4:$C$1463,MATCH("ZOMBIES|3",MASTER!$Y$4:$Y$1463,0))),"-")</f>
        <v>CookinBaconNekit</v>
      </c>
      <c r="C81" s="42"/>
      <c r="D81" s="15" t="str">
        <f>IFERROR(IF(INDEX(MASTER!$E$4:$E$1463,MATCH("ZOMBIES|3",MASTER!$Y$4:$Y$1463,0))="","-",INDEX(MASTER!$E$4:$E$1463,MATCH("ZOMBIES|3",MASTER!$Y$4:$Y$1463,0))),"-")</f>
        <v>BARBARIAN</v>
      </c>
      <c r="E81" s="16">
        <f>IFERROR(IF(INDEX(MASTER!$I$4:$I$1463,MATCH("ZOMBIES|3",MASTER!$Y$4:$Y$1463,0))="","-",INDEX(MASTER!$I$4:$I$1463,MATCH("ZOMBIES|3",MASTER!$Y$4:$Y$1463,0))),"-")</f>
        <v>7277</v>
      </c>
      <c r="F81" s="15" t="str">
        <f>IFERROR(IF(INDEX(MASTER!$J$4:$J$1463,MATCH("ZOMBIES|3",MASTER!$Y$4:$Y$1463,0))="","-",INDEX(MASTER!$J$4:$J$1463,MATCH("ZOMBIES|3",MASTER!$Y$4:$Y$1463,0))),"-")</f>
        <v>VETERAN</v>
      </c>
    </row>
  </sheetData>
  <mergeCells count="7">
    <mergeCell ref="A38:F38"/>
    <mergeCell ref="H38:M38"/>
    <mergeCell ref="A1:T1"/>
    <mergeCell ref="A2:T2"/>
    <mergeCell ref="A4:F4"/>
    <mergeCell ref="H4:M4"/>
    <mergeCell ref="O4:T4"/>
  </mergeCells>
  <conditionalFormatting sqref="A6:F35">
    <cfRule type="cellIs" dxfId="24" priority="2" operator="equal">
      <formula>$C6="FUCT"</formula>
    </cfRule>
  </conditionalFormatting>
  <conditionalFormatting sqref="H6:M35">
    <cfRule type="cellIs" dxfId="23" priority="32" operator="equal">
      <formula>$J6="FUCT"</formula>
    </cfRule>
  </conditionalFormatting>
  <conditionalFormatting sqref="O6:T35">
    <cfRule type="cellIs" dxfId="22" priority="62" operator="equal">
      <formula>$Q6="FUCT"</formula>
    </cfRule>
  </conditionalFormatting>
  <printOptions horizontalCentered="1"/>
  <pageMargins left="0.75" right="0.75" top="1" bottom="1" header="0.511811023622047" footer="0.511811023622047"/>
  <pageSetup fitToHeight="0" orientation="landscape" horizontalDpi="300" verticalDpi="300"/>
  <ignoredErrors>
    <ignoredError sqref="A1:T81" evalError="1" twoDigitTextYear="1" numberStoredAsText="1" formula="1" formulaRange="1" unlockedFormula="1" emptyCellReference="1" listDataValidation="1" calculatedColumn="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1E54"/>
    <pageSetUpPr fitToPage="1"/>
  </sheetPr>
  <dimension ref="A1:P63"/>
  <sheetViews>
    <sheetView showGridLines="0" zoomScaleNormal="100" workbookViewId="0">
      <pane xSplit="1" ySplit="3" topLeftCell="B39" activePane="bottomRight" state="frozen"/>
      <selection pane="topRight" activeCell="B1" sqref="B1"/>
      <selection pane="bottomLeft" activeCell="A4" sqref="A4"/>
      <selection pane="bottomRight" sqref="A1:P1"/>
    </sheetView>
  </sheetViews>
  <sheetFormatPr defaultColWidth="8.7109375" defaultRowHeight="15"/>
  <cols>
    <col min="1" max="1" width="22" customWidth="1"/>
    <col min="2" max="16" width="12" customWidth="1"/>
  </cols>
  <sheetData>
    <row r="1" spans="1:16" ht="30" customHeight="1">
      <c r="A1" s="92" t="s">
        <v>137</v>
      </c>
      <c r="B1" s="92"/>
      <c r="C1" s="92"/>
      <c r="D1" s="92"/>
      <c r="E1" s="92"/>
      <c r="F1" s="92"/>
      <c r="G1" s="92"/>
      <c r="H1" s="92"/>
      <c r="I1" s="92"/>
      <c r="J1" s="92"/>
      <c r="K1" s="92"/>
      <c r="L1" s="92"/>
      <c r="M1" s="92"/>
      <c r="N1" s="92"/>
      <c r="O1" s="92"/>
      <c r="P1" s="92"/>
    </row>
    <row r="2" spans="1:16" ht="15.75" customHeight="1">
      <c r="A2" s="93" t="s">
        <v>138</v>
      </c>
      <c r="B2" s="93"/>
      <c r="C2" s="93"/>
      <c r="D2" s="93"/>
      <c r="E2" s="93"/>
      <c r="F2" s="93"/>
      <c r="G2" s="93"/>
      <c r="H2" s="93"/>
      <c r="I2" s="93"/>
      <c r="J2" s="93"/>
      <c r="K2" s="93"/>
      <c r="L2" s="93"/>
      <c r="M2" s="93"/>
      <c r="N2" s="93"/>
      <c r="O2" s="93"/>
      <c r="P2" s="93"/>
    </row>
    <row r="3" spans="1:16" ht="19.5" customHeight="1">
      <c r="A3" s="91" t="s">
        <v>139</v>
      </c>
      <c r="B3" s="91"/>
      <c r="C3" s="91"/>
      <c r="D3" s="91"/>
      <c r="E3" s="91"/>
      <c r="F3" s="91"/>
      <c r="G3" s="91"/>
      <c r="H3" s="91"/>
      <c r="I3" s="91"/>
      <c r="J3" s="91"/>
      <c r="K3" s="91"/>
      <c r="L3" s="91"/>
      <c r="M3" s="91"/>
      <c r="N3" s="91"/>
      <c r="O3" s="91"/>
      <c r="P3" s="91"/>
    </row>
    <row r="4" spans="1:16" ht="27.75" customHeight="1">
      <c r="A4" s="13" t="s">
        <v>140</v>
      </c>
      <c r="B4" s="13" t="s">
        <v>66</v>
      </c>
      <c r="C4" s="13" t="s">
        <v>105</v>
      </c>
      <c r="D4" s="13" t="s">
        <v>86</v>
      </c>
      <c r="E4" s="13" t="s">
        <v>107</v>
      </c>
      <c r="F4" s="13" t="s">
        <v>108</v>
      </c>
      <c r="G4" s="13" t="s">
        <v>110</v>
      </c>
      <c r="H4" s="13" t="s">
        <v>111</v>
      </c>
      <c r="I4" s="13" t="s">
        <v>112</v>
      </c>
      <c r="J4" s="13" t="s">
        <v>113</v>
      </c>
      <c r="K4" s="13" t="s">
        <v>114</v>
      </c>
      <c r="L4" s="13" t="s">
        <v>115</v>
      </c>
      <c r="M4" s="13" t="s">
        <v>116</v>
      </c>
      <c r="N4" s="13" t="s">
        <v>117</v>
      </c>
      <c r="O4" s="13" t="s">
        <v>118</v>
      </c>
      <c r="P4" s="13" t="s">
        <v>141</v>
      </c>
    </row>
    <row r="5" spans="1:16">
      <c r="A5" s="44" t="s">
        <v>142</v>
      </c>
      <c r="B5" s="20">
        <f>COUNTIFS(MASTER!$B:$B,"FUCT",MASTER!$J:$J,$A5)</f>
        <v>0</v>
      </c>
      <c r="C5" s="20">
        <f>COUNTIFS(MASTER!$B:$B,"LEGENDS",MASTER!$J:$J,$A5)</f>
        <v>0</v>
      </c>
      <c r="D5" s="20">
        <f>COUNTIFS(MASTER!$B:$B,"VANGUARD",MASTER!$J:$J,$A5)</f>
        <v>0</v>
      </c>
      <c r="E5" s="20">
        <f>COUNTIFS(MASTER!$B:$B,"UNDYING",MASTER!$J:$J,$A5)</f>
        <v>0</v>
      </c>
      <c r="F5" s="20">
        <f>COUNTIFS(MASTER!$B:$B,"SBG",MASTER!$J:$J,$A5)</f>
        <v>1</v>
      </c>
      <c r="G5" s="20">
        <f>COUNTIFS(MASTER!$B:$B,"AZUKI",MASTER!$J:$J,$A5)</f>
        <v>2</v>
      </c>
      <c r="H5" s="20">
        <f>COUNTIFS(MASTER!$B:$B,"RECKONING",MASTER!$J:$J,$A5)</f>
        <v>0</v>
      </c>
      <c r="I5" s="20">
        <f>COUNTIFS(MASTER!$B:$B,"ACHERON",MASTER!$J:$J,$A5)</f>
        <v>0</v>
      </c>
      <c r="J5" s="20">
        <f>COUNTIFS(MASTER!$B:$B,"INVICTUS",MASTER!$J:$J,$A5)</f>
        <v>0</v>
      </c>
      <c r="K5" s="20">
        <f>COUNTIFS(MASTER!$B:$B,"EMERALD LEAF TRIBE",MASTER!$J:$J,$A5)</f>
        <v>0</v>
      </c>
      <c r="L5" s="20">
        <f>COUNTIFS(MASTER!$B:$B,"SUB ROSA",MASTER!$J:$J,$A5)</f>
        <v>0</v>
      </c>
      <c r="M5" s="20">
        <f>COUNTIFS(MASTER!$B:$B,"VENGEANCE",MASTER!$J:$J,$A5)</f>
        <v>0</v>
      </c>
      <c r="N5" s="20">
        <f>COUNTIFS(MASTER!$B:$B,"VENDETTA",MASTER!$J:$J,$A5)</f>
        <v>0</v>
      </c>
      <c r="O5" s="20">
        <f>COUNTIFS(MASTER!$B:$B,"ZOMBIES",MASTER!$J:$J,$A5)</f>
        <v>0</v>
      </c>
      <c r="P5" s="45">
        <f t="shared" ref="P5:P11" si="0">SUM($B5:$O5)</f>
        <v>3</v>
      </c>
    </row>
    <row r="6" spans="1:16">
      <c r="A6" s="44" t="s">
        <v>143</v>
      </c>
      <c r="B6" s="20">
        <f>COUNTIFS(MASTER!$B:$B,"FUCT",MASTER!$J:$J,$A6)</f>
        <v>5</v>
      </c>
      <c r="C6" s="20">
        <f>COUNTIFS(MASTER!$B:$B,"LEGENDS",MASTER!$J:$J,$A6)</f>
        <v>6</v>
      </c>
      <c r="D6" s="20">
        <f>COUNTIFS(MASTER!$B:$B,"VANGUARD",MASTER!$J:$J,$A6)</f>
        <v>10</v>
      </c>
      <c r="E6" s="20">
        <f>COUNTIFS(MASTER!$B:$B,"UNDYING",MASTER!$J:$J,$A6)</f>
        <v>1</v>
      </c>
      <c r="F6" s="20">
        <f>COUNTIFS(MASTER!$B:$B,"SBG",MASTER!$J:$J,$A6)</f>
        <v>8</v>
      </c>
      <c r="G6" s="20">
        <f>COUNTIFS(MASTER!$B:$B,"AZUKI",MASTER!$J:$J,$A6)</f>
        <v>10</v>
      </c>
      <c r="H6" s="20">
        <f>COUNTIFS(MASTER!$B:$B,"RECKONING",MASTER!$J:$J,$A6)</f>
        <v>9</v>
      </c>
      <c r="I6" s="20">
        <f>COUNTIFS(MASTER!$B:$B,"ACHERON",MASTER!$J:$J,$A6)</f>
        <v>1</v>
      </c>
      <c r="J6" s="20">
        <f>COUNTIFS(MASTER!$B:$B,"INVICTUS",MASTER!$J:$J,$A6)</f>
        <v>0</v>
      </c>
      <c r="K6" s="20">
        <f>COUNTIFS(MASTER!$B:$B,"EMERALD LEAF TRIBE",MASTER!$J:$J,$A6)</f>
        <v>0</v>
      </c>
      <c r="L6" s="20">
        <f>COUNTIFS(MASTER!$B:$B,"SUB ROSA",MASTER!$J:$J,$A6)</f>
        <v>2</v>
      </c>
      <c r="M6" s="20">
        <f>COUNTIFS(MASTER!$B:$B,"VENGEANCE",MASTER!$J:$J,$A6)</f>
        <v>0</v>
      </c>
      <c r="N6" s="20">
        <f>COUNTIFS(MASTER!$B:$B,"VENDETTA",MASTER!$J:$J,$A6)</f>
        <v>0</v>
      </c>
      <c r="O6" s="20">
        <f>COUNTIFS(MASTER!$B:$B,"ZOMBIES",MASTER!$J:$J,$A6)</f>
        <v>0</v>
      </c>
      <c r="P6" s="45">
        <f t="shared" si="0"/>
        <v>52</v>
      </c>
    </row>
    <row r="7" spans="1:16">
      <c r="A7" s="44" t="s">
        <v>144</v>
      </c>
      <c r="B7" s="20">
        <f>COUNTIFS(MASTER!$B:$B,"FUCT",MASTER!$J:$J,$A7)</f>
        <v>9</v>
      </c>
      <c r="C7" s="20">
        <f>COUNTIFS(MASTER!$B:$B,"LEGENDS",MASTER!$J:$J,$A7)</f>
        <v>6</v>
      </c>
      <c r="D7" s="20">
        <f>COUNTIFS(MASTER!$B:$B,"VANGUARD",MASTER!$J:$J,$A7)</f>
        <v>23</v>
      </c>
      <c r="E7" s="20">
        <f>COUNTIFS(MASTER!$B:$B,"UNDYING",MASTER!$J:$J,$A7)</f>
        <v>7</v>
      </c>
      <c r="F7" s="20">
        <f>COUNTIFS(MASTER!$B:$B,"SBG",MASTER!$J:$J,$A7)</f>
        <v>15</v>
      </c>
      <c r="G7" s="20">
        <f>COUNTIFS(MASTER!$B:$B,"AZUKI",MASTER!$J:$J,$A7)</f>
        <v>11</v>
      </c>
      <c r="H7" s="20">
        <f>COUNTIFS(MASTER!$B:$B,"RECKONING",MASTER!$J:$J,$A7)</f>
        <v>12</v>
      </c>
      <c r="I7" s="20">
        <f>COUNTIFS(MASTER!$B:$B,"ACHERON",MASTER!$J:$J,$A7)</f>
        <v>5</v>
      </c>
      <c r="J7" s="20">
        <f>COUNTIFS(MASTER!$B:$B,"INVICTUS",MASTER!$J:$J,$A7)</f>
        <v>3</v>
      </c>
      <c r="K7" s="20">
        <f>COUNTIFS(MASTER!$B:$B,"EMERALD LEAF TRIBE",MASTER!$J:$J,$A7)</f>
        <v>0</v>
      </c>
      <c r="L7" s="20">
        <f>COUNTIFS(MASTER!$B:$B,"SUB ROSA",MASTER!$J:$J,$A7)</f>
        <v>1</v>
      </c>
      <c r="M7" s="20">
        <f>COUNTIFS(MASTER!$B:$B,"VENGEANCE",MASTER!$J:$J,$A7)</f>
        <v>0</v>
      </c>
      <c r="N7" s="20">
        <f>COUNTIFS(MASTER!$B:$B,"VENDETTA",MASTER!$J:$J,$A7)</f>
        <v>0</v>
      </c>
      <c r="O7" s="20">
        <f>COUNTIFS(MASTER!$B:$B,"ZOMBIES",MASTER!$J:$J,$A7)</f>
        <v>2</v>
      </c>
      <c r="P7" s="45">
        <f t="shared" si="0"/>
        <v>94</v>
      </c>
    </row>
    <row r="8" spans="1:16">
      <c r="A8" s="44" t="s">
        <v>145</v>
      </c>
      <c r="B8" s="20">
        <f>COUNTIFS(MASTER!$B:$B,"FUCT",MASTER!$J:$J,$A8)</f>
        <v>14</v>
      </c>
      <c r="C8" s="20">
        <f>COUNTIFS(MASTER!$B:$B,"LEGENDS",MASTER!$J:$J,$A8)</f>
        <v>18</v>
      </c>
      <c r="D8" s="20">
        <f>COUNTIFS(MASTER!$B:$B,"VANGUARD",MASTER!$J:$J,$A8)</f>
        <v>25</v>
      </c>
      <c r="E8" s="20">
        <f>COUNTIFS(MASTER!$B:$B,"UNDYING",MASTER!$J:$J,$A8)</f>
        <v>12</v>
      </c>
      <c r="F8" s="20">
        <f>COUNTIFS(MASTER!$B:$B,"SBG",MASTER!$J:$J,$A8)</f>
        <v>21</v>
      </c>
      <c r="G8" s="20">
        <f>COUNTIFS(MASTER!$B:$B,"AZUKI",MASTER!$J:$J,$A8)</f>
        <v>13</v>
      </c>
      <c r="H8" s="20">
        <f>COUNTIFS(MASTER!$B:$B,"RECKONING",MASTER!$J:$J,$A8)</f>
        <v>11</v>
      </c>
      <c r="I8" s="20">
        <f>COUNTIFS(MASTER!$B:$B,"ACHERON",MASTER!$J:$J,$A8)</f>
        <v>7</v>
      </c>
      <c r="J8" s="20">
        <f>COUNTIFS(MASTER!$B:$B,"INVICTUS",MASTER!$J:$J,$A8)</f>
        <v>5</v>
      </c>
      <c r="K8" s="20">
        <f>COUNTIFS(MASTER!$B:$B,"EMERALD LEAF TRIBE",MASTER!$J:$J,$A8)</f>
        <v>0</v>
      </c>
      <c r="L8" s="20">
        <f>COUNTIFS(MASTER!$B:$B,"SUB ROSA",MASTER!$J:$J,$A8)</f>
        <v>5</v>
      </c>
      <c r="M8" s="20">
        <f>COUNTIFS(MASTER!$B:$B,"VENGEANCE",MASTER!$J:$J,$A8)</f>
        <v>6</v>
      </c>
      <c r="N8" s="20">
        <f>COUNTIFS(MASTER!$B:$B,"VENDETTA",MASTER!$J:$J,$A8)</f>
        <v>0</v>
      </c>
      <c r="O8" s="20">
        <f>COUNTIFS(MASTER!$B:$B,"ZOMBIES",MASTER!$J:$J,$A8)</f>
        <v>2</v>
      </c>
      <c r="P8" s="45">
        <f t="shared" si="0"/>
        <v>139</v>
      </c>
    </row>
    <row r="9" spans="1:16">
      <c r="A9" s="44" t="s">
        <v>146</v>
      </c>
      <c r="B9" s="20">
        <f>COUNTIFS(MASTER!$B:$B,"FUCT",MASTER!$J:$J,$A9)</f>
        <v>33</v>
      </c>
      <c r="C9" s="20">
        <f>COUNTIFS(MASTER!$B:$B,"LEGENDS",MASTER!$J:$J,$A9)</f>
        <v>43</v>
      </c>
      <c r="D9" s="20">
        <f>COUNTIFS(MASTER!$B:$B,"VANGUARD",MASTER!$J:$J,$A9)</f>
        <v>21</v>
      </c>
      <c r="E9" s="20">
        <f>COUNTIFS(MASTER!$B:$B,"UNDYING",MASTER!$J:$J,$A9)</f>
        <v>32</v>
      </c>
      <c r="F9" s="20">
        <f>COUNTIFS(MASTER!$B:$B,"SBG",MASTER!$J:$J,$A9)</f>
        <v>27</v>
      </c>
      <c r="G9" s="20">
        <f>COUNTIFS(MASTER!$B:$B,"AZUKI",MASTER!$J:$J,$A9)</f>
        <v>28</v>
      </c>
      <c r="H9" s="20">
        <f>COUNTIFS(MASTER!$B:$B,"RECKONING",MASTER!$J:$J,$A9)</f>
        <v>31</v>
      </c>
      <c r="I9" s="20">
        <f>COUNTIFS(MASTER!$B:$B,"ACHERON",MASTER!$J:$J,$A9)</f>
        <v>32</v>
      </c>
      <c r="J9" s="20">
        <f>COUNTIFS(MASTER!$B:$B,"INVICTUS",MASTER!$J:$J,$A9)</f>
        <v>19</v>
      </c>
      <c r="K9" s="20">
        <f>COUNTIFS(MASTER!$B:$B,"EMERALD LEAF TRIBE",MASTER!$J:$J,$A9)</f>
        <v>12</v>
      </c>
      <c r="L9" s="20">
        <f>COUNTIFS(MASTER!$B:$B,"SUB ROSA",MASTER!$J:$J,$A9)</f>
        <v>7</v>
      </c>
      <c r="M9" s="20">
        <f>COUNTIFS(MASTER!$B:$B,"VENGEANCE",MASTER!$J:$J,$A9)</f>
        <v>28</v>
      </c>
      <c r="N9" s="20">
        <f>COUNTIFS(MASTER!$B:$B,"VENDETTA",MASTER!$J:$J,$A9)</f>
        <v>1</v>
      </c>
      <c r="O9" s="20">
        <f>COUNTIFS(MASTER!$B:$B,"ZOMBIES",MASTER!$J:$J,$A9)</f>
        <v>3</v>
      </c>
      <c r="P9" s="45">
        <f t="shared" si="0"/>
        <v>317</v>
      </c>
    </row>
    <row r="10" spans="1:16">
      <c r="A10" s="44" t="s">
        <v>147</v>
      </c>
      <c r="B10" s="20">
        <f>COUNTIFS(MASTER!$B:$B,"FUCT",MASTER!$J:$J,$A10)</f>
        <v>38</v>
      </c>
      <c r="C10" s="20">
        <f>COUNTIFS(MASTER!$B:$B,"LEGENDS",MASTER!$J:$J,$A10)</f>
        <v>24</v>
      </c>
      <c r="D10" s="20">
        <f>COUNTIFS(MASTER!$B:$B,"VANGUARD",MASTER!$J:$J,$A10)</f>
        <v>15</v>
      </c>
      <c r="E10" s="20">
        <f>COUNTIFS(MASTER!$B:$B,"UNDYING",MASTER!$J:$J,$A10)</f>
        <v>43</v>
      </c>
      <c r="F10" s="20">
        <f>COUNTIFS(MASTER!$B:$B,"SBG",MASTER!$J:$J,$A10)</f>
        <v>25</v>
      </c>
      <c r="G10" s="20">
        <f>COUNTIFS(MASTER!$B:$B,"AZUKI",MASTER!$J:$J,$A10)</f>
        <v>37</v>
      </c>
      <c r="H10" s="20">
        <f>COUNTIFS(MASTER!$B:$B,"RECKONING",MASTER!$J:$J,$A10)</f>
        <v>32</v>
      </c>
      <c r="I10" s="20">
        <f>COUNTIFS(MASTER!$B:$B,"ACHERON",MASTER!$J:$J,$A10)</f>
        <v>41</v>
      </c>
      <c r="J10" s="20">
        <f>COUNTIFS(MASTER!$B:$B,"INVICTUS",MASTER!$J:$J,$A10)</f>
        <v>56</v>
      </c>
      <c r="K10" s="20">
        <f>COUNTIFS(MASTER!$B:$B,"EMERALD LEAF TRIBE",MASTER!$J:$J,$A10)</f>
        <v>42</v>
      </c>
      <c r="L10" s="20">
        <f>COUNTIFS(MASTER!$B:$B,"SUB ROSA",MASTER!$J:$J,$A10)</f>
        <v>29</v>
      </c>
      <c r="M10" s="20">
        <f>COUNTIFS(MASTER!$B:$B,"VENGEANCE",MASTER!$J:$J,$A10)</f>
        <v>50</v>
      </c>
      <c r="N10" s="20">
        <f>COUNTIFS(MASTER!$B:$B,"VENDETTA",MASTER!$J:$J,$A10)</f>
        <v>46</v>
      </c>
      <c r="O10" s="20">
        <f>COUNTIFS(MASTER!$B:$B,"ZOMBIES",MASTER!$J:$J,$A10)</f>
        <v>34</v>
      </c>
      <c r="P10" s="45">
        <f t="shared" si="0"/>
        <v>512</v>
      </c>
    </row>
    <row r="11" spans="1:16">
      <c r="A11" s="44" t="s">
        <v>148</v>
      </c>
      <c r="B11" s="20">
        <f>COUNTIFS(MASTER!$B:$B,"FUCT",MASTER!$J:$J,$A11)</f>
        <v>0</v>
      </c>
      <c r="C11" s="20">
        <f>COUNTIFS(MASTER!$B:$B,"LEGENDS",MASTER!$J:$J,$A11)</f>
        <v>0</v>
      </c>
      <c r="D11" s="20">
        <f>COUNTIFS(MASTER!$B:$B,"VANGUARD",MASTER!$J:$J,$A11)</f>
        <v>1</v>
      </c>
      <c r="E11" s="20">
        <f>COUNTIFS(MASTER!$B:$B,"UNDYING",MASTER!$J:$J,$A11)</f>
        <v>1</v>
      </c>
      <c r="F11" s="20">
        <f>COUNTIFS(MASTER!$B:$B,"SBG",MASTER!$J:$J,$A11)</f>
        <v>0</v>
      </c>
      <c r="G11" s="20">
        <f>COUNTIFS(MASTER!$B:$B,"AZUKI",MASTER!$J:$J,$A11)</f>
        <v>0</v>
      </c>
      <c r="H11" s="20">
        <f>COUNTIFS(MASTER!$B:$B,"RECKONING",MASTER!$J:$J,$A11)</f>
        <v>2</v>
      </c>
      <c r="I11" s="20">
        <f>COUNTIFS(MASTER!$B:$B,"ACHERON",MASTER!$J:$J,$A11)</f>
        <v>8</v>
      </c>
      <c r="J11" s="20">
        <f>COUNTIFS(MASTER!$B:$B,"INVICTUS",MASTER!$J:$J,$A11)</f>
        <v>16</v>
      </c>
      <c r="K11" s="20">
        <f>COUNTIFS(MASTER!$B:$B,"EMERALD LEAF TRIBE",MASTER!$J:$J,$A11)</f>
        <v>43</v>
      </c>
      <c r="L11" s="20">
        <f>COUNTIFS(MASTER!$B:$B,"SUB ROSA",MASTER!$J:$J,$A11)</f>
        <v>24</v>
      </c>
      <c r="M11" s="20">
        <f>COUNTIFS(MASTER!$B:$B,"VENGEANCE",MASTER!$J:$J,$A11)</f>
        <v>10</v>
      </c>
      <c r="N11" s="20">
        <f>COUNTIFS(MASTER!$B:$B,"VENDETTA",MASTER!$J:$J,$A11)</f>
        <v>46</v>
      </c>
      <c r="O11" s="20">
        <f>COUNTIFS(MASTER!$B:$B,"ZOMBIES",MASTER!$J:$J,$A11)</f>
        <v>57</v>
      </c>
      <c r="P11" s="45">
        <f t="shared" si="0"/>
        <v>208</v>
      </c>
    </row>
    <row r="12" spans="1:16">
      <c r="A12" s="46" t="s">
        <v>141</v>
      </c>
      <c r="B12" s="47">
        <f t="shared" ref="B12:P12" si="1">SUM(B5:B11)</f>
        <v>99</v>
      </c>
      <c r="C12" s="47">
        <f t="shared" si="1"/>
        <v>97</v>
      </c>
      <c r="D12" s="47">
        <f t="shared" si="1"/>
        <v>95</v>
      </c>
      <c r="E12" s="47">
        <f t="shared" si="1"/>
        <v>96</v>
      </c>
      <c r="F12" s="47">
        <f t="shared" si="1"/>
        <v>97</v>
      </c>
      <c r="G12" s="47">
        <f t="shared" si="1"/>
        <v>101</v>
      </c>
      <c r="H12" s="47">
        <f t="shared" si="1"/>
        <v>97</v>
      </c>
      <c r="I12" s="47">
        <f t="shared" si="1"/>
        <v>94</v>
      </c>
      <c r="J12" s="47">
        <f t="shared" si="1"/>
        <v>99</v>
      </c>
      <c r="K12" s="47">
        <f t="shared" si="1"/>
        <v>97</v>
      </c>
      <c r="L12" s="47">
        <f t="shared" si="1"/>
        <v>68</v>
      </c>
      <c r="M12" s="47">
        <f t="shared" si="1"/>
        <v>94</v>
      </c>
      <c r="N12" s="47">
        <f t="shared" si="1"/>
        <v>93</v>
      </c>
      <c r="O12" s="47">
        <f t="shared" si="1"/>
        <v>98</v>
      </c>
      <c r="P12" s="47">
        <f t="shared" si="1"/>
        <v>1325</v>
      </c>
    </row>
    <row r="14" spans="1:16" ht="19.5" customHeight="1">
      <c r="A14" s="91" t="s">
        <v>149</v>
      </c>
      <c r="B14" s="91"/>
      <c r="C14" s="91"/>
      <c r="D14" s="91"/>
      <c r="E14" s="91"/>
      <c r="F14" s="91"/>
      <c r="G14" s="91"/>
      <c r="H14" s="91"/>
      <c r="I14" s="91"/>
      <c r="J14" s="91"/>
      <c r="K14" s="91"/>
      <c r="L14" s="91"/>
      <c r="M14" s="91"/>
      <c r="N14" s="91"/>
      <c r="O14" s="91"/>
      <c r="P14" s="91"/>
    </row>
    <row r="15" spans="1:16" ht="27.75" customHeight="1">
      <c r="A15" s="13" t="s">
        <v>140</v>
      </c>
      <c r="B15" s="13" t="s">
        <v>66</v>
      </c>
      <c r="C15" s="13" t="s">
        <v>105</v>
      </c>
      <c r="D15" s="13" t="s">
        <v>86</v>
      </c>
      <c r="E15" s="13" t="s">
        <v>107</v>
      </c>
      <c r="F15" s="13" t="s">
        <v>108</v>
      </c>
      <c r="G15" s="13" t="s">
        <v>110</v>
      </c>
      <c r="H15" s="13" t="s">
        <v>111</v>
      </c>
      <c r="I15" s="13" t="s">
        <v>112</v>
      </c>
      <c r="J15" s="13" t="s">
        <v>113</v>
      </c>
      <c r="K15" s="13" t="s">
        <v>114</v>
      </c>
      <c r="L15" s="13" t="s">
        <v>115</v>
      </c>
      <c r="M15" s="13" t="s">
        <v>116</v>
      </c>
      <c r="N15" s="13" t="s">
        <v>117</v>
      </c>
      <c r="O15" s="13" t="s">
        <v>118</v>
      </c>
      <c r="P15" s="13" t="s">
        <v>141</v>
      </c>
    </row>
    <row r="16" spans="1:16">
      <c r="A16" s="44" t="s">
        <v>71</v>
      </c>
      <c r="B16" s="20">
        <f>COUNTIFS(MASTER!$B:$B,"FUCT",MASTER!$E:$E,$A16)</f>
        <v>19</v>
      </c>
      <c r="C16" s="20">
        <f>COUNTIFS(MASTER!$B:$B,"LEGENDS",MASTER!$E:$E,$A16)</f>
        <v>23</v>
      </c>
      <c r="D16" s="20">
        <f>COUNTIFS(MASTER!$B:$B,"VANGUARD",MASTER!$E:$E,$A16)</f>
        <v>18</v>
      </c>
      <c r="E16" s="20">
        <f>COUNTIFS(MASTER!$B:$B,"UNDYING",MASTER!$E:$E,$A16)</f>
        <v>15</v>
      </c>
      <c r="F16" s="20">
        <f>COUNTIFS(MASTER!$B:$B,"SBG",MASTER!$E:$E,$A16)</f>
        <v>16</v>
      </c>
      <c r="G16" s="20">
        <f>COUNTIFS(MASTER!$B:$B,"AZUKI",MASTER!$E:$E,$A16)</f>
        <v>17</v>
      </c>
      <c r="H16" s="20">
        <f>COUNTIFS(MASTER!$B:$B,"RECKONING",MASTER!$E:$E,$A16)</f>
        <v>14</v>
      </c>
      <c r="I16" s="20">
        <f>COUNTIFS(MASTER!$B:$B,"ACHERON",MASTER!$E:$E,$A16)</f>
        <v>12</v>
      </c>
      <c r="J16" s="20">
        <f>COUNTIFS(MASTER!$B:$B,"INVICTUS",MASTER!$E:$E,$A16)</f>
        <v>18</v>
      </c>
      <c r="K16" s="20">
        <f>COUNTIFS(MASTER!$B:$B,"EMERALD LEAF TRIBE",MASTER!$E:$E,$A16)</f>
        <v>12</v>
      </c>
      <c r="L16" s="20">
        <f>COUNTIFS(MASTER!$B:$B,"SUB ROSA",MASTER!$E:$E,$A16)</f>
        <v>9</v>
      </c>
      <c r="M16" s="20">
        <f>COUNTIFS(MASTER!$B:$B,"VENGEANCE",MASTER!$E:$E,$A16)</f>
        <v>8</v>
      </c>
      <c r="N16" s="20">
        <f>COUNTIFS(MASTER!$B:$B,"VENDETTA",MASTER!$E:$E,$A16)</f>
        <v>15</v>
      </c>
      <c r="O16" s="20">
        <f>COUNTIFS(MASTER!$B:$B,"ZOMBIES",MASTER!$E:$E,$A16)</f>
        <v>18</v>
      </c>
      <c r="P16" s="45">
        <f t="shared" ref="P16:P25" si="2">SUM($B16:$O16)</f>
        <v>214</v>
      </c>
    </row>
    <row r="17" spans="1:16">
      <c r="A17" s="44" t="s">
        <v>72</v>
      </c>
      <c r="B17" s="20">
        <f>COUNTIFS(MASTER!$B:$B,"FUCT",MASTER!$E:$E,$A17)</f>
        <v>7</v>
      </c>
      <c r="C17" s="20">
        <f>COUNTIFS(MASTER!$B:$B,"LEGENDS",MASTER!$E:$E,$A17)</f>
        <v>7</v>
      </c>
      <c r="D17" s="20">
        <f>COUNTIFS(MASTER!$B:$B,"VANGUARD",MASTER!$E:$E,$A17)</f>
        <v>5</v>
      </c>
      <c r="E17" s="20">
        <f>COUNTIFS(MASTER!$B:$B,"UNDYING",MASTER!$E:$E,$A17)</f>
        <v>8</v>
      </c>
      <c r="F17" s="20">
        <f>COUNTIFS(MASTER!$B:$B,"SBG",MASTER!$E:$E,$A17)</f>
        <v>5</v>
      </c>
      <c r="G17" s="20">
        <f>COUNTIFS(MASTER!$B:$B,"AZUKI",MASTER!$E:$E,$A17)</f>
        <v>5</v>
      </c>
      <c r="H17" s="20">
        <f>COUNTIFS(MASTER!$B:$B,"RECKONING",MASTER!$E:$E,$A17)</f>
        <v>5</v>
      </c>
      <c r="I17" s="20">
        <f>COUNTIFS(MASTER!$B:$B,"ACHERON",MASTER!$E:$E,$A17)</f>
        <v>18</v>
      </c>
      <c r="J17" s="20">
        <f>COUNTIFS(MASTER!$B:$B,"INVICTUS",MASTER!$E:$E,$A17)</f>
        <v>6</v>
      </c>
      <c r="K17" s="20">
        <f>COUNTIFS(MASTER!$B:$B,"EMERALD LEAF TRIBE",MASTER!$E:$E,$A17)</f>
        <v>8</v>
      </c>
      <c r="L17" s="20">
        <f>COUNTIFS(MASTER!$B:$B,"SUB ROSA",MASTER!$E:$E,$A17)</f>
        <v>4</v>
      </c>
      <c r="M17" s="20">
        <f>COUNTIFS(MASTER!$B:$B,"VENGEANCE",MASTER!$E:$E,$A17)</f>
        <v>6</v>
      </c>
      <c r="N17" s="20">
        <f>COUNTIFS(MASTER!$B:$B,"VENDETTA",MASTER!$E:$E,$A17)</f>
        <v>7</v>
      </c>
      <c r="O17" s="20">
        <f>COUNTIFS(MASTER!$B:$B,"ZOMBIES",MASTER!$E:$E,$A17)</f>
        <v>2</v>
      </c>
      <c r="P17" s="45">
        <f t="shared" si="2"/>
        <v>93</v>
      </c>
    </row>
    <row r="18" spans="1:16">
      <c r="A18" s="44" t="s">
        <v>73</v>
      </c>
      <c r="B18" s="20">
        <f>COUNTIFS(MASTER!$B:$B,"FUCT",MASTER!$E:$E,$A18)</f>
        <v>7</v>
      </c>
      <c r="C18" s="20">
        <f>COUNTIFS(MASTER!$B:$B,"LEGENDS",MASTER!$E:$E,$A18)</f>
        <v>10</v>
      </c>
      <c r="D18" s="20">
        <f>COUNTIFS(MASTER!$B:$B,"VANGUARD",MASTER!$E:$E,$A18)</f>
        <v>11</v>
      </c>
      <c r="E18" s="20">
        <f>COUNTIFS(MASTER!$B:$B,"UNDYING",MASTER!$E:$E,$A18)</f>
        <v>8</v>
      </c>
      <c r="F18" s="20">
        <f>COUNTIFS(MASTER!$B:$B,"SBG",MASTER!$E:$E,$A18)</f>
        <v>11</v>
      </c>
      <c r="G18" s="20">
        <f>COUNTIFS(MASTER!$B:$B,"AZUKI",MASTER!$E:$E,$A18)</f>
        <v>14</v>
      </c>
      <c r="H18" s="20">
        <f>COUNTIFS(MASTER!$B:$B,"RECKONING",MASTER!$E:$E,$A18)</f>
        <v>11</v>
      </c>
      <c r="I18" s="20">
        <f>COUNTIFS(MASTER!$B:$B,"ACHERON",MASTER!$E:$E,$A18)</f>
        <v>8</v>
      </c>
      <c r="J18" s="20">
        <f>COUNTIFS(MASTER!$B:$B,"INVICTUS",MASTER!$E:$E,$A18)</f>
        <v>8</v>
      </c>
      <c r="K18" s="20">
        <f>COUNTIFS(MASTER!$B:$B,"EMERALD LEAF TRIBE",MASTER!$E:$E,$A18)</f>
        <v>10</v>
      </c>
      <c r="L18" s="20">
        <f>COUNTIFS(MASTER!$B:$B,"SUB ROSA",MASTER!$E:$E,$A18)</f>
        <v>4</v>
      </c>
      <c r="M18" s="20">
        <f>COUNTIFS(MASTER!$B:$B,"VENGEANCE",MASTER!$E:$E,$A18)</f>
        <v>10</v>
      </c>
      <c r="N18" s="20">
        <f>COUNTIFS(MASTER!$B:$B,"VENDETTA",MASTER!$E:$E,$A18)</f>
        <v>5</v>
      </c>
      <c r="O18" s="20">
        <f>COUNTIFS(MASTER!$B:$B,"ZOMBIES",MASTER!$E:$E,$A18)</f>
        <v>7</v>
      </c>
      <c r="P18" s="45">
        <f t="shared" si="2"/>
        <v>124</v>
      </c>
    </row>
    <row r="19" spans="1:16">
      <c r="A19" s="44" t="s">
        <v>74</v>
      </c>
      <c r="B19" s="20">
        <f>COUNTIFS(MASTER!$B:$B,"FUCT",MASTER!$E:$E,$A19)</f>
        <v>18</v>
      </c>
      <c r="C19" s="20">
        <f>COUNTIFS(MASTER!$B:$B,"LEGENDS",MASTER!$E:$E,$A19)</f>
        <v>8</v>
      </c>
      <c r="D19" s="20">
        <f>COUNTIFS(MASTER!$B:$B,"VANGUARD",MASTER!$E:$E,$A19)</f>
        <v>19</v>
      </c>
      <c r="E19" s="20">
        <f>COUNTIFS(MASTER!$B:$B,"UNDYING",MASTER!$E:$E,$A19)</f>
        <v>18</v>
      </c>
      <c r="F19" s="20">
        <f>COUNTIFS(MASTER!$B:$B,"SBG",MASTER!$E:$E,$A19)</f>
        <v>16</v>
      </c>
      <c r="G19" s="20">
        <f>COUNTIFS(MASTER!$B:$B,"AZUKI",MASTER!$E:$E,$A19)</f>
        <v>16</v>
      </c>
      <c r="H19" s="20">
        <f>COUNTIFS(MASTER!$B:$B,"RECKONING",MASTER!$E:$E,$A19)</f>
        <v>12</v>
      </c>
      <c r="I19" s="20">
        <f>COUNTIFS(MASTER!$B:$B,"ACHERON",MASTER!$E:$E,$A19)</f>
        <v>14</v>
      </c>
      <c r="J19" s="20">
        <f>COUNTIFS(MASTER!$B:$B,"INVICTUS",MASTER!$E:$E,$A19)</f>
        <v>15</v>
      </c>
      <c r="K19" s="20">
        <f>COUNTIFS(MASTER!$B:$B,"EMERALD LEAF TRIBE",MASTER!$E:$E,$A19)</f>
        <v>9</v>
      </c>
      <c r="L19" s="20">
        <f>COUNTIFS(MASTER!$B:$B,"SUB ROSA",MASTER!$E:$E,$A19)</f>
        <v>6</v>
      </c>
      <c r="M19" s="20">
        <f>COUNTIFS(MASTER!$B:$B,"VENGEANCE",MASTER!$E:$E,$A19)</f>
        <v>18</v>
      </c>
      <c r="N19" s="20">
        <f>COUNTIFS(MASTER!$B:$B,"VENDETTA",MASTER!$E:$E,$A19)</f>
        <v>6</v>
      </c>
      <c r="O19" s="20">
        <f>COUNTIFS(MASTER!$B:$B,"ZOMBIES",MASTER!$E:$E,$A19)</f>
        <v>16</v>
      </c>
      <c r="P19" s="45">
        <f t="shared" si="2"/>
        <v>191</v>
      </c>
    </row>
    <row r="20" spans="1:16">
      <c r="A20" s="44" t="s">
        <v>75</v>
      </c>
      <c r="B20" s="20">
        <f>COUNTIFS(MASTER!$B:$B,"FUCT",MASTER!$E:$E,$A20)</f>
        <v>5</v>
      </c>
      <c r="C20" s="20">
        <f>COUNTIFS(MASTER!$B:$B,"LEGENDS",MASTER!$E:$E,$A20)</f>
        <v>7</v>
      </c>
      <c r="D20" s="20">
        <f>COUNTIFS(MASTER!$B:$B,"VANGUARD",MASTER!$E:$E,$A20)</f>
        <v>4</v>
      </c>
      <c r="E20" s="20">
        <f>COUNTIFS(MASTER!$B:$B,"UNDYING",MASTER!$E:$E,$A20)</f>
        <v>7</v>
      </c>
      <c r="F20" s="20">
        <f>COUNTIFS(MASTER!$B:$B,"SBG",MASTER!$E:$E,$A20)</f>
        <v>4</v>
      </c>
      <c r="G20" s="20">
        <f>COUNTIFS(MASTER!$B:$B,"AZUKI",MASTER!$E:$E,$A20)</f>
        <v>3</v>
      </c>
      <c r="H20" s="20">
        <f>COUNTIFS(MASTER!$B:$B,"RECKONING",MASTER!$E:$E,$A20)</f>
        <v>3</v>
      </c>
      <c r="I20" s="20">
        <f>COUNTIFS(MASTER!$B:$B,"ACHERON",MASTER!$E:$E,$A20)</f>
        <v>4</v>
      </c>
      <c r="J20" s="20">
        <f>COUNTIFS(MASTER!$B:$B,"INVICTUS",MASTER!$E:$E,$A20)</f>
        <v>4</v>
      </c>
      <c r="K20" s="20">
        <f>COUNTIFS(MASTER!$B:$B,"EMERALD LEAF TRIBE",MASTER!$E:$E,$A20)</f>
        <v>8</v>
      </c>
      <c r="L20" s="20">
        <f>COUNTIFS(MASTER!$B:$B,"SUB ROSA",MASTER!$E:$E,$A20)</f>
        <v>1</v>
      </c>
      <c r="M20" s="20">
        <f>COUNTIFS(MASTER!$B:$B,"VENGEANCE",MASTER!$E:$E,$A20)</f>
        <v>6</v>
      </c>
      <c r="N20" s="20">
        <f>COUNTIFS(MASTER!$B:$B,"VENDETTA",MASTER!$E:$E,$A20)</f>
        <v>10</v>
      </c>
      <c r="O20" s="20">
        <f>COUNTIFS(MASTER!$B:$B,"ZOMBIES",MASTER!$E:$E,$A20)</f>
        <v>5</v>
      </c>
      <c r="P20" s="45">
        <f t="shared" si="2"/>
        <v>71</v>
      </c>
    </row>
    <row r="21" spans="1:16">
      <c r="A21" s="44" t="s">
        <v>76</v>
      </c>
      <c r="B21" s="20">
        <f>COUNTIFS(MASTER!$B:$B,"FUCT",MASTER!$E:$E,$A21)</f>
        <v>3</v>
      </c>
      <c r="C21" s="20">
        <f>COUNTIFS(MASTER!$B:$B,"LEGENDS",MASTER!$E:$E,$A21)</f>
        <v>5</v>
      </c>
      <c r="D21" s="20">
        <f>COUNTIFS(MASTER!$B:$B,"VANGUARD",MASTER!$E:$E,$A21)</f>
        <v>2</v>
      </c>
      <c r="E21" s="20">
        <f>COUNTIFS(MASTER!$B:$B,"UNDYING",MASTER!$E:$E,$A21)</f>
        <v>1</v>
      </c>
      <c r="F21" s="20">
        <f>COUNTIFS(MASTER!$B:$B,"SBG",MASTER!$E:$E,$A21)</f>
        <v>7</v>
      </c>
      <c r="G21" s="20">
        <f>COUNTIFS(MASTER!$B:$B,"AZUKI",MASTER!$E:$E,$A21)</f>
        <v>2</v>
      </c>
      <c r="H21" s="20">
        <f>COUNTIFS(MASTER!$B:$B,"RECKONING",MASTER!$E:$E,$A21)</f>
        <v>4</v>
      </c>
      <c r="I21" s="20">
        <f>COUNTIFS(MASTER!$B:$B,"ACHERON",MASTER!$E:$E,$A21)</f>
        <v>2</v>
      </c>
      <c r="J21" s="20">
        <f>COUNTIFS(MASTER!$B:$B,"INVICTUS",MASTER!$E:$E,$A21)</f>
        <v>3</v>
      </c>
      <c r="K21" s="20">
        <f>COUNTIFS(MASTER!$B:$B,"EMERALD LEAF TRIBE",MASTER!$E:$E,$A21)</f>
        <v>1</v>
      </c>
      <c r="L21" s="20">
        <f>COUNTIFS(MASTER!$B:$B,"SUB ROSA",MASTER!$E:$E,$A21)</f>
        <v>3</v>
      </c>
      <c r="M21" s="20">
        <f>COUNTIFS(MASTER!$B:$B,"VENGEANCE",MASTER!$E:$E,$A21)</f>
        <v>3</v>
      </c>
      <c r="N21" s="20">
        <f>COUNTIFS(MASTER!$B:$B,"VENDETTA",MASTER!$E:$E,$A21)</f>
        <v>0</v>
      </c>
      <c r="O21" s="20">
        <f>COUNTIFS(MASTER!$B:$B,"ZOMBIES",MASTER!$E:$E,$A21)</f>
        <v>3</v>
      </c>
      <c r="P21" s="45">
        <f t="shared" si="2"/>
        <v>39</v>
      </c>
    </row>
    <row r="22" spans="1:16">
      <c r="A22" s="44" t="s">
        <v>77</v>
      </c>
      <c r="B22" s="20">
        <f>COUNTIFS(MASTER!$B:$B,"FUCT",MASTER!$E:$E,$A22)</f>
        <v>6</v>
      </c>
      <c r="C22" s="20">
        <f>COUNTIFS(MASTER!$B:$B,"LEGENDS",MASTER!$E:$E,$A22)</f>
        <v>1</v>
      </c>
      <c r="D22" s="20">
        <f>COUNTIFS(MASTER!$B:$B,"VANGUARD",MASTER!$E:$E,$A22)</f>
        <v>4</v>
      </c>
      <c r="E22" s="20">
        <f>COUNTIFS(MASTER!$B:$B,"UNDYING",MASTER!$E:$E,$A22)</f>
        <v>11</v>
      </c>
      <c r="F22" s="20">
        <f>COUNTIFS(MASTER!$B:$B,"SBG",MASTER!$E:$E,$A22)</f>
        <v>3</v>
      </c>
      <c r="G22" s="20">
        <f>COUNTIFS(MASTER!$B:$B,"AZUKI",MASTER!$E:$E,$A22)</f>
        <v>3</v>
      </c>
      <c r="H22" s="20">
        <f>COUNTIFS(MASTER!$B:$B,"RECKONING",MASTER!$E:$E,$A22)</f>
        <v>8</v>
      </c>
      <c r="I22" s="20">
        <f>COUNTIFS(MASTER!$B:$B,"ACHERON",MASTER!$E:$E,$A22)</f>
        <v>8</v>
      </c>
      <c r="J22" s="20">
        <f>COUNTIFS(MASTER!$B:$B,"INVICTUS",MASTER!$E:$E,$A22)</f>
        <v>11</v>
      </c>
      <c r="K22" s="20">
        <f>COUNTIFS(MASTER!$B:$B,"EMERALD LEAF TRIBE",MASTER!$E:$E,$A22)</f>
        <v>12</v>
      </c>
      <c r="L22" s="20">
        <f>COUNTIFS(MASTER!$B:$B,"SUB ROSA",MASTER!$E:$E,$A22)</f>
        <v>12</v>
      </c>
      <c r="M22" s="20">
        <f>COUNTIFS(MASTER!$B:$B,"VENGEANCE",MASTER!$E:$E,$A22)</f>
        <v>8</v>
      </c>
      <c r="N22" s="20">
        <f>COUNTIFS(MASTER!$B:$B,"VENDETTA",MASTER!$E:$E,$A22)</f>
        <v>16</v>
      </c>
      <c r="O22" s="20">
        <f>COUNTIFS(MASTER!$B:$B,"ZOMBIES",MASTER!$E:$E,$A22)</f>
        <v>5</v>
      </c>
      <c r="P22" s="45">
        <f t="shared" si="2"/>
        <v>108</v>
      </c>
    </row>
    <row r="23" spans="1:16">
      <c r="A23" s="44" t="s">
        <v>78</v>
      </c>
      <c r="B23" s="20">
        <f>COUNTIFS(MASTER!$B:$B,"FUCT",MASTER!$E:$E,$A23)</f>
        <v>6</v>
      </c>
      <c r="C23" s="20">
        <f>COUNTIFS(MASTER!$B:$B,"LEGENDS",MASTER!$E:$E,$A23)</f>
        <v>1</v>
      </c>
      <c r="D23" s="20">
        <f>COUNTIFS(MASTER!$B:$B,"VANGUARD",MASTER!$E:$E,$A23)</f>
        <v>4</v>
      </c>
      <c r="E23" s="20">
        <f>COUNTIFS(MASTER!$B:$B,"UNDYING",MASTER!$E:$E,$A23)</f>
        <v>2</v>
      </c>
      <c r="F23" s="20">
        <f>COUNTIFS(MASTER!$B:$B,"SBG",MASTER!$E:$E,$A23)</f>
        <v>3</v>
      </c>
      <c r="G23" s="20">
        <f>COUNTIFS(MASTER!$B:$B,"AZUKI",MASTER!$E:$E,$A23)</f>
        <v>8</v>
      </c>
      <c r="H23" s="20">
        <f>COUNTIFS(MASTER!$B:$B,"RECKONING",MASTER!$E:$E,$A23)</f>
        <v>4</v>
      </c>
      <c r="I23" s="20">
        <f>COUNTIFS(MASTER!$B:$B,"ACHERON",MASTER!$E:$E,$A23)</f>
        <v>1</v>
      </c>
      <c r="J23" s="20">
        <f>COUNTIFS(MASTER!$B:$B,"INVICTUS",MASTER!$E:$E,$A23)</f>
        <v>4</v>
      </c>
      <c r="K23" s="20">
        <f>COUNTIFS(MASTER!$B:$B,"EMERALD LEAF TRIBE",MASTER!$E:$E,$A23)</f>
        <v>9</v>
      </c>
      <c r="L23" s="20">
        <f>COUNTIFS(MASTER!$B:$B,"SUB ROSA",MASTER!$E:$E,$A23)</f>
        <v>7</v>
      </c>
      <c r="M23" s="20">
        <f>COUNTIFS(MASTER!$B:$B,"VENGEANCE",MASTER!$E:$E,$A23)</f>
        <v>5</v>
      </c>
      <c r="N23" s="20">
        <f>COUNTIFS(MASTER!$B:$B,"VENDETTA",MASTER!$E:$E,$A23)</f>
        <v>5</v>
      </c>
      <c r="O23" s="20">
        <f>COUNTIFS(MASTER!$B:$B,"ZOMBIES",MASTER!$E:$E,$A23)</f>
        <v>8</v>
      </c>
      <c r="P23" s="45">
        <f t="shared" si="2"/>
        <v>67</v>
      </c>
    </row>
    <row r="24" spans="1:16">
      <c r="A24" s="44" t="s">
        <v>79</v>
      </c>
      <c r="B24" s="20">
        <f>COUNTIFS(MASTER!$B:$B,"FUCT",MASTER!$E:$E,$A24)</f>
        <v>17</v>
      </c>
      <c r="C24" s="20">
        <f>COUNTIFS(MASTER!$B:$B,"LEGENDS",MASTER!$E:$E,$A24)</f>
        <v>31</v>
      </c>
      <c r="D24" s="20">
        <f>COUNTIFS(MASTER!$B:$B,"VANGUARD",MASTER!$E:$E,$A24)</f>
        <v>23</v>
      </c>
      <c r="E24" s="20">
        <f>COUNTIFS(MASTER!$B:$B,"UNDYING",MASTER!$E:$E,$A24)</f>
        <v>20</v>
      </c>
      <c r="F24" s="20">
        <f>COUNTIFS(MASTER!$B:$B,"SBG",MASTER!$E:$E,$A24)</f>
        <v>28</v>
      </c>
      <c r="G24" s="20">
        <f>COUNTIFS(MASTER!$B:$B,"AZUKI",MASTER!$E:$E,$A24)</f>
        <v>25</v>
      </c>
      <c r="H24" s="20">
        <f>COUNTIFS(MASTER!$B:$B,"RECKONING",MASTER!$E:$E,$A24)</f>
        <v>31</v>
      </c>
      <c r="I24" s="20">
        <f>COUNTIFS(MASTER!$B:$B,"ACHERON",MASTER!$E:$E,$A24)</f>
        <v>18</v>
      </c>
      <c r="J24" s="20">
        <f>COUNTIFS(MASTER!$B:$B,"INVICTUS",MASTER!$E:$E,$A24)</f>
        <v>25</v>
      </c>
      <c r="K24" s="20">
        <f>COUNTIFS(MASTER!$B:$B,"EMERALD LEAF TRIBE",MASTER!$E:$E,$A24)</f>
        <v>20</v>
      </c>
      <c r="L24" s="20">
        <f>COUNTIFS(MASTER!$B:$B,"SUB ROSA",MASTER!$E:$E,$A24)</f>
        <v>18</v>
      </c>
      <c r="M24" s="20">
        <f>COUNTIFS(MASTER!$B:$B,"VENGEANCE",MASTER!$E:$E,$A24)</f>
        <v>22</v>
      </c>
      <c r="N24" s="20">
        <f>COUNTIFS(MASTER!$B:$B,"VENDETTA",MASTER!$E:$E,$A24)</f>
        <v>20</v>
      </c>
      <c r="O24" s="20">
        <f>COUNTIFS(MASTER!$B:$B,"ZOMBIES",MASTER!$E:$E,$A24)</f>
        <v>28</v>
      </c>
      <c r="P24" s="45">
        <f t="shared" si="2"/>
        <v>326</v>
      </c>
    </row>
    <row r="25" spans="1:16">
      <c r="A25" s="44" t="s">
        <v>80</v>
      </c>
      <c r="B25" s="20">
        <f>COUNTIFS(MASTER!$B:$B,"FUCT",MASTER!$E:$E,$A25)</f>
        <v>11</v>
      </c>
      <c r="C25" s="20">
        <f>COUNTIFS(MASTER!$B:$B,"LEGENDS",MASTER!$E:$E,$A25)</f>
        <v>4</v>
      </c>
      <c r="D25" s="20">
        <f>COUNTIFS(MASTER!$B:$B,"VANGUARD",MASTER!$E:$E,$A25)</f>
        <v>5</v>
      </c>
      <c r="E25" s="20">
        <f>COUNTIFS(MASTER!$B:$B,"UNDYING",MASTER!$E:$E,$A25)</f>
        <v>6</v>
      </c>
      <c r="F25" s="20">
        <f>COUNTIFS(MASTER!$B:$B,"SBG",MASTER!$E:$E,$A25)</f>
        <v>4</v>
      </c>
      <c r="G25" s="20">
        <f>COUNTIFS(MASTER!$B:$B,"AZUKI",MASTER!$E:$E,$A25)</f>
        <v>8</v>
      </c>
      <c r="H25" s="20">
        <f>COUNTIFS(MASTER!$B:$B,"RECKONING",MASTER!$E:$E,$A25)</f>
        <v>5</v>
      </c>
      <c r="I25" s="20">
        <f>COUNTIFS(MASTER!$B:$B,"ACHERON",MASTER!$E:$E,$A25)</f>
        <v>9</v>
      </c>
      <c r="J25" s="20">
        <f>COUNTIFS(MASTER!$B:$B,"INVICTUS",MASTER!$E:$E,$A25)</f>
        <v>5</v>
      </c>
      <c r="K25" s="20">
        <f>COUNTIFS(MASTER!$B:$B,"EMERALD LEAF TRIBE",MASTER!$E:$E,$A25)</f>
        <v>8</v>
      </c>
      <c r="L25" s="20">
        <f>COUNTIFS(MASTER!$B:$B,"SUB ROSA",MASTER!$E:$E,$A25)</f>
        <v>4</v>
      </c>
      <c r="M25" s="20">
        <f>COUNTIFS(MASTER!$B:$B,"VENGEANCE",MASTER!$E:$E,$A25)</f>
        <v>8</v>
      </c>
      <c r="N25" s="20">
        <f>COUNTIFS(MASTER!$B:$B,"VENDETTA",MASTER!$E:$E,$A25)</f>
        <v>9</v>
      </c>
      <c r="O25" s="20">
        <f>COUNTIFS(MASTER!$B:$B,"ZOMBIES",MASTER!$E:$E,$A25)</f>
        <v>6</v>
      </c>
      <c r="P25" s="45">
        <f t="shared" si="2"/>
        <v>92</v>
      </c>
    </row>
    <row r="26" spans="1:16">
      <c r="A26" s="46" t="s">
        <v>141</v>
      </c>
      <c r="B26" s="47">
        <f t="shared" ref="B26:P26" si="3">SUM(B16:B25)</f>
        <v>99</v>
      </c>
      <c r="C26" s="47">
        <f t="shared" si="3"/>
        <v>97</v>
      </c>
      <c r="D26" s="47">
        <f t="shared" si="3"/>
        <v>95</v>
      </c>
      <c r="E26" s="47">
        <f t="shared" si="3"/>
        <v>96</v>
      </c>
      <c r="F26" s="47">
        <f t="shared" si="3"/>
        <v>97</v>
      </c>
      <c r="G26" s="47">
        <f t="shared" si="3"/>
        <v>101</v>
      </c>
      <c r="H26" s="47">
        <f t="shared" si="3"/>
        <v>97</v>
      </c>
      <c r="I26" s="47">
        <f t="shared" si="3"/>
        <v>94</v>
      </c>
      <c r="J26" s="47">
        <f t="shared" si="3"/>
        <v>99</v>
      </c>
      <c r="K26" s="47">
        <f t="shared" si="3"/>
        <v>97</v>
      </c>
      <c r="L26" s="47">
        <f t="shared" si="3"/>
        <v>68</v>
      </c>
      <c r="M26" s="47">
        <f t="shared" si="3"/>
        <v>94</v>
      </c>
      <c r="N26" s="47">
        <f t="shared" si="3"/>
        <v>93</v>
      </c>
      <c r="O26" s="47">
        <f t="shared" si="3"/>
        <v>98</v>
      </c>
      <c r="P26" s="47">
        <f t="shared" si="3"/>
        <v>1325</v>
      </c>
    </row>
    <row r="28" spans="1:16" ht="19.5" customHeight="1">
      <c r="A28" s="91" t="s">
        <v>150</v>
      </c>
      <c r="B28" s="91"/>
      <c r="C28" s="91"/>
      <c r="D28" s="91"/>
      <c r="E28" s="91"/>
      <c r="F28" s="91"/>
      <c r="G28" s="91"/>
      <c r="H28" s="91"/>
      <c r="I28" s="91"/>
      <c r="J28" s="91"/>
      <c r="K28" s="91"/>
      <c r="L28" s="91"/>
      <c r="M28" s="91"/>
      <c r="N28" s="91"/>
      <c r="O28" s="91"/>
      <c r="P28" s="91"/>
    </row>
    <row r="29" spans="1:16" ht="27.75" customHeight="1">
      <c r="A29" s="13" t="s">
        <v>140</v>
      </c>
      <c r="B29" s="13" t="s">
        <v>66</v>
      </c>
      <c r="C29" s="13" t="s">
        <v>105</v>
      </c>
      <c r="D29" s="13" t="s">
        <v>86</v>
      </c>
      <c r="E29" s="13" t="s">
        <v>107</v>
      </c>
      <c r="F29" s="13" t="s">
        <v>108</v>
      </c>
      <c r="G29" s="13" t="s">
        <v>110</v>
      </c>
      <c r="H29" s="13" t="s">
        <v>111</v>
      </c>
      <c r="I29" s="13" t="s">
        <v>112</v>
      </c>
      <c r="J29" s="13" t="s">
        <v>113</v>
      </c>
      <c r="K29" s="13" t="s">
        <v>114</v>
      </c>
      <c r="L29" s="13" t="s">
        <v>115</v>
      </c>
      <c r="M29" s="13" t="s">
        <v>116</v>
      </c>
      <c r="N29" s="13" t="s">
        <v>117</v>
      </c>
      <c r="O29" s="13" t="s">
        <v>118</v>
      </c>
      <c r="P29" s="13" t="s">
        <v>141</v>
      </c>
    </row>
    <row r="30" spans="1:16">
      <c r="A30" s="44" t="s">
        <v>151</v>
      </c>
      <c r="B30" s="20">
        <f>COUNTIFS(MASTER!$B:$B,"FUCT",MASTER!$H:$H,$A30)</f>
        <v>4</v>
      </c>
      <c r="C30" s="20">
        <f>COUNTIFS(MASTER!$B:$B,"LEGENDS",MASTER!$H:$H,$A30)</f>
        <v>5</v>
      </c>
      <c r="D30" s="20">
        <f>COUNTIFS(MASTER!$B:$B,"VANGUARD",MASTER!$H:$H,$A30)</f>
        <v>18</v>
      </c>
      <c r="E30" s="20">
        <f>COUNTIFS(MASTER!$B:$B,"UNDYING",MASTER!$H:$H,$A30)</f>
        <v>2</v>
      </c>
      <c r="F30" s="20">
        <f>COUNTIFS(MASTER!$B:$B,"SBG",MASTER!$H:$H,$A30)</f>
        <v>13</v>
      </c>
      <c r="G30" s="20">
        <f>COUNTIFS(MASTER!$B:$B,"AZUKI",MASTER!$H:$H,$A30)</f>
        <v>15</v>
      </c>
      <c r="H30" s="20">
        <f>COUNTIFS(MASTER!$B:$B,"RECKONING",MASTER!$H:$H,$A30)</f>
        <v>9</v>
      </c>
      <c r="I30" s="20">
        <f>COUNTIFS(MASTER!$B:$B,"ACHERON",MASTER!$H:$H,$A30)</f>
        <v>4</v>
      </c>
      <c r="J30" s="20">
        <f>COUNTIFS(MASTER!$B:$B,"INVICTUS",MASTER!$H:$H,$A30)</f>
        <v>1</v>
      </c>
      <c r="K30" s="20">
        <f>COUNTIFS(MASTER!$B:$B,"EMERALD LEAF TRIBE",MASTER!$H:$H,$A30)</f>
        <v>0</v>
      </c>
      <c r="L30" s="20">
        <f>COUNTIFS(MASTER!$B:$B,"SUB ROSA",MASTER!$H:$H,$A30)</f>
        <v>2</v>
      </c>
      <c r="M30" s="20">
        <f>COUNTIFS(MASTER!$B:$B,"VENGEANCE",MASTER!$H:$H,$A30)</f>
        <v>0</v>
      </c>
      <c r="N30" s="20">
        <f>COUNTIFS(MASTER!$B:$B,"VENDETTA",MASTER!$H:$H,$A30)</f>
        <v>0</v>
      </c>
      <c r="O30" s="20">
        <f>COUNTIFS(MASTER!$B:$B,"ZOMBIES",MASTER!$H:$H,$A30)</f>
        <v>0</v>
      </c>
      <c r="P30" s="45">
        <f t="shared" ref="P30:P36" si="4">SUM($B30:$O30)</f>
        <v>73</v>
      </c>
    </row>
    <row r="31" spans="1:16">
      <c r="A31" s="44" t="s">
        <v>152</v>
      </c>
      <c r="B31" s="20">
        <f>COUNTIFS(MASTER!$B:$B,"FUCT",MASTER!$H:$H,$A31)</f>
        <v>40</v>
      </c>
      <c r="C31" s="20">
        <f>COUNTIFS(MASTER!$B:$B,"LEGENDS",MASTER!$H:$H,$A31)</f>
        <v>46</v>
      </c>
      <c r="D31" s="20">
        <f>COUNTIFS(MASTER!$B:$B,"VANGUARD",MASTER!$H:$H,$A31)</f>
        <v>46</v>
      </c>
      <c r="E31" s="20">
        <f>COUNTIFS(MASTER!$B:$B,"UNDYING",MASTER!$H:$H,$A31)</f>
        <v>40</v>
      </c>
      <c r="F31" s="20">
        <f>COUNTIFS(MASTER!$B:$B,"SBG",MASTER!$H:$H,$A31)</f>
        <v>33</v>
      </c>
      <c r="G31" s="20">
        <f>COUNTIFS(MASTER!$B:$B,"AZUKI",MASTER!$H:$H,$A31)</f>
        <v>28</v>
      </c>
      <c r="H31" s="20">
        <f>COUNTIFS(MASTER!$B:$B,"RECKONING",MASTER!$H:$H,$A31)</f>
        <v>32</v>
      </c>
      <c r="I31" s="20">
        <f>COUNTIFS(MASTER!$B:$B,"ACHERON",MASTER!$H:$H,$A31)</f>
        <v>26</v>
      </c>
      <c r="J31" s="20">
        <f>COUNTIFS(MASTER!$B:$B,"INVICTUS",MASTER!$H:$H,$A31)</f>
        <v>21</v>
      </c>
      <c r="K31" s="20">
        <f>COUNTIFS(MASTER!$B:$B,"EMERALD LEAF TRIBE",MASTER!$H:$H,$A31)</f>
        <v>5</v>
      </c>
      <c r="L31" s="20">
        <f>COUNTIFS(MASTER!$B:$B,"SUB ROSA",MASTER!$H:$H,$A31)</f>
        <v>9</v>
      </c>
      <c r="M31" s="20">
        <f>COUNTIFS(MASTER!$B:$B,"VENGEANCE",MASTER!$H:$H,$A31)</f>
        <v>22</v>
      </c>
      <c r="N31" s="20">
        <f>COUNTIFS(MASTER!$B:$B,"VENDETTA",MASTER!$H:$H,$A31)</f>
        <v>4</v>
      </c>
      <c r="O31" s="20">
        <f>COUNTIFS(MASTER!$B:$B,"ZOMBIES",MASTER!$H:$H,$A31)</f>
        <v>3</v>
      </c>
      <c r="P31" s="45">
        <f t="shared" si="4"/>
        <v>355</v>
      </c>
    </row>
    <row r="32" spans="1:16">
      <c r="A32" s="44" t="s">
        <v>153</v>
      </c>
      <c r="B32" s="20">
        <f>COUNTIFS(MASTER!$B:$B,"FUCT",MASTER!$H:$H,$A32)</f>
        <v>35</v>
      </c>
      <c r="C32" s="20">
        <f>COUNTIFS(MASTER!$B:$B,"LEGENDS",MASTER!$H:$H,$A32)</f>
        <v>31</v>
      </c>
      <c r="D32" s="20">
        <f>COUNTIFS(MASTER!$B:$B,"VANGUARD",MASTER!$H:$H,$A32)</f>
        <v>20</v>
      </c>
      <c r="E32" s="20">
        <f>COUNTIFS(MASTER!$B:$B,"UNDYING",MASTER!$H:$H,$A32)</f>
        <v>38</v>
      </c>
      <c r="F32" s="20">
        <f>COUNTIFS(MASTER!$B:$B,"SBG",MASTER!$H:$H,$A32)</f>
        <v>25</v>
      </c>
      <c r="G32" s="20">
        <f>COUNTIFS(MASTER!$B:$B,"AZUKI",MASTER!$H:$H,$A32)</f>
        <v>33</v>
      </c>
      <c r="H32" s="20">
        <f>COUNTIFS(MASTER!$B:$B,"RECKONING",MASTER!$H:$H,$A32)</f>
        <v>33</v>
      </c>
      <c r="I32" s="20">
        <f>COUNTIFS(MASTER!$B:$B,"ACHERON",MASTER!$H:$H,$A32)</f>
        <v>37</v>
      </c>
      <c r="J32" s="20">
        <f>COUNTIFS(MASTER!$B:$B,"INVICTUS",MASTER!$H:$H,$A32)</f>
        <v>30</v>
      </c>
      <c r="K32" s="20">
        <f>COUNTIFS(MASTER!$B:$B,"EMERALD LEAF TRIBE",MASTER!$H:$H,$A32)</f>
        <v>21</v>
      </c>
      <c r="L32" s="20">
        <f>COUNTIFS(MASTER!$B:$B,"SUB ROSA",MASTER!$H:$H,$A32)</f>
        <v>21</v>
      </c>
      <c r="M32" s="20">
        <f>COUNTIFS(MASTER!$B:$B,"VENGEANCE",MASTER!$H:$H,$A32)</f>
        <v>28</v>
      </c>
      <c r="N32" s="20">
        <f>COUNTIFS(MASTER!$B:$B,"VENDETTA",MASTER!$H:$H,$A32)</f>
        <v>34</v>
      </c>
      <c r="O32" s="20">
        <f>COUNTIFS(MASTER!$B:$B,"ZOMBIES",MASTER!$H:$H,$A32)</f>
        <v>23</v>
      </c>
      <c r="P32" s="45">
        <f t="shared" si="4"/>
        <v>409</v>
      </c>
    </row>
    <row r="33" spans="1:16">
      <c r="A33" s="44" t="s">
        <v>154</v>
      </c>
      <c r="B33" s="20">
        <f>COUNTIFS(MASTER!$B:$B,"FUCT",MASTER!$H:$H,$A33)</f>
        <v>19</v>
      </c>
      <c r="C33" s="20">
        <f>COUNTIFS(MASTER!$B:$B,"LEGENDS",MASTER!$H:$H,$A33)</f>
        <v>11</v>
      </c>
      <c r="D33" s="20">
        <f>COUNTIFS(MASTER!$B:$B,"VANGUARD",MASTER!$H:$H,$A33)</f>
        <v>9</v>
      </c>
      <c r="E33" s="20">
        <f>COUNTIFS(MASTER!$B:$B,"UNDYING",MASTER!$H:$H,$A33)</f>
        <v>13</v>
      </c>
      <c r="F33" s="20">
        <f>COUNTIFS(MASTER!$B:$B,"SBG",MASTER!$H:$H,$A33)</f>
        <v>20</v>
      </c>
      <c r="G33" s="20">
        <f>COUNTIFS(MASTER!$B:$B,"AZUKI",MASTER!$H:$H,$A33)</f>
        <v>19</v>
      </c>
      <c r="H33" s="20">
        <f>COUNTIFS(MASTER!$B:$B,"RECKONING",MASTER!$H:$H,$A33)</f>
        <v>19</v>
      </c>
      <c r="I33" s="20">
        <f>COUNTIFS(MASTER!$B:$B,"ACHERON",MASTER!$H:$H,$A33)</f>
        <v>20</v>
      </c>
      <c r="J33" s="20">
        <f>COUNTIFS(MASTER!$B:$B,"INVICTUS",MASTER!$H:$H,$A33)</f>
        <v>33</v>
      </c>
      <c r="K33" s="20">
        <f>COUNTIFS(MASTER!$B:$B,"EMERALD LEAF TRIBE",MASTER!$H:$H,$A33)</f>
        <v>30</v>
      </c>
      <c r="L33" s="20">
        <f>COUNTIFS(MASTER!$B:$B,"SUB ROSA",MASTER!$H:$H,$A33)</f>
        <v>22</v>
      </c>
      <c r="M33" s="20">
        <f>COUNTIFS(MASTER!$B:$B,"VENGEANCE",MASTER!$H:$H,$A33)</f>
        <v>27</v>
      </c>
      <c r="N33" s="20">
        <f>COUNTIFS(MASTER!$B:$B,"VENDETTA",MASTER!$H:$H,$A33)</f>
        <v>26</v>
      </c>
      <c r="O33" s="20">
        <f>COUNTIFS(MASTER!$B:$B,"ZOMBIES",MASTER!$H:$H,$A33)</f>
        <v>26</v>
      </c>
      <c r="P33" s="45">
        <f t="shared" si="4"/>
        <v>294</v>
      </c>
    </row>
    <row r="34" spans="1:16">
      <c r="A34" s="44" t="s">
        <v>155</v>
      </c>
      <c r="B34" s="20">
        <f>COUNTIFS(MASTER!$B:$B,"FUCT",MASTER!$H:$H,$A34)</f>
        <v>1</v>
      </c>
      <c r="C34" s="20">
        <f>COUNTIFS(MASTER!$B:$B,"LEGENDS",MASTER!$H:$H,$A34)</f>
        <v>4</v>
      </c>
      <c r="D34" s="20">
        <f>COUNTIFS(MASTER!$B:$B,"VANGUARD",MASTER!$H:$H,$A34)</f>
        <v>1</v>
      </c>
      <c r="E34" s="20">
        <f>COUNTIFS(MASTER!$B:$B,"UNDYING",MASTER!$H:$H,$A34)</f>
        <v>3</v>
      </c>
      <c r="F34" s="20">
        <f>COUNTIFS(MASTER!$B:$B,"SBG",MASTER!$H:$H,$A34)</f>
        <v>3</v>
      </c>
      <c r="G34" s="20">
        <f>COUNTIFS(MASTER!$B:$B,"AZUKI",MASTER!$H:$H,$A34)</f>
        <v>4</v>
      </c>
      <c r="H34" s="20">
        <f>COUNTIFS(MASTER!$B:$B,"RECKONING",MASTER!$H:$H,$A34)</f>
        <v>2</v>
      </c>
      <c r="I34" s="20">
        <f>COUNTIFS(MASTER!$B:$B,"ACHERON",MASTER!$H:$H,$A34)</f>
        <v>3</v>
      </c>
      <c r="J34" s="20">
        <f>COUNTIFS(MASTER!$B:$B,"INVICTUS",MASTER!$H:$H,$A34)</f>
        <v>7</v>
      </c>
      <c r="K34" s="20">
        <f>COUNTIFS(MASTER!$B:$B,"EMERALD LEAF TRIBE",MASTER!$H:$H,$A34)</f>
        <v>18</v>
      </c>
      <c r="L34" s="20">
        <f>COUNTIFS(MASTER!$B:$B,"SUB ROSA",MASTER!$H:$H,$A34)</f>
        <v>2</v>
      </c>
      <c r="M34" s="20">
        <f>COUNTIFS(MASTER!$B:$B,"VENGEANCE",MASTER!$H:$H,$A34)</f>
        <v>11</v>
      </c>
      <c r="N34" s="20">
        <f>COUNTIFS(MASTER!$B:$B,"VENDETTA",MASTER!$H:$H,$A34)</f>
        <v>19</v>
      </c>
      <c r="O34" s="20">
        <f>COUNTIFS(MASTER!$B:$B,"ZOMBIES",MASTER!$H:$H,$A34)</f>
        <v>27</v>
      </c>
      <c r="P34" s="45">
        <f t="shared" si="4"/>
        <v>105</v>
      </c>
    </row>
    <row r="35" spans="1:16">
      <c r="A35" s="44" t="s">
        <v>156</v>
      </c>
      <c r="B35" s="20">
        <f>COUNTIFS(MASTER!$B:$B,"FUCT",MASTER!$H:$H,$A35)</f>
        <v>0</v>
      </c>
      <c r="C35" s="20">
        <f>COUNTIFS(MASTER!$B:$B,"LEGENDS",MASTER!$H:$H,$A35)</f>
        <v>0</v>
      </c>
      <c r="D35" s="20">
        <f>COUNTIFS(MASTER!$B:$B,"VANGUARD",MASTER!$H:$H,$A35)</f>
        <v>1</v>
      </c>
      <c r="E35" s="20">
        <f>COUNTIFS(MASTER!$B:$B,"UNDYING",MASTER!$H:$H,$A35)</f>
        <v>0</v>
      </c>
      <c r="F35" s="20">
        <f>COUNTIFS(MASTER!$B:$B,"SBG",MASTER!$H:$H,$A35)</f>
        <v>2</v>
      </c>
      <c r="G35" s="20">
        <f>COUNTIFS(MASTER!$B:$B,"AZUKI",MASTER!$H:$H,$A35)</f>
        <v>1</v>
      </c>
      <c r="H35" s="20">
        <f>COUNTIFS(MASTER!$B:$B,"RECKONING",MASTER!$H:$H,$A35)</f>
        <v>2</v>
      </c>
      <c r="I35" s="20">
        <f>COUNTIFS(MASTER!$B:$B,"ACHERON",MASTER!$H:$H,$A35)</f>
        <v>3</v>
      </c>
      <c r="J35" s="20">
        <f>COUNTIFS(MASTER!$B:$B,"INVICTUS",MASTER!$H:$H,$A35)</f>
        <v>5</v>
      </c>
      <c r="K35" s="20">
        <f>COUNTIFS(MASTER!$B:$B,"EMERALD LEAF TRIBE",MASTER!$H:$H,$A35)</f>
        <v>15</v>
      </c>
      <c r="L35" s="20">
        <f>COUNTIFS(MASTER!$B:$B,"SUB ROSA",MASTER!$H:$H,$A35)</f>
        <v>9</v>
      </c>
      <c r="M35" s="20">
        <f>COUNTIFS(MASTER!$B:$B,"VENGEANCE",MASTER!$H:$H,$A35)</f>
        <v>5</v>
      </c>
      <c r="N35" s="20">
        <f>COUNTIFS(MASTER!$B:$B,"VENDETTA",MASTER!$H:$H,$A35)</f>
        <v>7</v>
      </c>
      <c r="O35" s="20">
        <f>COUNTIFS(MASTER!$B:$B,"ZOMBIES",MASTER!$H:$H,$A35)</f>
        <v>13</v>
      </c>
      <c r="P35" s="45">
        <f t="shared" si="4"/>
        <v>63</v>
      </c>
    </row>
    <row r="36" spans="1:16">
      <c r="A36" s="44" t="s">
        <v>157</v>
      </c>
      <c r="B36" s="20">
        <f>COUNTIFS(MASTER!$B:$B,"FUCT",MASTER!$H:$H,$A36)</f>
        <v>0</v>
      </c>
      <c r="C36" s="20">
        <f>COUNTIFS(MASTER!$B:$B,"LEGENDS",MASTER!$H:$H,$A36)</f>
        <v>0</v>
      </c>
      <c r="D36" s="20">
        <f>COUNTIFS(MASTER!$B:$B,"VANGUARD",MASTER!$H:$H,$A36)</f>
        <v>0</v>
      </c>
      <c r="E36" s="20">
        <f>COUNTIFS(MASTER!$B:$B,"UNDYING",MASTER!$H:$H,$A36)</f>
        <v>0</v>
      </c>
      <c r="F36" s="20">
        <f>COUNTIFS(MASTER!$B:$B,"SBG",MASTER!$H:$H,$A36)</f>
        <v>1</v>
      </c>
      <c r="G36" s="20">
        <f>COUNTIFS(MASTER!$B:$B,"AZUKI",MASTER!$H:$H,$A36)</f>
        <v>1</v>
      </c>
      <c r="H36" s="20">
        <f>COUNTIFS(MASTER!$B:$B,"RECKONING",MASTER!$H:$H,$A36)</f>
        <v>0</v>
      </c>
      <c r="I36" s="20">
        <f>COUNTIFS(MASTER!$B:$B,"ACHERON",MASTER!$H:$H,$A36)</f>
        <v>1</v>
      </c>
      <c r="J36" s="20">
        <f>COUNTIFS(MASTER!$B:$B,"INVICTUS",MASTER!$H:$H,$A36)</f>
        <v>2</v>
      </c>
      <c r="K36" s="20">
        <f>COUNTIFS(MASTER!$B:$B,"EMERALD LEAF TRIBE",MASTER!$H:$H,$A36)</f>
        <v>8</v>
      </c>
      <c r="L36" s="20">
        <f>COUNTIFS(MASTER!$B:$B,"SUB ROSA",MASTER!$H:$H,$A36)</f>
        <v>3</v>
      </c>
      <c r="M36" s="20">
        <f>COUNTIFS(MASTER!$B:$B,"VENGEANCE",MASTER!$H:$H,$A36)</f>
        <v>1</v>
      </c>
      <c r="N36" s="20">
        <f>COUNTIFS(MASTER!$B:$B,"VENDETTA",MASTER!$H:$H,$A36)</f>
        <v>3</v>
      </c>
      <c r="O36" s="20">
        <f>COUNTIFS(MASTER!$B:$B,"ZOMBIES",MASTER!$H:$H,$A36)</f>
        <v>6</v>
      </c>
      <c r="P36" s="45">
        <f t="shared" si="4"/>
        <v>26</v>
      </c>
    </row>
    <row r="37" spans="1:16">
      <c r="A37" s="46" t="s">
        <v>141</v>
      </c>
      <c r="B37" s="47">
        <f t="shared" ref="B37:P37" si="5">SUM(B30:B36)</f>
        <v>99</v>
      </c>
      <c r="C37" s="47">
        <f t="shared" si="5"/>
        <v>97</v>
      </c>
      <c r="D37" s="47">
        <f t="shared" si="5"/>
        <v>95</v>
      </c>
      <c r="E37" s="47">
        <f t="shared" si="5"/>
        <v>96</v>
      </c>
      <c r="F37" s="47">
        <f t="shared" si="5"/>
        <v>97</v>
      </c>
      <c r="G37" s="47">
        <f t="shared" si="5"/>
        <v>101</v>
      </c>
      <c r="H37" s="47">
        <f t="shared" si="5"/>
        <v>97</v>
      </c>
      <c r="I37" s="47">
        <f t="shared" si="5"/>
        <v>94</v>
      </c>
      <c r="J37" s="47">
        <f t="shared" si="5"/>
        <v>99</v>
      </c>
      <c r="K37" s="47">
        <f t="shared" si="5"/>
        <v>97</v>
      </c>
      <c r="L37" s="47">
        <f t="shared" si="5"/>
        <v>68</v>
      </c>
      <c r="M37" s="47">
        <f t="shared" si="5"/>
        <v>94</v>
      </c>
      <c r="N37" s="47">
        <f t="shared" si="5"/>
        <v>93</v>
      </c>
      <c r="O37" s="47">
        <f t="shared" si="5"/>
        <v>98</v>
      </c>
      <c r="P37" s="47">
        <f t="shared" si="5"/>
        <v>1325</v>
      </c>
    </row>
    <row r="39" spans="1:16" ht="19.5" customHeight="1">
      <c r="A39" s="91" t="s">
        <v>158</v>
      </c>
      <c r="B39" s="91"/>
      <c r="C39" s="91"/>
      <c r="D39" s="91"/>
      <c r="E39" s="91"/>
      <c r="F39" s="91"/>
      <c r="G39" s="91"/>
      <c r="H39" s="91"/>
      <c r="I39" s="91"/>
      <c r="J39" s="91"/>
      <c r="K39" s="91"/>
      <c r="L39" s="91"/>
      <c r="M39" s="91"/>
      <c r="N39" s="91"/>
      <c r="O39" s="91"/>
      <c r="P39" s="91"/>
    </row>
    <row r="40" spans="1:16" ht="27.75" customHeight="1">
      <c r="A40" s="13" t="s">
        <v>140</v>
      </c>
      <c r="B40" s="13" t="s">
        <v>66</v>
      </c>
      <c r="C40" s="13" t="s">
        <v>105</v>
      </c>
      <c r="D40" s="13" t="s">
        <v>86</v>
      </c>
      <c r="E40" s="13" t="s">
        <v>107</v>
      </c>
      <c r="F40" s="13" t="s">
        <v>108</v>
      </c>
      <c r="G40" s="13" t="s">
        <v>110</v>
      </c>
      <c r="H40" s="13" t="s">
        <v>111</v>
      </c>
      <c r="I40" s="13" t="s">
        <v>112</v>
      </c>
      <c r="J40" s="13" t="s">
        <v>113</v>
      </c>
      <c r="K40" s="13" t="s">
        <v>114</v>
      </c>
      <c r="L40" s="13" t="s">
        <v>115</v>
      </c>
      <c r="M40" s="13" t="s">
        <v>116</v>
      </c>
      <c r="N40" s="13" t="s">
        <v>117</v>
      </c>
      <c r="O40" s="13" t="s">
        <v>118</v>
      </c>
      <c r="P40" s="13" t="s">
        <v>141</v>
      </c>
    </row>
    <row r="41" spans="1:16">
      <c r="A41" s="44" t="s">
        <v>159</v>
      </c>
      <c r="B41" s="20">
        <f>COUNTIFS(MASTER!$B:$B,"FUCT",MASTER!$M:$M,$A41)</f>
        <v>1</v>
      </c>
      <c r="C41" s="20">
        <f>COUNTIFS(MASTER!$B:$B,"LEGENDS",MASTER!$M:$M,$A41)</f>
        <v>0</v>
      </c>
      <c r="D41" s="20">
        <f>COUNTIFS(MASTER!$B:$B,"VANGUARD",MASTER!$M:$M,$A41)</f>
        <v>3</v>
      </c>
      <c r="E41" s="20">
        <f>COUNTIFS(MASTER!$B:$B,"UNDYING",MASTER!$M:$M,$A41)</f>
        <v>0</v>
      </c>
      <c r="F41" s="20">
        <f>COUNTIFS(MASTER!$B:$B,"SBG",MASTER!$M:$M,$A41)</f>
        <v>3</v>
      </c>
      <c r="G41" s="20">
        <f>COUNTIFS(MASTER!$B:$B,"AZUKI",MASTER!$M:$M,$A41)</f>
        <v>4</v>
      </c>
      <c r="H41" s="20">
        <f>COUNTIFS(MASTER!$B:$B,"RECKONING",MASTER!$M:$M,$A41)</f>
        <v>1</v>
      </c>
      <c r="I41" s="20">
        <f>COUNTIFS(MASTER!$B:$B,"ACHERON",MASTER!$M:$M,$A41)</f>
        <v>1</v>
      </c>
      <c r="J41" s="20">
        <f>COUNTIFS(MASTER!$B:$B,"INVICTUS",MASTER!$M:$M,$A41)</f>
        <v>0</v>
      </c>
      <c r="K41" s="20">
        <f>COUNTIFS(MASTER!$B:$B,"EMERALD LEAF TRIBE",MASTER!$M:$M,$A41)</f>
        <v>0</v>
      </c>
      <c r="L41" s="20">
        <f>COUNTIFS(MASTER!$B:$B,"SUB ROSA",MASTER!$M:$M,$A41)</f>
        <v>0</v>
      </c>
      <c r="M41" s="20">
        <f>COUNTIFS(MASTER!$B:$B,"VENGEANCE",MASTER!$M:$M,$A41)</f>
        <v>0</v>
      </c>
      <c r="N41" s="20">
        <f>COUNTIFS(MASTER!$B:$B,"VENDETTA",MASTER!$M:$M,$A41)</f>
        <v>0</v>
      </c>
      <c r="O41" s="20">
        <f>COUNTIFS(MASTER!$B:$B,"ZOMBIES",MASTER!$M:$M,$A41)</f>
        <v>0</v>
      </c>
      <c r="P41" s="45">
        <f t="shared" ref="P41:P47" si="6">SUM($B41:$O41)</f>
        <v>13</v>
      </c>
    </row>
    <row r="42" spans="1:16">
      <c r="A42" s="44" t="s">
        <v>160</v>
      </c>
      <c r="B42" s="20">
        <f>COUNTIFS(MASTER!$B:$B,"FUCT",MASTER!$M:$M,$A42)</f>
        <v>4</v>
      </c>
      <c r="C42" s="20">
        <f>COUNTIFS(MASTER!$B:$B,"LEGENDS",MASTER!$M:$M,$A42)</f>
        <v>0</v>
      </c>
      <c r="D42" s="20">
        <f>COUNTIFS(MASTER!$B:$B,"VANGUARD",MASTER!$M:$M,$A42)</f>
        <v>9</v>
      </c>
      <c r="E42" s="20">
        <f>COUNTIFS(MASTER!$B:$B,"UNDYING",MASTER!$M:$M,$A42)</f>
        <v>7</v>
      </c>
      <c r="F42" s="20">
        <f>COUNTIFS(MASTER!$B:$B,"SBG",MASTER!$M:$M,$A42)</f>
        <v>9</v>
      </c>
      <c r="G42" s="20">
        <f>COUNTIFS(MASTER!$B:$B,"AZUKI",MASTER!$M:$M,$A42)</f>
        <v>11</v>
      </c>
      <c r="H42" s="20">
        <f>COUNTIFS(MASTER!$B:$B,"RECKONING",MASTER!$M:$M,$A42)</f>
        <v>12</v>
      </c>
      <c r="I42" s="20">
        <f>COUNTIFS(MASTER!$B:$B,"ACHERON",MASTER!$M:$M,$A42)</f>
        <v>3</v>
      </c>
      <c r="J42" s="20">
        <f>COUNTIFS(MASTER!$B:$B,"INVICTUS",MASTER!$M:$M,$A42)</f>
        <v>0</v>
      </c>
      <c r="K42" s="20">
        <f>COUNTIFS(MASTER!$B:$B,"EMERALD LEAF TRIBE",MASTER!$M:$M,$A42)</f>
        <v>0</v>
      </c>
      <c r="L42" s="20">
        <f>COUNTIFS(MASTER!$B:$B,"SUB ROSA",MASTER!$M:$M,$A42)</f>
        <v>0</v>
      </c>
      <c r="M42" s="20">
        <f>COUNTIFS(MASTER!$B:$B,"VENGEANCE",MASTER!$M:$M,$A42)</f>
        <v>5</v>
      </c>
      <c r="N42" s="20">
        <f>COUNTIFS(MASTER!$B:$B,"VENDETTA",MASTER!$M:$M,$A42)</f>
        <v>0</v>
      </c>
      <c r="O42" s="20">
        <f>COUNTIFS(MASTER!$B:$B,"ZOMBIES",MASTER!$M:$M,$A42)</f>
        <v>0</v>
      </c>
      <c r="P42" s="45">
        <f t="shared" si="6"/>
        <v>60</v>
      </c>
    </row>
    <row r="43" spans="1:16">
      <c r="A43" s="44" t="s">
        <v>161</v>
      </c>
      <c r="B43" s="20">
        <f>COUNTIFS(MASTER!$B:$B,"FUCT",MASTER!$M:$M,$A43)</f>
        <v>16</v>
      </c>
      <c r="C43" s="20">
        <f>COUNTIFS(MASTER!$B:$B,"LEGENDS",MASTER!$M:$M,$A43)</f>
        <v>21</v>
      </c>
      <c r="D43" s="20">
        <f>COUNTIFS(MASTER!$B:$B,"VANGUARD",MASTER!$M:$M,$A43)</f>
        <v>31</v>
      </c>
      <c r="E43" s="20">
        <f>COUNTIFS(MASTER!$B:$B,"UNDYING",MASTER!$M:$M,$A43)</f>
        <v>17</v>
      </c>
      <c r="F43" s="20">
        <f>COUNTIFS(MASTER!$B:$B,"SBG",MASTER!$M:$M,$A43)</f>
        <v>29</v>
      </c>
      <c r="G43" s="20">
        <f>COUNTIFS(MASTER!$B:$B,"AZUKI",MASTER!$M:$M,$A43)</f>
        <v>31</v>
      </c>
      <c r="H43" s="20">
        <f>COUNTIFS(MASTER!$B:$B,"RECKONING",MASTER!$M:$M,$A43)</f>
        <v>24</v>
      </c>
      <c r="I43" s="20">
        <f>COUNTIFS(MASTER!$B:$B,"ACHERON",MASTER!$M:$M,$A43)</f>
        <v>10</v>
      </c>
      <c r="J43" s="20">
        <f>COUNTIFS(MASTER!$B:$B,"INVICTUS",MASTER!$M:$M,$A43)</f>
        <v>11</v>
      </c>
      <c r="K43" s="20">
        <f>COUNTIFS(MASTER!$B:$B,"EMERALD LEAF TRIBE",MASTER!$M:$M,$A43)</f>
        <v>0</v>
      </c>
      <c r="L43" s="20">
        <f>COUNTIFS(MASTER!$B:$B,"SUB ROSA",MASTER!$M:$M,$A43)</f>
        <v>5</v>
      </c>
      <c r="M43" s="20">
        <f>COUNTIFS(MASTER!$B:$B,"VENGEANCE",MASTER!$M:$M,$A43)</f>
        <v>8</v>
      </c>
      <c r="N43" s="20">
        <f>COUNTIFS(MASTER!$B:$B,"VENDETTA",MASTER!$M:$M,$A43)</f>
        <v>1</v>
      </c>
      <c r="O43" s="20">
        <f>COUNTIFS(MASTER!$B:$B,"ZOMBIES",MASTER!$M:$M,$A43)</f>
        <v>6</v>
      </c>
      <c r="P43" s="45">
        <f t="shared" si="6"/>
        <v>210</v>
      </c>
    </row>
    <row r="44" spans="1:16">
      <c r="A44" s="44" t="s">
        <v>162</v>
      </c>
      <c r="B44" s="20">
        <f>COUNTIFS(MASTER!$B:$B,"FUCT",MASTER!$M:$M,$A44)</f>
        <v>26</v>
      </c>
      <c r="C44" s="20">
        <f>COUNTIFS(MASTER!$B:$B,"LEGENDS",MASTER!$M:$M,$A44)</f>
        <v>42</v>
      </c>
      <c r="D44" s="20">
        <f>COUNTIFS(MASTER!$B:$B,"VANGUARD",MASTER!$M:$M,$A44)</f>
        <v>24</v>
      </c>
      <c r="E44" s="20">
        <f>COUNTIFS(MASTER!$B:$B,"UNDYING",MASTER!$M:$M,$A44)</f>
        <v>29</v>
      </c>
      <c r="F44" s="20">
        <f>COUNTIFS(MASTER!$B:$B,"SBG",MASTER!$M:$M,$A44)</f>
        <v>35</v>
      </c>
      <c r="G44" s="20">
        <f>COUNTIFS(MASTER!$B:$B,"AZUKI",MASTER!$M:$M,$A44)</f>
        <v>24</v>
      </c>
      <c r="H44" s="20">
        <f>COUNTIFS(MASTER!$B:$B,"RECKONING",MASTER!$M:$M,$A44)</f>
        <v>33</v>
      </c>
      <c r="I44" s="20">
        <f>COUNTIFS(MASTER!$B:$B,"ACHERON",MASTER!$M:$M,$A44)</f>
        <v>32</v>
      </c>
      <c r="J44" s="20">
        <f>COUNTIFS(MASTER!$B:$B,"INVICTUS",MASTER!$M:$M,$A44)</f>
        <v>19</v>
      </c>
      <c r="K44" s="20">
        <f>COUNTIFS(MASTER!$B:$B,"EMERALD LEAF TRIBE",MASTER!$M:$M,$A44)</f>
        <v>6</v>
      </c>
      <c r="L44" s="20">
        <f>COUNTIFS(MASTER!$B:$B,"SUB ROSA",MASTER!$M:$M,$A44)</f>
        <v>7</v>
      </c>
      <c r="M44" s="20">
        <f>COUNTIFS(MASTER!$B:$B,"VENGEANCE",MASTER!$M:$M,$A44)</f>
        <v>19</v>
      </c>
      <c r="N44" s="20">
        <f>COUNTIFS(MASTER!$B:$B,"VENDETTA",MASTER!$M:$M,$A44)</f>
        <v>9</v>
      </c>
      <c r="O44" s="20">
        <f>COUNTIFS(MASTER!$B:$B,"ZOMBIES",MASTER!$M:$M,$A44)</f>
        <v>7</v>
      </c>
      <c r="P44" s="45">
        <f t="shared" si="6"/>
        <v>312</v>
      </c>
    </row>
    <row r="45" spans="1:16">
      <c r="A45" s="44" t="s">
        <v>163</v>
      </c>
      <c r="B45" s="20">
        <f>COUNTIFS(MASTER!$B:$B,"FUCT",MASTER!$M:$M,$A45)</f>
        <v>34</v>
      </c>
      <c r="C45" s="20">
        <f>COUNTIFS(MASTER!$B:$B,"LEGENDS",MASTER!$M:$M,$A45)</f>
        <v>26</v>
      </c>
      <c r="D45" s="20">
        <f>COUNTIFS(MASTER!$B:$B,"VANGUARD",MASTER!$M:$M,$A45)</f>
        <v>23</v>
      </c>
      <c r="E45" s="20">
        <f>COUNTIFS(MASTER!$B:$B,"UNDYING",MASTER!$M:$M,$A45)</f>
        <v>27</v>
      </c>
      <c r="F45" s="20">
        <f>COUNTIFS(MASTER!$B:$B,"SBG",MASTER!$M:$M,$A45)</f>
        <v>16</v>
      </c>
      <c r="G45" s="20">
        <f>COUNTIFS(MASTER!$B:$B,"AZUKI",MASTER!$M:$M,$A45)</f>
        <v>24</v>
      </c>
      <c r="H45" s="20">
        <f>COUNTIFS(MASTER!$B:$B,"RECKONING",MASTER!$M:$M,$A45)</f>
        <v>20</v>
      </c>
      <c r="I45" s="20">
        <f>COUNTIFS(MASTER!$B:$B,"ACHERON",MASTER!$M:$M,$A45)</f>
        <v>29</v>
      </c>
      <c r="J45" s="20">
        <f>COUNTIFS(MASTER!$B:$B,"INVICTUS",MASTER!$M:$M,$A45)</f>
        <v>29</v>
      </c>
      <c r="K45" s="20">
        <f>COUNTIFS(MASTER!$B:$B,"EMERALD LEAF TRIBE",MASTER!$M:$M,$A45)</f>
        <v>25</v>
      </c>
      <c r="L45" s="20">
        <f>COUNTIFS(MASTER!$B:$B,"SUB ROSA",MASTER!$M:$M,$A45)</f>
        <v>17</v>
      </c>
      <c r="M45" s="20">
        <f>COUNTIFS(MASTER!$B:$B,"VENGEANCE",MASTER!$M:$M,$A45)</f>
        <v>33</v>
      </c>
      <c r="N45" s="20">
        <f>COUNTIFS(MASTER!$B:$B,"VENDETTA",MASTER!$M:$M,$A45)</f>
        <v>32</v>
      </c>
      <c r="O45" s="20">
        <f>COUNTIFS(MASTER!$B:$B,"ZOMBIES",MASTER!$M:$M,$A45)</f>
        <v>18</v>
      </c>
      <c r="P45" s="45">
        <f t="shared" si="6"/>
        <v>353</v>
      </c>
    </row>
    <row r="46" spans="1:16">
      <c r="A46" s="44" t="s">
        <v>164</v>
      </c>
      <c r="B46" s="20">
        <f>COUNTIFS(MASTER!$B:$B,"FUCT",MASTER!$M:$M,$A46)</f>
        <v>18</v>
      </c>
      <c r="C46" s="20">
        <f>COUNTIFS(MASTER!$B:$B,"LEGENDS",MASTER!$M:$M,$A46)</f>
        <v>8</v>
      </c>
      <c r="D46" s="20">
        <f>COUNTIFS(MASTER!$B:$B,"VANGUARD",MASTER!$M:$M,$A46)</f>
        <v>5</v>
      </c>
      <c r="E46" s="20">
        <f>COUNTIFS(MASTER!$B:$B,"UNDYING",MASTER!$M:$M,$A46)</f>
        <v>16</v>
      </c>
      <c r="F46" s="20">
        <f>COUNTIFS(MASTER!$B:$B,"SBG",MASTER!$M:$M,$A46)</f>
        <v>5</v>
      </c>
      <c r="G46" s="20">
        <f>COUNTIFS(MASTER!$B:$B,"AZUKI",MASTER!$M:$M,$A46)</f>
        <v>7</v>
      </c>
      <c r="H46" s="20">
        <f>COUNTIFS(MASTER!$B:$B,"RECKONING",MASTER!$M:$M,$A46)</f>
        <v>7</v>
      </c>
      <c r="I46" s="20">
        <f>COUNTIFS(MASTER!$B:$B,"ACHERON",MASTER!$M:$M,$A46)</f>
        <v>17</v>
      </c>
      <c r="J46" s="20">
        <f>COUNTIFS(MASTER!$B:$B,"INVICTUS",MASTER!$M:$M,$A46)</f>
        <v>36</v>
      </c>
      <c r="K46" s="20">
        <f>COUNTIFS(MASTER!$B:$B,"EMERALD LEAF TRIBE",MASTER!$M:$M,$A46)</f>
        <v>49</v>
      </c>
      <c r="L46" s="20">
        <f>COUNTIFS(MASTER!$B:$B,"SUB ROSA",MASTER!$M:$M,$A46)</f>
        <v>25</v>
      </c>
      <c r="M46" s="20">
        <f>COUNTIFS(MASTER!$B:$B,"VENGEANCE",MASTER!$M:$M,$A46)</f>
        <v>26</v>
      </c>
      <c r="N46" s="20">
        <f>COUNTIFS(MASTER!$B:$B,"VENDETTA",MASTER!$M:$M,$A46)</f>
        <v>40</v>
      </c>
      <c r="O46" s="20">
        <f>COUNTIFS(MASTER!$B:$B,"ZOMBIES",MASTER!$M:$M,$A46)</f>
        <v>45</v>
      </c>
      <c r="P46" s="45">
        <f t="shared" si="6"/>
        <v>304</v>
      </c>
    </row>
    <row r="47" spans="1:16">
      <c r="A47" s="44" t="s">
        <v>165</v>
      </c>
      <c r="B47" s="20">
        <f>COUNTIFS(MASTER!$B:$B,"FUCT",MASTER!$M:$M,$A47)</f>
        <v>0</v>
      </c>
      <c r="C47" s="20">
        <f>COUNTIFS(MASTER!$B:$B,"LEGENDS",MASTER!$M:$M,$A47)</f>
        <v>0</v>
      </c>
      <c r="D47" s="20">
        <f>COUNTIFS(MASTER!$B:$B,"VANGUARD",MASTER!$M:$M,$A47)</f>
        <v>0</v>
      </c>
      <c r="E47" s="20">
        <f>COUNTIFS(MASTER!$B:$B,"UNDYING",MASTER!$M:$M,$A47)</f>
        <v>0</v>
      </c>
      <c r="F47" s="20">
        <f>COUNTIFS(MASTER!$B:$B,"SBG",MASTER!$M:$M,$A47)</f>
        <v>0</v>
      </c>
      <c r="G47" s="20">
        <f>COUNTIFS(MASTER!$B:$B,"AZUKI",MASTER!$M:$M,$A47)</f>
        <v>0</v>
      </c>
      <c r="H47" s="20">
        <f>COUNTIFS(MASTER!$B:$B,"RECKONING",MASTER!$M:$M,$A47)</f>
        <v>0</v>
      </c>
      <c r="I47" s="20">
        <f>COUNTIFS(MASTER!$B:$B,"ACHERON",MASTER!$M:$M,$A47)</f>
        <v>2</v>
      </c>
      <c r="J47" s="20">
        <f>COUNTIFS(MASTER!$B:$B,"INVICTUS",MASTER!$M:$M,$A47)</f>
        <v>4</v>
      </c>
      <c r="K47" s="20">
        <f>COUNTIFS(MASTER!$B:$B,"EMERALD LEAF TRIBE",MASTER!$M:$M,$A47)</f>
        <v>17</v>
      </c>
      <c r="L47" s="20">
        <f>COUNTIFS(MASTER!$B:$B,"SUB ROSA",MASTER!$M:$M,$A47)</f>
        <v>14</v>
      </c>
      <c r="M47" s="20">
        <f>COUNTIFS(MASTER!$B:$B,"VENGEANCE",MASTER!$M:$M,$A47)</f>
        <v>3</v>
      </c>
      <c r="N47" s="20">
        <f>COUNTIFS(MASTER!$B:$B,"VENDETTA",MASTER!$M:$M,$A47)</f>
        <v>11</v>
      </c>
      <c r="O47" s="20">
        <f>COUNTIFS(MASTER!$B:$B,"ZOMBIES",MASTER!$M:$M,$A47)</f>
        <v>21</v>
      </c>
      <c r="P47" s="45">
        <f t="shared" si="6"/>
        <v>72</v>
      </c>
    </row>
    <row r="48" spans="1:16">
      <c r="A48" s="46" t="s">
        <v>141</v>
      </c>
      <c r="B48" s="47">
        <f t="shared" ref="B48:P48" si="7">SUM(B41:B47)</f>
        <v>99</v>
      </c>
      <c r="C48" s="47">
        <f t="shared" si="7"/>
        <v>97</v>
      </c>
      <c r="D48" s="47">
        <f t="shared" si="7"/>
        <v>95</v>
      </c>
      <c r="E48" s="47">
        <f t="shared" si="7"/>
        <v>96</v>
      </c>
      <c r="F48" s="47">
        <f t="shared" si="7"/>
        <v>97</v>
      </c>
      <c r="G48" s="47">
        <f t="shared" si="7"/>
        <v>101</v>
      </c>
      <c r="H48" s="47">
        <f t="shared" si="7"/>
        <v>97</v>
      </c>
      <c r="I48" s="47">
        <f t="shared" si="7"/>
        <v>94</v>
      </c>
      <c r="J48" s="47">
        <f t="shared" si="7"/>
        <v>99</v>
      </c>
      <c r="K48" s="47">
        <f t="shared" si="7"/>
        <v>97</v>
      </c>
      <c r="L48" s="47">
        <f t="shared" si="7"/>
        <v>68</v>
      </c>
      <c r="M48" s="47">
        <f t="shared" si="7"/>
        <v>94</v>
      </c>
      <c r="N48" s="47">
        <f t="shared" si="7"/>
        <v>93</v>
      </c>
      <c r="O48" s="47">
        <f t="shared" si="7"/>
        <v>97</v>
      </c>
      <c r="P48" s="47">
        <f t="shared" si="7"/>
        <v>1324</v>
      </c>
    </row>
    <row r="50" spans="1:16" ht="19.5" customHeight="1">
      <c r="A50" s="91" t="s">
        <v>166</v>
      </c>
      <c r="B50" s="91"/>
      <c r="C50" s="91"/>
      <c r="D50" s="91"/>
      <c r="E50" s="91"/>
      <c r="F50" s="91"/>
      <c r="G50" s="91"/>
      <c r="H50" s="91"/>
      <c r="I50" s="91"/>
      <c r="J50" s="91"/>
      <c r="K50" s="91"/>
      <c r="L50" s="91"/>
      <c r="M50" s="91"/>
      <c r="N50" s="91"/>
      <c r="O50" s="91"/>
      <c r="P50" s="91"/>
    </row>
    <row r="51" spans="1:16" ht="27.75" customHeight="1">
      <c r="A51" s="13" t="s">
        <v>140</v>
      </c>
      <c r="B51" s="13" t="s">
        <v>66</v>
      </c>
      <c r="C51" s="13" t="s">
        <v>105</v>
      </c>
      <c r="D51" s="13" t="s">
        <v>86</v>
      </c>
      <c r="E51" s="13" t="s">
        <v>107</v>
      </c>
      <c r="F51" s="13" t="s">
        <v>108</v>
      </c>
      <c r="G51" s="13" t="s">
        <v>110</v>
      </c>
      <c r="H51" s="13" t="s">
        <v>111</v>
      </c>
      <c r="I51" s="13" t="s">
        <v>112</v>
      </c>
      <c r="J51" s="13" t="s">
        <v>113</v>
      </c>
      <c r="K51" s="13" t="s">
        <v>114</v>
      </c>
      <c r="L51" s="13" t="s">
        <v>115</v>
      </c>
      <c r="M51" s="13" t="s">
        <v>116</v>
      </c>
      <c r="N51" s="13" t="s">
        <v>117</v>
      </c>
      <c r="O51" s="13" t="s">
        <v>118</v>
      </c>
      <c r="P51" s="13" t="s">
        <v>141</v>
      </c>
    </row>
    <row r="52" spans="1:16">
      <c r="A52" s="44" t="s">
        <v>167</v>
      </c>
      <c r="B52" s="20">
        <f>IFERROR(ROUND(AVERAGEIFS(MASTER!$I:$I,MASTER!$B:$B,"FUCT",MASTER!$F:$F,$A52),0),"-")</f>
        <v>5372</v>
      </c>
      <c r="C52" s="20">
        <f>IFERROR(ROUND(AVERAGEIFS(MASTER!$I:$I,MASTER!$B:$B,"LEGENDS",MASTER!$F:$F,$A52),0),"-")</f>
        <v>5475</v>
      </c>
      <c r="D52" s="20">
        <f>IFERROR(ROUND(AVERAGEIFS(MASTER!$I:$I,MASTER!$B:$B,"VANGUARD",MASTER!$F:$F,$A52),0),"-")</f>
        <v>7215</v>
      </c>
      <c r="E52" s="20">
        <f>IFERROR(ROUND(AVERAGEIFS(MASTER!$I:$I,MASTER!$B:$B,"UNDYING",MASTER!$F:$F,$A52),0),"-")</f>
        <v>5039</v>
      </c>
      <c r="F52" s="20">
        <f>IFERROR(ROUND(AVERAGEIFS(MASTER!$I:$I,MASTER!$B:$B,"SBG",MASTER!$F:$F,$A52),0),"-")</f>
        <v>6402</v>
      </c>
      <c r="G52" s="20">
        <f>IFERROR(ROUND(AVERAGEIFS(MASTER!$I:$I,MASTER!$B:$B,"AZUKI",MASTER!$F:$F,$A52),0),"-")</f>
        <v>6455</v>
      </c>
      <c r="H52" s="20">
        <f>IFERROR(ROUND(AVERAGEIFS(MASTER!$I:$I,MASTER!$B:$B,"RECKONING",MASTER!$F:$F,$A52),0),"-")</f>
        <v>5391</v>
      </c>
      <c r="I52" s="20">
        <f>IFERROR(ROUND(AVERAGEIFS(MASTER!$I:$I,MASTER!$B:$B,"ACHERON",MASTER!$F:$F,$A52),0),"-")</f>
        <v>4447</v>
      </c>
      <c r="J52" s="20">
        <f>IFERROR(ROUND(AVERAGEIFS(MASTER!$I:$I,MASTER!$B:$B,"INVICTUS",MASTER!$F:$F,$A52),0),"-")</f>
        <v>3767</v>
      </c>
      <c r="K52" s="20">
        <f>IFERROR(ROUND(AVERAGEIFS(MASTER!$I:$I,MASTER!$B:$B,"EMERALD LEAF TRIBE",MASTER!$F:$F,$A52),0),"-")</f>
        <v>2614</v>
      </c>
      <c r="L52" s="20">
        <f>IFERROR(ROUND(AVERAGEIFS(MASTER!$I:$I,MASTER!$B:$B,"SUB ROSA",MASTER!$F:$F,$A52),0),"-")</f>
        <v>3415</v>
      </c>
      <c r="M52" s="20">
        <f>IFERROR(ROUND(AVERAGEIFS(MASTER!$I:$I,MASTER!$B:$B,"VENGEANCE",MASTER!$F:$F,$A52),0),"-")</f>
        <v>3817</v>
      </c>
      <c r="N52" s="20">
        <f>IFERROR(ROUND(AVERAGEIFS(MASTER!$I:$I,MASTER!$B:$B,"VENDETTA",MASTER!$F:$F,$A52),0),"-")</f>
        <v>2197</v>
      </c>
      <c r="O52" s="20">
        <f>IFERROR(ROUND(AVERAGEIFS(MASTER!$I:$I,MASTER!$B:$B,"ZOMBIES",MASTER!$F:$F,$A52),0),"-")</f>
        <v>2030</v>
      </c>
      <c r="P52" s="45"/>
    </row>
    <row r="53" spans="1:16">
      <c r="A53" s="44" t="s">
        <v>168</v>
      </c>
      <c r="B53" s="20">
        <f>IFERROR(ROUND(AVERAGEIFS(MASTER!$I:$I,MASTER!$B:$B,"FUCT",MASTER!$F:$F,$A53),0),"-")</f>
        <v>5102</v>
      </c>
      <c r="C53" s="20">
        <f>IFERROR(ROUND(AVERAGEIFS(MASTER!$I:$I,MASTER!$B:$B,"LEGENDS",MASTER!$F:$F,$A53),0),"-")</f>
        <v>5099</v>
      </c>
      <c r="D53" s="20">
        <f>IFERROR(ROUND(AVERAGEIFS(MASTER!$I:$I,MASTER!$B:$B,"VANGUARD",MASTER!$F:$F,$A53),0),"-")</f>
        <v>6240</v>
      </c>
      <c r="E53" s="20">
        <f>IFERROR(ROUND(AVERAGEIFS(MASTER!$I:$I,MASTER!$B:$B,"UNDYING",MASTER!$F:$F,$A53),0),"-")</f>
        <v>3317</v>
      </c>
      <c r="F53" s="20">
        <f>IFERROR(ROUND(AVERAGEIFS(MASTER!$I:$I,MASTER!$B:$B,"SBG",MASTER!$F:$F,$A53),0),"-")</f>
        <v>6110</v>
      </c>
      <c r="G53" s="20">
        <f>IFERROR(ROUND(AVERAGEIFS(MASTER!$I:$I,MASTER!$B:$B,"AZUKI",MASTER!$F:$F,$A53),0),"-")</f>
        <v>4128</v>
      </c>
      <c r="H53" s="20">
        <f>IFERROR(ROUND(AVERAGEIFS(MASTER!$I:$I,MASTER!$B:$B,"RECKONING",MASTER!$F:$F,$A53),0),"-")</f>
        <v>6054</v>
      </c>
      <c r="I53" s="20">
        <f>IFERROR(ROUND(AVERAGEIFS(MASTER!$I:$I,MASTER!$B:$B,"ACHERON",MASTER!$F:$F,$A53),0),"-")</f>
        <v>782</v>
      </c>
      <c r="J53" s="20">
        <f>IFERROR(ROUND(AVERAGEIFS(MASTER!$I:$I,MASTER!$B:$B,"INVICTUS",MASTER!$F:$F,$A53),0),"-")</f>
        <v>3146</v>
      </c>
      <c r="K53" s="20">
        <f>IFERROR(ROUND(AVERAGEIFS(MASTER!$I:$I,MASTER!$B:$B,"EMERALD LEAF TRIBE",MASTER!$F:$F,$A53),0),"-")</f>
        <v>1399</v>
      </c>
      <c r="L53" s="20">
        <f>IFERROR(ROUND(AVERAGEIFS(MASTER!$I:$I,MASTER!$B:$B,"SUB ROSA",MASTER!$F:$F,$A53),0),"-")</f>
        <v>3619</v>
      </c>
      <c r="M53" s="20">
        <f>IFERROR(ROUND(AVERAGEIFS(MASTER!$I:$I,MASTER!$B:$B,"VENGEANCE",MASTER!$F:$F,$A53),0),"-")</f>
        <v>3412</v>
      </c>
      <c r="N53" s="20">
        <f>IFERROR(ROUND(AVERAGEIFS(MASTER!$I:$I,MASTER!$B:$B,"VENDETTA",MASTER!$F:$F,$A53),0),"-")</f>
        <v>2927</v>
      </c>
      <c r="O53" s="20">
        <f>IFERROR(ROUND(AVERAGEIFS(MASTER!$I:$I,MASTER!$B:$B,"ZOMBIES",MASTER!$F:$F,$A53),0),"-")</f>
        <v>1469</v>
      </c>
      <c r="P53" s="45"/>
    </row>
    <row r="54" spans="1:16">
      <c r="A54" s="44" t="s">
        <v>169</v>
      </c>
      <c r="B54" s="20">
        <f>IFERROR(ROUND(AVERAGEIFS(MASTER!$I:$I,MASTER!$B:$B,"FUCT",MASTER!$F:$F,$A54),0),"-")</f>
        <v>4799</v>
      </c>
      <c r="C54" s="20">
        <f>IFERROR(ROUND(AVERAGEIFS(MASTER!$I:$I,MASTER!$B:$B,"LEGENDS",MASTER!$F:$F,$A54),0),"-")</f>
        <v>6475</v>
      </c>
      <c r="D54" s="20">
        <f>IFERROR(ROUND(AVERAGEIFS(MASTER!$I:$I,MASTER!$B:$B,"VANGUARD",MASTER!$F:$F,$A54),0),"-")</f>
        <v>6084</v>
      </c>
      <c r="E54" s="20">
        <f>IFERROR(ROUND(AVERAGEIFS(MASTER!$I:$I,MASTER!$B:$B,"UNDYING",MASTER!$F:$F,$A54),0),"-")</f>
        <v>4325</v>
      </c>
      <c r="F54" s="20">
        <f>IFERROR(ROUND(AVERAGEIFS(MASTER!$I:$I,MASTER!$B:$B,"SBG",MASTER!$F:$F,$A54),0),"-")</f>
        <v>6490</v>
      </c>
      <c r="G54" s="20">
        <f>IFERROR(ROUND(AVERAGEIFS(MASTER!$I:$I,MASTER!$B:$B,"AZUKI",MASTER!$F:$F,$A54),0),"-")</f>
        <v>6078</v>
      </c>
      <c r="H54" s="20">
        <f>IFERROR(ROUND(AVERAGEIFS(MASTER!$I:$I,MASTER!$B:$B,"RECKONING",MASTER!$F:$F,$A54),0),"-")</f>
        <v>6797</v>
      </c>
      <c r="I54" s="20">
        <f>IFERROR(ROUND(AVERAGEIFS(MASTER!$I:$I,MASTER!$B:$B,"ACHERON",MASTER!$F:$F,$A54),0),"-")</f>
        <v>3790</v>
      </c>
      <c r="J54" s="20">
        <f>IFERROR(ROUND(AVERAGEIFS(MASTER!$I:$I,MASTER!$B:$B,"INVICTUS",MASTER!$F:$F,$A54),0),"-")</f>
        <v>3499</v>
      </c>
      <c r="K54" s="20">
        <f>IFERROR(ROUND(AVERAGEIFS(MASTER!$I:$I,MASTER!$B:$B,"EMERALD LEAF TRIBE",MASTER!$F:$F,$A54),0),"-")</f>
        <v>2979</v>
      </c>
      <c r="L54" s="20">
        <f>IFERROR(ROUND(AVERAGEIFS(MASTER!$I:$I,MASTER!$B:$B,"SUB ROSA",MASTER!$F:$F,$A54),0),"-")</f>
        <v>3348</v>
      </c>
      <c r="M54" s="20">
        <f>IFERROR(ROUND(AVERAGEIFS(MASTER!$I:$I,MASTER!$B:$B,"VENGEANCE",MASTER!$F:$F,$A54),0),"-")</f>
        <v>4032</v>
      </c>
      <c r="N54" s="20">
        <f>IFERROR(ROUND(AVERAGEIFS(MASTER!$I:$I,MASTER!$B:$B,"VENDETTA",MASTER!$F:$F,$A54),0),"-")</f>
        <v>2381</v>
      </c>
      <c r="O54" s="20">
        <f>IFERROR(ROUND(AVERAGEIFS(MASTER!$I:$I,MASTER!$B:$B,"ZOMBIES",MASTER!$F:$F,$A54),0),"-")</f>
        <v>2116</v>
      </c>
      <c r="P54" s="45"/>
    </row>
    <row r="55" spans="1:16">
      <c r="A55" s="44" t="s">
        <v>170</v>
      </c>
      <c r="B55" s="20">
        <f>IFERROR(ROUND(AVERAGEIFS(MASTER!$I:$I,MASTER!$B:$B,"FUCT",MASTER!$F:$F,$A55),0),"-")</f>
        <v>5375</v>
      </c>
      <c r="C55" s="20">
        <f>IFERROR(ROUND(AVERAGEIFS(MASTER!$I:$I,MASTER!$B:$B,"LEGENDS",MASTER!$F:$F,$A55),0),"-")</f>
        <v>5431</v>
      </c>
      <c r="D55" s="20">
        <f>IFERROR(ROUND(AVERAGEIFS(MASTER!$I:$I,MASTER!$B:$B,"VANGUARD",MASTER!$F:$F,$A55),0),"-")</f>
        <v>6425</v>
      </c>
      <c r="E55" s="20">
        <f>IFERROR(ROUND(AVERAGEIFS(MASTER!$I:$I,MASTER!$B:$B,"UNDYING",MASTER!$F:$F,$A55),0),"-")</f>
        <v>4483</v>
      </c>
      <c r="F55" s="20">
        <f>IFERROR(ROUND(AVERAGEIFS(MASTER!$I:$I,MASTER!$B:$B,"SBG",MASTER!$F:$F,$A55),0),"-")</f>
        <v>5700</v>
      </c>
      <c r="G55" s="20">
        <f>IFERROR(ROUND(AVERAGEIFS(MASTER!$I:$I,MASTER!$B:$B,"AZUKI",MASTER!$F:$F,$A55),0),"-")</f>
        <v>4915</v>
      </c>
      <c r="H55" s="20">
        <f>IFERROR(ROUND(AVERAGEIFS(MASTER!$I:$I,MASTER!$B:$B,"RECKONING",MASTER!$F:$F,$A55),0),"-")</f>
        <v>5130</v>
      </c>
      <c r="I55" s="20">
        <f>IFERROR(ROUND(AVERAGEIFS(MASTER!$I:$I,MASTER!$B:$B,"ACHERON",MASTER!$F:$F,$A55),0),"-")</f>
        <v>4359</v>
      </c>
      <c r="J55" s="20">
        <f>IFERROR(ROUND(AVERAGEIFS(MASTER!$I:$I,MASTER!$B:$B,"INVICTUS",MASTER!$F:$F,$A55),0),"-")</f>
        <v>3090</v>
      </c>
      <c r="K55" s="20">
        <f>IFERROR(ROUND(AVERAGEIFS(MASTER!$I:$I,MASTER!$B:$B,"EMERALD LEAF TRIBE",MASTER!$F:$F,$A55),0),"-")</f>
        <v>2148</v>
      </c>
      <c r="L55" s="20">
        <f>IFERROR(ROUND(AVERAGEIFS(MASTER!$I:$I,MASTER!$B:$B,"SUB ROSA",MASTER!$F:$F,$A55),0),"-")</f>
        <v>2503</v>
      </c>
      <c r="M55" s="20">
        <f>IFERROR(ROUND(AVERAGEIFS(MASTER!$I:$I,MASTER!$B:$B,"VENGEANCE",MASTER!$F:$F,$A55),0),"-")</f>
        <v>3112</v>
      </c>
      <c r="N55" s="20">
        <f>IFERROR(ROUND(AVERAGEIFS(MASTER!$I:$I,MASTER!$B:$B,"VENDETTA",MASTER!$F:$F,$A55),0),"-")</f>
        <v>1808</v>
      </c>
      <c r="O55" s="20">
        <f>IFERROR(ROUND(AVERAGEIFS(MASTER!$I:$I,MASTER!$B:$B,"ZOMBIES",MASTER!$F:$F,$A55),0),"-")</f>
        <v>1925</v>
      </c>
      <c r="P55" s="45"/>
    </row>
    <row r="56" spans="1:16">
      <c r="A56" s="44" t="s">
        <v>171</v>
      </c>
      <c r="B56" s="20">
        <f>IFERROR(ROUND(AVERAGEIFS(MASTER!$I:$I,MASTER!$B:$B,"FUCT",MASTER!$F:$F,$A56),0),"-")</f>
        <v>5684</v>
      </c>
      <c r="C56" s="20">
        <f>IFERROR(ROUND(AVERAGEIFS(MASTER!$I:$I,MASTER!$B:$B,"LEGENDS",MASTER!$F:$F,$A56),0),"-")</f>
        <v>5141</v>
      </c>
      <c r="D56" s="20">
        <f>IFERROR(ROUND(AVERAGEIFS(MASTER!$I:$I,MASTER!$B:$B,"VANGUARD",MASTER!$F:$F,$A56),0),"-")</f>
        <v>7258</v>
      </c>
      <c r="E56" s="20">
        <f>IFERROR(ROUND(AVERAGEIFS(MASTER!$I:$I,MASTER!$B:$B,"UNDYING",MASTER!$F:$F,$A56),0),"-")</f>
        <v>4283</v>
      </c>
      <c r="F56" s="20">
        <f>IFERROR(ROUND(AVERAGEIFS(MASTER!$I:$I,MASTER!$B:$B,"SBG",MASTER!$F:$F,$A56),0),"-")</f>
        <v>5252</v>
      </c>
      <c r="G56" s="20">
        <f>IFERROR(ROUND(AVERAGEIFS(MASTER!$I:$I,MASTER!$B:$B,"AZUKI",MASTER!$F:$F,$A56),0),"-")</f>
        <v>6448</v>
      </c>
      <c r="H56" s="20">
        <f>IFERROR(ROUND(AVERAGEIFS(MASTER!$I:$I,MASTER!$B:$B,"RECKONING",MASTER!$F:$F,$A56),0),"-")</f>
        <v>5138</v>
      </c>
      <c r="I56" s="20">
        <f>IFERROR(ROUND(AVERAGEIFS(MASTER!$I:$I,MASTER!$B:$B,"ACHERON",MASTER!$F:$F,$A56),0),"-")</f>
        <v>3044</v>
      </c>
      <c r="J56" s="20">
        <f>IFERROR(ROUND(AVERAGEIFS(MASTER!$I:$I,MASTER!$B:$B,"INVICTUS",MASTER!$F:$F,$A56),0),"-")</f>
        <v>3383</v>
      </c>
      <c r="K56" s="20">
        <f>IFERROR(ROUND(AVERAGEIFS(MASTER!$I:$I,MASTER!$B:$B,"EMERALD LEAF TRIBE",MASTER!$F:$F,$A56),0),"-")</f>
        <v>1609</v>
      </c>
      <c r="L56" s="20">
        <f>IFERROR(ROUND(AVERAGEIFS(MASTER!$I:$I,MASTER!$B:$B,"SUB ROSA",MASTER!$F:$F,$A56),0),"-")</f>
        <v>3964</v>
      </c>
      <c r="M56" s="20">
        <f>IFERROR(ROUND(AVERAGEIFS(MASTER!$I:$I,MASTER!$B:$B,"VENGEANCE",MASTER!$F:$F,$A56),0),"-")</f>
        <v>3540</v>
      </c>
      <c r="N56" s="20">
        <f>IFERROR(ROUND(AVERAGEIFS(MASTER!$I:$I,MASTER!$B:$B,"VENDETTA",MASTER!$F:$F,$A56),0),"-")</f>
        <v>2036</v>
      </c>
      <c r="O56" s="20">
        <f>IFERROR(ROUND(AVERAGEIFS(MASTER!$I:$I,MASTER!$B:$B,"ZOMBIES",MASTER!$F:$F,$A56),0),"-")</f>
        <v>3643</v>
      </c>
      <c r="P56" s="45"/>
    </row>
    <row r="58" spans="1:16" ht="19.5" customHeight="1">
      <c r="A58" s="91" t="s">
        <v>172</v>
      </c>
      <c r="B58" s="91"/>
      <c r="C58" s="91"/>
      <c r="D58" s="91"/>
      <c r="E58" s="91"/>
      <c r="F58" s="91"/>
      <c r="G58" s="91"/>
      <c r="H58" s="91"/>
      <c r="I58" s="91"/>
      <c r="J58" s="91"/>
      <c r="K58" s="91"/>
      <c r="L58" s="91"/>
      <c r="M58" s="91"/>
      <c r="N58" s="91"/>
      <c r="O58" s="91"/>
      <c r="P58" s="91"/>
    </row>
    <row r="59" spans="1:16" ht="27.75" customHeight="1">
      <c r="A59" s="13" t="s">
        <v>140</v>
      </c>
      <c r="B59" s="13" t="s">
        <v>66</v>
      </c>
      <c r="C59" s="13" t="s">
        <v>105</v>
      </c>
      <c r="D59" s="13" t="s">
        <v>86</v>
      </c>
      <c r="E59" s="13" t="s">
        <v>107</v>
      </c>
      <c r="F59" s="13" t="s">
        <v>108</v>
      </c>
      <c r="G59" s="13" t="s">
        <v>110</v>
      </c>
      <c r="H59" s="13" t="s">
        <v>111</v>
      </c>
      <c r="I59" s="13" t="s">
        <v>112</v>
      </c>
      <c r="J59" s="13" t="s">
        <v>113</v>
      </c>
      <c r="K59" s="13" t="s">
        <v>114</v>
      </c>
      <c r="L59" s="13" t="s">
        <v>115</v>
      </c>
      <c r="M59" s="13" t="s">
        <v>116</v>
      </c>
      <c r="N59" s="13" t="s">
        <v>117</v>
      </c>
      <c r="O59" s="13" t="s">
        <v>118</v>
      </c>
      <c r="P59" s="13" t="s">
        <v>141</v>
      </c>
    </row>
    <row r="60" spans="1:16">
      <c r="A60" s="44" t="s">
        <v>173</v>
      </c>
      <c r="B60" s="20">
        <f>COUNTIFS(MASTER!$B:$B,"FUCT",MASTER!$S:$S,$A60)</f>
        <v>99</v>
      </c>
      <c r="C60" s="20">
        <f>COUNTIFS(MASTER!$B:$B,"LEGENDS",MASTER!$S:$S,$A60)</f>
        <v>97</v>
      </c>
      <c r="D60" s="20">
        <f>COUNTIFS(MASTER!$B:$B,"VANGUARD",MASTER!$S:$S,$A60)</f>
        <v>95</v>
      </c>
      <c r="E60" s="20">
        <f>COUNTIFS(MASTER!$B:$B,"UNDYING",MASTER!$S:$S,$A60)</f>
        <v>96</v>
      </c>
      <c r="F60" s="20">
        <f>COUNTIFS(MASTER!$B:$B,"SBG",MASTER!$S:$S,$A60)</f>
        <v>97</v>
      </c>
      <c r="G60" s="20">
        <f>COUNTIFS(MASTER!$B:$B,"AZUKI",MASTER!$S:$S,$A60)</f>
        <v>101</v>
      </c>
      <c r="H60" s="20">
        <f>COUNTIFS(MASTER!$B:$B,"RECKONING",MASTER!$S:$S,$A60)</f>
        <v>97</v>
      </c>
      <c r="I60" s="20">
        <f>COUNTIFS(MASTER!$B:$B,"ACHERON",MASTER!$S:$S,$A60)</f>
        <v>94</v>
      </c>
      <c r="J60" s="20">
        <f>COUNTIFS(MASTER!$B:$B,"INVICTUS",MASTER!$S:$S,$A60)</f>
        <v>99</v>
      </c>
      <c r="K60" s="20">
        <f>COUNTIFS(MASTER!$B:$B,"EMERALD LEAF TRIBE",MASTER!$S:$S,$A60)</f>
        <v>97</v>
      </c>
      <c r="L60" s="20">
        <f>COUNTIFS(MASTER!$B:$B,"SUB ROSA",MASTER!$S:$S,$A60)</f>
        <v>68</v>
      </c>
      <c r="M60" s="20">
        <f>COUNTIFS(MASTER!$B:$B,"VENGEANCE",MASTER!$S:$S,$A60)</f>
        <v>94</v>
      </c>
      <c r="N60" s="20">
        <f>COUNTIFS(MASTER!$B:$B,"VENDETTA",MASTER!$S:$S,$A60)</f>
        <v>93</v>
      </c>
      <c r="O60" s="20">
        <f>COUNTIFS(MASTER!$B:$B,"ZOMBIES",MASTER!$S:$S,$A60)</f>
        <v>97</v>
      </c>
      <c r="P60" s="45">
        <f>SUM($B60:$O60)</f>
        <v>1324</v>
      </c>
    </row>
    <row r="61" spans="1:16">
      <c r="A61" s="44" t="s">
        <v>174</v>
      </c>
      <c r="B61" s="20">
        <f>COUNTIFS(MASTER!$B:$B,"FUCT",MASTER!$S:$S,$A61)</f>
        <v>0</v>
      </c>
      <c r="C61" s="20">
        <f>COUNTIFS(MASTER!$B:$B,"LEGENDS",MASTER!$S:$S,$A61)</f>
        <v>0</v>
      </c>
      <c r="D61" s="20">
        <f>COUNTIFS(MASTER!$B:$B,"VANGUARD",MASTER!$S:$S,$A61)</f>
        <v>0</v>
      </c>
      <c r="E61" s="20">
        <f>COUNTIFS(MASTER!$B:$B,"UNDYING",MASTER!$S:$S,$A61)</f>
        <v>0</v>
      </c>
      <c r="F61" s="20">
        <f>COUNTIFS(MASTER!$B:$B,"SBG",MASTER!$S:$S,$A61)</f>
        <v>0</v>
      </c>
      <c r="G61" s="20">
        <f>COUNTIFS(MASTER!$B:$B,"AZUKI",MASTER!$S:$S,$A61)</f>
        <v>0</v>
      </c>
      <c r="H61" s="20">
        <f>COUNTIFS(MASTER!$B:$B,"RECKONING",MASTER!$S:$S,$A61)</f>
        <v>0</v>
      </c>
      <c r="I61" s="20">
        <f>COUNTIFS(MASTER!$B:$B,"ACHERON",MASTER!$S:$S,$A61)</f>
        <v>0</v>
      </c>
      <c r="J61" s="20">
        <f>COUNTIFS(MASTER!$B:$B,"INVICTUS",MASTER!$S:$S,$A61)</f>
        <v>0</v>
      </c>
      <c r="K61" s="20">
        <f>COUNTIFS(MASTER!$B:$B,"EMERALD LEAF TRIBE",MASTER!$S:$S,$A61)</f>
        <v>0</v>
      </c>
      <c r="L61" s="20">
        <f>COUNTIFS(MASTER!$B:$B,"SUB ROSA",MASTER!$S:$S,$A61)</f>
        <v>0</v>
      </c>
      <c r="M61" s="20">
        <f>COUNTIFS(MASTER!$B:$B,"VENGEANCE",MASTER!$S:$S,$A61)</f>
        <v>0</v>
      </c>
      <c r="N61" s="20">
        <f>COUNTIFS(MASTER!$B:$B,"VENDETTA",MASTER!$S:$S,$A61)</f>
        <v>0</v>
      </c>
      <c r="O61" s="20">
        <f>COUNTIFS(MASTER!$B:$B,"ZOMBIES",MASTER!$S:$S,$A61)</f>
        <v>1</v>
      </c>
      <c r="P61" s="45">
        <f>SUM($B61:$O61)</f>
        <v>1</v>
      </c>
    </row>
    <row r="62" spans="1:16">
      <c r="A62" s="44" t="s">
        <v>175</v>
      </c>
      <c r="B62" s="20">
        <f>COUNTIFS(MASTER!$B:$B,"FUCT",MASTER!$S:$S,$A62)</f>
        <v>0</v>
      </c>
      <c r="C62" s="20">
        <f>COUNTIFS(MASTER!$B:$B,"LEGENDS",MASTER!$S:$S,$A62)</f>
        <v>3</v>
      </c>
      <c r="D62" s="20">
        <f>COUNTIFS(MASTER!$B:$B,"VANGUARD",MASTER!$S:$S,$A62)</f>
        <v>0</v>
      </c>
      <c r="E62" s="20">
        <f>COUNTIFS(MASTER!$B:$B,"UNDYING",MASTER!$S:$S,$A62)</f>
        <v>0</v>
      </c>
      <c r="F62" s="20">
        <f>COUNTIFS(MASTER!$B:$B,"SBG",MASTER!$S:$S,$A62)</f>
        <v>0</v>
      </c>
      <c r="G62" s="20">
        <f>COUNTIFS(MASTER!$B:$B,"AZUKI",MASTER!$S:$S,$A62)</f>
        <v>1</v>
      </c>
      <c r="H62" s="20">
        <f>COUNTIFS(MASTER!$B:$B,"RECKONING",MASTER!$S:$S,$A62)</f>
        <v>0</v>
      </c>
      <c r="I62" s="20">
        <f>COUNTIFS(MASTER!$B:$B,"ACHERON",MASTER!$S:$S,$A62)</f>
        <v>2</v>
      </c>
      <c r="J62" s="20">
        <f>COUNTIFS(MASTER!$B:$B,"INVICTUS",MASTER!$S:$S,$A62)</f>
        <v>1</v>
      </c>
      <c r="K62" s="20">
        <f>COUNTIFS(MASTER!$B:$B,"EMERALD LEAF TRIBE",MASTER!$S:$S,$A62)</f>
        <v>0</v>
      </c>
      <c r="L62" s="20">
        <f>COUNTIFS(MASTER!$B:$B,"SUB ROSA",MASTER!$S:$S,$A62)</f>
        <v>25</v>
      </c>
      <c r="M62" s="20">
        <f>COUNTIFS(MASTER!$B:$B,"VENGEANCE",MASTER!$S:$S,$A62)</f>
        <v>2</v>
      </c>
      <c r="N62" s="20">
        <f>COUNTIFS(MASTER!$B:$B,"VENDETTA",MASTER!$S:$S,$A62)</f>
        <v>1</v>
      </c>
      <c r="O62" s="20">
        <f>COUNTIFS(MASTER!$B:$B,"ZOMBIES",MASTER!$S:$S,$A62)</f>
        <v>0</v>
      </c>
      <c r="P62" s="45">
        <f>SUM($B62:$O62)</f>
        <v>35</v>
      </c>
    </row>
    <row r="63" spans="1:16">
      <c r="A63" s="46" t="s">
        <v>141</v>
      </c>
      <c r="B63" s="47">
        <f t="shared" ref="B63:P63" si="8">SUM(B60:B62)</f>
        <v>99</v>
      </c>
      <c r="C63" s="47">
        <f t="shared" si="8"/>
        <v>100</v>
      </c>
      <c r="D63" s="47">
        <f t="shared" si="8"/>
        <v>95</v>
      </c>
      <c r="E63" s="47">
        <f t="shared" si="8"/>
        <v>96</v>
      </c>
      <c r="F63" s="47">
        <f t="shared" si="8"/>
        <v>97</v>
      </c>
      <c r="G63" s="47">
        <f t="shared" si="8"/>
        <v>102</v>
      </c>
      <c r="H63" s="47">
        <f t="shared" si="8"/>
        <v>97</v>
      </c>
      <c r="I63" s="47">
        <f t="shared" si="8"/>
        <v>96</v>
      </c>
      <c r="J63" s="47">
        <f t="shared" si="8"/>
        <v>100</v>
      </c>
      <c r="K63" s="47">
        <f t="shared" si="8"/>
        <v>97</v>
      </c>
      <c r="L63" s="47">
        <f t="shared" si="8"/>
        <v>93</v>
      </c>
      <c r="M63" s="47">
        <f t="shared" si="8"/>
        <v>96</v>
      </c>
      <c r="N63" s="47">
        <f t="shared" si="8"/>
        <v>94</v>
      </c>
      <c r="O63" s="47">
        <f t="shared" si="8"/>
        <v>98</v>
      </c>
      <c r="P63" s="47">
        <f t="shared" si="8"/>
        <v>1360</v>
      </c>
    </row>
  </sheetData>
  <mergeCells count="8">
    <mergeCell ref="A39:P39"/>
    <mergeCell ref="A50:P50"/>
    <mergeCell ref="A58:P58"/>
    <mergeCell ref="A1:P1"/>
    <mergeCell ref="A2:P2"/>
    <mergeCell ref="A3:P3"/>
    <mergeCell ref="A14:P14"/>
    <mergeCell ref="A28:P28"/>
  </mergeCells>
  <conditionalFormatting sqref="B5:O11">
    <cfRule type="colorScale" priority="2">
      <colorScale>
        <cfvo type="num" val="0"/>
        <cfvo type="max"/>
        <color rgb="FFFFFFFF"/>
        <color rgb="FFA9D08E"/>
      </colorScale>
    </cfRule>
  </conditionalFormatting>
  <conditionalFormatting sqref="B16:O25">
    <cfRule type="colorScale" priority="3">
      <colorScale>
        <cfvo type="num" val="0"/>
        <cfvo type="max"/>
        <color rgb="FFFFFFFF"/>
        <color rgb="FF9DC3E6"/>
      </colorScale>
    </cfRule>
  </conditionalFormatting>
  <conditionalFormatting sqref="B30:O36">
    <cfRule type="colorScale" priority="4">
      <colorScale>
        <cfvo type="num" val="0"/>
        <cfvo type="max"/>
        <color rgb="FFFFFFFF"/>
        <color rgb="FFF4B183"/>
      </colorScale>
    </cfRule>
  </conditionalFormatting>
  <conditionalFormatting sqref="B41:O47">
    <cfRule type="colorScale" priority="5">
      <colorScale>
        <cfvo type="num" val="0"/>
        <cfvo type="max"/>
        <color rgb="FFFFFFFF"/>
        <color rgb="FFFFD966"/>
      </colorScale>
    </cfRule>
  </conditionalFormatting>
  <conditionalFormatting sqref="B52:O56">
    <cfRule type="colorScale" priority="6">
      <colorScale>
        <cfvo type="num" val="0"/>
        <cfvo type="max"/>
        <color rgb="FFFFFFFF"/>
        <color rgb="FFB4A7D6"/>
      </colorScale>
    </cfRule>
  </conditionalFormatting>
  <conditionalFormatting sqref="B60:O62">
    <cfRule type="colorScale" priority="7">
      <colorScale>
        <cfvo type="num" val="0"/>
        <cfvo type="max"/>
        <color rgb="FFFFFFFF"/>
        <color rgb="FFF8CBAD"/>
      </colorScale>
    </cfRule>
  </conditionalFormatting>
  <printOptions horizontalCentered="1"/>
  <pageMargins left="0.75" right="0.75" top="1" bottom="1" header="0.511811023622047" footer="0.511811023622047"/>
  <pageSetup fitToHeight="0" orientation="landscape" horizontalDpi="300" verticalDpi="300"/>
  <ignoredErrors>
    <ignoredError sqref="A1:P63" evalError="1" twoDigitTextYear="1" numberStoredAsText="1" formula="1" formulaRange="1" unlockedFormula="1" emptyCellReference="1" listDataValidation="1" calculatedColumn="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8F00"/>
    <pageSetUpPr fitToPage="1"/>
  </sheetPr>
  <dimension ref="A1:J40"/>
  <sheetViews>
    <sheetView showGridLines="0" topLeftCell="A2" zoomScaleNormal="100" workbookViewId="0">
      <selection activeCell="H19" sqref="H19"/>
    </sheetView>
  </sheetViews>
  <sheetFormatPr defaultColWidth="8.7109375" defaultRowHeight="15"/>
  <cols>
    <col min="1" max="1" width="2" customWidth="1"/>
    <col min="2" max="2" width="24" customWidth="1"/>
    <col min="3" max="3" width="20" customWidth="1"/>
    <col min="4" max="4" width="18" customWidth="1"/>
    <col min="5" max="5" width="15" customWidth="1"/>
    <col min="6" max="6" width="16.42578125" customWidth="1"/>
    <col min="7" max="7" width="18" customWidth="1"/>
    <col min="8" max="8" width="30" customWidth="1"/>
    <col min="9" max="9" width="3" customWidth="1"/>
    <col min="10" max="10" width="12" hidden="1" customWidth="1"/>
  </cols>
  <sheetData>
    <row r="1" spans="1:10" ht="30" customHeight="1">
      <c r="A1" s="92" t="s">
        <v>176</v>
      </c>
      <c r="B1" s="92"/>
      <c r="C1" s="92"/>
      <c r="D1" s="92"/>
      <c r="E1" s="92"/>
      <c r="F1" s="92"/>
      <c r="G1" s="92"/>
      <c r="H1" s="92"/>
      <c r="J1">
        <f>IFERROR(MATCH($C$4,MASTER!$C$4:$C$1463,0),0)</f>
        <v>1346</v>
      </c>
    </row>
    <row r="2" spans="1:10" ht="15.75" customHeight="1">
      <c r="A2" s="93" t="s">
        <v>177</v>
      </c>
      <c r="B2" s="93"/>
      <c r="C2" s="93"/>
      <c r="D2" s="93"/>
      <c r="E2" s="93"/>
      <c r="F2" s="93"/>
      <c r="G2" s="93"/>
      <c r="H2" s="93"/>
    </row>
    <row r="4" spans="1:10" ht="21.75" customHeight="1">
      <c r="B4" s="48" t="s">
        <v>178</v>
      </c>
      <c r="C4" s="103" t="s">
        <v>402</v>
      </c>
      <c r="D4" s="100"/>
      <c r="E4" s="100"/>
      <c r="F4" s="11" t="s">
        <v>180</v>
      </c>
    </row>
    <row r="6" spans="1:10" ht="27.75" customHeight="1">
      <c r="B6" s="104" t="str">
        <f>IF($J$1=0,"&lt; pick a player","| "&amp;IFERROR(IF(INDEX(MASTER!$C$4:$C$1463,$J$1)="","-",INDEX(MASTER!$C$4:$C$1463,$J$1)),"-")&amp;"      "&amp;IFERROR(IF(INDEX(MASTER!$B$4:$B$1463,$J$1)="","-",INDEX(MASTER!$B$4:$B$1463,$J$1)),"-")&amp;"  ("&amp;IFERROR(IF(INDEX(MASTER!$A$4:$A$1463,$J$1)="","-",INDEX(MASTER!$A$4:$A$1463,$J$1)),"-")&amp;")      "&amp;IFERROR(IF(INDEX(MASTER!$E$4:$E$1463,$J$1)="","-",INDEX(MASTER!$E$4:$E$1463,$J$1)),"-")&amp;"  ·  "&amp;IFERROR(IF(INDEX(MASTER!$F$4:$F$1463,$J$1)="","-",INDEX(MASTER!$F$4:$F$1463,$J$1)),"-")&amp;IF(IFERROR(IF(INDEX(MASTER!$U$4:$U$1463,$J$1)="","",INDEX(MASTER!$U$4:$U$1463,$J$1)),"")="",""," ·  warband: "&amp;IFERROR(IF(INDEX(MASTER!$U$4:$U$1463,$J$1)="","",INDEX(MASTER!$U$4:$U$1463,$J$1)),"")))</f>
        <v>| xXSoulSlayer1221Xx      FUCT  (STANDALONE)      WARLOCK  ·  Control ·  warband: FUCT</v>
      </c>
      <c r="C6" s="104"/>
      <c r="D6" s="104"/>
      <c r="E6" s="104"/>
      <c r="F6" s="104"/>
      <c r="G6" s="104"/>
      <c r="H6" s="104"/>
    </row>
    <row r="8" spans="1:10" ht="19.5" customHeight="1">
      <c r="A8" s="91" t="s">
        <v>181</v>
      </c>
      <c r="B8" s="91"/>
      <c r="C8" s="91"/>
      <c r="D8" s="91"/>
      <c r="E8" s="91"/>
      <c r="F8" s="91"/>
      <c r="G8" s="91"/>
    </row>
    <row r="9" spans="1:10" ht="27.75" customHeight="1">
      <c r="B9" s="13" t="s">
        <v>182</v>
      </c>
      <c r="C9" s="13" t="s">
        <v>183</v>
      </c>
      <c r="D9" s="13" t="s">
        <v>184</v>
      </c>
      <c r="E9" s="13" t="s">
        <v>185</v>
      </c>
      <c r="F9" s="13" t="s">
        <v>186</v>
      </c>
      <c r="G9" s="13" t="s">
        <v>187</v>
      </c>
    </row>
    <row r="10" spans="1:10">
      <c r="B10" s="41" t="s">
        <v>188</v>
      </c>
      <c r="C10" s="49">
        <f>IFERROR(IF(INDEX(MASTER!$G$4:$G$1463,$J$1)="","-",INDEX(MASTER!$G$4:$G$1463,$J$1)),"-")</f>
        <v>64122</v>
      </c>
      <c r="D10" s="15" t="str">
        <f>IFERROR(IF(INDEX(MASTER!$H$4:$H$1463,$J$1)="","-",INDEX(MASTER!$H$4:$H$1463,$J$1)),"-")</f>
        <v>64,000 +</v>
      </c>
      <c r="E10" s="15">
        <f>IFERROR(IF(INDEX(MASTER!$Z$4:$Z$1463,$J$1)="","-",INDEX(MASTER!$Z$4:$Z$1463,$J$1)),"-")</f>
        <v>56</v>
      </c>
      <c r="F10" s="50" t="s">
        <v>189</v>
      </c>
      <c r="G10" s="51" t="str">
        <f>IF(ISNUMBER($C10),REPT("|",ROUND(30*MIN(1,$C10/64500),0)),"")</f>
        <v>||||||||||||||||||||||||||||||</v>
      </c>
      <c r="H10" s="41"/>
    </row>
    <row r="11" spans="1:10">
      <c r="B11" s="1" t="s">
        <v>190</v>
      </c>
      <c r="C11" s="52">
        <f>IFERROR(IF(INDEX(MASTER!$I$4:$I$1463,$J$1)="","-",INDEX(MASTER!$I$4:$I$1463,$J$1)),"-")</f>
        <v>10023</v>
      </c>
      <c r="D11" s="19" t="str">
        <f>IFERROR(IF(INDEX(MASTER!$J$4:$J$1463,$J$1)="","-",INDEX(MASTER!$J$4:$J$1463,$J$1)),"-")</f>
        <v>APEX</v>
      </c>
      <c r="E11" s="19">
        <f>IFERROR(IF(INDEX(MASTER!$P$4:$P$1463,$J$1)="","-",INDEX(MASTER!$P$4:$P$1463,$J$1)),"-")</f>
        <v>54</v>
      </c>
      <c r="F11" s="22">
        <f>IFERROR(IF(INDEX(MASTER!$R$4:$R$1463,$J$1)="","-",INDEX(MASTER!$R$4:$R$1463,$J$1)),"-")</f>
        <v>0.95899999999999996</v>
      </c>
      <c r="G11" s="24" t="str">
        <f>IF(ISNUMBER($C11),REPT("|",ROUND(30*MIN(1,$C11/12600),0)),"")</f>
        <v>||||||||||||||||||||||||</v>
      </c>
      <c r="H11" s="1"/>
    </row>
    <row r="12" spans="1:10">
      <c r="B12" s="41" t="s">
        <v>191</v>
      </c>
      <c r="C12" s="53">
        <f>IFERROR(IF(INDEX(MASTER!$L$4:$L$1463,$J$1)="","-",INDEX(MASTER!$L$4:$L$1463,$J$1)),"-")</f>
        <v>6.72</v>
      </c>
      <c r="D12" s="15" t="str">
        <f>IFERROR(IF(INDEX(MASTER!$M$4:$M$1463,$J$1)="","-",INDEX(MASTER!$M$4:$M$1463,$J$1)),"-")</f>
        <v>6k - 8k</v>
      </c>
      <c r="E12" s="15" t="s">
        <v>189</v>
      </c>
      <c r="F12" s="50" t="s">
        <v>189</v>
      </c>
      <c r="G12" s="51" t="str">
        <f>IF(ISNUMBER($C12),REPT("|",ROUND(30*MIN(1,$C12/12),0)),"")</f>
        <v>|||||||||||||||||</v>
      </c>
      <c r="H12" s="41"/>
    </row>
    <row r="13" spans="1:10">
      <c r="B13" s="1" t="s">
        <v>192</v>
      </c>
      <c r="C13" s="54">
        <f>IFERROR(IF(INDEX(MASTER!$N$4:$N$1463,$J$1)="","-",INDEX(MASTER!$N$4:$N$1463,$J$1)),"-")</f>
        <v>79</v>
      </c>
      <c r="D13" s="19" t="str">
        <f>IFERROR(IF(INDEX(MASTER!$O$4:$O$1463,$J$1)="","-",INDEX(MASTER!$O$4:$O$1463,$J$1)),"-")</f>
        <v>S</v>
      </c>
      <c r="E13" s="19">
        <f>IFERROR(IF(INDEX(MASTER!$AA$4:$AA$1463,$J$1)="","-",INDEX(MASTER!$AA$4:$AA$1463,$J$1)),"-")</f>
        <v>60</v>
      </c>
      <c r="F13" s="22" t="s">
        <v>189</v>
      </c>
      <c r="G13" s="24" t="str">
        <f>IF(ISNUMBER($C13),REPT("|",ROUND(30*MIN(1,$C13/100),0)),"")</f>
        <v>||||||||||||||||||||||||</v>
      </c>
      <c r="H13" s="1"/>
    </row>
    <row r="14" spans="1:10">
      <c r="B14" s="18" t="s">
        <v>193</v>
      </c>
      <c r="C14" s="19" t="str">
        <f>IFERROR(IF(INDEX(MASTER!$S$4:$S$1463,$J$1)="","-",INDEX(MASTER!$S$4:$S$1463,$J$1)),"-")</f>
        <v>Complete</v>
      </c>
      <c r="D14" s="102" t="str">
        <f>IF(IFERROR(IF(INDEX(MASTER!$T$4:$T$1463,$J$1)="","-",INDEX(MASTER!$T$4:$T$1463,$J$1)),"-")="","clean",IFERROR(IF(INDEX(MASTER!$T$4:$T$1463,$J$1)="","-",INDEX(MASTER!$T$4:$T$1463,$J$1)),"-"))</f>
        <v>-</v>
      </c>
      <c r="E14" s="102"/>
      <c r="F14" s="18" t="s">
        <v>194</v>
      </c>
      <c r="G14" s="1" t="str">
        <f>IF(IFERROR(IF(INDEX(MASTER!$V$4:$V$1463,$J$1)="","",INDEX(MASTER!$V$4:$V$1463,$J$1)),"")="","-",IFERROR(IF(INDEX(MASTER!$V$4:$V$1463,$J$1)="","",INDEX(MASTER!$V$4:$V$1463,$J$1)),"")&amp;"  ·  "&amp;IFERROR(IF(INDEX(MASTER!$W$4:$W$1463,$J$1)="","",INDEX(MASTER!$W$4:$W$1463,$J$1)),""))</f>
        <v>UNDYING  ·  APPROVED</v>
      </c>
      <c r="H14" s="1"/>
    </row>
    <row r="16" spans="1:10" ht="19.5" customHeight="1">
      <c r="A16" s="91" t="s">
        <v>195</v>
      </c>
      <c r="B16" s="91"/>
      <c r="C16" s="91"/>
      <c r="D16" s="91"/>
      <c r="E16" s="91"/>
      <c r="F16" s="91"/>
      <c r="G16" s="91"/>
    </row>
    <row r="17" spans="1:8" ht="27.75" customHeight="1">
      <c r="B17" s="13" t="s">
        <v>196</v>
      </c>
      <c r="C17" s="13" t="s">
        <v>128</v>
      </c>
      <c r="D17" s="13" t="s">
        <v>197</v>
      </c>
      <c r="E17" s="13" t="s">
        <v>198</v>
      </c>
      <c r="F17" s="13" t="s">
        <v>199</v>
      </c>
      <c r="G17" s="13" t="s">
        <v>200</v>
      </c>
      <c r="H17" s="13" t="s">
        <v>201</v>
      </c>
    </row>
    <row r="18" spans="1:8">
      <c r="B18" s="41" t="s">
        <v>188</v>
      </c>
      <c r="C18" s="49">
        <f>IFERROR(IF(INDEX(MASTER!$G$4:$G$1463,$J$1)="","-",INDEX(MASTER!$G$4:$G$1463,$J$1)),"-")</f>
        <v>64122</v>
      </c>
      <c r="D18" s="16">
        <f>IFERROR(ROUND(AVERAGEIFS(MASTER!$G:$G,MASTER!$B:$B,IFERROR(IF(INDEX(MASTER!$B$4:$B$1463,$J$1)="","-",INDEX(MASTER!$B$4:$B$1463,$J$1)),"-")),1),"-")</f>
        <v>62784.3</v>
      </c>
      <c r="E18" s="16">
        <f>IF(AND(ISNUMBER($C18),ISNUMBER($D18)),ROUND($C18-$D18,1),"-")</f>
        <v>1337.7</v>
      </c>
      <c r="F18" s="16">
        <f>ROUND(AVERAGE(MASTER!$G$4:$G$1463),1)</f>
        <v>62169.8</v>
      </c>
      <c r="G18" s="16">
        <f>IF(ISNUMBER($C18),ROUND($C18-$F18,1),"-")</f>
        <v>1952.2</v>
      </c>
      <c r="H18" s="15"/>
    </row>
    <row r="19" spans="1:8">
      <c r="B19" s="1" t="s">
        <v>190</v>
      </c>
      <c r="C19" s="52">
        <f>IFERROR(IF(INDEX(MASTER!$I$4:$I$1463,$J$1)="","-",INDEX(MASTER!$I$4:$I$1463,$J$1)),"-")</f>
        <v>10023</v>
      </c>
      <c r="D19" s="20">
        <f>IFERROR(ROUND(AVERAGEIFS(MASTER!$I:$I,MASTER!$B:$B,IFERROR(IF(INDEX(MASTER!$B$4:$B$1463,$J$1)="","-",INDEX(MASTER!$B$4:$B$1463,$J$1)),"-")),1),"-")</f>
        <v>5213.5</v>
      </c>
      <c r="E19" s="20">
        <f>IF(AND(ISNUMBER($C19),ISNUMBER($D19)),ROUND($C19-$D19,1),"-")</f>
        <v>4809.5</v>
      </c>
      <c r="F19" s="20">
        <f>ROUND(AVERAGE(MASTER!$I$4:$I$1463),1)</f>
        <v>4325.7</v>
      </c>
      <c r="G19" s="20">
        <f>IF(ISNUMBER($C19),ROUND($C19-$F19,1),"-")</f>
        <v>5697.3</v>
      </c>
      <c r="H19" s="19" t="str">
        <f>IF($J$1=0,"-",IFERROR(IF(INDEX(MASTER!$Q$4:$Q$1463,$J$1)="","-",INDEX(MASTER!$Q$4:$Q$1463,$J$1)),"-")&amp;" of "&amp;COUNTIF(MASTER!$B:$B,IFERROR(IF(INDEX(MASTER!$B$4:$B$1463,$J$1)="","-",INDEX(MASTER!$B$4:$B$1463,$J$1)),"-")))</f>
        <v>5 of 99</v>
      </c>
    </row>
    <row r="20" spans="1:8">
      <c r="B20" s="41" t="s">
        <v>191</v>
      </c>
      <c r="C20" s="53">
        <f>IFERROR(IF(INDEX(MASTER!$L$4:$L$1463,$J$1)="","-",INDEX(MASTER!$L$4:$L$1463,$J$1)),"-")</f>
        <v>6.72</v>
      </c>
      <c r="D20" s="17">
        <f>IFERROR(ROUND(AVERAGEIFS(MASTER!$L:$L,MASTER!$B:$B,IFERROR(IF(INDEX(MASTER!$B$4:$B$1463,$J$1)="","-",INDEX(MASTER!$B$4:$B$1463,$J$1)),"-")),1),"-")</f>
        <v>5.0999999999999996</v>
      </c>
      <c r="E20" s="17">
        <f>IF(AND(ISNUMBER($C20),ISNUMBER($D20)),ROUND($C20-$D20,1),"-")</f>
        <v>1.6</v>
      </c>
      <c r="F20" s="17">
        <f>ROUND(AVERAGE(MASTER!$L$4:$L$1463),1)</f>
        <v>5</v>
      </c>
      <c r="G20" s="17">
        <f>IF(ISNUMBER($C20),ROUND($C20-$F20,1),"-")</f>
        <v>1.7</v>
      </c>
      <c r="H20" s="15"/>
    </row>
    <row r="21" spans="1:8">
      <c r="B21" s="1" t="s">
        <v>23</v>
      </c>
      <c r="C21" s="54">
        <f>IFERROR(IF(INDEX(MASTER!$N$4:$N$1463,$J$1)="","-",INDEX(MASTER!$N$4:$N$1463,$J$1)),"-")</f>
        <v>79</v>
      </c>
      <c r="D21" s="21">
        <f>IFERROR(ROUND(AVERAGEIFS(MASTER!$N:$N,MASTER!$B:$B,IFERROR(IF(INDEX(MASTER!$B$4:$B$1463,$J$1)="","-",INDEX(MASTER!$B$4:$B$1463,$J$1)),"-")),1),"-")</f>
        <v>51.7</v>
      </c>
      <c r="E21" s="21">
        <f>IF(AND(ISNUMBER($C21),ISNUMBER($D21)),ROUND($C21-$D21,1),"-")</f>
        <v>27.3</v>
      </c>
      <c r="F21" s="21">
        <f>ROUND(AVERAGE(MASTER!$N$4:$N$1463),1)</f>
        <v>46.1</v>
      </c>
      <c r="G21" s="21">
        <f>IF(ISNUMBER($C21),ROUND($C21-$F21,1),"-")</f>
        <v>32.9</v>
      </c>
      <c r="H21" s="19"/>
    </row>
    <row r="24" spans="1:8" ht="19.5" customHeight="1">
      <c r="A24" s="91" t="s">
        <v>202</v>
      </c>
      <c r="B24" s="91"/>
      <c r="C24" s="91"/>
      <c r="D24" s="91"/>
      <c r="E24" s="91"/>
      <c r="F24" s="91"/>
      <c r="G24" s="91"/>
    </row>
    <row r="25" spans="1:8" ht="27.75" customHeight="1">
      <c r="B25" s="13" t="s">
        <v>203</v>
      </c>
      <c r="C25" s="13" t="s">
        <v>128</v>
      </c>
      <c r="D25" s="13" t="s">
        <v>44</v>
      </c>
      <c r="E25" s="13" t="s">
        <v>68</v>
      </c>
      <c r="F25" s="13" t="s">
        <v>190</v>
      </c>
      <c r="G25" s="13" t="s">
        <v>204</v>
      </c>
      <c r="H25" s="13" t="s">
        <v>63</v>
      </c>
    </row>
    <row r="26" spans="1:8">
      <c r="B26" s="15">
        <f>IFERROR(IF(INDEX(MASTER!$P$4:$P$1463,MATCH(IFERROR(INDEX(MASTER!$P$4:$P$1463,$J$1),0)+(-3),MASTER!$P$4:$P$1463,0))="","-",INDEX(MASTER!$P$4:$P$1463,MATCH(IFERROR(INDEX(MASTER!$P$4:$P$1463,$J$1),0)+(-3),MASTER!$P$4:$P$1463,0))),"-")</f>
        <v>51</v>
      </c>
      <c r="C26" s="41" t="str">
        <f>IFERROR(IF(INDEX(MASTER!$C$4:$C$1463,MATCH(IFERROR(INDEX(MASTER!$P$4:$P$1463,$J$1),0)+(-3),MASTER!$P$4:$P$1463,0))="","-",INDEX(MASTER!$C$4:$C$1463,MATCH(IFERROR(INDEX(MASTER!$P$4:$P$1463,$J$1),0)+(-3),MASTER!$P$4:$P$1463,0))),"-")</f>
        <v>DeathsRazor</v>
      </c>
      <c r="D26" s="15" t="str">
        <f>IFERROR(IF(INDEX(MASTER!$B$4:$B$1463,MATCH(IFERROR(INDEX(MASTER!$P$4:$P$1463,$J$1),0)+(-3),MASTER!$P$4:$P$1463,0))="","-",INDEX(MASTER!$B$4:$B$1463,MATCH(IFERROR(INDEX(MASTER!$P$4:$P$1463,$J$1),0)+(-3),MASTER!$P$4:$P$1463,0))),"-")</f>
        <v>AZUKI</v>
      </c>
      <c r="E26" s="15" t="str">
        <f>IFERROR(IF(INDEX(MASTER!$E$4:$E$1463,MATCH(IFERROR(INDEX(MASTER!$P$4:$P$1463,$J$1),0)+(-3),MASTER!$P$4:$P$1463,0))="","-",INDEX(MASTER!$E$4:$E$1463,MATCH(IFERROR(INDEX(MASTER!$P$4:$P$1463,$J$1),0)+(-3),MASTER!$P$4:$P$1463,0))),"-")</f>
        <v>WARLOCK</v>
      </c>
      <c r="F26" s="16">
        <f>IFERROR(IF(INDEX(MASTER!$I$4:$I$1463,MATCH(IFERROR(INDEX(MASTER!$P$4:$P$1463,$J$1),0)+(-3),MASTER!$P$4:$P$1463,0))="","-",INDEX(MASTER!$I$4:$I$1463,MATCH(IFERROR(INDEX(MASTER!$P$4:$P$1463,$J$1),0)+(-3),MASTER!$P$4:$P$1463,0))),"-")</f>
        <v>10045</v>
      </c>
      <c r="G26" s="16">
        <f>IFERROR($F26-IFERROR(IF(INDEX(MASTER!$I$4:$I$1463,$J$1)="","-",INDEX(MASTER!$I$4:$I$1463,$J$1)),"-"),"-")</f>
        <v>22</v>
      </c>
      <c r="H26" s="15" t="str">
        <f>IFERROR(IF(INDEX(MASTER!$J$4:$J$1463,MATCH(IFERROR(INDEX(MASTER!$P$4:$P$1463,$J$1),0)+(-3),MASTER!$P$4:$P$1463,0))="","-",INDEX(MASTER!$J$4:$J$1463,MATCH(IFERROR(INDEX(MASTER!$P$4:$P$1463,$J$1),0)+(-3),MASTER!$P$4:$P$1463,0))),"-")</f>
        <v>APEX</v>
      </c>
    </row>
    <row r="27" spans="1:8">
      <c r="B27" s="19">
        <f>IFERROR(IF(INDEX(MASTER!$P$4:$P$1463,MATCH(IFERROR(INDEX(MASTER!$P$4:$P$1463,$J$1),0)+(-2),MASTER!$P$4:$P$1463,0))="","-",INDEX(MASTER!$P$4:$P$1463,MATCH(IFERROR(INDEX(MASTER!$P$4:$P$1463,$J$1),0)+(-2),MASTER!$P$4:$P$1463,0))),"-")</f>
        <v>52</v>
      </c>
      <c r="C27" s="1" t="str">
        <f>IFERROR(IF(INDEX(MASTER!$C$4:$C$1463,MATCH(IFERROR(INDEX(MASTER!$P$4:$P$1463,$J$1),0)+(-2),MASTER!$P$4:$P$1463,0))="","-",INDEX(MASTER!$C$4:$C$1463,MATCH(IFERROR(INDEX(MASTER!$P$4:$P$1463,$J$1),0)+(-2),MASTER!$P$4:$P$1463,0))),"-")</f>
        <v>BOR- Zeroth</v>
      </c>
      <c r="D27" s="19" t="str">
        <f>IFERROR(IF(INDEX(MASTER!$B$4:$B$1463,MATCH(IFERROR(INDEX(MASTER!$P$4:$P$1463,$J$1),0)+(-2),MASTER!$P$4:$P$1463,0))="","-",INDEX(MASTER!$B$4:$B$1463,MATCH(IFERROR(INDEX(MASTER!$P$4:$P$1463,$J$1),0)+(-2),MASTER!$P$4:$P$1463,0))),"-")</f>
        <v>UNDYING</v>
      </c>
      <c r="E27" s="19" t="str">
        <f>IFERROR(IF(INDEX(MASTER!$E$4:$E$1463,MATCH(IFERROR(INDEX(MASTER!$P$4:$P$1463,$J$1),0)+(-2),MASTER!$P$4:$P$1463,0))="","-",INDEX(MASTER!$E$4:$E$1463,MATCH(IFERROR(INDEX(MASTER!$P$4:$P$1463,$J$1),0)+(-2),MASTER!$P$4:$P$1463,0))),"-")</f>
        <v>DEMON HUNTER</v>
      </c>
      <c r="F27" s="20">
        <f>IFERROR(IF(INDEX(MASTER!$I$4:$I$1463,MATCH(IFERROR(INDEX(MASTER!$P$4:$P$1463,$J$1),0)+(-2),MASTER!$P$4:$P$1463,0))="","-",INDEX(MASTER!$I$4:$I$1463,MATCH(IFERROR(INDEX(MASTER!$P$4:$P$1463,$J$1),0)+(-2),MASTER!$P$4:$P$1463,0))),"-")</f>
        <v>10023</v>
      </c>
      <c r="G27" s="20">
        <f>IFERROR($F27-IFERROR(IF(INDEX(MASTER!$I$4:$I$1463,$J$1)="","-",INDEX(MASTER!$I$4:$I$1463,$J$1)),"-"),"-")</f>
        <v>0</v>
      </c>
      <c r="H27" s="19" t="str">
        <f>IFERROR(IF(INDEX(MASTER!$J$4:$J$1463,MATCH(IFERROR(INDEX(MASTER!$P$4:$P$1463,$J$1),0)+(-2),MASTER!$P$4:$P$1463,0))="","-",INDEX(MASTER!$J$4:$J$1463,MATCH(IFERROR(INDEX(MASTER!$P$4:$P$1463,$J$1),0)+(-2),MASTER!$P$4:$P$1463,0))),"-")</f>
        <v>APEX</v>
      </c>
    </row>
    <row r="28" spans="1:8">
      <c r="B28" s="15">
        <f>IFERROR(IF(INDEX(MASTER!$P$4:$P$1463,MATCH(IFERROR(INDEX(MASTER!$P$4:$P$1463,$J$1),0)+(-1),MASTER!$P$4:$P$1463,0))="","-",INDEX(MASTER!$P$4:$P$1463,MATCH(IFERROR(INDEX(MASTER!$P$4:$P$1463,$J$1),0)+(-1),MASTER!$P$4:$P$1463,0))),"-")</f>
        <v>53</v>
      </c>
      <c r="C28" s="41" t="str">
        <f>IFERROR(IF(INDEX(MASTER!$C$4:$C$1463,MATCH(IFERROR(INDEX(MASTER!$P$4:$P$1463,$J$1),0)+(-1),MASTER!$P$4:$P$1463,0))="","-",INDEX(MASTER!$C$4:$C$1463,MATCH(IFERROR(INDEX(MASTER!$P$4:$P$1463,$J$1),0)+(-1),MASTER!$P$4:$P$1463,0))),"-")</f>
        <v>xHxHx</v>
      </c>
      <c r="D28" s="15" t="str">
        <f>IFERROR(IF(INDEX(MASTER!$B$4:$B$1463,MATCH(IFERROR(INDEX(MASTER!$P$4:$P$1463,$J$1),0)+(-1),MASTER!$P$4:$P$1463,0))="","-",INDEX(MASTER!$B$4:$B$1463,MATCH(IFERROR(INDEX(MASTER!$P$4:$P$1463,$J$1),0)+(-1),MASTER!$P$4:$P$1463,0))),"-")</f>
        <v>VANGUARD</v>
      </c>
      <c r="E28" s="15" t="str">
        <f>IFERROR(IF(INDEX(MASTER!$E$4:$E$1463,MATCH(IFERROR(INDEX(MASTER!$P$4:$P$1463,$J$1),0)+(-1),MASTER!$P$4:$P$1463,0))="","-",INDEX(MASTER!$E$4:$E$1463,MATCH(IFERROR(INDEX(MASTER!$P$4:$P$1463,$J$1),0)+(-1),MASTER!$P$4:$P$1463,0))),"-")</f>
        <v>MONK</v>
      </c>
      <c r="F28" s="16">
        <f>IFERROR(IF(INDEX(MASTER!$I$4:$I$1463,MATCH(IFERROR(INDEX(MASTER!$P$4:$P$1463,$J$1),0)+(-1),MASTER!$P$4:$P$1463,0))="","-",INDEX(MASTER!$I$4:$I$1463,MATCH(IFERROR(INDEX(MASTER!$P$4:$P$1463,$J$1),0)+(-1),MASTER!$P$4:$P$1463,0))),"-")</f>
        <v>10023</v>
      </c>
      <c r="G28" s="16">
        <f>IFERROR($F28-IFERROR(IF(INDEX(MASTER!$I$4:$I$1463,$J$1)="","-",INDEX(MASTER!$I$4:$I$1463,$J$1)),"-"),"-")</f>
        <v>0</v>
      </c>
      <c r="H28" s="15" t="str">
        <f>IFERROR(IF(INDEX(MASTER!$J$4:$J$1463,MATCH(IFERROR(INDEX(MASTER!$P$4:$P$1463,$J$1),0)+(-1),MASTER!$P$4:$P$1463,0))="","-",INDEX(MASTER!$J$4:$J$1463,MATCH(IFERROR(INDEX(MASTER!$P$4:$P$1463,$J$1),0)+(-1),MASTER!$P$4:$P$1463,0))),"-")</f>
        <v>APEX</v>
      </c>
    </row>
    <row r="29" spans="1:8">
      <c r="B29" s="55">
        <f>IFERROR(IF(INDEX(MASTER!$P$4:$P$1463,MATCH(IFERROR(INDEX(MASTER!$P$4:$P$1463,$J$1),0)+(0),MASTER!$P$4:$P$1463,0))="","-",INDEX(MASTER!$P$4:$P$1463,MATCH(IFERROR(INDEX(MASTER!$P$4:$P$1463,$J$1),0)+(0),MASTER!$P$4:$P$1463,0))),"-")</f>
        <v>54</v>
      </c>
      <c r="C29" s="44" t="str">
        <f>IFERROR(IF(INDEX(MASTER!$C$4:$C$1463,MATCH(IFERROR(INDEX(MASTER!$P$4:$P$1463,$J$1),0)+(0),MASTER!$P$4:$P$1463,0))="","-",INDEX(MASTER!$C$4:$C$1463,MATCH(IFERROR(INDEX(MASTER!$P$4:$P$1463,$J$1),0)+(0),MASTER!$P$4:$P$1463,0))),"-")</f>
        <v>xXSoulSlayer1221Xx</v>
      </c>
      <c r="D29" s="55" t="str">
        <f>IFERROR(IF(INDEX(MASTER!$B$4:$B$1463,MATCH(IFERROR(INDEX(MASTER!$P$4:$P$1463,$J$1),0)+(0),MASTER!$P$4:$P$1463,0))="","-",INDEX(MASTER!$B$4:$B$1463,MATCH(IFERROR(INDEX(MASTER!$P$4:$P$1463,$J$1),0)+(0),MASTER!$P$4:$P$1463,0))),"-")</f>
        <v>FUCT</v>
      </c>
      <c r="E29" s="55" t="str">
        <f>IFERROR(IF(INDEX(MASTER!$E$4:$E$1463,MATCH(IFERROR(INDEX(MASTER!$P$4:$P$1463,$J$1),0)+(0),MASTER!$P$4:$P$1463,0))="","-",INDEX(MASTER!$E$4:$E$1463,MATCH(IFERROR(INDEX(MASTER!$P$4:$P$1463,$J$1),0)+(0),MASTER!$P$4:$P$1463,0))),"-")</f>
        <v>WARLOCK</v>
      </c>
      <c r="F29" s="45">
        <f>IFERROR(IF(INDEX(MASTER!$I$4:$I$1463,MATCH(IFERROR(INDEX(MASTER!$P$4:$P$1463,$J$1),0)+(0),MASTER!$P$4:$P$1463,0))="","-",INDEX(MASTER!$I$4:$I$1463,MATCH(IFERROR(INDEX(MASTER!$P$4:$P$1463,$J$1),0)+(0),MASTER!$P$4:$P$1463,0))),"-")</f>
        <v>10023</v>
      </c>
      <c r="G29" s="45">
        <f>IFERROR($F29-IFERROR(IF(INDEX(MASTER!$I$4:$I$1463,$J$1)="","-",INDEX(MASTER!$I$4:$I$1463,$J$1)),"-"),"-")</f>
        <v>0</v>
      </c>
      <c r="H29" s="55" t="str">
        <f>IFERROR(IF(INDEX(MASTER!$J$4:$J$1463,MATCH(IFERROR(INDEX(MASTER!$P$4:$P$1463,$J$1),0)+(0),MASTER!$P$4:$P$1463,0))="","-",INDEX(MASTER!$J$4:$J$1463,MATCH(IFERROR(INDEX(MASTER!$P$4:$P$1463,$J$1),0)+(0),MASTER!$P$4:$P$1463,0))),"-")</f>
        <v>APEX</v>
      </c>
    </row>
    <row r="30" spans="1:8">
      <c r="B30" s="15">
        <f>IFERROR(IF(INDEX(MASTER!$P$4:$P$1463,MATCH(IFERROR(INDEX(MASTER!$P$4:$P$1463,$J$1),0)+(1),MASTER!$P$4:$P$1463,0))="","-",INDEX(MASTER!$P$4:$P$1463,MATCH(IFERROR(INDEX(MASTER!$P$4:$P$1463,$J$1),0)+(1),MASTER!$P$4:$P$1463,0))),"-")</f>
        <v>55</v>
      </c>
      <c r="C30" s="41" t="str">
        <f>IFERROR(IF(INDEX(MASTER!$C$4:$C$1463,MATCH(IFERROR(INDEX(MASTER!$P$4:$P$1463,$J$1),0)+(1),MASTER!$P$4:$P$1463,0))="","-",INDEX(MASTER!$C$4:$C$1463,MATCH(IFERROR(INDEX(MASTER!$P$4:$P$1463,$J$1),0)+(1),MASTER!$P$4:$P$1463,0))),"-")</f>
        <v>Z0ltar</v>
      </c>
      <c r="D30" s="15" t="str">
        <f>IFERROR(IF(INDEX(MASTER!$B$4:$B$1463,MATCH(IFERROR(INDEX(MASTER!$P$4:$P$1463,$J$1),0)+(1),MASTER!$P$4:$P$1463,0))="","-",INDEX(MASTER!$B$4:$B$1463,MATCH(IFERROR(INDEX(MASTER!$P$4:$P$1463,$J$1),0)+(1),MASTER!$P$4:$P$1463,0))),"-")</f>
        <v>AZUKI</v>
      </c>
      <c r="E30" s="15" t="str">
        <f>IFERROR(IF(INDEX(MASTER!$E$4:$E$1463,MATCH(IFERROR(INDEX(MASTER!$P$4:$P$1463,$J$1),0)+(1),MASTER!$P$4:$P$1463,0))="","-",INDEX(MASTER!$E$4:$E$1463,MATCH(IFERROR(INDEX(MASTER!$P$4:$P$1463,$J$1),0)+(1),MASTER!$P$4:$P$1463,0))),"-")</f>
        <v>BARBARIAN</v>
      </c>
      <c r="F30" s="16">
        <f>IFERROR(IF(INDEX(MASTER!$I$4:$I$1463,MATCH(IFERROR(INDEX(MASTER!$P$4:$P$1463,$J$1),0)+(1),MASTER!$P$4:$P$1463,0))="","-",INDEX(MASTER!$I$4:$I$1463,MATCH(IFERROR(INDEX(MASTER!$P$4:$P$1463,$J$1),0)+(1),MASTER!$P$4:$P$1463,0))),"-")</f>
        <v>10007</v>
      </c>
      <c r="G30" s="16">
        <f>IFERROR($F30-IFERROR(IF(INDEX(MASTER!$I$4:$I$1463,$J$1)="","-",INDEX(MASTER!$I$4:$I$1463,$J$1)),"-"),"-")</f>
        <v>-16</v>
      </c>
      <c r="H30" s="15" t="str">
        <f>IFERROR(IF(INDEX(MASTER!$J$4:$J$1463,MATCH(IFERROR(INDEX(MASTER!$P$4:$P$1463,$J$1),0)+(1),MASTER!$P$4:$P$1463,0))="","-",INDEX(MASTER!$J$4:$J$1463,MATCH(IFERROR(INDEX(MASTER!$P$4:$P$1463,$J$1),0)+(1),MASTER!$P$4:$P$1463,0))),"-")</f>
        <v>APEX</v>
      </c>
    </row>
    <row r="31" spans="1:8">
      <c r="B31" s="19">
        <f>IFERROR(IF(INDEX(MASTER!$P$4:$P$1463,MATCH(IFERROR(INDEX(MASTER!$P$4:$P$1463,$J$1),0)+(2),MASTER!$P$4:$P$1463,0))="","-",INDEX(MASTER!$P$4:$P$1463,MATCH(IFERROR(INDEX(MASTER!$P$4:$P$1463,$J$1),0)+(2),MASTER!$P$4:$P$1463,0))),"-")</f>
        <v>56</v>
      </c>
      <c r="C31" s="1" t="str">
        <f>IFERROR(IF(INDEX(MASTER!$C$4:$C$1463,MATCH(IFERROR(INDEX(MASTER!$P$4:$P$1463,$J$1),0)+(2),MASTER!$P$4:$P$1463,0))="","-",INDEX(MASTER!$C$4:$C$1463,MATCH(IFERROR(INDEX(MASTER!$P$4:$P$1463,$J$1),0)+(2),MASTER!$P$4:$P$1463,0))),"-")</f>
        <v>ROids</v>
      </c>
      <c r="D31" s="19" t="str">
        <f>IFERROR(IF(INDEX(MASTER!$B$4:$B$1463,MATCH(IFERROR(INDEX(MASTER!$P$4:$P$1463,$J$1),0)+(2),MASTER!$P$4:$P$1463,0))="","-",INDEX(MASTER!$B$4:$B$1463,MATCH(IFERROR(INDEX(MASTER!$P$4:$P$1463,$J$1),0)+(2),MASTER!$P$4:$P$1463,0))),"-")</f>
        <v>VANGUARD</v>
      </c>
      <c r="E31" s="19" t="str">
        <f>IFERROR(IF(INDEX(MASTER!$E$4:$E$1463,MATCH(IFERROR(INDEX(MASTER!$P$4:$P$1463,$J$1),0)+(2),MASTER!$P$4:$P$1463,0))="","-",INDEX(MASTER!$E$4:$E$1463,MATCH(IFERROR(INDEX(MASTER!$P$4:$P$1463,$J$1),0)+(2),MASTER!$P$4:$P$1463,0))),"-")</f>
        <v>BARBARIAN</v>
      </c>
      <c r="F31" s="20">
        <f>IFERROR(IF(INDEX(MASTER!$I$4:$I$1463,MATCH(IFERROR(INDEX(MASTER!$P$4:$P$1463,$J$1),0)+(2),MASTER!$P$4:$P$1463,0))="","-",INDEX(MASTER!$I$4:$I$1463,MATCH(IFERROR(INDEX(MASTER!$P$4:$P$1463,$J$1),0)+(2),MASTER!$P$4:$P$1463,0))),"-")</f>
        <v>9953</v>
      </c>
      <c r="G31" s="20">
        <f>IFERROR($F31-IFERROR(IF(INDEX(MASTER!$I$4:$I$1463,$J$1)="","-",INDEX(MASTER!$I$4:$I$1463,$J$1)),"-"),"-")</f>
        <v>-70</v>
      </c>
      <c r="H31" s="19" t="str">
        <f>IFERROR(IF(INDEX(MASTER!$J$4:$J$1463,MATCH(IFERROR(INDEX(MASTER!$P$4:$P$1463,$J$1),0)+(2),MASTER!$P$4:$P$1463,0))="","-",INDEX(MASTER!$J$4:$J$1463,MATCH(IFERROR(INDEX(MASTER!$P$4:$P$1463,$J$1),0)+(2),MASTER!$P$4:$P$1463,0))),"-")</f>
        <v>ELITE</v>
      </c>
    </row>
    <row r="32" spans="1:8">
      <c r="B32" s="15">
        <f>IFERROR(IF(INDEX(MASTER!$P$4:$P$1463,MATCH(IFERROR(INDEX(MASTER!$P$4:$P$1463,$J$1),0)+(3),MASTER!$P$4:$P$1463,0))="","-",INDEX(MASTER!$P$4:$P$1463,MATCH(IFERROR(INDEX(MASTER!$P$4:$P$1463,$J$1),0)+(3),MASTER!$P$4:$P$1463,0))),"-")</f>
        <v>57</v>
      </c>
      <c r="C32" s="41" t="str">
        <f>IFERROR(IF(INDEX(MASTER!$C$4:$C$1463,MATCH(IFERROR(INDEX(MASTER!$P$4:$P$1463,$J$1),0)+(3),MASTER!$P$4:$P$1463,0))="","-",INDEX(MASTER!$C$4:$C$1463,MATCH(IFERROR(INDEX(MASTER!$P$4:$P$1463,$J$1),0)+(3),MASTER!$P$4:$P$1463,0))),"-")</f>
        <v>RavencrestUp4</v>
      </c>
      <c r="D32" s="15" t="str">
        <f>IFERROR(IF(INDEX(MASTER!$B$4:$B$1463,MATCH(IFERROR(INDEX(MASTER!$P$4:$P$1463,$J$1),0)+(3),MASTER!$P$4:$P$1463,0))="","-",INDEX(MASTER!$B$4:$B$1463,MATCH(IFERROR(INDEX(MASTER!$P$4:$P$1463,$J$1),0)+(3),MASTER!$P$4:$P$1463,0))),"-")</f>
        <v>AZUKI</v>
      </c>
      <c r="E32" s="15" t="str">
        <f>IFERROR(IF(INDEX(MASTER!$E$4:$E$1463,MATCH(IFERROR(INDEX(MASTER!$P$4:$P$1463,$J$1),0)+(3),MASTER!$P$4:$P$1463,0))="","-",INDEX(MASTER!$E$4:$E$1463,MATCH(IFERROR(INDEX(MASTER!$P$4:$P$1463,$J$1),0)+(3),MASTER!$P$4:$P$1463,0))),"-")</f>
        <v>CRUSADER</v>
      </c>
      <c r="F32" s="16">
        <f>IFERROR(IF(INDEX(MASTER!$I$4:$I$1463,MATCH(IFERROR(INDEX(MASTER!$P$4:$P$1463,$J$1),0)+(3),MASTER!$P$4:$P$1463,0))="","-",INDEX(MASTER!$I$4:$I$1463,MATCH(IFERROR(INDEX(MASTER!$P$4:$P$1463,$J$1),0)+(3),MASTER!$P$4:$P$1463,0))),"-")</f>
        <v>9912</v>
      </c>
      <c r="G32" s="16">
        <f>IFERROR($F32-IFERROR(IF(INDEX(MASTER!$I$4:$I$1463,$J$1)="","-",INDEX(MASTER!$I$4:$I$1463,$J$1)),"-"),"-")</f>
        <v>-111</v>
      </c>
      <c r="H32" s="15" t="str">
        <f>IFERROR(IF(INDEX(MASTER!$J$4:$J$1463,MATCH(IFERROR(INDEX(MASTER!$P$4:$P$1463,$J$1),0)+(3),MASTER!$P$4:$P$1463,0))="","-",INDEX(MASTER!$J$4:$J$1463,MATCH(IFERROR(INDEX(MASTER!$P$4:$P$1463,$J$1),0)+(3),MASTER!$P$4:$P$1463,0))),"-")</f>
        <v>ELITE</v>
      </c>
    </row>
    <row r="34" spans="1:8" ht="19.5" customHeight="1">
      <c r="A34" s="91" t="s">
        <v>205</v>
      </c>
      <c r="B34" s="91"/>
      <c r="C34" s="91"/>
      <c r="D34" s="91"/>
      <c r="E34" s="91"/>
      <c r="F34" s="91"/>
      <c r="G34" s="91"/>
    </row>
    <row r="35" spans="1:8" ht="27.75" customHeight="1">
      <c r="B35" s="13" t="s">
        <v>127</v>
      </c>
      <c r="C35" s="13" t="s">
        <v>128</v>
      </c>
      <c r="D35" s="13" t="s">
        <v>44</v>
      </c>
      <c r="E35" s="13" t="s">
        <v>190</v>
      </c>
      <c r="F35" s="13" t="s">
        <v>188</v>
      </c>
      <c r="G35" s="13" t="s">
        <v>23</v>
      </c>
      <c r="H35" s="13" t="s">
        <v>206</v>
      </c>
    </row>
    <row r="36" spans="1:8">
      <c r="B36" s="15">
        <v>1</v>
      </c>
      <c r="C36" s="14" t="str">
        <f>IFERROR(IF(INDEX(MASTER!$C$4:$C$1463,MATCH(IFERROR(IF(INDEX(MASTER!$E$4:$E$1463,$J$1)="","-",INDEX(MASTER!$E$4:$E$1463,$J$1)),"-")&amp;"#1",MASTER!$AB$4:$AB$1463,0))="","-",INDEX(MASTER!$C$4:$C$1463,MATCH(IFERROR(IF(INDEX(MASTER!$E$4:$E$1463,$J$1)="","-",INDEX(MASTER!$E$4:$E$1463,$J$1)),"-")&amp;"#1",MASTER!$AB$4:$AB$1463,0))),"-")</f>
        <v>Mandirin Char #1</v>
      </c>
      <c r="D36" s="15" t="str">
        <f>IFERROR(IF(INDEX(MASTER!$B$4:$B$1463,MATCH(IFERROR(IF(INDEX(MASTER!$E$4:$E$1463,$J$1)="","-",INDEX(MASTER!$E$4:$E$1463,$J$1)),"-")&amp;"#1",MASTER!$AB$4:$AB$1463,0))="","-",INDEX(MASTER!$B$4:$B$1463,MATCH(IFERROR(IF(INDEX(MASTER!$E$4:$E$1463,$J$1)="","-",INDEX(MASTER!$E$4:$E$1463,$J$1)),"-")&amp;"#1",MASTER!$AB$4:$AB$1463,0))),"-")</f>
        <v>AZUKI</v>
      </c>
      <c r="E36" s="16">
        <f>IFERROR(IF(INDEX(MASTER!$I$4:$I$1463,MATCH(IFERROR(IF(INDEX(MASTER!$E$4:$E$1463,$J$1)="","-",INDEX(MASTER!$E$4:$E$1463,$J$1)),"-")&amp;"#1",MASTER!$AB$4:$AB$1463,0))="","-",INDEX(MASTER!$I$4:$I$1463,MATCH(IFERROR(IF(INDEX(MASTER!$E$4:$E$1463,$J$1)="","-",INDEX(MASTER!$E$4:$E$1463,$J$1)),"-")&amp;"#1",MASTER!$AB$4:$AB$1463,0))),"-")</f>
        <v>11506</v>
      </c>
      <c r="F36" s="16">
        <f>IFERROR(IF(INDEX(MASTER!$G$4:$G$1463,MATCH(IFERROR(IF(INDEX(MASTER!$E$4:$E$1463,$J$1)="","-",INDEX(MASTER!$E$4:$E$1463,$J$1)),"-")&amp;"#1",MASTER!$AB$4:$AB$1463,0))="","-",INDEX(MASTER!$G$4:$G$1463,MATCH(IFERROR(IF(INDEX(MASTER!$E$4:$E$1463,$J$1)="","-",INDEX(MASTER!$E$4:$E$1463,$J$1)),"-")&amp;"#1",MASTER!$AB$4:$AB$1463,0))),"-")</f>
        <v>64347</v>
      </c>
      <c r="G36" s="17">
        <f>IFERROR(IF(INDEX(MASTER!$N$4:$N$1463,MATCH(IFERROR(IF(INDEX(MASTER!$E$4:$E$1463,$J$1)="","-",INDEX(MASTER!$E$4:$E$1463,$J$1)),"-")&amp;"#1",MASTER!$AB$4:$AB$1463,0))="","-",INDEX(MASTER!$N$4:$N$1463,MATCH(IFERROR(IF(INDEX(MASTER!$E$4:$E$1463,$J$1)="","-",INDEX(MASTER!$E$4:$E$1463,$J$1)),"-")&amp;"#1",MASTER!$AB$4:$AB$1463,0))),"-")</f>
        <v>93.3</v>
      </c>
      <c r="H36" s="51" t="str">
        <f>IF($C36=IFERROR(IF(INDEX(MASTER!$C$4:$C$1463,$J$1)="","-",INDEX(MASTER!$C$4:$C$1463,$J$1)),"-"),"&lt; that is them","")</f>
        <v/>
      </c>
    </row>
    <row r="37" spans="1:8">
      <c r="B37" s="19">
        <v>2</v>
      </c>
      <c r="C37" s="18" t="str">
        <f>IFERROR(IF(INDEX(MASTER!$C$4:$C$1463,MATCH(IFERROR(IF(INDEX(MASTER!$E$4:$E$1463,$J$1)="","-",INDEX(MASTER!$E$4:$E$1463,$J$1)),"-")&amp;"#2",MASTER!$AB$4:$AB$1463,0))="","-",INDEX(MASTER!$C$4:$C$1463,MATCH(IFERROR(IF(INDEX(MASTER!$E$4:$E$1463,$J$1)="","-",INDEX(MASTER!$E$4:$E$1463,$J$1)),"-")&amp;"#2",MASTER!$AB$4:$AB$1463,0))),"-")</f>
        <v>Rizzy</v>
      </c>
      <c r="D37" s="19" t="str">
        <f>IFERROR(IF(INDEX(MASTER!$B$4:$B$1463,MATCH(IFERROR(IF(INDEX(MASTER!$E$4:$E$1463,$J$1)="","-",INDEX(MASTER!$E$4:$E$1463,$J$1)),"-")&amp;"#2",MASTER!$AB$4:$AB$1463,0))="","-",INDEX(MASTER!$B$4:$B$1463,MATCH(IFERROR(IF(INDEX(MASTER!$E$4:$E$1463,$J$1)="","-",INDEX(MASTER!$E$4:$E$1463,$J$1)),"-")&amp;"#2",MASTER!$AB$4:$AB$1463,0))),"-")</f>
        <v>SBG</v>
      </c>
      <c r="E37" s="20">
        <f>IFERROR(IF(INDEX(MASTER!$I$4:$I$1463,MATCH(IFERROR(IF(INDEX(MASTER!$E$4:$E$1463,$J$1)="","-",INDEX(MASTER!$E$4:$E$1463,$J$1)),"-")&amp;"#2",MASTER!$AB$4:$AB$1463,0))="","-",INDEX(MASTER!$I$4:$I$1463,MATCH(IFERROR(IF(INDEX(MASTER!$E$4:$E$1463,$J$1)="","-",INDEX(MASTER!$E$4:$E$1463,$J$1)),"-")&amp;"#2",MASTER!$AB$4:$AB$1463,0))),"-")</f>
        <v>11448</v>
      </c>
      <c r="F37" s="20">
        <f>IFERROR(IF(INDEX(MASTER!$G$4:$G$1463,MATCH(IFERROR(IF(INDEX(MASTER!$E$4:$E$1463,$J$1)="","-",INDEX(MASTER!$E$4:$E$1463,$J$1)),"-")&amp;"#2",MASTER!$AB$4:$AB$1463,0))="","-",INDEX(MASTER!$G$4:$G$1463,MATCH(IFERROR(IF(INDEX(MASTER!$E$4:$E$1463,$J$1)="","-",INDEX(MASTER!$E$4:$E$1463,$J$1)),"-")&amp;"#2",MASTER!$AB$4:$AB$1463,0))),"-")</f>
        <v>64351</v>
      </c>
      <c r="G37" s="21">
        <f>IFERROR(IF(INDEX(MASTER!$N$4:$N$1463,MATCH(IFERROR(IF(INDEX(MASTER!$E$4:$E$1463,$J$1)="","-",INDEX(MASTER!$E$4:$E$1463,$J$1)),"-")&amp;"#2",MASTER!$AB$4:$AB$1463,0))="","-",INDEX(MASTER!$N$4:$N$1463,MATCH(IFERROR(IF(INDEX(MASTER!$E$4:$E$1463,$J$1)="","-",INDEX(MASTER!$E$4:$E$1463,$J$1)),"-")&amp;"#2",MASTER!$AB$4:$AB$1463,0))),"-")</f>
        <v>90.2</v>
      </c>
      <c r="H37" s="24" t="str">
        <f>IF($C37=IFERROR(IF(INDEX(MASTER!$C$4:$C$1463,$J$1)="","-",INDEX(MASTER!$C$4:$C$1463,$J$1)),"-"),"&lt; that is them","")</f>
        <v/>
      </c>
    </row>
    <row r="38" spans="1:8">
      <c r="B38" s="15">
        <v>3</v>
      </c>
      <c r="C38" s="14" t="str">
        <f>IFERROR(IF(INDEX(MASTER!$C$4:$C$1463,MATCH(IFERROR(IF(INDEX(MASTER!$E$4:$E$1463,$J$1)="","-",INDEX(MASTER!$E$4:$E$1463,$J$1)),"-")&amp;"#3",MASTER!$AB$4:$AB$1463,0))="","-",INDEX(MASTER!$C$4:$C$1463,MATCH(IFERROR(IF(INDEX(MASTER!$E$4:$E$1463,$J$1)="","-",INDEX(MASTER!$E$4:$E$1463,$J$1)),"-")&amp;"#3",MASTER!$AB$4:$AB$1463,0))),"-")</f>
        <v>DreadOlaf</v>
      </c>
      <c r="D38" s="15" t="str">
        <f>IFERROR(IF(INDEX(MASTER!$B$4:$B$1463,MATCH(IFERROR(IF(INDEX(MASTER!$E$4:$E$1463,$J$1)="","-",INDEX(MASTER!$E$4:$E$1463,$J$1)),"-")&amp;"#3",MASTER!$AB$4:$AB$1463,0))="","-",INDEX(MASTER!$B$4:$B$1463,MATCH(IFERROR(IF(INDEX(MASTER!$E$4:$E$1463,$J$1)="","-",INDEX(MASTER!$E$4:$E$1463,$J$1)),"-")&amp;"#3",MASTER!$AB$4:$AB$1463,0))),"-")</f>
        <v>SBG</v>
      </c>
      <c r="E38" s="16">
        <f>IFERROR(IF(INDEX(MASTER!$I$4:$I$1463,MATCH(IFERROR(IF(INDEX(MASTER!$E$4:$E$1463,$J$1)="","-",INDEX(MASTER!$E$4:$E$1463,$J$1)),"-")&amp;"#3",MASTER!$AB$4:$AB$1463,0))="","-",INDEX(MASTER!$I$4:$I$1463,MATCH(IFERROR(IF(INDEX(MASTER!$E$4:$E$1463,$J$1)="","-",INDEX(MASTER!$E$4:$E$1463,$J$1)),"-")&amp;"#3",MASTER!$AB$4:$AB$1463,0))),"-")</f>
        <v>11000</v>
      </c>
      <c r="F38" s="16">
        <f>IFERROR(IF(INDEX(MASTER!$G$4:$G$1463,MATCH(IFERROR(IF(INDEX(MASTER!$E$4:$E$1463,$J$1)="","-",INDEX(MASTER!$E$4:$E$1463,$J$1)),"-")&amp;"#3",MASTER!$AB$4:$AB$1463,0))="","-",INDEX(MASTER!$G$4:$G$1463,MATCH(IFERROR(IF(INDEX(MASTER!$E$4:$E$1463,$J$1)="","-",INDEX(MASTER!$E$4:$E$1463,$J$1)),"-")&amp;"#3",MASTER!$AB$4:$AB$1463,0))),"-")</f>
        <v>64304</v>
      </c>
      <c r="G38" s="17">
        <f>IFERROR(IF(INDEX(MASTER!$N$4:$N$1463,MATCH(IFERROR(IF(INDEX(MASTER!$E$4:$E$1463,$J$1)="","-",INDEX(MASTER!$E$4:$E$1463,$J$1)),"-")&amp;"#3",MASTER!$AB$4:$AB$1463,0))="","-",INDEX(MASTER!$N$4:$N$1463,MATCH(IFERROR(IF(INDEX(MASTER!$E$4:$E$1463,$J$1)="","-",INDEX(MASTER!$E$4:$E$1463,$J$1)),"-")&amp;"#3",MASTER!$AB$4:$AB$1463,0))),"-")</f>
        <v>86.7</v>
      </c>
      <c r="H38" s="51" t="str">
        <f>IF($C38=IFERROR(IF(INDEX(MASTER!$C$4:$C$1463,$J$1)="","-",INDEX(MASTER!$C$4:$C$1463,$J$1)),"-"),"&lt; that is them","")</f>
        <v/>
      </c>
    </row>
    <row r="39" spans="1:8">
      <c r="B39" s="19">
        <v>4</v>
      </c>
      <c r="C39" s="18" t="str">
        <f>IFERROR(IF(INDEX(MASTER!$C$4:$C$1463,MATCH(IFERROR(IF(INDEX(MASTER!$E$4:$E$1463,$J$1)="","-",INDEX(MASTER!$E$4:$E$1463,$J$1)),"-")&amp;"#4",MASTER!$AB$4:$AB$1463,0))="","-",INDEX(MASTER!$C$4:$C$1463,MATCH(IFERROR(IF(INDEX(MASTER!$E$4:$E$1463,$J$1)="","-",INDEX(MASTER!$E$4:$E$1463,$J$1)),"-")&amp;"#4",MASTER!$AB$4:$AB$1463,0))),"-")</f>
        <v>ROSHI</v>
      </c>
      <c r="D39" s="19" t="str">
        <f>IFERROR(IF(INDEX(MASTER!$B$4:$B$1463,MATCH(IFERROR(IF(INDEX(MASTER!$E$4:$E$1463,$J$1)="","-",INDEX(MASTER!$E$4:$E$1463,$J$1)),"-")&amp;"#4",MASTER!$AB$4:$AB$1463,0))="","-",INDEX(MASTER!$B$4:$B$1463,MATCH(IFERROR(IF(INDEX(MASTER!$E$4:$E$1463,$J$1)="","-",INDEX(MASTER!$E$4:$E$1463,$J$1)),"-")&amp;"#4",MASTER!$AB$4:$AB$1463,0))),"-")</f>
        <v>LEGENDS</v>
      </c>
      <c r="E39" s="20">
        <f>IFERROR(IF(INDEX(MASTER!$I$4:$I$1463,MATCH(IFERROR(IF(INDEX(MASTER!$E$4:$E$1463,$J$1)="","-",INDEX(MASTER!$E$4:$E$1463,$J$1)),"-")&amp;"#4",MASTER!$AB$4:$AB$1463,0))="","-",INDEX(MASTER!$I$4:$I$1463,MATCH(IFERROR(IF(INDEX(MASTER!$E$4:$E$1463,$J$1)="","-",INDEX(MASTER!$E$4:$E$1463,$J$1)),"-")&amp;"#4",MASTER!$AB$4:$AB$1463,0))),"-")</f>
        <v>10652</v>
      </c>
      <c r="F39" s="20">
        <f>IFERROR(IF(INDEX(MASTER!$G$4:$G$1463,MATCH(IFERROR(IF(INDEX(MASTER!$E$4:$E$1463,$J$1)="","-",INDEX(MASTER!$E$4:$E$1463,$J$1)),"-")&amp;"#4",MASTER!$AB$4:$AB$1463,0))="","-",INDEX(MASTER!$G$4:$G$1463,MATCH(IFERROR(IF(INDEX(MASTER!$E$4:$E$1463,$J$1)="","-",INDEX(MASTER!$E$4:$E$1463,$J$1)),"-")&amp;"#4",MASTER!$AB$4:$AB$1463,0))),"-")</f>
        <v>64029</v>
      </c>
      <c r="G39" s="21">
        <f>IFERROR(IF(INDEX(MASTER!$N$4:$N$1463,MATCH(IFERROR(IF(INDEX(MASTER!$E$4:$E$1463,$J$1)="","-",INDEX(MASTER!$E$4:$E$1463,$J$1)),"-")&amp;"#4",MASTER!$AB$4:$AB$1463,0))="","-",INDEX(MASTER!$N$4:$N$1463,MATCH(IFERROR(IF(INDEX(MASTER!$E$4:$E$1463,$J$1)="","-",INDEX(MASTER!$E$4:$E$1463,$J$1)),"-")&amp;"#4",MASTER!$AB$4:$AB$1463,0))),"-")</f>
        <v>82.7</v>
      </c>
      <c r="H39" s="24" t="str">
        <f>IF($C39=IFERROR(IF(INDEX(MASTER!$C$4:$C$1463,$J$1)="","-",INDEX(MASTER!$C$4:$C$1463,$J$1)),"-"),"&lt; that is them","")</f>
        <v/>
      </c>
    </row>
    <row r="40" spans="1:8">
      <c r="B40" s="15">
        <v>5</v>
      </c>
      <c r="C40" s="14" t="str">
        <f>IFERROR(IF(INDEX(MASTER!$C$4:$C$1463,MATCH(IFERROR(IF(INDEX(MASTER!$E$4:$E$1463,$J$1)="","-",INDEX(MASTER!$E$4:$E$1463,$J$1)),"-")&amp;"#5",MASTER!$AB$4:$AB$1463,0))="","-",INDEX(MASTER!$C$4:$C$1463,MATCH(IFERROR(IF(INDEX(MASTER!$E$4:$E$1463,$J$1)="","-",INDEX(MASTER!$E$4:$E$1463,$J$1)),"-")&amp;"#5",MASTER!$AB$4:$AB$1463,0))),"-")</f>
        <v>Wynterkiss</v>
      </c>
      <c r="D40" s="15" t="str">
        <f>IFERROR(IF(INDEX(MASTER!$B$4:$B$1463,MATCH(IFERROR(IF(INDEX(MASTER!$E$4:$E$1463,$J$1)="","-",INDEX(MASTER!$E$4:$E$1463,$J$1)),"-")&amp;"#5",MASTER!$AB$4:$AB$1463,0))="","-",INDEX(MASTER!$B$4:$B$1463,MATCH(IFERROR(IF(INDEX(MASTER!$E$4:$E$1463,$J$1)="","-",INDEX(MASTER!$E$4:$E$1463,$J$1)),"-")&amp;"#5",MASTER!$AB$4:$AB$1463,0))),"-")</f>
        <v>RECKONING</v>
      </c>
      <c r="E40" s="16">
        <f>IFERROR(IF(INDEX(MASTER!$I$4:$I$1463,MATCH(IFERROR(IF(INDEX(MASTER!$E$4:$E$1463,$J$1)="","-",INDEX(MASTER!$E$4:$E$1463,$J$1)),"-")&amp;"#5",MASTER!$AB$4:$AB$1463,0))="","-",INDEX(MASTER!$I$4:$I$1463,MATCH(IFERROR(IF(INDEX(MASTER!$E$4:$E$1463,$J$1)="","-",INDEX(MASTER!$E$4:$E$1463,$J$1)),"-")&amp;"#5",MASTER!$AB$4:$AB$1463,0))),"-")</f>
        <v>10435</v>
      </c>
      <c r="F40" s="16">
        <f>IFERROR(IF(INDEX(MASTER!$G$4:$G$1463,MATCH(IFERROR(IF(INDEX(MASTER!$E$4:$E$1463,$J$1)="","-",INDEX(MASTER!$E$4:$E$1463,$J$1)),"-")&amp;"#5",MASTER!$AB$4:$AB$1463,0))="","-",INDEX(MASTER!$G$4:$G$1463,MATCH(IFERROR(IF(INDEX(MASTER!$E$4:$E$1463,$J$1)="","-",INDEX(MASTER!$E$4:$E$1463,$J$1)),"-")&amp;"#5",MASTER!$AB$4:$AB$1463,0))),"-")</f>
        <v>64464</v>
      </c>
      <c r="G40" s="17">
        <f>IFERROR(IF(INDEX(MASTER!$N$4:$N$1463,MATCH(IFERROR(IF(INDEX(MASTER!$E$4:$E$1463,$J$1)="","-",INDEX(MASTER!$E$4:$E$1463,$J$1)),"-")&amp;"#5",MASTER!$AB$4:$AB$1463,0))="","-",INDEX(MASTER!$N$4:$N$1463,MATCH(IFERROR(IF(INDEX(MASTER!$E$4:$E$1463,$J$1)="","-",INDEX(MASTER!$E$4:$E$1463,$J$1)),"-")&amp;"#5",MASTER!$AB$4:$AB$1463,0))),"-")</f>
        <v>86.1</v>
      </c>
      <c r="H40" s="51" t="str">
        <f>IF($C40=IFERROR(IF(INDEX(MASTER!$C$4:$C$1463,$J$1)="","-",INDEX(MASTER!$C$4:$C$1463,$J$1)),"-"),"&lt; that is them","")</f>
        <v/>
      </c>
    </row>
  </sheetData>
  <mergeCells count="9">
    <mergeCell ref="D14:E14"/>
    <mergeCell ref="A16:G16"/>
    <mergeCell ref="A24:G24"/>
    <mergeCell ref="A34:G34"/>
    <mergeCell ref="A1:H1"/>
    <mergeCell ref="A2:H2"/>
    <mergeCell ref="C4:E4"/>
    <mergeCell ref="B6:H6"/>
    <mergeCell ref="A8:G8"/>
  </mergeCells>
  <conditionalFormatting sqref="E18:E21">
    <cfRule type="cellIs" dxfId="21" priority="2" operator="lessThan">
      <formula>0</formula>
    </cfRule>
    <cfRule type="cellIs" dxfId="20" priority="3" operator="greaterThan">
      <formula>0</formula>
    </cfRule>
  </conditionalFormatting>
  <conditionalFormatting sqref="G18:G21">
    <cfRule type="cellIs" dxfId="19" priority="4" operator="lessThan">
      <formula>0</formula>
    </cfRule>
    <cfRule type="cellIs" dxfId="18" priority="5" operator="greaterThan">
      <formula>0</formula>
    </cfRule>
  </conditionalFormatting>
  <printOptions horizontalCentered="1"/>
  <pageMargins left="0.75" right="0.75" top="1" bottom="1" header="0.511811023622047" footer="0.511811023622047"/>
  <pageSetup fitToHeight="0" orientation="landscape" horizontalDpi="300" verticalDpi="300"/>
  <ignoredErrors>
    <ignoredError sqref="A1:J3 A5:J40 A4:B4 D4:J4" evalError="1" twoDigitTextYear="1" numberStoredAsText="1" formula="1" formulaRange="1" unlockedFormula="1" emptyCellReference="1" listDataValidation="1" calculatedColumn="1"/>
  </ignoredErrors>
  <extLst>
    <ext xmlns:x14="http://schemas.microsoft.com/office/spreadsheetml/2009/9/main" uri="{CCE6A557-97BC-4b89-ADB6-D9C93CAAB3DF}">
      <x14:dataValidations xmlns:xm="http://schemas.microsoft.com/office/excel/2006/main" count="1">
        <x14:dataValidation type="list" allowBlank="1" xr:uid="{00000000-0002-0000-0500-000000000000}">
          <x14:formula1>
            <xm:f>MASTER!$C$4:$C$1463</xm:f>
          </x14:formula1>
          <x14:formula2>
            <xm:f>0</xm:f>
          </x14:formula2>
          <xm:sqref>C4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8F00"/>
    <pageSetUpPr fitToPage="1"/>
  </sheetPr>
  <dimension ref="A1:G31"/>
  <sheetViews>
    <sheetView showGridLines="0" topLeftCell="A2" zoomScaleNormal="100" workbookViewId="0">
      <selection activeCell="D4" sqref="D4"/>
    </sheetView>
  </sheetViews>
  <sheetFormatPr defaultColWidth="8.7109375" defaultRowHeight="15"/>
  <cols>
    <col min="1" max="1" width="2" customWidth="1"/>
    <col min="2" max="2" width="28" customWidth="1"/>
    <col min="3" max="4" width="18" customWidth="1"/>
    <col min="5" max="5" width="16" customWidth="1"/>
    <col min="6" max="6" width="30" customWidth="1"/>
    <col min="7" max="7" width="24" customWidth="1"/>
  </cols>
  <sheetData>
    <row r="1" spans="1:7" ht="30" customHeight="1">
      <c r="A1" s="92" t="s">
        <v>207</v>
      </c>
      <c r="B1" s="92"/>
      <c r="C1" s="92"/>
      <c r="D1" s="92"/>
      <c r="E1" s="92"/>
      <c r="F1" s="92"/>
      <c r="G1" s="92"/>
    </row>
    <row r="2" spans="1:7" ht="15.75" customHeight="1">
      <c r="A2" s="93" t="s">
        <v>208</v>
      </c>
      <c r="B2" s="93"/>
      <c r="C2" s="93"/>
      <c r="D2" s="93"/>
      <c r="E2" s="93"/>
      <c r="F2" s="93"/>
      <c r="G2" s="93"/>
    </row>
    <row r="4" spans="1:7" ht="21.75" customHeight="1">
      <c r="B4" s="48" t="s">
        <v>209</v>
      </c>
      <c r="C4" s="2" t="s">
        <v>66</v>
      </c>
      <c r="D4" s="2" t="s">
        <v>107</v>
      </c>
      <c r="E4" s="48" t="s">
        <v>210</v>
      </c>
    </row>
    <row r="6" spans="1:7" ht="19.5" customHeight="1">
      <c r="A6" s="91" t="s">
        <v>211</v>
      </c>
      <c r="B6" s="91"/>
      <c r="C6" s="91"/>
      <c r="D6" s="91"/>
      <c r="E6" s="91"/>
      <c r="F6" s="91"/>
    </row>
    <row r="7" spans="1:7" ht="27.75" customHeight="1">
      <c r="B7" s="13" t="s">
        <v>196</v>
      </c>
      <c r="C7" s="13" t="s">
        <v>212</v>
      </c>
      <c r="D7" s="13" t="s">
        <v>213</v>
      </c>
      <c r="E7" s="13" t="s">
        <v>214</v>
      </c>
      <c r="F7" s="13" t="s">
        <v>215</v>
      </c>
    </row>
    <row r="8" spans="1:7">
      <c r="B8" s="41" t="s">
        <v>45</v>
      </c>
      <c r="C8" s="56" t="str">
        <f>IFERROR(INDEX(SETUP!$B$68:$B$81,MATCH($C$4,SETUP!$A$68:$A$81,0)),"-")</f>
        <v>STANDALONE</v>
      </c>
      <c r="D8" s="56" t="str">
        <f>IFERROR(INDEX(SETUP!$B$68:$B$81,MATCH($D$4,SETUP!$A$68:$A$81,0)),"-")</f>
        <v>IMMORTAL</v>
      </c>
      <c r="E8" s="57"/>
      <c r="F8" s="58" t="s">
        <v>216</v>
      </c>
    </row>
    <row r="9" spans="1:7">
      <c r="B9" s="1" t="s">
        <v>217</v>
      </c>
      <c r="C9" s="52">
        <f>COUNTIF(MASTER!$B:$B,$C$4)</f>
        <v>99</v>
      </c>
      <c r="D9" s="52">
        <f>COUNTIF(MASTER!$B:$B,$D$4)</f>
        <v>96</v>
      </c>
      <c r="E9" s="59" t="str">
        <f t="shared" ref="E9:E17" si="0">IF(OR(NOT(ISNUMBER($C9)),NOT(ISNUMBER($D9))),"-",IF($C9&gt;$D9,"&lt; "&amp;$C$4,IF($C9=$D9,"tie","&gt; "&amp;$D$4)))</f>
        <v>&lt; FUCT</v>
      </c>
      <c r="F9" s="60" t="s">
        <v>218</v>
      </c>
    </row>
    <row r="10" spans="1:7">
      <c r="B10" s="41" t="s">
        <v>219</v>
      </c>
      <c r="C10" s="49">
        <f>COUNTIFS(MASTER!$B:$B,$C$4,MASTER!$S:$S,"Complete")</f>
        <v>99</v>
      </c>
      <c r="D10" s="49">
        <f>COUNTIFS(MASTER!$B:$B,$D$4,MASTER!$S:$S,"Complete")</f>
        <v>96</v>
      </c>
      <c r="E10" s="57" t="str">
        <f t="shared" si="0"/>
        <v>&lt; FUCT</v>
      </c>
      <c r="F10" s="58" t="s">
        <v>220</v>
      </c>
    </row>
    <row r="11" spans="1:7">
      <c r="B11" s="1" t="s">
        <v>221</v>
      </c>
      <c r="C11" s="52">
        <f>IFERROR(ROUND(AVERAGEIFS(MASTER!$I:$I,MASTER!$B:$B,$C$4),0),"-")</f>
        <v>5214</v>
      </c>
      <c r="D11" s="52">
        <f>IFERROR(ROUND(AVERAGEIFS(MASTER!$I:$I,MASTER!$B:$B,$D$4),0),"-")</f>
        <v>4582</v>
      </c>
      <c r="E11" s="59" t="str">
        <f t="shared" si="0"/>
        <v>&lt; FUCT</v>
      </c>
      <c r="F11" s="60" t="s">
        <v>222</v>
      </c>
    </row>
    <row r="12" spans="1:7">
      <c r="B12" s="41" t="s">
        <v>223</v>
      </c>
      <c r="C12" s="49">
        <f>IFERROR(_xlfn.MAXIFS(MASTER!$I:$I,MASTER!$B:$B,$C$4),"-")</f>
        <v>11602</v>
      </c>
      <c r="D12" s="49">
        <f>IFERROR(_xlfn.MAXIFS(MASTER!$I:$I,MASTER!$B:$B,$D$4),"-")</f>
        <v>10023</v>
      </c>
      <c r="E12" s="57" t="str">
        <f t="shared" si="0"/>
        <v>&lt; FUCT</v>
      </c>
      <c r="F12" s="58" t="s">
        <v>224</v>
      </c>
    </row>
    <row r="13" spans="1:7">
      <c r="B13" s="1" t="s">
        <v>225</v>
      </c>
      <c r="C13" s="52">
        <f>IFERROR(ROUND(AVERAGEIFS(MASTER!$G:$G,MASTER!$B:$B,$C$4),0),"-")</f>
        <v>62784</v>
      </c>
      <c r="D13" s="52">
        <f>IFERROR(ROUND(AVERAGEIFS(MASTER!$G:$G,MASTER!$B:$B,$D$4),0),"-")</f>
        <v>62722</v>
      </c>
      <c r="E13" s="59" t="str">
        <f t="shared" si="0"/>
        <v>&lt; FUCT</v>
      </c>
      <c r="F13" s="60" t="s">
        <v>226</v>
      </c>
    </row>
    <row r="14" spans="1:7">
      <c r="B14" s="41" t="s">
        <v>227</v>
      </c>
      <c r="C14" s="53">
        <f>IFERROR(ROUND(AVERAGEIFS(MASTER!$L:$L,MASTER!$B:$B,$C$4),1),"-")</f>
        <v>5.0999999999999996</v>
      </c>
      <c r="D14" s="53">
        <f>IFERROR(ROUND(AVERAGEIFS(MASTER!$L:$L,MASTER!$B:$B,$D$4),1),"-")</f>
        <v>5.3</v>
      </c>
      <c r="E14" s="57" t="str">
        <f t="shared" si="0"/>
        <v>&gt; UNDYING</v>
      </c>
      <c r="F14" s="58" t="s">
        <v>228</v>
      </c>
    </row>
    <row r="15" spans="1:7">
      <c r="B15" s="1" t="s">
        <v>229</v>
      </c>
      <c r="C15" s="54">
        <f>IFERROR(ROUND(AVERAGEIFS(MASTER!$N:$N,MASTER!$B:$B,$C$4),1),"-")</f>
        <v>51.7</v>
      </c>
      <c r="D15" s="54">
        <f>IFERROR(ROUND(AVERAGEIFS(MASTER!$N:$N,MASTER!$B:$B,$D$4),1),"-")</f>
        <v>49.1</v>
      </c>
      <c r="E15" s="59" t="str">
        <f t="shared" si="0"/>
        <v>&lt; FUCT</v>
      </c>
      <c r="F15" s="60" t="s">
        <v>230</v>
      </c>
    </row>
    <row r="16" spans="1:7">
      <c r="B16" s="41" t="s">
        <v>231</v>
      </c>
      <c r="C16" s="49">
        <f>COUNTIFS(MASTER!$B:$B,$C$4,MASTER!$I:$I,"&gt;=10000")</f>
        <v>5</v>
      </c>
      <c r="D16" s="49">
        <f>COUNTIFS(MASTER!$B:$B,$D$4,MASTER!$I:$I,"&gt;=10000")</f>
        <v>1</v>
      </c>
      <c r="E16" s="57" t="str">
        <f t="shared" si="0"/>
        <v>&lt; FUCT</v>
      </c>
      <c r="F16" s="58" t="s">
        <v>232</v>
      </c>
    </row>
    <row r="17" spans="1:7">
      <c r="B17" s="1" t="s">
        <v>233</v>
      </c>
      <c r="C17" s="52">
        <f>COUNTIFS(MASTER!$B:$B,$C$4,MASTER!$I:$I,"&gt;=8000",MASTER!$I:$I,"&lt;10000")</f>
        <v>9</v>
      </c>
      <c r="D17" s="52">
        <f>COUNTIFS(MASTER!$B:$B,$D$4,MASTER!$I:$I,"&gt;=8000",MASTER!$I:$I,"&lt;10000")</f>
        <v>7</v>
      </c>
      <c r="E17" s="59" t="str">
        <f t="shared" si="0"/>
        <v>&lt; FUCT</v>
      </c>
      <c r="F17" s="60" t="s">
        <v>234</v>
      </c>
    </row>
    <row r="18" spans="1:7">
      <c r="B18" s="41" t="s">
        <v>235</v>
      </c>
      <c r="C18" s="49">
        <f>COUNTIFS(MASTER!$B:$B,$C$4,MASTER!$I:$I,"&lt;3000")</f>
        <v>6</v>
      </c>
      <c r="D18" s="49">
        <f>COUNTIFS(MASTER!$B:$B,$D$4,MASTER!$I:$I,"&lt;3000")</f>
        <v>15</v>
      </c>
      <c r="E18" s="57" t="str">
        <f>IF(OR(NOT(ISNUMBER($C18)),NOT(ISNUMBER($D18))),"-",IF($C18&lt;$D18,"&lt; "&amp;$C$4,IF($C18=$D18,"tie","&gt; "&amp;$D$4)))</f>
        <v>&lt; FUCT</v>
      </c>
      <c r="F18" s="58" t="s">
        <v>236</v>
      </c>
    </row>
    <row r="19" spans="1:7">
      <c r="B19" s="1" t="s">
        <v>237</v>
      </c>
      <c r="C19" s="52">
        <f>COUNTIFS(MASTER!$B:$B,$C$4,MASTER!$F:$F,"Frontline")</f>
        <v>33</v>
      </c>
      <c r="D19" s="52">
        <f>COUNTIFS(MASTER!$B:$B,$D$4,MASTER!$F:$F,"Frontline")</f>
        <v>31</v>
      </c>
      <c r="E19" s="59" t="str">
        <f>IF(OR(NOT(ISNUMBER($C19)),NOT(ISNUMBER($D19))),"-",IF($C19&gt;$D19,"&lt; "&amp;$C$4,IF($C19=$D19,"tie","&gt; "&amp;$D$4)))</f>
        <v>&lt; FUCT</v>
      </c>
      <c r="F19" s="60" t="s">
        <v>238</v>
      </c>
    </row>
    <row r="20" spans="1:7">
      <c r="B20" s="41" t="s">
        <v>169</v>
      </c>
      <c r="C20" s="49">
        <f>COUNTIFS(MASTER!$B:$B,$C$4,MASTER!$F:$F,"Ranged DPS")</f>
        <v>29</v>
      </c>
      <c r="D20" s="49">
        <f>COUNTIFS(MASTER!$B:$B,$D$4,MASTER!$F:$F,"Ranged DPS")</f>
        <v>24</v>
      </c>
      <c r="E20" s="57" t="str">
        <f>IF(OR(NOT(ISNUMBER($C20)),NOT(ISNUMBER($D20))),"-",IF($C20&gt;$D20,"&lt; "&amp;$C$4,IF($C20=$D20,"tie","&gt; "&amp;$D$4)))</f>
        <v>&lt; FUCT</v>
      </c>
      <c r="F20" s="58" t="s">
        <v>239</v>
      </c>
    </row>
    <row r="21" spans="1:7">
      <c r="B21" s="1" t="s">
        <v>170</v>
      </c>
      <c r="C21" s="52">
        <f>COUNTIFS(MASTER!$B:$B,$C$4,MASTER!$F:$F,"Control")</f>
        <v>23</v>
      </c>
      <c r="D21" s="52">
        <f>COUNTIFS(MASTER!$B:$B,$D$4,MASTER!$F:$F,"Control")</f>
        <v>31</v>
      </c>
      <c r="E21" s="59" t="str">
        <f>IF(OR(NOT(ISNUMBER($C21)),NOT(ISNUMBER($D21))),"-",IF($C21&gt;$D21,"&lt; "&amp;$C$4,IF($C21=$D21,"tie","&gt; "&amp;$D$4)))</f>
        <v>&gt; UNDYING</v>
      </c>
      <c r="F21" s="60" t="s">
        <v>240</v>
      </c>
    </row>
    <row r="22" spans="1:7">
      <c r="B22" s="41" t="s">
        <v>171</v>
      </c>
      <c r="C22" s="49">
        <f>COUNTIFS(MASTER!$B:$B,$C$4,MASTER!$F:$F,"Support")</f>
        <v>8</v>
      </c>
      <c r="D22" s="49">
        <f>COUNTIFS(MASTER!$B:$B,$D$4,MASTER!$F:$F,"Support")</f>
        <v>8</v>
      </c>
      <c r="E22" s="57" t="str">
        <f>IF(OR(NOT(ISNUMBER($C22)),NOT(ISNUMBER($D22))),"-",IF($C22&gt;$D22,"&lt; "&amp;$C$4,IF($C22=$D22,"tie","&gt; "&amp;$D$4)))</f>
        <v>tie</v>
      </c>
      <c r="F22" s="58" t="s">
        <v>241</v>
      </c>
    </row>
    <row r="25" spans="1:7" ht="19.5" customHeight="1">
      <c r="A25" s="91" t="s">
        <v>242</v>
      </c>
      <c r="B25" s="91"/>
      <c r="C25" s="91"/>
      <c r="D25" s="91"/>
      <c r="E25" s="91"/>
      <c r="F25" s="91"/>
    </row>
    <row r="26" spans="1:7" ht="27.75" customHeight="1">
      <c r="B26" s="13" t="s">
        <v>127</v>
      </c>
      <c r="C26" s="13" t="s">
        <v>243</v>
      </c>
      <c r="D26" s="13" t="s">
        <v>129</v>
      </c>
      <c r="E26" s="13" t="s">
        <v>244</v>
      </c>
      <c r="F26" s="13" t="s">
        <v>129</v>
      </c>
      <c r="G26" s="13" t="s">
        <v>245</v>
      </c>
    </row>
    <row r="27" spans="1:7">
      <c r="B27" s="20">
        <v>1</v>
      </c>
      <c r="C27" s="18" t="str">
        <f>IFERROR(IF(INDEX(MASTER!$C$4:$C$1463,MATCH($C$4&amp;"|1",MASTER!$Y$4:$Y$1463,0))="","-",INDEX(MASTER!$C$4:$C$1463,MATCH($C$4&amp;"|1",MASTER!$Y$4:$Y$1463,0))),"-")</f>
        <v>Wulf</v>
      </c>
      <c r="D27" s="20">
        <f>IFERROR(IF(INDEX(MASTER!$I$4:$I$1463,MATCH($C$4&amp;"|1",MASTER!$Y$4:$Y$1463,0))="","-",INDEX(MASTER!$I$4:$I$1463,MATCH($C$4&amp;"|1",MASTER!$Y$4:$Y$1463,0))),"-")</f>
        <v>11602</v>
      </c>
      <c r="E27" s="18" t="str">
        <f>IFERROR(IF(INDEX(MASTER!$C$4:$C$1463,MATCH($D$4&amp;"|1",MASTER!$Y$4:$Y$1463,0))="","-",INDEX(MASTER!$C$4:$C$1463,MATCH($D$4&amp;"|1",MASTER!$Y$4:$Y$1463,0))),"-")</f>
        <v>BOR- Zeroth</v>
      </c>
      <c r="F27" s="20">
        <f>IFERROR(IF(INDEX(MASTER!$I$4:$I$1463,MATCH($D$4&amp;"|1",MASTER!$Y$4:$Y$1463,0))="","-",INDEX(MASTER!$I$4:$I$1463,MATCH($D$4&amp;"|1",MASTER!$Y$4:$Y$1463,0))),"-")</f>
        <v>10023</v>
      </c>
      <c r="G27" s="20">
        <f>IFERROR($D27-$F27,"-")</f>
        <v>1579</v>
      </c>
    </row>
    <row r="28" spans="1:7">
      <c r="B28" s="16">
        <v>2</v>
      </c>
      <c r="C28" s="14" t="str">
        <f>IFERROR(IF(INDEX(MASTER!$C$4:$C$1463,MATCH($C$4&amp;"|2",MASTER!$Y$4:$Y$1463,0))="","-",INDEX(MASTER!$C$4:$C$1463,MATCH($C$4&amp;"|2",MASTER!$Y$4:$Y$1463,0))),"-")</f>
        <v>Dax</v>
      </c>
      <c r="D28" s="16">
        <f>IFERROR(IF(INDEX(MASTER!$I$4:$I$1463,MATCH($C$4&amp;"|2",MASTER!$Y$4:$Y$1463,0))="","-",INDEX(MASTER!$I$4:$I$1463,MATCH($C$4&amp;"|2",MASTER!$Y$4:$Y$1463,0))),"-")</f>
        <v>10376</v>
      </c>
      <c r="E28" s="14" t="str">
        <f>IFERROR(IF(INDEX(MASTER!$C$4:$C$1463,MATCH($D$4&amp;"|2",MASTER!$Y$4:$Y$1463,0))="","-",INDEX(MASTER!$C$4:$C$1463,MATCH($D$4&amp;"|2",MASTER!$Y$4:$Y$1463,0))),"-")</f>
        <v>billd</v>
      </c>
      <c r="F28" s="16">
        <f>IFERROR(IF(INDEX(MASTER!$I$4:$I$1463,MATCH($D$4&amp;"|2",MASTER!$Y$4:$Y$1463,0))="","-",INDEX(MASTER!$I$4:$I$1463,MATCH($D$4&amp;"|2",MASTER!$Y$4:$Y$1463,0))),"-")</f>
        <v>9637</v>
      </c>
      <c r="G28" s="16">
        <f>IFERROR($D28-$F28,"-")</f>
        <v>739</v>
      </c>
    </row>
    <row r="29" spans="1:7">
      <c r="B29" s="20">
        <v>3</v>
      </c>
      <c r="C29" s="18" t="str">
        <f>IFERROR(IF(INDEX(MASTER!$C$4:$C$1463,MATCH($C$4&amp;"|3",MASTER!$Y$4:$Y$1463,0))="","-",INDEX(MASTER!$C$4:$C$1463,MATCH($C$4&amp;"|3",MASTER!$Y$4:$Y$1463,0))),"-")</f>
        <v>SpinDieseI</v>
      </c>
      <c r="D29" s="20">
        <f>IFERROR(IF(INDEX(MASTER!$I$4:$I$1463,MATCH($C$4&amp;"|3",MASTER!$Y$4:$Y$1463,0))="","-",INDEX(MASTER!$I$4:$I$1463,MATCH($C$4&amp;"|3",MASTER!$Y$4:$Y$1463,0))),"-")</f>
        <v>10332</v>
      </c>
      <c r="E29" s="18" t="str">
        <f>IFERROR(IF(INDEX(MASTER!$C$4:$C$1463,MATCH($D$4&amp;"|3",MASTER!$Y$4:$Y$1463,0))="","-",INDEX(MASTER!$C$4:$C$1463,MATCH($D$4&amp;"|3",MASTER!$Y$4:$Y$1463,0))),"-")</f>
        <v>KeynnyC</v>
      </c>
      <c r="F29" s="20">
        <f>IFERROR(IF(INDEX(MASTER!$I$4:$I$1463,MATCH($D$4&amp;"|3",MASTER!$Y$4:$Y$1463,0))="","-",INDEX(MASTER!$I$4:$I$1463,MATCH($D$4&amp;"|3",MASTER!$Y$4:$Y$1463,0))),"-")</f>
        <v>8843</v>
      </c>
      <c r="G29" s="20">
        <f>IFERROR($D29-$F29,"-")</f>
        <v>1489</v>
      </c>
    </row>
    <row r="30" spans="1:7">
      <c r="B30" s="16">
        <v>4</v>
      </c>
      <c r="C30" s="14" t="str">
        <f>IFERROR(IF(INDEX(MASTER!$C$4:$C$1463,MATCH($C$4&amp;"|4",MASTER!$Y$4:$Y$1463,0))="","-",INDEX(MASTER!$C$4:$C$1463,MATCH($C$4&amp;"|4",MASTER!$Y$4:$Y$1463,0))),"-")</f>
        <v>JudgeMentaI</v>
      </c>
      <c r="D30" s="16">
        <f>IFERROR(IF(INDEX(MASTER!$I$4:$I$1463,MATCH($C$4&amp;"|4",MASTER!$Y$4:$Y$1463,0))="","-",INDEX(MASTER!$I$4:$I$1463,MATCH($C$4&amp;"|4",MASTER!$Y$4:$Y$1463,0))),"-")</f>
        <v>10077</v>
      </c>
      <c r="E30" s="14" t="str">
        <f>IFERROR(IF(INDEX(MASTER!$C$4:$C$1463,MATCH($D$4&amp;"|4",MASTER!$Y$4:$Y$1463,0))="","-",INDEX(MASTER!$C$4:$C$1463,MATCH($D$4&amp;"|4",MASTER!$Y$4:$Y$1463,0))),"-")</f>
        <v>LonexxWolf</v>
      </c>
      <c r="F30" s="16">
        <f>IFERROR(IF(INDEX(MASTER!$I$4:$I$1463,MATCH($D$4&amp;"|4",MASTER!$Y$4:$Y$1463,0))="","-",INDEX(MASTER!$I$4:$I$1463,MATCH($D$4&amp;"|4",MASTER!$Y$4:$Y$1463,0))),"-")</f>
        <v>8610</v>
      </c>
      <c r="G30" s="16">
        <f>IFERROR($D30-$F30,"-")</f>
        <v>1467</v>
      </c>
    </row>
    <row r="31" spans="1:7">
      <c r="B31" s="20">
        <v>5</v>
      </c>
      <c r="C31" s="18" t="str">
        <f>IFERROR(IF(INDEX(MASTER!$C$4:$C$1463,MATCH($C$4&amp;"|5",MASTER!$Y$4:$Y$1463,0))="","-",INDEX(MASTER!$C$4:$C$1463,MATCH($C$4&amp;"|5",MASTER!$Y$4:$Y$1463,0))),"-")</f>
        <v>xXSoulSlayer1221Xx</v>
      </c>
      <c r="D31" s="20">
        <f>IFERROR(IF(INDEX(MASTER!$I$4:$I$1463,MATCH($C$4&amp;"|5",MASTER!$Y$4:$Y$1463,0))="","-",INDEX(MASTER!$I$4:$I$1463,MATCH($C$4&amp;"|5",MASTER!$Y$4:$Y$1463,0))),"-")</f>
        <v>10023</v>
      </c>
      <c r="E31" s="18" t="str">
        <f>IFERROR(IF(INDEX(MASTER!$C$4:$C$1463,MATCH($D$4&amp;"|5",MASTER!$Y$4:$Y$1463,0))="","-",INDEX(MASTER!$C$4:$C$1463,MATCH($D$4&amp;"|5",MASTER!$Y$4:$Y$1463,0))),"-")</f>
        <v>Remington700</v>
      </c>
      <c r="F31" s="20">
        <f>IFERROR(IF(INDEX(MASTER!$I$4:$I$1463,MATCH($D$4&amp;"|5",MASTER!$Y$4:$Y$1463,0))="","-",INDEX(MASTER!$I$4:$I$1463,MATCH($D$4&amp;"|5",MASTER!$Y$4:$Y$1463,0))),"-")</f>
        <v>8316</v>
      </c>
      <c r="G31" s="20">
        <f>IFERROR($D31-$F31,"-")</f>
        <v>1707</v>
      </c>
    </row>
  </sheetData>
  <mergeCells count="4">
    <mergeCell ref="A1:G1"/>
    <mergeCell ref="A2:G2"/>
    <mergeCell ref="A6:F6"/>
    <mergeCell ref="A25:F25"/>
  </mergeCells>
  <printOptions horizontalCentered="1"/>
  <pageMargins left="0.75" right="0.75" top="1" bottom="1" header="0.511811023622047" footer="0.511811023622047"/>
  <pageSetup fitToHeight="0" orientation="landscape" horizontalDpi="300" verticalDpi="300"/>
  <ignoredErrors>
    <ignoredError sqref="A1:G3 A5:G31 A4:C4 E4:G4" evalError="1" twoDigitTextYear="1" numberStoredAsText="1" formula="1" formulaRange="1" unlockedFormula="1" emptyCellReference="1" listDataValidation="1" calculatedColumn="1"/>
  </ignoredErrors>
  <extLst>
    <ext xmlns:x14="http://schemas.microsoft.com/office/spreadsheetml/2009/9/main" uri="{CCE6A557-97BC-4b89-ADB6-D9C93CAAB3DF}">
      <x14:dataValidations xmlns:xm="http://schemas.microsoft.com/office/excel/2006/main" count="1">
        <x14:dataValidation type="list" xr:uid="{00000000-0002-0000-0600-000000000000}">
          <x14:formula1>
            <xm:f>SETUP!$A$68:$A$81</xm:f>
          </x14:formula1>
          <x14:formula2>
            <xm:f>0</xm:f>
          </x14:formula2>
          <xm:sqref>C4:D4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J73"/>
  <sheetViews>
    <sheetView showGridLines="0" tabSelected="1" topLeftCell="A8" zoomScaleNormal="100" workbookViewId="0">
      <selection activeCell="I60" sqref="I60"/>
    </sheetView>
  </sheetViews>
  <sheetFormatPr defaultColWidth="8.7109375" defaultRowHeight="15"/>
  <cols>
    <col min="1" max="1" width="2" customWidth="1"/>
    <col min="2" max="2" width="26" customWidth="1"/>
    <col min="3" max="5" width="11" customWidth="1"/>
    <col min="6" max="6" width="12" customWidth="1"/>
    <col min="7" max="7" width="26" customWidth="1"/>
    <col min="8" max="8" width="13" customWidth="1"/>
    <col min="9" max="9" width="26" customWidth="1"/>
    <col min="10" max="10" width="22" customWidth="1"/>
    <col min="11" max="11" width="12" customWidth="1"/>
  </cols>
  <sheetData>
    <row r="1" spans="1:10" ht="30" customHeight="1">
      <c r="A1" s="92" t="s">
        <v>246</v>
      </c>
      <c r="B1" s="92"/>
      <c r="C1" s="92"/>
      <c r="D1" s="92"/>
      <c r="E1" s="92"/>
      <c r="F1" s="92"/>
      <c r="G1" s="92"/>
      <c r="H1" s="92"/>
      <c r="I1" s="92"/>
      <c r="J1" s="92"/>
    </row>
    <row r="2" spans="1:10" ht="15.75" customHeight="1">
      <c r="A2" s="93" t="s">
        <v>247</v>
      </c>
      <c r="B2" s="93"/>
      <c r="C2" s="93"/>
      <c r="D2" s="93"/>
      <c r="E2" s="93"/>
      <c r="F2" s="93"/>
      <c r="G2" s="93"/>
      <c r="H2" s="93"/>
      <c r="I2" s="93"/>
      <c r="J2" s="93"/>
    </row>
    <row r="4" spans="1:10">
      <c r="B4" s="98" t="s">
        <v>248</v>
      </c>
      <c r="C4" s="98"/>
      <c r="D4" s="98" t="s">
        <v>249</v>
      </c>
      <c r="E4" s="98"/>
      <c r="F4" s="98" t="s">
        <v>250</v>
      </c>
      <c r="G4" s="98"/>
      <c r="H4" s="98" t="s">
        <v>251</v>
      </c>
      <c r="I4" s="98"/>
    </row>
    <row r="5" spans="1:10" ht="24" customHeight="1">
      <c r="B5" s="95">
        <f>COUNTIF($B$12:$B$32,"?*")</f>
        <v>13</v>
      </c>
      <c r="C5" s="95"/>
      <c r="D5" s="95">
        <f>COUNTIF('WARBAND ROSTER'!$B$4:$B$135,"?*")</f>
        <v>92</v>
      </c>
      <c r="E5" s="95"/>
      <c r="F5" s="95">
        <f>COUNTIFS('WARBAND ROSTER'!$B$4:$B$135,"?*",'WARBAND ROSTER'!$C$4:$C$135,"")</f>
        <v>5</v>
      </c>
      <c r="G5" s="95"/>
      <c r="H5" s="95">
        <f>SUM($E$12:$E$32)</f>
        <v>69</v>
      </c>
      <c r="I5" s="95"/>
    </row>
    <row r="7" spans="1:10">
      <c r="B7" s="61" t="s">
        <v>252</v>
      </c>
      <c r="C7" s="62">
        <v>12</v>
      </c>
      <c r="D7" s="11" t="s">
        <v>253</v>
      </c>
    </row>
    <row r="10" spans="1:10" ht="19.5" customHeight="1">
      <c r="B10" s="91" t="s">
        <v>254</v>
      </c>
      <c r="C10" s="91"/>
      <c r="D10" s="91"/>
      <c r="E10" s="91"/>
      <c r="F10" s="91"/>
      <c r="G10" s="91"/>
      <c r="H10" s="91"/>
      <c r="I10" s="91"/>
      <c r="J10" s="91"/>
    </row>
    <row r="11" spans="1:10" ht="27.75" customHeight="1">
      <c r="B11" s="13" t="s">
        <v>255</v>
      </c>
      <c r="C11" s="13" t="s">
        <v>46</v>
      </c>
      <c r="D11" s="13" t="s">
        <v>256</v>
      </c>
      <c r="E11" s="13" t="s">
        <v>257</v>
      </c>
      <c r="F11" s="13" t="s">
        <v>258</v>
      </c>
      <c r="G11" s="13" t="s">
        <v>259</v>
      </c>
      <c r="H11" s="13" t="s">
        <v>260</v>
      </c>
      <c r="I11" s="13" t="s">
        <v>261</v>
      </c>
      <c r="J11" s="13" t="s">
        <v>262</v>
      </c>
    </row>
    <row r="12" spans="1:10">
      <c r="B12" s="63" t="s">
        <v>263</v>
      </c>
      <c r="C12" s="16">
        <f>IF($B12="","",COUNTIF('WARBAND ROSTER'!$C$4:$C$135,$B12))</f>
        <v>12</v>
      </c>
      <c r="D12" s="16">
        <f t="shared" ref="D12:D32" si="0">IF($B12="","",$C$7)</f>
        <v>12</v>
      </c>
      <c r="E12" s="16">
        <f t="shared" ref="E12:E32" si="1">IF($B12="","",MAX(0,$D12-$C12))</f>
        <v>0</v>
      </c>
      <c r="F12" s="16">
        <f>IF($B12="","",IFERROR(INDEX('WARBAND ROSTER'!$F$4:$F$135,MATCH($B12,'WARBAND ROSTER'!$L$4:$L$135,0)),"-"))</f>
        <v>0</v>
      </c>
      <c r="G12" s="64" t="str">
        <f t="shared" ref="G12:G32" si="2">IF($B12="","",IF(NOT(ISNUMBER($F12)),"none recorded",IF($F12=$E12,"matches","recorded "&amp;$F12&amp;" vs "&amp;$E12&amp;" free")))</f>
        <v>matches</v>
      </c>
      <c r="H12" s="16" t="str">
        <f>IF($B12="","",IFERROR(INDEX('WARBAND ROSTER'!$D$4:$D$135,MATCH($B12,'WARBAND ROSTER'!$M$4:$M$135,0)),"-"))</f>
        <v>YES</v>
      </c>
      <c r="I12" s="41" t="str">
        <f>IF($B12="","",IFERROR(INDEX('WARBAND ROSTER'!$E$4:$E$135,MATCH($B12,'WARBAND ROSTER'!$K$4:$K$135,0)),"-"))</f>
        <v>Mon/Thurs 5:30pm</v>
      </c>
      <c r="J12" s="14" t="str">
        <f t="shared" ref="J12:J32" si="3">IF($B12="","",IF($C12=0,"empty",IF($E12=0,"FULL","recruiting · "&amp;$E12&amp;" seat"&amp;IF($E12=1,"","s"))))</f>
        <v>FULL</v>
      </c>
    </row>
    <row r="13" spans="1:10">
      <c r="B13" s="63" t="s">
        <v>264</v>
      </c>
      <c r="C13" s="20">
        <f>IF($B13="","",COUNTIF('WARBAND ROSTER'!$C$4:$C$135,$B13))</f>
        <v>12</v>
      </c>
      <c r="D13" s="20">
        <f t="shared" si="0"/>
        <v>12</v>
      </c>
      <c r="E13" s="20">
        <f t="shared" si="1"/>
        <v>0</v>
      </c>
      <c r="F13" s="20">
        <f>IF($B13="","",IFERROR(INDEX('WARBAND ROSTER'!$F$4:$F$135,MATCH($B13,'WARBAND ROSTER'!$L$4:$L$135,0)),"-"))</f>
        <v>0</v>
      </c>
      <c r="G13" s="65" t="str">
        <f t="shared" si="2"/>
        <v>matches</v>
      </c>
      <c r="H13" s="20" t="str">
        <f>IF($B13="","",IFERROR(INDEX('WARBAND ROSTER'!$D$4:$D$135,MATCH($B13,'WARBAND ROSTER'!$M$4:$M$135,0)),"-"))</f>
        <v>YES</v>
      </c>
      <c r="I13" s="1" t="str">
        <f>IF($B13="","",IFERROR(INDEX('WARBAND ROSTER'!$E$4:$E$135,MATCH($B13,'WARBAND ROSTER'!$K$4:$K$135,0)),"-"))</f>
        <v>M &amp; TH 6:00</v>
      </c>
      <c r="J13" s="18" t="str">
        <f t="shared" si="3"/>
        <v>FULL</v>
      </c>
    </row>
    <row r="14" spans="1:10">
      <c r="B14" s="63" t="s">
        <v>66</v>
      </c>
      <c r="C14" s="16">
        <f>IF($B14="","",COUNTIF('WARBAND ROSTER'!$C$4:$C$135,$B14))</f>
        <v>12</v>
      </c>
      <c r="D14" s="16">
        <f t="shared" si="0"/>
        <v>12</v>
      </c>
      <c r="E14" s="16">
        <f t="shared" si="1"/>
        <v>0</v>
      </c>
      <c r="F14" s="16">
        <f>IF($B14="","",IFERROR(INDEX('WARBAND ROSTER'!$F$4:$F$135,MATCH($B14,'WARBAND ROSTER'!$L$4:$L$135,0)),"-"))</f>
        <v>0</v>
      </c>
      <c r="G14" s="64" t="str">
        <f t="shared" si="2"/>
        <v>matches</v>
      </c>
      <c r="H14" s="16" t="str">
        <f>IF($B14="","",IFERROR(INDEX('WARBAND ROSTER'!$D$4:$D$135,MATCH($B14,'WARBAND ROSTER'!$M$4:$M$135,0)),"-"))</f>
        <v>YES</v>
      </c>
      <c r="I14" s="41" t="str">
        <f>IF($B14="","",IFERROR(INDEX('WARBAND ROSTER'!$E$4:$E$135,MATCH($B14,'WARBAND ROSTER'!$K$4:$K$135,0)),"-"))</f>
        <v>M &amp; TH 6:00</v>
      </c>
      <c r="J14" s="14" t="str">
        <f t="shared" si="3"/>
        <v>FULL</v>
      </c>
    </row>
    <row r="15" spans="1:10">
      <c r="B15" s="63" t="s">
        <v>265</v>
      </c>
      <c r="C15" s="20">
        <f>IF($B15="","",COUNTIF('WARBAND ROSTER'!$C$4:$C$135,$B15))</f>
        <v>11</v>
      </c>
      <c r="D15" s="20">
        <f t="shared" si="0"/>
        <v>12</v>
      </c>
      <c r="E15" s="20">
        <f t="shared" si="1"/>
        <v>1</v>
      </c>
      <c r="F15" s="20">
        <f>IF($B15="","",IFERROR(INDEX('WARBAND ROSTER'!$F$4:$F$135,MATCH($B15,'WARBAND ROSTER'!$L$4:$L$135,0)),"-"))</f>
        <v>0</v>
      </c>
      <c r="G15" s="65" t="str">
        <f t="shared" si="2"/>
        <v>recorded 0 vs 1 free</v>
      </c>
      <c r="H15" s="20" t="str">
        <f>IF($B15="","",IFERROR(INDEX('WARBAND ROSTER'!$D$4:$D$135,MATCH($B15,'WARBAND ROSTER'!$M$4:$M$135,0)),"-"))</f>
        <v>-</v>
      </c>
      <c r="I15" s="1" t="str">
        <f>IF($B15="","",IFERROR(INDEX('WARBAND ROSTER'!$E$4:$E$135,MATCH($B15,'WARBAND ROSTER'!$K$4:$K$135,0)),"-"))</f>
        <v>Mon/Thurs 8:00pm</v>
      </c>
      <c r="J15" s="18" t="str">
        <f t="shared" si="3"/>
        <v>recruiting · 1 seat</v>
      </c>
    </row>
    <row r="16" spans="1:10">
      <c r="B16" s="63" t="s">
        <v>266</v>
      </c>
      <c r="C16" s="16">
        <f>IF($B16="","",COUNTIF('WARBAND ROSTER'!$C$4:$C$135,$B16))</f>
        <v>7</v>
      </c>
      <c r="D16" s="16">
        <f t="shared" si="0"/>
        <v>12</v>
      </c>
      <c r="E16" s="16">
        <f t="shared" si="1"/>
        <v>5</v>
      </c>
      <c r="F16" s="16">
        <f>IF($B16="","",IFERROR(INDEX('WARBAND ROSTER'!$F$4:$F$135,MATCH($B16,'WARBAND ROSTER'!$L$4:$L$135,0)),"-"))</f>
        <v>6</v>
      </c>
      <c r="G16" s="64" t="str">
        <f t="shared" si="2"/>
        <v>recorded 6 vs 5 free</v>
      </c>
      <c r="H16" s="16" t="str">
        <f>IF($B16="","",IFERROR(INDEX('WARBAND ROSTER'!$D$4:$D$135,MATCH($B16,'WARBAND ROSTER'!$M$4:$M$135,0)),"-"))</f>
        <v>-</v>
      </c>
      <c r="I16" s="41" t="str">
        <f>IF($B16="","",IFERROR(INDEX('WARBAND ROSTER'!$E$4:$E$135,MATCH($B16,'WARBAND ROSTER'!$K$4:$K$135,0)),"-"))</f>
        <v>Tues/Fri 8pm</v>
      </c>
      <c r="J16" s="14" t="str">
        <f t="shared" si="3"/>
        <v>recruiting · 5 seats</v>
      </c>
    </row>
    <row r="17" spans="2:10">
      <c r="B17" s="63" t="s">
        <v>267</v>
      </c>
      <c r="C17" s="20">
        <f>IF($B17="","",COUNTIF('WARBAND ROSTER'!$C$4:$C$135,$B17))</f>
        <v>7</v>
      </c>
      <c r="D17" s="20">
        <f t="shared" si="0"/>
        <v>12</v>
      </c>
      <c r="E17" s="20">
        <f t="shared" si="1"/>
        <v>5</v>
      </c>
      <c r="F17" s="20">
        <f>IF($B17="","",IFERROR(INDEX('WARBAND ROSTER'!$F$4:$F$135,MATCH($B17,'WARBAND ROSTER'!$L$4:$L$135,0)),"-"))</f>
        <v>5</v>
      </c>
      <c r="G17" s="65" t="str">
        <f t="shared" si="2"/>
        <v>matches</v>
      </c>
      <c r="H17" s="20" t="str">
        <f>IF($B17="","",IFERROR(INDEX('WARBAND ROSTER'!$D$4:$D$135,MATCH($B17,'WARBAND ROSTER'!$M$4:$M$135,0)),"-"))</f>
        <v>-</v>
      </c>
      <c r="I17" s="1" t="str">
        <f>IF($B17="","",IFERROR(INDEX('WARBAND ROSTER'!$E$4:$E$135,MATCH($B17,'WARBAND ROSTER'!$K$4:$K$135,0)),"-"))</f>
        <v>Mon 6:30 / Thurs 7pm</v>
      </c>
      <c r="J17" s="18" t="str">
        <f t="shared" si="3"/>
        <v>recruiting · 5 seats</v>
      </c>
    </row>
    <row r="18" spans="2:10">
      <c r="B18" s="63" t="s">
        <v>268</v>
      </c>
      <c r="C18" s="16">
        <f>IF($B18="","",COUNTIF('WARBAND ROSTER'!$C$4:$C$135,$B18))</f>
        <v>7</v>
      </c>
      <c r="D18" s="16">
        <f t="shared" si="0"/>
        <v>12</v>
      </c>
      <c r="E18" s="16">
        <f t="shared" si="1"/>
        <v>5</v>
      </c>
      <c r="F18" s="16">
        <f>IF($B18="","",IFERROR(INDEX('WARBAND ROSTER'!$F$4:$F$135,MATCH($B18,'WARBAND ROSTER'!$L$4:$L$135,0)),"-"))</f>
        <v>6</v>
      </c>
      <c r="G18" s="64" t="str">
        <f t="shared" si="2"/>
        <v>recorded 6 vs 5 free</v>
      </c>
      <c r="H18" s="16" t="str">
        <f>IF($B18="","",IFERROR(INDEX('WARBAND ROSTER'!$D$4:$D$135,MATCH($B18,'WARBAND ROSTER'!$M$4:$M$135,0)),"-"))</f>
        <v>YES</v>
      </c>
      <c r="I18" s="41" t="str">
        <f>IF($B18="","",IFERROR(INDEX('WARBAND ROSTER'!$E$4:$E$135,MATCH($B18,'WARBAND ROSTER'!$K$4:$K$135,0)),"-"))</f>
        <v>Mon/Fri 6:30pm</v>
      </c>
      <c r="J18" s="14" t="str">
        <f t="shared" si="3"/>
        <v>recruiting · 5 seats</v>
      </c>
    </row>
    <row r="19" spans="2:10">
      <c r="B19" s="63" t="s">
        <v>269</v>
      </c>
      <c r="C19" s="20">
        <f>IF($B19="","",COUNTIF('WARBAND ROSTER'!$C$4:$C$135,$B19))</f>
        <v>6</v>
      </c>
      <c r="D19" s="20">
        <f t="shared" si="0"/>
        <v>12</v>
      </c>
      <c r="E19" s="20">
        <f t="shared" si="1"/>
        <v>6</v>
      </c>
      <c r="F19" s="20">
        <f>IF($B19="","",IFERROR(INDEX('WARBAND ROSTER'!$F$4:$F$135,MATCH($B19,'WARBAND ROSTER'!$L$4:$L$135,0)),"-"))</f>
        <v>6</v>
      </c>
      <c r="G19" s="65" t="str">
        <f t="shared" si="2"/>
        <v>matches</v>
      </c>
      <c r="H19" s="20" t="str">
        <f>IF($B19="","",IFERROR(INDEX('WARBAND ROSTER'!$D$4:$D$135,MATCH($B19,'WARBAND ROSTER'!$M$4:$M$135,0)),"-"))</f>
        <v>-</v>
      </c>
      <c r="I19" s="1" t="str">
        <f>IF($B19="","",IFERROR(INDEX('WARBAND ROSTER'!$E$4:$E$135,MATCH($B19,'WARBAND ROSTER'!$K$4:$K$135,0)),"-"))</f>
        <v>?</v>
      </c>
      <c r="J19" s="18" t="str">
        <f t="shared" si="3"/>
        <v>recruiting · 6 seats</v>
      </c>
    </row>
    <row r="20" spans="2:10">
      <c r="B20" s="63" t="s">
        <v>270</v>
      </c>
      <c r="C20" s="16">
        <f>IF($B20="","",COUNTIF('WARBAND ROSTER'!$C$4:$C$135,$B20))</f>
        <v>4</v>
      </c>
      <c r="D20" s="16">
        <f t="shared" si="0"/>
        <v>12</v>
      </c>
      <c r="E20" s="16">
        <f t="shared" si="1"/>
        <v>8</v>
      </c>
      <c r="F20" s="16">
        <f>IF($B20="","",IFERROR(INDEX('WARBAND ROSTER'!$F$4:$F$135,MATCH($B20,'WARBAND ROSTER'!$L$4:$L$135,0)),"-"))</f>
        <v>8</v>
      </c>
      <c r="G20" s="64" t="str">
        <f t="shared" si="2"/>
        <v>matches</v>
      </c>
      <c r="H20" s="16" t="str">
        <f>IF($B20="","",IFERROR(INDEX('WARBAND ROSTER'!$D$4:$D$135,MATCH($B20,'WARBAND ROSTER'!$M$4:$M$135,0)),"-"))</f>
        <v>-</v>
      </c>
      <c r="I20" s="41" t="str">
        <f>IF($B20="","",IFERROR(INDEX('WARBAND ROSTER'!$E$4:$E$135,MATCH($B20,'WARBAND ROSTER'!$K$4:$K$135,0)),"-"))</f>
        <v>-</v>
      </c>
      <c r="J20" s="14" t="str">
        <f t="shared" si="3"/>
        <v>recruiting · 8 seats</v>
      </c>
    </row>
    <row r="21" spans="2:10">
      <c r="B21" s="63" t="s">
        <v>271</v>
      </c>
      <c r="C21" s="20">
        <f>IF($B21="","",COUNTIF('WARBAND ROSTER'!$C$4:$C$135,$B21))</f>
        <v>4</v>
      </c>
      <c r="D21" s="20">
        <f t="shared" si="0"/>
        <v>12</v>
      </c>
      <c r="E21" s="20">
        <f t="shared" si="1"/>
        <v>8</v>
      </c>
      <c r="F21" s="20">
        <f>IF($B21="","",IFERROR(INDEX('WARBAND ROSTER'!$F$4:$F$135,MATCH($B21,'WARBAND ROSTER'!$L$4:$L$135,0)),"-"))</f>
        <v>8</v>
      </c>
      <c r="G21" s="65" t="str">
        <f t="shared" si="2"/>
        <v>matches</v>
      </c>
      <c r="H21" s="20" t="str">
        <f>IF($B21="","",IFERROR(INDEX('WARBAND ROSTER'!$D$4:$D$135,MATCH($B21,'WARBAND ROSTER'!$M$4:$M$135,0)),"-"))</f>
        <v>YES</v>
      </c>
      <c r="I21" s="1" t="str">
        <f>IF($B21="","",IFERROR(INDEX('WARBAND ROSTER'!$E$4:$E$135,MATCH($B21,'WARBAND ROSTER'!$K$4:$K$135,0)),"-"))</f>
        <v>Mon/Sat 10:30PM</v>
      </c>
      <c r="J21" s="18" t="str">
        <f t="shared" si="3"/>
        <v>recruiting · 8 seats</v>
      </c>
    </row>
    <row r="22" spans="2:10">
      <c r="B22" s="63" t="s">
        <v>272</v>
      </c>
      <c r="C22" s="16">
        <f>IF($B22="","",COUNTIF('WARBAND ROSTER'!$C$4:$C$135,$B22))</f>
        <v>2</v>
      </c>
      <c r="D22" s="16">
        <f t="shared" si="0"/>
        <v>12</v>
      </c>
      <c r="E22" s="16">
        <f t="shared" si="1"/>
        <v>10</v>
      </c>
      <c r="F22" s="16" t="str">
        <f>IF($B22="","",IFERROR(INDEX('WARBAND ROSTER'!$F$4:$F$135,MATCH($B22,'WARBAND ROSTER'!$L$4:$L$135,0)),"-"))</f>
        <v>-</v>
      </c>
      <c r="G22" s="64" t="str">
        <f t="shared" si="2"/>
        <v>none recorded</v>
      </c>
      <c r="H22" s="16" t="str">
        <f>IF($B22="","",IFERROR(INDEX('WARBAND ROSTER'!$D$4:$D$135,MATCH($B22,'WARBAND ROSTER'!$M$4:$M$135,0)),"-"))</f>
        <v>-</v>
      </c>
      <c r="I22" s="41" t="str">
        <f>IF($B22="","",IFERROR(INDEX('WARBAND ROSTER'!$E$4:$E$135,MATCH($B22,'WARBAND ROSTER'!$K$4:$K$135,0)),"-"))</f>
        <v>-</v>
      </c>
      <c r="J22" s="14" t="str">
        <f>IF($B22="","",IF($C22=0,"empty",IF($E22=0,"FULL","recruiting · "&amp;$E22&amp;" seat"&amp;IF($E22=1,"","s"))))</f>
        <v>recruiting · 10 seats</v>
      </c>
    </row>
    <row r="23" spans="2:10">
      <c r="B23" s="63" t="s">
        <v>273</v>
      </c>
      <c r="C23" s="20">
        <f>IF($B23="","",COUNTIF('WARBAND ROSTER'!$C$4:$C$135,$B23))</f>
        <v>2</v>
      </c>
      <c r="D23" s="20">
        <f t="shared" si="0"/>
        <v>12</v>
      </c>
      <c r="E23" s="20">
        <f t="shared" si="1"/>
        <v>10</v>
      </c>
      <c r="F23" s="20">
        <f>IF($B23="","",IFERROR(INDEX('WARBAND ROSTER'!$F$4:$F$135,MATCH($B23,'WARBAND ROSTER'!$L$4:$L$135,0)),"-"))</f>
        <v>5</v>
      </c>
      <c r="G23" s="65" t="str">
        <f t="shared" si="2"/>
        <v>recorded 5 vs 10 free</v>
      </c>
      <c r="H23" s="20" t="str">
        <f>IF($B23="","",IFERROR(INDEX('WARBAND ROSTER'!$D$4:$D$135,MATCH($B23,'WARBAND ROSTER'!$M$4:$M$135,0)),"-"))</f>
        <v>YES</v>
      </c>
      <c r="I23" s="1" t="str">
        <f>IF($B23="","",IFERROR(INDEX('WARBAND ROSTER'!$E$4:$E$135,MATCH($B23,'WARBAND ROSTER'!$K$4:$K$135,0)),"-"))</f>
        <v>-</v>
      </c>
      <c r="J23" s="18" t="str">
        <f t="shared" si="3"/>
        <v>recruiting · 10 seats</v>
      </c>
    </row>
    <row r="24" spans="2:10">
      <c r="B24" s="63" t="s">
        <v>274</v>
      </c>
      <c r="C24" s="16">
        <f>IF($B24="","",COUNTIF('WARBAND ROSTER'!$C$4:$C$135,$B24))</f>
        <v>1</v>
      </c>
      <c r="D24" s="16">
        <f t="shared" si="0"/>
        <v>12</v>
      </c>
      <c r="E24" s="16">
        <f t="shared" si="1"/>
        <v>11</v>
      </c>
      <c r="F24" s="16">
        <f>IF($B24="","",IFERROR(INDEX('WARBAND ROSTER'!$F$4:$F$135,MATCH($B24,'WARBAND ROSTER'!$L$4:$L$135,0)),"-"))</f>
        <v>0</v>
      </c>
      <c r="G24" s="64" t="str">
        <f t="shared" si="2"/>
        <v>recorded 0 vs 11 free</v>
      </c>
      <c r="H24" s="16" t="str">
        <f>IF($B24="","",IFERROR(INDEX('WARBAND ROSTER'!$D$4:$D$135,MATCH($B24,'WARBAND ROSTER'!$M$4:$M$135,0)),"-"))</f>
        <v>NO</v>
      </c>
      <c r="I24" s="41" t="str">
        <f>IF($B24="","",IFERROR(INDEX('WARBAND ROSTER'!$E$4:$E$135,MATCH($B24,'WARBAND ROSTER'!$K$4:$K$135,0)),"-"))</f>
        <v>M &amp; TH 6:30</v>
      </c>
      <c r="J24" s="14" t="str">
        <f t="shared" si="3"/>
        <v>recruiting · 11 seats</v>
      </c>
    </row>
    <row r="25" spans="2:10">
      <c r="B25" s="18"/>
      <c r="C25" s="20" t="str">
        <f>IF($B25="","",COUNTIF('WARBAND ROSTER'!$C$4:$C$135,$B25))</f>
        <v/>
      </c>
      <c r="D25" s="20" t="str">
        <f t="shared" si="0"/>
        <v/>
      </c>
      <c r="E25" s="20" t="str">
        <f t="shared" si="1"/>
        <v/>
      </c>
      <c r="F25" s="20" t="str">
        <f>IF($B25="","",IFERROR(INDEX('WARBAND ROSTER'!$F$4:$F$135,MATCH($B25,'WARBAND ROSTER'!$L$4:$L$135,0)),"-"))</f>
        <v/>
      </c>
      <c r="G25" s="65" t="str">
        <f t="shared" si="2"/>
        <v/>
      </c>
      <c r="H25" s="20" t="str">
        <f>IF($B25="","",IFERROR(INDEX('WARBAND ROSTER'!$D$4:$D$135,MATCH($B25,'WARBAND ROSTER'!$M$4:$M$135,0)),"-"))</f>
        <v/>
      </c>
      <c r="I25" s="1" t="str">
        <f>IF($B25="","",IFERROR(INDEX('WARBAND ROSTER'!$E$4:$E$135,MATCH($B25,'WARBAND ROSTER'!$K$4:$K$135,0)),"-"))</f>
        <v/>
      </c>
      <c r="J25" s="18" t="str">
        <f t="shared" si="3"/>
        <v/>
      </c>
    </row>
    <row r="26" spans="2:10">
      <c r="B26" s="14"/>
      <c r="C26" s="16" t="str">
        <f>IF($B26="","",COUNTIF('WARBAND ROSTER'!$C$4:$C$135,$B26))</f>
        <v/>
      </c>
      <c r="D26" s="16" t="str">
        <f t="shared" si="0"/>
        <v/>
      </c>
      <c r="E26" s="16" t="str">
        <f t="shared" si="1"/>
        <v/>
      </c>
      <c r="F26" s="16" t="str">
        <f>IF($B26="","",IFERROR(INDEX('WARBAND ROSTER'!$F$4:$F$135,MATCH($B26,'WARBAND ROSTER'!$L$4:$L$135,0)),"-"))</f>
        <v/>
      </c>
      <c r="G26" s="64" t="str">
        <f t="shared" si="2"/>
        <v/>
      </c>
      <c r="H26" s="16" t="str">
        <f>IF($B26="","",IFERROR(INDEX('WARBAND ROSTER'!$D$4:$D$135,MATCH($B26,'WARBAND ROSTER'!$M$4:$M$135,0)),"-"))</f>
        <v/>
      </c>
      <c r="I26" s="41" t="str">
        <f>IF($B26="","",IFERROR(INDEX('WARBAND ROSTER'!$E$4:$E$135,MATCH($B26,'WARBAND ROSTER'!$K$4:$K$135,0)),"-"))</f>
        <v/>
      </c>
      <c r="J26" s="14" t="str">
        <f t="shared" si="3"/>
        <v/>
      </c>
    </row>
    <row r="27" spans="2:10">
      <c r="B27" s="18"/>
      <c r="C27" s="20" t="str">
        <f>IF($B27="","",COUNTIF('WARBAND ROSTER'!$C$4:$C$135,$B27))</f>
        <v/>
      </c>
      <c r="D27" s="20" t="str">
        <f t="shared" si="0"/>
        <v/>
      </c>
      <c r="E27" s="20" t="str">
        <f t="shared" si="1"/>
        <v/>
      </c>
      <c r="F27" s="20" t="str">
        <f>IF($B27="","",IFERROR(INDEX('WARBAND ROSTER'!$F$4:$F$135,MATCH($B27,'WARBAND ROSTER'!$L$4:$L$135,0)),"-"))</f>
        <v/>
      </c>
      <c r="G27" s="65" t="str">
        <f t="shared" si="2"/>
        <v/>
      </c>
      <c r="H27" s="20" t="str">
        <f>IF($B27="","",IFERROR(INDEX('WARBAND ROSTER'!$D$4:$D$135,MATCH($B27,'WARBAND ROSTER'!$M$4:$M$135,0)),"-"))</f>
        <v/>
      </c>
      <c r="I27" s="1" t="str">
        <f>IF($B27="","",IFERROR(INDEX('WARBAND ROSTER'!$E$4:$E$135,MATCH($B27,'WARBAND ROSTER'!$K$4:$K$135,0)),"-"))</f>
        <v/>
      </c>
      <c r="J27" s="18" t="str">
        <f t="shared" si="3"/>
        <v/>
      </c>
    </row>
    <row r="28" spans="2:10">
      <c r="B28" s="14"/>
      <c r="C28" s="16" t="str">
        <f>IF($B28="","",COUNTIF('WARBAND ROSTER'!$C$4:$C$135,$B28))</f>
        <v/>
      </c>
      <c r="D28" s="16" t="str">
        <f t="shared" si="0"/>
        <v/>
      </c>
      <c r="E28" s="16" t="str">
        <f t="shared" si="1"/>
        <v/>
      </c>
      <c r="F28" s="16" t="str">
        <f>IF($B28="","",IFERROR(INDEX('WARBAND ROSTER'!$F$4:$F$135,MATCH($B28,'WARBAND ROSTER'!$L$4:$L$135,0)),"-"))</f>
        <v/>
      </c>
      <c r="G28" s="64" t="str">
        <f t="shared" si="2"/>
        <v/>
      </c>
      <c r="H28" s="16" t="str">
        <f>IF($B28="","",IFERROR(INDEX('WARBAND ROSTER'!$D$4:$D$135,MATCH($B28,'WARBAND ROSTER'!$M$4:$M$135,0)),"-"))</f>
        <v/>
      </c>
      <c r="I28" s="41" t="str">
        <f>IF($B28="","",IFERROR(INDEX('WARBAND ROSTER'!$E$4:$E$135,MATCH($B28,'WARBAND ROSTER'!$K$4:$K$135,0)),"-"))</f>
        <v/>
      </c>
      <c r="J28" s="14" t="str">
        <f t="shared" si="3"/>
        <v/>
      </c>
    </row>
    <row r="29" spans="2:10">
      <c r="B29" s="18"/>
      <c r="C29" s="20" t="str">
        <f>IF($B29="","",COUNTIF('WARBAND ROSTER'!$C$4:$C$135,$B29))</f>
        <v/>
      </c>
      <c r="D29" s="20" t="str">
        <f t="shared" si="0"/>
        <v/>
      </c>
      <c r="E29" s="20" t="str">
        <f t="shared" si="1"/>
        <v/>
      </c>
      <c r="F29" s="20" t="str">
        <f>IF($B29="","",IFERROR(INDEX('WARBAND ROSTER'!$F$4:$F$135,MATCH($B29,'WARBAND ROSTER'!$L$4:$L$135,0)),"-"))</f>
        <v/>
      </c>
      <c r="G29" s="65" t="str">
        <f t="shared" si="2"/>
        <v/>
      </c>
      <c r="H29" s="20" t="str">
        <f>IF($B29="","",IFERROR(INDEX('WARBAND ROSTER'!$D$4:$D$135,MATCH($B29,'WARBAND ROSTER'!$M$4:$M$135,0)),"-"))</f>
        <v/>
      </c>
      <c r="I29" s="1" t="str">
        <f>IF($B29="","",IFERROR(INDEX('WARBAND ROSTER'!$E$4:$E$135,MATCH($B29,'WARBAND ROSTER'!$K$4:$K$135,0)),"-"))</f>
        <v/>
      </c>
      <c r="J29" s="18" t="str">
        <f t="shared" si="3"/>
        <v/>
      </c>
    </row>
    <row r="30" spans="2:10">
      <c r="B30" s="14"/>
      <c r="C30" s="16" t="str">
        <f>IF($B30="","",COUNTIF('WARBAND ROSTER'!$C$4:$C$135,$B30))</f>
        <v/>
      </c>
      <c r="D30" s="16" t="str">
        <f t="shared" si="0"/>
        <v/>
      </c>
      <c r="E30" s="16" t="str">
        <f t="shared" si="1"/>
        <v/>
      </c>
      <c r="F30" s="16" t="str">
        <f>IF($B30="","",IFERROR(INDEX('WARBAND ROSTER'!$F$4:$F$135,MATCH($B30,'WARBAND ROSTER'!$L$4:$L$135,0)),"-"))</f>
        <v/>
      </c>
      <c r="G30" s="64" t="str">
        <f t="shared" si="2"/>
        <v/>
      </c>
      <c r="H30" s="16" t="str">
        <f>IF($B30="","",IFERROR(INDEX('WARBAND ROSTER'!$D$4:$D$135,MATCH($B30,'WARBAND ROSTER'!$M$4:$M$135,0)),"-"))</f>
        <v/>
      </c>
      <c r="I30" s="41" t="str">
        <f>IF($B30="","",IFERROR(INDEX('WARBAND ROSTER'!$E$4:$E$135,MATCH($B30,'WARBAND ROSTER'!$K$4:$K$135,0)),"-"))</f>
        <v/>
      </c>
      <c r="J30" s="14" t="str">
        <f t="shared" si="3"/>
        <v/>
      </c>
    </row>
    <row r="31" spans="2:10">
      <c r="B31" s="18"/>
      <c r="C31" s="20" t="str">
        <f>IF($B31="","",COUNTIF('WARBAND ROSTER'!$C$4:$C$135,$B31))</f>
        <v/>
      </c>
      <c r="D31" s="20" t="str">
        <f t="shared" si="0"/>
        <v/>
      </c>
      <c r="E31" s="20" t="str">
        <f t="shared" si="1"/>
        <v/>
      </c>
      <c r="F31" s="20" t="str">
        <f>IF($B31="","",IFERROR(INDEX('WARBAND ROSTER'!$F$4:$F$135,MATCH($B31,'WARBAND ROSTER'!$L$4:$L$135,0)),"-"))</f>
        <v/>
      </c>
      <c r="G31" s="65" t="str">
        <f t="shared" si="2"/>
        <v/>
      </c>
      <c r="H31" s="20" t="str">
        <f>IF($B31="","",IFERROR(INDEX('WARBAND ROSTER'!$D$4:$D$135,MATCH($B31,'WARBAND ROSTER'!$M$4:$M$135,0)),"-"))</f>
        <v/>
      </c>
      <c r="I31" s="1" t="str">
        <f>IF($B31="","",IFERROR(INDEX('WARBAND ROSTER'!$E$4:$E$135,MATCH($B31,'WARBAND ROSTER'!$K$4:$K$135,0)),"-"))</f>
        <v/>
      </c>
      <c r="J31" s="18" t="str">
        <f t="shared" si="3"/>
        <v/>
      </c>
    </row>
    <row r="32" spans="2:10">
      <c r="B32" s="14"/>
      <c r="C32" s="16" t="str">
        <f>IF($B32="","",COUNTIF('WARBAND ROSTER'!$C$4:$C$135,$B32))</f>
        <v/>
      </c>
      <c r="D32" s="16" t="str">
        <f t="shared" si="0"/>
        <v/>
      </c>
      <c r="E32" s="16" t="str">
        <f t="shared" si="1"/>
        <v/>
      </c>
      <c r="F32" s="16" t="str">
        <f>IF($B32="","",IFERROR(INDEX('WARBAND ROSTER'!$F$4:$F$135,MATCH($B32,'WARBAND ROSTER'!$L$4:$L$135,0)),"-"))</f>
        <v/>
      </c>
      <c r="G32" s="64" t="str">
        <f t="shared" si="2"/>
        <v/>
      </c>
      <c r="H32" s="16" t="str">
        <f>IF($B32="","",IFERROR(INDEX('WARBAND ROSTER'!$D$4:$D$135,MATCH($B32,'WARBAND ROSTER'!$M$4:$M$135,0)),"-"))</f>
        <v/>
      </c>
      <c r="I32" s="41" t="str">
        <f>IF($B32="","",IFERROR(INDEX('WARBAND ROSTER'!$E$4:$E$135,MATCH($B32,'WARBAND ROSTER'!$K$4:$K$135,0)),"-"))</f>
        <v/>
      </c>
      <c r="J32" s="14" t="str">
        <f t="shared" si="3"/>
        <v/>
      </c>
    </row>
    <row r="35" spans="2:10" ht="19.5" customHeight="1">
      <c r="B35" s="91" t="s">
        <v>275</v>
      </c>
      <c r="C35" s="91"/>
      <c r="D35" s="91"/>
      <c r="E35" s="91"/>
      <c r="F35" s="91"/>
      <c r="G35" s="91"/>
      <c r="H35" s="91"/>
      <c r="I35" s="91"/>
      <c r="J35" s="91"/>
    </row>
    <row r="36" spans="2:10" ht="21.75" customHeight="1">
      <c r="B36" s="48" t="s">
        <v>276</v>
      </c>
      <c r="C36" s="100" t="s">
        <v>263</v>
      </c>
      <c r="D36" s="100"/>
      <c r="F36" s="66" t="str">
        <f>IFERROR("raid: "&amp;INDEX($I$12:$I$32,MATCH($C$36,$B$12:$B$32,0)),"")</f>
        <v>raid: Mon/Thurs 5:30pm</v>
      </c>
      <c r="H36" s="67" t="str">
        <f>IFERROR(INDEX($J$12:$J$32,MATCH($C$36,$B$12:$B$32,0)),"")</f>
        <v>FULL</v>
      </c>
    </row>
    <row r="37" spans="2:10" ht="27.75" customHeight="1">
      <c r="B37" s="13" t="s">
        <v>277</v>
      </c>
      <c r="C37" s="13" t="s">
        <v>128</v>
      </c>
      <c r="D37" s="13" t="s">
        <v>44</v>
      </c>
      <c r="E37" s="13" t="s">
        <v>68</v>
      </c>
      <c r="F37" s="13" t="s">
        <v>129</v>
      </c>
      <c r="G37" s="13" t="s">
        <v>278</v>
      </c>
      <c r="H37" s="13" t="s">
        <v>279</v>
      </c>
      <c r="I37" s="13" t="s">
        <v>262</v>
      </c>
    </row>
    <row r="38" spans="2:10">
      <c r="B38" s="15">
        <v>1</v>
      </c>
      <c r="C38" s="14" t="str">
        <f>IFERROR(INDEX('WARBAND ROSTER'!$B$4:$B$135,MATCH($C$36&amp;"@"&amp;1,'WARBAND ROSTER'!$O$4:$O$135,0)),"— open seat —")</f>
        <v>Ace351c_0-</v>
      </c>
      <c r="D38" s="15" t="str">
        <f>IF($C38="— open seat —","",IFERROR(IF(INDEX(MASTER!$B$4:$B$1463,MATCH($C38,MASTER!$C$4:$C$1463,0))="","not on roster",INDEX(MASTER!$B$4:$B$1463,MATCH($C38,MASTER!$C$4:$C$1463,0))),"not on roster"))</f>
        <v>not on roster</v>
      </c>
      <c r="E38" s="15" t="str">
        <f>IF($C38="— open seat —","",IFERROR(IF(INDEX(MASTER!$E$4:$E$1463,MATCH($C38,MASTER!$C$4:$C$1463,0))="","not on roster",INDEX(MASTER!$E$4:$E$1463,MATCH($C38,MASTER!$C$4:$C$1463,0))),"not on roster"))</f>
        <v>not on roster</v>
      </c>
      <c r="F38" s="16" t="str">
        <f>IF($C38="— open seat —","",IFERROR(IF(INDEX(MASTER!$I$4:$I$1463,MATCH($C38,MASTER!$C$4:$C$1463,0))="","not on roster",INDEX(MASTER!$I$4:$I$1463,MATCH($C38,MASTER!$C$4:$C$1463,0))),"not on roster"))</f>
        <v>not on roster</v>
      </c>
      <c r="G38" s="15" t="str">
        <f>IF($C38="— open seat —","",IFERROR(IF(INDEX(MASTER!$J$4:$J$1463,MATCH($C38,MASTER!$C$4:$C$1463,0))="","not on roster",INDEX(MASTER!$J$4:$J$1463,MATCH($C38,MASTER!$C$4:$C$1463,0))),"not on roster"))</f>
        <v>not on roster</v>
      </c>
      <c r="H38" s="17" t="str">
        <f>IF($C38="— open seat —","",IFERROR(IF(INDEX(MASTER!$N$4:$N$1463,MATCH($C38,MASTER!$C$4:$C$1463,0))="","not on roster",INDEX(MASTER!$N$4:$N$1463,MATCH($C38,MASTER!$C$4:$C$1463,0))),"not on roster"))</f>
        <v>not on roster</v>
      </c>
      <c r="I38" s="15" t="str">
        <f>IF($C38="— open seat —","",IFERROR(IF(INDEX(MASTER!$S$4:$S$1463,MATCH($C38,MASTER!$C$4:$C$1463,0))="","not on roster",INDEX(MASTER!$S$4:$S$1463,MATCH($C38,MASTER!$C$4:$C$1463,0))),"not on roster"))</f>
        <v>not on roster</v>
      </c>
    </row>
    <row r="39" spans="2:10">
      <c r="B39" s="19">
        <v>2</v>
      </c>
      <c r="C39" s="18" t="str">
        <f>IFERROR(INDEX('WARBAND ROSTER'!$B$4:$B$135,MATCH($C$36&amp;"@"&amp;2,'WARBAND ROSTER'!$O$4:$O$135,0)),"— open seat —")</f>
        <v>Brutonous-</v>
      </c>
      <c r="D39" s="19" t="str">
        <f>IF($C39="— open seat —","",IFERROR(IF(INDEX(MASTER!$B$4:$B$1463,MATCH($C39,MASTER!$C$4:$C$1463,0))="","not on roster",INDEX(MASTER!$B$4:$B$1463,MATCH($C39,MASTER!$C$4:$C$1463,0))),"not on roster"))</f>
        <v>not on roster</v>
      </c>
      <c r="E39" s="19" t="str">
        <f>IF($C39="— open seat —","",IFERROR(IF(INDEX(MASTER!$E$4:$E$1463,MATCH($C39,MASTER!$C$4:$C$1463,0))="","not on roster",INDEX(MASTER!$E$4:$E$1463,MATCH($C39,MASTER!$C$4:$C$1463,0))),"not on roster"))</f>
        <v>not on roster</v>
      </c>
      <c r="F39" s="20" t="str">
        <f>IF($C39="— open seat —","",IFERROR(IF(INDEX(MASTER!$I$4:$I$1463,MATCH($C39,MASTER!$C$4:$C$1463,0))="","not on roster",INDEX(MASTER!$I$4:$I$1463,MATCH($C39,MASTER!$C$4:$C$1463,0))),"not on roster"))</f>
        <v>not on roster</v>
      </c>
      <c r="G39" s="19" t="str">
        <f>IF($C39="— open seat —","",IFERROR(IF(INDEX(MASTER!$J$4:$J$1463,MATCH($C39,MASTER!$C$4:$C$1463,0))="","not on roster",INDEX(MASTER!$J$4:$J$1463,MATCH($C39,MASTER!$C$4:$C$1463,0))),"not on roster"))</f>
        <v>not on roster</v>
      </c>
      <c r="H39" s="21" t="str">
        <f>IF($C39="— open seat —","",IFERROR(IF(INDEX(MASTER!$N$4:$N$1463,MATCH($C39,MASTER!$C$4:$C$1463,0))="","not on roster",INDEX(MASTER!$N$4:$N$1463,MATCH($C39,MASTER!$C$4:$C$1463,0))),"not on roster"))</f>
        <v>not on roster</v>
      </c>
      <c r="I39" s="19" t="str">
        <f>IF($C39="— open seat —","",IFERROR(IF(INDEX(MASTER!$S$4:$S$1463,MATCH($C39,MASTER!$C$4:$C$1463,0))="","not on roster",INDEX(MASTER!$S$4:$S$1463,MATCH($C39,MASTER!$C$4:$C$1463,0))),"not on roster"))</f>
        <v>not on roster</v>
      </c>
    </row>
    <row r="40" spans="2:10">
      <c r="B40" s="15">
        <v>3</v>
      </c>
      <c r="C40" s="14" t="str">
        <f>IFERROR(INDEX('WARBAND ROSTER'!$B$4:$B$135,MATCH($C$36&amp;"@"&amp;3,'WARBAND ROSTER'!$O$4:$O$135,0)),"— open seat —")</f>
        <v>ContagiØus-</v>
      </c>
      <c r="D40" s="15" t="str">
        <f>IF($C40="— open seat —","",IFERROR(IF(INDEX(MASTER!$B$4:$B$1463,MATCH($C40,MASTER!$C$4:$C$1463,0))="","not on roster",INDEX(MASTER!$B$4:$B$1463,MATCH($C40,MASTER!$C$4:$C$1463,0))),"not on roster"))</f>
        <v>not on roster</v>
      </c>
      <c r="E40" s="15" t="str">
        <f>IF($C40="— open seat —","",IFERROR(IF(INDEX(MASTER!$E$4:$E$1463,MATCH($C40,MASTER!$C$4:$C$1463,0))="","not on roster",INDEX(MASTER!$E$4:$E$1463,MATCH($C40,MASTER!$C$4:$C$1463,0))),"not on roster"))</f>
        <v>not on roster</v>
      </c>
      <c r="F40" s="16" t="str">
        <f>IF($C40="— open seat —","",IFERROR(IF(INDEX(MASTER!$I$4:$I$1463,MATCH($C40,MASTER!$C$4:$C$1463,0))="","not on roster",INDEX(MASTER!$I$4:$I$1463,MATCH($C40,MASTER!$C$4:$C$1463,0))),"not on roster"))</f>
        <v>not on roster</v>
      </c>
      <c r="G40" s="15" t="str">
        <f>IF($C40="— open seat —","",IFERROR(IF(INDEX(MASTER!$J$4:$J$1463,MATCH($C40,MASTER!$C$4:$C$1463,0))="","not on roster",INDEX(MASTER!$J$4:$J$1463,MATCH($C40,MASTER!$C$4:$C$1463,0))),"not on roster"))</f>
        <v>not on roster</v>
      </c>
      <c r="H40" s="17" t="str">
        <f>IF($C40="— open seat —","",IFERROR(IF(INDEX(MASTER!$N$4:$N$1463,MATCH($C40,MASTER!$C$4:$C$1463,0))="","not on roster",INDEX(MASTER!$N$4:$N$1463,MATCH($C40,MASTER!$C$4:$C$1463,0))),"not on roster"))</f>
        <v>not on roster</v>
      </c>
      <c r="I40" s="15" t="str">
        <f>IF($C40="— open seat —","",IFERROR(IF(INDEX(MASTER!$S$4:$S$1463,MATCH($C40,MASTER!$C$4:$C$1463,0))="","not on roster",INDEX(MASTER!$S$4:$S$1463,MATCH($C40,MASTER!$C$4:$C$1463,0))),"not on roster"))</f>
        <v>not on roster</v>
      </c>
    </row>
    <row r="41" spans="2:10">
      <c r="B41" s="19">
        <v>4</v>
      </c>
      <c r="C41" s="18" t="str">
        <f>IFERROR(INDEX('WARBAND ROSTER'!$B$4:$B$135,MATCH($C$36&amp;"@"&amp;4,'WARBAND ROSTER'!$O$4:$O$135,0)),"— open seat —")</f>
        <v>Decoy18-</v>
      </c>
      <c r="D41" s="19" t="str">
        <f>IF($C41="— open seat —","",IFERROR(IF(INDEX(MASTER!$B$4:$B$1463,MATCH($C41,MASTER!$C$4:$C$1463,0))="","not on roster",INDEX(MASTER!$B$4:$B$1463,MATCH($C41,MASTER!$C$4:$C$1463,0))),"not on roster"))</f>
        <v>not on roster</v>
      </c>
      <c r="E41" s="19" t="str">
        <f>IF($C41="— open seat —","",IFERROR(IF(INDEX(MASTER!$E$4:$E$1463,MATCH($C41,MASTER!$C$4:$C$1463,0))="","not on roster",INDEX(MASTER!$E$4:$E$1463,MATCH($C41,MASTER!$C$4:$C$1463,0))),"not on roster"))</f>
        <v>not on roster</v>
      </c>
      <c r="F41" s="20" t="str">
        <f>IF($C41="— open seat —","",IFERROR(IF(INDEX(MASTER!$I$4:$I$1463,MATCH($C41,MASTER!$C$4:$C$1463,0))="","not on roster",INDEX(MASTER!$I$4:$I$1463,MATCH($C41,MASTER!$C$4:$C$1463,0))),"not on roster"))</f>
        <v>not on roster</v>
      </c>
      <c r="G41" s="19" t="str">
        <f>IF($C41="— open seat —","",IFERROR(IF(INDEX(MASTER!$J$4:$J$1463,MATCH($C41,MASTER!$C$4:$C$1463,0))="","not on roster",INDEX(MASTER!$J$4:$J$1463,MATCH($C41,MASTER!$C$4:$C$1463,0))),"not on roster"))</f>
        <v>not on roster</v>
      </c>
      <c r="H41" s="21" t="str">
        <f>IF($C41="— open seat —","",IFERROR(IF(INDEX(MASTER!$N$4:$N$1463,MATCH($C41,MASTER!$C$4:$C$1463,0))="","not on roster",INDEX(MASTER!$N$4:$N$1463,MATCH($C41,MASTER!$C$4:$C$1463,0))),"not on roster"))</f>
        <v>not on roster</v>
      </c>
      <c r="I41" s="19" t="str">
        <f>IF($C41="— open seat —","",IFERROR(IF(INDEX(MASTER!$S$4:$S$1463,MATCH($C41,MASTER!$C$4:$C$1463,0))="","not on roster",INDEX(MASTER!$S$4:$S$1463,MATCH($C41,MASTER!$C$4:$C$1463,0))),"not on roster"))</f>
        <v>not on roster</v>
      </c>
    </row>
    <row r="42" spans="2:10">
      <c r="B42" s="15">
        <v>5</v>
      </c>
      <c r="C42" s="14" t="str">
        <f>IFERROR(INDEX('WARBAND ROSTER'!$B$4:$B$135,MATCH($C$36&amp;"@"&amp;5,'WARBAND ROSTER'!$O$4:$O$135,0)),"— open seat —")</f>
        <v>GreyWardenElisa-</v>
      </c>
      <c r="D42" s="15" t="str">
        <f>IF($C42="— open seat —","",IFERROR(IF(INDEX(MASTER!$B$4:$B$1463,MATCH($C42,MASTER!$C$4:$C$1463,0))="","not on roster",INDEX(MASTER!$B$4:$B$1463,MATCH($C42,MASTER!$C$4:$C$1463,0))),"not on roster"))</f>
        <v>not on roster</v>
      </c>
      <c r="E42" s="15" t="str">
        <f>IF($C42="— open seat —","",IFERROR(IF(INDEX(MASTER!$E$4:$E$1463,MATCH($C42,MASTER!$C$4:$C$1463,0))="","not on roster",INDEX(MASTER!$E$4:$E$1463,MATCH($C42,MASTER!$C$4:$C$1463,0))),"not on roster"))</f>
        <v>not on roster</v>
      </c>
      <c r="F42" s="16" t="str">
        <f>IF($C42="— open seat —","",IFERROR(IF(INDEX(MASTER!$I$4:$I$1463,MATCH($C42,MASTER!$C$4:$C$1463,0))="","not on roster",INDEX(MASTER!$I$4:$I$1463,MATCH($C42,MASTER!$C$4:$C$1463,0))),"not on roster"))</f>
        <v>not on roster</v>
      </c>
      <c r="G42" s="15" t="str">
        <f>IF($C42="— open seat —","",IFERROR(IF(INDEX(MASTER!$J$4:$J$1463,MATCH($C42,MASTER!$C$4:$C$1463,0))="","not on roster",INDEX(MASTER!$J$4:$J$1463,MATCH($C42,MASTER!$C$4:$C$1463,0))),"not on roster"))</f>
        <v>not on roster</v>
      </c>
      <c r="H42" s="17" t="str">
        <f>IF($C42="— open seat —","",IFERROR(IF(INDEX(MASTER!$N$4:$N$1463,MATCH($C42,MASTER!$C$4:$C$1463,0))="","not on roster",INDEX(MASTER!$N$4:$N$1463,MATCH($C42,MASTER!$C$4:$C$1463,0))),"not on roster"))</f>
        <v>not on roster</v>
      </c>
      <c r="I42" s="15" t="str">
        <f>IF($C42="— open seat —","",IFERROR(IF(INDEX(MASTER!$S$4:$S$1463,MATCH($C42,MASTER!$C$4:$C$1463,0))="","not on roster",INDEX(MASTER!$S$4:$S$1463,MATCH($C42,MASTER!$C$4:$C$1463,0))),"not on roster"))</f>
        <v>not on roster</v>
      </c>
    </row>
    <row r="43" spans="2:10">
      <c r="B43" s="19">
        <v>6</v>
      </c>
      <c r="C43" s="18" t="str">
        <f>IFERROR(INDEX('WARBAND ROSTER'!$B$4:$B$135,MATCH($C$36&amp;"@"&amp;6,'WARBAND ROSTER'!$O$4:$O$135,0)),"— open seat —")</f>
        <v>Hexenbane-</v>
      </c>
      <c r="D43" s="19" t="str">
        <f>IF($C43="— open seat —","",IFERROR(IF(INDEX(MASTER!$B$4:$B$1463,MATCH($C43,MASTER!$C$4:$C$1463,0))="","not on roster",INDEX(MASTER!$B$4:$B$1463,MATCH($C43,MASTER!$C$4:$C$1463,0))),"not on roster"))</f>
        <v>not on roster</v>
      </c>
      <c r="E43" s="19" t="str">
        <f>IF($C43="— open seat —","",IFERROR(IF(INDEX(MASTER!$E$4:$E$1463,MATCH($C43,MASTER!$C$4:$C$1463,0))="","not on roster",INDEX(MASTER!$E$4:$E$1463,MATCH($C43,MASTER!$C$4:$C$1463,0))),"not on roster"))</f>
        <v>not on roster</v>
      </c>
      <c r="F43" s="20" t="str">
        <f>IF($C43="— open seat —","",IFERROR(IF(INDEX(MASTER!$I$4:$I$1463,MATCH($C43,MASTER!$C$4:$C$1463,0))="","not on roster",INDEX(MASTER!$I$4:$I$1463,MATCH($C43,MASTER!$C$4:$C$1463,0))),"not on roster"))</f>
        <v>not on roster</v>
      </c>
      <c r="G43" s="19" t="str">
        <f>IF($C43="— open seat —","",IFERROR(IF(INDEX(MASTER!$J$4:$J$1463,MATCH($C43,MASTER!$C$4:$C$1463,0))="","not on roster",INDEX(MASTER!$J$4:$J$1463,MATCH($C43,MASTER!$C$4:$C$1463,0))),"not on roster"))</f>
        <v>not on roster</v>
      </c>
      <c r="H43" s="21" t="str">
        <f>IF($C43="— open seat —","",IFERROR(IF(INDEX(MASTER!$N$4:$N$1463,MATCH($C43,MASTER!$C$4:$C$1463,0))="","not on roster",INDEX(MASTER!$N$4:$N$1463,MATCH($C43,MASTER!$C$4:$C$1463,0))),"not on roster"))</f>
        <v>not on roster</v>
      </c>
      <c r="I43" s="19" t="str">
        <f>IF($C43="— open seat —","",IFERROR(IF(INDEX(MASTER!$S$4:$S$1463,MATCH($C43,MASTER!$C$4:$C$1463,0))="","not on roster",INDEX(MASTER!$S$4:$S$1463,MATCH($C43,MASTER!$C$4:$C$1463,0))),"not on roster"))</f>
        <v>not on roster</v>
      </c>
    </row>
    <row r="44" spans="2:10">
      <c r="B44" s="15">
        <v>7</v>
      </c>
      <c r="C44" s="14" t="str">
        <f>IFERROR(INDEX('WARBAND ROSTER'!$B$4:$B$135,MATCH($C$36&amp;"@"&amp;7,'WARBAND ROSTER'!$O$4:$O$135,0)),"— open seat —")</f>
        <v>JoJoBluEyez</v>
      </c>
      <c r="D44" s="15" t="str">
        <f>IF($C44="— open seat —","",IFERROR(IF(INDEX(MASTER!$B$4:$B$1463,MATCH($C44,MASTER!$C$4:$C$1463,0))="","not on roster",INDEX(MASTER!$B$4:$B$1463,MATCH($C44,MASTER!$C$4:$C$1463,0))),"not on roster"))</f>
        <v>FUCT</v>
      </c>
      <c r="E44" s="15" t="str">
        <f>IF($C44="— open seat —","",IFERROR(IF(INDEX(MASTER!$E$4:$E$1463,MATCH($C44,MASTER!$C$4:$C$1463,0))="","not on roster",INDEX(MASTER!$E$4:$E$1463,MATCH($C44,MASTER!$C$4:$C$1463,0))),"not on roster"))</f>
        <v>WIZARD</v>
      </c>
      <c r="F44" s="16">
        <f>IF($C44="— open seat —","",IFERROR(IF(INDEX(MASTER!$I$4:$I$1463,MATCH($C44,MASTER!$C$4:$C$1463,0))="","not on roster",INDEX(MASTER!$I$4:$I$1463,MATCH($C44,MASTER!$C$4:$C$1463,0))),"not on roster"))</f>
        <v>3182</v>
      </c>
      <c r="G44" s="15" t="str">
        <f>IF($C44="— open seat —","",IFERROR(IF(INDEX(MASTER!$J$4:$J$1463,MATCH($C44,MASTER!$C$4:$C$1463,0))="","not on roster",INDEX(MASTER!$J$4:$J$1463,MATCH($C44,MASTER!$C$4:$C$1463,0))),"not on roster"))</f>
        <v>DEVELOPING</v>
      </c>
      <c r="H44" s="17">
        <f>IF($C44="— open seat —","",IFERROR(IF(INDEX(MASTER!$N$4:$N$1463,MATCH($C44,MASTER!$C$4:$C$1463,0))="","not on roster",INDEX(MASTER!$N$4:$N$1463,MATCH($C44,MASTER!$C$4:$C$1463,0))),"not on roster"))</f>
        <v>36.799999999999997</v>
      </c>
      <c r="I44" s="15" t="str">
        <f>IF($C44="— open seat —","",IFERROR(IF(INDEX(MASTER!$S$4:$S$1463,MATCH($C44,MASTER!$C$4:$C$1463,0))="","not on roster",INDEX(MASTER!$S$4:$S$1463,MATCH($C44,MASTER!$C$4:$C$1463,0))),"not on roster"))</f>
        <v>Complete</v>
      </c>
    </row>
    <row r="45" spans="2:10">
      <c r="B45" s="19">
        <v>8</v>
      </c>
      <c r="C45" s="18" t="str">
        <f>IFERROR(INDEX('WARBAND ROSTER'!$B$4:$B$135,MATCH($C$36&amp;"@"&amp;8,'WARBAND ROSTER'!$O$4:$O$135,0)),"— open seat —")</f>
        <v>Kbowser (JJ405)</v>
      </c>
      <c r="D45" s="19" t="str">
        <f>IF($C45="— open seat —","",IFERROR(IF(INDEX(MASTER!$B$4:$B$1463,MATCH($C45,MASTER!$C$4:$C$1463,0))="","not on roster",INDEX(MASTER!$B$4:$B$1463,MATCH($C45,MASTER!$C$4:$C$1463,0))),"not on roster"))</f>
        <v>not on roster</v>
      </c>
      <c r="E45" s="19" t="str">
        <f>IF($C45="— open seat —","",IFERROR(IF(INDEX(MASTER!$E$4:$E$1463,MATCH($C45,MASTER!$C$4:$C$1463,0))="","not on roster",INDEX(MASTER!$E$4:$E$1463,MATCH($C45,MASTER!$C$4:$C$1463,0))),"not on roster"))</f>
        <v>not on roster</v>
      </c>
      <c r="F45" s="20" t="str">
        <f>IF($C45="— open seat —","",IFERROR(IF(INDEX(MASTER!$I$4:$I$1463,MATCH($C45,MASTER!$C$4:$C$1463,0))="","not on roster",INDEX(MASTER!$I$4:$I$1463,MATCH($C45,MASTER!$C$4:$C$1463,0))),"not on roster"))</f>
        <v>not on roster</v>
      </c>
      <c r="G45" s="19" t="str">
        <f>IF($C45="— open seat —","",IFERROR(IF(INDEX(MASTER!$J$4:$J$1463,MATCH($C45,MASTER!$C$4:$C$1463,0))="","not on roster",INDEX(MASTER!$J$4:$J$1463,MATCH($C45,MASTER!$C$4:$C$1463,0))),"not on roster"))</f>
        <v>not on roster</v>
      </c>
      <c r="H45" s="21" t="str">
        <f>IF($C45="— open seat —","",IFERROR(IF(INDEX(MASTER!$N$4:$N$1463,MATCH($C45,MASTER!$C$4:$C$1463,0))="","not on roster",INDEX(MASTER!$N$4:$N$1463,MATCH($C45,MASTER!$C$4:$C$1463,0))),"not on roster"))</f>
        <v>not on roster</v>
      </c>
      <c r="I45" s="19" t="str">
        <f>IF($C45="— open seat —","",IFERROR(IF(INDEX(MASTER!$S$4:$S$1463,MATCH($C45,MASTER!$C$4:$C$1463,0))="","not on roster",INDEX(MASTER!$S$4:$S$1463,MATCH($C45,MASTER!$C$4:$C$1463,0))),"not on roster"))</f>
        <v>not on roster</v>
      </c>
    </row>
    <row r="46" spans="2:10">
      <c r="B46" s="15">
        <v>9</v>
      </c>
      <c r="C46" s="14" t="str">
        <f>IFERROR(INDEX('WARBAND ROSTER'!$B$4:$B$135,MATCH($C$36&amp;"@"&amp;9,'WARBAND ROSTER'!$O$4:$O$135,0)),"— open seat —")</f>
        <v>meeplet-</v>
      </c>
      <c r="D46" s="15" t="str">
        <f>IF($C46="— open seat —","",IFERROR(IF(INDEX(MASTER!$B$4:$B$1463,MATCH($C46,MASTER!$C$4:$C$1463,0))="","not on roster",INDEX(MASTER!$B$4:$B$1463,MATCH($C46,MASTER!$C$4:$C$1463,0))),"not on roster"))</f>
        <v>not on roster</v>
      </c>
      <c r="E46" s="15" t="str">
        <f>IF($C46="— open seat —","",IFERROR(IF(INDEX(MASTER!$E$4:$E$1463,MATCH($C46,MASTER!$C$4:$C$1463,0))="","not on roster",INDEX(MASTER!$E$4:$E$1463,MATCH($C46,MASTER!$C$4:$C$1463,0))),"not on roster"))</f>
        <v>not on roster</v>
      </c>
      <c r="F46" s="16" t="str">
        <f>IF($C46="— open seat —","",IFERROR(IF(INDEX(MASTER!$I$4:$I$1463,MATCH($C46,MASTER!$C$4:$C$1463,0))="","not on roster",INDEX(MASTER!$I$4:$I$1463,MATCH($C46,MASTER!$C$4:$C$1463,0))),"not on roster"))</f>
        <v>not on roster</v>
      </c>
      <c r="G46" s="15" t="str">
        <f>IF($C46="— open seat —","",IFERROR(IF(INDEX(MASTER!$J$4:$J$1463,MATCH($C46,MASTER!$C$4:$C$1463,0))="","not on roster",INDEX(MASTER!$J$4:$J$1463,MATCH($C46,MASTER!$C$4:$C$1463,0))),"not on roster"))</f>
        <v>not on roster</v>
      </c>
      <c r="H46" s="17" t="str">
        <f>IF($C46="— open seat —","",IFERROR(IF(INDEX(MASTER!$N$4:$N$1463,MATCH($C46,MASTER!$C$4:$C$1463,0))="","not on roster",INDEX(MASTER!$N$4:$N$1463,MATCH($C46,MASTER!$C$4:$C$1463,0))),"not on roster"))</f>
        <v>not on roster</v>
      </c>
      <c r="I46" s="15" t="str">
        <f>IF($C46="— open seat —","",IFERROR(IF(INDEX(MASTER!$S$4:$S$1463,MATCH($C46,MASTER!$C$4:$C$1463,0))="","not on roster",INDEX(MASTER!$S$4:$S$1463,MATCH($C46,MASTER!$C$4:$C$1463,0))),"not on roster"))</f>
        <v>not on roster</v>
      </c>
    </row>
    <row r="47" spans="2:10">
      <c r="B47" s="19">
        <v>10</v>
      </c>
      <c r="C47" s="18" t="str">
        <f>IFERROR(INDEX('WARBAND ROSTER'!$B$4:$B$135,MATCH($C$36&amp;"@"&amp;10,'WARBAND ROSTER'!$O$4:$O$135,0)),"— open seat —")</f>
        <v>Mntnmn-</v>
      </c>
      <c r="D47" s="19" t="str">
        <f>IF($C47="— open seat —","",IFERROR(IF(INDEX(MASTER!$B$4:$B$1463,MATCH($C47,MASTER!$C$4:$C$1463,0))="","not on roster",INDEX(MASTER!$B$4:$B$1463,MATCH($C47,MASTER!$C$4:$C$1463,0))),"not on roster"))</f>
        <v>not on roster</v>
      </c>
      <c r="E47" s="19" t="str">
        <f>IF($C47="— open seat —","",IFERROR(IF(INDEX(MASTER!$E$4:$E$1463,MATCH($C47,MASTER!$C$4:$C$1463,0))="","not on roster",INDEX(MASTER!$E$4:$E$1463,MATCH($C47,MASTER!$C$4:$C$1463,0))),"not on roster"))</f>
        <v>not on roster</v>
      </c>
      <c r="F47" s="20" t="str">
        <f>IF($C47="— open seat —","",IFERROR(IF(INDEX(MASTER!$I$4:$I$1463,MATCH($C47,MASTER!$C$4:$C$1463,0))="","not on roster",INDEX(MASTER!$I$4:$I$1463,MATCH($C47,MASTER!$C$4:$C$1463,0))),"not on roster"))</f>
        <v>not on roster</v>
      </c>
      <c r="G47" s="19" t="str">
        <f>IF($C47="— open seat —","",IFERROR(IF(INDEX(MASTER!$J$4:$J$1463,MATCH($C47,MASTER!$C$4:$C$1463,0))="","not on roster",INDEX(MASTER!$J$4:$J$1463,MATCH($C47,MASTER!$C$4:$C$1463,0))),"not on roster"))</f>
        <v>not on roster</v>
      </c>
      <c r="H47" s="21" t="str">
        <f>IF($C47="— open seat —","",IFERROR(IF(INDEX(MASTER!$N$4:$N$1463,MATCH($C47,MASTER!$C$4:$C$1463,0))="","not on roster",INDEX(MASTER!$N$4:$N$1463,MATCH($C47,MASTER!$C$4:$C$1463,0))),"not on roster"))</f>
        <v>not on roster</v>
      </c>
      <c r="I47" s="19" t="str">
        <f>IF($C47="— open seat —","",IFERROR(IF(INDEX(MASTER!$S$4:$S$1463,MATCH($C47,MASTER!$C$4:$C$1463,0))="","not on roster",INDEX(MASTER!$S$4:$S$1463,MATCH($C47,MASTER!$C$4:$C$1463,0))),"not on roster"))</f>
        <v>not on roster</v>
      </c>
    </row>
    <row r="48" spans="2:10">
      <c r="B48" s="15">
        <v>11</v>
      </c>
      <c r="C48" s="14" t="str">
        <f>IFERROR(INDEX('WARBAND ROSTER'!$B$4:$B$135,MATCH($C$36&amp;"@"&amp;11,'WARBAND ROSTER'!$O$4:$O$135,0)),"— open seat —")</f>
        <v>Raìdox-</v>
      </c>
      <c r="D48" s="15" t="str">
        <f>IF($C48="— open seat —","",IFERROR(IF(INDEX(MASTER!$B$4:$B$1463,MATCH($C48,MASTER!$C$4:$C$1463,0))="","not on roster",INDEX(MASTER!$B$4:$B$1463,MATCH($C48,MASTER!$C$4:$C$1463,0))),"not on roster"))</f>
        <v>FUCT</v>
      </c>
      <c r="E48" s="15" t="str">
        <f>IF($C48="— open seat —","",IFERROR(IF(INDEX(MASTER!$E$4:$E$1463,MATCH($C48,MASTER!$C$4:$C$1463,0))="","not on roster",INDEX(MASTER!$E$4:$E$1463,MATCH($C48,MASTER!$C$4:$C$1463,0))),"not on roster"))</f>
        <v>WARLOCK</v>
      </c>
      <c r="F48" s="16">
        <f>IF($C48="— open seat —","",IFERROR(IF(INDEX(MASTER!$I$4:$I$1463,MATCH($C48,MASTER!$C$4:$C$1463,0))="","not on roster",INDEX(MASTER!$I$4:$I$1463,MATCH($C48,MASTER!$C$4:$C$1463,0))),"not on roster"))</f>
        <v>6200</v>
      </c>
      <c r="G48" s="15" t="str">
        <f>IF($C48="— open seat —","",IFERROR(IF(INDEX(MASTER!$J$4:$J$1463,MATCH($C48,MASTER!$C$4:$C$1463,0))="","not on roster",INDEX(MASTER!$J$4:$J$1463,MATCH($C48,MASTER!$C$4:$C$1463,0))),"not on roster"))</f>
        <v>VETERAN</v>
      </c>
      <c r="H48" s="17">
        <f>IF($C48="— open seat —","",IFERROR(IF(INDEX(MASTER!$N$4:$N$1463,MATCH($C48,MASTER!$C$4:$C$1463,0))="","not on roster",INDEX(MASTER!$N$4:$N$1463,MATCH($C48,MASTER!$C$4:$C$1463,0))),"not on roster"))</f>
        <v>59.6</v>
      </c>
      <c r="I48" s="15" t="str">
        <f>IF($C48="— open seat —","",IFERROR(IF(INDEX(MASTER!$S$4:$S$1463,MATCH($C48,MASTER!$C$4:$C$1463,0))="","not on roster",INDEX(MASTER!$S$4:$S$1463,MATCH($C48,MASTER!$C$4:$C$1463,0))),"not on roster"))</f>
        <v>Complete</v>
      </c>
    </row>
    <row r="49" spans="2:10">
      <c r="B49" s="19">
        <v>12</v>
      </c>
      <c r="C49" s="18" t="str">
        <f>IFERROR(INDEX('WARBAND ROSTER'!$B$4:$B$135,MATCH($C$36&amp;"@"&amp;12,'WARBAND ROSTER'!$O$4:$O$135,0)),"— open seat —")</f>
        <v>SilentlySweeetT-</v>
      </c>
      <c r="D49" s="19" t="str">
        <f>IF($C49="— open seat —","",IFERROR(IF(INDEX(MASTER!$B$4:$B$1463,MATCH($C49,MASTER!$C$4:$C$1463,0))="","not on roster",INDEX(MASTER!$B$4:$B$1463,MATCH($C49,MASTER!$C$4:$C$1463,0))),"not on roster"))</f>
        <v>not on roster</v>
      </c>
      <c r="E49" s="19" t="str">
        <f>IF($C49="— open seat —","",IFERROR(IF(INDEX(MASTER!$E$4:$E$1463,MATCH($C49,MASTER!$C$4:$C$1463,0))="","not on roster",INDEX(MASTER!$E$4:$E$1463,MATCH($C49,MASTER!$C$4:$C$1463,0))),"not on roster"))</f>
        <v>not on roster</v>
      </c>
      <c r="F49" s="20" t="str">
        <f>IF($C49="— open seat —","",IFERROR(IF(INDEX(MASTER!$I$4:$I$1463,MATCH($C49,MASTER!$C$4:$C$1463,0))="","not on roster",INDEX(MASTER!$I$4:$I$1463,MATCH($C49,MASTER!$C$4:$C$1463,0))),"not on roster"))</f>
        <v>not on roster</v>
      </c>
      <c r="G49" s="19" t="str">
        <f>IF($C49="— open seat —","",IFERROR(IF(INDEX(MASTER!$J$4:$J$1463,MATCH($C49,MASTER!$C$4:$C$1463,0))="","not on roster",INDEX(MASTER!$J$4:$J$1463,MATCH($C49,MASTER!$C$4:$C$1463,0))),"not on roster"))</f>
        <v>not on roster</v>
      </c>
      <c r="H49" s="21" t="str">
        <f>IF($C49="— open seat —","",IFERROR(IF(INDEX(MASTER!$N$4:$N$1463,MATCH($C49,MASTER!$C$4:$C$1463,0))="","not on roster",INDEX(MASTER!$N$4:$N$1463,MATCH($C49,MASTER!$C$4:$C$1463,0))),"not on roster"))</f>
        <v>not on roster</v>
      </c>
      <c r="I49" s="19" t="str">
        <f>IF($C49="— open seat —","",IFERROR(IF(INDEX(MASTER!$S$4:$S$1463,MATCH($C49,MASTER!$C$4:$C$1463,0))="","not on roster",INDEX(MASTER!$S$4:$S$1463,MATCH($C49,MASTER!$C$4:$C$1463,0))),"not on roster"))</f>
        <v>not on roster</v>
      </c>
    </row>
    <row r="52" spans="2:10" ht="19.5" customHeight="1">
      <c r="B52" s="91" t="s">
        <v>280</v>
      </c>
      <c r="C52" s="91"/>
      <c r="D52" s="91"/>
      <c r="E52" s="91"/>
      <c r="F52" s="91"/>
      <c r="G52" s="91"/>
      <c r="H52" s="91"/>
      <c r="I52" s="91"/>
      <c r="J52" s="91"/>
    </row>
    <row r="53" spans="2:10" ht="27.75" customHeight="1">
      <c r="B53" s="13" t="s">
        <v>127</v>
      </c>
      <c r="C53" s="13" t="s">
        <v>128</v>
      </c>
      <c r="D53" s="13" t="s">
        <v>281</v>
      </c>
      <c r="E53" s="13"/>
      <c r="F53" s="13"/>
      <c r="G53" s="13"/>
      <c r="H53" s="13"/>
      <c r="I53" s="13"/>
    </row>
    <row r="54" spans="2:10">
      <c r="B54" s="15">
        <v>1</v>
      </c>
      <c r="C54" s="14" t="str">
        <f>IFERROR(INDEX('WARBAND ROSTER'!$B$4:$B$135,MATCH("FA1",'WARBAND ROSTER'!$N$4:$N$135,0)),"")</f>
        <v>Chrysalis3</v>
      </c>
      <c r="D54" s="15" t="str">
        <f>IFERROR(INDEX('WARBAND ROSTER'!$I$4:$I$135,MATCH("FA1",'WARBAND ROSTER'!$N$4:$N$135,0)),"")</f>
        <v>yes · FUCT</v>
      </c>
    </row>
    <row r="55" spans="2:10">
      <c r="B55" s="19">
        <v>2</v>
      </c>
      <c r="C55" s="18" t="str">
        <f>IFERROR(INDEX('WARBAND ROSTER'!$B$4:$B$135,MATCH("FA2",'WARBAND ROSTER'!$N$4:$N$135,0)),"")</f>
        <v>KingJonSnow</v>
      </c>
      <c r="D55" s="19" t="str">
        <f>IFERROR(INDEX('WARBAND ROSTER'!$I$4:$I$135,MATCH("FA2",'WARBAND ROSTER'!$N$4:$N$135,0)),"")</f>
        <v>yes · FUCT</v>
      </c>
    </row>
    <row r="56" spans="2:10">
      <c r="B56" s="15">
        <v>3</v>
      </c>
      <c r="C56" s="14" t="str">
        <f>IFERROR(INDEX('WARBAND ROSTER'!$B$4:$B$135,MATCH("FA3",'WARBAND ROSTER'!$N$4:$N$135,0)),"")</f>
        <v>Krjum-</v>
      </c>
      <c r="D56" s="15" t="str">
        <f>IFERROR(INDEX('WARBAND ROSTER'!$I$4:$I$135,MATCH("FA3",'WARBAND ROSTER'!$N$4:$N$135,0)),"")</f>
        <v>not matched</v>
      </c>
    </row>
    <row r="57" spans="2:10">
      <c r="B57" s="19">
        <v>4</v>
      </c>
      <c r="C57" s="18" t="str">
        <f>IFERROR(INDEX('WARBAND ROSTER'!$B$4:$B$135,MATCH("FA4",'WARBAND ROSTER'!$N$4:$N$135,0)),"")</f>
        <v>siike-</v>
      </c>
      <c r="D57" s="19" t="str">
        <f>IFERROR(INDEX('WARBAND ROSTER'!$I$4:$I$135,MATCH("FA4",'WARBAND ROSTER'!$N$4:$N$135,0)),"")</f>
        <v>not matched</v>
      </c>
    </row>
    <row r="58" spans="2:10">
      <c r="B58" s="15">
        <v>5</v>
      </c>
      <c r="C58" s="14" t="str">
        <f>IFERROR(INDEX('WARBAND ROSTER'!$B$4:$B$135,MATCH("FA5",'WARBAND ROSTER'!$N$4:$N$135,0)),"")</f>
        <v>VHREAL</v>
      </c>
      <c r="D58" s="15" t="str">
        <f>IFERROR(INDEX('WARBAND ROSTER'!$I$4:$I$135,MATCH("FA5",'WARBAND ROSTER'!$N$4:$N$135,0)),"")</f>
        <v>not matched</v>
      </c>
    </row>
    <row r="59" spans="2:10">
      <c r="B59" s="19">
        <v>6</v>
      </c>
      <c r="C59" s="18" t="str">
        <f>IFERROR(INDEX('WARBAND ROSTER'!$B$4:$B$135,MATCH("FA6",'WARBAND ROSTER'!$N$4:$N$135,0)),"")</f>
        <v/>
      </c>
      <c r="D59" s="19" t="str">
        <f>IFERROR(INDEX('WARBAND ROSTER'!$I$4:$I$135,MATCH("FA6",'WARBAND ROSTER'!$N$4:$N$135,0)),"")</f>
        <v/>
      </c>
    </row>
    <row r="60" spans="2:10">
      <c r="B60" s="15">
        <v>7</v>
      </c>
      <c r="C60" s="14" t="str">
        <f>IFERROR(INDEX('WARBAND ROSTER'!$B$4:$B$135,MATCH("FA7",'WARBAND ROSTER'!$N$4:$N$135,0)),"")</f>
        <v/>
      </c>
      <c r="D60" s="15" t="str">
        <f>IFERROR(INDEX('WARBAND ROSTER'!$I$4:$I$135,MATCH("FA7",'WARBAND ROSTER'!$N$4:$N$135,0)),"")</f>
        <v/>
      </c>
    </row>
    <row r="61" spans="2:10">
      <c r="B61" s="19">
        <v>8</v>
      </c>
      <c r="C61" s="18" t="str">
        <f>IFERROR(INDEX('WARBAND ROSTER'!$B$4:$B$135,MATCH("FA8",'WARBAND ROSTER'!$N$4:$N$135,0)),"")</f>
        <v/>
      </c>
      <c r="D61" s="19" t="str">
        <f>IFERROR(INDEX('WARBAND ROSTER'!$I$4:$I$135,MATCH("FA8",'WARBAND ROSTER'!$N$4:$N$135,0)),"")</f>
        <v/>
      </c>
    </row>
    <row r="62" spans="2:10">
      <c r="B62" s="15">
        <v>9</v>
      </c>
      <c r="C62" s="14" t="str">
        <f>IFERROR(INDEX('WARBAND ROSTER'!$B$4:$B$135,MATCH("FA9",'WARBAND ROSTER'!$N$4:$N$135,0)),"")</f>
        <v/>
      </c>
      <c r="D62" s="15" t="str">
        <f>IFERROR(INDEX('WARBAND ROSTER'!$I$4:$I$135,MATCH("FA9",'WARBAND ROSTER'!$N$4:$N$135,0)),"")</f>
        <v/>
      </c>
    </row>
    <row r="63" spans="2:10">
      <c r="B63" s="19">
        <v>10</v>
      </c>
      <c r="C63" s="18" t="str">
        <f>IFERROR(INDEX('WARBAND ROSTER'!$B$4:$B$135,MATCH("FA10",'WARBAND ROSTER'!$N$4:$N$135,0)),"")</f>
        <v/>
      </c>
      <c r="D63" s="19" t="str">
        <f>IFERROR(INDEX('WARBAND ROSTER'!$I$4:$I$135,MATCH("FA10",'WARBAND ROSTER'!$N$4:$N$135,0)),"")</f>
        <v/>
      </c>
    </row>
    <row r="64" spans="2:10">
      <c r="B64" s="15">
        <v>11</v>
      </c>
      <c r="C64" s="14" t="str">
        <f>IFERROR(INDEX('WARBAND ROSTER'!$B$4:$B$135,MATCH("FA11",'WARBAND ROSTER'!$N$4:$N$135,0)),"")</f>
        <v/>
      </c>
      <c r="D64" s="15" t="str">
        <f>IFERROR(INDEX('WARBAND ROSTER'!$I$4:$I$135,MATCH("FA11",'WARBAND ROSTER'!$N$4:$N$135,0)),"")</f>
        <v/>
      </c>
    </row>
    <row r="65" spans="2:4">
      <c r="B65" s="19">
        <v>12</v>
      </c>
      <c r="C65" s="18" t="str">
        <f>IFERROR(INDEX('WARBAND ROSTER'!$B$4:$B$135,MATCH("FA12",'WARBAND ROSTER'!$N$4:$N$135,0)),"")</f>
        <v/>
      </c>
      <c r="D65" s="19" t="str">
        <f>IFERROR(INDEX('WARBAND ROSTER'!$I$4:$I$135,MATCH("FA12",'WARBAND ROSTER'!$N$4:$N$135,0)),"")</f>
        <v/>
      </c>
    </row>
    <row r="66" spans="2:4">
      <c r="B66" s="15">
        <v>13</v>
      </c>
      <c r="C66" s="14" t="str">
        <f>IFERROR(INDEX('WARBAND ROSTER'!$B$4:$B$135,MATCH("FA13",'WARBAND ROSTER'!$N$4:$N$135,0)),"")</f>
        <v/>
      </c>
      <c r="D66" s="15" t="str">
        <f>IFERROR(INDEX('WARBAND ROSTER'!$I$4:$I$135,MATCH("FA13",'WARBAND ROSTER'!$N$4:$N$135,0)),"")</f>
        <v/>
      </c>
    </row>
    <row r="67" spans="2:4">
      <c r="B67" s="19">
        <v>14</v>
      </c>
      <c r="C67" s="18" t="str">
        <f>IFERROR(INDEX('WARBAND ROSTER'!$B$4:$B$135,MATCH("FA14",'WARBAND ROSTER'!$N$4:$N$135,0)),"")</f>
        <v/>
      </c>
      <c r="D67" s="19" t="str">
        <f>IFERROR(INDEX('WARBAND ROSTER'!$I$4:$I$135,MATCH("FA14",'WARBAND ROSTER'!$N$4:$N$135,0)),"")</f>
        <v/>
      </c>
    </row>
    <row r="68" spans="2:4">
      <c r="B68" s="15">
        <v>15</v>
      </c>
      <c r="C68" s="14" t="str">
        <f>IFERROR(INDEX('WARBAND ROSTER'!$B$4:$B$135,MATCH("FA15",'WARBAND ROSTER'!$N$4:$N$135,0)),"")</f>
        <v/>
      </c>
      <c r="D68" s="15" t="str">
        <f>IFERROR(INDEX('WARBAND ROSTER'!$I$4:$I$135,MATCH("FA15",'WARBAND ROSTER'!$N$4:$N$135,0)),"")</f>
        <v/>
      </c>
    </row>
    <row r="69" spans="2:4">
      <c r="B69" s="19">
        <v>16</v>
      </c>
      <c r="C69" s="18" t="str">
        <f>IFERROR(INDEX('WARBAND ROSTER'!$B$4:$B$135,MATCH("FA16",'WARBAND ROSTER'!$N$4:$N$135,0)),"")</f>
        <v/>
      </c>
      <c r="D69" s="19" t="str">
        <f>IFERROR(INDEX('WARBAND ROSTER'!$I$4:$I$135,MATCH("FA16",'WARBAND ROSTER'!$N$4:$N$135,0)),"")</f>
        <v/>
      </c>
    </row>
    <row r="70" spans="2:4">
      <c r="B70" s="15">
        <v>17</v>
      </c>
      <c r="C70" s="14" t="str">
        <f>IFERROR(INDEX('WARBAND ROSTER'!$B$4:$B$135,MATCH("FA17",'WARBAND ROSTER'!$N$4:$N$135,0)),"")</f>
        <v/>
      </c>
      <c r="D70" s="15" t="str">
        <f>IFERROR(INDEX('WARBAND ROSTER'!$I$4:$I$135,MATCH("FA17",'WARBAND ROSTER'!$N$4:$N$135,0)),"")</f>
        <v/>
      </c>
    </row>
    <row r="71" spans="2:4">
      <c r="B71" s="19">
        <v>18</v>
      </c>
      <c r="C71" s="18" t="str">
        <f>IFERROR(INDEX('WARBAND ROSTER'!$B$4:$B$135,MATCH("FA18",'WARBAND ROSTER'!$N$4:$N$135,0)),"")</f>
        <v/>
      </c>
      <c r="D71" s="19" t="str">
        <f>IFERROR(INDEX('WARBAND ROSTER'!$I$4:$I$135,MATCH("FA18",'WARBAND ROSTER'!$N$4:$N$135,0)),"")</f>
        <v/>
      </c>
    </row>
    <row r="72" spans="2:4">
      <c r="B72" s="15">
        <v>19</v>
      </c>
      <c r="C72" s="14" t="str">
        <f>IFERROR(INDEX('WARBAND ROSTER'!$B$4:$B$135,MATCH("FA19",'WARBAND ROSTER'!$N$4:$N$135,0)),"")</f>
        <v/>
      </c>
      <c r="D72" s="15" t="str">
        <f>IFERROR(INDEX('WARBAND ROSTER'!$I$4:$I$135,MATCH("FA19",'WARBAND ROSTER'!$N$4:$N$135,0)),"")</f>
        <v/>
      </c>
    </row>
    <row r="73" spans="2:4">
      <c r="B73" s="19">
        <v>20</v>
      </c>
      <c r="C73" s="18" t="str">
        <f>IFERROR(INDEX('WARBAND ROSTER'!$B$4:$B$135,MATCH("FA20",'WARBAND ROSTER'!$N$4:$N$135,0)),"")</f>
        <v/>
      </c>
      <c r="D73" s="19" t="str">
        <f>IFERROR(INDEX('WARBAND ROSTER'!$I$4:$I$135,MATCH("FA20",'WARBAND ROSTER'!$N$4:$N$135,0)),"")</f>
        <v/>
      </c>
    </row>
  </sheetData>
  <mergeCells count="14">
    <mergeCell ref="A1:J1"/>
    <mergeCell ref="A2:J2"/>
    <mergeCell ref="B4:C4"/>
    <mergeCell ref="D4:E4"/>
    <mergeCell ref="F4:G4"/>
    <mergeCell ref="H4:I4"/>
    <mergeCell ref="B35:J35"/>
    <mergeCell ref="C36:D36"/>
    <mergeCell ref="B52:J52"/>
    <mergeCell ref="B5:C5"/>
    <mergeCell ref="D5:E5"/>
    <mergeCell ref="F5:G5"/>
    <mergeCell ref="H5:I5"/>
    <mergeCell ref="B10:J10"/>
  </mergeCells>
  <conditionalFormatting sqref="C38:C49">
    <cfRule type="cellIs" dxfId="17" priority="3" operator="equal">
      <formula>"— open seat —"</formula>
    </cfRule>
  </conditionalFormatting>
  <conditionalFormatting sqref="J12:J32">
    <cfRule type="cellIs" dxfId="16" priority="2" operator="equal">
      <formula>"FULL"</formula>
    </cfRule>
  </conditionalFormatting>
  <dataValidations count="1">
    <dataValidation type="list" sqref="C36" xr:uid="{00000000-0002-0000-0700-000000000000}">
      <formula1>$B$12:$B$32</formula1>
      <formula2>0</formula2>
    </dataValidation>
  </dataValidations>
  <printOptions horizontalCentered="1"/>
  <pageMargins left="0.75" right="0.75" top="1" bottom="1" header="0.511811023622047" footer="0.511811023622047"/>
  <pageSetup fitToHeight="0" orientation="landscape" horizontalDpi="300" verticalDpi="300"/>
  <ignoredErrors>
    <ignoredError sqref="A1:J21 A23:J73 A22:I22" evalError="1" twoDigitTextYear="1" numberStoredAsText="1" formula="1" formulaRange="1" unlockedFormula="1" emptyCellReference="1" listDataValidation="1" calculatedColumn="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pageSetUpPr fitToPage="1"/>
  </sheetPr>
  <dimension ref="A1:J217"/>
  <sheetViews>
    <sheetView showGridLines="0" zoomScaleNormal="100" workbookViewId="0">
      <pane xSplit="2" ySplit="8" topLeftCell="C9" activePane="bottomRight" state="frozen"/>
      <selection pane="topRight" activeCell="C1" sqref="C1"/>
      <selection pane="bottomLeft" activeCell="A9" sqref="A9"/>
      <selection pane="bottomRight" sqref="A1:J1"/>
    </sheetView>
  </sheetViews>
  <sheetFormatPr defaultColWidth="8.7109375" defaultRowHeight="15"/>
  <cols>
    <col min="1" max="1" width="5" customWidth="1"/>
    <col min="2" max="2" width="26" customWidth="1"/>
    <col min="3" max="3" width="20" customWidth="1"/>
    <col min="4" max="4" width="26.42578125" customWidth="1"/>
    <col min="5" max="5" width="20" customWidth="1"/>
    <col min="6" max="6" width="16" customWidth="1"/>
    <col min="7" max="9" width="11" customWidth="1"/>
    <col min="10" max="10" width="24" customWidth="1"/>
  </cols>
  <sheetData>
    <row r="1" spans="1:10" ht="30" customHeight="1">
      <c r="A1" s="92" t="s">
        <v>282</v>
      </c>
      <c r="B1" s="92"/>
      <c r="C1" s="92"/>
      <c r="D1" s="92"/>
      <c r="E1" s="92"/>
      <c r="F1" s="92"/>
      <c r="G1" s="92"/>
      <c r="H1" s="92"/>
      <c r="I1" s="92"/>
      <c r="J1" s="92"/>
    </row>
    <row r="2" spans="1:10" ht="15.75" customHeight="1">
      <c r="A2" s="93" t="s">
        <v>283</v>
      </c>
      <c r="B2" s="93"/>
      <c r="C2" s="93"/>
      <c r="D2" s="93"/>
      <c r="E2" s="93"/>
      <c r="F2" s="93"/>
      <c r="G2" s="93"/>
      <c r="H2" s="93"/>
      <c r="I2" s="93"/>
      <c r="J2" s="93"/>
    </row>
    <row r="4" spans="1:10">
      <c r="A4" s="98" t="s">
        <v>284</v>
      </c>
      <c r="B4" s="98"/>
      <c r="C4" s="98" t="s">
        <v>285</v>
      </c>
      <c r="D4" s="98"/>
      <c r="E4" s="98" t="s">
        <v>286</v>
      </c>
      <c r="F4" s="98"/>
      <c r="G4" s="98" t="s">
        <v>287</v>
      </c>
      <c r="H4" s="98"/>
      <c r="I4" s="98" t="s">
        <v>288</v>
      </c>
      <c r="J4" s="98"/>
    </row>
    <row r="5" spans="1:10" ht="24" customHeight="1">
      <c r="A5" s="95">
        <f>COUNTIF($B$9:$B$212,"?*")</f>
        <v>169</v>
      </c>
      <c r="B5" s="95"/>
      <c r="C5" s="95">
        <f>COUNTIF($E$9:$E$212,"APPROVED")</f>
        <v>93</v>
      </c>
      <c r="D5" s="95"/>
      <c r="E5" s="95">
        <f>COUNTIF($E$9:$E$212,"STAYING")</f>
        <v>51</v>
      </c>
      <c r="F5" s="95"/>
      <c r="G5" s="95">
        <f>COUNTIF($E$9:$E$212,"REQUESTED")</f>
        <v>18</v>
      </c>
      <c r="H5" s="95"/>
      <c r="I5" s="95">
        <f>COUNTIF($D$9:$D$212,"FUCT")</f>
        <v>85</v>
      </c>
      <c r="J5" s="95"/>
    </row>
    <row r="7" spans="1:10" ht="19.5" customHeight="1">
      <c r="A7" s="91" t="s">
        <v>289</v>
      </c>
      <c r="B7" s="91"/>
      <c r="C7" s="91"/>
      <c r="D7" s="91"/>
      <c r="E7" s="91"/>
      <c r="F7" s="91"/>
      <c r="G7" s="91"/>
      <c r="H7" s="91"/>
      <c r="I7" s="91"/>
      <c r="J7" s="91"/>
    </row>
    <row r="8" spans="1:10" ht="27.75" customHeight="1">
      <c r="A8" s="13" t="s">
        <v>127</v>
      </c>
      <c r="B8" s="13" t="s">
        <v>128</v>
      </c>
      <c r="C8" s="13" t="s">
        <v>290</v>
      </c>
      <c r="D8" s="13" t="s">
        <v>291</v>
      </c>
      <c r="E8" s="13" t="s">
        <v>262</v>
      </c>
      <c r="F8" s="13" t="s">
        <v>292</v>
      </c>
      <c r="G8" s="13" t="s">
        <v>188</v>
      </c>
      <c r="H8" s="13" t="s">
        <v>293</v>
      </c>
      <c r="I8" s="13" t="s">
        <v>129</v>
      </c>
      <c r="J8" s="13" t="s">
        <v>294</v>
      </c>
    </row>
    <row r="9" spans="1:10">
      <c r="A9" s="19">
        <f>IF($B9="","",COUNTIF($B$9:$B9,"?*"))</f>
        <v>1</v>
      </c>
      <c r="B9" s="63" t="s">
        <v>295</v>
      </c>
      <c r="C9" s="68" t="s">
        <v>296</v>
      </c>
      <c r="D9" s="69" t="s">
        <v>66</v>
      </c>
      <c r="E9" s="69" t="s">
        <v>285</v>
      </c>
      <c r="F9" s="19" t="str">
        <f>IF($B9="","",IFERROR(IF(INDEX(MASTER!$B$4:$B$1463,MATCH($B9,MASTER!$C$4:$C$1463,0))="","not matched",INDEX(MASTER!$B$4:$B$1463,MATCH($B9,MASTER!$C$4:$C$1463,0))),"not matched"))</f>
        <v>not matched</v>
      </c>
      <c r="G9" s="70"/>
      <c r="H9" s="71"/>
      <c r="I9" s="70">
        <v>7204</v>
      </c>
      <c r="J9" s="19" t="str">
        <f>IF($I9="","",INDEX(SETUP!$B$16:$B$22,MATCH($I9,SETUP!$A$16:$A$22,1)))</f>
        <v>VETERAN</v>
      </c>
    </row>
    <row r="10" spans="1:10">
      <c r="A10" s="15">
        <f>IF($B10="","",COUNTIF($B$9:$B10,"?*"))</f>
        <v>2</v>
      </c>
      <c r="B10" s="63" t="s">
        <v>297</v>
      </c>
      <c r="C10" s="68" t="s">
        <v>296</v>
      </c>
      <c r="D10" s="69" t="s">
        <v>66</v>
      </c>
      <c r="E10" s="69" t="s">
        <v>285</v>
      </c>
      <c r="F10" s="15" t="str">
        <f>IF($B10="","",IFERROR(IF(INDEX(MASTER!$B$4:$B$1463,MATCH($B10,MASTER!$C$4:$C$1463,0))="","not matched",INDEX(MASTER!$B$4:$B$1463,MATCH($B10,MASTER!$C$4:$C$1463,0))),"not matched"))</f>
        <v>not matched</v>
      </c>
      <c r="G10" s="70"/>
      <c r="H10" s="71"/>
      <c r="I10" s="70">
        <v>3565</v>
      </c>
      <c r="J10" s="15" t="str">
        <f>IF($I10="","",INDEX(SETUP!$B$16:$B$22,MATCH($I10,SETUP!$A$16:$A$22,1)))</f>
        <v>DEVELOPING</v>
      </c>
    </row>
    <row r="11" spans="1:10">
      <c r="A11" s="19">
        <f>IF($B11="","",COUNTIF($B$9:$B11,"?*"))</f>
        <v>3</v>
      </c>
      <c r="B11" s="63" t="s">
        <v>298</v>
      </c>
      <c r="C11" s="68" t="s">
        <v>299</v>
      </c>
      <c r="D11" s="69" t="s">
        <v>66</v>
      </c>
      <c r="E11" s="69" t="s">
        <v>285</v>
      </c>
      <c r="F11" s="19" t="str">
        <f>IF($B11="","",IFERROR(IF(INDEX(MASTER!$B$4:$B$1463,MATCH($B11,MASTER!$C$4:$C$1463,0))="","not matched",INDEX(MASTER!$B$4:$B$1463,MATCH($B11,MASTER!$C$4:$C$1463,0))),"not matched"))</f>
        <v>FUCT</v>
      </c>
      <c r="G11" s="70"/>
      <c r="H11" s="71"/>
      <c r="I11" s="70">
        <v>7300</v>
      </c>
      <c r="J11" s="19" t="str">
        <f>IF($I11="","",INDEX(SETUP!$B$16:$B$22,MATCH($I11,SETUP!$A$16:$A$22,1)))</f>
        <v>VETERAN</v>
      </c>
    </row>
    <row r="12" spans="1:10">
      <c r="A12" s="15">
        <f>IF($B12="","",COUNTIF($B$9:$B12,"?*"))</f>
        <v>4</v>
      </c>
      <c r="B12" s="63" t="s">
        <v>300</v>
      </c>
      <c r="C12" s="68" t="s">
        <v>299</v>
      </c>
      <c r="D12" s="69" t="s">
        <v>66</v>
      </c>
      <c r="E12" s="69" t="s">
        <v>285</v>
      </c>
      <c r="F12" s="15" t="str">
        <f>IF($B12="","",IFERROR(IF(INDEX(MASTER!$B$4:$B$1463,MATCH($B12,MASTER!$C$4:$C$1463,0))="","not matched",INDEX(MASTER!$B$4:$B$1463,MATCH($B12,MASTER!$C$4:$C$1463,0))),"not matched"))</f>
        <v>FUCT</v>
      </c>
      <c r="G12" s="70">
        <v>58551</v>
      </c>
      <c r="H12" s="71">
        <v>5.6</v>
      </c>
      <c r="I12" s="70">
        <v>7436</v>
      </c>
      <c r="J12" s="15" t="str">
        <f>IF($I12="","",INDEX(SETUP!$B$16:$B$22,MATCH($I12,SETUP!$A$16:$A$22,1)))</f>
        <v>VETERAN</v>
      </c>
    </row>
    <row r="13" spans="1:10">
      <c r="A13" s="19">
        <f>IF($B13="","",COUNTIF($B$9:$B13,"?*"))</f>
        <v>5</v>
      </c>
      <c r="B13" s="63" t="s">
        <v>301</v>
      </c>
      <c r="C13" s="68" t="s">
        <v>296</v>
      </c>
      <c r="D13" s="69" t="s">
        <v>66</v>
      </c>
      <c r="E13" s="69" t="s">
        <v>285</v>
      </c>
      <c r="F13" s="19" t="str">
        <f>IF($B13="","",IFERROR(IF(INDEX(MASTER!$B$4:$B$1463,MATCH($B13,MASTER!$C$4:$C$1463,0))="","not matched",INDEX(MASTER!$B$4:$B$1463,MATCH($B13,MASTER!$C$4:$C$1463,0))),"not matched"))</f>
        <v>not matched</v>
      </c>
      <c r="G13" s="70"/>
      <c r="H13" s="71"/>
      <c r="I13" s="70">
        <v>4292</v>
      </c>
      <c r="J13" s="19" t="str">
        <f>IF($I13="","",INDEX(SETUP!$B$16:$B$22,MATCH($I13,SETUP!$A$16:$A$22,1)))</f>
        <v>CORE</v>
      </c>
    </row>
    <row r="14" spans="1:10">
      <c r="A14" s="15">
        <f>IF($B14="","",COUNTIF($B$9:$B14,"?*"))</f>
        <v>6</v>
      </c>
      <c r="B14" s="63" t="s">
        <v>302</v>
      </c>
      <c r="C14" s="68" t="s">
        <v>296</v>
      </c>
      <c r="D14" s="69" t="s">
        <v>66</v>
      </c>
      <c r="E14" s="69"/>
      <c r="F14" s="15" t="str">
        <f>IF($B14="","",IFERROR(IF(INDEX(MASTER!$B$4:$B$1463,MATCH($B14,MASTER!$C$4:$C$1463,0))="","not matched",INDEX(MASTER!$B$4:$B$1463,MATCH($B14,MASTER!$C$4:$C$1463,0))),"not matched"))</f>
        <v>not matched</v>
      </c>
      <c r="G14" s="70"/>
      <c r="H14" s="71"/>
      <c r="I14" s="70">
        <v>8000</v>
      </c>
      <c r="J14" s="15" t="str">
        <f>IF($I14="","",INDEX(SETUP!$B$16:$B$22,MATCH($I14,SETUP!$A$16:$A$22,1)))</f>
        <v>ELITE</v>
      </c>
    </row>
    <row r="15" spans="1:10">
      <c r="A15" s="19">
        <f>IF($B15="","",COUNTIF($B$9:$B15,"?*"))</f>
        <v>7</v>
      </c>
      <c r="B15" s="63" t="s">
        <v>303</v>
      </c>
      <c r="C15" s="68" t="s">
        <v>296</v>
      </c>
      <c r="D15" s="69" t="s">
        <v>66</v>
      </c>
      <c r="E15" s="69" t="s">
        <v>285</v>
      </c>
      <c r="F15" s="19" t="str">
        <f>IF($B15="","",IFERROR(IF(INDEX(MASTER!$B$4:$B$1463,MATCH($B15,MASTER!$C$4:$C$1463,0))="","not matched",INDEX(MASTER!$B$4:$B$1463,MATCH($B15,MASTER!$C$4:$C$1463,0))),"not matched"))</f>
        <v>not matched</v>
      </c>
      <c r="G15" s="70"/>
      <c r="H15" s="71"/>
      <c r="I15" s="70">
        <v>3564</v>
      </c>
      <c r="J15" s="19" t="str">
        <f>IF($I15="","",INDEX(SETUP!$B$16:$B$22,MATCH($I15,SETUP!$A$16:$A$22,1)))</f>
        <v>DEVELOPING</v>
      </c>
    </row>
    <row r="16" spans="1:10">
      <c r="A16" s="15">
        <f>IF($B16="","",COUNTIF($B$9:$B16,"?*"))</f>
        <v>8</v>
      </c>
      <c r="B16" s="63" t="s">
        <v>304</v>
      </c>
      <c r="C16" s="68" t="s">
        <v>296</v>
      </c>
      <c r="D16" s="69" t="s">
        <v>66</v>
      </c>
      <c r="E16" s="69" t="s">
        <v>285</v>
      </c>
      <c r="F16" s="15" t="str">
        <f>IF($B16="","",IFERROR(IF(INDEX(MASTER!$B$4:$B$1463,MATCH($B16,MASTER!$C$4:$C$1463,0))="","not matched",INDEX(MASTER!$B$4:$B$1463,MATCH($B16,MASTER!$C$4:$C$1463,0))),"not matched"))</f>
        <v>not matched</v>
      </c>
      <c r="G16" s="70">
        <v>57990</v>
      </c>
      <c r="H16" s="71">
        <v>3.64</v>
      </c>
      <c r="I16" s="70">
        <v>3724</v>
      </c>
      <c r="J16" s="15" t="str">
        <f>IF($I16="","",INDEX(SETUP!$B$16:$B$22,MATCH($I16,SETUP!$A$16:$A$22,1)))</f>
        <v>DEVELOPING</v>
      </c>
    </row>
    <row r="17" spans="1:10">
      <c r="A17" s="19">
        <f>IF($B17="","",COUNTIF($B$9:$B17,"?*"))</f>
        <v>9</v>
      </c>
      <c r="B17" s="63" t="s">
        <v>305</v>
      </c>
      <c r="C17" s="68" t="s">
        <v>296</v>
      </c>
      <c r="D17" s="69" t="s">
        <v>66</v>
      </c>
      <c r="E17" s="69" t="s">
        <v>285</v>
      </c>
      <c r="F17" s="19" t="str">
        <f>IF($B17="","",IFERROR(IF(INDEX(MASTER!$B$4:$B$1463,MATCH($B17,MASTER!$C$4:$C$1463,0))="","not matched",INDEX(MASTER!$B$4:$B$1463,MATCH($B17,MASTER!$C$4:$C$1463,0))),"not matched"))</f>
        <v>not matched</v>
      </c>
      <c r="G17" s="70"/>
      <c r="H17" s="71"/>
      <c r="I17" s="70">
        <v>5252</v>
      </c>
      <c r="J17" s="19" t="str">
        <f>IF($I17="","",INDEX(SETUP!$B$16:$B$22,MATCH($I17,SETUP!$A$16:$A$22,1)))</f>
        <v>CORE</v>
      </c>
    </row>
    <row r="18" spans="1:10">
      <c r="A18" s="15">
        <f>IF($B18="","",COUNTIF($B$9:$B18,"?*"))</f>
        <v>10</v>
      </c>
      <c r="B18" s="63" t="s">
        <v>306</v>
      </c>
      <c r="C18" s="68" t="s">
        <v>299</v>
      </c>
      <c r="D18" s="69" t="s">
        <v>66</v>
      </c>
      <c r="E18" s="69" t="s">
        <v>285</v>
      </c>
      <c r="F18" s="15" t="str">
        <f>IF($B18="","",IFERROR(IF(INDEX(MASTER!$B$4:$B$1463,MATCH($B18,MASTER!$C$4:$C$1463,0))="","not matched",INDEX(MASTER!$B$4:$B$1463,MATCH($B18,MASTER!$C$4:$C$1463,0))),"not matched"))</f>
        <v>FUCT</v>
      </c>
      <c r="G18" s="70">
        <v>58044</v>
      </c>
      <c r="H18" s="71">
        <v>4.58</v>
      </c>
      <c r="I18" s="70">
        <v>5672</v>
      </c>
      <c r="J18" s="15" t="str">
        <f>IF($I18="","",INDEX(SETUP!$B$16:$B$22,MATCH($I18,SETUP!$A$16:$A$22,1)))</f>
        <v>CORE</v>
      </c>
    </row>
    <row r="19" spans="1:10">
      <c r="A19" s="19">
        <f>IF($B19="","",COUNTIF($B$9:$B19,"?*"))</f>
        <v>11</v>
      </c>
      <c r="B19" s="63" t="s">
        <v>307</v>
      </c>
      <c r="C19" s="68" t="s">
        <v>296</v>
      </c>
      <c r="D19" s="69" t="s">
        <v>66</v>
      </c>
      <c r="E19" s="69" t="s">
        <v>285</v>
      </c>
      <c r="F19" s="19" t="str">
        <f>IF($B19="","",IFERROR(IF(INDEX(MASTER!$B$4:$B$1463,MATCH($B19,MASTER!$C$4:$C$1463,0))="","not matched",INDEX(MASTER!$B$4:$B$1463,MATCH($B19,MASTER!$C$4:$C$1463,0))),"not matched"))</f>
        <v>not matched</v>
      </c>
      <c r="G19" s="70"/>
      <c r="H19" s="71"/>
      <c r="I19" s="70">
        <v>5234</v>
      </c>
      <c r="J19" s="19" t="str">
        <f>IF($I19="","",INDEX(SETUP!$B$16:$B$22,MATCH($I19,SETUP!$A$16:$A$22,1)))</f>
        <v>CORE</v>
      </c>
    </row>
    <row r="20" spans="1:10">
      <c r="A20" s="15">
        <f>IF($B20="","",COUNTIF($B$9:$B20,"?*"))</f>
        <v>12</v>
      </c>
      <c r="B20" s="63" t="s">
        <v>308</v>
      </c>
      <c r="C20" s="68" t="s">
        <v>296</v>
      </c>
      <c r="D20" s="69" t="s">
        <v>66</v>
      </c>
      <c r="E20" s="69" t="s">
        <v>285</v>
      </c>
      <c r="F20" s="15" t="str">
        <f>IF($B20="","",IFERROR(IF(INDEX(MASTER!$B$4:$B$1463,MATCH($B20,MASTER!$C$4:$C$1463,0))="","not matched",INDEX(MASTER!$B$4:$B$1463,MATCH($B20,MASTER!$C$4:$C$1463,0))),"not matched"))</f>
        <v>not matched</v>
      </c>
      <c r="G20" s="70"/>
      <c r="H20" s="71"/>
      <c r="I20" s="70">
        <v>6048</v>
      </c>
      <c r="J20" s="15" t="str">
        <f>IF($I20="","",INDEX(SETUP!$B$16:$B$22,MATCH($I20,SETUP!$A$16:$A$22,1)))</f>
        <v>VETERAN</v>
      </c>
    </row>
    <row r="21" spans="1:10">
      <c r="A21" s="19">
        <f>IF($B21="","",COUNTIF($B$9:$B21,"?*"))</f>
        <v>13</v>
      </c>
      <c r="B21" s="63" t="s">
        <v>309</v>
      </c>
      <c r="C21" s="68" t="s">
        <v>296</v>
      </c>
      <c r="D21" s="69" t="s">
        <v>66</v>
      </c>
      <c r="E21" s="69"/>
      <c r="F21" s="19" t="str">
        <f>IF($B21="","",IFERROR(IF(INDEX(MASTER!$B$4:$B$1463,MATCH($B21,MASTER!$C$4:$C$1463,0))="","not matched",INDEX(MASTER!$B$4:$B$1463,MATCH($B21,MASTER!$C$4:$C$1463,0))),"not matched"))</f>
        <v>FUCT</v>
      </c>
      <c r="G21" s="70"/>
      <c r="H21" s="71"/>
      <c r="I21" s="70">
        <v>5700</v>
      </c>
      <c r="J21" s="19" t="str">
        <f>IF($I21="","",INDEX(SETUP!$B$16:$B$22,MATCH($I21,SETUP!$A$16:$A$22,1)))</f>
        <v>CORE</v>
      </c>
    </row>
    <row r="22" spans="1:10">
      <c r="A22" s="15">
        <f>IF($B22="","",COUNTIF($B$9:$B22,"?*"))</f>
        <v>14</v>
      </c>
      <c r="B22" s="63" t="s">
        <v>310</v>
      </c>
      <c r="C22" s="68" t="s">
        <v>299</v>
      </c>
      <c r="D22" s="69" t="s">
        <v>66</v>
      </c>
      <c r="E22" s="69" t="s">
        <v>285</v>
      </c>
      <c r="F22" s="15" t="str">
        <f>IF($B22="","",IFERROR(IF(INDEX(MASTER!$B$4:$B$1463,MATCH($B22,MASTER!$C$4:$C$1463,0))="","not matched",INDEX(MASTER!$B$4:$B$1463,MATCH($B22,MASTER!$C$4:$C$1463,0))),"not matched"))</f>
        <v>FUCT</v>
      </c>
      <c r="G22" s="70">
        <v>59863</v>
      </c>
      <c r="H22" s="71">
        <v>3.5</v>
      </c>
      <c r="I22" s="70">
        <v>3833</v>
      </c>
      <c r="J22" s="15" t="str">
        <f>IF($I22="","",INDEX(SETUP!$B$16:$B$22,MATCH($I22,SETUP!$A$16:$A$22,1)))</f>
        <v>DEVELOPING</v>
      </c>
    </row>
    <row r="23" spans="1:10">
      <c r="A23" s="19">
        <f>IF($B23="","",COUNTIF($B$9:$B23,"?*"))</f>
        <v>15</v>
      </c>
      <c r="B23" s="63" t="s">
        <v>311</v>
      </c>
      <c r="C23" s="68" t="s">
        <v>296</v>
      </c>
      <c r="D23" s="69" t="s">
        <v>66</v>
      </c>
      <c r="E23" s="69" t="s">
        <v>285</v>
      </c>
      <c r="F23" s="19" t="str">
        <f>IF($B23="","",IFERROR(IF(INDEX(MASTER!$B$4:$B$1463,MATCH($B23,MASTER!$C$4:$C$1463,0))="","not matched",INDEX(MASTER!$B$4:$B$1463,MATCH($B23,MASTER!$C$4:$C$1463,0))),"not matched"))</f>
        <v>not matched</v>
      </c>
      <c r="G23" s="70"/>
      <c r="H23" s="71"/>
      <c r="I23" s="70">
        <v>4478</v>
      </c>
      <c r="J23" s="19" t="str">
        <f>IF($I23="","",INDEX(SETUP!$B$16:$B$22,MATCH($I23,SETUP!$A$16:$A$22,1)))</f>
        <v>CORE</v>
      </c>
    </row>
    <row r="24" spans="1:10">
      <c r="A24" s="15">
        <f>IF($B24="","",COUNTIF($B$9:$B24,"?*"))</f>
        <v>16</v>
      </c>
      <c r="B24" s="63" t="s">
        <v>312</v>
      </c>
      <c r="C24" s="68" t="s">
        <v>313</v>
      </c>
      <c r="D24" s="69" t="s">
        <v>66</v>
      </c>
      <c r="E24" s="69" t="s">
        <v>285</v>
      </c>
      <c r="F24" s="15" t="str">
        <f>IF($B24="","",IFERROR(IF(INDEX(MASTER!$B$4:$B$1463,MATCH($B24,MASTER!$C$4:$C$1463,0))="","not matched",INDEX(MASTER!$B$4:$B$1463,MATCH($B24,MASTER!$C$4:$C$1463,0))),"not matched"))</f>
        <v>not matched</v>
      </c>
      <c r="G24" s="70"/>
      <c r="H24" s="71">
        <v>3.98</v>
      </c>
      <c r="I24" s="70">
        <v>4300</v>
      </c>
      <c r="J24" s="15" t="str">
        <f>IF($I24="","",INDEX(SETUP!$B$16:$B$22,MATCH($I24,SETUP!$A$16:$A$22,1)))</f>
        <v>CORE</v>
      </c>
    </row>
    <row r="25" spans="1:10">
      <c r="A25" s="19">
        <f>IF($B25="","",COUNTIF($B$9:$B25,"?*"))</f>
        <v>17</v>
      </c>
      <c r="B25" s="63" t="s">
        <v>314</v>
      </c>
      <c r="C25" s="68" t="s">
        <v>296</v>
      </c>
      <c r="D25" s="69" t="s">
        <v>66</v>
      </c>
      <c r="E25" s="69" t="s">
        <v>285</v>
      </c>
      <c r="F25" s="19" t="str">
        <f>IF($B25="","",IFERROR(IF(INDEX(MASTER!$B$4:$B$1463,MATCH($B25,MASTER!$C$4:$C$1463,0))="","not matched",INDEX(MASTER!$B$4:$B$1463,MATCH($B25,MASTER!$C$4:$C$1463,0))),"not matched"))</f>
        <v>not matched</v>
      </c>
      <c r="G25" s="70"/>
      <c r="H25" s="71"/>
      <c r="I25" s="70">
        <v>3244</v>
      </c>
      <c r="J25" s="19" t="str">
        <f>IF($I25="","",INDEX(SETUP!$B$16:$B$22,MATCH($I25,SETUP!$A$16:$A$22,1)))</f>
        <v>DEVELOPING</v>
      </c>
    </row>
    <row r="26" spans="1:10">
      <c r="A26" s="15">
        <f>IF($B26="","",COUNTIF($B$9:$B26,"?*"))</f>
        <v>18</v>
      </c>
      <c r="B26" s="63" t="s">
        <v>315</v>
      </c>
      <c r="C26" s="68" t="s">
        <v>313</v>
      </c>
      <c r="D26" s="69" t="s">
        <v>66</v>
      </c>
      <c r="E26" s="69" t="s">
        <v>285</v>
      </c>
      <c r="F26" s="15" t="str">
        <f>IF($B26="","",IFERROR(IF(INDEX(MASTER!$B$4:$B$1463,MATCH($B26,MASTER!$C$4:$C$1463,0))="","not matched",INDEX(MASTER!$B$4:$B$1463,MATCH($B26,MASTER!$C$4:$C$1463,0))),"not matched"))</f>
        <v>FUCT</v>
      </c>
      <c r="G26" s="70"/>
      <c r="H26" s="71"/>
      <c r="I26" s="70">
        <v>3000</v>
      </c>
      <c r="J26" s="15" t="str">
        <f>IF($I26="","",INDEX(SETUP!$B$16:$B$22,MATCH($I26,SETUP!$A$16:$A$22,1)))</f>
        <v>DEVELOPING</v>
      </c>
    </row>
    <row r="27" spans="1:10">
      <c r="A27" s="19">
        <f>IF($B27="","",COUNTIF($B$9:$B27,"?*"))</f>
        <v>19</v>
      </c>
      <c r="B27" s="63" t="s">
        <v>316</v>
      </c>
      <c r="C27" s="68" t="s">
        <v>299</v>
      </c>
      <c r="D27" s="69" t="s">
        <v>66</v>
      </c>
      <c r="E27" s="69" t="s">
        <v>285</v>
      </c>
      <c r="F27" s="19" t="str">
        <f>IF($B27="","",IFERROR(IF(INDEX(MASTER!$B$4:$B$1463,MATCH($B27,MASTER!$C$4:$C$1463,0))="","not matched",INDEX(MASTER!$B$4:$B$1463,MATCH($B27,MASTER!$C$4:$C$1463,0))),"not matched"))</f>
        <v>FUCT</v>
      </c>
      <c r="G27" s="70">
        <v>58640</v>
      </c>
      <c r="H27" s="71">
        <v>4.49</v>
      </c>
      <c r="I27" s="70">
        <v>5505</v>
      </c>
      <c r="J27" s="19" t="str">
        <f>IF($I27="","",INDEX(SETUP!$B$16:$B$22,MATCH($I27,SETUP!$A$16:$A$22,1)))</f>
        <v>CORE</v>
      </c>
    </row>
    <row r="28" spans="1:10">
      <c r="A28" s="15">
        <f>IF($B28="","",COUNTIF($B$9:$B28,"?*"))</f>
        <v>20</v>
      </c>
      <c r="B28" s="63" t="s">
        <v>317</v>
      </c>
      <c r="C28" s="68" t="s">
        <v>299</v>
      </c>
      <c r="D28" s="69" t="s">
        <v>66</v>
      </c>
      <c r="E28" s="69" t="s">
        <v>285</v>
      </c>
      <c r="F28" s="15" t="str">
        <f>IF($B28="","",IFERROR(IF(INDEX(MASTER!$B$4:$B$1463,MATCH($B28,MASTER!$C$4:$C$1463,0))="","not matched",INDEX(MASTER!$B$4:$B$1463,MATCH($B28,MASTER!$C$4:$C$1463,0))),"not matched"))</f>
        <v>not matched</v>
      </c>
      <c r="G28" s="70"/>
      <c r="H28" s="71"/>
      <c r="I28" s="70">
        <v>2725</v>
      </c>
      <c r="J28" s="15" t="str">
        <f>IF($I28="","",INDEX(SETUP!$B$16:$B$22,MATCH($I28,SETUP!$A$16:$A$22,1)))</f>
        <v>DEVELOPING</v>
      </c>
    </row>
    <row r="29" spans="1:10">
      <c r="A29" s="19">
        <f>IF($B29="","",COUNTIF($B$9:$B29,"?*"))</f>
        <v>21</v>
      </c>
      <c r="B29" s="63" t="s">
        <v>318</v>
      </c>
      <c r="C29" s="68" t="s">
        <v>299</v>
      </c>
      <c r="D29" s="69" t="s">
        <v>66</v>
      </c>
      <c r="E29" s="69" t="s">
        <v>285</v>
      </c>
      <c r="F29" s="19" t="str">
        <f>IF($B29="","",IFERROR(IF(INDEX(MASTER!$B$4:$B$1463,MATCH($B29,MASTER!$C$4:$C$1463,0))="","not matched",INDEX(MASTER!$B$4:$B$1463,MATCH($B29,MASTER!$C$4:$C$1463,0))),"not matched"))</f>
        <v>not matched</v>
      </c>
      <c r="G29" s="70">
        <v>60074</v>
      </c>
      <c r="H29" s="71">
        <v>3.64</v>
      </c>
      <c r="I29" s="70">
        <v>4915</v>
      </c>
      <c r="J29" s="19" t="str">
        <f>IF($I29="","",INDEX(SETUP!$B$16:$B$22,MATCH($I29,SETUP!$A$16:$A$22,1)))</f>
        <v>CORE</v>
      </c>
    </row>
    <row r="30" spans="1:10">
      <c r="A30" s="15">
        <f>IF($B30="","",COUNTIF($B$9:$B30,"?*"))</f>
        <v>22</v>
      </c>
      <c r="B30" s="63" t="s">
        <v>319</v>
      </c>
      <c r="C30" s="68" t="s">
        <v>313</v>
      </c>
      <c r="D30" s="69" t="s">
        <v>66</v>
      </c>
      <c r="E30" s="69" t="s">
        <v>285</v>
      </c>
      <c r="F30" s="15" t="str">
        <f>IF($B30="","",IFERROR(IF(INDEX(MASTER!$B$4:$B$1463,MATCH($B30,MASTER!$C$4:$C$1463,0))="","not matched",INDEX(MASTER!$B$4:$B$1463,MATCH($B30,MASTER!$C$4:$C$1463,0))),"not matched"))</f>
        <v>FUCT</v>
      </c>
      <c r="G30" s="70"/>
      <c r="H30" s="71"/>
      <c r="I30" s="70">
        <v>3549</v>
      </c>
      <c r="J30" s="15" t="str">
        <f>IF($I30="","",INDEX(SETUP!$B$16:$B$22,MATCH($I30,SETUP!$A$16:$A$22,1)))</f>
        <v>DEVELOPING</v>
      </c>
    </row>
    <row r="31" spans="1:10">
      <c r="A31" s="19">
        <f>IF($B31="","",COUNTIF($B$9:$B31,"?*"))</f>
        <v>23</v>
      </c>
      <c r="B31" s="63" t="s">
        <v>320</v>
      </c>
      <c r="C31" s="68" t="s">
        <v>296</v>
      </c>
      <c r="D31" s="69" t="s">
        <v>66</v>
      </c>
      <c r="E31" s="69" t="s">
        <v>285</v>
      </c>
      <c r="F31" s="19" t="str">
        <f>IF($B31="","",IFERROR(IF(INDEX(MASTER!$B$4:$B$1463,MATCH($B31,MASTER!$C$4:$C$1463,0))="","not matched",INDEX(MASTER!$B$4:$B$1463,MATCH($B31,MASTER!$C$4:$C$1463,0))),"not matched"))</f>
        <v>not matched</v>
      </c>
      <c r="G31" s="70"/>
      <c r="H31" s="71"/>
      <c r="I31" s="70">
        <v>2532</v>
      </c>
      <c r="J31" s="19" t="str">
        <f>IF($I31="","",INDEX(SETUP!$B$16:$B$22,MATCH($I31,SETUP!$A$16:$A$22,1)))</f>
        <v>DEVELOPING</v>
      </c>
    </row>
    <row r="32" spans="1:10">
      <c r="A32" s="15">
        <f>IF($B32="","",COUNTIF($B$9:$B32,"?*"))</f>
        <v>24</v>
      </c>
      <c r="B32" s="63" t="s">
        <v>321</v>
      </c>
      <c r="C32" s="68" t="s">
        <v>299</v>
      </c>
      <c r="D32" s="69" t="s">
        <v>66</v>
      </c>
      <c r="E32" s="69" t="s">
        <v>285</v>
      </c>
      <c r="F32" s="15" t="str">
        <f>IF($B32="","",IFERROR(IF(INDEX(MASTER!$B$4:$B$1463,MATCH($B32,MASTER!$C$4:$C$1463,0))="","not matched",INDEX(MASTER!$B$4:$B$1463,MATCH($B32,MASTER!$C$4:$C$1463,0))),"not matched"))</f>
        <v>FUCT</v>
      </c>
      <c r="G32" s="70">
        <v>58231</v>
      </c>
      <c r="H32" s="71">
        <v>4.41</v>
      </c>
      <c r="I32" s="70">
        <v>4403</v>
      </c>
      <c r="J32" s="15" t="str">
        <f>IF($I32="","",INDEX(SETUP!$B$16:$B$22,MATCH($I32,SETUP!$A$16:$A$22,1)))</f>
        <v>CORE</v>
      </c>
    </row>
    <row r="33" spans="1:10">
      <c r="A33" s="19">
        <f>IF($B33="","",COUNTIF($B$9:$B33,"?*"))</f>
        <v>25</v>
      </c>
      <c r="B33" s="63" t="s">
        <v>322</v>
      </c>
      <c r="C33" s="68" t="s">
        <v>296</v>
      </c>
      <c r="D33" s="69" t="s">
        <v>66</v>
      </c>
      <c r="E33" s="69" t="s">
        <v>285</v>
      </c>
      <c r="F33" s="19" t="str">
        <f>IF($B33="","",IFERROR(IF(INDEX(MASTER!$B$4:$B$1463,MATCH($B33,MASTER!$C$4:$C$1463,0))="","not matched",INDEX(MASTER!$B$4:$B$1463,MATCH($B33,MASTER!$C$4:$C$1463,0))),"not matched"))</f>
        <v>not matched</v>
      </c>
      <c r="G33" s="70"/>
      <c r="H33" s="71"/>
      <c r="I33" s="70">
        <v>6025</v>
      </c>
      <c r="J33" s="19" t="str">
        <f>IF($I33="","",INDEX(SETUP!$B$16:$B$22,MATCH($I33,SETUP!$A$16:$A$22,1)))</f>
        <v>VETERAN</v>
      </c>
    </row>
    <row r="34" spans="1:10">
      <c r="A34" s="15">
        <f>IF($B34="","",COUNTIF($B$9:$B34,"?*"))</f>
        <v>26</v>
      </c>
      <c r="B34" s="63" t="s">
        <v>323</v>
      </c>
      <c r="C34" s="68" t="s">
        <v>296</v>
      </c>
      <c r="D34" s="69" t="s">
        <v>66</v>
      </c>
      <c r="E34" s="69"/>
      <c r="F34" s="15" t="str">
        <f>IF($B34="","",IFERROR(IF(INDEX(MASTER!$B$4:$B$1463,MATCH($B34,MASTER!$C$4:$C$1463,0))="","not matched",INDEX(MASTER!$B$4:$B$1463,MATCH($B34,MASTER!$C$4:$C$1463,0))),"not matched"))</f>
        <v>FUCT</v>
      </c>
      <c r="G34" s="70"/>
      <c r="H34" s="71"/>
      <c r="I34" s="70">
        <v>5100</v>
      </c>
      <c r="J34" s="15" t="str">
        <f>IF($I34="","",INDEX(SETUP!$B$16:$B$22,MATCH($I34,SETUP!$A$16:$A$22,1)))</f>
        <v>CORE</v>
      </c>
    </row>
    <row r="35" spans="1:10">
      <c r="A35" s="19">
        <f>IF($B35="","",COUNTIF($B$9:$B35,"?*"))</f>
        <v>27</v>
      </c>
      <c r="B35" s="63" t="s">
        <v>324</v>
      </c>
      <c r="C35" s="68" t="s">
        <v>299</v>
      </c>
      <c r="D35" s="69" t="s">
        <v>66</v>
      </c>
      <c r="E35" s="69" t="s">
        <v>285</v>
      </c>
      <c r="F35" s="19" t="str">
        <f>IF($B35="","",IFERROR(IF(INDEX(MASTER!$B$4:$B$1463,MATCH($B35,MASTER!$C$4:$C$1463,0))="","not matched",INDEX(MASTER!$B$4:$B$1463,MATCH($B35,MASTER!$C$4:$C$1463,0))),"not matched"))</f>
        <v>FUCT</v>
      </c>
      <c r="G35" s="70">
        <v>59848</v>
      </c>
      <c r="H35" s="71">
        <v>4.7699999999999996</v>
      </c>
      <c r="I35" s="70">
        <v>4000</v>
      </c>
      <c r="J35" s="19" t="str">
        <f>IF($I35="","",INDEX(SETUP!$B$16:$B$22,MATCH($I35,SETUP!$A$16:$A$22,1)))</f>
        <v>CORE</v>
      </c>
    </row>
    <row r="36" spans="1:10">
      <c r="A36" s="15">
        <f>IF($B36="","",COUNTIF($B$9:$B36,"?*"))</f>
        <v>28</v>
      </c>
      <c r="B36" s="63" t="s">
        <v>325</v>
      </c>
      <c r="C36" s="68" t="s">
        <v>299</v>
      </c>
      <c r="D36" s="69" t="s">
        <v>66</v>
      </c>
      <c r="E36" s="69" t="s">
        <v>285</v>
      </c>
      <c r="F36" s="15" t="str">
        <f>IF($B36="","",IFERROR(IF(INDEX(MASTER!$B$4:$B$1463,MATCH($B36,MASTER!$C$4:$C$1463,0))="","not matched",INDEX(MASTER!$B$4:$B$1463,MATCH($B36,MASTER!$C$4:$C$1463,0))),"not matched"))</f>
        <v>FUCT</v>
      </c>
      <c r="G36" s="70">
        <v>58895</v>
      </c>
      <c r="H36" s="71">
        <v>5.27</v>
      </c>
      <c r="I36" s="70">
        <v>8458</v>
      </c>
      <c r="J36" s="15" t="str">
        <f>IF($I36="","",INDEX(SETUP!$B$16:$B$22,MATCH($I36,SETUP!$A$16:$A$22,1)))</f>
        <v>ELITE</v>
      </c>
    </row>
    <row r="37" spans="1:10">
      <c r="A37" s="19">
        <f>IF($B37="","",COUNTIF($B$9:$B37,"?*"))</f>
        <v>29</v>
      </c>
      <c r="B37" s="63" t="s">
        <v>326</v>
      </c>
      <c r="C37" s="68" t="s">
        <v>299</v>
      </c>
      <c r="D37" s="69" t="s">
        <v>66</v>
      </c>
      <c r="E37" s="69" t="s">
        <v>285</v>
      </c>
      <c r="F37" s="19" t="str">
        <f>IF($B37="","",IFERROR(IF(INDEX(MASTER!$B$4:$B$1463,MATCH($B37,MASTER!$C$4:$C$1463,0))="","not matched",INDEX(MASTER!$B$4:$B$1463,MATCH($B37,MASTER!$C$4:$C$1463,0))),"not matched"))</f>
        <v>FUCT</v>
      </c>
      <c r="G37" s="70">
        <v>58144</v>
      </c>
      <c r="H37" s="71">
        <v>5.33</v>
      </c>
      <c r="I37" s="70">
        <v>4481</v>
      </c>
      <c r="J37" s="19" t="str">
        <f>IF($I37="","",INDEX(SETUP!$B$16:$B$22,MATCH($I37,SETUP!$A$16:$A$22,1)))</f>
        <v>CORE</v>
      </c>
    </row>
    <row r="38" spans="1:10">
      <c r="A38" s="15">
        <f>IF($B38="","",COUNTIF($B$9:$B38,"?*"))</f>
        <v>30</v>
      </c>
      <c r="B38" s="63" t="s">
        <v>327</v>
      </c>
      <c r="C38" s="68" t="s">
        <v>296</v>
      </c>
      <c r="D38" s="69" t="s">
        <v>66</v>
      </c>
      <c r="E38" s="69" t="s">
        <v>285</v>
      </c>
      <c r="F38" s="15" t="str">
        <f>IF($B38="","",IFERROR(IF(INDEX(MASTER!$B$4:$B$1463,MATCH($B38,MASTER!$C$4:$C$1463,0))="","not matched",INDEX(MASTER!$B$4:$B$1463,MATCH($B38,MASTER!$C$4:$C$1463,0))),"not matched"))</f>
        <v>not matched</v>
      </c>
      <c r="G38" s="70"/>
      <c r="H38" s="71"/>
      <c r="I38" s="70">
        <v>2548</v>
      </c>
      <c r="J38" s="15" t="str">
        <f>IF($I38="","",INDEX(SETUP!$B$16:$B$22,MATCH($I38,SETUP!$A$16:$A$22,1)))</f>
        <v>DEVELOPING</v>
      </c>
    </row>
    <row r="39" spans="1:10">
      <c r="A39" s="19">
        <f>IF($B39="","",COUNTIF($B$9:$B39,"?*"))</f>
        <v>31</v>
      </c>
      <c r="B39" s="63" t="s">
        <v>328</v>
      </c>
      <c r="C39" s="68" t="s">
        <v>296</v>
      </c>
      <c r="D39" s="69" t="s">
        <v>66</v>
      </c>
      <c r="E39" s="69" t="s">
        <v>285</v>
      </c>
      <c r="F39" s="19" t="str">
        <f>IF($B39="","",IFERROR(IF(INDEX(MASTER!$B$4:$B$1463,MATCH($B39,MASTER!$C$4:$C$1463,0))="","not matched",INDEX(MASTER!$B$4:$B$1463,MATCH($B39,MASTER!$C$4:$C$1463,0))),"not matched"))</f>
        <v>not matched</v>
      </c>
      <c r="G39" s="70"/>
      <c r="H39" s="71"/>
      <c r="I39" s="70">
        <v>3378</v>
      </c>
      <c r="J39" s="19" t="str">
        <f>IF($I39="","",INDEX(SETUP!$B$16:$B$22,MATCH($I39,SETUP!$A$16:$A$22,1)))</f>
        <v>DEVELOPING</v>
      </c>
    </row>
    <row r="40" spans="1:10">
      <c r="A40" s="15">
        <f>IF($B40="","",COUNTIF($B$9:$B40,"?*"))</f>
        <v>32</v>
      </c>
      <c r="B40" s="63" t="s">
        <v>329</v>
      </c>
      <c r="C40" s="68" t="s">
        <v>296</v>
      </c>
      <c r="D40" s="69" t="s">
        <v>66</v>
      </c>
      <c r="E40" s="69" t="s">
        <v>285</v>
      </c>
      <c r="F40" s="15" t="str">
        <f>IF($B40="","",IFERROR(IF(INDEX(MASTER!$B$4:$B$1463,MATCH($B40,MASTER!$C$4:$C$1463,0))="","not matched",INDEX(MASTER!$B$4:$B$1463,MATCH($B40,MASTER!$C$4:$C$1463,0))),"not matched"))</f>
        <v>FUCT</v>
      </c>
      <c r="G40" s="70"/>
      <c r="H40" s="71"/>
      <c r="I40" s="70">
        <v>8770</v>
      </c>
      <c r="J40" s="15" t="str">
        <f>IF($I40="","",INDEX(SETUP!$B$16:$B$22,MATCH($I40,SETUP!$A$16:$A$22,1)))</f>
        <v>ELITE</v>
      </c>
    </row>
    <row r="41" spans="1:10">
      <c r="A41" s="19">
        <f>IF($B41="","",COUNTIF($B$9:$B41,"?*"))</f>
        <v>33</v>
      </c>
      <c r="B41" s="63" t="s">
        <v>330</v>
      </c>
      <c r="C41" s="68" t="s">
        <v>296</v>
      </c>
      <c r="D41" s="69" t="s">
        <v>66</v>
      </c>
      <c r="E41" s="69" t="s">
        <v>285</v>
      </c>
      <c r="F41" s="19" t="str">
        <f>IF($B41="","",IFERROR(IF(INDEX(MASTER!$B$4:$B$1463,MATCH($B41,MASTER!$C$4:$C$1463,0))="","not matched",INDEX(MASTER!$B$4:$B$1463,MATCH($B41,MASTER!$C$4:$C$1463,0))),"not matched"))</f>
        <v>not matched</v>
      </c>
      <c r="G41" s="70"/>
      <c r="H41" s="71"/>
      <c r="I41" s="70">
        <v>3156</v>
      </c>
      <c r="J41" s="19" t="str">
        <f>IF($I41="","",INDEX(SETUP!$B$16:$B$22,MATCH($I41,SETUP!$A$16:$A$22,1)))</f>
        <v>DEVELOPING</v>
      </c>
    </row>
    <row r="42" spans="1:10">
      <c r="A42" s="15">
        <f>IF($B42="","",COUNTIF($B$9:$B42,"?*"))</f>
        <v>34</v>
      </c>
      <c r="B42" s="63" t="s">
        <v>331</v>
      </c>
      <c r="C42" s="68" t="s">
        <v>313</v>
      </c>
      <c r="D42" s="69" t="s">
        <v>66</v>
      </c>
      <c r="E42" s="69" t="s">
        <v>285</v>
      </c>
      <c r="F42" s="15" t="str">
        <f>IF($B42="","",IFERROR(IF(INDEX(MASTER!$B$4:$B$1463,MATCH($B42,MASTER!$C$4:$C$1463,0))="","not matched",INDEX(MASTER!$B$4:$B$1463,MATCH($B42,MASTER!$C$4:$C$1463,0))),"not matched"))</f>
        <v>not matched</v>
      </c>
      <c r="G42" s="70"/>
      <c r="H42" s="71"/>
      <c r="I42" s="70">
        <v>3315</v>
      </c>
      <c r="J42" s="15" t="str">
        <f>IF($I42="","",INDEX(SETUP!$B$16:$B$22,MATCH($I42,SETUP!$A$16:$A$22,1)))</f>
        <v>DEVELOPING</v>
      </c>
    </row>
    <row r="43" spans="1:10">
      <c r="A43" s="19">
        <f>IF($B43="","",COUNTIF($B$9:$B43,"?*"))</f>
        <v>35</v>
      </c>
      <c r="B43" s="63" t="s">
        <v>332</v>
      </c>
      <c r="C43" s="68" t="s">
        <v>296</v>
      </c>
      <c r="D43" s="69" t="s">
        <v>66</v>
      </c>
      <c r="E43" s="69" t="s">
        <v>285</v>
      </c>
      <c r="F43" s="19" t="str">
        <f>IF($B43="","",IFERROR(IF(INDEX(MASTER!$B$4:$B$1463,MATCH($B43,MASTER!$C$4:$C$1463,0))="","not matched",INDEX(MASTER!$B$4:$B$1463,MATCH($B43,MASTER!$C$4:$C$1463,0))),"not matched"))</f>
        <v>not matched</v>
      </c>
      <c r="G43" s="70"/>
      <c r="H43" s="71"/>
      <c r="I43" s="70">
        <v>4574</v>
      </c>
      <c r="J43" s="19" t="str">
        <f>IF($I43="","",INDEX(SETUP!$B$16:$B$22,MATCH($I43,SETUP!$A$16:$A$22,1)))</f>
        <v>CORE</v>
      </c>
    </row>
    <row r="44" spans="1:10">
      <c r="A44" s="15">
        <f>IF($B44="","",COUNTIF($B$9:$B44,"?*"))</f>
        <v>36</v>
      </c>
      <c r="B44" s="63" t="s">
        <v>333</v>
      </c>
      <c r="C44" s="68" t="s">
        <v>299</v>
      </c>
      <c r="D44" s="69" t="s">
        <v>66</v>
      </c>
      <c r="E44" s="69" t="s">
        <v>285</v>
      </c>
      <c r="F44" s="15" t="str">
        <f>IF($B44="","",IFERROR(IF(INDEX(MASTER!$B$4:$B$1463,MATCH($B44,MASTER!$C$4:$C$1463,0))="","not matched",INDEX(MASTER!$B$4:$B$1463,MATCH($B44,MASTER!$C$4:$C$1463,0))),"not matched"))</f>
        <v>FUCT</v>
      </c>
      <c r="G44" s="70">
        <v>58484</v>
      </c>
      <c r="H44" s="71">
        <v>3.5</v>
      </c>
      <c r="I44" s="70">
        <v>3070</v>
      </c>
      <c r="J44" s="15" t="str">
        <f>IF($I44="","",INDEX(SETUP!$B$16:$B$22,MATCH($I44,SETUP!$A$16:$A$22,1)))</f>
        <v>DEVELOPING</v>
      </c>
    </row>
    <row r="45" spans="1:10">
      <c r="A45" s="19">
        <f>IF($B45="","",COUNTIF($B$9:$B45,"?*"))</f>
        <v>37</v>
      </c>
      <c r="B45" s="63" t="s">
        <v>334</v>
      </c>
      <c r="C45" s="68" t="s">
        <v>296</v>
      </c>
      <c r="D45" s="69" t="s">
        <v>66</v>
      </c>
      <c r="E45" s="69" t="s">
        <v>285</v>
      </c>
      <c r="F45" s="19" t="str">
        <f>IF($B45="","",IFERROR(IF(INDEX(MASTER!$B$4:$B$1463,MATCH($B45,MASTER!$C$4:$C$1463,0))="","not matched",INDEX(MASTER!$B$4:$B$1463,MATCH($B45,MASTER!$C$4:$C$1463,0))),"not matched"))</f>
        <v>not matched</v>
      </c>
      <c r="G45" s="70"/>
      <c r="H45" s="71"/>
      <c r="I45" s="70">
        <v>10000</v>
      </c>
      <c r="J45" s="19" t="str">
        <f>IF($I45="","",INDEX(SETUP!$B$16:$B$22,MATCH($I45,SETUP!$A$16:$A$22,1)))</f>
        <v>APEX</v>
      </c>
    </row>
    <row r="46" spans="1:10">
      <c r="A46" s="15">
        <f>IF($B46="","",COUNTIF($B$9:$B46,"?*"))</f>
        <v>38</v>
      </c>
      <c r="B46" s="63" t="s">
        <v>335</v>
      </c>
      <c r="C46" s="68" t="s">
        <v>299</v>
      </c>
      <c r="D46" s="69" t="s">
        <v>66</v>
      </c>
      <c r="E46" s="69" t="s">
        <v>285</v>
      </c>
      <c r="F46" s="15" t="str">
        <f>IF($B46="","",IFERROR(IF(INDEX(MASTER!$B$4:$B$1463,MATCH($B46,MASTER!$C$4:$C$1463,0))="","not matched",INDEX(MASTER!$B$4:$B$1463,MATCH($B46,MASTER!$C$4:$C$1463,0))),"not matched"))</f>
        <v>FUCT</v>
      </c>
      <c r="G46" s="70">
        <v>57657</v>
      </c>
      <c r="H46" s="71">
        <v>3.58</v>
      </c>
      <c r="I46" s="70">
        <v>3003</v>
      </c>
      <c r="J46" s="15" t="str">
        <f>IF($I46="","",INDEX(SETUP!$B$16:$B$22,MATCH($I46,SETUP!$A$16:$A$22,1)))</f>
        <v>DEVELOPING</v>
      </c>
    </row>
    <row r="47" spans="1:10">
      <c r="A47" s="19">
        <f>IF($B47="","",COUNTIF($B$9:$B47,"?*"))</f>
        <v>39</v>
      </c>
      <c r="B47" s="63" t="s">
        <v>336</v>
      </c>
      <c r="C47" s="68" t="s">
        <v>299</v>
      </c>
      <c r="D47" s="69" t="s">
        <v>66</v>
      </c>
      <c r="E47" s="69" t="s">
        <v>285</v>
      </c>
      <c r="F47" s="19" t="str">
        <f>IF($B47="","",IFERROR(IF(INDEX(MASTER!$B$4:$B$1463,MATCH($B47,MASTER!$C$4:$C$1463,0))="","not matched",INDEX(MASTER!$B$4:$B$1463,MATCH($B47,MASTER!$C$4:$C$1463,0))),"not matched"))</f>
        <v>FUCT</v>
      </c>
      <c r="G47" s="70">
        <v>59783</v>
      </c>
      <c r="H47" s="71">
        <v>5.3</v>
      </c>
      <c r="I47" s="70">
        <v>4147</v>
      </c>
      <c r="J47" s="19" t="str">
        <f>IF($I47="","",INDEX(SETUP!$B$16:$B$22,MATCH($I47,SETUP!$A$16:$A$22,1)))</f>
        <v>CORE</v>
      </c>
    </row>
    <row r="48" spans="1:10">
      <c r="A48" s="15">
        <f>IF($B48="","",COUNTIF($B$9:$B48,"?*"))</f>
        <v>40</v>
      </c>
      <c r="B48" s="63" t="s">
        <v>337</v>
      </c>
      <c r="C48" s="68" t="s">
        <v>299</v>
      </c>
      <c r="D48" s="69" t="s">
        <v>66</v>
      </c>
      <c r="E48" s="69" t="s">
        <v>285</v>
      </c>
      <c r="F48" s="15" t="str">
        <f>IF($B48="","",IFERROR(IF(INDEX(MASTER!$B$4:$B$1463,MATCH($B48,MASTER!$C$4:$C$1463,0))="","not matched",INDEX(MASTER!$B$4:$B$1463,MATCH($B48,MASTER!$C$4:$C$1463,0))),"not matched"))</f>
        <v>FUCT</v>
      </c>
      <c r="G48" s="70">
        <v>57692</v>
      </c>
      <c r="H48" s="71">
        <v>4.24</v>
      </c>
      <c r="I48" s="70">
        <v>3948</v>
      </c>
      <c r="J48" s="15" t="str">
        <f>IF($I48="","",INDEX(SETUP!$B$16:$B$22,MATCH($I48,SETUP!$A$16:$A$22,1)))</f>
        <v>DEVELOPING</v>
      </c>
    </row>
    <row r="49" spans="1:10">
      <c r="A49" s="19">
        <f>IF($B49="","",COUNTIF($B$9:$B49,"?*"))</f>
        <v>41</v>
      </c>
      <c r="B49" s="63" t="s">
        <v>338</v>
      </c>
      <c r="C49" s="68" t="s">
        <v>296</v>
      </c>
      <c r="D49" s="69" t="s">
        <v>66</v>
      </c>
      <c r="E49" s="69" t="s">
        <v>285</v>
      </c>
      <c r="F49" s="19" t="str">
        <f>IF($B49="","",IFERROR(IF(INDEX(MASTER!$B$4:$B$1463,MATCH($B49,MASTER!$C$4:$C$1463,0))="","not matched",INDEX(MASTER!$B$4:$B$1463,MATCH($B49,MASTER!$C$4:$C$1463,0))),"not matched"))</f>
        <v>not matched</v>
      </c>
      <c r="G49" s="70"/>
      <c r="H49" s="71"/>
      <c r="I49" s="70">
        <v>5089</v>
      </c>
      <c r="J49" s="19" t="str">
        <f>IF($I49="","",INDEX(SETUP!$B$16:$B$22,MATCH($I49,SETUP!$A$16:$A$22,1)))</f>
        <v>CORE</v>
      </c>
    </row>
    <row r="50" spans="1:10">
      <c r="A50" s="15">
        <f>IF($B50="","",COUNTIF($B$9:$B50,"?*"))</f>
        <v>42</v>
      </c>
      <c r="B50" s="63" t="s">
        <v>339</v>
      </c>
      <c r="C50" s="68" t="s">
        <v>299</v>
      </c>
      <c r="D50" s="69" t="s">
        <v>66</v>
      </c>
      <c r="E50" s="69" t="s">
        <v>285</v>
      </c>
      <c r="F50" s="15" t="str">
        <f>IF($B50="","",IFERROR(IF(INDEX(MASTER!$B$4:$B$1463,MATCH($B50,MASTER!$C$4:$C$1463,0))="","not matched",INDEX(MASTER!$B$4:$B$1463,MATCH($B50,MASTER!$C$4:$C$1463,0))),"not matched"))</f>
        <v>FUCT</v>
      </c>
      <c r="G50" s="70">
        <v>57895</v>
      </c>
      <c r="H50" s="71">
        <v>2.85</v>
      </c>
      <c r="I50" s="70">
        <v>3186</v>
      </c>
      <c r="J50" s="15" t="str">
        <f>IF($I50="","",INDEX(SETUP!$B$16:$B$22,MATCH($I50,SETUP!$A$16:$A$22,1)))</f>
        <v>DEVELOPING</v>
      </c>
    </row>
    <row r="51" spans="1:10">
      <c r="A51" s="19">
        <f>IF($B51="","",COUNTIF($B$9:$B51,"?*"))</f>
        <v>43</v>
      </c>
      <c r="B51" s="63" t="s">
        <v>340</v>
      </c>
      <c r="C51" s="68" t="s">
        <v>313</v>
      </c>
      <c r="D51" s="69" t="s">
        <v>66</v>
      </c>
      <c r="E51" s="69" t="s">
        <v>285</v>
      </c>
      <c r="F51" s="19" t="str">
        <f>IF($B51="","",IFERROR(IF(INDEX(MASTER!$B$4:$B$1463,MATCH($B51,MASTER!$C$4:$C$1463,0))="","not matched",INDEX(MASTER!$B$4:$B$1463,MATCH($B51,MASTER!$C$4:$C$1463,0))),"not matched"))</f>
        <v>FUCT</v>
      </c>
      <c r="G51" s="70"/>
      <c r="H51" s="71"/>
      <c r="I51" s="70">
        <v>4430</v>
      </c>
      <c r="J51" s="19" t="str">
        <f>IF($I51="","",INDEX(SETUP!$B$16:$B$22,MATCH($I51,SETUP!$A$16:$A$22,1)))</f>
        <v>CORE</v>
      </c>
    </row>
    <row r="52" spans="1:10">
      <c r="A52" s="15">
        <f>IF($B52="","",COUNTIF($B$9:$B52,"?*"))</f>
        <v>44</v>
      </c>
      <c r="B52" s="63" t="s">
        <v>341</v>
      </c>
      <c r="C52" s="68" t="s">
        <v>296</v>
      </c>
      <c r="D52" s="69" t="s">
        <v>66</v>
      </c>
      <c r="E52" s="69" t="s">
        <v>285</v>
      </c>
      <c r="F52" s="15" t="str">
        <f>IF($B52="","",IFERROR(IF(INDEX(MASTER!$B$4:$B$1463,MATCH($B52,MASTER!$C$4:$C$1463,0))="","not matched",INDEX(MASTER!$B$4:$B$1463,MATCH($B52,MASTER!$C$4:$C$1463,0))),"not matched"))</f>
        <v>not matched</v>
      </c>
      <c r="G52" s="70"/>
      <c r="H52" s="71"/>
      <c r="I52" s="70">
        <v>4183</v>
      </c>
      <c r="J52" s="15" t="str">
        <f>IF($I52="","",INDEX(SETUP!$B$16:$B$22,MATCH($I52,SETUP!$A$16:$A$22,1)))</f>
        <v>CORE</v>
      </c>
    </row>
    <row r="53" spans="1:10">
      <c r="A53" s="19">
        <f>IF($B53="","",COUNTIF($B$9:$B53,"?*"))</f>
        <v>45</v>
      </c>
      <c r="B53" s="63" t="s">
        <v>342</v>
      </c>
      <c r="C53" s="68" t="s">
        <v>299</v>
      </c>
      <c r="D53" s="69" t="s">
        <v>66</v>
      </c>
      <c r="E53" s="69" t="s">
        <v>285</v>
      </c>
      <c r="F53" s="19" t="str">
        <f>IF($B53="","",IFERROR(IF(INDEX(MASTER!$B$4:$B$1463,MATCH($B53,MASTER!$C$4:$C$1463,0))="","not matched",INDEX(MASTER!$B$4:$B$1463,MATCH($B53,MASTER!$C$4:$C$1463,0))),"not matched"))</f>
        <v>FUCT</v>
      </c>
      <c r="G53" s="70">
        <v>57998</v>
      </c>
      <c r="H53" s="71">
        <v>4.34</v>
      </c>
      <c r="I53" s="70">
        <v>3594</v>
      </c>
      <c r="J53" s="19" t="str">
        <f>IF($I53="","",INDEX(SETUP!$B$16:$B$22,MATCH($I53,SETUP!$A$16:$A$22,1)))</f>
        <v>DEVELOPING</v>
      </c>
    </row>
    <row r="54" spans="1:10">
      <c r="A54" s="15">
        <f>IF($B54="","",COUNTIF($B$9:$B54,"?*"))</f>
        <v>46</v>
      </c>
      <c r="B54" s="63" t="s">
        <v>343</v>
      </c>
      <c r="C54" s="68" t="s">
        <v>296</v>
      </c>
      <c r="D54" s="69" t="s">
        <v>66</v>
      </c>
      <c r="E54" s="69" t="s">
        <v>285</v>
      </c>
      <c r="F54" s="15" t="str">
        <f>IF($B54="","",IFERROR(IF(INDEX(MASTER!$B$4:$B$1463,MATCH($B54,MASTER!$C$4:$C$1463,0))="","not matched",INDEX(MASTER!$B$4:$B$1463,MATCH($B54,MASTER!$C$4:$C$1463,0))),"not matched"))</f>
        <v>not matched</v>
      </c>
      <c r="G54" s="70"/>
      <c r="H54" s="71"/>
      <c r="I54" s="70">
        <v>3084</v>
      </c>
      <c r="J54" s="15" t="str">
        <f>IF($I54="","",INDEX(SETUP!$B$16:$B$22,MATCH($I54,SETUP!$A$16:$A$22,1)))</f>
        <v>DEVELOPING</v>
      </c>
    </row>
    <row r="55" spans="1:10">
      <c r="A55" s="19">
        <f>IF($B55="","",COUNTIF($B$9:$B55,"?*"))</f>
        <v>47</v>
      </c>
      <c r="B55" s="63" t="s">
        <v>344</v>
      </c>
      <c r="C55" s="68" t="s">
        <v>299</v>
      </c>
      <c r="D55" s="69" t="s">
        <v>66</v>
      </c>
      <c r="E55" s="69" t="s">
        <v>285</v>
      </c>
      <c r="F55" s="19" t="str">
        <f>IF($B55="","",IFERROR(IF(INDEX(MASTER!$B$4:$B$1463,MATCH($B55,MASTER!$C$4:$C$1463,0))="","not matched",INDEX(MASTER!$B$4:$B$1463,MATCH($B55,MASTER!$C$4:$C$1463,0))),"not matched"))</f>
        <v>FUCT</v>
      </c>
      <c r="G55" s="70">
        <v>57912</v>
      </c>
      <c r="H55" s="71">
        <v>3.69</v>
      </c>
      <c r="I55" s="70">
        <v>2636</v>
      </c>
      <c r="J55" s="19" t="str">
        <f>IF($I55="","",INDEX(SETUP!$B$16:$B$22,MATCH($I55,SETUP!$A$16:$A$22,1)))</f>
        <v>DEVELOPING</v>
      </c>
    </row>
    <row r="56" spans="1:10">
      <c r="A56" s="15">
        <f>IF($B56="","",COUNTIF($B$9:$B56,"?*"))</f>
        <v>48</v>
      </c>
      <c r="B56" s="63" t="s">
        <v>345</v>
      </c>
      <c r="C56" s="68" t="s">
        <v>299</v>
      </c>
      <c r="D56" s="69" t="s">
        <v>66</v>
      </c>
      <c r="E56" s="69" t="s">
        <v>285</v>
      </c>
      <c r="F56" s="15" t="str">
        <f>IF($B56="","",IFERROR(IF(INDEX(MASTER!$B$4:$B$1463,MATCH($B56,MASTER!$C$4:$C$1463,0))="","not matched",INDEX(MASTER!$B$4:$B$1463,MATCH($B56,MASTER!$C$4:$C$1463,0))),"not matched"))</f>
        <v>FUCT</v>
      </c>
      <c r="G56" s="70"/>
      <c r="H56" s="71"/>
      <c r="I56" s="70">
        <v>3179</v>
      </c>
      <c r="J56" s="15" t="str">
        <f>IF($I56="","",INDEX(SETUP!$B$16:$B$22,MATCH($I56,SETUP!$A$16:$A$22,1)))</f>
        <v>DEVELOPING</v>
      </c>
    </row>
    <row r="57" spans="1:10">
      <c r="A57" s="19">
        <f>IF($B57="","",COUNTIF($B$9:$B57,"?*"))</f>
        <v>49</v>
      </c>
      <c r="B57" s="63" t="s">
        <v>346</v>
      </c>
      <c r="C57" s="68" t="s">
        <v>296</v>
      </c>
      <c r="D57" s="69" t="s">
        <v>66</v>
      </c>
      <c r="E57" s="69" t="s">
        <v>285</v>
      </c>
      <c r="F57" s="19" t="str">
        <f>IF($B57="","",IFERROR(IF(INDEX(MASTER!$B$4:$B$1463,MATCH($B57,MASTER!$C$4:$C$1463,0))="","not matched",INDEX(MASTER!$B$4:$B$1463,MATCH($B57,MASTER!$C$4:$C$1463,0))),"not matched"))</f>
        <v>not matched</v>
      </c>
      <c r="G57" s="70"/>
      <c r="H57" s="71"/>
      <c r="I57" s="70">
        <v>3762</v>
      </c>
      <c r="J57" s="19" t="str">
        <f>IF($I57="","",INDEX(SETUP!$B$16:$B$22,MATCH($I57,SETUP!$A$16:$A$22,1)))</f>
        <v>DEVELOPING</v>
      </c>
    </row>
    <row r="58" spans="1:10">
      <c r="A58" s="15">
        <f>IF($B58="","",COUNTIF($B$9:$B58,"?*"))</f>
        <v>50</v>
      </c>
      <c r="B58" s="63" t="s">
        <v>347</v>
      </c>
      <c r="C58" s="68" t="s">
        <v>299</v>
      </c>
      <c r="D58" s="69" t="s">
        <v>66</v>
      </c>
      <c r="E58" s="69" t="s">
        <v>285</v>
      </c>
      <c r="F58" s="15" t="str">
        <f>IF($B58="","",IFERROR(IF(INDEX(MASTER!$B$4:$B$1463,MATCH($B58,MASTER!$C$4:$C$1463,0))="","not matched",INDEX(MASTER!$B$4:$B$1463,MATCH($B58,MASTER!$C$4:$C$1463,0))),"not matched"))</f>
        <v>FUCT</v>
      </c>
      <c r="G58" s="70">
        <v>58371</v>
      </c>
      <c r="H58" s="71">
        <v>4.26</v>
      </c>
      <c r="I58" s="70">
        <v>4892</v>
      </c>
      <c r="J58" s="15" t="str">
        <f>IF($I58="","",INDEX(SETUP!$B$16:$B$22,MATCH($I58,SETUP!$A$16:$A$22,1)))</f>
        <v>CORE</v>
      </c>
    </row>
    <row r="59" spans="1:10">
      <c r="A59" s="19">
        <f>IF($B59="","",COUNTIF($B$9:$B59,"?*"))</f>
        <v>51</v>
      </c>
      <c r="B59" s="63" t="s">
        <v>348</v>
      </c>
      <c r="C59" s="68" t="s">
        <v>296</v>
      </c>
      <c r="D59" s="69" t="s">
        <v>66</v>
      </c>
      <c r="E59" s="69" t="s">
        <v>285</v>
      </c>
      <c r="F59" s="19" t="str">
        <f>IF($B59="","",IFERROR(IF(INDEX(MASTER!$B$4:$B$1463,MATCH($B59,MASTER!$C$4:$C$1463,0))="","not matched",INDEX(MASTER!$B$4:$B$1463,MATCH($B59,MASTER!$C$4:$C$1463,0))),"not matched"))</f>
        <v>not matched</v>
      </c>
      <c r="G59" s="70"/>
      <c r="H59" s="71"/>
      <c r="I59" s="70">
        <v>2912</v>
      </c>
      <c r="J59" s="19" t="str">
        <f>IF($I59="","",INDEX(SETUP!$B$16:$B$22,MATCH($I59,SETUP!$A$16:$A$22,1)))</f>
        <v>DEVELOPING</v>
      </c>
    </row>
    <row r="60" spans="1:10">
      <c r="A60" s="15">
        <f>IF($B60="","",COUNTIF($B$9:$B60,"?*"))</f>
        <v>52</v>
      </c>
      <c r="B60" s="63" t="s">
        <v>349</v>
      </c>
      <c r="C60" s="68" t="s">
        <v>296</v>
      </c>
      <c r="D60" s="69" t="s">
        <v>66</v>
      </c>
      <c r="E60" s="69"/>
      <c r="F60" s="15" t="str">
        <f>IF($B60="","",IFERROR(IF(INDEX(MASTER!$B$4:$B$1463,MATCH($B60,MASTER!$C$4:$C$1463,0))="","not matched",INDEX(MASTER!$B$4:$B$1463,MATCH($B60,MASTER!$C$4:$C$1463,0))),"not matched"))</f>
        <v>not matched</v>
      </c>
      <c r="G60" s="70"/>
      <c r="H60" s="71"/>
      <c r="I60" s="70">
        <v>4000</v>
      </c>
      <c r="J60" s="15" t="str">
        <f>IF($I60="","",INDEX(SETUP!$B$16:$B$22,MATCH($I60,SETUP!$A$16:$A$22,1)))</f>
        <v>CORE</v>
      </c>
    </row>
    <row r="61" spans="1:10">
      <c r="A61" s="19">
        <f>IF($B61="","",COUNTIF($B$9:$B61,"?*"))</f>
        <v>53</v>
      </c>
      <c r="B61" s="63" t="s">
        <v>350</v>
      </c>
      <c r="C61" s="68" t="s">
        <v>299</v>
      </c>
      <c r="D61" s="69" t="s">
        <v>66</v>
      </c>
      <c r="E61" s="69" t="s">
        <v>285</v>
      </c>
      <c r="F61" s="19" t="str">
        <f>IF($B61="","",IFERROR(IF(INDEX(MASTER!$B$4:$B$1463,MATCH($B61,MASTER!$C$4:$C$1463,0))="","not matched",INDEX(MASTER!$B$4:$B$1463,MATCH($B61,MASTER!$C$4:$C$1463,0))),"not matched"))</f>
        <v>not matched</v>
      </c>
      <c r="G61" s="70">
        <v>60021</v>
      </c>
      <c r="H61" s="71">
        <v>6</v>
      </c>
      <c r="I61" s="70">
        <v>4615</v>
      </c>
      <c r="J61" s="19" t="str">
        <f>IF($I61="","",INDEX(SETUP!$B$16:$B$22,MATCH($I61,SETUP!$A$16:$A$22,1)))</f>
        <v>CORE</v>
      </c>
    </row>
    <row r="62" spans="1:10">
      <c r="A62" s="15">
        <f>IF($B62="","",COUNTIF($B$9:$B62,"?*"))</f>
        <v>54</v>
      </c>
      <c r="B62" s="63" t="s">
        <v>351</v>
      </c>
      <c r="C62" s="68" t="s">
        <v>299</v>
      </c>
      <c r="D62" s="69" t="s">
        <v>66</v>
      </c>
      <c r="E62" s="69" t="s">
        <v>285</v>
      </c>
      <c r="F62" s="15" t="str">
        <f>IF($B62="","",IFERROR(IF(INDEX(MASTER!$B$4:$B$1463,MATCH($B62,MASTER!$C$4:$C$1463,0))="","not matched",INDEX(MASTER!$B$4:$B$1463,MATCH($B62,MASTER!$C$4:$C$1463,0))),"not matched"))</f>
        <v>FUCT</v>
      </c>
      <c r="G62" s="70">
        <v>59224</v>
      </c>
      <c r="H62" s="71">
        <v>3.6</v>
      </c>
      <c r="I62" s="70">
        <v>3665</v>
      </c>
      <c r="J62" s="15" t="str">
        <f>IF($I62="","",INDEX(SETUP!$B$16:$B$22,MATCH($I62,SETUP!$A$16:$A$22,1)))</f>
        <v>DEVELOPING</v>
      </c>
    </row>
    <row r="63" spans="1:10">
      <c r="A63" s="19">
        <f>IF($B63="","",COUNTIF($B$9:$B63,"?*"))</f>
        <v>55</v>
      </c>
      <c r="B63" s="63" t="s">
        <v>352</v>
      </c>
      <c r="C63" s="68" t="s">
        <v>296</v>
      </c>
      <c r="D63" s="69" t="s">
        <v>66</v>
      </c>
      <c r="E63" s="69" t="s">
        <v>285</v>
      </c>
      <c r="F63" s="19" t="str">
        <f>IF($B63="","",IFERROR(IF(INDEX(MASTER!$B$4:$B$1463,MATCH($B63,MASTER!$C$4:$C$1463,0))="","not matched",INDEX(MASTER!$B$4:$B$1463,MATCH($B63,MASTER!$C$4:$C$1463,0))),"not matched"))</f>
        <v>not matched</v>
      </c>
      <c r="G63" s="70"/>
      <c r="H63" s="71"/>
      <c r="I63" s="70">
        <v>4703</v>
      </c>
      <c r="J63" s="19" t="str">
        <f>IF($I63="","",INDEX(SETUP!$B$16:$B$22,MATCH($I63,SETUP!$A$16:$A$22,1)))</f>
        <v>CORE</v>
      </c>
    </row>
    <row r="64" spans="1:10">
      <c r="A64" s="15">
        <f>IF($B64="","",COUNTIF($B$9:$B64,"?*"))</f>
        <v>56</v>
      </c>
      <c r="B64" s="63" t="s">
        <v>353</v>
      </c>
      <c r="C64" s="68" t="s">
        <v>299</v>
      </c>
      <c r="D64" s="69" t="s">
        <v>66</v>
      </c>
      <c r="E64" s="69" t="s">
        <v>285</v>
      </c>
      <c r="F64" s="15" t="str">
        <f>IF($B64="","",IFERROR(IF(INDEX(MASTER!$B$4:$B$1463,MATCH($B64,MASTER!$C$4:$C$1463,0))="","not matched",INDEX(MASTER!$B$4:$B$1463,MATCH($B64,MASTER!$C$4:$C$1463,0))),"not matched"))</f>
        <v>FUCT</v>
      </c>
      <c r="G64" s="70"/>
      <c r="H64" s="71"/>
      <c r="I64" s="70">
        <v>3958</v>
      </c>
      <c r="J64" s="15" t="str">
        <f>IF($I64="","",INDEX(SETUP!$B$16:$B$22,MATCH($I64,SETUP!$A$16:$A$22,1)))</f>
        <v>DEVELOPING</v>
      </c>
    </row>
    <row r="65" spans="1:10">
      <c r="A65" s="19">
        <f>IF($B65="","",COUNTIF($B$9:$B65,"?*"))</f>
        <v>57</v>
      </c>
      <c r="B65" s="63" t="s">
        <v>354</v>
      </c>
      <c r="C65" s="68" t="s">
        <v>296</v>
      </c>
      <c r="D65" s="69" t="s">
        <v>66</v>
      </c>
      <c r="E65" s="69"/>
      <c r="F65" s="19" t="str">
        <f>IF($B65="","",IFERROR(IF(INDEX(MASTER!$B$4:$B$1463,MATCH($B65,MASTER!$C$4:$C$1463,0))="","not matched",INDEX(MASTER!$B$4:$B$1463,MATCH($B65,MASTER!$C$4:$C$1463,0))),"not matched"))</f>
        <v>not matched</v>
      </c>
      <c r="G65" s="70"/>
      <c r="H65" s="71"/>
      <c r="I65" s="70">
        <v>7300</v>
      </c>
      <c r="J65" s="19" t="str">
        <f>IF($I65="","",INDEX(SETUP!$B$16:$B$22,MATCH($I65,SETUP!$A$16:$A$22,1)))</f>
        <v>VETERAN</v>
      </c>
    </row>
    <row r="66" spans="1:10">
      <c r="A66" s="15">
        <f>IF($B66="","",COUNTIF($B$9:$B66,"?*"))</f>
        <v>58</v>
      </c>
      <c r="B66" s="63" t="s">
        <v>355</v>
      </c>
      <c r="C66" s="68" t="s">
        <v>296</v>
      </c>
      <c r="D66" s="69" t="s">
        <v>66</v>
      </c>
      <c r="E66" s="69" t="s">
        <v>285</v>
      </c>
      <c r="F66" s="15" t="str">
        <f>IF($B66="","",IFERROR(IF(INDEX(MASTER!$B$4:$B$1463,MATCH($B66,MASTER!$C$4:$C$1463,0))="","not matched",INDEX(MASTER!$B$4:$B$1463,MATCH($B66,MASTER!$C$4:$C$1463,0))),"not matched"))</f>
        <v>FUCT</v>
      </c>
      <c r="G66" s="70"/>
      <c r="H66" s="71"/>
      <c r="I66" s="70">
        <v>6573</v>
      </c>
      <c r="J66" s="15" t="str">
        <f>IF($I66="","",INDEX(SETUP!$B$16:$B$22,MATCH($I66,SETUP!$A$16:$A$22,1)))</f>
        <v>VETERAN</v>
      </c>
    </row>
    <row r="67" spans="1:10">
      <c r="A67" s="19">
        <f>IF($B67="","",COUNTIF($B$9:$B67,"?*"))</f>
        <v>59</v>
      </c>
      <c r="B67" s="63" t="s">
        <v>356</v>
      </c>
      <c r="C67" s="68" t="s">
        <v>296</v>
      </c>
      <c r="D67" s="69" t="s">
        <v>66</v>
      </c>
      <c r="E67" s="69" t="s">
        <v>285</v>
      </c>
      <c r="F67" s="19" t="str">
        <f>IF($B67="","",IFERROR(IF(INDEX(MASTER!$B$4:$B$1463,MATCH($B67,MASTER!$C$4:$C$1463,0))="","not matched",INDEX(MASTER!$B$4:$B$1463,MATCH($B67,MASTER!$C$4:$C$1463,0))),"not matched"))</f>
        <v>not matched</v>
      </c>
      <c r="G67" s="70">
        <v>59635</v>
      </c>
      <c r="H67" s="71"/>
      <c r="I67" s="70">
        <v>4055</v>
      </c>
      <c r="J67" s="19" t="str">
        <f>IF($I67="","",INDEX(SETUP!$B$16:$B$22,MATCH($I67,SETUP!$A$16:$A$22,1)))</f>
        <v>CORE</v>
      </c>
    </row>
    <row r="68" spans="1:10">
      <c r="A68" s="15">
        <f>IF($B68="","",COUNTIF($B$9:$B68,"?*"))</f>
        <v>60</v>
      </c>
      <c r="B68" s="63" t="s">
        <v>357</v>
      </c>
      <c r="C68" s="68" t="s">
        <v>296</v>
      </c>
      <c r="D68" s="69" t="s">
        <v>66</v>
      </c>
      <c r="E68" s="69" t="s">
        <v>285</v>
      </c>
      <c r="F68" s="15" t="str">
        <f>IF($B68="","",IFERROR(IF(INDEX(MASTER!$B$4:$B$1463,MATCH($B68,MASTER!$C$4:$C$1463,0))="","not matched",INDEX(MASTER!$B$4:$B$1463,MATCH($B68,MASTER!$C$4:$C$1463,0))),"not matched"))</f>
        <v>not matched</v>
      </c>
      <c r="G68" s="70"/>
      <c r="H68" s="71"/>
      <c r="I68" s="70">
        <v>3604</v>
      </c>
      <c r="J68" s="15" t="str">
        <f>IF($I68="","",INDEX(SETUP!$B$16:$B$22,MATCH($I68,SETUP!$A$16:$A$22,1)))</f>
        <v>DEVELOPING</v>
      </c>
    </row>
    <row r="69" spans="1:10">
      <c r="A69" s="19">
        <f>IF($B69="","",COUNTIF($B$9:$B69,"?*"))</f>
        <v>61</v>
      </c>
      <c r="B69" s="63" t="s">
        <v>358</v>
      </c>
      <c r="C69" s="68" t="s">
        <v>299</v>
      </c>
      <c r="D69" s="69" t="s">
        <v>66</v>
      </c>
      <c r="E69" s="69" t="s">
        <v>285</v>
      </c>
      <c r="F69" s="19" t="str">
        <f>IF($B69="","",IFERROR(IF(INDEX(MASTER!$B$4:$B$1463,MATCH($B69,MASTER!$C$4:$C$1463,0))="","not matched",INDEX(MASTER!$B$4:$B$1463,MATCH($B69,MASTER!$C$4:$C$1463,0))),"not matched"))</f>
        <v>not matched</v>
      </c>
      <c r="G69" s="70">
        <v>60371</v>
      </c>
      <c r="H69" s="71">
        <v>4.9000000000000004</v>
      </c>
      <c r="I69" s="70">
        <v>8194</v>
      </c>
      <c r="J69" s="19" t="str">
        <f>IF($I69="","",INDEX(SETUP!$B$16:$B$22,MATCH($I69,SETUP!$A$16:$A$22,1)))</f>
        <v>ELITE</v>
      </c>
    </row>
    <row r="70" spans="1:10">
      <c r="A70" s="15">
        <f>IF($B70="","",COUNTIF($B$9:$B70,"?*"))</f>
        <v>62</v>
      </c>
      <c r="B70" s="63" t="s">
        <v>359</v>
      </c>
      <c r="C70" s="68" t="s">
        <v>299</v>
      </c>
      <c r="D70" s="69" t="s">
        <v>66</v>
      </c>
      <c r="E70" s="69" t="s">
        <v>285</v>
      </c>
      <c r="F70" s="15" t="str">
        <f>IF($B70="","",IFERROR(IF(INDEX(MASTER!$B$4:$B$1463,MATCH($B70,MASTER!$C$4:$C$1463,0))="","not matched",INDEX(MASTER!$B$4:$B$1463,MATCH($B70,MASTER!$C$4:$C$1463,0))),"not matched"))</f>
        <v>not matched</v>
      </c>
      <c r="G70" s="70">
        <v>60745</v>
      </c>
      <c r="H70" s="71">
        <v>5.9</v>
      </c>
      <c r="I70" s="70">
        <v>8281</v>
      </c>
      <c r="J70" s="15" t="str">
        <f>IF($I70="","",INDEX(SETUP!$B$16:$B$22,MATCH($I70,SETUP!$A$16:$A$22,1)))</f>
        <v>ELITE</v>
      </c>
    </row>
    <row r="71" spans="1:10">
      <c r="A71" s="19">
        <f>IF($B71="","",COUNTIF($B$9:$B71,"?*"))</f>
        <v>63</v>
      </c>
      <c r="B71" s="63" t="s">
        <v>360</v>
      </c>
      <c r="C71" s="68" t="s">
        <v>296</v>
      </c>
      <c r="D71" s="69" t="s">
        <v>66</v>
      </c>
      <c r="E71" s="69" t="s">
        <v>285</v>
      </c>
      <c r="F71" s="19" t="str">
        <f>IF($B71="","",IFERROR(IF(INDEX(MASTER!$B$4:$B$1463,MATCH($B71,MASTER!$C$4:$C$1463,0))="","not matched",INDEX(MASTER!$B$4:$B$1463,MATCH($B71,MASTER!$C$4:$C$1463,0))),"not matched"))</f>
        <v>not matched</v>
      </c>
      <c r="G71" s="70"/>
      <c r="H71" s="71"/>
      <c r="I71" s="70">
        <v>3556</v>
      </c>
      <c r="J71" s="19" t="str">
        <f>IF($I71="","",INDEX(SETUP!$B$16:$B$22,MATCH($I71,SETUP!$A$16:$A$22,1)))</f>
        <v>DEVELOPING</v>
      </c>
    </row>
    <row r="72" spans="1:10">
      <c r="A72" s="15">
        <f>IF($B72="","",COUNTIF($B$9:$B72,"?*"))</f>
        <v>64</v>
      </c>
      <c r="B72" s="63" t="s">
        <v>361</v>
      </c>
      <c r="C72" s="68" t="s">
        <v>296</v>
      </c>
      <c r="D72" s="69" t="s">
        <v>66</v>
      </c>
      <c r="E72" s="69" t="s">
        <v>285</v>
      </c>
      <c r="F72" s="15" t="str">
        <f>IF($B72="","",IFERROR(IF(INDEX(MASTER!$B$4:$B$1463,MATCH($B72,MASTER!$C$4:$C$1463,0))="","not matched",INDEX(MASTER!$B$4:$B$1463,MATCH($B72,MASTER!$C$4:$C$1463,0))),"not matched"))</f>
        <v>not matched</v>
      </c>
      <c r="G72" s="70"/>
      <c r="H72" s="71"/>
      <c r="I72" s="70">
        <v>5100</v>
      </c>
      <c r="J72" s="15" t="str">
        <f>IF($I72="","",INDEX(SETUP!$B$16:$B$22,MATCH($I72,SETUP!$A$16:$A$22,1)))</f>
        <v>CORE</v>
      </c>
    </row>
    <row r="73" spans="1:10">
      <c r="A73" s="19">
        <f>IF($B73="","",COUNTIF($B$9:$B73,"?*"))</f>
        <v>65</v>
      </c>
      <c r="B73" s="63" t="s">
        <v>362</v>
      </c>
      <c r="C73" s="68" t="s">
        <v>299</v>
      </c>
      <c r="D73" s="69" t="s">
        <v>66</v>
      </c>
      <c r="E73" s="69" t="s">
        <v>285</v>
      </c>
      <c r="F73" s="19" t="str">
        <f>IF($B73="","",IFERROR(IF(INDEX(MASTER!$B$4:$B$1463,MATCH($B73,MASTER!$C$4:$C$1463,0))="","not matched",INDEX(MASTER!$B$4:$B$1463,MATCH($B73,MASTER!$C$4:$C$1463,0))),"not matched"))</f>
        <v>FUCT</v>
      </c>
      <c r="G73" s="70">
        <v>60033</v>
      </c>
      <c r="H73" s="71">
        <v>3.7</v>
      </c>
      <c r="I73" s="70">
        <v>2722</v>
      </c>
      <c r="J73" s="19" t="str">
        <f>IF($I73="","",INDEX(SETUP!$B$16:$B$22,MATCH($I73,SETUP!$A$16:$A$22,1)))</f>
        <v>DEVELOPING</v>
      </c>
    </row>
    <row r="74" spans="1:10">
      <c r="A74" s="15">
        <f>IF($B74="","",COUNTIF($B$9:$B74,"?*"))</f>
        <v>66</v>
      </c>
      <c r="B74" s="63" t="s">
        <v>363</v>
      </c>
      <c r="C74" s="68" t="s">
        <v>296</v>
      </c>
      <c r="D74" s="69" t="s">
        <v>66</v>
      </c>
      <c r="E74" s="69" t="s">
        <v>285</v>
      </c>
      <c r="F74" s="15" t="str">
        <f>IF($B74="","",IFERROR(IF(INDEX(MASTER!$B$4:$B$1463,MATCH($B74,MASTER!$C$4:$C$1463,0))="","not matched",INDEX(MASTER!$B$4:$B$1463,MATCH($B74,MASTER!$C$4:$C$1463,0))),"not matched"))</f>
        <v>not matched</v>
      </c>
      <c r="G74" s="70"/>
      <c r="H74" s="71"/>
      <c r="I74" s="70">
        <v>3478</v>
      </c>
      <c r="J74" s="15" t="str">
        <f>IF($I74="","",INDEX(SETUP!$B$16:$B$22,MATCH($I74,SETUP!$A$16:$A$22,1)))</f>
        <v>DEVELOPING</v>
      </c>
    </row>
    <row r="75" spans="1:10">
      <c r="A75" s="19">
        <f>IF($B75="","",COUNTIF($B$9:$B75,"?*"))</f>
        <v>67</v>
      </c>
      <c r="B75" s="63" t="s">
        <v>364</v>
      </c>
      <c r="C75" s="68" t="s">
        <v>296</v>
      </c>
      <c r="D75" s="69" t="s">
        <v>66</v>
      </c>
      <c r="E75" s="69" t="s">
        <v>285</v>
      </c>
      <c r="F75" s="19" t="str">
        <f>IF($B75="","",IFERROR(IF(INDEX(MASTER!$B$4:$B$1463,MATCH($B75,MASTER!$C$4:$C$1463,0))="","not matched",INDEX(MASTER!$B$4:$B$1463,MATCH($B75,MASTER!$C$4:$C$1463,0))),"not matched"))</f>
        <v>not matched</v>
      </c>
      <c r="G75" s="70"/>
      <c r="H75" s="71"/>
      <c r="I75" s="70">
        <v>3134</v>
      </c>
      <c r="J75" s="19" t="str">
        <f>IF($I75="","",INDEX(SETUP!$B$16:$B$22,MATCH($I75,SETUP!$A$16:$A$22,1)))</f>
        <v>DEVELOPING</v>
      </c>
    </row>
    <row r="76" spans="1:10">
      <c r="A76" s="15">
        <f>IF($B76="","",COUNTIF($B$9:$B76,"?*"))</f>
        <v>68</v>
      </c>
      <c r="B76" s="63" t="s">
        <v>365</v>
      </c>
      <c r="C76" s="68" t="s">
        <v>296</v>
      </c>
      <c r="D76" s="69" t="s">
        <v>66</v>
      </c>
      <c r="E76" s="69" t="s">
        <v>285</v>
      </c>
      <c r="F76" s="15" t="str">
        <f>IF($B76="","",IFERROR(IF(INDEX(MASTER!$B$4:$B$1463,MATCH($B76,MASTER!$C$4:$C$1463,0))="","not matched",INDEX(MASTER!$B$4:$B$1463,MATCH($B76,MASTER!$C$4:$C$1463,0))),"not matched"))</f>
        <v>not matched</v>
      </c>
      <c r="G76" s="70"/>
      <c r="H76" s="71"/>
      <c r="I76" s="70">
        <v>4005</v>
      </c>
      <c r="J76" s="15" t="str">
        <f>IF($I76="","",INDEX(SETUP!$B$16:$B$22,MATCH($I76,SETUP!$A$16:$A$22,1)))</f>
        <v>CORE</v>
      </c>
    </row>
    <row r="77" spans="1:10">
      <c r="A77" s="19">
        <f>IF($B77="","",COUNTIF($B$9:$B77,"?*"))</f>
        <v>69</v>
      </c>
      <c r="B77" s="63" t="s">
        <v>366</v>
      </c>
      <c r="C77" s="68" t="s">
        <v>299</v>
      </c>
      <c r="D77" s="69" t="s">
        <v>66</v>
      </c>
      <c r="E77" s="69" t="s">
        <v>285</v>
      </c>
      <c r="F77" s="19" t="str">
        <f>IF($B77="","",IFERROR(IF(INDEX(MASTER!$B$4:$B$1463,MATCH($B77,MASTER!$C$4:$C$1463,0))="","not matched",INDEX(MASTER!$B$4:$B$1463,MATCH($B77,MASTER!$C$4:$C$1463,0))),"not matched"))</f>
        <v>FUCT</v>
      </c>
      <c r="G77" s="70">
        <v>59263</v>
      </c>
      <c r="H77" s="71">
        <v>5.77</v>
      </c>
      <c r="I77" s="70">
        <v>9630</v>
      </c>
      <c r="J77" s="19" t="str">
        <f>IF($I77="","",INDEX(SETUP!$B$16:$B$22,MATCH($I77,SETUP!$A$16:$A$22,1)))</f>
        <v>ELITE</v>
      </c>
    </row>
    <row r="78" spans="1:10">
      <c r="A78" s="15">
        <f>IF($B78="","",COUNTIF($B$9:$B78,"?*"))</f>
        <v>70</v>
      </c>
      <c r="B78" s="63" t="s">
        <v>367</v>
      </c>
      <c r="C78" s="68" t="s">
        <v>299</v>
      </c>
      <c r="D78" s="69" t="s">
        <v>66</v>
      </c>
      <c r="E78" s="69" t="s">
        <v>285</v>
      </c>
      <c r="F78" s="15" t="str">
        <f>IF($B78="","",IFERROR(IF(INDEX(MASTER!$B$4:$B$1463,MATCH($B78,MASTER!$C$4:$C$1463,0))="","not matched",INDEX(MASTER!$B$4:$B$1463,MATCH($B78,MASTER!$C$4:$C$1463,0))),"not matched"))</f>
        <v>FUCT</v>
      </c>
      <c r="G78" s="70">
        <v>59547</v>
      </c>
      <c r="H78" s="71">
        <v>3.35</v>
      </c>
      <c r="I78" s="70">
        <v>3030</v>
      </c>
      <c r="J78" s="15" t="str">
        <f>IF($I78="","",INDEX(SETUP!$B$16:$B$22,MATCH($I78,SETUP!$A$16:$A$22,1)))</f>
        <v>DEVELOPING</v>
      </c>
    </row>
    <row r="79" spans="1:10">
      <c r="A79" s="19">
        <f>IF($B79="","",COUNTIF($B$9:$B79,"?*"))</f>
        <v>71</v>
      </c>
      <c r="B79" s="63" t="s">
        <v>368</v>
      </c>
      <c r="C79" s="68" t="s">
        <v>299</v>
      </c>
      <c r="D79" s="69" t="s">
        <v>66</v>
      </c>
      <c r="E79" s="69" t="s">
        <v>285</v>
      </c>
      <c r="F79" s="19" t="str">
        <f>IF($B79="","",IFERROR(IF(INDEX(MASTER!$B$4:$B$1463,MATCH($B79,MASTER!$C$4:$C$1463,0))="","not matched",INDEX(MASTER!$B$4:$B$1463,MATCH($B79,MASTER!$C$4:$C$1463,0))),"not matched"))</f>
        <v>not matched</v>
      </c>
      <c r="G79" s="70">
        <v>59335</v>
      </c>
      <c r="H79" s="71">
        <v>4.5999999999999996</v>
      </c>
      <c r="I79" s="70">
        <v>7400</v>
      </c>
      <c r="J79" s="19" t="str">
        <f>IF($I79="","",INDEX(SETUP!$B$16:$B$22,MATCH($I79,SETUP!$A$16:$A$22,1)))</f>
        <v>VETERAN</v>
      </c>
    </row>
    <row r="80" spans="1:10">
      <c r="A80" s="15">
        <f>IF($B80="","",COUNTIF($B$9:$B80,"?*"))</f>
        <v>72</v>
      </c>
      <c r="B80" s="63" t="s">
        <v>369</v>
      </c>
      <c r="C80" s="68" t="s">
        <v>296</v>
      </c>
      <c r="D80" s="69" t="s">
        <v>66</v>
      </c>
      <c r="E80" s="69" t="s">
        <v>285</v>
      </c>
      <c r="F80" s="15" t="str">
        <f>IF($B80="","",IFERROR(IF(INDEX(MASTER!$B$4:$B$1463,MATCH($B80,MASTER!$C$4:$C$1463,0))="","not matched",INDEX(MASTER!$B$4:$B$1463,MATCH($B80,MASTER!$C$4:$C$1463,0))),"not matched"))</f>
        <v>not matched</v>
      </c>
      <c r="G80" s="70"/>
      <c r="H80" s="71"/>
      <c r="I80" s="70">
        <v>2651</v>
      </c>
      <c r="J80" s="15" t="str">
        <f>IF($I80="","",INDEX(SETUP!$B$16:$B$22,MATCH($I80,SETUP!$A$16:$A$22,1)))</f>
        <v>DEVELOPING</v>
      </c>
    </row>
    <row r="81" spans="1:10">
      <c r="A81" s="19">
        <f>IF($B81="","",COUNTIF($B$9:$B81,"?*"))</f>
        <v>73</v>
      </c>
      <c r="B81" s="63" t="s">
        <v>370</v>
      </c>
      <c r="C81" s="68" t="s">
        <v>299</v>
      </c>
      <c r="D81" s="69" t="s">
        <v>66</v>
      </c>
      <c r="E81" s="69" t="s">
        <v>285</v>
      </c>
      <c r="F81" s="19" t="str">
        <f>IF($B81="","",IFERROR(IF(INDEX(MASTER!$B$4:$B$1463,MATCH($B81,MASTER!$C$4:$C$1463,0))="","not matched",INDEX(MASTER!$B$4:$B$1463,MATCH($B81,MASTER!$C$4:$C$1463,0))),"not matched"))</f>
        <v>not matched</v>
      </c>
      <c r="G81" s="70">
        <v>60644</v>
      </c>
      <c r="H81" s="71">
        <v>3.9</v>
      </c>
      <c r="I81" s="70">
        <v>5465</v>
      </c>
      <c r="J81" s="19" t="str">
        <f>IF($I81="","",INDEX(SETUP!$B$16:$B$22,MATCH($I81,SETUP!$A$16:$A$22,1)))</f>
        <v>CORE</v>
      </c>
    </row>
    <row r="82" spans="1:10">
      <c r="A82" s="15">
        <f>IF($B82="","",COUNTIF($B$9:$B82,"?*"))</f>
        <v>74</v>
      </c>
      <c r="B82" s="63" t="s">
        <v>371</v>
      </c>
      <c r="C82" s="68" t="s">
        <v>313</v>
      </c>
      <c r="D82" s="69" t="s">
        <v>66</v>
      </c>
      <c r="E82" s="69" t="s">
        <v>285</v>
      </c>
      <c r="F82" s="15" t="str">
        <f>IF($B82="","",IFERROR(IF(INDEX(MASTER!$B$4:$B$1463,MATCH($B82,MASTER!$C$4:$C$1463,0))="","not matched",INDEX(MASTER!$B$4:$B$1463,MATCH($B82,MASTER!$C$4:$C$1463,0))),"not matched"))</f>
        <v>FUCT</v>
      </c>
      <c r="G82" s="70">
        <v>62448</v>
      </c>
      <c r="H82" s="71">
        <v>5.3</v>
      </c>
      <c r="I82" s="70">
        <v>5000</v>
      </c>
      <c r="J82" s="15" t="str">
        <f>IF($I82="","",INDEX(SETUP!$B$16:$B$22,MATCH($I82,SETUP!$A$16:$A$22,1)))</f>
        <v>CORE</v>
      </c>
    </row>
    <row r="83" spans="1:10">
      <c r="A83" s="19">
        <f>IF($B83="","",COUNTIF($B$9:$B83,"?*"))</f>
        <v>75</v>
      </c>
      <c r="B83" s="63" t="s">
        <v>372</v>
      </c>
      <c r="C83" s="68" t="s">
        <v>299</v>
      </c>
      <c r="D83" s="69" t="s">
        <v>66</v>
      </c>
      <c r="E83" s="69" t="s">
        <v>285</v>
      </c>
      <c r="F83" s="19" t="str">
        <f>IF($B83="","",IFERROR(IF(INDEX(MASTER!$B$4:$B$1463,MATCH($B83,MASTER!$C$4:$C$1463,0))="","not matched",INDEX(MASTER!$B$4:$B$1463,MATCH($B83,MASTER!$C$4:$C$1463,0))),"not matched"))</f>
        <v>not matched</v>
      </c>
      <c r="G83" s="70">
        <v>59068</v>
      </c>
      <c r="H83" s="71">
        <v>5.53</v>
      </c>
      <c r="I83" s="70">
        <v>10000</v>
      </c>
      <c r="J83" s="19" t="str">
        <f>IF($I83="","",INDEX(SETUP!$B$16:$B$22,MATCH($I83,SETUP!$A$16:$A$22,1)))</f>
        <v>APEX</v>
      </c>
    </row>
    <row r="84" spans="1:10">
      <c r="A84" s="15">
        <f>IF($B84="","",COUNTIF($B$9:$B84,"?*"))</f>
        <v>76</v>
      </c>
      <c r="B84" s="63" t="s">
        <v>373</v>
      </c>
      <c r="C84" s="68" t="s">
        <v>299</v>
      </c>
      <c r="D84" s="69" t="s">
        <v>66</v>
      </c>
      <c r="E84" s="69" t="s">
        <v>285</v>
      </c>
      <c r="F84" s="15" t="str">
        <f>IF($B84="","",IFERROR(IF(INDEX(MASTER!$B$4:$B$1463,MATCH($B84,MASTER!$C$4:$C$1463,0))="","not matched",INDEX(MASTER!$B$4:$B$1463,MATCH($B84,MASTER!$C$4:$C$1463,0))),"not matched"))</f>
        <v>FUCT</v>
      </c>
      <c r="G84" s="70">
        <v>60553</v>
      </c>
      <c r="H84" s="71"/>
      <c r="I84" s="70">
        <v>6956</v>
      </c>
      <c r="J84" s="15" t="str">
        <f>IF($I84="","",INDEX(SETUP!$B$16:$B$22,MATCH($I84,SETUP!$A$16:$A$22,1)))</f>
        <v>VETERAN</v>
      </c>
    </row>
    <row r="85" spans="1:10">
      <c r="A85" s="19">
        <f>IF($B85="","",COUNTIF($B$9:$B85,"?*"))</f>
        <v>77</v>
      </c>
      <c r="B85" s="63" t="s">
        <v>374</v>
      </c>
      <c r="C85" s="68" t="s">
        <v>296</v>
      </c>
      <c r="D85" s="69" t="s">
        <v>66</v>
      </c>
      <c r="E85" s="69" t="s">
        <v>285</v>
      </c>
      <c r="F85" s="19" t="str">
        <f>IF($B85="","",IFERROR(IF(INDEX(MASTER!$B$4:$B$1463,MATCH($B85,MASTER!$C$4:$C$1463,0))="","not matched",INDEX(MASTER!$B$4:$B$1463,MATCH($B85,MASTER!$C$4:$C$1463,0))),"not matched"))</f>
        <v>not matched</v>
      </c>
      <c r="G85" s="70"/>
      <c r="H85" s="71"/>
      <c r="I85" s="70">
        <v>3495</v>
      </c>
      <c r="J85" s="19" t="str">
        <f>IF($I85="","",INDEX(SETUP!$B$16:$B$22,MATCH($I85,SETUP!$A$16:$A$22,1)))</f>
        <v>DEVELOPING</v>
      </c>
    </row>
    <row r="86" spans="1:10">
      <c r="A86" s="15">
        <f>IF($B86="","",COUNTIF($B$9:$B86,"?*"))</f>
        <v>78</v>
      </c>
      <c r="B86" s="63" t="s">
        <v>375</v>
      </c>
      <c r="C86" s="68" t="s">
        <v>313</v>
      </c>
      <c r="D86" s="69" t="s">
        <v>66</v>
      </c>
      <c r="E86" s="69" t="s">
        <v>285</v>
      </c>
      <c r="F86" s="15" t="str">
        <f>IF($B86="","",IFERROR(IF(INDEX(MASTER!$B$4:$B$1463,MATCH($B86,MASTER!$C$4:$C$1463,0))="","not matched",INDEX(MASTER!$B$4:$B$1463,MATCH($B86,MASTER!$C$4:$C$1463,0))),"not matched"))</f>
        <v>not matched</v>
      </c>
      <c r="G86" s="70"/>
      <c r="H86" s="71"/>
      <c r="I86" s="70">
        <v>4100</v>
      </c>
      <c r="J86" s="15" t="str">
        <f>IF($I86="","",INDEX(SETUP!$B$16:$B$22,MATCH($I86,SETUP!$A$16:$A$22,1)))</f>
        <v>CORE</v>
      </c>
    </row>
    <row r="87" spans="1:10">
      <c r="A87" s="19">
        <f>IF($B87="","",COUNTIF($B$9:$B87,"?*"))</f>
        <v>79</v>
      </c>
      <c r="B87" s="63" t="s">
        <v>376</v>
      </c>
      <c r="C87" s="68" t="s">
        <v>299</v>
      </c>
      <c r="D87" s="69" t="s">
        <v>66</v>
      </c>
      <c r="E87" s="69" t="s">
        <v>285</v>
      </c>
      <c r="F87" s="19" t="str">
        <f>IF($B87="","",IFERROR(IF(INDEX(MASTER!$B$4:$B$1463,MATCH($B87,MASTER!$C$4:$C$1463,0))="","not matched",INDEX(MASTER!$B$4:$B$1463,MATCH($B87,MASTER!$C$4:$C$1463,0))),"not matched"))</f>
        <v>not matched</v>
      </c>
      <c r="G87" s="70"/>
      <c r="H87" s="71"/>
      <c r="I87" s="70">
        <v>3248</v>
      </c>
      <c r="J87" s="19" t="str">
        <f>IF($I87="","",INDEX(SETUP!$B$16:$B$22,MATCH($I87,SETUP!$A$16:$A$22,1)))</f>
        <v>DEVELOPING</v>
      </c>
    </row>
    <row r="88" spans="1:10">
      <c r="A88" s="15">
        <f>IF($B88="","",COUNTIF($B$9:$B88,"?*"))</f>
        <v>80</v>
      </c>
      <c r="B88" s="63" t="s">
        <v>377</v>
      </c>
      <c r="C88" s="68" t="s">
        <v>299</v>
      </c>
      <c r="D88" s="69" t="s">
        <v>66</v>
      </c>
      <c r="E88" s="69" t="s">
        <v>285</v>
      </c>
      <c r="F88" s="15" t="str">
        <f>IF($B88="","",IFERROR(IF(INDEX(MASTER!$B$4:$B$1463,MATCH($B88,MASTER!$C$4:$C$1463,0))="","not matched",INDEX(MASTER!$B$4:$B$1463,MATCH($B88,MASTER!$C$4:$C$1463,0))),"not matched"))</f>
        <v>FUCT</v>
      </c>
      <c r="G88" s="70">
        <v>59884</v>
      </c>
      <c r="H88" s="71">
        <v>4.5999999999999996</v>
      </c>
      <c r="I88" s="70">
        <v>4766</v>
      </c>
      <c r="J88" s="15" t="str">
        <f>IF($I88="","",INDEX(SETUP!$B$16:$B$22,MATCH($I88,SETUP!$A$16:$A$22,1)))</f>
        <v>CORE</v>
      </c>
    </row>
    <row r="89" spans="1:10">
      <c r="A89" s="19">
        <f>IF($B89="","",COUNTIF($B$9:$B89,"?*"))</f>
        <v>81</v>
      </c>
      <c r="B89" s="63" t="s">
        <v>378</v>
      </c>
      <c r="C89" s="68" t="s">
        <v>296</v>
      </c>
      <c r="D89" s="69" t="s">
        <v>66</v>
      </c>
      <c r="E89" s="69" t="s">
        <v>285</v>
      </c>
      <c r="F89" s="19" t="str">
        <f>IF($B89="","",IFERROR(IF(INDEX(MASTER!$B$4:$B$1463,MATCH($B89,MASTER!$C$4:$C$1463,0))="","not matched",INDEX(MASTER!$B$4:$B$1463,MATCH($B89,MASTER!$C$4:$C$1463,0))),"not matched"))</f>
        <v>not matched</v>
      </c>
      <c r="G89" s="70"/>
      <c r="H89" s="71"/>
      <c r="I89" s="70">
        <v>4001</v>
      </c>
      <c r="J89" s="19" t="str">
        <f>IF($I89="","",INDEX(SETUP!$B$16:$B$22,MATCH($I89,SETUP!$A$16:$A$22,1)))</f>
        <v>CORE</v>
      </c>
    </row>
    <row r="90" spans="1:10">
      <c r="A90" s="15">
        <f>IF($B90="","",COUNTIF($B$9:$B90,"?*"))</f>
        <v>82</v>
      </c>
      <c r="B90" s="63" t="s">
        <v>379</v>
      </c>
      <c r="C90" s="68" t="s">
        <v>299</v>
      </c>
      <c r="D90" s="69" t="s">
        <v>66</v>
      </c>
      <c r="E90" s="69" t="s">
        <v>285</v>
      </c>
      <c r="F90" s="15" t="str">
        <f>IF($B90="","",IFERROR(IF(INDEX(MASTER!$B$4:$B$1463,MATCH($B90,MASTER!$C$4:$C$1463,0))="","not matched",INDEX(MASTER!$B$4:$B$1463,MATCH($B90,MASTER!$C$4:$C$1463,0))),"not matched"))</f>
        <v>FUCT</v>
      </c>
      <c r="G90" s="70"/>
      <c r="H90" s="71"/>
      <c r="I90" s="70">
        <v>3227</v>
      </c>
      <c r="J90" s="15" t="str">
        <f>IF($I90="","",INDEX(SETUP!$B$16:$B$22,MATCH($I90,SETUP!$A$16:$A$22,1)))</f>
        <v>DEVELOPING</v>
      </c>
    </row>
    <row r="91" spans="1:10">
      <c r="A91" s="19">
        <f>IF($B91="","",COUNTIF($B$9:$B91,"?*"))</f>
        <v>83</v>
      </c>
      <c r="B91" s="63" t="s">
        <v>380</v>
      </c>
      <c r="C91" s="68" t="s">
        <v>296</v>
      </c>
      <c r="D91" s="69" t="s">
        <v>66</v>
      </c>
      <c r="E91" s="69" t="s">
        <v>285</v>
      </c>
      <c r="F91" s="19" t="str">
        <f>IF($B91="","",IFERROR(IF(INDEX(MASTER!$B$4:$B$1463,MATCH($B91,MASTER!$C$4:$C$1463,0))="","not matched",INDEX(MASTER!$B$4:$B$1463,MATCH($B91,MASTER!$C$4:$C$1463,0))),"not matched"))</f>
        <v>not matched</v>
      </c>
      <c r="G91" s="70"/>
      <c r="H91" s="71"/>
      <c r="I91" s="70">
        <v>5523</v>
      </c>
      <c r="J91" s="19" t="str">
        <f>IF($I91="","",INDEX(SETUP!$B$16:$B$22,MATCH($I91,SETUP!$A$16:$A$22,1)))</f>
        <v>CORE</v>
      </c>
    </row>
    <row r="92" spans="1:10">
      <c r="A92" s="15">
        <f>IF($B92="","",COUNTIF($B$9:$B92,"?*"))</f>
        <v>84</v>
      </c>
      <c r="B92" s="63" t="s">
        <v>381</v>
      </c>
      <c r="C92" s="68" t="s">
        <v>296</v>
      </c>
      <c r="D92" s="69" t="s">
        <v>66</v>
      </c>
      <c r="E92" s="69" t="s">
        <v>285</v>
      </c>
      <c r="F92" s="15" t="str">
        <f>IF($B92="","",IFERROR(IF(INDEX(MASTER!$B$4:$B$1463,MATCH($B92,MASTER!$C$4:$C$1463,0))="","not matched",INDEX(MASTER!$B$4:$B$1463,MATCH($B92,MASTER!$C$4:$C$1463,0))),"not matched"))</f>
        <v>not matched</v>
      </c>
      <c r="G92" s="70"/>
      <c r="H92" s="71"/>
      <c r="I92" s="70">
        <v>6683</v>
      </c>
      <c r="J92" s="15" t="str">
        <f>IF($I92="","",INDEX(SETUP!$B$16:$B$22,MATCH($I92,SETUP!$A$16:$A$22,1)))</f>
        <v>VETERAN</v>
      </c>
    </row>
    <row r="93" spans="1:10">
      <c r="A93" s="19">
        <f>IF($B93="","",COUNTIF($B$9:$B93,"?*"))</f>
        <v>85</v>
      </c>
      <c r="B93" s="63" t="s">
        <v>382</v>
      </c>
      <c r="C93" s="68" t="s">
        <v>296</v>
      </c>
      <c r="D93" s="69" t="s">
        <v>66</v>
      </c>
      <c r="E93" s="69" t="s">
        <v>285</v>
      </c>
      <c r="F93" s="19" t="str">
        <f>IF($B93="","",IFERROR(IF(INDEX(MASTER!$B$4:$B$1463,MATCH($B93,MASTER!$C$4:$C$1463,0))="","not matched",INDEX(MASTER!$B$4:$B$1463,MATCH($B93,MASTER!$C$4:$C$1463,0))),"not matched"))</f>
        <v>not matched</v>
      </c>
      <c r="G93" s="70"/>
      <c r="H93" s="71"/>
      <c r="I93" s="70">
        <v>3893</v>
      </c>
      <c r="J93" s="19" t="str">
        <f>IF($I93="","",INDEX(SETUP!$B$16:$B$22,MATCH($I93,SETUP!$A$16:$A$22,1)))</f>
        <v>DEVELOPING</v>
      </c>
    </row>
    <row r="94" spans="1:10">
      <c r="A94" s="15">
        <f>IF($B94="","",COUNTIF($B$9:$B94,"?*"))</f>
        <v>86</v>
      </c>
      <c r="B94" s="63" t="s">
        <v>383</v>
      </c>
      <c r="C94" s="68" t="s">
        <v>296</v>
      </c>
      <c r="D94" s="69" t="s">
        <v>384</v>
      </c>
      <c r="E94" s="69" t="s">
        <v>287</v>
      </c>
      <c r="F94" s="15" t="str">
        <f>IF($B94="","",IFERROR(IF(INDEX(MASTER!$B$4:$B$1463,MATCH($B94,MASTER!$C$4:$C$1463,0))="","not matched",INDEX(MASTER!$B$4:$B$1463,MATCH($B94,MASTER!$C$4:$C$1463,0))),"not matched"))</f>
        <v>not matched</v>
      </c>
      <c r="G94" s="70"/>
      <c r="H94" s="71"/>
      <c r="I94" s="70">
        <v>2456</v>
      </c>
      <c r="J94" s="15" t="str">
        <f>IF($I94="","",INDEX(SETUP!$B$16:$B$22,MATCH($I94,SETUP!$A$16:$A$22,1)))</f>
        <v>DEVELOPING</v>
      </c>
    </row>
    <row r="95" spans="1:10">
      <c r="A95" s="19">
        <f>IF($B95="","",COUNTIF($B$9:$B95,"?*"))</f>
        <v>87</v>
      </c>
      <c r="B95" s="63" t="s">
        <v>385</v>
      </c>
      <c r="C95" s="68" t="s">
        <v>296</v>
      </c>
      <c r="D95" s="69" t="s">
        <v>384</v>
      </c>
      <c r="E95" s="69" t="s">
        <v>285</v>
      </c>
      <c r="F95" s="19" t="str">
        <f>IF($B95="","",IFERROR(IF(INDEX(MASTER!$B$4:$B$1463,MATCH($B95,MASTER!$C$4:$C$1463,0))="","not matched",INDEX(MASTER!$B$4:$B$1463,MATCH($B95,MASTER!$C$4:$C$1463,0))),"not matched"))</f>
        <v>not matched</v>
      </c>
      <c r="G95" s="70"/>
      <c r="H95" s="71"/>
      <c r="I95" s="70">
        <v>3048</v>
      </c>
      <c r="J95" s="19" t="str">
        <f>IF($I95="","",INDEX(SETUP!$B$16:$B$22,MATCH($I95,SETUP!$A$16:$A$22,1)))</f>
        <v>DEVELOPING</v>
      </c>
    </row>
    <row r="96" spans="1:10">
      <c r="A96" s="15">
        <f>IF($B96="","",COUNTIF($B$9:$B96,"?*"))</f>
        <v>88</v>
      </c>
      <c r="B96" s="63" t="s">
        <v>386</v>
      </c>
      <c r="C96" s="68" t="s">
        <v>296</v>
      </c>
      <c r="D96" s="69" t="s">
        <v>105</v>
      </c>
      <c r="E96" s="69" t="s">
        <v>285</v>
      </c>
      <c r="F96" s="15" t="str">
        <f>IF($B96="","",IFERROR(IF(INDEX(MASTER!$B$4:$B$1463,MATCH($B96,MASTER!$C$4:$C$1463,0))="","not matched",INDEX(MASTER!$B$4:$B$1463,MATCH($B96,MASTER!$C$4:$C$1463,0))),"not matched"))</f>
        <v>not matched</v>
      </c>
      <c r="G96" s="70"/>
      <c r="H96" s="71"/>
      <c r="I96" s="70">
        <v>9600</v>
      </c>
      <c r="J96" s="15" t="str">
        <f>IF($I96="","",INDEX(SETUP!$B$16:$B$22,MATCH($I96,SETUP!$A$16:$A$22,1)))</f>
        <v>ELITE</v>
      </c>
    </row>
    <row r="97" spans="1:10">
      <c r="A97" s="19">
        <f>IF($B97="","",COUNTIF($B$9:$B97,"?*"))</f>
        <v>89</v>
      </c>
      <c r="B97" s="63" t="s">
        <v>387</v>
      </c>
      <c r="C97" s="68" t="s">
        <v>296</v>
      </c>
      <c r="D97" s="69" t="s">
        <v>388</v>
      </c>
      <c r="E97" s="69" t="s">
        <v>285</v>
      </c>
      <c r="F97" s="19" t="str">
        <f>IF($B97="","",IFERROR(IF(INDEX(MASTER!$B$4:$B$1463,MATCH($B97,MASTER!$C$4:$C$1463,0))="","not matched",INDEX(MASTER!$B$4:$B$1463,MATCH($B97,MASTER!$C$4:$C$1463,0))),"not matched"))</f>
        <v>not matched</v>
      </c>
      <c r="G97" s="70"/>
      <c r="H97" s="71"/>
      <c r="I97" s="70">
        <v>8459</v>
      </c>
      <c r="J97" s="19" t="str">
        <f>IF($I97="","",INDEX(SETUP!$B$16:$B$22,MATCH($I97,SETUP!$A$16:$A$22,1)))</f>
        <v>ELITE</v>
      </c>
    </row>
    <row r="98" spans="1:10">
      <c r="A98" s="15">
        <f>IF($B98="","",COUNTIF($B$9:$B98,"?*"))</f>
        <v>90</v>
      </c>
      <c r="B98" s="63" t="s">
        <v>389</v>
      </c>
      <c r="C98" s="68" t="s">
        <v>296</v>
      </c>
      <c r="D98" s="69" t="s">
        <v>388</v>
      </c>
      <c r="E98" s="69" t="s">
        <v>285</v>
      </c>
      <c r="F98" s="15" t="str">
        <f>IF($B98="","",IFERROR(IF(INDEX(MASTER!$B$4:$B$1463,MATCH($B98,MASTER!$C$4:$C$1463,0))="","not matched",INDEX(MASTER!$B$4:$B$1463,MATCH($B98,MASTER!$C$4:$C$1463,0))),"not matched"))</f>
        <v>not matched</v>
      </c>
      <c r="G98" s="70">
        <v>59710</v>
      </c>
      <c r="H98" s="71">
        <v>3.96</v>
      </c>
      <c r="I98" s="70">
        <v>7835</v>
      </c>
      <c r="J98" s="15" t="str">
        <f>IF($I98="","",INDEX(SETUP!$B$16:$B$22,MATCH($I98,SETUP!$A$16:$A$22,1)))</f>
        <v>VETERAN</v>
      </c>
    </row>
    <row r="99" spans="1:10">
      <c r="A99" s="19">
        <f>IF($B99="","",COUNTIF($B$9:$B99,"?*"))</f>
        <v>91</v>
      </c>
      <c r="B99" s="63" t="s">
        <v>390</v>
      </c>
      <c r="C99" s="68" t="s">
        <v>296</v>
      </c>
      <c r="D99" s="69" t="s">
        <v>388</v>
      </c>
      <c r="E99" s="69" t="s">
        <v>285</v>
      </c>
      <c r="F99" s="19" t="str">
        <f>IF($B99="","",IFERROR(IF(INDEX(MASTER!$B$4:$B$1463,MATCH($B99,MASTER!$C$4:$C$1463,0))="","not matched",INDEX(MASTER!$B$4:$B$1463,MATCH($B99,MASTER!$C$4:$C$1463,0))),"not matched"))</f>
        <v>FUCT</v>
      </c>
      <c r="G99" s="70"/>
      <c r="H99" s="71"/>
      <c r="I99" s="70">
        <v>6137</v>
      </c>
      <c r="J99" s="19" t="str">
        <f>IF($I99="","",INDEX(SETUP!$B$16:$B$22,MATCH($I99,SETUP!$A$16:$A$22,1)))</f>
        <v>VETERAN</v>
      </c>
    </row>
    <row r="100" spans="1:10">
      <c r="A100" s="15">
        <f>IF($B100="","",COUNTIF($B$9:$B100,"?*"))</f>
        <v>92</v>
      </c>
      <c r="B100" s="63" t="s">
        <v>391</v>
      </c>
      <c r="C100" s="68" t="s">
        <v>296</v>
      </c>
      <c r="D100" s="69" t="s">
        <v>388</v>
      </c>
      <c r="E100" s="69" t="s">
        <v>285</v>
      </c>
      <c r="F100" s="15" t="str">
        <f>IF($B100="","",IFERROR(IF(INDEX(MASTER!$B$4:$B$1463,MATCH($B100,MASTER!$C$4:$C$1463,0))="","not matched",INDEX(MASTER!$B$4:$B$1463,MATCH($B100,MASTER!$C$4:$C$1463,0))),"not matched"))</f>
        <v>FUCT</v>
      </c>
      <c r="G100" s="70"/>
      <c r="H100" s="71"/>
      <c r="I100" s="70">
        <v>5574</v>
      </c>
      <c r="J100" s="15" t="str">
        <f>IF($I100="","",INDEX(SETUP!$B$16:$B$22,MATCH($I100,SETUP!$A$16:$A$22,1)))</f>
        <v>CORE</v>
      </c>
    </row>
    <row r="101" spans="1:10">
      <c r="A101" s="19">
        <f>IF($B101="","",COUNTIF($B$9:$B101,"?*"))</f>
        <v>93</v>
      </c>
      <c r="B101" s="63" t="s">
        <v>392</v>
      </c>
      <c r="C101" s="68" t="s">
        <v>296</v>
      </c>
      <c r="D101" s="69" t="s">
        <v>388</v>
      </c>
      <c r="E101" s="69" t="s">
        <v>285</v>
      </c>
      <c r="F101" s="19" t="str">
        <f>IF($B101="","",IFERROR(IF(INDEX(MASTER!$B$4:$B$1463,MATCH($B101,MASTER!$C$4:$C$1463,0))="","not matched",INDEX(MASTER!$B$4:$B$1463,MATCH($B101,MASTER!$C$4:$C$1463,0))),"not matched"))</f>
        <v>FUCT</v>
      </c>
      <c r="G101" s="70"/>
      <c r="H101" s="71"/>
      <c r="I101" s="70">
        <v>9001</v>
      </c>
      <c r="J101" s="19" t="str">
        <f>IF($I101="","",INDEX(SETUP!$B$16:$B$22,MATCH($I101,SETUP!$A$16:$A$22,1)))</f>
        <v>ELITE</v>
      </c>
    </row>
    <row r="102" spans="1:10">
      <c r="A102" s="15">
        <f>IF($B102="","",COUNTIF($B$9:$B102,"?*"))</f>
        <v>94</v>
      </c>
      <c r="B102" s="63" t="s">
        <v>393</v>
      </c>
      <c r="C102" s="68" t="s">
        <v>299</v>
      </c>
      <c r="D102" s="69" t="s">
        <v>394</v>
      </c>
      <c r="E102" s="69" t="s">
        <v>285</v>
      </c>
      <c r="F102" s="15" t="str">
        <f>IF($B102="","",IFERROR(IF(INDEX(MASTER!$B$4:$B$1463,MATCH($B102,MASTER!$C$4:$C$1463,0))="","not matched",INDEX(MASTER!$B$4:$B$1463,MATCH($B102,MASTER!$C$4:$C$1463,0))),"not matched"))</f>
        <v>not matched</v>
      </c>
      <c r="G102" s="70">
        <v>60383</v>
      </c>
      <c r="H102" s="71">
        <v>4.2</v>
      </c>
      <c r="I102" s="70">
        <v>4894</v>
      </c>
      <c r="J102" s="15" t="str">
        <f>IF($I102="","",INDEX(SETUP!$B$16:$B$22,MATCH($I102,SETUP!$A$16:$A$22,1)))</f>
        <v>CORE</v>
      </c>
    </row>
    <row r="103" spans="1:10">
      <c r="A103" s="19">
        <f>IF($B103="","",COUNTIF($B$9:$B103,"?*"))</f>
        <v>95</v>
      </c>
      <c r="B103" s="63" t="s">
        <v>395</v>
      </c>
      <c r="C103" s="68" t="s">
        <v>313</v>
      </c>
      <c r="D103" s="69" t="s">
        <v>394</v>
      </c>
      <c r="E103" s="69" t="s">
        <v>285</v>
      </c>
      <c r="F103" s="19" t="str">
        <f>IF($B103="","",IFERROR(IF(INDEX(MASTER!$B$4:$B$1463,MATCH($B103,MASTER!$C$4:$C$1463,0))="","not matched",INDEX(MASTER!$B$4:$B$1463,MATCH($B103,MASTER!$C$4:$C$1463,0))),"not matched"))</f>
        <v>not matched</v>
      </c>
      <c r="G103" s="70"/>
      <c r="H103" s="71"/>
      <c r="I103" s="70">
        <v>3853</v>
      </c>
      <c r="J103" s="19" t="str">
        <f>IF($I103="","",INDEX(SETUP!$B$16:$B$22,MATCH($I103,SETUP!$A$16:$A$22,1)))</f>
        <v>DEVELOPING</v>
      </c>
    </row>
    <row r="104" spans="1:10">
      <c r="A104" s="15">
        <f>IF($B104="","",COUNTIF($B$9:$B104,"?*"))</f>
        <v>96</v>
      </c>
      <c r="B104" s="63" t="s">
        <v>396</v>
      </c>
      <c r="C104" s="68" t="s">
        <v>296</v>
      </c>
      <c r="D104" s="69" t="s">
        <v>109</v>
      </c>
      <c r="E104" s="69" t="s">
        <v>285</v>
      </c>
      <c r="F104" s="15" t="str">
        <f>IF($B104="","",IFERROR(IF(INDEX(MASTER!$B$4:$B$1463,MATCH($B104,MASTER!$C$4:$C$1463,0))="","not matched",INDEX(MASTER!$B$4:$B$1463,MATCH($B104,MASTER!$C$4:$C$1463,0))),"not matched"))</f>
        <v>FUCT</v>
      </c>
      <c r="G104" s="70"/>
      <c r="H104" s="71"/>
      <c r="I104" s="70">
        <v>10376</v>
      </c>
      <c r="J104" s="15" t="str">
        <f>IF($I104="","",INDEX(SETUP!$B$16:$B$22,MATCH($I104,SETUP!$A$16:$A$22,1)))</f>
        <v>APEX</v>
      </c>
    </row>
    <row r="105" spans="1:10">
      <c r="A105" s="19">
        <f>IF($B105="","",COUNTIF($B$9:$B105,"?*"))</f>
        <v>97</v>
      </c>
      <c r="B105" s="63" t="s">
        <v>397</v>
      </c>
      <c r="C105" s="68" t="s">
        <v>296</v>
      </c>
      <c r="D105" s="69" t="s">
        <v>398</v>
      </c>
      <c r="E105" s="69" t="s">
        <v>287</v>
      </c>
      <c r="F105" s="19" t="str">
        <f>IF($B105="","",IFERROR(IF(INDEX(MASTER!$B$4:$B$1463,MATCH($B105,MASTER!$C$4:$C$1463,0))="","not matched",INDEX(MASTER!$B$4:$B$1463,MATCH($B105,MASTER!$C$4:$C$1463,0))),"not matched"))</f>
        <v>not matched</v>
      </c>
      <c r="G105" s="70">
        <v>57503</v>
      </c>
      <c r="H105" s="71">
        <v>3.48</v>
      </c>
      <c r="I105" s="70">
        <v>1488</v>
      </c>
      <c r="J105" s="19" t="str">
        <f>IF($I105="","",INDEX(SETUP!$B$16:$B$22,MATCH($I105,SETUP!$A$16:$A$22,1)))</f>
        <v>ROOKIE</v>
      </c>
    </row>
    <row r="106" spans="1:10">
      <c r="A106" s="15">
        <f>IF($B106="","",COUNTIF($B$9:$B106,"?*"))</f>
        <v>98</v>
      </c>
      <c r="B106" s="63" t="s">
        <v>399</v>
      </c>
      <c r="C106" s="68" t="s">
        <v>296</v>
      </c>
      <c r="D106" s="69" t="s">
        <v>400</v>
      </c>
      <c r="E106" s="69" t="s">
        <v>287</v>
      </c>
      <c r="F106" s="15" t="str">
        <f>IF($B106="","",IFERROR(IF(INDEX(MASTER!$B$4:$B$1463,MATCH($B106,MASTER!$C$4:$C$1463,0))="","not matched",INDEX(MASTER!$B$4:$B$1463,MATCH($B106,MASTER!$C$4:$C$1463,0))),"not matched"))</f>
        <v>not matched</v>
      </c>
      <c r="G106" s="70"/>
      <c r="H106" s="71"/>
      <c r="I106" s="70">
        <v>2884</v>
      </c>
      <c r="J106" s="15" t="str">
        <f>IF($I106="","",INDEX(SETUP!$B$16:$B$22,MATCH($I106,SETUP!$A$16:$A$22,1)))</f>
        <v>DEVELOPING</v>
      </c>
    </row>
    <row r="107" spans="1:10">
      <c r="A107" s="19">
        <f>IF($B107="","",COUNTIF($B$9:$B107,"?*"))</f>
        <v>99</v>
      </c>
      <c r="B107" s="63" t="s">
        <v>401</v>
      </c>
      <c r="C107" s="68" t="s">
        <v>296</v>
      </c>
      <c r="D107" s="69" t="s">
        <v>107</v>
      </c>
      <c r="E107" s="69" t="s">
        <v>285</v>
      </c>
      <c r="F107" s="19" t="str">
        <f>IF($B107="","",IFERROR(IF(INDEX(MASTER!$B$4:$B$1463,MATCH($B107,MASTER!$C$4:$C$1463,0))="","not matched",INDEX(MASTER!$B$4:$B$1463,MATCH($B107,MASTER!$C$4:$C$1463,0))),"not matched"))</f>
        <v>not matched</v>
      </c>
      <c r="G107" s="70"/>
      <c r="H107" s="71"/>
      <c r="I107" s="70">
        <v>7067</v>
      </c>
      <c r="J107" s="19" t="str">
        <f>IF($I107="","",INDEX(SETUP!$B$16:$B$22,MATCH($I107,SETUP!$A$16:$A$22,1)))</f>
        <v>VETERAN</v>
      </c>
    </row>
    <row r="108" spans="1:10">
      <c r="A108" s="15">
        <f>IF($B108="","",COUNTIF($B$9:$B108,"?*"))</f>
        <v>100</v>
      </c>
      <c r="B108" s="63" t="s">
        <v>402</v>
      </c>
      <c r="C108" s="68" t="s">
        <v>296</v>
      </c>
      <c r="D108" s="69" t="s">
        <v>107</v>
      </c>
      <c r="E108" s="69" t="s">
        <v>285</v>
      </c>
      <c r="F108" s="15" t="str">
        <f>IF($B108="","",IFERROR(IF(INDEX(MASTER!$B$4:$B$1463,MATCH($B108,MASTER!$C$4:$C$1463,0))="","not matched",INDEX(MASTER!$B$4:$B$1463,MATCH($B108,MASTER!$C$4:$C$1463,0))),"not matched"))</f>
        <v>FUCT</v>
      </c>
      <c r="G108" s="70"/>
      <c r="H108" s="71"/>
      <c r="I108" s="70">
        <v>10023</v>
      </c>
      <c r="J108" s="15" t="str">
        <f>IF($I108="","",INDEX(SETUP!$B$16:$B$22,MATCH($I108,SETUP!$A$16:$A$22,1)))</f>
        <v>APEX</v>
      </c>
    </row>
    <row r="109" spans="1:10">
      <c r="A109" s="19">
        <f>IF($B109="","",COUNTIF($B$9:$B109,"?*"))</f>
        <v>101</v>
      </c>
      <c r="B109" s="63" t="s">
        <v>403</v>
      </c>
      <c r="C109" s="68" t="s">
        <v>296</v>
      </c>
      <c r="D109" s="69" t="s">
        <v>86</v>
      </c>
      <c r="E109" s="69" t="s">
        <v>285</v>
      </c>
      <c r="F109" s="19" t="str">
        <f>IF($B109="","",IFERROR(IF(INDEX(MASTER!$B$4:$B$1463,MATCH($B109,MASTER!$C$4:$C$1463,0))="","not matched",INDEX(MASTER!$B$4:$B$1463,MATCH($B109,MASTER!$C$4:$C$1463,0))),"not matched"))</f>
        <v>not matched</v>
      </c>
      <c r="G109" s="70"/>
      <c r="H109" s="71"/>
      <c r="I109" s="70">
        <v>11479</v>
      </c>
      <c r="J109" s="19" t="str">
        <f>IF($I109="","",INDEX(SETUP!$B$16:$B$22,MATCH($I109,SETUP!$A$16:$A$22,1)))</f>
        <v>APEX</v>
      </c>
    </row>
    <row r="110" spans="1:10">
      <c r="A110" s="15">
        <f>IF($B110="","",COUNTIF($B$9:$B110,"?*"))</f>
        <v>102</v>
      </c>
      <c r="B110" s="63" t="s">
        <v>404</v>
      </c>
      <c r="C110" s="68" t="s">
        <v>299</v>
      </c>
      <c r="D110" s="69"/>
      <c r="E110" s="69" t="s">
        <v>286</v>
      </c>
      <c r="F110" s="15" t="str">
        <f>IF($B110="","",IFERROR(IF(INDEX(MASTER!$B$4:$B$1463,MATCH($B110,MASTER!$C$4:$C$1463,0))="","not matched",INDEX(MASTER!$B$4:$B$1463,MATCH($B110,MASTER!$C$4:$C$1463,0))),"not matched"))</f>
        <v>not matched</v>
      </c>
      <c r="G110" s="70">
        <v>57982</v>
      </c>
      <c r="H110" s="71">
        <v>4</v>
      </c>
      <c r="I110" s="70">
        <v>3188</v>
      </c>
      <c r="J110" s="15" t="str">
        <f>IF($I110="","",INDEX(SETUP!$B$16:$B$22,MATCH($I110,SETUP!$A$16:$A$22,1)))</f>
        <v>DEVELOPING</v>
      </c>
    </row>
    <row r="111" spans="1:10">
      <c r="A111" s="19">
        <f>IF($B111="","",COUNTIF($B$9:$B111,"?*"))</f>
        <v>103</v>
      </c>
      <c r="B111" s="63" t="s">
        <v>405</v>
      </c>
      <c r="C111" s="68" t="s">
        <v>299</v>
      </c>
      <c r="D111" s="69"/>
      <c r="E111" s="69" t="s">
        <v>286</v>
      </c>
      <c r="F111" s="19" t="str">
        <f>IF($B111="","",IFERROR(IF(INDEX(MASTER!$B$4:$B$1463,MATCH($B111,MASTER!$C$4:$C$1463,0))="","not matched",INDEX(MASTER!$B$4:$B$1463,MATCH($B111,MASTER!$C$4:$C$1463,0))),"not matched"))</f>
        <v>not matched</v>
      </c>
      <c r="G111" s="70">
        <v>58011</v>
      </c>
      <c r="H111" s="71">
        <v>4.25</v>
      </c>
      <c r="I111" s="70">
        <v>4340</v>
      </c>
      <c r="J111" s="19" t="str">
        <f>IF($I111="","",INDEX(SETUP!$B$16:$B$22,MATCH($I111,SETUP!$A$16:$A$22,1)))</f>
        <v>CORE</v>
      </c>
    </row>
    <row r="112" spans="1:10">
      <c r="A112" s="15">
        <f>IF($B112="","",COUNTIF($B$9:$B112,"?*"))</f>
        <v>104</v>
      </c>
      <c r="B112" s="63" t="s">
        <v>406</v>
      </c>
      <c r="C112" s="68" t="s">
        <v>299</v>
      </c>
      <c r="D112" s="69"/>
      <c r="E112" s="69" t="s">
        <v>286</v>
      </c>
      <c r="F112" s="15" t="str">
        <f>IF($B112="","",IFERROR(IF(INDEX(MASTER!$B$4:$B$1463,MATCH($B112,MASTER!$C$4:$C$1463,0))="","not matched",INDEX(MASTER!$B$4:$B$1463,MATCH($B112,MASTER!$C$4:$C$1463,0))),"not matched"))</f>
        <v>not matched</v>
      </c>
      <c r="G112" s="70">
        <v>56297</v>
      </c>
      <c r="H112" s="71">
        <v>2.8</v>
      </c>
      <c r="I112" s="70">
        <v>1234</v>
      </c>
      <c r="J112" s="15" t="str">
        <f>IF($I112="","",INDEX(SETUP!$B$16:$B$22,MATCH($I112,SETUP!$A$16:$A$22,1)))</f>
        <v>ROOKIE</v>
      </c>
    </row>
    <row r="113" spans="1:10">
      <c r="A113" s="19">
        <f>IF($B113="","",COUNTIF($B$9:$B113,"?*"))</f>
        <v>105</v>
      </c>
      <c r="B113" s="63" t="s">
        <v>407</v>
      </c>
      <c r="C113" s="68" t="s">
        <v>299</v>
      </c>
      <c r="D113" s="69"/>
      <c r="E113" s="69" t="s">
        <v>286</v>
      </c>
      <c r="F113" s="19" t="str">
        <f>IF($B113="","",IFERROR(IF(INDEX(MASTER!$B$4:$B$1463,MATCH($B113,MASTER!$C$4:$C$1463,0))="","not matched",INDEX(MASTER!$B$4:$B$1463,MATCH($B113,MASTER!$C$4:$C$1463,0))),"not matched"))</f>
        <v>not matched</v>
      </c>
      <c r="G113" s="70">
        <v>58658</v>
      </c>
      <c r="H113" s="71">
        <v>4.4000000000000004</v>
      </c>
      <c r="I113" s="70">
        <v>6031</v>
      </c>
      <c r="J113" s="19" t="str">
        <f>IF($I113="","",INDEX(SETUP!$B$16:$B$22,MATCH($I113,SETUP!$A$16:$A$22,1)))</f>
        <v>VETERAN</v>
      </c>
    </row>
    <row r="114" spans="1:10">
      <c r="A114" s="15">
        <f>IF($B114="","",COUNTIF($B$9:$B114,"?*"))</f>
        <v>106</v>
      </c>
      <c r="B114" s="63" t="s">
        <v>298</v>
      </c>
      <c r="C114" s="68" t="s">
        <v>299</v>
      </c>
      <c r="D114" s="69"/>
      <c r="E114" s="69" t="s">
        <v>286</v>
      </c>
      <c r="F114" s="15" t="str">
        <f>IF($B114="","",IFERROR(IF(INDEX(MASTER!$B$4:$B$1463,MATCH($B114,MASTER!$C$4:$C$1463,0))="","not matched",INDEX(MASTER!$B$4:$B$1463,MATCH($B114,MASTER!$C$4:$C$1463,0))),"not matched"))</f>
        <v>FUCT</v>
      </c>
      <c r="G114" s="70">
        <v>58707</v>
      </c>
      <c r="H114" s="71">
        <v>5</v>
      </c>
      <c r="I114" s="70">
        <v>7246</v>
      </c>
      <c r="J114" s="15" t="str">
        <f>IF($I114="","",INDEX(SETUP!$B$16:$B$22,MATCH($I114,SETUP!$A$16:$A$22,1)))</f>
        <v>VETERAN</v>
      </c>
    </row>
    <row r="115" spans="1:10">
      <c r="A115" s="19">
        <f>IF($B115="","",COUNTIF($B$9:$B115,"?*"))</f>
        <v>107</v>
      </c>
      <c r="B115" s="63" t="s">
        <v>408</v>
      </c>
      <c r="C115" s="68" t="s">
        <v>296</v>
      </c>
      <c r="D115" s="69"/>
      <c r="E115" s="69" t="s">
        <v>286</v>
      </c>
      <c r="F115" s="19" t="str">
        <f>IF($B115="","",IFERROR(IF(INDEX(MASTER!$B$4:$B$1463,MATCH($B115,MASTER!$C$4:$C$1463,0))="","not matched",INDEX(MASTER!$B$4:$B$1463,MATCH($B115,MASTER!$C$4:$C$1463,0))),"not matched"))</f>
        <v>not matched</v>
      </c>
      <c r="G115" s="70"/>
      <c r="H115" s="71"/>
      <c r="I115" s="70">
        <v>4039</v>
      </c>
      <c r="J115" s="19" t="str">
        <f>IF($I115="","",INDEX(SETUP!$B$16:$B$22,MATCH($I115,SETUP!$A$16:$A$22,1)))</f>
        <v>CORE</v>
      </c>
    </row>
    <row r="116" spans="1:10">
      <c r="A116" s="15">
        <f>IF($B116="","",COUNTIF($B$9:$B116,"?*"))</f>
        <v>108</v>
      </c>
      <c r="B116" s="63" t="s">
        <v>409</v>
      </c>
      <c r="C116" s="68" t="s">
        <v>299</v>
      </c>
      <c r="D116" s="69"/>
      <c r="E116" s="69" t="s">
        <v>286</v>
      </c>
      <c r="F116" s="15" t="str">
        <f>IF($B116="","",IFERROR(IF(INDEX(MASTER!$B$4:$B$1463,MATCH($B116,MASTER!$C$4:$C$1463,0))="","not matched",INDEX(MASTER!$B$4:$B$1463,MATCH($B116,MASTER!$C$4:$C$1463,0))),"not matched"))</f>
        <v>not matched</v>
      </c>
      <c r="G116" s="70">
        <v>59484</v>
      </c>
      <c r="H116" s="71">
        <v>4.3</v>
      </c>
      <c r="I116" s="70">
        <v>3307</v>
      </c>
      <c r="J116" s="15" t="str">
        <f>IF($I116="","",INDEX(SETUP!$B$16:$B$22,MATCH($I116,SETUP!$A$16:$A$22,1)))</f>
        <v>DEVELOPING</v>
      </c>
    </row>
    <row r="117" spans="1:10">
      <c r="A117" s="19">
        <f>IF($B117="","",COUNTIF($B$9:$B117,"?*"))</f>
        <v>109</v>
      </c>
      <c r="B117" s="63" t="s">
        <v>410</v>
      </c>
      <c r="C117" s="68" t="s">
        <v>299</v>
      </c>
      <c r="D117" s="69"/>
      <c r="E117" s="69" t="s">
        <v>286</v>
      </c>
      <c r="F117" s="19" t="str">
        <f>IF($B117="","",IFERROR(IF(INDEX(MASTER!$B$4:$B$1463,MATCH($B117,MASTER!$C$4:$C$1463,0))="","not matched",INDEX(MASTER!$B$4:$B$1463,MATCH($B117,MASTER!$C$4:$C$1463,0))),"not matched"))</f>
        <v>not matched</v>
      </c>
      <c r="G117" s="70">
        <v>58014</v>
      </c>
      <c r="H117" s="71">
        <v>3.5</v>
      </c>
      <c r="I117" s="70">
        <v>3610</v>
      </c>
      <c r="J117" s="19" t="str">
        <f>IF($I117="","",INDEX(SETUP!$B$16:$B$22,MATCH($I117,SETUP!$A$16:$A$22,1)))</f>
        <v>DEVELOPING</v>
      </c>
    </row>
    <row r="118" spans="1:10">
      <c r="A118" s="15">
        <f>IF($B118="","",COUNTIF($B$9:$B118,"?*"))</f>
        <v>110</v>
      </c>
      <c r="B118" s="63" t="s">
        <v>411</v>
      </c>
      <c r="C118" s="68" t="s">
        <v>299</v>
      </c>
      <c r="D118" s="69"/>
      <c r="E118" s="69" t="s">
        <v>286</v>
      </c>
      <c r="F118" s="15" t="str">
        <f>IF($B118="","",IFERROR(IF(INDEX(MASTER!$B$4:$B$1463,MATCH($B118,MASTER!$C$4:$C$1463,0))="","not matched",INDEX(MASTER!$B$4:$B$1463,MATCH($B118,MASTER!$C$4:$C$1463,0))),"not matched"))</f>
        <v>not matched</v>
      </c>
      <c r="G118" s="70">
        <v>57599</v>
      </c>
      <c r="H118" s="71">
        <v>3.1</v>
      </c>
      <c r="I118" s="70">
        <v>2514</v>
      </c>
      <c r="J118" s="15" t="str">
        <f>IF($I118="","",INDEX(SETUP!$B$16:$B$22,MATCH($I118,SETUP!$A$16:$A$22,1)))</f>
        <v>DEVELOPING</v>
      </c>
    </row>
    <row r="119" spans="1:10">
      <c r="A119" s="19">
        <f>IF($B119="","",COUNTIF($B$9:$B119,"?*"))</f>
        <v>111</v>
      </c>
      <c r="B119" s="63" t="s">
        <v>412</v>
      </c>
      <c r="C119" s="68" t="s">
        <v>299</v>
      </c>
      <c r="D119" s="69"/>
      <c r="E119" s="69" t="s">
        <v>286</v>
      </c>
      <c r="F119" s="19" t="str">
        <f>IF($B119="","",IFERROR(IF(INDEX(MASTER!$B$4:$B$1463,MATCH($B119,MASTER!$C$4:$C$1463,0))="","not matched",INDEX(MASTER!$B$4:$B$1463,MATCH($B119,MASTER!$C$4:$C$1463,0))),"not matched"))</f>
        <v>not matched</v>
      </c>
      <c r="G119" s="70">
        <v>58273</v>
      </c>
      <c r="H119" s="71">
        <v>4.4000000000000004</v>
      </c>
      <c r="I119" s="70">
        <v>3350</v>
      </c>
      <c r="J119" s="19" t="str">
        <f>IF($I119="","",INDEX(SETUP!$B$16:$B$22,MATCH($I119,SETUP!$A$16:$A$22,1)))</f>
        <v>DEVELOPING</v>
      </c>
    </row>
    <row r="120" spans="1:10">
      <c r="A120" s="15">
        <f>IF($B120="","",COUNTIF($B$9:$B120,"?*"))</f>
        <v>112</v>
      </c>
      <c r="B120" s="63" t="s">
        <v>413</v>
      </c>
      <c r="C120" s="68" t="s">
        <v>299</v>
      </c>
      <c r="D120" s="69"/>
      <c r="E120" s="69" t="s">
        <v>286</v>
      </c>
      <c r="F120" s="15" t="str">
        <f>IF($B120="","",IFERROR(IF(INDEX(MASTER!$B$4:$B$1463,MATCH($B120,MASTER!$C$4:$C$1463,0))="","not matched",INDEX(MASTER!$B$4:$B$1463,MATCH($B120,MASTER!$C$4:$C$1463,0))),"not matched"))</f>
        <v>not matched</v>
      </c>
      <c r="G120" s="70">
        <v>57286</v>
      </c>
      <c r="H120" s="71">
        <v>3.2</v>
      </c>
      <c r="I120" s="70">
        <v>4466</v>
      </c>
      <c r="J120" s="15" t="str">
        <f>IF($I120="","",INDEX(SETUP!$B$16:$B$22,MATCH($I120,SETUP!$A$16:$A$22,1)))</f>
        <v>CORE</v>
      </c>
    </row>
    <row r="121" spans="1:10">
      <c r="A121" s="19">
        <f>IF($B121="","",COUNTIF($B$9:$B121,"?*"))</f>
        <v>113</v>
      </c>
      <c r="B121" s="63" t="s">
        <v>414</v>
      </c>
      <c r="C121" s="68" t="s">
        <v>299</v>
      </c>
      <c r="D121" s="69"/>
      <c r="E121" s="69" t="s">
        <v>286</v>
      </c>
      <c r="F121" s="19" t="str">
        <f>IF($B121="","",IFERROR(IF(INDEX(MASTER!$B$4:$B$1463,MATCH($B121,MASTER!$C$4:$C$1463,0))="","not matched",INDEX(MASTER!$B$4:$B$1463,MATCH($B121,MASTER!$C$4:$C$1463,0))),"not matched"))</f>
        <v>not matched</v>
      </c>
      <c r="G121" s="70">
        <v>57906</v>
      </c>
      <c r="H121" s="71">
        <v>4.13</v>
      </c>
      <c r="I121" s="70">
        <v>2914</v>
      </c>
      <c r="J121" s="19" t="str">
        <f>IF($I121="","",INDEX(SETUP!$B$16:$B$22,MATCH($I121,SETUP!$A$16:$A$22,1)))</f>
        <v>DEVELOPING</v>
      </c>
    </row>
    <row r="122" spans="1:10">
      <c r="A122" s="15">
        <f>IF($B122="","",COUNTIF($B$9:$B122,"?*"))</f>
        <v>114</v>
      </c>
      <c r="B122" s="63" t="s">
        <v>415</v>
      </c>
      <c r="C122" s="68" t="s">
        <v>299</v>
      </c>
      <c r="D122" s="69"/>
      <c r="E122" s="69" t="s">
        <v>287</v>
      </c>
      <c r="F122" s="15" t="str">
        <f>IF($B122="","",IFERROR(IF(INDEX(MASTER!$B$4:$B$1463,MATCH($B122,MASTER!$C$4:$C$1463,0))="","not matched",INDEX(MASTER!$B$4:$B$1463,MATCH($B122,MASTER!$C$4:$C$1463,0))),"not matched"))</f>
        <v>not matched</v>
      </c>
      <c r="G122" s="70"/>
      <c r="H122" s="71"/>
      <c r="I122" s="70">
        <v>1040</v>
      </c>
      <c r="J122" s="15" t="str">
        <f>IF($I122="","",INDEX(SETUP!$B$16:$B$22,MATCH($I122,SETUP!$A$16:$A$22,1)))</f>
        <v>ROOKIE</v>
      </c>
    </row>
    <row r="123" spans="1:10">
      <c r="A123" s="19">
        <f>IF($B123="","",COUNTIF($B$9:$B123,"?*"))</f>
        <v>115</v>
      </c>
      <c r="B123" s="63" t="s">
        <v>416</v>
      </c>
      <c r="C123" s="68" t="s">
        <v>299</v>
      </c>
      <c r="D123" s="69"/>
      <c r="E123" s="69" t="s">
        <v>287</v>
      </c>
      <c r="F123" s="19" t="str">
        <f>IF($B123="","",IFERROR(IF(INDEX(MASTER!$B$4:$B$1463,MATCH($B123,MASTER!$C$4:$C$1463,0))="","not matched",INDEX(MASTER!$B$4:$B$1463,MATCH($B123,MASTER!$C$4:$C$1463,0))),"not matched"))</f>
        <v>not matched</v>
      </c>
      <c r="G123" s="70"/>
      <c r="H123" s="71"/>
      <c r="I123" s="70">
        <v>2580</v>
      </c>
      <c r="J123" s="19" t="str">
        <f>IF($I123="","",INDEX(SETUP!$B$16:$B$22,MATCH($I123,SETUP!$A$16:$A$22,1)))</f>
        <v>DEVELOPING</v>
      </c>
    </row>
    <row r="124" spans="1:10">
      <c r="A124" s="15">
        <f>IF($B124="","",COUNTIF($B$9:$B124,"?*"))</f>
        <v>116</v>
      </c>
      <c r="B124" s="63" t="s">
        <v>417</v>
      </c>
      <c r="C124" s="68" t="s">
        <v>299</v>
      </c>
      <c r="D124" s="69"/>
      <c r="E124" s="69" t="s">
        <v>286</v>
      </c>
      <c r="F124" s="15" t="str">
        <f>IF($B124="","",IFERROR(IF(INDEX(MASTER!$B$4:$B$1463,MATCH($B124,MASTER!$C$4:$C$1463,0))="","not matched",INDEX(MASTER!$B$4:$B$1463,MATCH($B124,MASTER!$C$4:$C$1463,0))),"not matched"))</f>
        <v>not matched</v>
      </c>
      <c r="G124" s="70">
        <v>57186</v>
      </c>
      <c r="H124" s="71">
        <v>3.55</v>
      </c>
      <c r="I124" s="70">
        <v>2642</v>
      </c>
      <c r="J124" s="15" t="str">
        <f>IF($I124="","",INDEX(SETUP!$B$16:$B$22,MATCH($I124,SETUP!$A$16:$A$22,1)))</f>
        <v>DEVELOPING</v>
      </c>
    </row>
    <row r="125" spans="1:10">
      <c r="A125" s="19">
        <f>IF($B125="","",COUNTIF($B$9:$B125,"?*"))</f>
        <v>117</v>
      </c>
      <c r="B125" s="63" t="s">
        <v>418</v>
      </c>
      <c r="C125" s="68" t="s">
        <v>299</v>
      </c>
      <c r="D125" s="69"/>
      <c r="E125" s="69" t="s">
        <v>286</v>
      </c>
      <c r="F125" s="19" t="str">
        <f>IF($B125="","",IFERROR(IF(INDEX(MASTER!$B$4:$B$1463,MATCH($B125,MASTER!$C$4:$C$1463,0))="","not matched",INDEX(MASTER!$B$4:$B$1463,MATCH($B125,MASTER!$C$4:$C$1463,0))),"not matched"))</f>
        <v>not matched</v>
      </c>
      <c r="G125" s="70">
        <v>59818</v>
      </c>
      <c r="H125" s="71">
        <v>4.3</v>
      </c>
      <c r="I125" s="70">
        <v>5600</v>
      </c>
      <c r="J125" s="19" t="str">
        <f>IF($I125="","",INDEX(SETUP!$B$16:$B$22,MATCH($I125,SETUP!$A$16:$A$22,1)))</f>
        <v>CORE</v>
      </c>
    </row>
    <row r="126" spans="1:10">
      <c r="A126" s="15">
        <f>IF($B126="","",COUNTIF($B$9:$B126,"?*"))</f>
        <v>118</v>
      </c>
      <c r="B126" s="63" t="s">
        <v>419</v>
      </c>
      <c r="C126" s="68" t="s">
        <v>299</v>
      </c>
      <c r="D126" s="69"/>
      <c r="E126" s="69" t="s">
        <v>286</v>
      </c>
      <c r="F126" s="15" t="str">
        <f>IF($B126="","",IFERROR(IF(INDEX(MASTER!$B$4:$B$1463,MATCH($B126,MASTER!$C$4:$C$1463,0))="","not matched",INDEX(MASTER!$B$4:$B$1463,MATCH($B126,MASTER!$C$4:$C$1463,0))),"not matched"))</f>
        <v>not matched</v>
      </c>
      <c r="G126" s="70">
        <v>57949</v>
      </c>
      <c r="H126" s="71">
        <v>4.74</v>
      </c>
      <c r="I126" s="70">
        <v>4596</v>
      </c>
      <c r="J126" s="15" t="str">
        <f>IF($I126="","",INDEX(SETUP!$B$16:$B$22,MATCH($I126,SETUP!$A$16:$A$22,1)))</f>
        <v>CORE</v>
      </c>
    </row>
    <row r="127" spans="1:10">
      <c r="A127" s="19">
        <f>IF($B127="","",COUNTIF($B$9:$B127,"?*"))</f>
        <v>119</v>
      </c>
      <c r="B127" s="63" t="s">
        <v>420</v>
      </c>
      <c r="C127" s="68" t="s">
        <v>299</v>
      </c>
      <c r="D127" s="69"/>
      <c r="E127" s="69" t="s">
        <v>286</v>
      </c>
      <c r="F127" s="19" t="str">
        <f>IF($B127="","",IFERROR(IF(INDEX(MASTER!$B$4:$B$1463,MATCH($B127,MASTER!$C$4:$C$1463,0))="","not matched",INDEX(MASTER!$B$4:$B$1463,MATCH($B127,MASTER!$C$4:$C$1463,0))),"not matched"))</f>
        <v>not matched</v>
      </c>
      <c r="G127" s="70">
        <v>57468</v>
      </c>
      <c r="H127" s="71">
        <v>3.7</v>
      </c>
      <c r="I127" s="70">
        <v>3527</v>
      </c>
      <c r="J127" s="19" t="str">
        <f>IF($I127="","",INDEX(SETUP!$B$16:$B$22,MATCH($I127,SETUP!$A$16:$A$22,1)))</f>
        <v>DEVELOPING</v>
      </c>
    </row>
    <row r="128" spans="1:10">
      <c r="A128" s="15">
        <f>IF($B128="","",COUNTIF($B$9:$B128,"?*"))</f>
        <v>120</v>
      </c>
      <c r="B128" s="63" t="s">
        <v>421</v>
      </c>
      <c r="C128" s="68" t="s">
        <v>299</v>
      </c>
      <c r="D128" s="69"/>
      <c r="E128" s="69" t="s">
        <v>286</v>
      </c>
      <c r="F128" s="15" t="str">
        <f>IF($B128="","",IFERROR(IF(INDEX(MASTER!$B$4:$B$1463,MATCH($B128,MASTER!$C$4:$C$1463,0))="","not matched",INDEX(MASTER!$B$4:$B$1463,MATCH($B128,MASTER!$C$4:$C$1463,0))),"not matched"))</f>
        <v>not matched</v>
      </c>
      <c r="G128" s="70">
        <v>59722</v>
      </c>
      <c r="H128" s="71">
        <v>3.1</v>
      </c>
      <c r="I128" s="70">
        <v>3264</v>
      </c>
      <c r="J128" s="15" t="str">
        <f>IF($I128="","",INDEX(SETUP!$B$16:$B$22,MATCH($I128,SETUP!$A$16:$A$22,1)))</f>
        <v>DEVELOPING</v>
      </c>
    </row>
    <row r="129" spans="1:10">
      <c r="A129" s="19">
        <f>IF($B129="","",COUNTIF($B$9:$B129,"?*"))</f>
        <v>121</v>
      </c>
      <c r="B129" s="63" t="s">
        <v>422</v>
      </c>
      <c r="C129" s="68" t="s">
        <v>299</v>
      </c>
      <c r="D129" s="69"/>
      <c r="E129" s="69" t="s">
        <v>423</v>
      </c>
      <c r="F129" s="19" t="str">
        <f>IF($B129="","",IFERROR(IF(INDEX(MASTER!$B$4:$B$1463,MATCH($B129,MASTER!$C$4:$C$1463,0))="","not matched",INDEX(MASTER!$B$4:$B$1463,MATCH($B129,MASTER!$C$4:$C$1463,0))),"not matched"))</f>
        <v>not matched</v>
      </c>
      <c r="G129" s="70"/>
      <c r="H129" s="71"/>
      <c r="I129" s="70">
        <v>4962</v>
      </c>
      <c r="J129" s="19" t="str">
        <f>IF($I129="","",INDEX(SETUP!$B$16:$B$22,MATCH($I129,SETUP!$A$16:$A$22,1)))</f>
        <v>CORE</v>
      </c>
    </row>
    <row r="130" spans="1:10">
      <c r="A130" s="15">
        <f>IF($B130="","",COUNTIF($B$9:$B130,"?*"))</f>
        <v>122</v>
      </c>
      <c r="B130" s="63" t="s">
        <v>424</v>
      </c>
      <c r="C130" s="68" t="s">
        <v>299</v>
      </c>
      <c r="D130" s="69"/>
      <c r="E130" s="69" t="s">
        <v>286</v>
      </c>
      <c r="F130" s="15" t="str">
        <f>IF($B130="","",IFERROR(IF(INDEX(MASTER!$B$4:$B$1463,MATCH($B130,MASTER!$C$4:$C$1463,0))="","not matched",INDEX(MASTER!$B$4:$B$1463,MATCH($B130,MASTER!$C$4:$C$1463,0))),"not matched"))</f>
        <v>not matched</v>
      </c>
      <c r="G130" s="70">
        <v>59896</v>
      </c>
      <c r="H130" s="71">
        <v>3.5</v>
      </c>
      <c r="I130" s="70">
        <v>2226</v>
      </c>
      <c r="J130" s="15" t="str">
        <f>IF($I130="","",INDEX(SETUP!$B$16:$B$22,MATCH($I130,SETUP!$A$16:$A$22,1)))</f>
        <v>DEVELOPING</v>
      </c>
    </row>
    <row r="131" spans="1:10">
      <c r="A131" s="19">
        <f>IF($B131="","",COUNTIF($B$9:$B131,"?*"))</f>
        <v>123</v>
      </c>
      <c r="B131" s="63" t="s">
        <v>425</v>
      </c>
      <c r="C131" s="68" t="s">
        <v>296</v>
      </c>
      <c r="D131" s="69"/>
      <c r="E131" s="69" t="s">
        <v>287</v>
      </c>
      <c r="F131" s="19" t="str">
        <f>IF($B131="","",IFERROR(IF(INDEX(MASTER!$B$4:$B$1463,MATCH($B131,MASTER!$C$4:$C$1463,0))="","not matched",INDEX(MASTER!$B$4:$B$1463,MATCH($B131,MASTER!$C$4:$C$1463,0))),"not matched"))</f>
        <v>not matched</v>
      </c>
      <c r="G131" s="70"/>
      <c r="H131" s="71"/>
      <c r="I131" s="70">
        <v>2308</v>
      </c>
      <c r="J131" s="19" t="str">
        <f>IF($I131="","",INDEX(SETUP!$B$16:$B$22,MATCH($I131,SETUP!$A$16:$A$22,1)))</f>
        <v>DEVELOPING</v>
      </c>
    </row>
    <row r="132" spans="1:10">
      <c r="A132" s="15">
        <f>IF($B132="","",COUNTIF($B$9:$B132,"?*"))</f>
        <v>124</v>
      </c>
      <c r="B132" s="63" t="s">
        <v>426</v>
      </c>
      <c r="C132" s="68" t="s">
        <v>299</v>
      </c>
      <c r="D132" s="69"/>
      <c r="E132" s="69" t="s">
        <v>286</v>
      </c>
      <c r="F132" s="15" t="str">
        <f>IF($B132="","",IFERROR(IF(INDEX(MASTER!$B$4:$B$1463,MATCH($B132,MASTER!$C$4:$C$1463,0))="","not matched",INDEX(MASTER!$B$4:$B$1463,MATCH($B132,MASTER!$C$4:$C$1463,0))),"not matched"))</f>
        <v>not matched</v>
      </c>
      <c r="G132" s="70">
        <v>59678</v>
      </c>
      <c r="H132" s="71">
        <v>4.7</v>
      </c>
      <c r="I132" s="70">
        <v>4556</v>
      </c>
      <c r="J132" s="15" t="str">
        <f>IF($I132="","",INDEX(SETUP!$B$16:$B$22,MATCH($I132,SETUP!$A$16:$A$22,1)))</f>
        <v>CORE</v>
      </c>
    </row>
    <row r="133" spans="1:10">
      <c r="A133" s="19">
        <f>IF($B133="","",COUNTIF($B$9:$B133,"?*"))</f>
        <v>125</v>
      </c>
      <c r="B133" s="63" t="s">
        <v>427</v>
      </c>
      <c r="C133" s="68" t="s">
        <v>299</v>
      </c>
      <c r="D133" s="69"/>
      <c r="E133" s="69" t="s">
        <v>286</v>
      </c>
      <c r="F133" s="19" t="str">
        <f>IF($B133="","",IFERROR(IF(INDEX(MASTER!$B$4:$B$1463,MATCH($B133,MASTER!$C$4:$C$1463,0))="","not matched",INDEX(MASTER!$B$4:$B$1463,MATCH($B133,MASTER!$C$4:$C$1463,0))),"not matched"))</f>
        <v>not matched</v>
      </c>
      <c r="G133" s="70">
        <v>57832</v>
      </c>
      <c r="H133" s="71">
        <v>3.54</v>
      </c>
      <c r="I133" s="70">
        <v>2400</v>
      </c>
      <c r="J133" s="19" t="str">
        <f>IF($I133="","",INDEX(SETUP!$B$16:$B$22,MATCH($I133,SETUP!$A$16:$A$22,1)))</f>
        <v>DEVELOPING</v>
      </c>
    </row>
    <row r="134" spans="1:10">
      <c r="A134" s="15">
        <f>IF($B134="","",COUNTIF($B$9:$B134,"?*"))</f>
        <v>126</v>
      </c>
      <c r="B134" s="63" t="s">
        <v>428</v>
      </c>
      <c r="C134" s="68" t="s">
        <v>299</v>
      </c>
      <c r="D134" s="69"/>
      <c r="E134" s="69" t="s">
        <v>286</v>
      </c>
      <c r="F134" s="15" t="str">
        <f>IF($B134="","",IFERROR(IF(INDEX(MASTER!$B$4:$B$1463,MATCH($B134,MASTER!$C$4:$C$1463,0))="","not matched",INDEX(MASTER!$B$4:$B$1463,MATCH($B134,MASTER!$C$4:$C$1463,0))),"not matched"))</f>
        <v>not matched</v>
      </c>
      <c r="G134" s="70">
        <v>57899</v>
      </c>
      <c r="H134" s="71">
        <v>4.5</v>
      </c>
      <c r="I134" s="70">
        <v>2302</v>
      </c>
      <c r="J134" s="15" t="str">
        <f>IF($I134="","",INDEX(SETUP!$B$16:$B$22,MATCH($I134,SETUP!$A$16:$A$22,1)))</f>
        <v>DEVELOPING</v>
      </c>
    </row>
    <row r="135" spans="1:10">
      <c r="A135" s="19">
        <f>IF($B135="","",COUNTIF($B$9:$B135,"?*"))</f>
        <v>127</v>
      </c>
      <c r="B135" s="63" t="s">
        <v>429</v>
      </c>
      <c r="C135" s="68" t="s">
        <v>299</v>
      </c>
      <c r="D135" s="69"/>
      <c r="E135" s="69" t="s">
        <v>286</v>
      </c>
      <c r="F135" s="19" t="str">
        <f>IF($B135="","",IFERROR(IF(INDEX(MASTER!$B$4:$B$1463,MATCH($B135,MASTER!$C$4:$C$1463,0))="","not matched",INDEX(MASTER!$B$4:$B$1463,MATCH($B135,MASTER!$C$4:$C$1463,0))),"not matched"))</f>
        <v>not matched</v>
      </c>
      <c r="G135" s="70">
        <v>59920</v>
      </c>
      <c r="H135" s="71">
        <v>3.8</v>
      </c>
      <c r="I135" s="70">
        <v>2801</v>
      </c>
      <c r="J135" s="19" t="str">
        <f>IF($I135="","",INDEX(SETUP!$B$16:$B$22,MATCH($I135,SETUP!$A$16:$A$22,1)))</f>
        <v>DEVELOPING</v>
      </c>
    </row>
    <row r="136" spans="1:10">
      <c r="A136" s="15">
        <f>IF($B136="","",COUNTIF($B$9:$B136,"?*"))</f>
        <v>128</v>
      </c>
      <c r="B136" s="63" t="s">
        <v>430</v>
      </c>
      <c r="C136" s="68" t="s">
        <v>299</v>
      </c>
      <c r="D136" s="69"/>
      <c r="E136" s="69" t="s">
        <v>286</v>
      </c>
      <c r="F136" s="15" t="str">
        <f>IF($B136="","",IFERROR(IF(INDEX(MASTER!$B$4:$B$1463,MATCH($B136,MASTER!$C$4:$C$1463,0))="","not matched",INDEX(MASTER!$B$4:$B$1463,MATCH($B136,MASTER!$C$4:$C$1463,0))),"not matched"))</f>
        <v>not matched</v>
      </c>
      <c r="G136" s="70">
        <v>56949</v>
      </c>
      <c r="H136" s="71">
        <v>3.61</v>
      </c>
      <c r="I136" s="70">
        <v>1950</v>
      </c>
      <c r="J136" s="15" t="str">
        <f>IF($I136="","",INDEX(SETUP!$B$16:$B$22,MATCH($I136,SETUP!$A$16:$A$22,1)))</f>
        <v>ROOKIE</v>
      </c>
    </row>
    <row r="137" spans="1:10">
      <c r="A137" s="19">
        <f>IF($B137="","",COUNTIF($B$9:$B137,"?*"))</f>
        <v>129</v>
      </c>
      <c r="B137" s="63" t="s">
        <v>431</v>
      </c>
      <c r="C137" s="68" t="s">
        <v>299</v>
      </c>
      <c r="D137" s="69"/>
      <c r="E137" s="69" t="s">
        <v>286</v>
      </c>
      <c r="F137" s="19" t="str">
        <f>IF($B137="","",IFERROR(IF(INDEX(MASTER!$B$4:$B$1463,MATCH($B137,MASTER!$C$4:$C$1463,0))="","not matched",INDEX(MASTER!$B$4:$B$1463,MATCH($B137,MASTER!$C$4:$C$1463,0))),"not matched"))</f>
        <v>not matched</v>
      </c>
      <c r="G137" s="70">
        <v>57199</v>
      </c>
      <c r="H137" s="71">
        <v>3.65</v>
      </c>
      <c r="I137" s="70">
        <v>3189</v>
      </c>
      <c r="J137" s="19" t="str">
        <f>IF($I137="","",INDEX(SETUP!$B$16:$B$22,MATCH($I137,SETUP!$A$16:$A$22,1)))</f>
        <v>DEVELOPING</v>
      </c>
    </row>
    <row r="138" spans="1:10">
      <c r="A138" s="15">
        <f>IF($B138="","",COUNTIF($B$9:$B138,"?*"))</f>
        <v>130</v>
      </c>
      <c r="B138" s="63" t="s">
        <v>432</v>
      </c>
      <c r="C138" s="68" t="s">
        <v>299</v>
      </c>
      <c r="D138" s="69"/>
      <c r="E138" s="69" t="s">
        <v>286</v>
      </c>
      <c r="F138" s="15" t="str">
        <f>IF($B138="","",IFERROR(IF(INDEX(MASTER!$B$4:$B$1463,MATCH($B138,MASTER!$C$4:$C$1463,0))="","not matched",INDEX(MASTER!$B$4:$B$1463,MATCH($B138,MASTER!$C$4:$C$1463,0))),"not matched"))</f>
        <v>not matched</v>
      </c>
      <c r="G138" s="70">
        <v>59813</v>
      </c>
      <c r="H138" s="71">
        <v>4.4000000000000004</v>
      </c>
      <c r="I138" s="70">
        <v>3005</v>
      </c>
      <c r="J138" s="15" t="str">
        <f>IF($I138="","",INDEX(SETUP!$B$16:$B$22,MATCH($I138,SETUP!$A$16:$A$22,1)))</f>
        <v>DEVELOPING</v>
      </c>
    </row>
    <row r="139" spans="1:10">
      <c r="A139" s="19">
        <f>IF($B139="","",COUNTIF($B$9:$B139,"?*"))</f>
        <v>131</v>
      </c>
      <c r="B139" s="63" t="s">
        <v>433</v>
      </c>
      <c r="C139" s="68" t="s">
        <v>299</v>
      </c>
      <c r="D139" s="69"/>
      <c r="E139" s="69" t="s">
        <v>286</v>
      </c>
      <c r="F139" s="19" t="str">
        <f>IF($B139="","",IFERROR(IF(INDEX(MASTER!$B$4:$B$1463,MATCH($B139,MASTER!$C$4:$C$1463,0))="","not matched",INDEX(MASTER!$B$4:$B$1463,MATCH($B139,MASTER!$C$4:$C$1463,0))),"not matched"))</f>
        <v>not matched</v>
      </c>
      <c r="G139" s="70">
        <v>57873</v>
      </c>
      <c r="H139" s="71">
        <v>4.5</v>
      </c>
      <c r="I139" s="70">
        <v>4391</v>
      </c>
      <c r="J139" s="19" t="str">
        <f>IF($I139="","",INDEX(SETUP!$B$16:$B$22,MATCH($I139,SETUP!$A$16:$A$22,1)))</f>
        <v>CORE</v>
      </c>
    </row>
    <row r="140" spans="1:10">
      <c r="A140" s="15">
        <f>IF($B140="","",COUNTIF($B$9:$B140,"?*"))</f>
        <v>132</v>
      </c>
      <c r="B140" s="63" t="s">
        <v>434</v>
      </c>
      <c r="C140" s="68" t="s">
        <v>296</v>
      </c>
      <c r="D140" s="69"/>
      <c r="E140" s="69" t="s">
        <v>287</v>
      </c>
      <c r="F140" s="15" t="str">
        <f>IF($B140="","",IFERROR(IF(INDEX(MASTER!$B$4:$B$1463,MATCH($B140,MASTER!$C$4:$C$1463,0))="","not matched",INDEX(MASTER!$B$4:$B$1463,MATCH($B140,MASTER!$C$4:$C$1463,0))),"not matched"))</f>
        <v>not matched</v>
      </c>
      <c r="G140" s="70"/>
      <c r="H140" s="71"/>
      <c r="I140" s="70">
        <v>2260</v>
      </c>
      <c r="J140" s="15" t="str">
        <f>IF($I140="","",INDEX(SETUP!$B$16:$B$22,MATCH($I140,SETUP!$A$16:$A$22,1)))</f>
        <v>DEVELOPING</v>
      </c>
    </row>
    <row r="141" spans="1:10">
      <c r="A141" s="19">
        <f>IF($B141="","",COUNTIF($B$9:$B141,"?*"))</f>
        <v>133</v>
      </c>
      <c r="B141" s="63" t="s">
        <v>435</v>
      </c>
      <c r="C141" s="68" t="s">
        <v>296</v>
      </c>
      <c r="D141" s="69"/>
      <c r="E141" s="69" t="s">
        <v>286</v>
      </c>
      <c r="F141" s="19" t="str">
        <f>IF($B141="","",IFERROR(IF(INDEX(MASTER!$B$4:$B$1463,MATCH($B141,MASTER!$C$4:$C$1463,0))="","not matched",INDEX(MASTER!$B$4:$B$1463,MATCH($B141,MASTER!$C$4:$C$1463,0))),"not matched"))</f>
        <v>not matched</v>
      </c>
      <c r="G141" s="70"/>
      <c r="H141" s="71"/>
      <c r="I141" s="70">
        <v>4314</v>
      </c>
      <c r="J141" s="19" t="str">
        <f>IF($I141="","",INDEX(SETUP!$B$16:$B$22,MATCH($I141,SETUP!$A$16:$A$22,1)))</f>
        <v>CORE</v>
      </c>
    </row>
    <row r="142" spans="1:10">
      <c r="A142" s="15">
        <f>IF($B142="","",COUNTIF($B$9:$B142,"?*"))</f>
        <v>134</v>
      </c>
      <c r="B142" s="63" t="s">
        <v>436</v>
      </c>
      <c r="C142" s="68" t="s">
        <v>299</v>
      </c>
      <c r="D142" s="69"/>
      <c r="E142" s="69" t="s">
        <v>286</v>
      </c>
      <c r="F142" s="15" t="str">
        <f>IF($B142="","",IFERROR(IF(INDEX(MASTER!$B$4:$B$1463,MATCH($B142,MASTER!$C$4:$C$1463,0))="","not matched",INDEX(MASTER!$B$4:$B$1463,MATCH($B142,MASTER!$C$4:$C$1463,0))),"not matched"))</f>
        <v>not matched</v>
      </c>
      <c r="G142" s="70">
        <v>60059</v>
      </c>
      <c r="H142" s="71">
        <v>4</v>
      </c>
      <c r="I142" s="70">
        <v>3198</v>
      </c>
      <c r="J142" s="15" t="str">
        <f>IF($I142="","",INDEX(SETUP!$B$16:$B$22,MATCH($I142,SETUP!$A$16:$A$22,1)))</f>
        <v>DEVELOPING</v>
      </c>
    </row>
    <row r="143" spans="1:10">
      <c r="A143" s="19">
        <f>IF($B143="","",COUNTIF($B$9:$B143,"?*"))</f>
        <v>135</v>
      </c>
      <c r="B143" s="63" t="s">
        <v>437</v>
      </c>
      <c r="C143" s="68" t="s">
        <v>299</v>
      </c>
      <c r="D143" s="69"/>
      <c r="E143" s="69" t="s">
        <v>286</v>
      </c>
      <c r="F143" s="19" t="str">
        <f>IF($B143="","",IFERROR(IF(INDEX(MASTER!$B$4:$B$1463,MATCH($B143,MASTER!$C$4:$C$1463,0))="","not matched",INDEX(MASTER!$B$4:$B$1463,MATCH($B143,MASTER!$C$4:$C$1463,0))),"not matched"))</f>
        <v>not matched</v>
      </c>
      <c r="G143" s="70">
        <v>57896</v>
      </c>
      <c r="H143" s="71">
        <v>4.42</v>
      </c>
      <c r="I143" s="70">
        <v>2509</v>
      </c>
      <c r="J143" s="19" t="str">
        <f>IF($I143="","",INDEX(SETUP!$B$16:$B$22,MATCH($I143,SETUP!$A$16:$A$22,1)))</f>
        <v>DEVELOPING</v>
      </c>
    </row>
    <row r="144" spans="1:10">
      <c r="A144" s="15">
        <f>IF($B144="","",COUNTIF($B$9:$B144,"?*"))</f>
        <v>136</v>
      </c>
      <c r="B144" s="63" t="s">
        <v>438</v>
      </c>
      <c r="C144" s="68" t="s">
        <v>296</v>
      </c>
      <c r="D144" s="69"/>
      <c r="E144" s="69" t="s">
        <v>287</v>
      </c>
      <c r="F144" s="15" t="str">
        <f>IF($B144="","",IFERROR(IF(INDEX(MASTER!$B$4:$B$1463,MATCH($B144,MASTER!$C$4:$C$1463,0))="","not matched",INDEX(MASTER!$B$4:$B$1463,MATCH($B144,MASTER!$C$4:$C$1463,0))),"not matched"))</f>
        <v>not matched</v>
      </c>
      <c r="G144" s="70"/>
      <c r="H144" s="71"/>
      <c r="I144" s="70">
        <v>2263</v>
      </c>
      <c r="J144" s="15" t="str">
        <f>IF($I144="","",INDEX(SETUP!$B$16:$B$22,MATCH($I144,SETUP!$A$16:$A$22,1)))</f>
        <v>DEVELOPING</v>
      </c>
    </row>
    <row r="145" spans="1:10">
      <c r="A145" s="19">
        <f>IF($B145="","",COUNTIF($B$9:$B145,"?*"))</f>
        <v>137</v>
      </c>
      <c r="B145" s="63" t="s">
        <v>439</v>
      </c>
      <c r="C145" s="68" t="s">
        <v>299</v>
      </c>
      <c r="D145" s="69"/>
      <c r="E145" s="69" t="s">
        <v>286</v>
      </c>
      <c r="F145" s="19" t="str">
        <f>IF($B145="","",IFERROR(IF(INDEX(MASTER!$B$4:$B$1463,MATCH($B145,MASTER!$C$4:$C$1463,0))="","not matched",INDEX(MASTER!$B$4:$B$1463,MATCH($B145,MASTER!$C$4:$C$1463,0))),"not matched"))</f>
        <v>not matched</v>
      </c>
      <c r="G145" s="70">
        <v>58027</v>
      </c>
      <c r="H145" s="71">
        <v>2.92</v>
      </c>
      <c r="I145" s="70">
        <v>2863</v>
      </c>
      <c r="J145" s="19" t="str">
        <f>IF($I145="","",INDEX(SETUP!$B$16:$B$22,MATCH($I145,SETUP!$A$16:$A$22,1)))</f>
        <v>DEVELOPING</v>
      </c>
    </row>
    <row r="146" spans="1:10">
      <c r="A146" s="15">
        <f>IF($B146="","",COUNTIF($B$9:$B146,"?*"))</f>
        <v>138</v>
      </c>
      <c r="B146" s="63" t="s">
        <v>440</v>
      </c>
      <c r="C146" s="68" t="s">
        <v>296</v>
      </c>
      <c r="D146" s="69"/>
      <c r="E146" s="69" t="s">
        <v>287</v>
      </c>
      <c r="F146" s="15" t="str">
        <f>IF($B146="","",IFERROR(IF(INDEX(MASTER!$B$4:$B$1463,MATCH($B146,MASTER!$C$4:$C$1463,0))="","not matched",INDEX(MASTER!$B$4:$B$1463,MATCH($B146,MASTER!$C$4:$C$1463,0))),"not matched"))</f>
        <v>not matched</v>
      </c>
      <c r="G146" s="70"/>
      <c r="H146" s="71"/>
      <c r="I146" s="70">
        <v>2714</v>
      </c>
      <c r="J146" s="15" t="str">
        <f>IF($I146="","",INDEX(SETUP!$B$16:$B$22,MATCH($I146,SETUP!$A$16:$A$22,1)))</f>
        <v>DEVELOPING</v>
      </c>
    </row>
    <row r="147" spans="1:10">
      <c r="A147" s="19">
        <f>IF($B147="","",COUNTIF($B$9:$B147,"?*"))</f>
        <v>139</v>
      </c>
      <c r="B147" s="63" t="s">
        <v>441</v>
      </c>
      <c r="C147" s="68" t="s">
        <v>296</v>
      </c>
      <c r="D147" s="69"/>
      <c r="E147" s="69" t="s">
        <v>287</v>
      </c>
      <c r="F147" s="19" t="str">
        <f>IF($B147="","",IFERROR(IF(INDEX(MASTER!$B$4:$B$1463,MATCH($B147,MASTER!$C$4:$C$1463,0))="","not matched",INDEX(MASTER!$B$4:$B$1463,MATCH($B147,MASTER!$C$4:$C$1463,0))),"not matched"))</f>
        <v>not matched</v>
      </c>
      <c r="G147" s="70"/>
      <c r="H147" s="71"/>
      <c r="I147" s="70">
        <v>2233</v>
      </c>
      <c r="J147" s="19" t="str">
        <f>IF($I147="","",INDEX(SETUP!$B$16:$B$22,MATCH($I147,SETUP!$A$16:$A$22,1)))</f>
        <v>DEVELOPING</v>
      </c>
    </row>
    <row r="148" spans="1:10">
      <c r="A148" s="15">
        <f>IF($B148="","",COUNTIF($B$9:$B148,"?*"))</f>
        <v>140</v>
      </c>
      <c r="B148" s="63" t="s">
        <v>442</v>
      </c>
      <c r="C148" s="68" t="s">
        <v>299</v>
      </c>
      <c r="D148" s="69"/>
      <c r="E148" s="69" t="s">
        <v>286</v>
      </c>
      <c r="F148" s="15" t="str">
        <f>IF($B148="","",IFERROR(IF(INDEX(MASTER!$B$4:$B$1463,MATCH($B148,MASTER!$C$4:$C$1463,0))="","not matched",INDEX(MASTER!$B$4:$B$1463,MATCH($B148,MASTER!$C$4:$C$1463,0))),"not matched"))</f>
        <v>not matched</v>
      </c>
      <c r="G148" s="70">
        <v>57536</v>
      </c>
      <c r="H148" s="71">
        <v>3.48</v>
      </c>
      <c r="I148" s="70">
        <v>2148</v>
      </c>
      <c r="J148" s="15" t="str">
        <f>IF($I148="","",INDEX(SETUP!$B$16:$B$22,MATCH($I148,SETUP!$A$16:$A$22,1)))</f>
        <v>DEVELOPING</v>
      </c>
    </row>
    <row r="149" spans="1:10">
      <c r="A149" s="19">
        <f>IF($B149="","",COUNTIF($B$9:$B149,"?*"))</f>
        <v>141</v>
      </c>
      <c r="B149" s="63" t="s">
        <v>443</v>
      </c>
      <c r="C149" s="68" t="s">
        <v>299</v>
      </c>
      <c r="D149" s="69"/>
      <c r="E149" s="69" t="s">
        <v>286</v>
      </c>
      <c r="F149" s="19" t="str">
        <f>IF($B149="","",IFERROR(IF(INDEX(MASTER!$B$4:$B$1463,MATCH($B149,MASTER!$C$4:$C$1463,0))="","not matched",INDEX(MASTER!$B$4:$B$1463,MATCH($B149,MASTER!$C$4:$C$1463,0))),"not matched"))</f>
        <v>not matched</v>
      </c>
      <c r="G149" s="70">
        <v>57894</v>
      </c>
      <c r="H149" s="71">
        <v>3.4</v>
      </c>
      <c r="I149" s="70">
        <v>3257</v>
      </c>
      <c r="J149" s="19" t="str">
        <f>IF($I149="","",INDEX(SETUP!$B$16:$B$22,MATCH($I149,SETUP!$A$16:$A$22,1)))</f>
        <v>DEVELOPING</v>
      </c>
    </row>
    <row r="150" spans="1:10">
      <c r="A150" s="15">
        <f>IF($B150="","",COUNTIF($B$9:$B150,"?*"))</f>
        <v>142</v>
      </c>
      <c r="B150" s="63" t="s">
        <v>444</v>
      </c>
      <c r="C150" s="68" t="s">
        <v>299</v>
      </c>
      <c r="D150" s="69"/>
      <c r="E150" s="69" t="s">
        <v>286</v>
      </c>
      <c r="F150" s="15" t="str">
        <f>IF($B150="","",IFERROR(IF(INDEX(MASTER!$B$4:$B$1463,MATCH($B150,MASTER!$C$4:$C$1463,0))="","not matched",INDEX(MASTER!$B$4:$B$1463,MATCH($B150,MASTER!$C$4:$C$1463,0))),"not matched"))</f>
        <v>not matched</v>
      </c>
      <c r="G150" s="70">
        <v>59425</v>
      </c>
      <c r="H150" s="71">
        <v>3.2</v>
      </c>
      <c r="I150" s="70">
        <v>2916</v>
      </c>
      <c r="J150" s="15" t="str">
        <f>IF($I150="","",INDEX(SETUP!$B$16:$B$22,MATCH($I150,SETUP!$A$16:$A$22,1)))</f>
        <v>DEVELOPING</v>
      </c>
    </row>
    <row r="151" spans="1:10">
      <c r="A151" s="19">
        <f>IF($B151="","",COUNTIF($B$9:$B151,"?*"))</f>
        <v>143</v>
      </c>
      <c r="B151" s="63" t="s">
        <v>445</v>
      </c>
      <c r="C151" s="68" t="s">
        <v>299</v>
      </c>
      <c r="D151" s="69"/>
      <c r="E151" s="69" t="s">
        <v>286</v>
      </c>
      <c r="F151" s="19" t="str">
        <f>IF($B151="","",IFERROR(IF(INDEX(MASTER!$B$4:$B$1463,MATCH($B151,MASTER!$C$4:$C$1463,0))="","not matched",INDEX(MASTER!$B$4:$B$1463,MATCH($B151,MASTER!$C$4:$C$1463,0))),"not matched"))</f>
        <v>not matched</v>
      </c>
      <c r="G151" s="70">
        <v>56902</v>
      </c>
      <c r="H151" s="71">
        <v>4.2</v>
      </c>
      <c r="I151" s="70">
        <v>2771</v>
      </c>
      <c r="J151" s="19" t="str">
        <f>IF($I151="","",INDEX(SETUP!$B$16:$B$22,MATCH($I151,SETUP!$A$16:$A$22,1)))</f>
        <v>DEVELOPING</v>
      </c>
    </row>
    <row r="152" spans="1:10">
      <c r="A152" s="15">
        <f>IF($B152="","",COUNTIF($B$9:$B152,"?*"))</f>
        <v>144</v>
      </c>
      <c r="B152" s="63" t="s">
        <v>446</v>
      </c>
      <c r="C152" s="68" t="s">
        <v>299</v>
      </c>
      <c r="D152" s="69"/>
      <c r="E152" s="69" t="s">
        <v>286</v>
      </c>
      <c r="F152" s="15" t="str">
        <f>IF($B152="","",IFERROR(IF(INDEX(MASTER!$B$4:$B$1463,MATCH($B152,MASTER!$C$4:$C$1463,0))="","not matched",INDEX(MASTER!$B$4:$B$1463,MATCH($B152,MASTER!$C$4:$C$1463,0))),"not matched"))</f>
        <v>not matched</v>
      </c>
      <c r="G152" s="70">
        <v>58580</v>
      </c>
      <c r="H152" s="71">
        <v>4.9000000000000004</v>
      </c>
      <c r="I152" s="70">
        <v>4214</v>
      </c>
      <c r="J152" s="15" t="str">
        <f>IF($I152="","",INDEX(SETUP!$B$16:$B$22,MATCH($I152,SETUP!$A$16:$A$22,1)))</f>
        <v>CORE</v>
      </c>
    </row>
    <row r="153" spans="1:10">
      <c r="A153" s="19">
        <f>IF($B153="","",COUNTIF($B$9:$B153,"?*"))</f>
        <v>145</v>
      </c>
      <c r="B153" s="63" t="s">
        <v>447</v>
      </c>
      <c r="C153" s="68" t="s">
        <v>296</v>
      </c>
      <c r="D153" s="69"/>
      <c r="E153" s="69" t="s">
        <v>287</v>
      </c>
      <c r="F153" s="19" t="str">
        <f>IF($B153="","",IFERROR(IF(INDEX(MASTER!$B$4:$B$1463,MATCH($B153,MASTER!$C$4:$C$1463,0))="","not matched",INDEX(MASTER!$B$4:$B$1463,MATCH($B153,MASTER!$C$4:$C$1463,0))),"not matched"))</f>
        <v>not matched</v>
      </c>
      <c r="G153" s="70"/>
      <c r="H153" s="71"/>
      <c r="I153" s="70">
        <v>2279</v>
      </c>
      <c r="J153" s="19" t="str">
        <f>IF($I153="","",INDEX(SETUP!$B$16:$B$22,MATCH($I153,SETUP!$A$16:$A$22,1)))</f>
        <v>DEVELOPING</v>
      </c>
    </row>
    <row r="154" spans="1:10">
      <c r="A154" s="15">
        <f>IF($B154="","",COUNTIF($B$9:$B154,"?*"))</f>
        <v>146</v>
      </c>
      <c r="B154" s="63" t="s">
        <v>448</v>
      </c>
      <c r="C154" s="68" t="s">
        <v>299</v>
      </c>
      <c r="D154" s="69"/>
      <c r="E154" s="69" t="s">
        <v>286</v>
      </c>
      <c r="F154" s="15" t="str">
        <f>IF($B154="","",IFERROR(IF(INDEX(MASTER!$B$4:$B$1463,MATCH($B154,MASTER!$C$4:$C$1463,0))="","not matched",INDEX(MASTER!$B$4:$B$1463,MATCH($B154,MASTER!$C$4:$C$1463,0))),"not matched"))</f>
        <v>not matched</v>
      </c>
      <c r="G154" s="70">
        <v>58136</v>
      </c>
      <c r="H154" s="71">
        <v>4.54</v>
      </c>
      <c r="I154" s="70">
        <v>3152</v>
      </c>
      <c r="J154" s="15" t="str">
        <f>IF($I154="","",INDEX(SETUP!$B$16:$B$22,MATCH($I154,SETUP!$A$16:$A$22,1)))</f>
        <v>DEVELOPING</v>
      </c>
    </row>
    <row r="155" spans="1:10">
      <c r="A155" s="19">
        <f>IF($B155="","",COUNTIF($B$9:$B155,"?*"))</f>
        <v>147</v>
      </c>
      <c r="B155" s="63" t="s">
        <v>449</v>
      </c>
      <c r="C155" s="68" t="s">
        <v>299</v>
      </c>
      <c r="D155" s="69"/>
      <c r="E155" s="69" t="s">
        <v>286</v>
      </c>
      <c r="F155" s="19" t="str">
        <f>IF($B155="","",IFERROR(IF(INDEX(MASTER!$B$4:$B$1463,MATCH($B155,MASTER!$C$4:$C$1463,0))="","not matched",INDEX(MASTER!$B$4:$B$1463,MATCH($B155,MASTER!$C$4:$C$1463,0))),"not matched"))</f>
        <v>not matched</v>
      </c>
      <c r="G155" s="70">
        <v>60114</v>
      </c>
      <c r="H155" s="71">
        <v>5</v>
      </c>
      <c r="I155" s="70">
        <v>3577</v>
      </c>
      <c r="J155" s="19" t="str">
        <f>IF($I155="","",INDEX(SETUP!$B$16:$B$22,MATCH($I155,SETUP!$A$16:$A$22,1)))</f>
        <v>DEVELOPING</v>
      </c>
    </row>
    <row r="156" spans="1:10">
      <c r="A156" s="15">
        <f>IF($B156="","",COUNTIF($B$9:$B156,"?*"))</f>
        <v>148</v>
      </c>
      <c r="B156" s="63" t="s">
        <v>450</v>
      </c>
      <c r="C156" s="68" t="s">
        <v>299</v>
      </c>
      <c r="D156" s="69"/>
      <c r="E156" s="69" t="s">
        <v>286</v>
      </c>
      <c r="F156" s="15" t="str">
        <f>IF($B156="","",IFERROR(IF(INDEX(MASTER!$B$4:$B$1463,MATCH($B156,MASTER!$C$4:$C$1463,0))="","not matched",INDEX(MASTER!$B$4:$B$1463,MATCH($B156,MASTER!$C$4:$C$1463,0))),"not matched"))</f>
        <v>not matched</v>
      </c>
      <c r="G156" s="70">
        <v>59578</v>
      </c>
      <c r="H156" s="71">
        <v>3.8</v>
      </c>
      <c r="I156" s="70">
        <v>3301</v>
      </c>
      <c r="J156" s="15" t="str">
        <f>IF($I156="","",INDEX(SETUP!$B$16:$B$22,MATCH($I156,SETUP!$A$16:$A$22,1)))</f>
        <v>DEVELOPING</v>
      </c>
    </row>
    <row r="157" spans="1:10">
      <c r="A157" s="19">
        <f>IF($B157="","",COUNTIF($B$9:$B157,"?*"))</f>
        <v>149</v>
      </c>
      <c r="B157" s="63" t="s">
        <v>451</v>
      </c>
      <c r="C157" s="68" t="s">
        <v>296</v>
      </c>
      <c r="D157" s="69"/>
      <c r="E157" s="69" t="s">
        <v>287</v>
      </c>
      <c r="F157" s="19" t="str">
        <f>IF($B157="","",IFERROR(IF(INDEX(MASTER!$B$4:$B$1463,MATCH($B157,MASTER!$C$4:$C$1463,0))="","not matched",INDEX(MASTER!$B$4:$B$1463,MATCH($B157,MASTER!$C$4:$C$1463,0))),"not matched"))</f>
        <v>not matched</v>
      </c>
      <c r="G157" s="70"/>
      <c r="H157" s="71"/>
      <c r="I157" s="70">
        <v>2146</v>
      </c>
      <c r="J157" s="19" t="str">
        <f>IF($I157="","",INDEX(SETUP!$B$16:$B$22,MATCH($I157,SETUP!$A$16:$A$22,1)))</f>
        <v>DEVELOPING</v>
      </c>
    </row>
    <row r="158" spans="1:10">
      <c r="A158" s="15">
        <f>IF($B158="","",COUNTIF($B$9:$B158,"?*"))</f>
        <v>150</v>
      </c>
      <c r="B158" s="63" t="s">
        <v>452</v>
      </c>
      <c r="C158" s="68" t="s">
        <v>299</v>
      </c>
      <c r="D158" s="69"/>
      <c r="E158" s="69" t="s">
        <v>287</v>
      </c>
      <c r="F158" s="15" t="str">
        <f>IF($B158="","",IFERROR(IF(INDEX(MASTER!$B$4:$B$1463,MATCH($B158,MASTER!$C$4:$C$1463,0))="","not matched",INDEX(MASTER!$B$4:$B$1463,MATCH($B158,MASTER!$C$4:$C$1463,0))),"not matched"))</f>
        <v>not matched</v>
      </c>
      <c r="G158" s="70">
        <v>58272</v>
      </c>
      <c r="H158" s="71">
        <v>3.3</v>
      </c>
      <c r="I158" s="70">
        <v>2600</v>
      </c>
      <c r="J158" s="15" t="str">
        <f>IF($I158="","",INDEX(SETUP!$B$16:$B$22,MATCH($I158,SETUP!$A$16:$A$22,1)))</f>
        <v>DEVELOPING</v>
      </c>
    </row>
    <row r="159" spans="1:10">
      <c r="A159" s="19">
        <f>IF($B159="","",COUNTIF($B$9:$B159,"?*"))</f>
        <v>151</v>
      </c>
      <c r="B159" s="63" t="s">
        <v>453</v>
      </c>
      <c r="C159" s="68" t="s">
        <v>299</v>
      </c>
      <c r="D159" s="69"/>
      <c r="E159" s="69" t="s">
        <v>287</v>
      </c>
      <c r="F159" s="19" t="str">
        <f>IF($B159="","",IFERROR(IF(INDEX(MASTER!$B$4:$B$1463,MATCH($B159,MASTER!$C$4:$C$1463,0))="","not matched",INDEX(MASTER!$B$4:$B$1463,MATCH($B159,MASTER!$C$4:$C$1463,0))),"not matched"))</f>
        <v>not matched</v>
      </c>
      <c r="G159" s="70"/>
      <c r="H159" s="71"/>
      <c r="I159" s="70">
        <v>2284</v>
      </c>
      <c r="J159" s="19" t="str">
        <f>IF($I159="","",INDEX(SETUP!$B$16:$B$22,MATCH($I159,SETUP!$A$16:$A$22,1)))</f>
        <v>DEVELOPING</v>
      </c>
    </row>
    <row r="160" spans="1:10">
      <c r="A160" s="15">
        <f>IF($B160="","",COUNTIF($B$9:$B160,"?*"))</f>
        <v>152</v>
      </c>
      <c r="B160" s="63" t="s">
        <v>454</v>
      </c>
      <c r="C160" s="68" t="s">
        <v>299</v>
      </c>
      <c r="D160" s="69"/>
      <c r="E160" s="69" t="s">
        <v>287</v>
      </c>
      <c r="F160" s="15" t="str">
        <f>IF($B160="","",IFERROR(IF(INDEX(MASTER!$B$4:$B$1463,MATCH($B160,MASTER!$C$4:$C$1463,0))="","not matched",INDEX(MASTER!$B$4:$B$1463,MATCH($B160,MASTER!$C$4:$C$1463,0))),"not matched"))</f>
        <v>not matched</v>
      </c>
      <c r="G160" s="70"/>
      <c r="H160" s="71"/>
      <c r="I160" s="70">
        <v>2452</v>
      </c>
      <c r="J160" s="15" t="str">
        <f>IF($I160="","",INDEX(SETUP!$B$16:$B$22,MATCH($I160,SETUP!$A$16:$A$22,1)))</f>
        <v>DEVELOPING</v>
      </c>
    </row>
    <row r="161" spans="1:10">
      <c r="A161" s="19">
        <f>IF($B161="","",COUNTIF($B$9:$B161,"?*"))</f>
        <v>153</v>
      </c>
      <c r="B161" s="63" t="s">
        <v>455</v>
      </c>
      <c r="C161" s="68" t="s">
        <v>299</v>
      </c>
      <c r="D161" s="69"/>
      <c r="E161" s="69" t="s">
        <v>286</v>
      </c>
      <c r="F161" s="19" t="str">
        <f>IF($B161="","",IFERROR(IF(INDEX(MASTER!$B$4:$B$1463,MATCH($B161,MASTER!$C$4:$C$1463,0))="","not matched",INDEX(MASTER!$B$4:$B$1463,MATCH($B161,MASTER!$C$4:$C$1463,0))),"not matched"))</f>
        <v>not matched</v>
      </c>
      <c r="G161" s="70">
        <v>58040</v>
      </c>
      <c r="H161" s="71">
        <v>3.8</v>
      </c>
      <c r="I161" s="70">
        <v>1730</v>
      </c>
      <c r="J161" s="19" t="str">
        <f>IF($I161="","",INDEX(SETUP!$B$16:$B$22,MATCH($I161,SETUP!$A$16:$A$22,1)))</f>
        <v>ROOKIE</v>
      </c>
    </row>
    <row r="162" spans="1:10">
      <c r="A162" s="15">
        <f>IF($B162="","",COUNTIF($B$9:$B162,"?*"))</f>
        <v>154</v>
      </c>
      <c r="B162" s="63" t="s">
        <v>456</v>
      </c>
      <c r="C162" s="68" t="s">
        <v>299</v>
      </c>
      <c r="D162" s="69"/>
      <c r="E162" s="69" t="s">
        <v>287</v>
      </c>
      <c r="F162" s="15" t="str">
        <f>IF($B162="","",IFERROR(IF(INDEX(MASTER!$B$4:$B$1463,MATCH($B162,MASTER!$C$4:$C$1463,0))="","not matched",INDEX(MASTER!$B$4:$B$1463,MATCH($B162,MASTER!$C$4:$C$1463,0))),"not matched"))</f>
        <v>not matched</v>
      </c>
      <c r="G162" s="70">
        <v>59891</v>
      </c>
      <c r="H162" s="71">
        <v>4.25</v>
      </c>
      <c r="I162" s="70">
        <v>2184</v>
      </c>
      <c r="J162" s="15" t="str">
        <f>IF($I162="","",INDEX(SETUP!$B$16:$B$22,MATCH($I162,SETUP!$A$16:$A$22,1)))</f>
        <v>DEVELOPING</v>
      </c>
    </row>
    <row r="163" spans="1:10">
      <c r="A163" s="19">
        <f>IF($B163="","",COUNTIF($B$9:$B163,"?*"))</f>
        <v>155</v>
      </c>
      <c r="B163" s="63" t="s">
        <v>457</v>
      </c>
      <c r="C163" s="68" t="s">
        <v>299</v>
      </c>
      <c r="D163" s="69"/>
      <c r="E163" s="69" t="s">
        <v>286</v>
      </c>
      <c r="F163" s="19" t="str">
        <f>IF($B163="","",IFERROR(IF(INDEX(MASTER!$B$4:$B$1463,MATCH($B163,MASTER!$C$4:$C$1463,0))="","not matched",INDEX(MASTER!$B$4:$B$1463,MATCH($B163,MASTER!$C$4:$C$1463,0))),"not matched"))</f>
        <v>not matched</v>
      </c>
      <c r="G163" s="70">
        <v>59429</v>
      </c>
      <c r="H163" s="71">
        <v>4.6500000000000004</v>
      </c>
      <c r="I163" s="70">
        <v>3126</v>
      </c>
      <c r="J163" s="19" t="str">
        <f>IF($I163="","",INDEX(SETUP!$B$16:$B$22,MATCH($I163,SETUP!$A$16:$A$22,1)))</f>
        <v>DEVELOPING</v>
      </c>
    </row>
    <row r="164" spans="1:10">
      <c r="A164" s="15">
        <f>IF($B164="","",COUNTIF($B$9:$B164,"?*"))</f>
        <v>156</v>
      </c>
      <c r="B164" s="63" t="s">
        <v>458</v>
      </c>
      <c r="C164" s="68" t="s">
        <v>296</v>
      </c>
      <c r="D164" s="69"/>
      <c r="E164" s="69" t="s">
        <v>286</v>
      </c>
      <c r="F164" s="15" t="str">
        <f>IF($B164="","",IFERROR(IF(INDEX(MASTER!$B$4:$B$1463,MATCH($B164,MASTER!$C$4:$C$1463,0))="","not matched",INDEX(MASTER!$B$4:$B$1463,MATCH($B164,MASTER!$C$4:$C$1463,0))),"not matched"))</f>
        <v>not matched</v>
      </c>
      <c r="G164" s="70"/>
      <c r="H164" s="71"/>
      <c r="I164" s="70">
        <v>2538</v>
      </c>
      <c r="J164" s="15" t="str">
        <f>IF($I164="","",INDEX(SETUP!$B$16:$B$22,MATCH($I164,SETUP!$A$16:$A$22,1)))</f>
        <v>DEVELOPING</v>
      </c>
    </row>
    <row r="165" spans="1:10">
      <c r="A165" s="19">
        <f>IF($B165="","",COUNTIF($B$9:$B165,"?*"))</f>
        <v>157</v>
      </c>
      <c r="B165" s="63" t="s">
        <v>459</v>
      </c>
      <c r="C165" s="68" t="s">
        <v>299</v>
      </c>
      <c r="D165" s="69"/>
      <c r="E165" s="69" t="s">
        <v>286</v>
      </c>
      <c r="F165" s="19" t="str">
        <f>IF($B165="","",IFERROR(IF(INDEX(MASTER!$B$4:$B$1463,MATCH($B165,MASTER!$C$4:$C$1463,0))="","not matched",INDEX(MASTER!$B$4:$B$1463,MATCH($B165,MASTER!$C$4:$C$1463,0))),"not matched"))</f>
        <v>not matched</v>
      </c>
      <c r="G165" s="70">
        <v>58391</v>
      </c>
      <c r="H165" s="71">
        <v>3</v>
      </c>
      <c r="I165" s="70">
        <v>914</v>
      </c>
      <c r="J165" s="19" t="str">
        <f>IF($I165="","",INDEX(SETUP!$B$16:$B$22,MATCH($I165,SETUP!$A$16:$A$22,1)))</f>
        <v>ROOKIE</v>
      </c>
    </row>
    <row r="166" spans="1:10">
      <c r="A166" s="15">
        <f>IF($B166="","",COUNTIF($B$9:$B166,"?*"))</f>
        <v>158</v>
      </c>
      <c r="B166" s="63" t="s">
        <v>460</v>
      </c>
      <c r="C166" s="68" t="s">
        <v>299</v>
      </c>
      <c r="D166" s="69"/>
      <c r="E166" s="69" t="s">
        <v>286</v>
      </c>
      <c r="F166" s="15" t="str">
        <f>IF($B166="","",IFERROR(IF(INDEX(MASTER!$B$4:$B$1463,MATCH($B166,MASTER!$C$4:$C$1463,0))="","not matched",INDEX(MASTER!$B$4:$B$1463,MATCH($B166,MASTER!$C$4:$C$1463,0))),"not matched"))</f>
        <v>not matched</v>
      </c>
      <c r="G166" s="70">
        <v>57770</v>
      </c>
      <c r="H166" s="71">
        <v>4.8</v>
      </c>
      <c r="I166" s="70">
        <v>3170</v>
      </c>
      <c r="J166" s="15" t="str">
        <f>IF($I166="","",INDEX(SETUP!$B$16:$B$22,MATCH($I166,SETUP!$A$16:$A$22,1)))</f>
        <v>DEVELOPING</v>
      </c>
    </row>
    <row r="167" spans="1:10">
      <c r="A167" s="19">
        <f>IF($B167="","",COUNTIF($B$9:$B167,"?*"))</f>
        <v>159</v>
      </c>
      <c r="B167" s="63" t="s">
        <v>461</v>
      </c>
      <c r="C167" s="68" t="s">
        <v>299</v>
      </c>
      <c r="D167" s="69"/>
      <c r="E167" s="69" t="s">
        <v>286</v>
      </c>
      <c r="F167" s="19" t="str">
        <f>IF($B167="","",IFERROR(IF(INDEX(MASTER!$B$4:$B$1463,MATCH($B167,MASTER!$C$4:$C$1463,0))="","not matched",INDEX(MASTER!$B$4:$B$1463,MATCH($B167,MASTER!$C$4:$C$1463,0))),"not matched"))</f>
        <v>not matched</v>
      </c>
      <c r="G167" s="70">
        <v>58254</v>
      </c>
      <c r="H167" s="71"/>
      <c r="I167" s="70">
        <v>1805</v>
      </c>
      <c r="J167" s="19" t="str">
        <f>IF($I167="","",INDEX(SETUP!$B$16:$B$22,MATCH($I167,SETUP!$A$16:$A$22,1)))</f>
        <v>ROOKIE</v>
      </c>
    </row>
    <row r="168" spans="1:10">
      <c r="A168" s="15">
        <f>IF($B168="","",COUNTIF($B$9:$B168,"?*"))</f>
        <v>160</v>
      </c>
      <c r="B168" s="63" t="s">
        <v>462</v>
      </c>
      <c r="C168" s="68" t="s">
        <v>313</v>
      </c>
      <c r="D168" s="69"/>
      <c r="E168" s="69" t="s">
        <v>287</v>
      </c>
      <c r="F168" s="15" t="str">
        <f>IF($B168="","",IFERROR(IF(INDEX(MASTER!$B$4:$B$1463,MATCH($B168,MASTER!$C$4:$C$1463,0))="","not matched",INDEX(MASTER!$B$4:$B$1463,MATCH($B168,MASTER!$C$4:$C$1463,0))),"not matched"))</f>
        <v>not matched</v>
      </c>
      <c r="G168" s="70"/>
      <c r="H168" s="71"/>
      <c r="I168" s="70">
        <v>2572</v>
      </c>
      <c r="J168" s="15" t="str">
        <f>IF($I168="","",INDEX(SETUP!$B$16:$B$22,MATCH($I168,SETUP!$A$16:$A$22,1)))</f>
        <v>DEVELOPING</v>
      </c>
    </row>
    <row r="169" spans="1:10">
      <c r="A169" s="19">
        <f>IF($B169="","",COUNTIF($B$9:$B169,"?*"))</f>
        <v>161</v>
      </c>
      <c r="B169" s="63" t="s">
        <v>463</v>
      </c>
      <c r="C169" s="68" t="s">
        <v>299</v>
      </c>
      <c r="D169" s="69"/>
      <c r="E169" s="69" t="s">
        <v>286</v>
      </c>
      <c r="F169" s="19" t="str">
        <f>IF($B169="","",IFERROR(IF(INDEX(MASTER!$B$4:$B$1463,MATCH($B169,MASTER!$C$4:$C$1463,0))="","not matched",INDEX(MASTER!$B$4:$B$1463,MATCH($B169,MASTER!$C$4:$C$1463,0))),"not matched"))</f>
        <v>not matched</v>
      </c>
      <c r="G169" s="70">
        <v>59990</v>
      </c>
      <c r="H169" s="71">
        <v>3.5</v>
      </c>
      <c r="I169" s="70">
        <v>4963</v>
      </c>
      <c r="J169" s="19" t="str">
        <f>IF($I169="","",INDEX(SETUP!$B$16:$B$22,MATCH($I169,SETUP!$A$16:$A$22,1)))</f>
        <v>CORE</v>
      </c>
    </row>
    <row r="170" spans="1:10">
      <c r="A170" s="15">
        <f>IF($B170="","",COUNTIF($B$9:$B170,"?*"))</f>
        <v>162</v>
      </c>
      <c r="B170" s="63" t="s">
        <v>464</v>
      </c>
      <c r="C170" s="68" t="s">
        <v>299</v>
      </c>
      <c r="D170" s="69"/>
      <c r="E170" s="69" t="s">
        <v>286</v>
      </c>
      <c r="F170" s="15" t="str">
        <f>IF($B170="","",IFERROR(IF(INDEX(MASTER!$B$4:$B$1463,MATCH($B170,MASTER!$C$4:$C$1463,0))="","not matched",INDEX(MASTER!$B$4:$B$1463,MATCH($B170,MASTER!$C$4:$C$1463,0))),"not matched"))</f>
        <v>not matched</v>
      </c>
      <c r="G170" s="70">
        <v>60054</v>
      </c>
      <c r="H170" s="71">
        <v>5</v>
      </c>
      <c r="I170" s="70">
        <v>3274</v>
      </c>
      <c r="J170" s="15" t="str">
        <f>IF($I170="","",INDEX(SETUP!$B$16:$B$22,MATCH($I170,SETUP!$A$16:$A$22,1)))</f>
        <v>DEVELOPING</v>
      </c>
    </row>
    <row r="171" spans="1:10">
      <c r="A171" s="19">
        <f>IF($B171="","",COUNTIF($B$9:$B171,"?*"))</f>
        <v>163</v>
      </c>
      <c r="B171" s="63" t="s">
        <v>465</v>
      </c>
      <c r="C171" s="68" t="s">
        <v>466</v>
      </c>
      <c r="D171" s="69"/>
      <c r="E171" s="69" t="s">
        <v>384</v>
      </c>
      <c r="F171" s="19" t="str">
        <f>IF($B171="","",IFERROR(IF(INDEX(MASTER!$B$4:$B$1463,MATCH($B171,MASTER!$C$4:$C$1463,0))="","not matched",INDEX(MASTER!$B$4:$B$1463,MATCH($B171,MASTER!$C$4:$C$1463,0))),"not matched"))</f>
        <v>not matched</v>
      </c>
      <c r="G171" s="70"/>
      <c r="H171" s="71"/>
      <c r="I171" s="70">
        <v>3028</v>
      </c>
      <c r="J171" s="19" t="str">
        <f>IF($I171="","",INDEX(SETUP!$B$16:$B$22,MATCH($I171,SETUP!$A$16:$A$22,1)))</f>
        <v>DEVELOPING</v>
      </c>
    </row>
    <row r="172" spans="1:10">
      <c r="A172" s="15">
        <f>IF($B172="","",COUNTIF($B$9:$B172,"?*"))</f>
        <v>164</v>
      </c>
      <c r="B172" s="63" t="s">
        <v>467</v>
      </c>
      <c r="C172" s="68" t="s">
        <v>299</v>
      </c>
      <c r="D172" s="69"/>
      <c r="E172" s="69" t="s">
        <v>286</v>
      </c>
      <c r="F172" s="15" t="str">
        <f>IF($B172="","",IFERROR(IF(INDEX(MASTER!$B$4:$B$1463,MATCH($B172,MASTER!$C$4:$C$1463,0))="","not matched",INDEX(MASTER!$B$4:$B$1463,MATCH($B172,MASTER!$C$4:$C$1463,0))),"not matched"))</f>
        <v>not matched</v>
      </c>
      <c r="G172" s="70">
        <v>58274</v>
      </c>
      <c r="H172" s="71">
        <v>4.4000000000000004</v>
      </c>
      <c r="I172" s="70">
        <v>3804</v>
      </c>
      <c r="J172" s="15" t="str">
        <f>IF($I172="","",INDEX(SETUP!$B$16:$B$22,MATCH($I172,SETUP!$A$16:$A$22,1)))</f>
        <v>DEVELOPING</v>
      </c>
    </row>
    <row r="173" spans="1:10">
      <c r="A173" s="19">
        <f>IF($B173="","",COUNTIF($B$9:$B173,"?*"))</f>
        <v>165</v>
      </c>
      <c r="B173" s="63" t="s">
        <v>468</v>
      </c>
      <c r="C173" s="68" t="s">
        <v>299</v>
      </c>
      <c r="D173" s="69"/>
      <c r="E173" s="69" t="s">
        <v>286</v>
      </c>
      <c r="F173" s="19" t="str">
        <f>IF($B173="","",IFERROR(IF(INDEX(MASTER!$B$4:$B$1463,MATCH($B173,MASTER!$C$4:$C$1463,0))="","not matched",INDEX(MASTER!$B$4:$B$1463,MATCH($B173,MASTER!$C$4:$C$1463,0))),"not matched"))</f>
        <v>not matched</v>
      </c>
      <c r="G173" s="70">
        <v>59401</v>
      </c>
      <c r="H173" s="71">
        <v>4.3</v>
      </c>
      <c r="I173" s="70">
        <v>3716</v>
      </c>
      <c r="J173" s="19" t="str">
        <f>IF($I173="","",INDEX(SETUP!$B$16:$B$22,MATCH($I173,SETUP!$A$16:$A$22,1)))</f>
        <v>DEVELOPING</v>
      </c>
    </row>
    <row r="174" spans="1:10">
      <c r="A174" s="15">
        <f>IF($B174="","",COUNTIF($B$9:$B174,"?*"))</f>
        <v>166</v>
      </c>
      <c r="B174" s="63" t="s">
        <v>469</v>
      </c>
      <c r="C174" s="68" t="s">
        <v>299</v>
      </c>
      <c r="D174" s="69"/>
      <c r="E174" s="69" t="s">
        <v>286</v>
      </c>
      <c r="F174" s="15" t="str">
        <f>IF($B174="","",IFERROR(IF(INDEX(MASTER!$B$4:$B$1463,MATCH($B174,MASTER!$C$4:$C$1463,0))="","not matched",INDEX(MASTER!$B$4:$B$1463,MATCH($B174,MASTER!$C$4:$C$1463,0))),"not matched"))</f>
        <v>not matched</v>
      </c>
      <c r="G174" s="70">
        <v>57911</v>
      </c>
      <c r="H174" s="71">
        <v>3.5</v>
      </c>
      <c r="I174" s="70">
        <v>2371</v>
      </c>
      <c r="J174" s="15" t="str">
        <f>IF($I174="","",INDEX(SETUP!$B$16:$B$22,MATCH($I174,SETUP!$A$16:$A$22,1)))</f>
        <v>DEVELOPING</v>
      </c>
    </row>
    <row r="175" spans="1:10">
      <c r="A175" s="19">
        <f>IF($B175="","",COUNTIF($B$9:$B175,"?*"))</f>
        <v>167</v>
      </c>
      <c r="B175" s="63" t="s">
        <v>470</v>
      </c>
      <c r="C175" s="68" t="s">
        <v>299</v>
      </c>
      <c r="D175" s="69"/>
      <c r="E175" s="69" t="s">
        <v>286</v>
      </c>
      <c r="F175" s="19" t="str">
        <f>IF($B175="","",IFERROR(IF(INDEX(MASTER!$B$4:$B$1463,MATCH($B175,MASTER!$C$4:$C$1463,0))="","not matched",INDEX(MASTER!$B$4:$B$1463,MATCH($B175,MASTER!$C$4:$C$1463,0))),"not matched"))</f>
        <v>not matched</v>
      </c>
      <c r="G175" s="70">
        <v>59633</v>
      </c>
      <c r="H175" s="71">
        <v>3.8</v>
      </c>
      <c r="I175" s="70">
        <v>3161</v>
      </c>
      <c r="J175" s="19" t="str">
        <f>IF($I175="","",INDEX(SETUP!$B$16:$B$22,MATCH($I175,SETUP!$A$16:$A$22,1)))</f>
        <v>DEVELOPING</v>
      </c>
    </row>
    <row r="176" spans="1:10">
      <c r="A176" s="15">
        <f>IF($B176="","",COUNTIF($B$9:$B176,"?*"))</f>
        <v>168</v>
      </c>
      <c r="B176" s="63" t="s">
        <v>471</v>
      </c>
      <c r="C176" s="68" t="s">
        <v>299</v>
      </c>
      <c r="D176" s="69"/>
      <c r="E176" s="69" t="s">
        <v>287</v>
      </c>
      <c r="F176" s="15" t="str">
        <f>IF($B176="","",IFERROR(IF(INDEX(MASTER!$B$4:$B$1463,MATCH($B176,MASTER!$C$4:$C$1463,0))="","not matched",INDEX(MASTER!$B$4:$B$1463,MATCH($B176,MASTER!$C$4:$C$1463,0))),"not matched"))</f>
        <v>not matched</v>
      </c>
      <c r="G176" s="70">
        <v>59451</v>
      </c>
      <c r="H176" s="71">
        <v>4.8</v>
      </c>
      <c r="I176" s="70">
        <v>1813</v>
      </c>
      <c r="J176" s="15" t="str">
        <f>IF($I176="","",INDEX(SETUP!$B$16:$B$22,MATCH($I176,SETUP!$A$16:$A$22,1)))</f>
        <v>ROOKIE</v>
      </c>
    </row>
    <row r="177" spans="1:10">
      <c r="A177" s="19">
        <f>IF($B177="","",COUNTIF($B$9:$B177,"?*"))</f>
        <v>169</v>
      </c>
      <c r="B177" s="63" t="s">
        <v>472</v>
      </c>
      <c r="C177" s="68" t="s">
        <v>299</v>
      </c>
      <c r="D177" s="69"/>
      <c r="E177" s="69" t="s">
        <v>286</v>
      </c>
      <c r="F177" s="19" t="str">
        <f>IF($B177="","",IFERROR(IF(INDEX(MASTER!$B$4:$B$1463,MATCH($B177,MASTER!$C$4:$C$1463,0))="","not matched",INDEX(MASTER!$B$4:$B$1463,MATCH($B177,MASTER!$C$4:$C$1463,0))),"not matched"))</f>
        <v>not matched</v>
      </c>
      <c r="G177" s="70">
        <v>59922</v>
      </c>
      <c r="H177" s="71">
        <v>4.4000000000000004</v>
      </c>
      <c r="I177" s="70">
        <v>4040</v>
      </c>
      <c r="J177" s="19" t="str">
        <f>IF($I177="","",INDEX(SETUP!$B$16:$B$22,MATCH($I177,SETUP!$A$16:$A$22,1)))</f>
        <v>CORE</v>
      </c>
    </row>
    <row r="178" spans="1:10">
      <c r="A178" s="15" t="str">
        <f>IF($B178="","",COUNTIF($B$9:$B178,"?*"))</f>
        <v/>
      </c>
      <c r="B178" s="63"/>
      <c r="C178" s="68"/>
      <c r="D178" s="69"/>
      <c r="E178" s="69"/>
      <c r="F178" s="15" t="str">
        <f>IF($B178="","",IFERROR(IF(INDEX(MASTER!$B$4:$B$1463,MATCH($B178,MASTER!$C$4:$C$1463,0))="","not matched",INDEX(MASTER!$B$4:$B$1463,MATCH($B178,MASTER!$C$4:$C$1463,0))),"not matched"))</f>
        <v/>
      </c>
      <c r="G178" s="70"/>
      <c r="H178" s="71"/>
      <c r="I178" s="70"/>
      <c r="J178" s="15" t="str">
        <f>IF($I178="","",INDEX(SETUP!$B$16:$B$22,MATCH($I178,SETUP!$A$16:$A$22,1)))</f>
        <v/>
      </c>
    </row>
    <row r="179" spans="1:10">
      <c r="A179" s="19" t="str">
        <f>IF($B179="","",COUNTIF($B$9:$B179,"?*"))</f>
        <v/>
      </c>
      <c r="B179" s="63"/>
      <c r="C179" s="68"/>
      <c r="D179" s="69"/>
      <c r="E179" s="69"/>
      <c r="F179" s="19" t="str">
        <f>IF($B179="","",IFERROR(IF(INDEX(MASTER!$B$4:$B$1463,MATCH($B179,MASTER!$C$4:$C$1463,0))="","not matched",INDEX(MASTER!$B$4:$B$1463,MATCH($B179,MASTER!$C$4:$C$1463,0))),"not matched"))</f>
        <v/>
      </c>
      <c r="G179" s="70"/>
      <c r="H179" s="71"/>
      <c r="I179" s="70"/>
      <c r="J179" s="19" t="str">
        <f>IF($I179="","",INDEX(SETUP!$B$16:$B$22,MATCH($I179,SETUP!$A$16:$A$22,1)))</f>
        <v/>
      </c>
    </row>
    <row r="180" spans="1:10">
      <c r="A180" s="15" t="str">
        <f>IF($B180="","",COUNTIF($B$9:$B180,"?*"))</f>
        <v/>
      </c>
      <c r="B180" s="63"/>
      <c r="C180" s="68"/>
      <c r="D180" s="69"/>
      <c r="E180" s="69"/>
      <c r="F180" s="15" t="str">
        <f>IF($B180="","",IFERROR(IF(INDEX(MASTER!$B$4:$B$1463,MATCH($B180,MASTER!$C$4:$C$1463,0))="","not matched",INDEX(MASTER!$B$4:$B$1463,MATCH($B180,MASTER!$C$4:$C$1463,0))),"not matched"))</f>
        <v/>
      </c>
      <c r="G180" s="70"/>
      <c r="H180" s="71"/>
      <c r="I180" s="70"/>
      <c r="J180" s="15" t="str">
        <f>IF($I180="","",INDEX(SETUP!$B$16:$B$22,MATCH($I180,SETUP!$A$16:$A$22,1)))</f>
        <v/>
      </c>
    </row>
    <row r="181" spans="1:10">
      <c r="A181" s="19" t="str">
        <f>IF($B181="","",COUNTIF($B$9:$B181,"?*"))</f>
        <v/>
      </c>
      <c r="B181" s="63"/>
      <c r="C181" s="68"/>
      <c r="D181" s="69"/>
      <c r="E181" s="69"/>
      <c r="F181" s="19" t="str">
        <f>IF($B181="","",IFERROR(IF(INDEX(MASTER!$B$4:$B$1463,MATCH($B181,MASTER!$C$4:$C$1463,0))="","not matched",INDEX(MASTER!$B$4:$B$1463,MATCH($B181,MASTER!$C$4:$C$1463,0))),"not matched"))</f>
        <v/>
      </c>
      <c r="G181" s="70"/>
      <c r="H181" s="71"/>
      <c r="I181" s="70"/>
      <c r="J181" s="19" t="str">
        <f>IF($I181="","",INDEX(SETUP!$B$16:$B$22,MATCH($I181,SETUP!$A$16:$A$22,1)))</f>
        <v/>
      </c>
    </row>
    <row r="182" spans="1:10">
      <c r="A182" s="15" t="str">
        <f>IF($B182="","",COUNTIF($B$9:$B182,"?*"))</f>
        <v/>
      </c>
      <c r="B182" s="63"/>
      <c r="C182" s="68"/>
      <c r="D182" s="69"/>
      <c r="E182" s="69"/>
      <c r="F182" s="15" t="str">
        <f>IF($B182="","",IFERROR(IF(INDEX(MASTER!$B$4:$B$1463,MATCH($B182,MASTER!$C$4:$C$1463,0))="","not matched",INDEX(MASTER!$B$4:$B$1463,MATCH($B182,MASTER!$C$4:$C$1463,0))),"not matched"))</f>
        <v/>
      </c>
      <c r="G182" s="70"/>
      <c r="H182" s="71"/>
      <c r="I182" s="70"/>
      <c r="J182" s="15" t="str">
        <f>IF($I182="","",INDEX(SETUP!$B$16:$B$22,MATCH($I182,SETUP!$A$16:$A$22,1)))</f>
        <v/>
      </c>
    </row>
    <row r="183" spans="1:10">
      <c r="A183" s="19" t="str">
        <f>IF($B183="","",COUNTIF($B$9:$B183,"?*"))</f>
        <v/>
      </c>
      <c r="B183" s="63"/>
      <c r="C183" s="68"/>
      <c r="D183" s="69"/>
      <c r="E183" s="69"/>
      <c r="F183" s="19" t="str">
        <f>IF($B183="","",IFERROR(IF(INDEX(MASTER!$B$4:$B$1463,MATCH($B183,MASTER!$C$4:$C$1463,0))="","not matched",INDEX(MASTER!$B$4:$B$1463,MATCH($B183,MASTER!$C$4:$C$1463,0))),"not matched"))</f>
        <v/>
      </c>
      <c r="G183" s="70"/>
      <c r="H183" s="71"/>
      <c r="I183" s="70"/>
      <c r="J183" s="19" t="str">
        <f>IF($I183="","",INDEX(SETUP!$B$16:$B$22,MATCH($I183,SETUP!$A$16:$A$22,1)))</f>
        <v/>
      </c>
    </row>
    <row r="184" spans="1:10">
      <c r="A184" s="15" t="str">
        <f>IF($B184="","",COUNTIF($B$9:$B184,"?*"))</f>
        <v/>
      </c>
      <c r="B184" s="63"/>
      <c r="C184" s="68"/>
      <c r="D184" s="69"/>
      <c r="E184" s="69"/>
      <c r="F184" s="15" t="str">
        <f>IF($B184="","",IFERROR(IF(INDEX(MASTER!$B$4:$B$1463,MATCH($B184,MASTER!$C$4:$C$1463,0))="","not matched",INDEX(MASTER!$B$4:$B$1463,MATCH($B184,MASTER!$C$4:$C$1463,0))),"not matched"))</f>
        <v/>
      </c>
      <c r="G184" s="70"/>
      <c r="H184" s="71"/>
      <c r="I184" s="70"/>
      <c r="J184" s="15" t="str">
        <f>IF($I184="","",INDEX(SETUP!$B$16:$B$22,MATCH($I184,SETUP!$A$16:$A$22,1)))</f>
        <v/>
      </c>
    </row>
    <row r="185" spans="1:10">
      <c r="A185" s="19" t="str">
        <f>IF($B185="","",COUNTIF($B$9:$B185,"?*"))</f>
        <v/>
      </c>
      <c r="B185" s="63"/>
      <c r="C185" s="68"/>
      <c r="D185" s="69"/>
      <c r="E185" s="69"/>
      <c r="F185" s="19" t="str">
        <f>IF($B185="","",IFERROR(IF(INDEX(MASTER!$B$4:$B$1463,MATCH($B185,MASTER!$C$4:$C$1463,0))="","not matched",INDEX(MASTER!$B$4:$B$1463,MATCH($B185,MASTER!$C$4:$C$1463,0))),"not matched"))</f>
        <v/>
      </c>
      <c r="G185" s="70"/>
      <c r="H185" s="71"/>
      <c r="I185" s="70"/>
      <c r="J185" s="19" t="str">
        <f>IF($I185="","",INDEX(SETUP!$B$16:$B$22,MATCH($I185,SETUP!$A$16:$A$22,1)))</f>
        <v/>
      </c>
    </row>
    <row r="186" spans="1:10">
      <c r="A186" s="15" t="str">
        <f>IF($B186="","",COUNTIF($B$9:$B186,"?*"))</f>
        <v/>
      </c>
      <c r="B186" s="63"/>
      <c r="C186" s="68"/>
      <c r="D186" s="69"/>
      <c r="E186" s="69"/>
      <c r="F186" s="15" t="str">
        <f>IF($B186="","",IFERROR(IF(INDEX(MASTER!$B$4:$B$1463,MATCH($B186,MASTER!$C$4:$C$1463,0))="","not matched",INDEX(MASTER!$B$4:$B$1463,MATCH($B186,MASTER!$C$4:$C$1463,0))),"not matched"))</f>
        <v/>
      </c>
      <c r="G186" s="70"/>
      <c r="H186" s="71"/>
      <c r="I186" s="70"/>
      <c r="J186" s="15" t="str">
        <f>IF($I186="","",INDEX(SETUP!$B$16:$B$22,MATCH($I186,SETUP!$A$16:$A$22,1)))</f>
        <v/>
      </c>
    </row>
    <row r="187" spans="1:10">
      <c r="A187" s="19" t="str">
        <f>IF($B187="","",COUNTIF($B$9:$B187,"?*"))</f>
        <v/>
      </c>
      <c r="B187" s="63"/>
      <c r="C187" s="68"/>
      <c r="D187" s="69"/>
      <c r="E187" s="69"/>
      <c r="F187" s="19" t="str">
        <f>IF($B187="","",IFERROR(IF(INDEX(MASTER!$B$4:$B$1463,MATCH($B187,MASTER!$C$4:$C$1463,0))="","not matched",INDEX(MASTER!$B$4:$B$1463,MATCH($B187,MASTER!$C$4:$C$1463,0))),"not matched"))</f>
        <v/>
      </c>
      <c r="G187" s="70"/>
      <c r="H187" s="71"/>
      <c r="I187" s="70"/>
      <c r="J187" s="19" t="str">
        <f>IF($I187="","",INDEX(SETUP!$B$16:$B$22,MATCH($I187,SETUP!$A$16:$A$22,1)))</f>
        <v/>
      </c>
    </row>
    <row r="188" spans="1:10">
      <c r="A188" s="15" t="str">
        <f>IF($B188="","",COUNTIF($B$9:$B188,"?*"))</f>
        <v/>
      </c>
      <c r="B188" s="63"/>
      <c r="C188" s="68"/>
      <c r="D188" s="69"/>
      <c r="E188" s="69"/>
      <c r="F188" s="15" t="str">
        <f>IF($B188="","",IFERROR(IF(INDEX(MASTER!$B$4:$B$1463,MATCH($B188,MASTER!$C$4:$C$1463,0))="","not matched",INDEX(MASTER!$B$4:$B$1463,MATCH($B188,MASTER!$C$4:$C$1463,0))),"not matched"))</f>
        <v/>
      </c>
      <c r="G188" s="70"/>
      <c r="H188" s="71"/>
      <c r="I188" s="70"/>
      <c r="J188" s="15" t="str">
        <f>IF($I188="","",INDEX(SETUP!$B$16:$B$22,MATCH($I188,SETUP!$A$16:$A$22,1)))</f>
        <v/>
      </c>
    </row>
    <row r="189" spans="1:10">
      <c r="A189" s="19" t="str">
        <f>IF($B189="","",COUNTIF($B$9:$B189,"?*"))</f>
        <v/>
      </c>
      <c r="B189" s="63"/>
      <c r="C189" s="68"/>
      <c r="D189" s="69"/>
      <c r="E189" s="69"/>
      <c r="F189" s="19" t="str">
        <f>IF($B189="","",IFERROR(IF(INDEX(MASTER!$B$4:$B$1463,MATCH($B189,MASTER!$C$4:$C$1463,0))="","not matched",INDEX(MASTER!$B$4:$B$1463,MATCH($B189,MASTER!$C$4:$C$1463,0))),"not matched"))</f>
        <v/>
      </c>
      <c r="G189" s="70"/>
      <c r="H189" s="71"/>
      <c r="I189" s="70"/>
      <c r="J189" s="19" t="str">
        <f>IF($I189="","",INDEX(SETUP!$B$16:$B$22,MATCH($I189,SETUP!$A$16:$A$22,1)))</f>
        <v/>
      </c>
    </row>
    <row r="190" spans="1:10">
      <c r="A190" s="15" t="str">
        <f>IF($B190="","",COUNTIF($B$9:$B190,"?*"))</f>
        <v/>
      </c>
      <c r="B190" s="63"/>
      <c r="C190" s="68"/>
      <c r="D190" s="69"/>
      <c r="E190" s="69"/>
      <c r="F190" s="15" t="str">
        <f>IF($B190="","",IFERROR(IF(INDEX(MASTER!$B$4:$B$1463,MATCH($B190,MASTER!$C$4:$C$1463,0))="","not matched",INDEX(MASTER!$B$4:$B$1463,MATCH($B190,MASTER!$C$4:$C$1463,0))),"not matched"))</f>
        <v/>
      </c>
      <c r="G190" s="70"/>
      <c r="H190" s="71"/>
      <c r="I190" s="70"/>
      <c r="J190" s="15" t="str">
        <f>IF($I190="","",INDEX(SETUP!$B$16:$B$22,MATCH($I190,SETUP!$A$16:$A$22,1)))</f>
        <v/>
      </c>
    </row>
    <row r="191" spans="1:10">
      <c r="A191" s="19" t="str">
        <f>IF($B191="","",COUNTIF($B$9:$B191,"?*"))</f>
        <v/>
      </c>
      <c r="B191" s="63"/>
      <c r="C191" s="68"/>
      <c r="D191" s="69"/>
      <c r="E191" s="69"/>
      <c r="F191" s="19" t="str">
        <f>IF($B191="","",IFERROR(IF(INDEX(MASTER!$B$4:$B$1463,MATCH($B191,MASTER!$C$4:$C$1463,0))="","not matched",INDEX(MASTER!$B$4:$B$1463,MATCH($B191,MASTER!$C$4:$C$1463,0))),"not matched"))</f>
        <v/>
      </c>
      <c r="G191" s="70"/>
      <c r="H191" s="71"/>
      <c r="I191" s="70"/>
      <c r="J191" s="19" t="str">
        <f>IF($I191="","",INDEX(SETUP!$B$16:$B$22,MATCH($I191,SETUP!$A$16:$A$22,1)))</f>
        <v/>
      </c>
    </row>
    <row r="192" spans="1:10">
      <c r="A192" s="15" t="str">
        <f>IF($B192="","",COUNTIF($B$9:$B192,"?*"))</f>
        <v/>
      </c>
      <c r="B192" s="63"/>
      <c r="C192" s="68"/>
      <c r="D192" s="69"/>
      <c r="E192" s="69"/>
      <c r="F192" s="15" t="str">
        <f>IF($B192="","",IFERROR(IF(INDEX(MASTER!$B$4:$B$1463,MATCH($B192,MASTER!$C$4:$C$1463,0))="","not matched",INDEX(MASTER!$B$4:$B$1463,MATCH($B192,MASTER!$C$4:$C$1463,0))),"not matched"))</f>
        <v/>
      </c>
      <c r="G192" s="70"/>
      <c r="H192" s="71"/>
      <c r="I192" s="70"/>
      <c r="J192" s="15" t="str">
        <f>IF($I192="","",INDEX(SETUP!$B$16:$B$22,MATCH($I192,SETUP!$A$16:$A$22,1)))</f>
        <v/>
      </c>
    </row>
    <row r="193" spans="1:10">
      <c r="A193" s="19" t="str">
        <f>IF($B193="","",COUNTIF($B$9:$B193,"?*"))</f>
        <v/>
      </c>
      <c r="B193" s="63"/>
      <c r="C193" s="68"/>
      <c r="D193" s="69"/>
      <c r="E193" s="69"/>
      <c r="F193" s="19" t="str">
        <f>IF($B193="","",IFERROR(IF(INDEX(MASTER!$B$4:$B$1463,MATCH($B193,MASTER!$C$4:$C$1463,0))="","not matched",INDEX(MASTER!$B$4:$B$1463,MATCH($B193,MASTER!$C$4:$C$1463,0))),"not matched"))</f>
        <v/>
      </c>
      <c r="G193" s="70"/>
      <c r="H193" s="71"/>
      <c r="I193" s="70"/>
      <c r="J193" s="19" t="str">
        <f>IF($I193="","",INDEX(SETUP!$B$16:$B$22,MATCH($I193,SETUP!$A$16:$A$22,1)))</f>
        <v/>
      </c>
    </row>
    <row r="194" spans="1:10">
      <c r="A194" s="15" t="str">
        <f>IF($B194="","",COUNTIF($B$9:$B194,"?*"))</f>
        <v/>
      </c>
      <c r="B194" s="63"/>
      <c r="C194" s="68"/>
      <c r="D194" s="69"/>
      <c r="E194" s="69"/>
      <c r="F194" s="15" t="str">
        <f>IF($B194="","",IFERROR(IF(INDEX(MASTER!$B$4:$B$1463,MATCH($B194,MASTER!$C$4:$C$1463,0))="","not matched",INDEX(MASTER!$B$4:$B$1463,MATCH($B194,MASTER!$C$4:$C$1463,0))),"not matched"))</f>
        <v/>
      </c>
      <c r="G194" s="70"/>
      <c r="H194" s="71"/>
      <c r="I194" s="70"/>
      <c r="J194" s="15" t="str">
        <f>IF($I194="","",INDEX(SETUP!$B$16:$B$22,MATCH($I194,SETUP!$A$16:$A$22,1)))</f>
        <v/>
      </c>
    </row>
    <row r="195" spans="1:10">
      <c r="A195" s="19" t="str">
        <f>IF($B195="","",COUNTIF($B$9:$B195,"?*"))</f>
        <v/>
      </c>
      <c r="B195" s="63"/>
      <c r="C195" s="68"/>
      <c r="D195" s="69"/>
      <c r="E195" s="69"/>
      <c r="F195" s="19" t="str">
        <f>IF($B195="","",IFERROR(IF(INDEX(MASTER!$B$4:$B$1463,MATCH($B195,MASTER!$C$4:$C$1463,0))="","not matched",INDEX(MASTER!$B$4:$B$1463,MATCH($B195,MASTER!$C$4:$C$1463,0))),"not matched"))</f>
        <v/>
      </c>
      <c r="G195" s="70"/>
      <c r="H195" s="71"/>
      <c r="I195" s="70"/>
      <c r="J195" s="19" t="str">
        <f>IF($I195="","",INDEX(SETUP!$B$16:$B$22,MATCH($I195,SETUP!$A$16:$A$22,1)))</f>
        <v/>
      </c>
    </row>
    <row r="196" spans="1:10">
      <c r="A196" s="15" t="str">
        <f>IF($B196="","",COUNTIF($B$9:$B196,"?*"))</f>
        <v/>
      </c>
      <c r="B196" s="63"/>
      <c r="C196" s="68"/>
      <c r="D196" s="69"/>
      <c r="E196" s="69"/>
      <c r="F196" s="15" t="str">
        <f>IF($B196="","",IFERROR(IF(INDEX(MASTER!$B$4:$B$1463,MATCH($B196,MASTER!$C$4:$C$1463,0))="","not matched",INDEX(MASTER!$B$4:$B$1463,MATCH($B196,MASTER!$C$4:$C$1463,0))),"not matched"))</f>
        <v/>
      </c>
      <c r="G196" s="70"/>
      <c r="H196" s="71"/>
      <c r="I196" s="70"/>
      <c r="J196" s="15" t="str">
        <f>IF($I196="","",INDEX(SETUP!$B$16:$B$22,MATCH($I196,SETUP!$A$16:$A$22,1)))</f>
        <v/>
      </c>
    </row>
    <row r="197" spans="1:10">
      <c r="A197" s="19" t="str">
        <f>IF($B197="","",COUNTIF($B$9:$B197,"?*"))</f>
        <v/>
      </c>
      <c r="B197" s="63"/>
      <c r="C197" s="68"/>
      <c r="D197" s="69"/>
      <c r="E197" s="69"/>
      <c r="F197" s="19" t="str">
        <f>IF($B197="","",IFERROR(IF(INDEX(MASTER!$B$4:$B$1463,MATCH($B197,MASTER!$C$4:$C$1463,0))="","not matched",INDEX(MASTER!$B$4:$B$1463,MATCH($B197,MASTER!$C$4:$C$1463,0))),"not matched"))</f>
        <v/>
      </c>
      <c r="G197" s="70"/>
      <c r="H197" s="71"/>
      <c r="I197" s="70"/>
      <c r="J197" s="19" t="str">
        <f>IF($I197="","",INDEX(SETUP!$B$16:$B$22,MATCH($I197,SETUP!$A$16:$A$22,1)))</f>
        <v/>
      </c>
    </row>
    <row r="198" spans="1:10">
      <c r="A198" s="15" t="str">
        <f>IF($B198="","",COUNTIF($B$9:$B198,"?*"))</f>
        <v/>
      </c>
      <c r="B198" s="63"/>
      <c r="C198" s="68"/>
      <c r="D198" s="69"/>
      <c r="E198" s="69"/>
      <c r="F198" s="15" t="str">
        <f>IF($B198="","",IFERROR(IF(INDEX(MASTER!$B$4:$B$1463,MATCH($B198,MASTER!$C$4:$C$1463,0))="","not matched",INDEX(MASTER!$B$4:$B$1463,MATCH($B198,MASTER!$C$4:$C$1463,0))),"not matched"))</f>
        <v/>
      </c>
      <c r="G198" s="70"/>
      <c r="H198" s="71"/>
      <c r="I198" s="70"/>
      <c r="J198" s="15" t="str">
        <f>IF($I198="","",INDEX(SETUP!$B$16:$B$22,MATCH($I198,SETUP!$A$16:$A$22,1)))</f>
        <v/>
      </c>
    </row>
    <row r="199" spans="1:10">
      <c r="A199" s="19" t="str">
        <f>IF($B199="","",COUNTIF($B$9:$B199,"?*"))</f>
        <v/>
      </c>
      <c r="B199" s="63"/>
      <c r="C199" s="68"/>
      <c r="D199" s="69"/>
      <c r="E199" s="69"/>
      <c r="F199" s="19" t="str">
        <f>IF($B199="","",IFERROR(IF(INDEX(MASTER!$B$4:$B$1463,MATCH($B199,MASTER!$C$4:$C$1463,0))="","not matched",INDEX(MASTER!$B$4:$B$1463,MATCH($B199,MASTER!$C$4:$C$1463,0))),"not matched"))</f>
        <v/>
      </c>
      <c r="G199" s="70"/>
      <c r="H199" s="71"/>
      <c r="I199" s="70"/>
      <c r="J199" s="19" t="str">
        <f>IF($I199="","",INDEX(SETUP!$B$16:$B$22,MATCH($I199,SETUP!$A$16:$A$22,1)))</f>
        <v/>
      </c>
    </row>
    <row r="200" spans="1:10">
      <c r="A200" s="15" t="str">
        <f>IF($B200="","",COUNTIF($B$9:$B200,"?*"))</f>
        <v/>
      </c>
      <c r="B200" s="63"/>
      <c r="C200" s="68"/>
      <c r="D200" s="69"/>
      <c r="E200" s="69"/>
      <c r="F200" s="15" t="str">
        <f>IF($B200="","",IFERROR(IF(INDEX(MASTER!$B$4:$B$1463,MATCH($B200,MASTER!$C$4:$C$1463,0))="","not matched",INDEX(MASTER!$B$4:$B$1463,MATCH($B200,MASTER!$C$4:$C$1463,0))),"not matched"))</f>
        <v/>
      </c>
      <c r="G200" s="70"/>
      <c r="H200" s="71"/>
      <c r="I200" s="70"/>
      <c r="J200" s="15" t="str">
        <f>IF($I200="","",INDEX(SETUP!$B$16:$B$22,MATCH($I200,SETUP!$A$16:$A$22,1)))</f>
        <v/>
      </c>
    </row>
    <row r="201" spans="1:10">
      <c r="A201" s="19" t="str">
        <f>IF($B201="","",COUNTIF($B$9:$B201,"?*"))</f>
        <v/>
      </c>
      <c r="B201" s="63"/>
      <c r="C201" s="68"/>
      <c r="D201" s="69"/>
      <c r="E201" s="69"/>
      <c r="F201" s="19" t="str">
        <f>IF($B201="","",IFERROR(IF(INDEX(MASTER!$B$4:$B$1463,MATCH($B201,MASTER!$C$4:$C$1463,0))="","not matched",INDEX(MASTER!$B$4:$B$1463,MATCH($B201,MASTER!$C$4:$C$1463,0))),"not matched"))</f>
        <v/>
      </c>
      <c r="G201" s="70"/>
      <c r="H201" s="71"/>
      <c r="I201" s="70"/>
      <c r="J201" s="19" t="str">
        <f>IF($I201="","",INDEX(SETUP!$B$16:$B$22,MATCH($I201,SETUP!$A$16:$A$22,1)))</f>
        <v/>
      </c>
    </row>
    <row r="202" spans="1:10">
      <c r="A202" s="15" t="str">
        <f>IF($B202="","",COUNTIF($B$9:$B202,"?*"))</f>
        <v/>
      </c>
      <c r="B202" s="63"/>
      <c r="C202" s="68"/>
      <c r="D202" s="69"/>
      <c r="E202" s="69"/>
      <c r="F202" s="15" t="str">
        <f>IF($B202="","",IFERROR(IF(INDEX(MASTER!$B$4:$B$1463,MATCH($B202,MASTER!$C$4:$C$1463,0))="","not matched",INDEX(MASTER!$B$4:$B$1463,MATCH($B202,MASTER!$C$4:$C$1463,0))),"not matched"))</f>
        <v/>
      </c>
      <c r="G202" s="70"/>
      <c r="H202" s="71"/>
      <c r="I202" s="70"/>
      <c r="J202" s="15" t="str">
        <f>IF($I202="","",INDEX(SETUP!$B$16:$B$22,MATCH($I202,SETUP!$A$16:$A$22,1)))</f>
        <v/>
      </c>
    </row>
    <row r="203" spans="1:10">
      <c r="A203" s="19" t="str">
        <f>IF($B203="","",COUNTIF($B$9:$B203,"?*"))</f>
        <v/>
      </c>
      <c r="B203" s="63"/>
      <c r="C203" s="68"/>
      <c r="D203" s="69"/>
      <c r="E203" s="69"/>
      <c r="F203" s="19" t="str">
        <f>IF($B203="","",IFERROR(IF(INDEX(MASTER!$B$4:$B$1463,MATCH($B203,MASTER!$C$4:$C$1463,0))="","not matched",INDEX(MASTER!$B$4:$B$1463,MATCH($B203,MASTER!$C$4:$C$1463,0))),"not matched"))</f>
        <v/>
      </c>
      <c r="G203" s="70"/>
      <c r="H203" s="71"/>
      <c r="I203" s="70"/>
      <c r="J203" s="19" t="str">
        <f>IF($I203="","",INDEX(SETUP!$B$16:$B$22,MATCH($I203,SETUP!$A$16:$A$22,1)))</f>
        <v/>
      </c>
    </row>
    <row r="204" spans="1:10">
      <c r="A204" s="15" t="str">
        <f>IF($B204="","",COUNTIF($B$9:$B204,"?*"))</f>
        <v/>
      </c>
      <c r="B204" s="63"/>
      <c r="C204" s="68"/>
      <c r="D204" s="69"/>
      <c r="E204" s="69"/>
      <c r="F204" s="15" t="str">
        <f>IF($B204="","",IFERROR(IF(INDEX(MASTER!$B$4:$B$1463,MATCH($B204,MASTER!$C$4:$C$1463,0))="","not matched",INDEX(MASTER!$B$4:$B$1463,MATCH($B204,MASTER!$C$4:$C$1463,0))),"not matched"))</f>
        <v/>
      </c>
      <c r="G204" s="70"/>
      <c r="H204" s="71"/>
      <c r="I204" s="70"/>
      <c r="J204" s="15" t="str">
        <f>IF($I204="","",INDEX(SETUP!$B$16:$B$22,MATCH($I204,SETUP!$A$16:$A$22,1)))</f>
        <v/>
      </c>
    </row>
    <row r="205" spans="1:10">
      <c r="A205" s="19" t="str">
        <f>IF($B205="","",COUNTIF($B$9:$B205,"?*"))</f>
        <v/>
      </c>
      <c r="B205" s="63"/>
      <c r="C205" s="68"/>
      <c r="D205" s="69"/>
      <c r="E205" s="69"/>
      <c r="F205" s="19" t="str">
        <f>IF($B205="","",IFERROR(IF(INDEX(MASTER!$B$4:$B$1463,MATCH($B205,MASTER!$C$4:$C$1463,0))="","not matched",INDEX(MASTER!$B$4:$B$1463,MATCH($B205,MASTER!$C$4:$C$1463,0))),"not matched"))</f>
        <v/>
      </c>
      <c r="G205" s="70"/>
      <c r="H205" s="71"/>
      <c r="I205" s="70"/>
      <c r="J205" s="19" t="str">
        <f>IF($I205="","",INDEX(SETUP!$B$16:$B$22,MATCH($I205,SETUP!$A$16:$A$22,1)))</f>
        <v/>
      </c>
    </row>
    <row r="206" spans="1:10">
      <c r="A206" s="15" t="str">
        <f>IF($B206="","",COUNTIF($B$9:$B206,"?*"))</f>
        <v/>
      </c>
      <c r="B206" s="63"/>
      <c r="C206" s="68"/>
      <c r="D206" s="69"/>
      <c r="E206" s="69"/>
      <c r="F206" s="15" t="str">
        <f>IF($B206="","",IFERROR(IF(INDEX(MASTER!$B$4:$B$1463,MATCH($B206,MASTER!$C$4:$C$1463,0))="","not matched",INDEX(MASTER!$B$4:$B$1463,MATCH($B206,MASTER!$C$4:$C$1463,0))),"not matched"))</f>
        <v/>
      </c>
      <c r="G206" s="70"/>
      <c r="H206" s="71"/>
      <c r="I206" s="70"/>
      <c r="J206" s="15" t="str">
        <f>IF($I206="","",INDEX(SETUP!$B$16:$B$22,MATCH($I206,SETUP!$A$16:$A$22,1)))</f>
        <v/>
      </c>
    </row>
    <row r="207" spans="1:10">
      <c r="A207" s="19" t="str">
        <f>IF($B207="","",COUNTIF($B$9:$B207,"?*"))</f>
        <v/>
      </c>
      <c r="B207" s="63"/>
      <c r="C207" s="68"/>
      <c r="D207" s="69"/>
      <c r="E207" s="69"/>
      <c r="F207" s="19" t="str">
        <f>IF($B207="","",IFERROR(IF(INDEX(MASTER!$B$4:$B$1463,MATCH($B207,MASTER!$C$4:$C$1463,0))="","not matched",INDEX(MASTER!$B$4:$B$1463,MATCH($B207,MASTER!$C$4:$C$1463,0))),"not matched"))</f>
        <v/>
      </c>
      <c r="G207" s="70"/>
      <c r="H207" s="71"/>
      <c r="I207" s="70"/>
      <c r="J207" s="19" t="str">
        <f>IF($I207="","",INDEX(SETUP!$B$16:$B$22,MATCH($I207,SETUP!$A$16:$A$22,1)))</f>
        <v/>
      </c>
    </row>
    <row r="208" spans="1:10">
      <c r="A208" s="15" t="str">
        <f>IF($B208="","",COUNTIF($B$9:$B208,"?*"))</f>
        <v/>
      </c>
      <c r="B208" s="63"/>
      <c r="C208" s="68"/>
      <c r="D208" s="69"/>
      <c r="E208" s="69"/>
      <c r="F208" s="15" t="str">
        <f>IF($B208="","",IFERROR(IF(INDEX(MASTER!$B$4:$B$1463,MATCH($B208,MASTER!$C$4:$C$1463,0))="","not matched",INDEX(MASTER!$B$4:$B$1463,MATCH($B208,MASTER!$C$4:$C$1463,0))),"not matched"))</f>
        <v/>
      </c>
      <c r="G208" s="70"/>
      <c r="H208" s="71"/>
      <c r="I208" s="70"/>
      <c r="J208" s="15" t="str">
        <f>IF($I208="","",INDEX(SETUP!$B$16:$B$22,MATCH($I208,SETUP!$A$16:$A$22,1)))</f>
        <v/>
      </c>
    </row>
    <row r="209" spans="1:10">
      <c r="A209" s="19" t="str">
        <f>IF($B209="","",COUNTIF($B$9:$B209,"?*"))</f>
        <v/>
      </c>
      <c r="B209" s="63"/>
      <c r="C209" s="68"/>
      <c r="D209" s="69"/>
      <c r="E209" s="69"/>
      <c r="F209" s="19" t="str">
        <f>IF($B209="","",IFERROR(IF(INDEX(MASTER!$B$4:$B$1463,MATCH($B209,MASTER!$C$4:$C$1463,0))="","not matched",INDEX(MASTER!$B$4:$B$1463,MATCH($B209,MASTER!$C$4:$C$1463,0))),"not matched"))</f>
        <v/>
      </c>
      <c r="G209" s="70"/>
      <c r="H209" s="71"/>
      <c r="I209" s="70"/>
      <c r="J209" s="19" t="str">
        <f>IF($I209="","",INDEX(SETUP!$B$16:$B$22,MATCH($I209,SETUP!$A$16:$A$22,1)))</f>
        <v/>
      </c>
    </row>
    <row r="210" spans="1:10">
      <c r="A210" s="15" t="str">
        <f>IF($B210="","",COUNTIF($B$9:$B210,"?*"))</f>
        <v/>
      </c>
      <c r="B210" s="63"/>
      <c r="C210" s="68"/>
      <c r="D210" s="69"/>
      <c r="E210" s="69"/>
      <c r="F210" s="15" t="str">
        <f>IF($B210="","",IFERROR(IF(INDEX(MASTER!$B$4:$B$1463,MATCH($B210,MASTER!$C$4:$C$1463,0))="","not matched",INDEX(MASTER!$B$4:$B$1463,MATCH($B210,MASTER!$C$4:$C$1463,0))),"not matched"))</f>
        <v/>
      </c>
      <c r="G210" s="70"/>
      <c r="H210" s="71"/>
      <c r="I210" s="70"/>
      <c r="J210" s="15" t="str">
        <f>IF($I210="","",INDEX(SETUP!$B$16:$B$22,MATCH($I210,SETUP!$A$16:$A$22,1)))</f>
        <v/>
      </c>
    </row>
    <row r="211" spans="1:10">
      <c r="A211" s="19" t="str">
        <f>IF($B211="","",COUNTIF($B$9:$B211,"?*"))</f>
        <v/>
      </c>
      <c r="B211" s="63"/>
      <c r="C211" s="68"/>
      <c r="D211" s="69"/>
      <c r="E211" s="69"/>
      <c r="F211" s="19" t="str">
        <f>IF($B211="","",IFERROR(IF(INDEX(MASTER!$B$4:$B$1463,MATCH($B211,MASTER!$C$4:$C$1463,0))="","not matched",INDEX(MASTER!$B$4:$B$1463,MATCH($B211,MASTER!$C$4:$C$1463,0))),"not matched"))</f>
        <v/>
      </c>
      <c r="G211" s="70"/>
      <c r="H211" s="71"/>
      <c r="I211" s="70"/>
      <c r="J211" s="19" t="str">
        <f>IF($I211="","",INDEX(SETUP!$B$16:$B$22,MATCH($I211,SETUP!$A$16:$A$22,1)))</f>
        <v/>
      </c>
    </row>
    <row r="212" spans="1:10">
      <c r="A212" s="15" t="str">
        <f>IF($B212="","",COUNTIF($B$9:$B212,"?*"))</f>
        <v/>
      </c>
      <c r="B212" s="63"/>
      <c r="C212" s="68"/>
      <c r="D212" s="69"/>
      <c r="E212" s="69"/>
      <c r="F212" s="15" t="str">
        <f>IF($B212="","",IFERROR(IF(INDEX(MASTER!$B$4:$B$1463,MATCH($B212,MASTER!$C$4:$C$1463,0))="","not matched",INDEX(MASTER!$B$4:$B$1463,MATCH($B212,MASTER!$C$4:$C$1463,0))),"not matched"))</f>
        <v/>
      </c>
      <c r="G212" s="70"/>
      <c r="H212" s="71"/>
      <c r="I212" s="70"/>
      <c r="J212" s="15" t="str">
        <f>IF($I212="","",INDEX(SETUP!$B$16:$B$22,MATCH($I212,SETUP!$A$16:$A$22,1)))</f>
        <v/>
      </c>
    </row>
    <row r="213" spans="1:10">
      <c r="A213" s="19" t="str">
        <f>IF($B213="","",COUNTIF($B$9:$B213,"?*"))</f>
        <v/>
      </c>
      <c r="B213" s="63"/>
      <c r="C213" s="68"/>
      <c r="D213" s="69"/>
      <c r="E213" s="69"/>
      <c r="F213" s="19" t="str">
        <f>IF($B213="","",IFERROR(IF(INDEX(MASTER!$B$4:$B$1463,MATCH($B213,MASTER!$C$4:$C$1463,0))="","not matched",INDEX(MASTER!$B$4:$B$1463,MATCH($B213,MASTER!$C$4:$C$1463,0))),"not matched"))</f>
        <v/>
      </c>
      <c r="G213" s="70"/>
      <c r="H213" s="71"/>
      <c r="I213" s="70"/>
      <c r="J213" s="19" t="str">
        <f>IF($I213="","",INDEX(SETUP!$B$16:$B$22,MATCH($I213,SETUP!$A$16:$A$22,1)))</f>
        <v/>
      </c>
    </row>
    <row r="214" spans="1:10">
      <c r="A214" s="15" t="str">
        <f>IF($B214="","",COUNTIF($B$9:$B214,"?*"))</f>
        <v/>
      </c>
      <c r="B214" s="63"/>
      <c r="C214" s="68"/>
      <c r="D214" s="69"/>
      <c r="E214" s="69"/>
      <c r="F214" s="15" t="str">
        <f>IF($B214="","",IFERROR(IF(INDEX(MASTER!$B$4:$B$1463,MATCH($B214,MASTER!$C$4:$C$1463,0))="","not matched",INDEX(MASTER!$B$4:$B$1463,MATCH($B214,MASTER!$C$4:$C$1463,0))),"not matched"))</f>
        <v/>
      </c>
      <c r="G214" s="70"/>
      <c r="H214" s="71"/>
      <c r="I214" s="70"/>
      <c r="J214" s="15" t="str">
        <f>IF($I214="","",INDEX(SETUP!$B$16:$B$22,MATCH($I214,SETUP!$A$16:$A$22,1)))</f>
        <v/>
      </c>
    </row>
    <row r="215" spans="1:10">
      <c r="A215" s="19" t="str">
        <f>IF($B215="","",COUNTIF($B$9:$B215,"?*"))</f>
        <v/>
      </c>
      <c r="B215" s="63"/>
      <c r="C215" s="68"/>
      <c r="D215" s="69"/>
      <c r="E215" s="69"/>
      <c r="F215" s="19" t="str">
        <f>IF($B215="","",IFERROR(IF(INDEX(MASTER!$B$4:$B$1463,MATCH($B215,MASTER!$C$4:$C$1463,0))="","not matched",INDEX(MASTER!$B$4:$B$1463,MATCH($B215,MASTER!$C$4:$C$1463,0))),"not matched"))</f>
        <v/>
      </c>
      <c r="G215" s="70"/>
      <c r="H215" s="71"/>
      <c r="I215" s="70"/>
      <c r="J215" s="19" t="str">
        <f>IF($I215="","",INDEX(SETUP!$B$16:$B$22,MATCH($I215,SETUP!$A$16:$A$22,1)))</f>
        <v/>
      </c>
    </row>
    <row r="216" spans="1:10">
      <c r="A216" s="15" t="str">
        <f>IF($B216="","",COUNTIF($B$9:$B216,"?*"))</f>
        <v/>
      </c>
      <c r="B216" s="63"/>
      <c r="C216" s="68"/>
      <c r="D216" s="69"/>
      <c r="E216" s="69"/>
      <c r="F216" s="15" t="str">
        <f>IF($B216="","",IFERROR(IF(INDEX(MASTER!$B$4:$B$1463,MATCH($B216,MASTER!$C$4:$C$1463,0))="","not matched",INDEX(MASTER!$B$4:$B$1463,MATCH($B216,MASTER!$C$4:$C$1463,0))),"not matched"))</f>
        <v/>
      </c>
      <c r="G216" s="70"/>
      <c r="H216" s="71"/>
      <c r="I216" s="70"/>
      <c r="J216" s="15" t="str">
        <f>IF($I216="","",INDEX(SETUP!$B$16:$B$22,MATCH($I216,SETUP!$A$16:$A$22,1)))</f>
        <v/>
      </c>
    </row>
    <row r="217" spans="1:10">
      <c r="A217" s="19" t="str">
        <f>IF($B217="","",COUNTIF($B$9:$B217,"?*"))</f>
        <v/>
      </c>
      <c r="B217" s="63"/>
      <c r="C217" s="68"/>
      <c r="D217" s="69"/>
      <c r="E217" s="69"/>
      <c r="F217" s="19" t="str">
        <f>IF($B217="","",IFERROR(IF(INDEX(MASTER!$B$4:$B$1463,MATCH($B217,MASTER!$C$4:$C$1463,0))="","not matched",INDEX(MASTER!$B$4:$B$1463,MATCH($B217,MASTER!$C$4:$C$1463,0))),"not matched"))</f>
        <v/>
      </c>
      <c r="G217" s="70"/>
      <c r="H217" s="71"/>
      <c r="I217" s="70"/>
      <c r="J217" s="19" t="str">
        <f>IF($I217="","",INDEX(SETUP!$B$16:$B$22,MATCH($I217,SETUP!$A$16:$A$22,1)))</f>
        <v/>
      </c>
    </row>
  </sheetData>
  <autoFilter ref="A8:J212" xr:uid="{00000000-0009-0000-0000-000008000000}"/>
  <mergeCells count="13">
    <mergeCell ref="A1:J1"/>
    <mergeCell ref="A2:J2"/>
    <mergeCell ref="A4:B4"/>
    <mergeCell ref="C4:D4"/>
    <mergeCell ref="E4:F4"/>
    <mergeCell ref="G4:H4"/>
    <mergeCell ref="I4:J4"/>
    <mergeCell ref="A7:J7"/>
    <mergeCell ref="A5:B5"/>
    <mergeCell ref="C5:D5"/>
    <mergeCell ref="E5:F5"/>
    <mergeCell ref="G5:H5"/>
    <mergeCell ref="I5:J5"/>
  </mergeCells>
  <dataValidations count="2">
    <dataValidation type="list" allowBlank="1" sqref="D9:D212" xr:uid="{00000000-0002-0000-0800-000000000000}">
      <formula1>"FUCT,LEFT CLAN,LEGENDS,OBLIVIAN,PENDING TRANSFER,SHADOW,SM,TRANSFERRED-NOT APPROVED,UNDYING,VANGUARD"</formula1>
      <formula2>0</formula2>
    </dataValidation>
    <dataValidation type="list" allowBlank="1" sqref="E9:E212" xr:uid="{00000000-0002-0000-0800-000001000000}">
      <formula1>"APPROVED,CONFIRMED,LEFT CLAN,REQUESTED,STAYING"</formula1>
      <formula2>0</formula2>
    </dataValidation>
  </dataValidations>
  <printOptions horizontalCentered="1"/>
  <pageMargins left="0.75" right="0.75" top="1" bottom="1" header="0.511811023622047" footer="0.511811023622047"/>
  <pageSetup fitToHeight="0" orientation="landscape" horizontalDpi="300" verticalDpi="300"/>
  <ignoredErrors>
    <ignoredError sqref="A1:J217" evalError="1" twoDigitTextYear="1" numberStoredAsText="1" formula="1" formulaRange="1" unlockedFormula="1" emptyCellReference="1" listDataValidation="1" calculatedColumn="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pageSetUpPr fitToPage="1"/>
  </sheetPr>
  <dimension ref="A1:Q144"/>
  <sheetViews>
    <sheetView showGridLines="0" zoomScaleNormal="100" workbookViewId="0">
      <pane xSplit="1" ySplit="8" topLeftCell="B99" activePane="bottomRight" state="frozen"/>
      <selection pane="topRight" activeCell="B1" sqref="B1"/>
      <selection pane="bottomLeft" activeCell="A9" sqref="A9"/>
      <selection pane="bottomRight" activeCell="B92" sqref="B92"/>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473</v>
      </c>
      <c r="B1" s="92"/>
      <c r="C1" s="92"/>
      <c r="D1" s="92"/>
      <c r="E1" s="92"/>
      <c r="F1" s="92"/>
      <c r="G1" s="92"/>
      <c r="H1" s="92"/>
      <c r="I1" s="92"/>
      <c r="J1" s="92"/>
      <c r="K1" s="92"/>
      <c r="L1" s="92"/>
      <c r="M1" s="92"/>
      <c r="N1" s="92"/>
      <c r="Q1" t="s">
        <v>66</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99</v>
      </c>
      <c r="B5" s="95"/>
      <c r="C5" s="95">
        <f>COUNTIFS(MASTER!$B:$B,$Q$1,MASTER!$S:$S,"Complete")</f>
        <v>99</v>
      </c>
      <c r="D5" s="95"/>
      <c r="E5" s="95">
        <f>IFERROR(ROUND(AVERAGEIFS(MASTER!$I:$I,MASTER!$B:$B,$Q$1),0),"-")</f>
        <v>5214</v>
      </c>
      <c r="F5" s="95"/>
      <c r="G5" s="95">
        <f>IFERROR(_xlfn.MAXIFS(MASTER!$I:$I,MASTER!$B:$B,$Q$1),"-")</f>
        <v>11602</v>
      </c>
      <c r="H5" s="95"/>
      <c r="I5" s="95">
        <f>COUNTIFS(MASTER!$B:$B,$Q$1,MASTER!$I:$I,"&gt;=10000")</f>
        <v>5</v>
      </c>
      <c r="J5" s="95"/>
      <c r="K5" s="107">
        <f>IFERROR(ROUND(AVERAGEIFS(MASTER!$N:$N,MASTER!$B:$B,$Q$1),1),"-")</f>
        <v>51.7</v>
      </c>
      <c r="L5" s="107"/>
      <c r="M5" s="95" t="str">
        <f>IF($Q$1="FUCT","- ours -",IFERROR(ROUND(AVERAGEIFS(MASTER!$I:$I,MASTER!$B:$B,$Q$1)-AVERAGEIF(MASTER!$B:$B,"FUCT",MASTER!$I:$I),0),"-"))</f>
        <v>- ours -</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Ace351c</v>
      </c>
      <c r="C9" s="15" t="str">
        <f>IF($P9="","",IFERROR(IF(INDEX(MASTER!$D$4:$D$1463,$P9)="","",INDEX(MASTER!$D$4:$D$1463,$P9)),""))</f>
        <v/>
      </c>
      <c r="D9" s="15" t="str">
        <f>IF($P9="","",IFERROR(IF(INDEX(MASTER!$E$4:$E$1463,$P9)="","",INDEX(MASTER!$E$4:$E$1463,$P9)),""))</f>
        <v>DRUID</v>
      </c>
      <c r="E9" s="15" t="str">
        <f>IF($P9="","",IFERROR(IF(INDEX(MASTER!$F$4:$F$1463,$P9)="","",INDEX(MASTER!$F$4:$F$1463,$P9)),""))</f>
        <v>Support</v>
      </c>
      <c r="F9" s="16">
        <f>IF($P9="","",IFERROR(IF(INDEX(MASTER!$G$4:$G$1463,$P9)="","",INDEX(MASTER!$G$4:$G$1463,$P9)),""))</f>
        <v>62997</v>
      </c>
      <c r="G9" s="15" t="str">
        <f>IF($P9="","",IFERROR(IF(INDEX(MASTER!$H$4:$H$1463,$P9)="","",INDEX(MASTER!$H$4:$H$1463,$P9)),""))</f>
        <v>62,000 - 62,999</v>
      </c>
      <c r="H9" s="16">
        <f>IF($P9="","",IFERROR(IF(INDEX(MASTER!$I$4:$I$1463,$P9)="","",INDEX(MASTER!$I$4:$I$1463,$P9)),""))</f>
        <v>7436</v>
      </c>
      <c r="I9" s="15" t="str">
        <f>IF($P9="","",IFERROR(IF(INDEX(MASTER!$J$4:$J$1463,$P9)="","",INDEX(MASTER!$J$4:$J$1463,$P9)),""))</f>
        <v>VETERAN</v>
      </c>
      <c r="J9" s="17">
        <f>IF($P9="","",IFERROR(IF(INDEX(MASTER!$L$4:$L$1463,$P9)="","",INDEX(MASTER!$L$4:$L$1463,$P9)),""))</f>
        <v>6.06</v>
      </c>
      <c r="K9" s="17">
        <f>IF($P9="","",IFERROR(IF(INDEX(MASTER!$N$4:$N$1463,$P9)="","",INDEX(MASTER!$N$4:$N$1463,$P9)),""))</f>
        <v>63.6</v>
      </c>
      <c r="L9" s="15" t="str">
        <f>IF($P9="","",IFERROR(IF(INDEX(MASTER!$O$4:$O$1463,$P9)="","",INDEX(MASTER!$O$4:$O$1463,$P9)),""))</f>
        <v>A</v>
      </c>
      <c r="M9" s="15">
        <f>IF($P9="","",IFERROR(IF(INDEX(MASTER!$Q$4:$Q$1463,$P9)="","",INDEX(MASTER!$Q$4:$Q$1463,$P9)),""))</f>
        <v>18</v>
      </c>
      <c r="N9" s="15" t="str">
        <f>IF($P9="","",IFERROR(IF(INDEX(MASTER!$S$4:$S$1463,$P9)="","",INDEX(MASTER!$S$4:$S$1463,$P9)),""))</f>
        <v>Complete</v>
      </c>
      <c r="P9">
        <f>IFERROR(MATCH($Q$1&amp;"@1",MASTER!$AC$4:$AC$1463,0),"")</f>
        <v>16</v>
      </c>
    </row>
    <row r="10" spans="1:17">
      <c r="A10" s="19">
        <f>IF($P10="","",2)</f>
        <v>2</v>
      </c>
      <c r="B10" s="18" t="s">
        <v>2904</v>
      </c>
      <c r="C10" s="19" t="str">
        <f>IF($P10="","",IFERROR(IF(INDEX(MASTER!$D$4:$D$1463,$P10)="","",INDEX(MASTER!$D$4:$D$1463,$P10)),""))</f>
        <v>XX</v>
      </c>
      <c r="D10" s="19" t="str">
        <f>IF($P10="","",IFERROR(IF(INDEX(MASTER!$E$4:$E$1463,$P10)="","",INDEX(MASTER!$E$4:$E$1463,$P10)),""))</f>
        <v>BARBARIAN</v>
      </c>
      <c r="E10" s="19" t="str">
        <f>IF($P10="","",IFERROR(IF(INDEX(MASTER!$F$4:$F$1463,$P10)="","",INDEX(MASTER!$F$4:$F$1463,$P10)),""))</f>
        <v>Frontline</v>
      </c>
      <c r="F10" s="20">
        <f>IF($P10="","",IFERROR(IF(INDEX(MASTER!$G$4:$G$1463,$P10)="","",INDEX(MASTER!$G$4:$G$1463,$P10)),""))</f>
        <v>63895</v>
      </c>
      <c r="G10" s="19" t="str">
        <f>IF($P10="","",IFERROR(IF(INDEX(MASTER!$H$4:$H$1463,$P10)="","",INDEX(MASTER!$H$4:$H$1463,$P10)),""))</f>
        <v>63,000 - 63,999</v>
      </c>
      <c r="H10" s="20">
        <f>IF($P10="","",IFERROR(IF(INDEX(MASTER!$I$4:$I$1463,$P10)="","",INDEX(MASTER!$I$4:$I$1463,$P10)),""))</f>
        <v>9600</v>
      </c>
      <c r="I10" s="19" t="str">
        <f>IF($P10="","",IFERROR(IF(INDEX(MASTER!$J$4:$J$1463,$P10)="","",INDEX(MASTER!$J$4:$J$1463,$P10)),""))</f>
        <v>ELITE</v>
      </c>
      <c r="J10" s="21">
        <f>IF($P10="","",IFERROR(IF(INDEX(MASTER!$L$4:$L$1463,$P10)="","",INDEX(MASTER!$L$4:$L$1463,$P10)),""))</f>
        <v>6.1</v>
      </c>
      <c r="K10" s="21">
        <f>IF($P10="","",IFERROR(IF(INDEX(MASTER!$N$4:$N$1463,$P10)="","",INDEX(MASTER!$N$4:$N$1463,$P10)),""))</f>
        <v>75.5</v>
      </c>
      <c r="L10" s="19" t="str">
        <f>IF($P10="","",IFERROR(IF(INDEX(MASTER!$O$4:$O$1463,$P10)="","",INDEX(MASTER!$O$4:$O$1463,$P10)),""))</f>
        <v>S</v>
      </c>
      <c r="M10" s="19">
        <f>IF($P10="","",IFERROR(IF(INDEX(MASTER!$Q$4:$Q$1463,$P10)="","",INDEX(MASTER!$Q$4:$Q$1463,$P10)),""))</f>
        <v>7</v>
      </c>
      <c r="N10" s="19" t="str">
        <f>IF($P10="","",IFERROR(IF(INDEX(MASTER!$S$4:$S$1463,$P10)="","",INDEX(MASTER!$S$4:$S$1463,$P10)),""))</f>
        <v>Complete</v>
      </c>
      <c r="P10">
        <f>IFERROR(MATCH($Q$1&amp;"@2",MASTER!$AC$4:$AC$1463,0),"")</f>
        <v>72</v>
      </c>
    </row>
    <row r="11" spans="1:17">
      <c r="A11" s="15">
        <f>IF($P11="","",3)</f>
        <v>3</v>
      </c>
      <c r="B11" s="14" t="str">
        <f>IF($P11="","",IFERROR(IF(INDEX(MASTER!$C$4:$C$1463,$P11)="","",INDEX(MASTER!$C$4:$C$1463,$P11)),""))</f>
        <v>AthenaSkye</v>
      </c>
      <c r="C11" s="15" t="str">
        <f>IF($P11="","",IFERROR(IF(INDEX(MASTER!$D$4:$D$1463,$P11)="","",INDEX(MASTER!$D$4:$D$1463,$P11)),""))</f>
        <v/>
      </c>
      <c r="D11" s="15" t="str">
        <f>IF($P11="","",IFERROR(IF(INDEX(MASTER!$E$4:$E$1463,$P11)="","",INDEX(MASTER!$E$4:$E$1463,$P11)),""))</f>
        <v>WIZARD</v>
      </c>
      <c r="E11" s="15" t="str">
        <f>IF($P11="","",IFERROR(IF(INDEX(MASTER!$F$4:$F$1463,$P11)="","",INDEX(MASTER!$F$4:$F$1463,$P11)),""))</f>
        <v>Ranged DPS</v>
      </c>
      <c r="F11" s="16">
        <f>IF($P11="","",IFERROR(IF(INDEX(MASTER!$G$4:$G$1463,$P11)="","",INDEX(MASTER!$G$4:$G$1463,$P11)),""))</f>
        <v>63085</v>
      </c>
      <c r="G11" s="15" t="str">
        <f>IF($P11="","",IFERROR(IF(INDEX(MASTER!$H$4:$H$1463,$P11)="","",INDEX(MASTER!$H$4:$H$1463,$P11)),""))</f>
        <v>63,000 - 63,999</v>
      </c>
      <c r="H11" s="16">
        <f>IF($P11="","",IFERROR(IF(INDEX(MASTER!$I$4:$I$1463,$P11)="","",INDEX(MASTER!$I$4:$I$1463,$P11)),""))</f>
        <v>3676</v>
      </c>
      <c r="I11" s="15" t="str">
        <f>IF($P11="","",IFERROR(IF(INDEX(MASTER!$J$4:$J$1463,$P11)="","",INDEX(MASTER!$J$4:$J$1463,$P11)),""))</f>
        <v>DEVELOPING</v>
      </c>
      <c r="J11" s="17">
        <f>IF($P11="","",IFERROR(IF(INDEX(MASTER!$L$4:$L$1463,$P11)="","",INDEX(MASTER!$L$4:$L$1463,$P11)),""))</f>
        <v>4.3099999999999996</v>
      </c>
      <c r="K11" s="17">
        <f>IF($P11="","",IFERROR(IF(INDEX(MASTER!$N$4:$N$1463,$P11)="","",INDEX(MASTER!$N$4:$N$1463,$P11)),""))</f>
        <v>44.5</v>
      </c>
      <c r="L11" s="15" t="str">
        <f>IF($P11="","",IFERROR(IF(INDEX(MASTER!$O$4:$O$1463,$P11)="","",INDEX(MASTER!$O$4:$O$1463,$P11)),""))</f>
        <v>B</v>
      </c>
      <c r="M11" s="15">
        <f>IF($P11="","",IFERROR(IF(INDEX(MASTER!$Q$4:$Q$1463,$P11)="","",INDEX(MASTER!$Q$4:$Q$1463,$P11)),""))</f>
        <v>70</v>
      </c>
      <c r="N11" s="15" t="str">
        <f>IF($P11="","",IFERROR(IF(INDEX(MASTER!$S$4:$S$1463,$P11)="","",INDEX(MASTER!$S$4:$S$1463,$P11)),""))</f>
        <v>Complete</v>
      </c>
      <c r="P11">
        <f>IFERROR(MATCH($Q$1&amp;"@3",MASTER!$AC$4:$AC$1463,0),"")</f>
        <v>89</v>
      </c>
    </row>
    <row r="12" spans="1:17">
      <c r="A12" s="19">
        <f>IF($P12="","",4)</f>
        <v>4</v>
      </c>
      <c r="B12" s="18" t="str">
        <f>IF($P12="","",IFERROR(IF(INDEX(MASTER!$C$4:$C$1463,$P12)="","",INDEX(MASTER!$C$4:$C$1463,$P12)),""))</f>
        <v>Azrahell</v>
      </c>
      <c r="C12" s="19" t="str">
        <f>IF($P12="","",IFERROR(IF(INDEX(MASTER!$D$4:$D$1463,$P12)="","",INDEX(MASTER!$D$4:$D$1463,$P12)),""))</f>
        <v/>
      </c>
      <c r="D12" s="19" t="str">
        <f>IF($P12="","",IFERROR(IF(INDEX(MASTER!$E$4:$E$1463,$P12)="","",INDEX(MASTER!$E$4:$E$1463,$P12)),""))</f>
        <v>DEMON HUNTER</v>
      </c>
      <c r="E12" s="19" t="str">
        <f>IF($P12="","",IFERROR(IF(INDEX(MASTER!$F$4:$F$1463,$P12)="","",INDEX(MASTER!$F$4:$F$1463,$P12)),""))</f>
        <v>Ranged DPS</v>
      </c>
      <c r="F12" s="20">
        <f>IF($P12="","",IFERROR(IF(INDEX(MASTER!$G$4:$G$1463,$P12)="","",INDEX(MASTER!$G$4:$G$1463,$P12)),""))</f>
        <v>63760</v>
      </c>
      <c r="G12" s="19" t="str">
        <f>IF($P12="","",IFERROR(IF(INDEX(MASTER!$H$4:$H$1463,$P12)="","",INDEX(MASTER!$H$4:$H$1463,$P12)),""))</f>
        <v>63,000 - 63,999</v>
      </c>
      <c r="H12" s="20">
        <f>IF($P12="","",IFERROR(IF(INDEX(MASTER!$I$4:$I$1463,$P12)="","",INDEX(MASTER!$I$4:$I$1463,$P12)),""))</f>
        <v>7300</v>
      </c>
      <c r="I12" s="19" t="str">
        <f>IF($P12="","",IFERROR(IF(INDEX(MASTER!$J$4:$J$1463,$P12)="","",INDEX(MASTER!$J$4:$J$1463,$P12)),""))</f>
        <v>VETERAN</v>
      </c>
      <c r="J12" s="21">
        <f>IF($P12="","",IFERROR(IF(INDEX(MASTER!$L$4:$L$1463,$P12)="","",INDEX(MASTER!$L$4:$L$1463,$P12)),""))</f>
        <v>5.12</v>
      </c>
      <c r="K12" s="21">
        <f>IF($P12="","",IFERROR(IF(INDEX(MASTER!$N$4:$N$1463,$P12)="","",INDEX(MASTER!$N$4:$N$1463,$P12)),""))</f>
        <v>63.5</v>
      </c>
      <c r="L12" s="19" t="str">
        <f>IF($P12="","",IFERROR(IF(INDEX(MASTER!$O$4:$O$1463,$P12)="","",INDEX(MASTER!$O$4:$O$1463,$P12)),""))</f>
        <v>A</v>
      </c>
      <c r="M12" s="19">
        <f>IF($P12="","",IFERROR(IF(INDEX(MASTER!$Q$4:$Q$1463,$P12)="","",INDEX(MASTER!$Q$4:$Q$1463,$P12)),""))</f>
        <v>22</v>
      </c>
      <c r="N12" s="19" t="str">
        <f>IF($P12="","",IFERROR(IF(INDEX(MASTER!$S$4:$S$1463,$P12)="","",INDEX(MASTER!$S$4:$S$1463,$P12)),""))</f>
        <v>Complete</v>
      </c>
      <c r="P12">
        <f>IFERROR(MATCH($Q$1&amp;"@4",MASTER!$AC$4:$AC$1463,0),"")</f>
        <v>94</v>
      </c>
    </row>
    <row r="13" spans="1:17">
      <c r="A13" s="15">
        <f>IF($P13="","",5)</f>
        <v>5</v>
      </c>
      <c r="B13" s="14" t="str">
        <f>IF($P13="","",IFERROR(IF(INDEX(MASTER!$C$4:$C$1463,$P13)="","",INDEX(MASTER!$C$4:$C$1463,$P13)),""))</f>
        <v>BaalBussyJuice</v>
      </c>
      <c r="C13" s="15" t="str">
        <f>IF($P13="","",IFERROR(IF(INDEX(MASTER!$D$4:$D$1463,$P13)="","",INDEX(MASTER!$D$4:$D$1463,$P13)),""))</f>
        <v/>
      </c>
      <c r="D13" s="15" t="str">
        <f>IF($P13="","",IFERROR(IF(INDEX(MASTER!$E$4:$E$1463,$P13)="","",INDEX(MASTER!$E$4:$E$1463,$P13)),""))</f>
        <v>BARBARIAN</v>
      </c>
      <c r="E13" s="15" t="str">
        <f>IF($P13="","",IFERROR(IF(INDEX(MASTER!$F$4:$F$1463,$P13)="","",INDEX(MASTER!$F$4:$F$1463,$P13)),""))</f>
        <v>Frontline</v>
      </c>
      <c r="F13" s="16">
        <f>IF($P13="","",IFERROR(IF(INDEX(MASTER!$G$4:$G$1463,$P13)="","",INDEX(MASTER!$G$4:$G$1463,$P13)),""))</f>
        <v>62754</v>
      </c>
      <c r="G13" s="15" t="str">
        <f>IF($P13="","",IFERROR(IF(INDEX(MASTER!$H$4:$H$1463,$P13)="","",INDEX(MASTER!$H$4:$H$1463,$P13)),""))</f>
        <v>62,000 - 62,999</v>
      </c>
      <c r="H13" s="16">
        <f>IF($P13="","",IFERROR(IF(INDEX(MASTER!$I$4:$I$1463,$P13)="","",INDEX(MASTER!$I$4:$I$1463,$P13)),""))</f>
        <v>7500</v>
      </c>
      <c r="I13" s="15" t="str">
        <f>IF($P13="","",IFERROR(IF(INDEX(MASTER!$J$4:$J$1463,$P13)="","",INDEX(MASTER!$J$4:$J$1463,$P13)),""))</f>
        <v>VETERAN</v>
      </c>
      <c r="J13" s="17">
        <f>IF($P13="","",IFERROR(IF(INDEX(MASTER!$L$4:$L$1463,$P13)="","",INDEX(MASTER!$L$4:$L$1463,$P13)),""))</f>
        <v>6.29</v>
      </c>
      <c r="K13" s="17">
        <f>IF($P13="","",IFERROR(IF(INDEX(MASTER!$N$4:$N$1463,$P13)="","",INDEX(MASTER!$N$4:$N$1463,$P13)),""))</f>
        <v>63.6</v>
      </c>
      <c r="L13" s="15" t="str">
        <f>IF($P13="","",IFERROR(IF(INDEX(MASTER!$O$4:$O$1463,$P13)="","",INDEX(MASTER!$O$4:$O$1463,$P13)),""))</f>
        <v>A</v>
      </c>
      <c r="M13" s="15">
        <f>IF($P13="","",IFERROR(IF(INDEX(MASTER!$Q$4:$Q$1463,$P13)="","",INDEX(MASTER!$Q$4:$Q$1463,$P13)),""))</f>
        <v>17</v>
      </c>
      <c r="N13" s="15" t="str">
        <f>IF($P13="","",IFERROR(IF(INDEX(MASTER!$S$4:$S$1463,$P13)="","",INDEX(MASTER!$S$4:$S$1463,$P13)),""))</f>
        <v>Complete</v>
      </c>
      <c r="P13">
        <f>IFERROR(MATCH($Q$1&amp;"@5",MASTER!$AC$4:$AC$1463,0),"")</f>
        <v>100</v>
      </c>
    </row>
    <row r="14" spans="1:17">
      <c r="A14" s="19">
        <f>IF($P14="","",6)</f>
        <v>6</v>
      </c>
      <c r="B14" s="18" t="str">
        <f>IF($P14="","",IFERROR(IF(INDEX(MASTER!$C$4:$C$1463,$P14)="","",INDEX(MASTER!$C$4:$C$1463,$P14)),""))</f>
        <v>BaddestDad</v>
      </c>
      <c r="C14" s="19" t="str">
        <f>IF($P14="","",IFERROR(IF(INDEX(MASTER!$D$4:$D$1463,$P14)="","",INDEX(MASTER!$D$4:$D$1463,$P14)),""))</f>
        <v/>
      </c>
      <c r="D14" s="19" t="str">
        <f>IF($P14="","",IFERROR(IF(INDEX(MASTER!$E$4:$E$1463,$P14)="","",INDEX(MASTER!$E$4:$E$1463,$P14)),""))</f>
        <v>BARBARIAN</v>
      </c>
      <c r="E14" s="19" t="str">
        <f>IF($P14="","",IFERROR(IF(INDEX(MASTER!$F$4:$F$1463,$P14)="","",INDEX(MASTER!$F$4:$F$1463,$P14)),""))</f>
        <v>Frontline</v>
      </c>
      <c r="F14" s="20">
        <f>IF($P14="","",IFERROR(IF(INDEX(MASTER!$G$4:$G$1463,$P14)="","",INDEX(MASTER!$G$4:$G$1463,$P14)),""))</f>
        <v>63395</v>
      </c>
      <c r="G14" s="19" t="str">
        <f>IF($P14="","",IFERROR(IF(INDEX(MASTER!$H$4:$H$1463,$P14)="","",INDEX(MASTER!$H$4:$H$1463,$P14)),""))</f>
        <v>63,000 - 63,999</v>
      </c>
      <c r="H14" s="20">
        <f>IF($P14="","",IFERROR(IF(INDEX(MASTER!$I$4:$I$1463,$P14)="","",INDEX(MASTER!$I$4:$I$1463,$P14)),""))</f>
        <v>4306</v>
      </c>
      <c r="I14" s="19" t="str">
        <f>IF($P14="","",IFERROR(IF(INDEX(MASTER!$J$4:$J$1463,$P14)="","",INDEX(MASTER!$J$4:$J$1463,$P14)),""))</f>
        <v>CORE</v>
      </c>
      <c r="J14" s="21">
        <f>IF($P14="","",IFERROR(IF(INDEX(MASTER!$L$4:$L$1463,$P14)="","",INDEX(MASTER!$L$4:$L$1463,$P14)),""))</f>
        <v>5.09</v>
      </c>
      <c r="K14" s="21">
        <f>IF($P14="","",IFERROR(IF(INDEX(MASTER!$N$4:$N$1463,$P14)="","",INDEX(MASTER!$N$4:$N$1463,$P14)),""))</f>
        <v>49.4</v>
      </c>
      <c r="L14" s="19" t="str">
        <f>IF($P14="","",IFERROR(IF(INDEX(MASTER!$O$4:$O$1463,$P14)="","",INDEX(MASTER!$O$4:$O$1463,$P14)),""))</f>
        <v>B</v>
      </c>
      <c r="M14" s="19">
        <f>IF($P14="","",IFERROR(IF(INDEX(MASTER!$Q$4:$Q$1463,$P14)="","",INDEX(MASTER!$Q$4:$Q$1463,$P14)),""))</f>
        <v>53</v>
      </c>
      <c r="N14" s="19" t="str">
        <f>IF($P14="","",IFERROR(IF(INDEX(MASTER!$S$4:$S$1463,$P14)="","",INDEX(MASTER!$S$4:$S$1463,$P14)),""))</f>
        <v>Complete</v>
      </c>
      <c r="P14">
        <f>IFERROR(MATCH($Q$1&amp;"@6",MASTER!$AC$4:$AC$1463,0),"")</f>
        <v>111</v>
      </c>
    </row>
    <row r="15" spans="1:17">
      <c r="A15" s="15">
        <f>IF($P15="","",7)</f>
        <v>7</v>
      </c>
      <c r="B15" s="14" t="str">
        <f>IF($P15="","",IFERROR(IF(INDEX(MASTER!$C$4:$C$1463,$P15)="","",INDEX(MASTER!$C$4:$C$1463,$P15)),""))</f>
        <v>BearMinimum</v>
      </c>
      <c r="C15" s="15" t="str">
        <f>IF($P15="","",IFERROR(IF(INDEX(MASTER!$D$4:$D$1463,$P15)="","",INDEX(MASTER!$D$4:$D$1463,$P15)),""))</f>
        <v/>
      </c>
      <c r="D15" s="15" t="str">
        <f>IF($P15="","",IFERROR(IF(INDEX(MASTER!$E$4:$E$1463,$P15)="","",INDEX(MASTER!$E$4:$E$1463,$P15)),""))</f>
        <v>TEMPEST</v>
      </c>
      <c r="E15" s="15" t="str">
        <f>IF($P15="","",IFERROR(IF(INDEX(MASTER!$F$4:$F$1463,$P15)="","",INDEX(MASTER!$F$4:$F$1463,$P15)),""))</f>
        <v>Melee DPS</v>
      </c>
      <c r="F15" s="16">
        <f>IF($P15="","",IFERROR(IF(INDEX(MASTER!$G$4:$G$1463,$P15)="","",INDEX(MASTER!$G$4:$G$1463,$P15)),""))</f>
        <v>63878</v>
      </c>
      <c r="G15" s="15" t="str">
        <f>IF($P15="","",IFERROR(IF(INDEX(MASTER!$H$4:$H$1463,$P15)="","",INDEX(MASTER!$H$4:$H$1463,$P15)),""))</f>
        <v>63,000 - 63,999</v>
      </c>
      <c r="H15" s="16">
        <f>IF($P15="","",IFERROR(IF(INDEX(MASTER!$I$4:$I$1463,$P15)="","",INDEX(MASTER!$I$4:$I$1463,$P15)),""))</f>
        <v>7946</v>
      </c>
      <c r="I15" s="15" t="str">
        <f>IF($P15="","",IFERROR(IF(INDEX(MASTER!$J$4:$J$1463,$P15)="","",INDEX(MASTER!$J$4:$J$1463,$P15)),""))</f>
        <v>VETERAN</v>
      </c>
      <c r="J15" s="17">
        <f>IF($P15="","",IFERROR(IF(INDEX(MASTER!$L$4:$L$1463,$P15)="","",INDEX(MASTER!$L$4:$L$1463,$P15)),""))</f>
        <v>6.32</v>
      </c>
      <c r="K15" s="17">
        <f>IF($P15="","",IFERROR(IF(INDEX(MASTER!$N$4:$N$1463,$P15)="","",INDEX(MASTER!$N$4:$N$1463,$P15)),""))</f>
        <v>68.599999999999994</v>
      </c>
      <c r="L15" s="15" t="str">
        <f>IF($P15="","",IFERROR(IF(INDEX(MASTER!$O$4:$O$1463,$P15)="","",INDEX(MASTER!$O$4:$O$1463,$P15)),""))</f>
        <v>S</v>
      </c>
      <c r="M15" s="15">
        <f>IF($P15="","",IFERROR(IF(INDEX(MASTER!$Q$4:$Q$1463,$P15)="","",INDEX(MASTER!$Q$4:$Q$1463,$P15)),""))</f>
        <v>15</v>
      </c>
      <c r="N15" s="15" t="str">
        <f>IF($P15="","",IFERROR(IF(INDEX(MASTER!$S$4:$S$1463,$P15)="","",INDEX(MASTER!$S$4:$S$1463,$P15)),""))</f>
        <v>Complete</v>
      </c>
      <c r="P15">
        <f>IFERROR(MATCH($Q$1&amp;"@7",MASTER!$AC$4:$AC$1463,0),"")</f>
        <v>170</v>
      </c>
    </row>
    <row r="16" spans="1:17">
      <c r="A16" s="19">
        <f>IF($P16="","",8)</f>
        <v>8</v>
      </c>
      <c r="B16" s="18" t="str">
        <f>IF($P16="","",IFERROR(IF(INDEX(MASTER!$C$4:$C$1463,$P16)="","",INDEX(MASTER!$C$4:$C$1463,$P16)),""))</f>
        <v>Breboop</v>
      </c>
      <c r="C16" s="19" t="str">
        <f>IF($P16="","",IFERROR(IF(INDEX(MASTER!$D$4:$D$1463,$P16)="","",INDEX(MASTER!$D$4:$D$1463,$P16)),""))</f>
        <v/>
      </c>
      <c r="D16" s="19" t="str">
        <f>IF($P16="","",IFERROR(IF(INDEX(MASTER!$E$4:$E$1463,$P16)="","",INDEX(MASTER!$E$4:$E$1463,$P16)),""))</f>
        <v>WARLOCK</v>
      </c>
      <c r="E16" s="19" t="str">
        <f>IF($P16="","",IFERROR(IF(INDEX(MASTER!$F$4:$F$1463,$P16)="","",INDEX(MASTER!$F$4:$F$1463,$P16)),""))</f>
        <v>Control</v>
      </c>
      <c r="F16" s="20">
        <f>IF($P16="","",IFERROR(IF(INDEX(MASTER!$G$4:$G$1463,$P16)="","",INDEX(MASTER!$G$4:$G$1463,$P16)),""))</f>
        <v>60858</v>
      </c>
      <c r="G16" s="19" t="str">
        <f>IF($P16="","",IFERROR(IF(INDEX(MASTER!$H$4:$H$1463,$P16)="","",INDEX(MASTER!$H$4:$H$1463,$P16)),""))</f>
        <v>60,000 - 60,999</v>
      </c>
      <c r="H16" s="20">
        <f>IF($P16="","",IFERROR(IF(INDEX(MASTER!$I$4:$I$1463,$P16)="","",INDEX(MASTER!$I$4:$I$1463,$P16)),""))</f>
        <v>3726</v>
      </c>
      <c r="I16" s="19" t="str">
        <f>IF($P16="","",IFERROR(IF(INDEX(MASTER!$J$4:$J$1463,$P16)="","",INDEX(MASTER!$J$4:$J$1463,$P16)),""))</f>
        <v>DEVELOPING</v>
      </c>
      <c r="J16" s="21">
        <f>IF($P16="","",IFERROR(IF(INDEX(MASTER!$L$4:$L$1463,$P16)="","",INDEX(MASTER!$L$4:$L$1463,$P16)),""))</f>
        <v>3.44</v>
      </c>
      <c r="K16" s="21">
        <f>IF($P16="","",IFERROR(IF(INDEX(MASTER!$N$4:$N$1463,$P16)="","",INDEX(MASTER!$N$4:$N$1463,$P16)),""))</f>
        <v>37.4</v>
      </c>
      <c r="L16" s="19" t="str">
        <f>IF($P16="","",IFERROR(IF(INDEX(MASTER!$O$4:$O$1463,$P16)="","",INDEX(MASTER!$O$4:$O$1463,$P16)),""))</f>
        <v>B</v>
      </c>
      <c r="M16" s="19">
        <f>IF($P16="","",IFERROR(IF(INDEX(MASTER!$Q$4:$Q$1463,$P16)="","",INDEX(MASTER!$Q$4:$Q$1463,$P16)),""))</f>
        <v>68</v>
      </c>
      <c r="N16" s="19" t="str">
        <f>IF($P16="","",IFERROR(IF(INDEX(MASTER!$S$4:$S$1463,$P16)="","",INDEX(MASTER!$S$4:$S$1463,$P16)),""))</f>
        <v>Complete</v>
      </c>
      <c r="P16">
        <f>IFERROR(MATCH($Q$1&amp;"@8",MASTER!$AC$4:$AC$1463,0),"")</f>
        <v>174</v>
      </c>
    </row>
    <row r="17" spans="1:16">
      <c r="A17" s="15">
        <f>IF($P17="","",9)</f>
        <v>9</v>
      </c>
      <c r="B17" s="14" t="str">
        <f>IF($P17="","",IFERROR(IF(INDEX(MASTER!$C$4:$C$1463,$P17)="","",INDEX(MASTER!$C$4:$C$1463,$P17)),""))</f>
        <v>Brutonous</v>
      </c>
      <c r="C17" s="15" t="str">
        <f>IF($P17="","",IFERROR(IF(INDEX(MASTER!$D$4:$D$1463,$P17)="","",INDEX(MASTER!$D$4:$D$1463,$P17)),""))</f>
        <v/>
      </c>
      <c r="D17" s="15" t="str">
        <f>IF($P17="","",IFERROR(IF(INDEX(MASTER!$E$4:$E$1463,$P17)="","",INDEX(MASTER!$E$4:$E$1463,$P17)),""))</f>
        <v>BARBARIAN</v>
      </c>
      <c r="E17" s="15" t="str">
        <f>IF($P17="","",IFERROR(IF(INDEX(MASTER!$F$4:$F$1463,$P17)="","",INDEX(MASTER!$F$4:$F$1463,$P17)),""))</f>
        <v>Frontline</v>
      </c>
      <c r="F17" s="16">
        <f>IF($P17="","",IFERROR(IF(INDEX(MASTER!$G$4:$G$1463,$P17)="","",INDEX(MASTER!$G$4:$G$1463,$P17)),""))</f>
        <v>62522</v>
      </c>
      <c r="G17" s="15" t="str">
        <f>IF($P17="","",IFERROR(IF(INDEX(MASTER!$H$4:$H$1463,$P17)="","",INDEX(MASTER!$H$4:$H$1463,$P17)),""))</f>
        <v>62,000 - 62,999</v>
      </c>
      <c r="H17" s="16">
        <f>IF($P17="","",IFERROR(IF(INDEX(MASTER!$I$4:$I$1463,$P17)="","",INDEX(MASTER!$I$4:$I$1463,$P17)),""))</f>
        <v>3832</v>
      </c>
      <c r="I17" s="15" t="str">
        <f>IF($P17="","",IFERROR(IF(INDEX(MASTER!$J$4:$J$1463,$P17)="","",INDEX(MASTER!$J$4:$J$1463,$P17)),""))</f>
        <v>DEVELOPING</v>
      </c>
      <c r="J17" s="17">
        <f>IF($P17="","",IFERROR(IF(INDEX(MASTER!$L$4:$L$1463,$P17)="","",INDEX(MASTER!$L$4:$L$1463,$P17)),""))</f>
        <v>6.27</v>
      </c>
      <c r="K17" s="17">
        <f>IF($P17="","",IFERROR(IF(INDEX(MASTER!$N$4:$N$1463,$P17)="","",INDEX(MASTER!$N$4:$N$1463,$P17)),""))</f>
        <v>47</v>
      </c>
      <c r="L17" s="15" t="str">
        <f>IF($P17="","",IFERROR(IF(INDEX(MASTER!$O$4:$O$1463,$P17)="","",INDEX(MASTER!$O$4:$O$1463,$P17)),""))</f>
        <v>B</v>
      </c>
      <c r="M17" s="15">
        <f>IF($P17="","",IFERROR(IF(INDEX(MASTER!$Q$4:$Q$1463,$P17)="","",INDEX(MASTER!$Q$4:$Q$1463,$P17)),""))</f>
        <v>65</v>
      </c>
      <c r="N17" s="15" t="str">
        <f>IF($P17="","",IFERROR(IF(INDEX(MASTER!$S$4:$S$1463,$P17)="","",INDEX(MASTER!$S$4:$S$1463,$P17)),""))</f>
        <v>Complete</v>
      </c>
      <c r="P17">
        <f>IFERROR(MATCH($Q$1&amp;"@9",MASTER!$AC$4:$AC$1463,0),"")</f>
        <v>189</v>
      </c>
    </row>
    <row r="18" spans="1:16">
      <c r="A18" s="19">
        <f>IF($P18="","",10)</f>
        <v>10</v>
      </c>
      <c r="B18" s="18" t="str">
        <f>IF($P18="","",IFERROR(IF(INDEX(MASTER!$C$4:$C$1463,$P18)="","",INDEX(MASTER!$C$4:$C$1463,$P18)),""))</f>
        <v>Caldorin</v>
      </c>
      <c r="C18" s="19" t="str">
        <f>IF($P18="","",IFERROR(IF(INDEX(MASTER!$D$4:$D$1463,$P18)="","",INDEX(MASTER!$D$4:$D$1463,$P18)),""))</f>
        <v/>
      </c>
      <c r="D18" s="19" t="str">
        <f>IF($P18="","",IFERROR(IF(INDEX(MASTER!$E$4:$E$1463,$P18)="","",INDEX(MASTER!$E$4:$E$1463,$P18)),""))</f>
        <v>NECROMANCER</v>
      </c>
      <c r="E18" s="19" t="str">
        <f>IF($P18="","",IFERROR(IF(INDEX(MASTER!$F$4:$F$1463,$P18)="","",INDEX(MASTER!$F$4:$F$1463,$P18)),""))</f>
        <v>Control</v>
      </c>
      <c r="F18" s="20">
        <f>IF($P18="","",IFERROR(IF(INDEX(MASTER!$G$4:$G$1463,$P18)="","",INDEX(MASTER!$G$4:$G$1463,$P18)),""))</f>
        <v>63517</v>
      </c>
      <c r="G18" s="19" t="str">
        <f>IF($P18="","",IFERROR(IF(INDEX(MASTER!$H$4:$H$1463,$P18)="","",INDEX(MASTER!$H$4:$H$1463,$P18)),""))</f>
        <v>63,000 - 63,999</v>
      </c>
      <c r="H18" s="20">
        <f>IF($P18="","",IFERROR(IF(INDEX(MASTER!$I$4:$I$1463,$P18)="","",INDEX(MASTER!$I$4:$I$1463,$P18)),""))</f>
        <v>5337</v>
      </c>
      <c r="I18" s="19" t="str">
        <f>IF($P18="","",IFERROR(IF(INDEX(MASTER!$J$4:$J$1463,$P18)="","",INDEX(MASTER!$J$4:$J$1463,$P18)),""))</f>
        <v>CORE</v>
      </c>
      <c r="J18" s="21">
        <f>IF($P18="","",IFERROR(IF(INDEX(MASTER!$L$4:$L$1463,$P18)="","",INDEX(MASTER!$L$4:$L$1463,$P18)),""))</f>
        <v>5.28</v>
      </c>
      <c r="K18" s="21">
        <f>IF($P18="","",IFERROR(IF(INDEX(MASTER!$N$4:$N$1463,$P18)="","",INDEX(MASTER!$N$4:$N$1463,$P18)),""))</f>
        <v>54.5</v>
      </c>
      <c r="L18" s="19" t="str">
        <f>IF($P18="","",IFERROR(IF(INDEX(MASTER!$O$4:$O$1463,$P18)="","",INDEX(MASTER!$O$4:$O$1463,$P18)),""))</f>
        <v>A</v>
      </c>
      <c r="M18" s="19">
        <f>IF($P18="","",IFERROR(IF(INDEX(MASTER!$Q$4:$Q$1463,$P18)="","",INDEX(MASTER!$Q$4:$Q$1463,$P18)),""))</f>
        <v>36</v>
      </c>
      <c r="N18" s="19" t="str">
        <f>IF($P18="","",IFERROR(IF(INDEX(MASTER!$S$4:$S$1463,$P18)="","",INDEX(MASTER!$S$4:$S$1463,$P18)),""))</f>
        <v>Complete</v>
      </c>
      <c r="P18">
        <f>IFERROR(MATCH($Q$1&amp;"@10",MASTER!$AC$4:$AC$1463,0),"")</f>
        <v>191</v>
      </c>
    </row>
    <row r="19" spans="1:16">
      <c r="A19" s="15">
        <f>IF($P19="","",11)</f>
        <v>11</v>
      </c>
      <c r="B19" s="14" t="str">
        <f>IF($P19="","",IFERROR(IF(INDEX(MASTER!$C$4:$C$1463,$P19)="","",INDEX(MASTER!$C$4:$C$1463,$P19)),""))</f>
        <v>CallmeTort</v>
      </c>
      <c r="C19" s="15" t="str">
        <f>IF($P19="","",IFERROR(IF(INDEX(MASTER!$D$4:$D$1463,$P19)="","",INDEX(MASTER!$D$4:$D$1463,$P19)),""))</f>
        <v/>
      </c>
      <c r="D19" s="15" t="str">
        <f>IF($P19="","",IFERROR(IF(INDEX(MASTER!$E$4:$E$1463,$P19)="","",INDEX(MASTER!$E$4:$E$1463,$P19)),""))</f>
        <v>BARBARIAN</v>
      </c>
      <c r="E19" s="15" t="str">
        <f>IF($P19="","",IFERROR(IF(INDEX(MASTER!$F$4:$F$1463,$P19)="","",INDEX(MASTER!$F$4:$F$1463,$P19)),""))</f>
        <v>Frontline</v>
      </c>
      <c r="F19" s="16">
        <f>IF($P19="","",IFERROR(IF(INDEX(MASTER!$G$4:$G$1463,$P19)="","",INDEX(MASTER!$G$4:$G$1463,$P19)),""))</f>
        <v>61711</v>
      </c>
      <c r="G19" s="15" t="str">
        <f>IF($P19="","",IFERROR(IF(INDEX(MASTER!$H$4:$H$1463,$P19)="","",INDEX(MASTER!$H$4:$H$1463,$P19)),""))</f>
        <v>61,000 - 61,999</v>
      </c>
      <c r="H19" s="16">
        <f>IF($P19="","",IFERROR(IF(INDEX(MASTER!$I$4:$I$1463,$P19)="","",INDEX(MASTER!$I$4:$I$1463,$P19)),""))</f>
        <v>3202</v>
      </c>
      <c r="I19" s="15" t="str">
        <f>IF($P19="","",IFERROR(IF(INDEX(MASTER!$J$4:$J$1463,$P19)="","",INDEX(MASTER!$J$4:$J$1463,$P19)),""))</f>
        <v>DEVELOPING</v>
      </c>
      <c r="J19" s="17">
        <f>IF($P19="","",IFERROR(IF(INDEX(MASTER!$L$4:$L$1463,$P19)="","",INDEX(MASTER!$L$4:$L$1463,$P19)),""))</f>
        <v>3.34</v>
      </c>
      <c r="K19" s="17">
        <f>IF($P19="","",IFERROR(IF(INDEX(MASTER!$N$4:$N$1463,$P19)="","",INDEX(MASTER!$N$4:$N$1463,$P19)),""))</f>
        <v>37.200000000000003</v>
      </c>
      <c r="L19" s="15" t="str">
        <f>IF($P19="","",IFERROR(IF(INDEX(MASTER!$O$4:$O$1463,$P19)="","",INDEX(MASTER!$O$4:$O$1463,$P19)),""))</f>
        <v>B</v>
      </c>
      <c r="M19" s="15">
        <f>IF($P19="","",IFERROR(IF(INDEX(MASTER!$Q$4:$Q$1463,$P19)="","",INDEX(MASTER!$Q$4:$Q$1463,$P19)),""))</f>
        <v>86</v>
      </c>
      <c r="N19" s="15" t="str">
        <f>IF($P19="","",IFERROR(IF(INDEX(MASTER!$S$4:$S$1463,$P19)="","",INDEX(MASTER!$S$4:$S$1463,$P19)),""))</f>
        <v>Complete</v>
      </c>
      <c r="P19">
        <f>IFERROR(MATCH($Q$1&amp;"@11",MASTER!$AC$4:$AC$1463,0),"")</f>
        <v>212</v>
      </c>
    </row>
    <row r="20" spans="1:16">
      <c r="A20" s="19">
        <f>IF($P20="","",12)</f>
        <v>12</v>
      </c>
      <c r="B20" s="18" t="str">
        <f>IF($P20="","",IFERROR(IF(INDEX(MASTER!$C$4:$C$1463,$P20)="","",INDEX(MASTER!$C$4:$C$1463,$P20)),""))</f>
        <v>Chrysalis3</v>
      </c>
      <c r="C20" s="19" t="str">
        <f>IF($P20="","",IFERROR(IF(INDEX(MASTER!$D$4:$D$1463,$P20)="","",INDEX(MASTER!$D$4:$D$1463,$P20)),""))</f>
        <v/>
      </c>
      <c r="D20" s="19" t="str">
        <f>IF($P20="","",IFERROR(IF(INDEX(MASTER!$E$4:$E$1463,$P20)="","",INDEX(MASTER!$E$4:$E$1463,$P20)),""))</f>
        <v>DEMON HUNTER</v>
      </c>
      <c r="E20" s="19" t="str">
        <f>IF($P20="","",IFERROR(IF(INDEX(MASTER!$F$4:$F$1463,$P20)="","",INDEX(MASTER!$F$4:$F$1463,$P20)),""))</f>
        <v>Ranged DPS</v>
      </c>
      <c r="F20" s="20">
        <f>IF($P20="","",IFERROR(IF(INDEX(MASTER!$G$4:$G$1463,$P20)="","",INDEX(MASTER!$G$4:$G$1463,$P20)),""))</f>
        <v>61870</v>
      </c>
      <c r="G20" s="19" t="str">
        <f>IF($P20="","",IFERROR(IF(INDEX(MASTER!$H$4:$H$1463,$P20)="","",INDEX(MASTER!$H$4:$H$1463,$P20)),""))</f>
        <v>61,000 - 61,999</v>
      </c>
      <c r="H20" s="20">
        <f>IF($P20="","",IFERROR(IF(INDEX(MASTER!$I$4:$I$1463,$P20)="","",INDEX(MASTER!$I$4:$I$1463,$P20)),""))</f>
        <v>5680</v>
      </c>
      <c r="I20" s="19" t="str">
        <f>IF($P20="","",IFERROR(IF(INDEX(MASTER!$J$4:$J$1463,$P20)="","",INDEX(MASTER!$J$4:$J$1463,$P20)),""))</f>
        <v>CORE</v>
      </c>
      <c r="J20" s="21">
        <f>IF($P20="","",IFERROR(IF(INDEX(MASTER!$L$4:$L$1463,$P20)="","",INDEX(MASTER!$L$4:$L$1463,$P20)),""))</f>
        <v>4.8099999999999996</v>
      </c>
      <c r="K20" s="21">
        <f>IF($P20="","",IFERROR(IF(INDEX(MASTER!$N$4:$N$1463,$P20)="","",INDEX(MASTER!$N$4:$N$1463,$P20)),""))</f>
        <v>50.9</v>
      </c>
      <c r="L20" s="19" t="str">
        <f>IF($P20="","",IFERROR(IF(INDEX(MASTER!$O$4:$O$1463,$P20)="","",INDEX(MASTER!$O$4:$O$1463,$P20)),""))</f>
        <v>A</v>
      </c>
      <c r="M20" s="19">
        <f>IF($P20="","",IFERROR(IF(INDEX(MASTER!$Q$4:$Q$1463,$P20)="","",INDEX(MASTER!$Q$4:$Q$1463,$P20)),""))</f>
        <v>32</v>
      </c>
      <c r="N20" s="19" t="str">
        <f>IF($P20="","",IFERROR(IF(INDEX(MASTER!$S$4:$S$1463,$P20)="","",INDEX(MASTER!$S$4:$S$1463,$P20)),""))</f>
        <v>Complete</v>
      </c>
      <c r="P20">
        <f>IFERROR(MATCH($Q$1&amp;"@12",MASTER!$AC$4:$AC$1463,0),"")</f>
        <v>226</v>
      </c>
    </row>
    <row r="21" spans="1:16">
      <c r="A21" s="15">
        <f>IF($P21="","",13)</f>
        <v>13</v>
      </c>
      <c r="B21" s="14" t="str">
        <f>IF($P21="","",IFERROR(IF(INDEX(MASTER!$C$4:$C$1463,$P21)="","",INDEX(MASTER!$C$4:$C$1463,$P21)),""))</f>
        <v>ContagiØus</v>
      </c>
      <c r="C21" s="15" t="str">
        <f>IF($P21="","",IFERROR(IF(INDEX(MASTER!$D$4:$D$1463,$P21)="","",INDEX(MASTER!$D$4:$D$1463,$P21)),""))</f>
        <v/>
      </c>
      <c r="D21" s="15" t="str">
        <f>IF($P21="","",IFERROR(IF(INDEX(MASTER!$E$4:$E$1463,$P21)="","",INDEX(MASTER!$E$4:$E$1463,$P21)),""))</f>
        <v>WARLOCK</v>
      </c>
      <c r="E21" s="15" t="str">
        <f>IF($P21="","",IFERROR(IF(INDEX(MASTER!$F$4:$F$1463,$P21)="","",INDEX(MASTER!$F$4:$F$1463,$P21)),""))</f>
        <v>Control</v>
      </c>
      <c r="F21" s="16">
        <f>IF($P21="","",IFERROR(IF(INDEX(MASTER!$G$4:$G$1463,$P21)="","",INDEX(MASTER!$G$4:$G$1463,$P21)),""))</f>
        <v>62347</v>
      </c>
      <c r="G21" s="15" t="str">
        <f>IF($P21="","",IFERROR(IF(INDEX(MASTER!$H$4:$H$1463,$P21)="","",INDEX(MASTER!$H$4:$H$1463,$P21)),""))</f>
        <v>62,000 - 62,999</v>
      </c>
      <c r="H21" s="16">
        <f>IF($P21="","",IFERROR(IF(INDEX(MASTER!$I$4:$I$1463,$P21)="","",INDEX(MASTER!$I$4:$I$1463,$P21)),""))</f>
        <v>5240</v>
      </c>
      <c r="I21" s="15" t="str">
        <f>IF($P21="","",IFERROR(IF(INDEX(MASTER!$J$4:$J$1463,$P21)="","",INDEX(MASTER!$J$4:$J$1463,$P21)),""))</f>
        <v>CORE</v>
      </c>
      <c r="J21" s="17">
        <f>IF($P21="","",IFERROR(IF(INDEX(MASTER!$L$4:$L$1463,$P21)="","",INDEX(MASTER!$L$4:$L$1463,$P21)),""))</f>
        <v>4.9800000000000004</v>
      </c>
      <c r="K21" s="17">
        <f>IF($P21="","",IFERROR(IF(INDEX(MASTER!$N$4:$N$1463,$P21)="","",INDEX(MASTER!$N$4:$N$1463,$P21)),""))</f>
        <v>50.5</v>
      </c>
      <c r="L21" s="15" t="str">
        <f>IF($P21="","",IFERROR(IF(INDEX(MASTER!$O$4:$O$1463,$P21)="","",INDEX(MASTER!$O$4:$O$1463,$P21)),""))</f>
        <v>A</v>
      </c>
      <c r="M21" s="15">
        <f>IF($P21="","",IFERROR(IF(INDEX(MASTER!$Q$4:$Q$1463,$P21)="","",INDEX(MASTER!$Q$4:$Q$1463,$P21)),""))</f>
        <v>37</v>
      </c>
      <c r="N21" s="15" t="str">
        <f>IF($P21="","",IFERROR(IF(INDEX(MASTER!$S$4:$S$1463,$P21)="","",INDEX(MASTER!$S$4:$S$1463,$P21)),""))</f>
        <v>Complete</v>
      </c>
      <c r="P21">
        <f>IFERROR(MATCH($Q$1&amp;"@13",MASTER!$AC$4:$AC$1463,0),"")</f>
        <v>233</v>
      </c>
    </row>
    <row r="22" spans="1:16">
      <c r="A22" s="19">
        <f>IF($P22="","",14)</f>
        <v>14</v>
      </c>
      <c r="B22" s="18" t="str">
        <f>IF($P22="","",IFERROR(IF(INDEX(MASTER!$C$4:$C$1463,$P22)="","",INDEX(MASTER!$C$4:$C$1463,$P22)),""))</f>
        <v>CrimsonJeep</v>
      </c>
      <c r="C22" s="19" t="str">
        <f>IF($P22="","",IFERROR(IF(INDEX(MASTER!$D$4:$D$1463,$P22)="","",INDEX(MASTER!$D$4:$D$1463,$P22)),""))</f>
        <v/>
      </c>
      <c r="D22" s="19" t="str">
        <f>IF($P22="","",IFERROR(IF(INDEX(MASTER!$E$4:$E$1463,$P22)="","",INDEX(MASTER!$E$4:$E$1463,$P22)),""))</f>
        <v>BARBARIAN</v>
      </c>
      <c r="E22" s="19" t="str">
        <f>IF($P22="","",IFERROR(IF(INDEX(MASTER!$F$4:$F$1463,$P22)="","",INDEX(MASTER!$F$4:$F$1463,$P22)),""))</f>
        <v>Frontline</v>
      </c>
      <c r="F22" s="20">
        <f>IF($P22="","",IFERROR(IF(INDEX(MASTER!$G$4:$G$1463,$P22)="","",INDEX(MASTER!$G$4:$G$1463,$P22)),""))</f>
        <v>62746</v>
      </c>
      <c r="G22" s="19" t="str">
        <f>IF($P22="","",IFERROR(IF(INDEX(MASTER!$H$4:$H$1463,$P22)="","",INDEX(MASTER!$H$4:$H$1463,$P22)),""))</f>
        <v>62,000 - 62,999</v>
      </c>
      <c r="H22" s="20">
        <f>IF($P22="","",IFERROR(IF(INDEX(MASTER!$I$4:$I$1463,$P22)="","",INDEX(MASTER!$I$4:$I$1463,$P22)),""))</f>
        <v>5971</v>
      </c>
      <c r="I22" s="19" t="str">
        <f>IF($P22="","",IFERROR(IF(INDEX(MASTER!$J$4:$J$1463,$P22)="","",INDEX(MASTER!$J$4:$J$1463,$P22)),""))</f>
        <v>CORE</v>
      </c>
      <c r="J22" s="21">
        <f>IF($P22="","",IFERROR(IF(INDEX(MASTER!$L$4:$L$1463,$P22)="","",INDEX(MASTER!$L$4:$L$1463,$P22)),""))</f>
        <v>4.62</v>
      </c>
      <c r="K22" s="21">
        <f>IF($P22="","",IFERROR(IF(INDEX(MASTER!$N$4:$N$1463,$P22)="","",INDEX(MASTER!$N$4:$N$1463,$P22)),""))</f>
        <v>54.1</v>
      </c>
      <c r="L22" s="19" t="str">
        <f>IF($P22="","",IFERROR(IF(INDEX(MASTER!$O$4:$O$1463,$P22)="","",INDEX(MASTER!$O$4:$O$1463,$P22)),""))</f>
        <v>A</v>
      </c>
      <c r="M22" s="19">
        <f>IF($P22="","",IFERROR(IF(INDEX(MASTER!$Q$4:$Q$1463,$P22)="","",INDEX(MASTER!$Q$4:$Q$1463,$P22)),""))</f>
        <v>29</v>
      </c>
      <c r="N22" s="19" t="str">
        <f>IF($P22="","",IFERROR(IF(INDEX(MASTER!$S$4:$S$1463,$P22)="","",INDEX(MASTER!$S$4:$S$1463,$P22)),""))</f>
        <v>Complete</v>
      </c>
      <c r="P22">
        <f>IFERROR(MATCH($Q$1&amp;"@14",MASTER!$AC$4:$AC$1463,0),"")</f>
        <v>237</v>
      </c>
    </row>
    <row r="23" spans="1:16">
      <c r="A23" s="15">
        <f>IF($P23="","",15)</f>
        <v>15</v>
      </c>
      <c r="B23" s="14" t="str">
        <f>IF($P23="","",IFERROR(IF(INDEX(MASTER!$C$4:$C$1463,$P23)="","",INDEX(MASTER!$C$4:$C$1463,$P23)),""))</f>
        <v>CustomerSupport</v>
      </c>
      <c r="C23" s="15" t="str">
        <f>IF($P23="","",IFERROR(IF(INDEX(MASTER!$D$4:$D$1463,$P23)="","",INDEX(MASTER!$D$4:$D$1463,$P23)),""))</f>
        <v/>
      </c>
      <c r="D23" s="15" t="str">
        <f>IF($P23="","",IFERROR(IF(INDEX(MASTER!$E$4:$E$1463,$P23)="","",INDEX(MASTER!$E$4:$E$1463,$P23)),""))</f>
        <v>CRUSADER</v>
      </c>
      <c r="E23" s="15" t="str">
        <f>IF($P23="","",IFERROR(IF(INDEX(MASTER!$F$4:$F$1463,$P23)="","",INDEX(MASTER!$F$4:$F$1463,$P23)),""))</f>
        <v>Frontline</v>
      </c>
      <c r="F23" s="16">
        <f>IF($P23="","",IFERROR(IF(INDEX(MASTER!$G$4:$G$1463,$P23)="","",INDEX(MASTER!$G$4:$G$1463,$P23)),""))</f>
        <v>63117</v>
      </c>
      <c r="G23" s="15" t="str">
        <f>IF($P23="","",IFERROR(IF(INDEX(MASTER!$H$4:$H$1463,$P23)="","",INDEX(MASTER!$H$4:$H$1463,$P23)),""))</f>
        <v>63,000 - 63,999</v>
      </c>
      <c r="H23" s="16">
        <f>IF($P23="","",IFERROR(IF(INDEX(MASTER!$I$4:$I$1463,$P23)="","",INDEX(MASTER!$I$4:$I$1463,$P23)),""))</f>
        <v>5912</v>
      </c>
      <c r="I23" s="15" t="str">
        <f>IF($P23="","",IFERROR(IF(INDEX(MASTER!$J$4:$J$1463,$P23)="","",INDEX(MASTER!$J$4:$J$1463,$P23)),""))</f>
        <v>CORE</v>
      </c>
      <c r="J23" s="17">
        <f>IF($P23="","",IFERROR(IF(INDEX(MASTER!$L$4:$L$1463,$P23)="","",INDEX(MASTER!$L$4:$L$1463,$P23)),""))</f>
        <v>6.05</v>
      </c>
      <c r="K23" s="17">
        <f>IF($P23="","",IFERROR(IF(INDEX(MASTER!$N$4:$N$1463,$P23)="","",INDEX(MASTER!$N$4:$N$1463,$P23)),""))</f>
        <v>57.3</v>
      </c>
      <c r="L23" s="15" t="str">
        <f>IF($P23="","",IFERROR(IF(INDEX(MASTER!$O$4:$O$1463,$P23)="","",INDEX(MASTER!$O$4:$O$1463,$P23)),""))</f>
        <v>A</v>
      </c>
      <c r="M23" s="15">
        <f>IF($P23="","",IFERROR(IF(INDEX(MASTER!$Q$4:$Q$1463,$P23)="","",INDEX(MASTER!$Q$4:$Q$1463,$P23)),""))</f>
        <v>30</v>
      </c>
      <c r="N23" s="15" t="str">
        <f>IF($P23="","",IFERROR(IF(INDEX(MASTER!$S$4:$S$1463,$P23)="","",INDEX(MASTER!$S$4:$S$1463,$P23)),""))</f>
        <v>Complete</v>
      </c>
      <c r="P23">
        <f>IFERROR(MATCH($Q$1&amp;"@15",MASTER!$AC$4:$AC$1463,0),"")</f>
        <v>259</v>
      </c>
    </row>
    <row r="24" spans="1:16">
      <c r="A24" s="19">
        <f>IF($P24="","",16)</f>
        <v>16</v>
      </c>
      <c r="B24" s="18" t="s">
        <v>2905</v>
      </c>
      <c r="C24" s="19" t="str">
        <f>IF($P24="","",IFERROR(IF(INDEX(MASTER!$D$4:$D$1463,$P24)="","",INDEX(MASTER!$D$4:$D$1463,$P24)),""))</f>
        <v/>
      </c>
      <c r="D24" s="19" t="str">
        <f>IF($P24="","",IFERROR(IF(INDEX(MASTER!$E$4:$E$1463,$P24)="","",INDEX(MASTER!$E$4:$E$1463,$P24)),""))</f>
        <v>CRUSADER</v>
      </c>
      <c r="E24" s="19" t="str">
        <f>IF($P24="","",IFERROR(IF(INDEX(MASTER!$F$4:$F$1463,$P24)="","",INDEX(MASTER!$F$4:$F$1463,$P24)),""))</f>
        <v>Frontline</v>
      </c>
      <c r="F24" s="20">
        <f>IF($P24="","",IFERROR(IF(INDEX(MASTER!$G$4:$G$1463,$P24)="","",INDEX(MASTER!$G$4:$G$1463,$P24)),""))</f>
        <v>61208</v>
      </c>
      <c r="G24" s="19" t="str">
        <f>IF($P24="","",IFERROR(IF(INDEX(MASTER!$H$4:$H$1463,$P24)="","",INDEX(MASTER!$H$4:$H$1463,$P24)),""))</f>
        <v>61,000 - 61,999</v>
      </c>
      <c r="H24" s="20">
        <f>IF($P24="","",IFERROR(IF(INDEX(MASTER!$I$4:$I$1463,$P24)="","",INDEX(MASTER!$I$4:$I$1463,$P24)),""))</f>
        <v>3823</v>
      </c>
      <c r="I24" s="19" t="str">
        <f>IF($P24="","",IFERROR(IF(INDEX(MASTER!$J$4:$J$1463,$P24)="","",INDEX(MASTER!$J$4:$J$1463,$P24)),""))</f>
        <v>DEVELOPING</v>
      </c>
      <c r="J24" s="21">
        <f>IF($P24="","",IFERROR(IF(INDEX(MASTER!$L$4:$L$1463,$P24)="","",INDEX(MASTER!$L$4:$L$1463,$P24)),""))</f>
        <v>3.69</v>
      </c>
      <c r="K24" s="21">
        <f>IF($P24="","",IFERROR(IF(INDEX(MASTER!$N$4:$N$1463,$P24)="","",INDEX(MASTER!$N$4:$N$1463,$P24)),""))</f>
        <v>39.200000000000003</v>
      </c>
      <c r="L24" s="19" t="str">
        <f>IF($P24="","",IFERROR(IF(INDEX(MASTER!$O$4:$O$1463,$P24)="","",INDEX(MASTER!$O$4:$O$1463,$P24)),""))</f>
        <v>B</v>
      </c>
      <c r="M24" s="19">
        <f>IF($P24="","",IFERROR(IF(INDEX(MASTER!$Q$4:$Q$1463,$P24)="","",INDEX(MASTER!$Q$4:$Q$1463,$P24)),""))</f>
        <v>66</v>
      </c>
      <c r="N24" s="19" t="str">
        <f>IF($P24="","",IFERROR(IF(INDEX(MASTER!$S$4:$S$1463,$P24)="","",INDEX(MASTER!$S$4:$S$1463,$P24)),""))</f>
        <v>Complete</v>
      </c>
      <c r="P24">
        <f>IFERROR(MATCH($Q$1&amp;"@16",MASTER!$AC$4:$AC$1463,0),"")</f>
        <v>272</v>
      </c>
    </row>
    <row r="25" spans="1:16">
      <c r="A25" s="15">
        <f>IF($P25="","",17)</f>
        <v>17</v>
      </c>
      <c r="B25" s="14" t="str">
        <f>IF($P25="","",IFERROR(IF(INDEX(MASTER!$C$4:$C$1463,$P25)="","",INDEX(MASTER!$C$4:$C$1463,$P25)),""))</f>
        <v>Dax</v>
      </c>
      <c r="C25" s="15" t="str">
        <f>IF($P25="","",IFERROR(IF(INDEX(MASTER!$D$4:$D$1463,$P25)="","",INDEX(MASTER!$D$4:$D$1463,$P25)),""))</f>
        <v>XX</v>
      </c>
      <c r="D25" s="15" t="str">
        <f>IF($P25="","",IFERROR(IF(INDEX(MASTER!$E$4:$E$1463,$P25)="","",INDEX(MASTER!$E$4:$E$1463,$P25)),""))</f>
        <v>BARBARIAN</v>
      </c>
      <c r="E25" s="15" t="str">
        <f>IF($P25="","",IFERROR(IF(INDEX(MASTER!$F$4:$F$1463,$P25)="","",INDEX(MASTER!$F$4:$F$1463,$P25)),""))</f>
        <v>Frontline</v>
      </c>
      <c r="F25" s="16">
        <f>IF($P25="","",IFERROR(IF(INDEX(MASTER!$G$4:$G$1463,$P25)="","",INDEX(MASTER!$G$4:$G$1463,$P25)),""))</f>
        <v>62481</v>
      </c>
      <c r="G25" s="15" t="str">
        <f>IF($P25="","",IFERROR(IF(INDEX(MASTER!$H$4:$H$1463,$P25)="","",INDEX(MASTER!$H$4:$H$1463,$P25)),""))</f>
        <v>62,000 - 62,999</v>
      </c>
      <c r="H25" s="16">
        <f>IF($P25="","",IFERROR(IF(INDEX(MASTER!$I$4:$I$1463,$P25)="","",INDEX(MASTER!$I$4:$I$1463,$P25)),""))</f>
        <v>10376</v>
      </c>
      <c r="I25" s="15" t="str">
        <f>IF($P25="","",IFERROR(IF(INDEX(MASTER!$J$4:$J$1463,$P25)="","",INDEX(MASTER!$J$4:$J$1463,$P25)),""))</f>
        <v>APEX</v>
      </c>
      <c r="J25" s="17">
        <f>IF($P25="","",IFERROR(IF(INDEX(MASTER!$L$4:$L$1463,$P25)="","",INDEX(MASTER!$L$4:$L$1463,$P25)),""))</f>
        <v>8.57</v>
      </c>
      <c r="K25" s="17">
        <f>IF($P25="","",IFERROR(IF(INDEX(MASTER!$N$4:$N$1463,$P25)="","",INDEX(MASTER!$N$4:$N$1463,$P25)),""))</f>
        <v>79.3</v>
      </c>
      <c r="L25" s="15" t="str">
        <f>IF($P25="","",IFERROR(IF(INDEX(MASTER!$O$4:$O$1463,$P25)="","",INDEX(MASTER!$O$4:$O$1463,$P25)),""))</f>
        <v>S</v>
      </c>
      <c r="M25" s="15">
        <f>IF($P25="","",IFERROR(IF(INDEX(MASTER!$Q$4:$Q$1463,$P25)="","",INDEX(MASTER!$Q$4:$Q$1463,$P25)),""))</f>
        <v>2</v>
      </c>
      <c r="N25" s="15" t="str">
        <f>IF($P25="","",IFERROR(IF(INDEX(MASTER!$S$4:$S$1463,$P25)="","",INDEX(MASTER!$S$4:$S$1463,$P25)),""))</f>
        <v>Complete</v>
      </c>
      <c r="P25">
        <f>IFERROR(MATCH($Q$1&amp;"@17",MASTER!$AC$4:$AC$1463,0),"")</f>
        <v>278</v>
      </c>
    </row>
    <row r="26" spans="1:16">
      <c r="A26" s="19">
        <f>IF($P26="","",18)</f>
        <v>18</v>
      </c>
      <c r="B26" s="18" t="str">
        <f>IF($P26="","",IFERROR(IF(INDEX(MASTER!$C$4:$C$1463,$P26)="","",INDEX(MASTER!$C$4:$C$1463,$P26)),""))</f>
        <v>Decoy18</v>
      </c>
      <c r="C26" s="19" t="str">
        <f>IF($P26="","",IFERROR(IF(INDEX(MASTER!$D$4:$D$1463,$P26)="","",INDEX(MASTER!$D$4:$D$1463,$P26)),""))</f>
        <v/>
      </c>
      <c r="D26" s="19" t="str">
        <f>IF($P26="","",IFERROR(IF(INDEX(MASTER!$E$4:$E$1463,$P26)="","",INDEX(MASTER!$E$4:$E$1463,$P26)),""))</f>
        <v>WARLOCK</v>
      </c>
      <c r="E26" s="19" t="str">
        <f>IF($P26="","",IFERROR(IF(INDEX(MASTER!$F$4:$F$1463,$P26)="","",INDEX(MASTER!$F$4:$F$1463,$P26)),""))</f>
        <v>Control</v>
      </c>
      <c r="F26" s="20">
        <f>IF($P26="","",IFERROR(IF(INDEX(MASTER!$G$4:$G$1463,$P26)="","",INDEX(MASTER!$G$4:$G$1463,$P26)),""))</f>
        <v>62108</v>
      </c>
      <c r="G26" s="19" t="str">
        <f>IF($P26="","",IFERROR(IF(INDEX(MASTER!$H$4:$H$1463,$P26)="","",INDEX(MASTER!$H$4:$H$1463,$P26)),""))</f>
        <v>62,000 - 62,999</v>
      </c>
      <c r="H26" s="20">
        <f>IF($P26="","",IFERROR(IF(INDEX(MASTER!$I$4:$I$1463,$P26)="","",INDEX(MASTER!$I$4:$I$1463,$P26)),""))</f>
        <v>4488</v>
      </c>
      <c r="I26" s="19" t="str">
        <f>IF($P26="","",IFERROR(IF(INDEX(MASTER!$J$4:$J$1463,$P26)="","",INDEX(MASTER!$J$4:$J$1463,$P26)),""))</f>
        <v>CORE</v>
      </c>
      <c r="J26" s="21">
        <f>IF($P26="","",IFERROR(IF(INDEX(MASTER!$L$4:$L$1463,$P26)="","",INDEX(MASTER!$L$4:$L$1463,$P26)),""))</f>
        <v>5.33</v>
      </c>
      <c r="K26" s="21">
        <f>IF($P26="","",IFERROR(IF(INDEX(MASTER!$N$4:$N$1463,$P26)="","",INDEX(MASTER!$N$4:$N$1463,$P26)),""))</f>
        <v>47.2</v>
      </c>
      <c r="L26" s="19" t="str">
        <f>IF($P26="","",IFERROR(IF(INDEX(MASTER!$O$4:$O$1463,$P26)="","",INDEX(MASTER!$O$4:$O$1463,$P26)),""))</f>
        <v>B</v>
      </c>
      <c r="M26" s="19">
        <f>IF($P26="","",IFERROR(IF(INDEX(MASTER!$Q$4:$Q$1463,$P26)="","",INDEX(MASTER!$Q$4:$Q$1463,$P26)),""))</f>
        <v>49</v>
      </c>
      <c r="N26" s="19" t="str">
        <f>IF($P26="","",IFERROR(IF(INDEX(MASTER!$S$4:$S$1463,$P26)="","",INDEX(MASTER!$S$4:$S$1463,$P26)),""))</f>
        <v>Complete</v>
      </c>
      <c r="P26">
        <f>IFERROR(MATCH($Q$1&amp;"@18",MASTER!$AC$4:$AC$1463,0),"")</f>
        <v>286</v>
      </c>
    </row>
    <row r="27" spans="1:16">
      <c r="A27" s="15">
        <f>IF($P27="","",19)</f>
        <v>19</v>
      </c>
      <c r="B27" s="14" t="str">
        <f>IF($P27="","",IFERROR(IF(INDEX(MASTER!$C$4:$C$1463,$P27)="","",INDEX(MASTER!$C$4:$C$1463,$P27)),""))</f>
        <v>DenyCrane</v>
      </c>
      <c r="C27" s="15" t="str">
        <f>IF($P27="","",IFERROR(IF(INDEX(MASTER!$D$4:$D$1463,$P27)="","",INDEX(MASTER!$D$4:$D$1463,$P27)),""))</f>
        <v>XX</v>
      </c>
      <c r="D27" s="15" t="str">
        <f>IF($P27="","",IFERROR(IF(INDEX(MASTER!$E$4:$E$1463,$P27)="","",INDEX(MASTER!$E$4:$E$1463,$P27)),""))</f>
        <v>WARLOCK</v>
      </c>
      <c r="E27" s="15" t="str">
        <f>IF($P27="","",IFERROR(IF(INDEX(MASTER!$F$4:$F$1463,$P27)="","",INDEX(MASTER!$F$4:$F$1463,$P27)),""))</f>
        <v>Control</v>
      </c>
      <c r="F27" s="16">
        <f>IF($P27="","",IFERROR(IF(INDEX(MASTER!$G$4:$G$1463,$P27)="","",INDEX(MASTER!$G$4:$G$1463,$P27)),""))</f>
        <v>63637</v>
      </c>
      <c r="G27" s="15" t="str">
        <f>IF($P27="","",IFERROR(IF(INDEX(MASTER!$H$4:$H$1463,$P27)="","",INDEX(MASTER!$H$4:$H$1463,$P27)),""))</f>
        <v>63,000 - 63,999</v>
      </c>
      <c r="H27" s="16">
        <f>IF($P27="","",IFERROR(IF(INDEX(MASTER!$I$4:$I$1463,$P27)="","",INDEX(MASTER!$I$4:$I$1463,$P27)),""))</f>
        <v>8529</v>
      </c>
      <c r="I27" s="15" t="str">
        <f>IF($P27="","",IFERROR(IF(INDEX(MASTER!$J$4:$J$1463,$P27)="","",INDEX(MASTER!$J$4:$J$1463,$P27)),""))</f>
        <v>ELITE</v>
      </c>
      <c r="J27" s="17">
        <f>IF($P27="","",IFERROR(IF(INDEX(MASTER!$L$4:$L$1463,$P27)="","",INDEX(MASTER!$L$4:$L$1463,$P27)),""))</f>
        <v>6.4</v>
      </c>
      <c r="K27" s="17">
        <f>IF($P27="","",IFERROR(IF(INDEX(MASTER!$N$4:$N$1463,$P27)="","",INDEX(MASTER!$N$4:$N$1463,$P27)),""))</f>
        <v>70.599999999999994</v>
      </c>
      <c r="L27" s="15" t="str">
        <f>IF($P27="","",IFERROR(IF(INDEX(MASTER!$O$4:$O$1463,$P27)="","",INDEX(MASTER!$O$4:$O$1463,$P27)),""))</f>
        <v>S</v>
      </c>
      <c r="M27" s="15">
        <f>IF($P27="","",IFERROR(IF(INDEX(MASTER!$Q$4:$Q$1463,$P27)="","",INDEX(MASTER!$Q$4:$Q$1463,$P27)),""))</f>
        <v>10</v>
      </c>
      <c r="N27" s="15" t="str">
        <f>IF($P27="","",IFERROR(IF(INDEX(MASTER!$S$4:$S$1463,$P27)="","",INDEX(MASTER!$S$4:$S$1463,$P27)),""))</f>
        <v>Complete</v>
      </c>
      <c r="P27">
        <f>IFERROR(MATCH($Q$1&amp;"@19",MASTER!$AC$4:$AC$1463,0),"")</f>
        <v>288</v>
      </c>
    </row>
    <row r="28" spans="1:16">
      <c r="A28" s="19">
        <f>IF($P28="","",20)</f>
        <v>20</v>
      </c>
      <c r="B28" s="18" t="str">
        <f>IF($P28="","",IFERROR(IF(INDEX(MASTER!$C$4:$C$1463,$P28)="","",INDEX(MASTER!$C$4:$C$1463,$P28)),""))</f>
        <v>Dharmaraja</v>
      </c>
      <c r="C28" s="19" t="str">
        <f>IF($P28="","",IFERROR(IF(INDEX(MASTER!$D$4:$D$1463,$P28)="","",INDEX(MASTER!$D$4:$D$1463,$P28)),""))</f>
        <v/>
      </c>
      <c r="D28" s="19" t="str">
        <f>IF($P28="","",IFERROR(IF(INDEX(MASTER!$E$4:$E$1463,$P28)="","",INDEX(MASTER!$E$4:$E$1463,$P28)),""))</f>
        <v>TEMPEST</v>
      </c>
      <c r="E28" s="19" t="str">
        <f>IF($P28="","",IFERROR(IF(INDEX(MASTER!$F$4:$F$1463,$P28)="","",INDEX(MASTER!$F$4:$F$1463,$P28)),""))</f>
        <v>Melee DPS</v>
      </c>
      <c r="F28" s="20">
        <f>IF($P28="","",IFERROR(IF(INDEX(MASTER!$G$4:$G$1463,$P28)="","",INDEX(MASTER!$G$4:$G$1463,$P28)),""))</f>
        <v>63098</v>
      </c>
      <c r="G28" s="19" t="str">
        <f>IF($P28="","",IFERROR(IF(INDEX(MASTER!$H$4:$H$1463,$P28)="","",INDEX(MASTER!$H$4:$H$1463,$P28)),""))</f>
        <v>63,000 - 63,999</v>
      </c>
      <c r="H28" s="20">
        <f>IF($P28="","",IFERROR(IF(INDEX(MASTER!$I$4:$I$1463,$P28)="","",INDEX(MASTER!$I$4:$I$1463,$P28)),""))</f>
        <v>4324</v>
      </c>
      <c r="I28" s="19" t="str">
        <f>IF($P28="","",IFERROR(IF(INDEX(MASTER!$J$4:$J$1463,$P28)="","",INDEX(MASTER!$J$4:$J$1463,$P28)),""))</f>
        <v>CORE</v>
      </c>
      <c r="J28" s="21">
        <f>IF($P28="","",IFERROR(IF(INDEX(MASTER!$L$4:$L$1463,$P28)="","",INDEX(MASTER!$L$4:$L$1463,$P28)),""))</f>
        <v>4.59</v>
      </c>
      <c r="K28" s="21">
        <f>IF($P28="","",IFERROR(IF(INDEX(MASTER!$N$4:$N$1463,$P28)="","",INDEX(MASTER!$N$4:$N$1463,$P28)),""))</f>
        <v>47.8</v>
      </c>
      <c r="L28" s="19" t="str">
        <f>IF($P28="","",IFERROR(IF(INDEX(MASTER!$O$4:$O$1463,$P28)="","",INDEX(MASTER!$O$4:$O$1463,$P28)),""))</f>
        <v>B</v>
      </c>
      <c r="M28" s="19">
        <f>IF($P28="","",IFERROR(IF(INDEX(MASTER!$Q$4:$Q$1463,$P28)="","",INDEX(MASTER!$Q$4:$Q$1463,$P28)),""))</f>
        <v>52</v>
      </c>
      <c r="N28" s="19" t="str">
        <f>IF($P28="","",IFERROR(IF(INDEX(MASTER!$S$4:$S$1463,$P28)="","",INDEX(MASTER!$S$4:$S$1463,$P28)),""))</f>
        <v>Complete</v>
      </c>
      <c r="P28">
        <f>IFERROR(MATCH($Q$1&amp;"@20",MASTER!$AC$4:$AC$1463,0),"")</f>
        <v>289</v>
      </c>
    </row>
    <row r="29" spans="1:16">
      <c r="A29" s="15">
        <f>IF($P29="","",21)</f>
        <v>21</v>
      </c>
      <c r="B29" s="14" t="str">
        <f>IF($P29="","",IFERROR(IF(INDEX(MASTER!$C$4:$C$1463,$P29)="","",INDEX(MASTER!$C$4:$C$1463,$P29)),""))</f>
        <v>Diag</v>
      </c>
      <c r="C29" s="15" t="str">
        <f>IF($P29="","",IFERROR(IF(INDEX(MASTER!$D$4:$D$1463,$P29)="","",INDEX(MASTER!$D$4:$D$1463,$P29)),""))</f>
        <v/>
      </c>
      <c r="D29" s="15" t="str">
        <f>IF($P29="","",IFERROR(IF(INDEX(MASTER!$E$4:$E$1463,$P29)="","",INDEX(MASTER!$E$4:$E$1463,$P29)),""))</f>
        <v>WARLOCK</v>
      </c>
      <c r="E29" s="15" t="str">
        <f>IF($P29="","",IFERROR(IF(INDEX(MASTER!$F$4:$F$1463,$P29)="","",INDEX(MASTER!$F$4:$F$1463,$P29)),""))</f>
        <v>Control</v>
      </c>
      <c r="F29" s="16">
        <f>IF($P29="","",IFERROR(IF(INDEX(MASTER!$G$4:$G$1463,$P29)="","",INDEX(MASTER!$G$4:$G$1463,$P29)),""))</f>
        <v>62116</v>
      </c>
      <c r="G29" s="15" t="str">
        <f>IF($P29="","",IFERROR(IF(INDEX(MASTER!$H$4:$H$1463,$P29)="","",INDEX(MASTER!$H$4:$H$1463,$P29)),""))</f>
        <v>62,000 - 62,999</v>
      </c>
      <c r="H29" s="16">
        <f>IF($P29="","",IFERROR(IF(INDEX(MASTER!$I$4:$I$1463,$P29)="","",INDEX(MASTER!$I$4:$I$1463,$P29)),""))</f>
        <v>3244</v>
      </c>
      <c r="I29" s="15" t="str">
        <f>IF($P29="","",IFERROR(IF(INDEX(MASTER!$J$4:$J$1463,$P29)="","",INDEX(MASTER!$J$4:$J$1463,$P29)),""))</f>
        <v>DEVELOPING</v>
      </c>
      <c r="J29" s="17">
        <f>IF($P29="","",IFERROR(IF(INDEX(MASTER!$L$4:$L$1463,$P29)="","",INDEX(MASTER!$L$4:$L$1463,$P29)),""))</f>
        <v>3.9</v>
      </c>
      <c r="K29" s="17">
        <f>IF($P29="","",IFERROR(IF(INDEX(MASTER!$N$4:$N$1463,$P29)="","",INDEX(MASTER!$N$4:$N$1463,$P29)),""))</f>
        <v>39.4</v>
      </c>
      <c r="L29" s="15" t="str">
        <f>IF($P29="","",IFERROR(IF(INDEX(MASTER!$O$4:$O$1463,$P29)="","",INDEX(MASTER!$O$4:$O$1463,$P29)),""))</f>
        <v>B</v>
      </c>
      <c r="M29" s="15">
        <f>IF($P29="","",IFERROR(IF(INDEX(MASTER!$Q$4:$Q$1463,$P29)="","",INDEX(MASTER!$Q$4:$Q$1463,$P29)),""))</f>
        <v>81</v>
      </c>
      <c r="N29" s="15" t="str">
        <f>IF($P29="","",IFERROR(IF(INDEX(MASTER!$S$4:$S$1463,$P29)="","",INDEX(MASTER!$S$4:$S$1463,$P29)),""))</f>
        <v>Complete</v>
      </c>
      <c r="P29">
        <f>IFERROR(MATCH($Q$1&amp;"@21",MASTER!$AC$4:$AC$1463,0),"")</f>
        <v>327</v>
      </c>
    </row>
    <row r="30" spans="1:16">
      <c r="A30" s="19">
        <f>IF($P30="","",22)</f>
        <v>22</v>
      </c>
      <c r="B30" s="18" t="str">
        <f>IF($P30="","",IFERROR(IF(INDEX(MASTER!$C$4:$C$1463,$P30)="","",INDEX(MASTER!$C$4:$C$1463,$P30)),""))</f>
        <v>DIJAZZLE</v>
      </c>
      <c r="C30" s="19" t="str">
        <f>IF($P30="","",IFERROR(IF(INDEX(MASTER!$D$4:$D$1463,$P30)="","",INDEX(MASTER!$D$4:$D$1463,$P30)),""))</f>
        <v>XX</v>
      </c>
      <c r="D30" s="19" t="str">
        <f>IF($P30="","",IFERROR(IF(INDEX(MASTER!$E$4:$E$1463,$P30)="","",INDEX(MASTER!$E$4:$E$1463,$P30)),""))</f>
        <v>WARLOCK</v>
      </c>
      <c r="E30" s="19" t="str">
        <f>IF($P30="","",IFERROR(IF(INDEX(MASTER!$F$4:$F$1463,$P30)="","",INDEX(MASTER!$F$4:$F$1463,$P30)),""))</f>
        <v>Control</v>
      </c>
      <c r="F30" s="20">
        <f>IF($P30="","",IFERROR(IF(INDEX(MASTER!$G$4:$G$1463,$P30)="","",INDEX(MASTER!$G$4:$G$1463,$P30)),""))</f>
        <v>61331</v>
      </c>
      <c r="G30" s="19" t="str">
        <f>IF($P30="","",IFERROR(IF(INDEX(MASTER!$H$4:$H$1463,$P30)="","",INDEX(MASTER!$H$4:$H$1463,$P30)),""))</f>
        <v>61,000 - 61,999</v>
      </c>
      <c r="H30" s="20">
        <f>IF($P30="","",IFERROR(IF(INDEX(MASTER!$I$4:$I$1463,$P30)="","",INDEX(MASTER!$I$4:$I$1463,$P30)),""))</f>
        <v>5524</v>
      </c>
      <c r="I30" s="19" t="str">
        <f>IF($P30="","",IFERROR(IF(INDEX(MASTER!$J$4:$J$1463,$P30)="","",INDEX(MASTER!$J$4:$J$1463,$P30)),""))</f>
        <v>CORE</v>
      </c>
      <c r="J30" s="21">
        <f>IF($P30="","",IFERROR(IF(INDEX(MASTER!$L$4:$L$1463,$P30)="","",INDEX(MASTER!$L$4:$L$1463,$P30)),""))</f>
        <v>6.2</v>
      </c>
      <c r="K30" s="21">
        <f>IF($P30="","",IFERROR(IF(INDEX(MASTER!$N$4:$N$1463,$P30)="","",INDEX(MASTER!$N$4:$N$1463,$P30)),""))</f>
        <v>51.1</v>
      </c>
      <c r="L30" s="19" t="str">
        <f>IF($P30="","",IFERROR(IF(INDEX(MASTER!$O$4:$O$1463,$P30)="","",INDEX(MASTER!$O$4:$O$1463,$P30)),""))</f>
        <v>A</v>
      </c>
      <c r="M30" s="19">
        <f>IF($P30="","",IFERROR(IF(INDEX(MASTER!$Q$4:$Q$1463,$P30)="","",INDEX(MASTER!$Q$4:$Q$1463,$P30)),""))</f>
        <v>34</v>
      </c>
      <c r="N30" s="19" t="str">
        <f>IF($P30="","",IFERROR(IF(INDEX(MASTER!$S$4:$S$1463,$P30)="","",INDEX(MASTER!$S$4:$S$1463,$P30)),""))</f>
        <v>Complete</v>
      </c>
      <c r="P30">
        <f>IFERROR(MATCH($Q$1&amp;"@22",MASTER!$AC$4:$AC$1463,0),"")</f>
        <v>340</v>
      </c>
    </row>
    <row r="31" spans="1:16">
      <c r="A31" s="15">
        <f>IF($P31="","",23)</f>
        <v>23</v>
      </c>
      <c r="B31" s="14" t="str">
        <f>IF($P31="","",IFERROR(IF(INDEX(MASTER!$C$4:$C$1463,$P31)="","",INDEX(MASTER!$C$4:$C$1463,$P31)),""))</f>
        <v>Dueprocess</v>
      </c>
      <c r="C31" s="15" t="str">
        <f>IF($P31="","",IFERROR(IF(INDEX(MASTER!$D$4:$D$1463,$P31)="","",INDEX(MASTER!$D$4:$D$1463,$P31)),""))</f>
        <v/>
      </c>
      <c r="D31" s="15" t="str">
        <f>IF($P31="","",IFERROR(IF(INDEX(MASTER!$E$4:$E$1463,$P31)="","",INDEX(MASTER!$E$4:$E$1463,$P31)),""))</f>
        <v>DEMON HUNTER</v>
      </c>
      <c r="E31" s="15" t="str">
        <f>IF($P31="","",IFERROR(IF(INDEX(MASTER!$F$4:$F$1463,$P31)="","",INDEX(MASTER!$F$4:$F$1463,$P31)),""))</f>
        <v>Ranged DPS</v>
      </c>
      <c r="F31" s="16">
        <f>IF($P31="","",IFERROR(IF(INDEX(MASTER!$G$4:$G$1463,$P31)="","",INDEX(MASTER!$G$4:$G$1463,$P31)),""))</f>
        <v>61494</v>
      </c>
      <c r="G31" s="15" t="str">
        <f>IF($P31="","",IFERROR(IF(INDEX(MASTER!$H$4:$H$1463,$P31)="","",INDEX(MASTER!$H$4:$H$1463,$P31)),""))</f>
        <v>61,000 - 61,999</v>
      </c>
      <c r="H31" s="16">
        <f>IF($P31="","",IFERROR(IF(INDEX(MASTER!$I$4:$I$1463,$P31)="","",INDEX(MASTER!$I$4:$I$1463,$P31)),""))</f>
        <v>3165</v>
      </c>
      <c r="I31" s="15" t="str">
        <f>IF($P31="","",IFERROR(IF(INDEX(MASTER!$J$4:$J$1463,$P31)="","",INDEX(MASTER!$J$4:$J$1463,$P31)),""))</f>
        <v>DEVELOPING</v>
      </c>
      <c r="J31" s="17">
        <f>IF($P31="","",IFERROR(IF(INDEX(MASTER!$L$4:$L$1463,$P31)="","",INDEX(MASTER!$L$4:$L$1463,$P31)),""))</f>
        <v>5.89</v>
      </c>
      <c r="K31" s="17">
        <f>IF($P31="","",IFERROR(IF(INDEX(MASTER!$N$4:$N$1463,$P31)="","",INDEX(MASTER!$N$4:$N$1463,$P31)),""))</f>
        <v>40.700000000000003</v>
      </c>
      <c r="L31" s="15" t="str">
        <f>IF($P31="","",IFERROR(IF(INDEX(MASTER!$O$4:$O$1463,$P31)="","",INDEX(MASTER!$O$4:$O$1463,$P31)),""))</f>
        <v>B</v>
      </c>
      <c r="M31" s="15">
        <f>IF($P31="","",IFERROR(IF(INDEX(MASTER!$Q$4:$Q$1463,$P31)="","",INDEX(MASTER!$Q$4:$Q$1463,$P31)),""))</f>
        <v>88</v>
      </c>
      <c r="N31" s="15" t="str">
        <f>IF($P31="","",IFERROR(IF(INDEX(MASTER!$S$4:$S$1463,$P31)="","",INDEX(MASTER!$S$4:$S$1463,$P31)),""))</f>
        <v>Complete</v>
      </c>
      <c r="P31">
        <f>IFERROR(MATCH($Q$1&amp;"@23",MASTER!$AC$4:$AC$1463,0),"")</f>
        <v>396</v>
      </c>
    </row>
    <row r="32" spans="1:16">
      <c r="A32" s="19">
        <f>IF($P32="","",24)</f>
        <v>24</v>
      </c>
      <c r="B32" s="18" t="str">
        <f>IF($P32="","",IFERROR(IF(INDEX(MASTER!$C$4:$C$1463,$P32)="","",INDEX(MASTER!$C$4:$C$1463,$P32)),""))</f>
        <v>Edidwick</v>
      </c>
      <c r="C32" s="19" t="str">
        <f>IF($P32="","",IFERROR(IF(INDEX(MASTER!$D$4:$D$1463,$P32)="","",INDEX(MASTER!$D$4:$D$1463,$P32)),""))</f>
        <v/>
      </c>
      <c r="D32" s="19" t="str">
        <f>IF($P32="","",IFERROR(IF(INDEX(MASTER!$E$4:$E$1463,$P32)="","",INDEX(MASTER!$E$4:$E$1463,$P32)),""))</f>
        <v>TEMPEST</v>
      </c>
      <c r="E32" s="19" t="str">
        <f>IF($P32="","",IFERROR(IF(INDEX(MASTER!$F$4:$F$1463,$P32)="","",INDEX(MASTER!$F$4:$F$1463,$P32)),""))</f>
        <v>Melee DPS</v>
      </c>
      <c r="F32" s="20">
        <f>IF($P32="","",IFERROR(IF(INDEX(MASTER!$G$4:$G$1463,$P32)="","",INDEX(MASTER!$G$4:$G$1463,$P32)),""))</f>
        <v>63860</v>
      </c>
      <c r="G32" s="19" t="str">
        <f>IF($P32="","",IFERROR(IF(INDEX(MASTER!$H$4:$H$1463,$P32)="","",INDEX(MASTER!$H$4:$H$1463,$P32)),""))</f>
        <v>63,000 - 63,999</v>
      </c>
      <c r="H32" s="20">
        <f>IF($P32="","",IFERROR(IF(INDEX(MASTER!$I$4:$I$1463,$P32)="","",INDEX(MASTER!$I$4:$I$1463,$P32)),""))</f>
        <v>6522</v>
      </c>
      <c r="I32" s="19" t="str">
        <f>IF($P32="","",IFERROR(IF(INDEX(MASTER!$J$4:$J$1463,$P32)="","",INDEX(MASTER!$J$4:$J$1463,$P32)),""))</f>
        <v>VETERAN</v>
      </c>
      <c r="J32" s="21">
        <f>IF($P32="","",IFERROR(IF(INDEX(MASTER!$L$4:$L$1463,$P32)="","",INDEX(MASTER!$L$4:$L$1463,$P32)),""))</f>
        <v>4.93</v>
      </c>
      <c r="K32" s="21">
        <f>IF($P32="","",IFERROR(IF(INDEX(MASTER!$N$4:$N$1463,$P32)="","",INDEX(MASTER!$N$4:$N$1463,$P32)),""))</f>
        <v>60</v>
      </c>
      <c r="L32" s="19" t="str">
        <f>IF($P32="","",IFERROR(IF(INDEX(MASTER!$O$4:$O$1463,$P32)="","",INDEX(MASTER!$O$4:$O$1463,$P32)),""))</f>
        <v>A</v>
      </c>
      <c r="M32" s="19">
        <f>IF($P32="","",IFERROR(IF(INDEX(MASTER!$Q$4:$Q$1463,$P32)="","",INDEX(MASTER!$Q$4:$Q$1463,$P32)),""))</f>
        <v>26</v>
      </c>
      <c r="N32" s="19" t="str">
        <f>IF($P32="","",IFERROR(IF(INDEX(MASTER!$S$4:$S$1463,$P32)="","",INDEX(MASTER!$S$4:$S$1463,$P32)),""))</f>
        <v>Complete</v>
      </c>
      <c r="P32">
        <f>IFERROR(MATCH($Q$1&amp;"@24",MASTER!$AC$4:$AC$1463,0),"")</f>
        <v>400</v>
      </c>
    </row>
    <row r="33" spans="1:16">
      <c r="A33" s="15">
        <f>IF($P33="","",25)</f>
        <v>25</v>
      </c>
      <c r="B33" s="14" t="str">
        <f>IF($P33="","",IFERROR(IF(INDEX(MASTER!$C$4:$C$1463,$P33)="","",INDEX(MASTER!$C$4:$C$1463,$P33)),""))</f>
        <v>For3skin</v>
      </c>
      <c r="C33" s="15" t="str">
        <f>IF($P33="","",IFERROR(IF(INDEX(MASTER!$D$4:$D$1463,$P33)="","",INDEX(MASTER!$D$4:$D$1463,$P33)),""))</f>
        <v/>
      </c>
      <c r="D33" s="15" t="str">
        <f>IF($P33="","",IFERROR(IF(INDEX(MASTER!$E$4:$E$1463,$P33)="","",INDEX(MASTER!$E$4:$E$1463,$P33)),""))</f>
        <v>BLOOD KNIGHT</v>
      </c>
      <c r="E33" s="15" t="str">
        <f>IF($P33="","",IFERROR(IF(INDEX(MASTER!$F$4:$F$1463,$P33)="","",INDEX(MASTER!$F$4:$F$1463,$P33)),""))</f>
        <v>Frontline</v>
      </c>
      <c r="F33" s="16">
        <f>IF($P33="","",IFERROR(IF(INDEX(MASTER!$G$4:$G$1463,$P33)="","",INDEX(MASTER!$G$4:$G$1463,$P33)),""))</f>
        <v>62859</v>
      </c>
      <c r="G33" s="15" t="str">
        <f>IF($P33="","",IFERROR(IF(INDEX(MASTER!$H$4:$H$1463,$P33)="","",INDEX(MASTER!$H$4:$H$1463,$P33)),""))</f>
        <v>62,000 - 62,999</v>
      </c>
      <c r="H33" s="16">
        <f>IF($P33="","",IFERROR(IF(INDEX(MASTER!$I$4:$I$1463,$P33)="","",INDEX(MASTER!$I$4:$I$1463,$P33)),""))</f>
        <v>3074</v>
      </c>
      <c r="I33" s="15" t="str">
        <f>IF($P33="","",IFERROR(IF(INDEX(MASTER!$J$4:$J$1463,$P33)="","",INDEX(MASTER!$J$4:$J$1463,$P33)),""))</f>
        <v>DEVELOPING</v>
      </c>
      <c r="J33" s="17">
        <f>IF($P33="","",IFERROR(IF(INDEX(MASTER!$L$4:$L$1463,$P33)="","",INDEX(MASTER!$L$4:$L$1463,$P33)),""))</f>
        <v>3.52</v>
      </c>
      <c r="K33" s="17">
        <f>IF($P33="","",IFERROR(IF(INDEX(MASTER!$N$4:$N$1463,$P33)="","",INDEX(MASTER!$N$4:$N$1463,$P33)),""))</f>
        <v>40</v>
      </c>
      <c r="L33" s="15" t="str">
        <f>IF($P33="","",IFERROR(IF(INDEX(MASTER!$O$4:$O$1463,$P33)="","",INDEX(MASTER!$O$4:$O$1463,$P33)),""))</f>
        <v>B</v>
      </c>
      <c r="M33" s="15">
        <f>IF($P33="","",IFERROR(IF(INDEX(MASTER!$Q$4:$Q$1463,$P33)="","",INDEX(MASTER!$Q$4:$Q$1463,$P33)),""))</f>
        <v>90</v>
      </c>
      <c r="N33" s="15" t="str">
        <f>IF($P33="","",IFERROR(IF(INDEX(MASTER!$S$4:$S$1463,$P33)="","",INDEX(MASTER!$S$4:$S$1463,$P33)),""))</f>
        <v>Complete</v>
      </c>
      <c r="P33">
        <f>IFERROR(MATCH($Q$1&amp;"@25",MASTER!$AC$4:$AC$1463,0),"")</f>
        <v>402</v>
      </c>
    </row>
    <row r="34" spans="1:16">
      <c r="A34" s="19">
        <f>IF($P34="","",26)</f>
        <v>26</v>
      </c>
      <c r="B34" s="18" t="str">
        <f>IF($P34="","",IFERROR(IF(INDEX(MASTER!$C$4:$C$1463,$P34)="","",INDEX(MASTER!$C$4:$C$1463,$P34)),""))</f>
        <v>Frıs</v>
      </c>
      <c r="C34" s="19" t="str">
        <f>IF($P34="","",IFERROR(IF(INDEX(MASTER!$D$4:$D$1463,$P34)="","",INDEX(MASTER!$D$4:$D$1463,$P34)),""))</f>
        <v/>
      </c>
      <c r="D34" s="19" t="str">
        <f>IF($P34="","",IFERROR(IF(INDEX(MASTER!$E$4:$E$1463,$P34)="","",INDEX(MASTER!$E$4:$E$1463,$P34)),""))</f>
        <v>WIZARD</v>
      </c>
      <c r="E34" s="19" t="str">
        <f>IF($P34="","",IFERROR(IF(INDEX(MASTER!$F$4:$F$1463,$P34)="","",INDEX(MASTER!$F$4:$F$1463,$P34)),""))</f>
        <v>Ranged DPS</v>
      </c>
      <c r="F34" s="20">
        <f>IF($P34="","",IFERROR(IF(INDEX(MASTER!$G$4:$G$1463,$P34)="","",INDEX(MASTER!$G$4:$G$1463,$P34)),""))</f>
        <v>63338</v>
      </c>
      <c r="G34" s="19" t="str">
        <f>IF($P34="","",IFERROR(IF(INDEX(MASTER!$H$4:$H$1463,$P34)="","",INDEX(MASTER!$H$4:$H$1463,$P34)),""))</f>
        <v>63,000 - 63,999</v>
      </c>
      <c r="H34" s="20">
        <f>IF($P34="","",IFERROR(IF(INDEX(MASTER!$I$4:$I$1463,$P34)="","",INDEX(MASTER!$I$4:$I$1463,$P34)),""))</f>
        <v>5092</v>
      </c>
      <c r="I34" s="19" t="str">
        <f>IF($P34="","",IFERROR(IF(INDEX(MASTER!$J$4:$J$1463,$P34)="","",INDEX(MASTER!$J$4:$J$1463,$P34)),""))</f>
        <v>CORE</v>
      </c>
      <c r="J34" s="21">
        <f>IF($P34="","",IFERROR(IF(INDEX(MASTER!$L$4:$L$1463,$P34)="","",INDEX(MASTER!$L$4:$L$1463,$P34)),""))</f>
        <v>4.0599999999999996</v>
      </c>
      <c r="K34" s="21">
        <f>IF($P34="","",IFERROR(IF(INDEX(MASTER!$N$4:$N$1463,$P34)="","",INDEX(MASTER!$N$4:$N$1463,$P34)),""))</f>
        <v>50.9</v>
      </c>
      <c r="L34" s="19" t="str">
        <f>IF($P34="","",IFERROR(IF(INDEX(MASTER!$O$4:$O$1463,$P34)="","",INDEX(MASTER!$O$4:$O$1463,$P34)),""))</f>
        <v>A</v>
      </c>
      <c r="M34" s="19">
        <f>IF($P34="","",IFERROR(IF(INDEX(MASTER!$Q$4:$Q$1463,$P34)="","",INDEX(MASTER!$Q$4:$Q$1463,$P34)),""))</f>
        <v>41</v>
      </c>
      <c r="N34" s="19" t="str">
        <f>IF($P34="","",IFERROR(IF(INDEX(MASTER!$S$4:$S$1463,$P34)="","",INDEX(MASTER!$S$4:$S$1463,$P34)),""))</f>
        <v>Complete</v>
      </c>
      <c r="P34">
        <f>IFERROR(MATCH($Q$1&amp;"@26",MASTER!$AC$4:$AC$1463,0),"")</f>
        <v>421</v>
      </c>
    </row>
    <row r="35" spans="1:16">
      <c r="A35" s="15">
        <f>IF($P35="","",27)</f>
        <v>27</v>
      </c>
      <c r="B35" s="14" t="str">
        <f>IF($P35="","",IFERROR(IF(INDEX(MASTER!$C$4:$C$1463,$P35)="","",INDEX(MASTER!$C$4:$C$1463,$P35)),""))</f>
        <v>FROSTYAF</v>
      </c>
      <c r="C35" s="15" t="str">
        <f>IF($P35="","",IFERROR(IF(INDEX(MASTER!$D$4:$D$1463,$P35)="","",INDEX(MASTER!$D$4:$D$1463,$P35)),""))</f>
        <v/>
      </c>
      <c r="D35" s="15" t="str">
        <f>IF($P35="","",IFERROR(IF(INDEX(MASTER!$E$4:$E$1463,$P35)="","",INDEX(MASTER!$E$4:$E$1463,$P35)),""))</f>
        <v>DEMON HUNTER</v>
      </c>
      <c r="E35" s="15" t="str">
        <f>IF($P35="","",IFERROR(IF(INDEX(MASTER!$F$4:$F$1463,$P35)="","",INDEX(MASTER!$F$4:$F$1463,$P35)),""))</f>
        <v>Ranged DPS</v>
      </c>
      <c r="F35" s="16">
        <f>IF($P35="","",IFERROR(IF(INDEX(MASTER!$G$4:$G$1463,$P35)="","",INDEX(MASTER!$G$4:$G$1463,$P35)),""))</f>
        <v>62918</v>
      </c>
      <c r="G35" s="15" t="str">
        <f>IF($P35="","",IFERROR(IF(INDEX(MASTER!$H$4:$H$1463,$P35)="","",INDEX(MASTER!$H$4:$H$1463,$P35)),""))</f>
        <v>62,000 - 62,999</v>
      </c>
      <c r="H35" s="16">
        <f>IF($P35="","",IFERROR(IF(INDEX(MASTER!$I$4:$I$1463,$P35)="","",INDEX(MASTER!$I$4:$I$1463,$P35)),""))</f>
        <v>3669</v>
      </c>
      <c r="I35" s="15" t="str">
        <f>IF($P35="","",IFERROR(IF(INDEX(MASTER!$J$4:$J$1463,$P35)="","",INDEX(MASTER!$J$4:$J$1463,$P35)),""))</f>
        <v>DEVELOPING</v>
      </c>
      <c r="J35" s="17">
        <f>IF($P35="","",IFERROR(IF(INDEX(MASTER!$L$4:$L$1463,$P35)="","",INDEX(MASTER!$L$4:$L$1463,$P35)),""))</f>
        <v>4.4000000000000004</v>
      </c>
      <c r="K35" s="17">
        <f>IF($P35="","",IFERROR(IF(INDEX(MASTER!$N$4:$N$1463,$P35)="","",INDEX(MASTER!$N$4:$N$1463,$P35)),""))</f>
        <v>44.2</v>
      </c>
      <c r="L35" s="15" t="str">
        <f>IF($P35="","",IFERROR(IF(INDEX(MASTER!$O$4:$O$1463,$P35)="","",INDEX(MASTER!$O$4:$O$1463,$P35)),""))</f>
        <v>B</v>
      </c>
      <c r="M35" s="15">
        <f>IF($P35="","",IFERROR(IF(INDEX(MASTER!$Q$4:$Q$1463,$P35)="","",INDEX(MASTER!$Q$4:$Q$1463,$P35)),""))</f>
        <v>71</v>
      </c>
      <c r="N35" s="15" t="str">
        <f>IF($P35="","",IFERROR(IF(INDEX(MASTER!$S$4:$S$1463,$P35)="","",INDEX(MASTER!$S$4:$S$1463,$P35)),""))</f>
        <v>Complete</v>
      </c>
      <c r="P35">
        <f>IFERROR(MATCH($Q$1&amp;"@27",MASTER!$AC$4:$AC$1463,0),"")</f>
        <v>454</v>
      </c>
    </row>
    <row r="36" spans="1:16">
      <c r="A36" s="19">
        <f>IF($P36="","",28)</f>
        <v>28</v>
      </c>
      <c r="B36" s="18" t="str">
        <f>IF($P36="","",IFERROR(IF(INDEX(MASTER!$C$4:$C$1463,$P36)="","",INDEX(MASTER!$C$4:$C$1463,$P36)),""))</f>
        <v>GetrDun96</v>
      </c>
      <c r="C36" s="19" t="str">
        <f>IF($P36="","",IFERROR(IF(INDEX(MASTER!$D$4:$D$1463,$P36)="","",INDEX(MASTER!$D$4:$D$1463,$P36)),""))</f>
        <v/>
      </c>
      <c r="D36" s="19" t="str">
        <f>IF($P36="","",IFERROR(IF(INDEX(MASTER!$E$4:$E$1463,$P36)="","",INDEX(MASTER!$E$4:$E$1463,$P36)),""))</f>
        <v>BARBARIAN</v>
      </c>
      <c r="E36" s="19" t="str">
        <f>IF($P36="","",IFERROR(IF(INDEX(MASTER!$F$4:$F$1463,$P36)="","",INDEX(MASTER!$F$4:$F$1463,$P36)),""))</f>
        <v>Frontline</v>
      </c>
      <c r="F36" s="20">
        <f>IF($P36="","",IFERROR(IF(INDEX(MASTER!$G$4:$G$1463,$P36)="","",INDEX(MASTER!$G$4:$G$1463,$P36)),""))</f>
        <v>63023</v>
      </c>
      <c r="G36" s="19" t="str">
        <f>IF($P36="","",IFERROR(IF(INDEX(MASTER!$H$4:$H$1463,$P36)="","",INDEX(MASTER!$H$4:$H$1463,$P36)),""))</f>
        <v>63,000 - 63,999</v>
      </c>
      <c r="H36" s="20">
        <f>IF($P36="","",IFERROR(IF(INDEX(MASTER!$I$4:$I$1463,$P36)="","",INDEX(MASTER!$I$4:$I$1463,$P36)),""))</f>
        <v>3235</v>
      </c>
      <c r="I36" s="19" t="str">
        <f>IF($P36="","",IFERROR(IF(INDEX(MASTER!$J$4:$J$1463,$P36)="","",INDEX(MASTER!$J$4:$J$1463,$P36)),""))</f>
        <v>DEVELOPING</v>
      </c>
      <c r="J36" s="21">
        <f>IF($P36="","",IFERROR(IF(INDEX(MASTER!$L$4:$L$1463,$P36)="","",INDEX(MASTER!$L$4:$L$1463,$P36)),""))</f>
        <v>3.71</v>
      </c>
      <c r="K36" s="21">
        <f>IF($P36="","",IFERROR(IF(INDEX(MASTER!$N$4:$N$1463,$P36)="","",INDEX(MASTER!$N$4:$N$1463,$P36)),""))</f>
        <v>41.4</v>
      </c>
      <c r="L36" s="19" t="str">
        <f>IF($P36="","",IFERROR(IF(INDEX(MASTER!$O$4:$O$1463,$P36)="","",INDEX(MASTER!$O$4:$O$1463,$P36)),""))</f>
        <v>B</v>
      </c>
      <c r="M36" s="19">
        <f>IF($P36="","",IFERROR(IF(INDEX(MASTER!$Q$4:$Q$1463,$P36)="","",INDEX(MASTER!$Q$4:$Q$1463,$P36)),""))</f>
        <v>82</v>
      </c>
      <c r="N36" s="19" t="str">
        <f>IF($P36="","",IFERROR(IF(INDEX(MASTER!$S$4:$S$1463,$P36)="","",INDEX(MASTER!$S$4:$S$1463,$P36)),""))</f>
        <v>Complete</v>
      </c>
      <c r="P36">
        <f>IFERROR(MATCH($Q$1&amp;"@28",MASTER!$AC$4:$AC$1463,0),"")</f>
        <v>455</v>
      </c>
    </row>
    <row r="37" spans="1:16">
      <c r="A37" s="15">
        <f>IF($P37="","",29)</f>
        <v>29</v>
      </c>
      <c r="B37" s="14" t="str">
        <f>IF($P37="","",IFERROR(IF(INDEX(MASTER!$C$4:$C$1463,$P37)="","",INDEX(MASTER!$C$4:$C$1463,$P37)),""))</f>
        <v>Giggles420</v>
      </c>
      <c r="C37" s="15" t="str">
        <f>IF($P37="","",IFERROR(IF(INDEX(MASTER!$D$4:$D$1463,$P37)="","",INDEX(MASTER!$D$4:$D$1463,$P37)),""))</f>
        <v/>
      </c>
      <c r="D37" s="15" t="str">
        <f>IF($P37="","",IFERROR(IF(INDEX(MASTER!$E$4:$E$1463,$P37)="","",INDEX(MASTER!$E$4:$E$1463,$P37)),""))</f>
        <v>DEMON HUNTER</v>
      </c>
      <c r="E37" s="15" t="str">
        <f>IF($P37="","",IFERROR(IF(INDEX(MASTER!$F$4:$F$1463,$P37)="","",INDEX(MASTER!$F$4:$F$1463,$P37)),""))</f>
        <v>Ranged DPS</v>
      </c>
      <c r="F37" s="16">
        <f>IF($P37="","",IFERROR(IF(INDEX(MASTER!$G$4:$G$1463,$P37)="","",INDEX(MASTER!$G$4:$G$1463,$P37)),""))</f>
        <v>63654</v>
      </c>
      <c r="G37" s="15" t="str">
        <f>IF($P37="","",IFERROR(IF(INDEX(MASTER!$H$4:$H$1463,$P37)="","",INDEX(MASTER!$H$4:$H$1463,$P37)),""))</f>
        <v>63,000 - 63,999</v>
      </c>
      <c r="H37" s="16">
        <f>IF($P37="","",IFERROR(IF(INDEX(MASTER!$I$4:$I$1463,$P37)="","",INDEX(MASTER!$I$4:$I$1463,$P37)),""))</f>
        <v>6734</v>
      </c>
      <c r="I37" s="15" t="str">
        <f>IF($P37="","",IFERROR(IF(INDEX(MASTER!$J$4:$J$1463,$P37)="","",INDEX(MASTER!$J$4:$J$1463,$P37)),""))</f>
        <v>VETERAN</v>
      </c>
      <c r="J37" s="17">
        <f>IF($P37="","",IFERROR(IF(INDEX(MASTER!$L$4:$L$1463,$P37)="","",INDEX(MASTER!$L$4:$L$1463,$P37)),""))</f>
        <v>5.54</v>
      </c>
      <c r="K37" s="17">
        <f>IF($P37="","",IFERROR(IF(INDEX(MASTER!$N$4:$N$1463,$P37)="","",INDEX(MASTER!$N$4:$N$1463,$P37)),""))</f>
        <v>61.4</v>
      </c>
      <c r="L37" s="15" t="str">
        <f>IF($P37="","",IFERROR(IF(INDEX(MASTER!$O$4:$O$1463,$P37)="","",INDEX(MASTER!$O$4:$O$1463,$P37)),""))</f>
        <v>A</v>
      </c>
      <c r="M37" s="15">
        <f>IF($P37="","",IFERROR(IF(INDEX(MASTER!$Q$4:$Q$1463,$P37)="","",INDEX(MASTER!$Q$4:$Q$1463,$P37)),""))</f>
        <v>24</v>
      </c>
      <c r="N37" s="15" t="str">
        <f>IF($P37="","",IFERROR(IF(INDEX(MASTER!$S$4:$S$1463,$P37)="","",INDEX(MASTER!$S$4:$S$1463,$P37)),""))</f>
        <v>Complete</v>
      </c>
      <c r="P37">
        <f>IFERROR(MATCH($Q$1&amp;"@29",MASTER!$AC$4:$AC$1463,0),"")</f>
        <v>456</v>
      </c>
    </row>
    <row r="38" spans="1:16">
      <c r="A38" s="19">
        <f>IF($P38="","",30)</f>
        <v>30</v>
      </c>
      <c r="B38" s="18" t="str">
        <f>IF($P38="","",IFERROR(IF(INDEX(MASTER!$C$4:$C$1463,$P38)="","",INDEX(MASTER!$C$4:$C$1463,$P38)),""))</f>
        <v>GrandeBell</v>
      </c>
      <c r="C38" s="19" t="str">
        <f>IF($P38="","",IFERROR(IF(INDEX(MASTER!$D$4:$D$1463,$P38)="","",INDEX(MASTER!$D$4:$D$1463,$P38)),""))</f>
        <v/>
      </c>
      <c r="D38" s="19" t="str">
        <f>IF($P38="","",IFERROR(IF(INDEX(MASTER!$E$4:$E$1463,$P38)="","",INDEX(MASTER!$E$4:$E$1463,$P38)),""))</f>
        <v>TEMPEST</v>
      </c>
      <c r="E38" s="19" t="str">
        <f>IF($P38="","",IFERROR(IF(INDEX(MASTER!$F$4:$F$1463,$P38)="","",INDEX(MASTER!$F$4:$F$1463,$P38)),""))</f>
        <v>Melee DPS</v>
      </c>
      <c r="F38" s="20">
        <f>IF($P38="","",IFERROR(IF(INDEX(MASTER!$G$4:$G$1463,$P38)="","",INDEX(MASTER!$G$4:$G$1463,$P38)),""))</f>
        <v>62384</v>
      </c>
      <c r="G38" s="19" t="str">
        <f>IF($P38="","",IFERROR(IF(INDEX(MASTER!$H$4:$H$1463,$P38)="","",INDEX(MASTER!$H$4:$H$1463,$P38)),""))</f>
        <v>62,000 - 62,999</v>
      </c>
      <c r="H38" s="20">
        <f>IF($P38="","",IFERROR(IF(INDEX(MASTER!$I$4:$I$1463,$P38)="","",INDEX(MASTER!$I$4:$I$1463,$P38)),""))</f>
        <v>5104</v>
      </c>
      <c r="I38" s="19" t="str">
        <f>IF($P38="","",IFERROR(IF(INDEX(MASTER!$J$4:$J$1463,$P38)="","",INDEX(MASTER!$J$4:$J$1463,$P38)),""))</f>
        <v>CORE</v>
      </c>
      <c r="J38" s="21">
        <f>IF($P38="","",IFERROR(IF(INDEX(MASTER!$L$4:$L$1463,$P38)="","",INDEX(MASTER!$L$4:$L$1463,$P38)),""))</f>
        <v>5.43</v>
      </c>
      <c r="K38" s="21">
        <f>IF($P38="","",IFERROR(IF(INDEX(MASTER!$N$4:$N$1463,$P38)="","",INDEX(MASTER!$N$4:$N$1463,$P38)),""))</f>
        <v>50.8</v>
      </c>
      <c r="L38" s="19" t="str">
        <f>IF($P38="","",IFERROR(IF(INDEX(MASTER!$O$4:$O$1463,$P38)="","",INDEX(MASTER!$O$4:$O$1463,$P38)),""))</f>
        <v>A</v>
      </c>
      <c r="M38" s="19">
        <f>IF($P38="","",IFERROR(IF(INDEX(MASTER!$Q$4:$Q$1463,$P38)="","",INDEX(MASTER!$Q$4:$Q$1463,$P38)),""))</f>
        <v>40</v>
      </c>
      <c r="N38" s="19" t="str">
        <f>IF($P38="","",IFERROR(IF(INDEX(MASTER!$S$4:$S$1463,$P38)="","",INDEX(MASTER!$S$4:$S$1463,$P38)),""))</f>
        <v>Complete</v>
      </c>
      <c r="P38">
        <f>IFERROR(MATCH($Q$1&amp;"@30",MASTER!$AC$4:$AC$1463,0),"")</f>
        <v>461</v>
      </c>
    </row>
    <row r="39" spans="1:16">
      <c r="A39" s="15">
        <f>IF($P39="","",31)</f>
        <v>31</v>
      </c>
      <c r="B39" s="14" t="str">
        <f>IF($P39="","",IFERROR(IF(INDEX(MASTER!$C$4:$C$1463,$P39)="","",INDEX(MASTER!$C$4:$C$1463,$P39)),""))</f>
        <v>Greesh</v>
      </c>
      <c r="C39" s="15" t="str">
        <f>IF($P39="","",IFERROR(IF(INDEX(MASTER!$D$4:$D$1463,$P39)="","",INDEX(MASTER!$D$4:$D$1463,$P39)),""))</f>
        <v/>
      </c>
      <c r="D39" s="15" t="str">
        <f>IF($P39="","",IFERROR(IF(INDEX(MASTER!$E$4:$E$1463,$P39)="","",INDEX(MASTER!$E$4:$E$1463,$P39)),""))</f>
        <v>BLOOD KNIGHT</v>
      </c>
      <c r="E39" s="15" t="str">
        <f>IF($P39="","",IFERROR(IF(INDEX(MASTER!$F$4:$F$1463,$P39)="","",INDEX(MASTER!$F$4:$F$1463,$P39)),""))</f>
        <v>Frontline</v>
      </c>
      <c r="F39" s="16">
        <f>IF($P39="","",IFERROR(IF(INDEX(MASTER!$G$4:$G$1463,$P39)="","",INDEX(MASTER!$G$4:$G$1463,$P39)),""))</f>
        <v>62813</v>
      </c>
      <c r="G39" s="15" t="str">
        <f>IF($P39="","",IFERROR(IF(INDEX(MASTER!$H$4:$H$1463,$P39)="","",INDEX(MASTER!$H$4:$H$1463,$P39)),""))</f>
        <v>62,000 - 62,999</v>
      </c>
      <c r="H39" s="16">
        <f>IF($P39="","",IFERROR(IF(INDEX(MASTER!$I$4:$I$1463,$P39)="","",INDEX(MASTER!$I$4:$I$1463,$P39)),""))</f>
        <v>4435</v>
      </c>
      <c r="I39" s="15" t="str">
        <f>IF($P39="","",IFERROR(IF(INDEX(MASTER!$J$4:$J$1463,$P39)="","",INDEX(MASTER!$J$4:$J$1463,$P39)),""))</f>
        <v>CORE</v>
      </c>
      <c r="J39" s="17">
        <f>IF($P39="","",IFERROR(IF(INDEX(MASTER!$L$4:$L$1463,$P39)="","",INDEX(MASTER!$L$4:$L$1463,$P39)),""))</f>
        <v>5.14</v>
      </c>
      <c r="K39" s="17">
        <f>IF($P39="","",IFERROR(IF(INDEX(MASTER!$N$4:$N$1463,$P39)="","",INDEX(MASTER!$N$4:$N$1463,$P39)),""))</f>
        <v>48.5</v>
      </c>
      <c r="L39" s="15" t="str">
        <f>IF($P39="","",IFERROR(IF(INDEX(MASTER!$O$4:$O$1463,$P39)="","",INDEX(MASTER!$O$4:$O$1463,$P39)),""))</f>
        <v>B</v>
      </c>
      <c r="M39" s="15">
        <f>IF($P39="","",IFERROR(IF(INDEX(MASTER!$Q$4:$Q$1463,$P39)="","",INDEX(MASTER!$Q$4:$Q$1463,$P39)),""))</f>
        <v>50</v>
      </c>
      <c r="N39" s="15" t="str">
        <f>IF($P39="","",IFERROR(IF(INDEX(MASTER!$S$4:$S$1463,$P39)="","",INDEX(MASTER!$S$4:$S$1463,$P39)),""))</f>
        <v>Complete</v>
      </c>
      <c r="P39">
        <f>IFERROR(MATCH($Q$1&amp;"@31",MASTER!$AC$4:$AC$1463,0),"")</f>
        <v>494</v>
      </c>
    </row>
    <row r="40" spans="1:16">
      <c r="A40" s="19">
        <f>IF($P40="","",32)</f>
        <v>32</v>
      </c>
      <c r="B40" s="18" t="str">
        <f>IF($P40="","",IFERROR(IF(INDEX(MASTER!$C$4:$C$1463,$P40)="","",INDEX(MASTER!$C$4:$C$1463,$P40)),""))</f>
        <v>GreyWardenElisa</v>
      </c>
      <c r="C40" s="19" t="str">
        <f>IF($P40="","",IFERROR(IF(INDEX(MASTER!$D$4:$D$1463,$P40)="","",INDEX(MASTER!$D$4:$D$1463,$P40)),""))</f>
        <v/>
      </c>
      <c r="D40" s="19" t="str">
        <f>IF($P40="","",IFERROR(IF(INDEX(MASTER!$E$4:$E$1463,$P40)="","",INDEX(MASTER!$E$4:$E$1463,$P40)),""))</f>
        <v>CRUSADER</v>
      </c>
      <c r="E40" s="19" t="str">
        <f>IF($P40="","",IFERROR(IF(INDEX(MASTER!$F$4:$F$1463,$P40)="","",INDEX(MASTER!$F$4:$F$1463,$P40)),""))</f>
        <v>Frontline</v>
      </c>
      <c r="F40" s="20">
        <f>IF($P40="","",IFERROR(IF(INDEX(MASTER!$G$4:$G$1463,$P40)="","",INDEX(MASTER!$G$4:$G$1463,$P40)),""))</f>
        <v>62403</v>
      </c>
      <c r="G40" s="19" t="str">
        <f>IF($P40="","",IFERROR(IF(INDEX(MASTER!$H$4:$H$1463,$P40)="","",INDEX(MASTER!$H$4:$H$1463,$P40)),""))</f>
        <v>62,000 - 62,999</v>
      </c>
      <c r="H40" s="20">
        <f>IF($P40="","",IFERROR(IF(INDEX(MASTER!$I$4:$I$1463,$P40)="","",INDEX(MASTER!$I$4:$I$1463,$P40)),""))</f>
        <v>6126</v>
      </c>
      <c r="I40" s="19" t="str">
        <f>IF($P40="","",IFERROR(IF(INDEX(MASTER!$J$4:$J$1463,$P40)="","",INDEX(MASTER!$J$4:$J$1463,$P40)),""))</f>
        <v>VETERAN</v>
      </c>
      <c r="J40" s="21">
        <f>IF($P40="","",IFERROR(IF(INDEX(MASTER!$L$4:$L$1463,$P40)="","",INDEX(MASTER!$L$4:$L$1463,$P40)),""))</f>
        <v>5.05</v>
      </c>
      <c r="K40" s="21">
        <f>IF($P40="","",IFERROR(IF(INDEX(MASTER!$N$4:$N$1463,$P40)="","",INDEX(MASTER!$N$4:$N$1463,$P40)),""))</f>
        <v>54.6</v>
      </c>
      <c r="L40" s="19" t="str">
        <f>IF($P40="","",IFERROR(IF(INDEX(MASTER!$O$4:$O$1463,$P40)="","",INDEX(MASTER!$O$4:$O$1463,$P40)),""))</f>
        <v>A</v>
      </c>
      <c r="M40" s="19">
        <f>IF($P40="","",IFERROR(IF(INDEX(MASTER!$Q$4:$Q$1463,$P40)="","",INDEX(MASTER!$Q$4:$Q$1463,$P40)),""))</f>
        <v>28</v>
      </c>
      <c r="N40" s="19" t="str">
        <f>IF($P40="","",IFERROR(IF(INDEX(MASTER!$S$4:$S$1463,$P40)="","",INDEX(MASTER!$S$4:$S$1463,$P40)),""))</f>
        <v>Complete</v>
      </c>
      <c r="P40">
        <f>IFERROR(MATCH($Q$1&amp;"@32",MASTER!$AC$4:$AC$1463,0),"")</f>
        <v>496</v>
      </c>
    </row>
    <row r="41" spans="1:16">
      <c r="A41" s="15">
        <f>IF($P41="","",33)</f>
        <v>33</v>
      </c>
      <c r="B41" s="14" t="str">
        <f>IF($P41="","",IFERROR(IF(INDEX(MASTER!$C$4:$C$1463,$P41)="","",INDEX(MASTER!$C$4:$C$1463,$P41)),""))</f>
        <v>GrimDiesel</v>
      </c>
      <c r="C41" s="15" t="str">
        <f>IF($P41="","",IFERROR(IF(INDEX(MASTER!$D$4:$D$1463,$P41)="","",INDEX(MASTER!$D$4:$D$1463,$P41)),""))</f>
        <v/>
      </c>
      <c r="D41" s="15" t="str">
        <f>IF($P41="","",IFERROR(IF(INDEX(MASTER!$E$4:$E$1463,$P41)="","",INDEX(MASTER!$E$4:$E$1463,$P41)),""))</f>
        <v>DEMON HUNTER</v>
      </c>
      <c r="E41" s="15" t="str">
        <f>IF($P41="","",IFERROR(IF(INDEX(MASTER!$F$4:$F$1463,$P41)="","",INDEX(MASTER!$F$4:$F$1463,$P41)),""))</f>
        <v>Ranged DPS</v>
      </c>
      <c r="F41" s="16">
        <f>IF($P41="","",IFERROR(IF(INDEX(MASTER!$G$4:$G$1463,$P41)="","",INDEX(MASTER!$G$4:$G$1463,$P41)),""))</f>
        <v>61915</v>
      </c>
      <c r="G41" s="15" t="str">
        <f>IF($P41="","",IFERROR(IF(INDEX(MASTER!$H$4:$H$1463,$P41)="","",INDEX(MASTER!$H$4:$H$1463,$P41)),""))</f>
        <v>61,000 - 61,999</v>
      </c>
      <c r="H41" s="16">
        <f>IF($P41="","",IFERROR(IF(INDEX(MASTER!$I$4:$I$1463,$P41)="","",INDEX(MASTER!$I$4:$I$1463,$P41)),""))</f>
        <v>5147</v>
      </c>
      <c r="I41" s="15" t="str">
        <f>IF($P41="","",IFERROR(IF(INDEX(MASTER!$J$4:$J$1463,$P41)="","",INDEX(MASTER!$J$4:$J$1463,$P41)),""))</f>
        <v>CORE</v>
      </c>
      <c r="J41" s="17">
        <f>IF($P41="","",IFERROR(IF(INDEX(MASTER!$L$4:$L$1463,$P41)="","",INDEX(MASTER!$L$4:$L$1463,$P41)),""))</f>
        <v>8</v>
      </c>
      <c r="K41" s="17">
        <f>IF($P41="","",IFERROR(IF(INDEX(MASTER!$N$4:$N$1463,$P41)="","",INDEX(MASTER!$N$4:$N$1463,$P41)),""))</f>
        <v>54</v>
      </c>
      <c r="L41" s="15" t="str">
        <f>IF($P41="","",IFERROR(IF(INDEX(MASTER!$O$4:$O$1463,$P41)="","",INDEX(MASTER!$O$4:$O$1463,$P41)),""))</f>
        <v>A</v>
      </c>
      <c r="M41" s="15">
        <f>IF($P41="","",IFERROR(IF(INDEX(MASTER!$Q$4:$Q$1463,$P41)="","",INDEX(MASTER!$Q$4:$Q$1463,$P41)),""))</f>
        <v>38</v>
      </c>
      <c r="N41" s="15" t="str">
        <f>IF($P41="","",IFERROR(IF(INDEX(MASTER!$S$4:$S$1463,$P41)="","",INDEX(MASTER!$S$4:$S$1463,$P41)),""))</f>
        <v>Complete</v>
      </c>
      <c r="P41">
        <f>IFERROR(MATCH($Q$1&amp;"@33",MASTER!$AC$4:$AC$1463,0),"")</f>
        <v>501</v>
      </c>
    </row>
    <row r="42" spans="1:16">
      <c r="A42" s="19">
        <f>IF($P42="","",34)</f>
        <v>34</v>
      </c>
      <c r="B42" s="18" t="str">
        <f>IF($P42="","",IFERROR(IF(INDEX(MASTER!$C$4:$C$1463,$P42)="","",INDEX(MASTER!$C$4:$C$1463,$P42)),""))</f>
        <v>HateSloth</v>
      </c>
      <c r="C42" s="19" t="str">
        <f>IF($P42="","",IFERROR(IF(INDEX(MASTER!$D$4:$D$1463,$P42)="","",INDEX(MASTER!$D$4:$D$1463,$P42)),""))</f>
        <v/>
      </c>
      <c r="D42" s="19" t="str">
        <f>IF($P42="","",IFERROR(IF(INDEX(MASTER!$E$4:$E$1463,$P42)="","",INDEX(MASTER!$E$4:$E$1463,$P42)),""))</f>
        <v>WIZARD</v>
      </c>
      <c r="E42" s="19" t="str">
        <f>IF($P42="","",IFERROR(IF(INDEX(MASTER!$F$4:$F$1463,$P42)="","",INDEX(MASTER!$F$4:$F$1463,$P42)),""))</f>
        <v>Ranged DPS</v>
      </c>
      <c r="F42" s="20">
        <f>IF($P42="","",IFERROR(IF(INDEX(MASTER!$G$4:$G$1463,$P42)="","",INDEX(MASTER!$G$4:$G$1463,$P42)),""))</f>
        <v>63079</v>
      </c>
      <c r="G42" s="19" t="str">
        <f>IF($P42="","",IFERROR(IF(INDEX(MASTER!$H$4:$H$1463,$P42)="","",INDEX(MASTER!$H$4:$H$1463,$P42)),""))</f>
        <v>63,000 - 63,999</v>
      </c>
      <c r="H42" s="20">
        <f>IF($P42="","",IFERROR(IF(INDEX(MASTER!$I$4:$I$1463,$P42)="","",INDEX(MASTER!$I$4:$I$1463,$P42)),""))</f>
        <v>4027</v>
      </c>
      <c r="I42" s="19" t="str">
        <f>IF($P42="","",IFERROR(IF(INDEX(MASTER!$J$4:$J$1463,$P42)="","",INDEX(MASTER!$J$4:$J$1463,$P42)),""))</f>
        <v>CORE</v>
      </c>
      <c r="J42" s="21">
        <f>IF($P42="","",IFERROR(IF(INDEX(MASTER!$L$4:$L$1463,$P42)="","",INDEX(MASTER!$L$4:$L$1463,$P42)),""))</f>
        <v>5.03</v>
      </c>
      <c r="K42" s="21">
        <f>IF($P42="","",IFERROR(IF(INDEX(MASTER!$N$4:$N$1463,$P42)="","",INDEX(MASTER!$N$4:$N$1463,$P42)),""))</f>
        <v>47.2</v>
      </c>
      <c r="L42" s="19" t="str">
        <f>IF($P42="","",IFERROR(IF(INDEX(MASTER!$O$4:$O$1463,$P42)="","",INDEX(MASTER!$O$4:$O$1463,$P42)),""))</f>
        <v>B</v>
      </c>
      <c r="M42" s="19">
        <f>IF($P42="","",IFERROR(IF(INDEX(MASTER!$Q$4:$Q$1463,$P42)="","",INDEX(MASTER!$Q$4:$Q$1463,$P42)),""))</f>
        <v>61</v>
      </c>
      <c r="N42" s="19" t="str">
        <f>IF($P42="","",IFERROR(IF(INDEX(MASTER!$S$4:$S$1463,$P42)="","",INDEX(MASTER!$S$4:$S$1463,$P42)),""))</f>
        <v>Complete</v>
      </c>
      <c r="P42">
        <f>IFERROR(MATCH($Q$1&amp;"@34",MASTER!$AC$4:$AC$1463,0),"")</f>
        <v>507</v>
      </c>
    </row>
    <row r="43" spans="1:16">
      <c r="A43" s="15">
        <f>IF($P43="","",35)</f>
        <v>35</v>
      </c>
      <c r="B43" s="14" t="str">
        <f>IF($P43="","",IFERROR(IF(INDEX(MASTER!$C$4:$C$1463,$P43)="","",INDEX(MASTER!$C$4:$C$1463,$P43)),""))</f>
        <v>HEMITIME</v>
      </c>
      <c r="C43" s="15" t="str">
        <f>IF($P43="","",IFERROR(IF(INDEX(MASTER!$D$4:$D$1463,$P43)="","",INDEX(MASTER!$D$4:$D$1463,$P43)),""))</f>
        <v/>
      </c>
      <c r="D43" s="15" t="str">
        <f>IF($P43="","",IFERROR(IF(INDEX(MASTER!$E$4:$E$1463,$P43)="","",INDEX(MASTER!$E$4:$E$1463,$P43)),""))</f>
        <v>CRUSADER</v>
      </c>
      <c r="E43" s="15" t="str">
        <f>IF($P43="","",IFERROR(IF(INDEX(MASTER!$F$4:$F$1463,$P43)="","",INDEX(MASTER!$F$4:$F$1463,$P43)),""))</f>
        <v>Frontline</v>
      </c>
      <c r="F43" s="16">
        <f>IF($P43="","",IFERROR(IF(INDEX(MASTER!$G$4:$G$1463,$P43)="","",INDEX(MASTER!$G$4:$G$1463,$P43)),""))</f>
        <v>63946</v>
      </c>
      <c r="G43" s="15" t="str">
        <f>IF($P43="","",IFERROR(IF(INDEX(MASTER!$H$4:$H$1463,$P43)="","",INDEX(MASTER!$H$4:$H$1463,$P43)),""))</f>
        <v>63,000 - 63,999</v>
      </c>
      <c r="H43" s="16">
        <f>IF($P43="","",IFERROR(IF(INDEX(MASTER!$I$4:$I$1463,$P43)="","",INDEX(MASTER!$I$4:$I$1463,$P43)),""))</f>
        <v>8503</v>
      </c>
      <c r="I43" s="15" t="str">
        <f>IF($P43="","",IFERROR(IF(INDEX(MASTER!$J$4:$J$1463,$P43)="","",INDEX(MASTER!$J$4:$J$1463,$P43)),""))</f>
        <v>ELITE</v>
      </c>
      <c r="J43" s="17">
        <f>IF($P43="","",IFERROR(IF(INDEX(MASTER!$L$4:$L$1463,$P43)="","",INDEX(MASTER!$L$4:$L$1463,$P43)),""))</f>
        <v>5.75</v>
      </c>
      <c r="K43" s="17">
        <f>IF($P43="","",IFERROR(IF(INDEX(MASTER!$N$4:$N$1463,$P43)="","",INDEX(MASTER!$N$4:$N$1463,$P43)),""))</f>
        <v>70.2</v>
      </c>
      <c r="L43" s="15" t="str">
        <f>IF($P43="","",IFERROR(IF(INDEX(MASTER!$O$4:$O$1463,$P43)="","",INDEX(MASTER!$O$4:$O$1463,$P43)),""))</f>
        <v>S</v>
      </c>
      <c r="M43" s="15">
        <f>IF($P43="","",IFERROR(IF(INDEX(MASTER!$Q$4:$Q$1463,$P43)="","",INDEX(MASTER!$Q$4:$Q$1463,$P43)),""))</f>
        <v>11</v>
      </c>
      <c r="N43" s="15" t="str">
        <f>IF($P43="","",IFERROR(IF(INDEX(MASTER!$S$4:$S$1463,$P43)="","",INDEX(MASTER!$S$4:$S$1463,$P43)),""))</f>
        <v>Complete</v>
      </c>
      <c r="P43">
        <f>IFERROR(MATCH($Q$1&amp;"@35",MASTER!$AC$4:$AC$1463,0),"")</f>
        <v>522</v>
      </c>
    </row>
    <row r="44" spans="1:16">
      <c r="A44" s="19">
        <f>IF($P44="","",36)</f>
        <v>36</v>
      </c>
      <c r="B44" s="18" t="str">
        <f>IF($P44="","",IFERROR(IF(INDEX(MASTER!$C$4:$C$1463,$P44)="","",INDEX(MASTER!$C$4:$C$1463,$P44)),""))</f>
        <v>Hepzibah</v>
      </c>
      <c r="C44" s="19" t="str">
        <f>IF($P44="","",IFERROR(IF(INDEX(MASTER!$D$4:$D$1463,$P44)="","",INDEX(MASTER!$D$4:$D$1463,$P44)),""))</f>
        <v/>
      </c>
      <c r="D44" s="19" t="str">
        <f>IF($P44="","",IFERROR(IF(INDEX(MASTER!$E$4:$E$1463,$P44)="","",INDEX(MASTER!$E$4:$E$1463,$P44)),""))</f>
        <v>NECROMANCER</v>
      </c>
      <c r="E44" s="19" t="str">
        <f>IF($P44="","",IFERROR(IF(INDEX(MASTER!$F$4:$F$1463,$P44)="","",INDEX(MASTER!$F$4:$F$1463,$P44)),""))</f>
        <v>Control</v>
      </c>
      <c r="F44" s="20">
        <f>IF($P44="","",IFERROR(IF(INDEX(MASTER!$G$4:$G$1463,$P44)="","",INDEX(MASTER!$G$4:$G$1463,$P44)),""))</f>
        <v>63072</v>
      </c>
      <c r="G44" s="19" t="str">
        <f>IF($P44="","",IFERROR(IF(INDEX(MASTER!$H$4:$H$1463,$P44)="","",INDEX(MASTER!$H$4:$H$1463,$P44)),""))</f>
        <v>63,000 - 63,999</v>
      </c>
      <c r="H44" s="20">
        <f>IF($P44="","",IFERROR(IF(INDEX(MASTER!$I$4:$I$1463,$P44)="","",INDEX(MASTER!$I$4:$I$1463,$P44)),""))</f>
        <v>4560</v>
      </c>
      <c r="I44" s="19" t="str">
        <f>IF($P44="","",IFERROR(IF(INDEX(MASTER!$J$4:$J$1463,$P44)="","",INDEX(MASTER!$J$4:$J$1463,$P44)),""))</f>
        <v>CORE</v>
      </c>
      <c r="J44" s="21">
        <f>IF($P44="","",IFERROR(IF(INDEX(MASTER!$L$4:$L$1463,$P44)="","",INDEX(MASTER!$L$4:$L$1463,$P44)),""))</f>
        <v>5.39</v>
      </c>
      <c r="K44" s="21">
        <f>IF($P44="","",IFERROR(IF(INDEX(MASTER!$N$4:$N$1463,$P44)="","",INDEX(MASTER!$N$4:$N$1463,$P44)),""))</f>
        <v>50.1</v>
      </c>
      <c r="L44" s="19" t="str">
        <f>IF($P44="","",IFERROR(IF(INDEX(MASTER!$O$4:$O$1463,$P44)="","",INDEX(MASTER!$O$4:$O$1463,$P44)),""))</f>
        <v>A</v>
      </c>
      <c r="M44" s="19">
        <f>IF($P44="","",IFERROR(IF(INDEX(MASTER!$Q$4:$Q$1463,$P44)="","",INDEX(MASTER!$Q$4:$Q$1463,$P44)),""))</f>
        <v>48</v>
      </c>
      <c r="N44" s="19" t="str">
        <f>IF($P44="","",IFERROR(IF(INDEX(MASTER!$S$4:$S$1463,$P44)="","",INDEX(MASTER!$S$4:$S$1463,$P44)),""))</f>
        <v>Complete</v>
      </c>
      <c r="P44">
        <f>IFERROR(MATCH($Q$1&amp;"@36",MASTER!$AC$4:$AC$1463,0),"")</f>
        <v>524</v>
      </c>
    </row>
    <row r="45" spans="1:16">
      <c r="A45" s="15">
        <f>IF($P45="","",37)</f>
        <v>37</v>
      </c>
      <c r="B45" s="14" t="str">
        <f>IF($P45="","",IFERROR(IF(INDEX(MASTER!$C$4:$C$1463,$P45)="","",INDEX(MASTER!$C$4:$C$1463,$P45)),""))</f>
        <v>HexenbaneHexy</v>
      </c>
      <c r="C45" s="15" t="str">
        <f>IF($P45="","",IFERROR(IF(INDEX(MASTER!$D$4:$D$1463,$P45)="","",INDEX(MASTER!$D$4:$D$1463,$P45)),""))</f>
        <v/>
      </c>
      <c r="D45" s="15" t="str">
        <f>IF($P45="","",IFERROR(IF(INDEX(MASTER!$E$4:$E$1463,$P45)="","",INDEX(MASTER!$E$4:$E$1463,$P45)),""))</f>
        <v>DEMON HUNTER</v>
      </c>
      <c r="E45" s="15" t="str">
        <f>IF($P45="","",IFERROR(IF(INDEX(MASTER!$F$4:$F$1463,$P45)="","",INDEX(MASTER!$F$4:$F$1463,$P45)),""))</f>
        <v>Ranged DPS</v>
      </c>
      <c r="F45" s="16">
        <f>IF($P45="","",IFERROR(IF(INDEX(MASTER!$G$4:$G$1463,$P45)="","",INDEX(MASTER!$G$4:$G$1463,$P45)),""))</f>
        <v>62946</v>
      </c>
      <c r="G45" s="15" t="str">
        <f>IF($P45="","",IFERROR(IF(INDEX(MASTER!$H$4:$H$1463,$P45)="","",INDEX(MASTER!$H$4:$H$1463,$P45)),""))</f>
        <v>62,000 - 62,999</v>
      </c>
      <c r="H45" s="16">
        <f>IF($P45="","",IFERROR(IF(INDEX(MASTER!$I$4:$I$1463,$P45)="","",INDEX(MASTER!$I$4:$I$1463,$P45)),""))</f>
        <v>2552</v>
      </c>
      <c r="I45" s="15" t="str">
        <f>IF($P45="","",IFERROR(IF(INDEX(MASTER!$J$4:$J$1463,$P45)="","",INDEX(MASTER!$J$4:$J$1463,$P45)),""))</f>
        <v>DEVELOPING</v>
      </c>
      <c r="J45" s="17">
        <f>IF($P45="","",IFERROR(IF(INDEX(MASTER!$L$4:$L$1463,$P45)="","",INDEX(MASTER!$L$4:$L$1463,$P45)),""))</f>
        <v>4.13</v>
      </c>
      <c r="K45" s="17">
        <f>IF($P45="","",IFERROR(IF(INDEX(MASTER!$N$4:$N$1463,$P45)="","",INDEX(MASTER!$N$4:$N$1463,$P45)),""))</f>
        <v>38.9</v>
      </c>
      <c r="L45" s="15" t="str">
        <f>IF($P45="","",IFERROR(IF(INDEX(MASTER!$O$4:$O$1463,$P45)="","",INDEX(MASTER!$O$4:$O$1463,$P45)),""))</f>
        <v>B</v>
      </c>
      <c r="M45" s="15">
        <f>IF($P45="","",IFERROR(IF(INDEX(MASTER!$Q$4:$Q$1463,$P45)="","",INDEX(MASTER!$Q$4:$Q$1463,$P45)),""))</f>
        <v>98</v>
      </c>
      <c r="N45" s="15" t="str">
        <f>IF($P45="","",IFERROR(IF(INDEX(MASTER!$S$4:$S$1463,$P45)="","",INDEX(MASTER!$S$4:$S$1463,$P45)),""))</f>
        <v>Complete</v>
      </c>
      <c r="P45">
        <f>IFERROR(MATCH($Q$1&amp;"@37",MASTER!$AC$4:$AC$1463,0),"")</f>
        <v>540</v>
      </c>
    </row>
    <row r="46" spans="1:16">
      <c r="A46" s="19">
        <f>IF($P46="","",38)</f>
        <v>38</v>
      </c>
      <c r="B46" s="18" t="str">
        <f>IF($P46="","",IFERROR(IF(INDEX(MASTER!$C$4:$C$1463,$P46)="","",INDEX(MASTER!$C$4:$C$1463,$P46)),""))</f>
        <v>HolyKoda</v>
      </c>
      <c r="C46" s="19" t="str">
        <f>IF($P46="","",IFERROR(IF(INDEX(MASTER!$D$4:$D$1463,$P46)="","",INDEX(MASTER!$D$4:$D$1463,$P46)),""))</f>
        <v/>
      </c>
      <c r="D46" s="19" t="str">
        <f>IF($P46="","",IFERROR(IF(INDEX(MASTER!$E$4:$E$1463,$P46)="","",INDEX(MASTER!$E$4:$E$1463,$P46)),""))</f>
        <v>BARBARIAN</v>
      </c>
      <c r="E46" s="19" t="str">
        <f>IF($P46="","",IFERROR(IF(INDEX(MASTER!$F$4:$F$1463,$P46)="","",INDEX(MASTER!$F$4:$F$1463,$P46)),""))</f>
        <v>Frontline</v>
      </c>
      <c r="F46" s="20">
        <f>IF($P46="","",IFERROR(IF(INDEX(MASTER!$G$4:$G$1463,$P46)="","",INDEX(MASTER!$G$4:$G$1463,$P46)),""))</f>
        <v>61713</v>
      </c>
      <c r="G46" s="19" t="str">
        <f>IF($P46="","",IFERROR(IF(INDEX(MASTER!$H$4:$H$1463,$P46)="","",INDEX(MASTER!$H$4:$H$1463,$P46)),""))</f>
        <v>61,000 - 61,999</v>
      </c>
      <c r="H46" s="20">
        <f>IF($P46="","",IFERROR(IF(INDEX(MASTER!$I$4:$I$1463,$P46)="","",INDEX(MASTER!$I$4:$I$1463,$P46)),""))</f>
        <v>3384</v>
      </c>
      <c r="I46" s="19" t="str">
        <f>IF($P46="","",IFERROR(IF(INDEX(MASTER!$J$4:$J$1463,$P46)="","",INDEX(MASTER!$J$4:$J$1463,$P46)),""))</f>
        <v>DEVELOPING</v>
      </c>
      <c r="J46" s="21">
        <f>IF($P46="","",IFERROR(IF(INDEX(MASTER!$L$4:$L$1463,$P46)="","",INDEX(MASTER!$L$4:$L$1463,$P46)),""))</f>
        <v>3.68</v>
      </c>
      <c r="K46" s="21">
        <f>IF($P46="","",IFERROR(IF(INDEX(MASTER!$N$4:$N$1463,$P46)="","",INDEX(MASTER!$N$4:$N$1463,$P46)),""))</f>
        <v>38.6</v>
      </c>
      <c r="L46" s="19" t="str">
        <f>IF($P46="","",IFERROR(IF(INDEX(MASTER!$O$4:$O$1463,$P46)="","",INDEX(MASTER!$O$4:$O$1463,$P46)),""))</f>
        <v>B</v>
      </c>
      <c r="M46" s="19">
        <f>IF($P46="","",IFERROR(IF(INDEX(MASTER!$Q$4:$Q$1463,$P46)="","",INDEX(MASTER!$Q$4:$Q$1463,$P46)),""))</f>
        <v>76</v>
      </c>
      <c r="N46" s="19" t="str">
        <f>IF($P46="","",IFERROR(IF(INDEX(MASTER!$S$4:$S$1463,$P46)="","",INDEX(MASTER!$S$4:$S$1463,$P46)),""))</f>
        <v>Complete</v>
      </c>
      <c r="P46">
        <f>IFERROR(MATCH($Q$1&amp;"@38",MASTER!$AC$4:$AC$1463,0),"")</f>
        <v>564</v>
      </c>
    </row>
    <row r="47" spans="1:16">
      <c r="A47" s="15">
        <f>IF($P47="","",39)</f>
        <v>39</v>
      </c>
      <c r="B47" s="14" t="str">
        <f>IF($P47="","",IFERROR(IF(INDEX(MASTER!$C$4:$C$1463,$P47)="","",INDEX(MASTER!$C$4:$C$1463,$P47)),""))</f>
        <v>IAMSLAUGHTER</v>
      </c>
      <c r="C47" s="15" t="str">
        <f>IF($P47="","",IFERROR(IF(INDEX(MASTER!$D$4:$D$1463,$P47)="","",INDEX(MASTER!$D$4:$D$1463,$P47)),""))</f>
        <v/>
      </c>
      <c r="D47" s="15" t="str">
        <f>IF($P47="","",IFERROR(IF(INDEX(MASTER!$E$4:$E$1463,$P47)="","",INDEX(MASTER!$E$4:$E$1463,$P47)),""))</f>
        <v>WARLOCK</v>
      </c>
      <c r="E47" s="15" t="str">
        <f>IF($P47="","",IFERROR(IF(INDEX(MASTER!$F$4:$F$1463,$P47)="","",INDEX(MASTER!$F$4:$F$1463,$P47)),""))</f>
        <v>Control</v>
      </c>
      <c r="F47" s="16">
        <f>IF($P47="","",IFERROR(IF(INDEX(MASTER!$G$4:$G$1463,$P47)="","",INDEX(MASTER!$G$4:$G$1463,$P47)),""))</f>
        <v>61882</v>
      </c>
      <c r="G47" s="15" t="str">
        <f>IF($P47="","",IFERROR(IF(INDEX(MASTER!$H$4:$H$1463,$P47)="","",INDEX(MASTER!$H$4:$H$1463,$P47)),""))</f>
        <v>61,000 - 61,999</v>
      </c>
      <c r="H47" s="16">
        <f>IF($P47="","",IFERROR(IF(INDEX(MASTER!$I$4:$I$1463,$P47)="","",INDEX(MASTER!$I$4:$I$1463,$P47)),""))</f>
        <v>8770</v>
      </c>
      <c r="I47" s="15" t="str">
        <f>IF($P47="","",IFERROR(IF(INDEX(MASTER!$J$4:$J$1463,$P47)="","",INDEX(MASTER!$J$4:$J$1463,$P47)),""))</f>
        <v>ELITE</v>
      </c>
      <c r="J47" s="17">
        <f>IF($P47="","",IFERROR(IF(INDEX(MASTER!$L$4:$L$1463,$P47)="","",INDEX(MASTER!$L$4:$L$1463,$P47)),""))</f>
        <v>5.31</v>
      </c>
      <c r="K47" s="17">
        <f>IF($P47="","",IFERROR(IF(INDEX(MASTER!$N$4:$N$1463,$P47)="","",INDEX(MASTER!$N$4:$N$1463,$P47)),""))</f>
        <v>65.2</v>
      </c>
      <c r="L47" s="15" t="str">
        <f>IF($P47="","",IFERROR(IF(INDEX(MASTER!$O$4:$O$1463,$P47)="","",INDEX(MASTER!$O$4:$O$1463,$P47)),""))</f>
        <v>S</v>
      </c>
      <c r="M47" s="15">
        <f>IF($P47="","",IFERROR(IF(INDEX(MASTER!$Q$4:$Q$1463,$P47)="","",INDEX(MASTER!$Q$4:$Q$1463,$P47)),""))</f>
        <v>9</v>
      </c>
      <c r="N47" s="15" t="str">
        <f>IF($P47="","",IFERROR(IF(INDEX(MASTER!$S$4:$S$1463,$P47)="","",INDEX(MASTER!$S$4:$S$1463,$P47)),""))</f>
        <v>Complete</v>
      </c>
      <c r="P47">
        <f>IFERROR(MATCH($Q$1&amp;"@39",MASTER!$AC$4:$AC$1463,0),"")</f>
        <v>571</v>
      </c>
    </row>
    <row r="48" spans="1:16">
      <c r="A48" s="19">
        <f>IF($P48="","",40)</f>
        <v>40</v>
      </c>
      <c r="B48" s="18" t="str">
        <f>IF($P48="","",IFERROR(IF(INDEX(MASTER!$C$4:$C$1463,$P48)="","",INDEX(MASTER!$C$4:$C$1463,$P48)),""))</f>
        <v>Itsmurdaa</v>
      </c>
      <c r="C48" s="19" t="str">
        <f>IF($P48="","",IFERROR(IF(INDEX(MASTER!$D$4:$D$1463,$P48)="","",INDEX(MASTER!$D$4:$D$1463,$P48)),""))</f>
        <v/>
      </c>
      <c r="D48" s="19" t="str">
        <f>IF($P48="","",IFERROR(IF(INDEX(MASTER!$E$4:$E$1463,$P48)="","",INDEX(MASTER!$E$4:$E$1463,$P48)),""))</f>
        <v>WARLOCK</v>
      </c>
      <c r="E48" s="19" t="str">
        <f>IF($P48="","",IFERROR(IF(INDEX(MASTER!$F$4:$F$1463,$P48)="","",INDEX(MASTER!$F$4:$F$1463,$P48)),""))</f>
        <v>Control</v>
      </c>
      <c r="F48" s="20">
        <f>IF($P48="","",IFERROR(IF(INDEX(MASTER!$G$4:$G$1463,$P48)="","",INDEX(MASTER!$G$4:$G$1463,$P48)),""))</f>
        <v>63117</v>
      </c>
      <c r="G48" s="19" t="str">
        <f>IF($P48="","",IFERROR(IF(INDEX(MASTER!$H$4:$H$1463,$P48)="","",INDEX(MASTER!$H$4:$H$1463,$P48)),""))</f>
        <v>63,000 - 63,999</v>
      </c>
      <c r="H48" s="20">
        <f>IF($P48="","",IFERROR(IF(INDEX(MASTER!$I$4:$I$1463,$P48)="","",INDEX(MASTER!$I$4:$I$1463,$P48)),""))</f>
        <v>3156</v>
      </c>
      <c r="I48" s="19" t="str">
        <f>IF($P48="","",IFERROR(IF(INDEX(MASTER!$J$4:$J$1463,$P48)="","",INDEX(MASTER!$J$4:$J$1463,$P48)),""))</f>
        <v>DEVELOPING</v>
      </c>
      <c r="J48" s="21">
        <f>IF($P48="","",IFERROR(IF(INDEX(MASTER!$L$4:$L$1463,$P48)="","",INDEX(MASTER!$L$4:$L$1463,$P48)),""))</f>
        <v>3.66</v>
      </c>
      <c r="K48" s="21">
        <f>IF($P48="","",IFERROR(IF(INDEX(MASTER!$N$4:$N$1463,$P48)="","",INDEX(MASTER!$N$4:$N$1463,$P48)),""))</f>
        <v>41.2</v>
      </c>
      <c r="L48" s="19" t="str">
        <f>IF($P48="","",IFERROR(IF(INDEX(MASTER!$O$4:$O$1463,$P48)="","",INDEX(MASTER!$O$4:$O$1463,$P48)),""))</f>
        <v>B</v>
      </c>
      <c r="M48" s="19">
        <f>IF($P48="","",IFERROR(IF(INDEX(MASTER!$Q$4:$Q$1463,$P48)="","",INDEX(MASTER!$Q$4:$Q$1463,$P48)),""))</f>
        <v>89</v>
      </c>
      <c r="N48" s="19" t="str">
        <f>IF($P48="","",IFERROR(IF(INDEX(MASTER!$S$4:$S$1463,$P48)="","",INDEX(MASTER!$S$4:$S$1463,$P48)),""))</f>
        <v>Complete</v>
      </c>
      <c r="P48">
        <f>IFERROR(MATCH($Q$1&amp;"@40",MASTER!$AC$4:$AC$1463,0),"")</f>
        <v>576</v>
      </c>
    </row>
    <row r="49" spans="1:16">
      <c r="A49" s="15">
        <f>IF($P49="","",41)</f>
        <v>41</v>
      </c>
      <c r="B49" s="14" t="str">
        <f>IF($P49="","",IFERROR(IF(INDEX(MASTER!$C$4:$C$1463,$P49)="","",INDEX(MASTER!$C$4:$C$1463,$P49)),""))</f>
        <v>Jinxzee</v>
      </c>
      <c r="C49" s="15" t="str">
        <f>IF($P49="","",IFERROR(IF(INDEX(MASTER!$D$4:$D$1463,$P49)="","",INDEX(MASTER!$D$4:$D$1463,$P49)),""))</f>
        <v/>
      </c>
      <c r="D49" s="15" t="str">
        <f>IF($P49="","",IFERROR(IF(INDEX(MASTER!$E$4:$E$1463,$P49)="","",INDEX(MASTER!$E$4:$E$1463,$P49)),""))</f>
        <v>WARLOCK</v>
      </c>
      <c r="E49" s="15" t="str">
        <f>IF($P49="","",IFERROR(IF(INDEX(MASTER!$F$4:$F$1463,$P49)="","",INDEX(MASTER!$F$4:$F$1463,$P49)),""))</f>
        <v>Control</v>
      </c>
      <c r="F49" s="16">
        <f>IF($P49="","",IFERROR(IF(INDEX(MASTER!$G$4:$G$1463,$P49)="","",INDEX(MASTER!$G$4:$G$1463,$P49)),""))</f>
        <v>61353</v>
      </c>
      <c r="G49" s="15" t="str">
        <f>IF($P49="","",IFERROR(IF(INDEX(MASTER!$H$4:$H$1463,$P49)="","",INDEX(MASTER!$H$4:$H$1463,$P49)),""))</f>
        <v>61,000 - 61,999</v>
      </c>
      <c r="H49" s="16">
        <f>IF($P49="","",IFERROR(IF(INDEX(MASTER!$I$4:$I$1463,$P49)="","",INDEX(MASTER!$I$4:$I$1463,$P49)),""))</f>
        <v>3311</v>
      </c>
      <c r="I49" s="15" t="str">
        <f>IF($P49="","",IFERROR(IF(INDEX(MASTER!$J$4:$J$1463,$P49)="","",INDEX(MASTER!$J$4:$J$1463,$P49)),""))</f>
        <v>DEVELOPING</v>
      </c>
      <c r="J49" s="17">
        <f>IF($P49="","",IFERROR(IF(INDEX(MASTER!$L$4:$L$1463,$P49)="","",INDEX(MASTER!$L$4:$L$1463,$P49)),""))</f>
        <v>4.96</v>
      </c>
      <c r="K49" s="17">
        <f>IF($P49="","",IFERROR(IF(INDEX(MASTER!$N$4:$N$1463,$P49)="","",INDEX(MASTER!$N$4:$N$1463,$P49)),""))</f>
        <v>39.4</v>
      </c>
      <c r="L49" s="15" t="str">
        <f>IF($P49="","",IFERROR(IF(INDEX(MASTER!$O$4:$O$1463,$P49)="","",INDEX(MASTER!$O$4:$O$1463,$P49)),""))</f>
        <v>B</v>
      </c>
      <c r="M49" s="15">
        <f>IF($P49="","",IFERROR(IF(INDEX(MASTER!$Q$4:$Q$1463,$P49)="","",INDEX(MASTER!$Q$4:$Q$1463,$P49)),""))</f>
        <v>79</v>
      </c>
      <c r="N49" s="15" t="str">
        <f>IF($P49="","",IFERROR(IF(INDEX(MASTER!$S$4:$S$1463,$P49)="","",INDEX(MASTER!$S$4:$S$1463,$P49)),""))</f>
        <v>Complete</v>
      </c>
      <c r="P49">
        <f>IFERROR(MATCH($Q$1&amp;"@41",MASTER!$AC$4:$AC$1463,0),"")</f>
        <v>581</v>
      </c>
    </row>
    <row r="50" spans="1:16">
      <c r="A50" s="19">
        <f>IF($P50="","",42)</f>
        <v>42</v>
      </c>
      <c r="B50" s="18" t="str">
        <f>IF($P50="","",IFERROR(IF(INDEX(MASTER!$C$4:$C$1463,$P50)="","",INDEX(MASTER!$C$4:$C$1463,$P50)),""))</f>
        <v>JoJoBluEyez</v>
      </c>
      <c r="C50" s="19" t="str">
        <f>IF($P50="","",IFERROR(IF(INDEX(MASTER!$D$4:$D$1463,$P50)="","",INDEX(MASTER!$D$4:$D$1463,$P50)),""))</f>
        <v/>
      </c>
      <c r="D50" s="19" t="str">
        <f>IF($P50="","",IFERROR(IF(INDEX(MASTER!$E$4:$E$1463,$P50)="","",INDEX(MASTER!$E$4:$E$1463,$P50)),""))</f>
        <v>WIZARD</v>
      </c>
      <c r="E50" s="19" t="str">
        <f>IF($P50="","",IFERROR(IF(INDEX(MASTER!$F$4:$F$1463,$P50)="","",INDEX(MASTER!$F$4:$F$1463,$P50)),""))</f>
        <v>Ranged DPS</v>
      </c>
      <c r="F50" s="20">
        <f>IF($P50="","",IFERROR(IF(INDEX(MASTER!$G$4:$G$1463,$P50)="","",INDEX(MASTER!$G$4:$G$1463,$P50)),""))</f>
        <v>61194</v>
      </c>
      <c r="G50" s="19" t="str">
        <f>IF($P50="","",IFERROR(IF(INDEX(MASTER!$H$4:$H$1463,$P50)="","",INDEX(MASTER!$H$4:$H$1463,$P50)),""))</f>
        <v>61,000 - 61,999</v>
      </c>
      <c r="H50" s="20">
        <f>IF($P50="","",IFERROR(IF(INDEX(MASTER!$I$4:$I$1463,$P50)="","",INDEX(MASTER!$I$4:$I$1463,$P50)),""))</f>
        <v>3182</v>
      </c>
      <c r="I50" s="19" t="str">
        <f>IF($P50="","",IFERROR(IF(INDEX(MASTER!$J$4:$J$1463,$P50)="","",INDEX(MASTER!$J$4:$J$1463,$P50)),""))</f>
        <v>DEVELOPING</v>
      </c>
      <c r="J50" s="21">
        <f>IF($P50="","",IFERROR(IF(INDEX(MASTER!$L$4:$L$1463,$P50)="","",INDEX(MASTER!$L$4:$L$1463,$P50)),""))</f>
        <v>3.99</v>
      </c>
      <c r="K50" s="21">
        <f>IF($P50="","",IFERROR(IF(INDEX(MASTER!$N$4:$N$1463,$P50)="","",INDEX(MASTER!$N$4:$N$1463,$P50)),""))</f>
        <v>36.799999999999997</v>
      </c>
      <c r="L50" s="19" t="str">
        <f>IF($P50="","",IFERROR(IF(INDEX(MASTER!$O$4:$O$1463,$P50)="","",INDEX(MASTER!$O$4:$O$1463,$P50)),""))</f>
        <v>B</v>
      </c>
      <c r="M50" s="19">
        <f>IF($P50="","",IFERROR(IF(INDEX(MASTER!$Q$4:$Q$1463,$P50)="","",INDEX(MASTER!$Q$4:$Q$1463,$P50)),""))</f>
        <v>87</v>
      </c>
      <c r="N50" s="19" t="str">
        <f>IF($P50="","",IFERROR(IF(INDEX(MASTER!$S$4:$S$1463,$P50)="","",INDEX(MASTER!$S$4:$S$1463,$P50)),""))</f>
        <v>Complete</v>
      </c>
      <c r="P50">
        <f>IFERROR(MATCH($Q$1&amp;"@42",MASTER!$AC$4:$AC$1463,0),"")</f>
        <v>582</v>
      </c>
    </row>
    <row r="51" spans="1:16">
      <c r="A51" s="15">
        <f>IF($P51="","",43)</f>
        <v>43</v>
      </c>
      <c r="B51" s="14" t="str">
        <f>IF($P51="","",IFERROR(IF(INDEX(MASTER!$C$4:$C$1463,$P51)="","",INDEX(MASTER!$C$4:$C$1463,$P51)),""))</f>
        <v>JudgeMentaI</v>
      </c>
      <c r="C51" s="15" t="str">
        <f>IF($P51="","",IFERROR(IF(INDEX(MASTER!$D$4:$D$1463,$P51)="","",INDEX(MASTER!$D$4:$D$1463,$P51)),""))</f>
        <v/>
      </c>
      <c r="D51" s="15" t="str">
        <f>IF($P51="","",IFERROR(IF(INDEX(MASTER!$E$4:$E$1463,$P51)="","",INDEX(MASTER!$E$4:$E$1463,$P51)),""))</f>
        <v>DRUID</v>
      </c>
      <c r="E51" s="15" t="str">
        <f>IF($P51="","",IFERROR(IF(INDEX(MASTER!$F$4:$F$1463,$P51)="","",INDEX(MASTER!$F$4:$F$1463,$P51)),""))</f>
        <v>Support</v>
      </c>
      <c r="F51" s="16">
        <f>IF($P51="","",IFERROR(IF(INDEX(MASTER!$G$4:$G$1463,$P51)="","",INDEX(MASTER!$G$4:$G$1463,$P51)),""))</f>
        <v>62802</v>
      </c>
      <c r="G51" s="15" t="str">
        <f>IF($P51="","",IFERROR(IF(INDEX(MASTER!$H$4:$H$1463,$P51)="","",INDEX(MASTER!$H$4:$H$1463,$P51)),""))</f>
        <v>62,000 - 62,999</v>
      </c>
      <c r="H51" s="16">
        <f>IF($P51="","",IFERROR(IF(INDEX(MASTER!$I$4:$I$1463,$P51)="","",INDEX(MASTER!$I$4:$I$1463,$P51)),""))</f>
        <v>10077</v>
      </c>
      <c r="I51" s="15" t="str">
        <f>IF($P51="","",IFERROR(IF(INDEX(MASTER!$J$4:$J$1463,$P51)="","",INDEX(MASTER!$J$4:$J$1463,$P51)),""))</f>
        <v>APEX</v>
      </c>
      <c r="J51" s="17">
        <f>IF($P51="","",IFERROR(IF(INDEX(MASTER!$L$4:$L$1463,$P51)="","",INDEX(MASTER!$L$4:$L$1463,$P51)),""))</f>
        <v>9.1</v>
      </c>
      <c r="K51" s="17">
        <f>IF($P51="","",IFERROR(IF(INDEX(MASTER!$N$4:$N$1463,$P51)="","",INDEX(MASTER!$N$4:$N$1463,$P51)),""))</f>
        <v>79.7</v>
      </c>
      <c r="L51" s="15" t="str">
        <f>IF($P51="","",IFERROR(IF(INDEX(MASTER!$O$4:$O$1463,$P51)="","",INDEX(MASTER!$O$4:$O$1463,$P51)),""))</f>
        <v>S</v>
      </c>
      <c r="M51" s="15">
        <f>IF($P51="","",IFERROR(IF(INDEX(MASTER!$Q$4:$Q$1463,$P51)="","",INDEX(MASTER!$Q$4:$Q$1463,$P51)),""))</f>
        <v>4</v>
      </c>
      <c r="N51" s="15" t="str">
        <f>IF($P51="","",IFERROR(IF(INDEX(MASTER!$S$4:$S$1463,$P51)="","",INDEX(MASTER!$S$4:$S$1463,$P51)),""))</f>
        <v>Complete</v>
      </c>
      <c r="P51">
        <f>IFERROR(MATCH($Q$1&amp;"@43",MASTER!$AC$4:$AC$1463,0),"")</f>
        <v>593</v>
      </c>
    </row>
    <row r="52" spans="1:16">
      <c r="A52" s="19">
        <f>IF($P52="","",44)</f>
        <v>44</v>
      </c>
      <c r="B52" s="18" t="str">
        <f>IF($P52="","",IFERROR(IF(INDEX(MASTER!$C$4:$C$1463,$P52)="","",INDEX(MASTER!$C$4:$C$1463,$P52)),""))</f>
        <v>Kaerytika</v>
      </c>
      <c r="C52" s="19" t="str">
        <f>IF($P52="","",IFERROR(IF(INDEX(MASTER!$D$4:$D$1463,$P52)="","",INDEX(MASTER!$D$4:$D$1463,$P52)),""))</f>
        <v/>
      </c>
      <c r="D52" s="19" t="str">
        <f>IF($P52="","",IFERROR(IF(INDEX(MASTER!$E$4:$E$1463,$P52)="","",INDEX(MASTER!$E$4:$E$1463,$P52)),""))</f>
        <v>WARLOCK</v>
      </c>
      <c r="E52" s="19" t="str">
        <f>IF($P52="","",IFERROR(IF(INDEX(MASTER!$F$4:$F$1463,$P52)="","",INDEX(MASTER!$F$4:$F$1463,$P52)),""))</f>
        <v>Control</v>
      </c>
      <c r="F52" s="20">
        <f>IF($P52="","",IFERROR(IF(INDEX(MASTER!$G$4:$G$1463,$P52)="","",INDEX(MASTER!$G$4:$G$1463,$P52)),""))</f>
        <v>61878</v>
      </c>
      <c r="G52" s="19" t="str">
        <f>IF($P52="","",IFERROR(IF(INDEX(MASTER!$H$4:$H$1463,$P52)="","",INDEX(MASTER!$H$4:$H$1463,$P52)),""))</f>
        <v>61,000 - 61,999</v>
      </c>
      <c r="H52" s="20">
        <f>IF($P52="","",IFERROR(IF(INDEX(MASTER!$I$4:$I$1463,$P52)="","",INDEX(MASTER!$I$4:$I$1463,$P52)),""))</f>
        <v>3001</v>
      </c>
      <c r="I52" s="19" t="str">
        <f>IF($P52="","",IFERROR(IF(INDEX(MASTER!$J$4:$J$1463,$P52)="","",INDEX(MASTER!$J$4:$J$1463,$P52)),""))</f>
        <v>DEVELOPING</v>
      </c>
      <c r="J52" s="21">
        <f>IF($P52="","",IFERROR(IF(INDEX(MASTER!$L$4:$L$1463,$P52)="","",INDEX(MASTER!$L$4:$L$1463,$P52)),""))</f>
        <v>3.94</v>
      </c>
      <c r="K52" s="21">
        <f>IF($P52="","",IFERROR(IF(INDEX(MASTER!$N$4:$N$1463,$P52)="","",INDEX(MASTER!$N$4:$N$1463,$P52)),""))</f>
        <v>37.799999999999997</v>
      </c>
      <c r="L52" s="19" t="str">
        <f>IF($P52="","",IFERROR(IF(INDEX(MASTER!$O$4:$O$1463,$P52)="","",INDEX(MASTER!$O$4:$O$1463,$P52)),""))</f>
        <v>B</v>
      </c>
      <c r="M52" s="19">
        <f>IF($P52="","",IFERROR(IF(INDEX(MASTER!$Q$4:$Q$1463,$P52)="","",INDEX(MASTER!$Q$4:$Q$1463,$P52)),""))</f>
        <v>93</v>
      </c>
      <c r="N52" s="19" t="str">
        <f>IF($P52="","",IFERROR(IF(INDEX(MASTER!$S$4:$S$1463,$P52)="","",INDEX(MASTER!$S$4:$S$1463,$P52)),""))</f>
        <v>Complete</v>
      </c>
      <c r="P52">
        <f>IFERROR(MATCH($Q$1&amp;"@44",MASTER!$AC$4:$AC$1463,0),"")</f>
        <v>612</v>
      </c>
    </row>
    <row r="53" spans="1:16">
      <c r="A53" s="15">
        <f>IF($P53="","",45)</f>
        <v>45</v>
      </c>
      <c r="B53" s="14" t="str">
        <f>IF($P53="","",IFERROR(IF(INDEX(MASTER!$C$4:$C$1463,$P53)="","",INDEX(MASTER!$C$4:$C$1463,$P53)),""))</f>
        <v>Kaia01</v>
      </c>
      <c r="C53" s="15" t="str">
        <f>IF($P53="","",IFERROR(IF(INDEX(MASTER!$D$4:$D$1463,$P53)="","",INDEX(MASTER!$D$4:$D$1463,$P53)),""))</f>
        <v/>
      </c>
      <c r="D53" s="15" t="str">
        <f>IF($P53="","",IFERROR(IF(INDEX(MASTER!$E$4:$E$1463,$P53)="","",INDEX(MASTER!$E$4:$E$1463,$P53)),""))</f>
        <v>WIZARD</v>
      </c>
      <c r="E53" s="15" t="str">
        <f>IF($P53="","",IFERROR(IF(INDEX(MASTER!$F$4:$F$1463,$P53)="","",INDEX(MASTER!$F$4:$F$1463,$P53)),""))</f>
        <v>Ranged DPS</v>
      </c>
      <c r="F53" s="16">
        <f>IF($P53="","",IFERROR(IF(INDEX(MASTER!$G$4:$G$1463,$P53)="","",INDEX(MASTER!$G$4:$G$1463,$P53)),""))</f>
        <v>63025</v>
      </c>
      <c r="G53" s="15" t="str">
        <f>IF($P53="","",IFERROR(IF(INDEX(MASTER!$H$4:$H$1463,$P53)="","",INDEX(MASTER!$H$4:$H$1463,$P53)),""))</f>
        <v>63,000 - 63,999</v>
      </c>
      <c r="H53" s="16">
        <f>IF($P53="","",IFERROR(IF(INDEX(MASTER!$I$4:$I$1463,$P53)="","",INDEX(MASTER!$I$4:$I$1463,$P53)),""))</f>
        <v>4147</v>
      </c>
      <c r="I53" s="15" t="str">
        <f>IF($P53="","",IFERROR(IF(INDEX(MASTER!$J$4:$J$1463,$P53)="","",INDEX(MASTER!$J$4:$J$1463,$P53)),""))</f>
        <v>CORE</v>
      </c>
      <c r="J53" s="17">
        <f>IF($P53="","",IFERROR(IF(INDEX(MASTER!$L$4:$L$1463,$P53)="","",INDEX(MASTER!$L$4:$L$1463,$P53)),""))</f>
        <v>4.96</v>
      </c>
      <c r="K53" s="17">
        <f>IF($P53="","",IFERROR(IF(INDEX(MASTER!$N$4:$N$1463,$P53)="","",INDEX(MASTER!$N$4:$N$1463,$P53)),""))</f>
        <v>47.5</v>
      </c>
      <c r="L53" s="15" t="str">
        <f>IF($P53="","",IFERROR(IF(INDEX(MASTER!$O$4:$O$1463,$P53)="","",INDEX(MASTER!$O$4:$O$1463,$P53)),""))</f>
        <v>B</v>
      </c>
      <c r="M53" s="15">
        <f>IF($P53="","",IFERROR(IF(INDEX(MASTER!$Q$4:$Q$1463,$P53)="","",INDEX(MASTER!$Q$4:$Q$1463,$P53)),""))</f>
        <v>56</v>
      </c>
      <c r="N53" s="15" t="str">
        <f>IF($P53="","",IFERROR(IF(INDEX(MASTER!$S$4:$S$1463,$P53)="","",INDEX(MASTER!$S$4:$S$1463,$P53)),""))</f>
        <v>Complete</v>
      </c>
      <c r="P53">
        <f>IFERROR(MATCH($Q$1&amp;"@45",MASTER!$AC$4:$AC$1463,0),"")</f>
        <v>629</v>
      </c>
    </row>
    <row r="54" spans="1:16">
      <c r="A54" s="19">
        <f>IF($P54="","",46)</f>
        <v>46</v>
      </c>
      <c r="B54" s="18" t="str">
        <f>IF($P54="","",IFERROR(IF(INDEX(MASTER!$C$4:$C$1463,$P54)="","",INDEX(MASTER!$C$4:$C$1463,$P54)),""))</f>
        <v>KBowser</v>
      </c>
      <c r="C54" s="19" t="str">
        <f>IF($P54="","",IFERROR(IF(INDEX(MASTER!$D$4:$D$1463,$P54)="","",INDEX(MASTER!$D$4:$D$1463,$P54)),""))</f>
        <v/>
      </c>
      <c r="D54" s="19" t="str">
        <f>IF($P54="","",IFERROR(IF(INDEX(MASTER!$E$4:$E$1463,$P54)="","",INDEX(MASTER!$E$4:$E$1463,$P54)),""))</f>
        <v>DRUID</v>
      </c>
      <c r="E54" s="19" t="str">
        <f>IF($P54="","",IFERROR(IF(INDEX(MASTER!$F$4:$F$1463,$P54)="","",INDEX(MASTER!$F$4:$F$1463,$P54)),""))</f>
        <v>Support</v>
      </c>
      <c r="F54" s="20">
        <f>IF($P54="","",IFERROR(IF(INDEX(MASTER!$G$4:$G$1463,$P54)="","",INDEX(MASTER!$G$4:$G$1463,$P54)),""))</f>
        <v>62571</v>
      </c>
      <c r="G54" s="19" t="str">
        <f>IF($P54="","",IFERROR(IF(INDEX(MASTER!$H$4:$H$1463,$P54)="","",INDEX(MASTER!$H$4:$H$1463,$P54)),""))</f>
        <v>62,000 - 62,999</v>
      </c>
      <c r="H54" s="20">
        <f>IF($P54="","",IFERROR(IF(INDEX(MASTER!$I$4:$I$1463,$P54)="","",INDEX(MASTER!$I$4:$I$1463,$P54)),""))</f>
        <v>4627</v>
      </c>
      <c r="I54" s="19" t="str">
        <f>IF($P54="","",IFERROR(IF(INDEX(MASTER!$J$4:$J$1463,$P54)="","",INDEX(MASTER!$J$4:$J$1463,$P54)),""))</f>
        <v>CORE</v>
      </c>
      <c r="J54" s="21">
        <f>IF($P54="","",IFERROR(IF(INDEX(MASTER!$L$4:$L$1463,$P54)="","",INDEX(MASTER!$L$4:$L$1463,$P54)),""))</f>
        <v>4.84</v>
      </c>
      <c r="K54" s="21">
        <f>IF($P54="","",IFERROR(IF(INDEX(MASTER!$N$4:$N$1463,$P54)="","",INDEX(MASTER!$N$4:$N$1463,$P54)),""))</f>
        <v>48.2</v>
      </c>
      <c r="L54" s="19" t="str">
        <f>IF($P54="","",IFERROR(IF(INDEX(MASTER!$O$4:$O$1463,$P54)="","",INDEX(MASTER!$O$4:$O$1463,$P54)),""))</f>
        <v>B</v>
      </c>
      <c r="M54" s="19">
        <f>IF($P54="","",IFERROR(IF(INDEX(MASTER!$Q$4:$Q$1463,$P54)="","",INDEX(MASTER!$Q$4:$Q$1463,$P54)),""))</f>
        <v>46</v>
      </c>
      <c r="N54" s="19" t="str">
        <f>IF($P54="","",IFERROR(IF(INDEX(MASTER!$S$4:$S$1463,$P54)="","",INDEX(MASTER!$S$4:$S$1463,$P54)),""))</f>
        <v>Complete</v>
      </c>
      <c r="P54">
        <f>IFERROR(MATCH($Q$1&amp;"@46",MASTER!$AC$4:$AC$1463,0),"")</f>
        <v>648</v>
      </c>
    </row>
    <row r="55" spans="1:16">
      <c r="A55" s="15">
        <f>IF($P55="","",47)</f>
        <v>47</v>
      </c>
      <c r="B55" s="14" t="str">
        <f>IF($P55="","",IFERROR(IF(INDEX(MASTER!$C$4:$C$1463,$P55)="","",INDEX(MASTER!$C$4:$C$1463,$P55)),""))</f>
        <v>KingJonSnow</v>
      </c>
      <c r="C55" s="15" t="str">
        <f>IF($P55="","",IFERROR(IF(INDEX(MASTER!$D$4:$D$1463,$P55)="","",INDEX(MASTER!$D$4:$D$1463,$P55)),""))</f>
        <v/>
      </c>
      <c r="D55" s="15" t="str">
        <f>IF($P55="","",IFERROR(IF(INDEX(MASTER!$E$4:$E$1463,$P55)="","",INDEX(MASTER!$E$4:$E$1463,$P55)),""))</f>
        <v>CRUSADER</v>
      </c>
      <c r="E55" s="15" t="str">
        <f>IF($P55="","",IFERROR(IF(INDEX(MASTER!$F$4:$F$1463,$P55)="","",INDEX(MASTER!$F$4:$F$1463,$P55)),""))</f>
        <v>Frontline</v>
      </c>
      <c r="F55" s="16">
        <f>IF($P55="","",IFERROR(IF(INDEX(MASTER!$G$4:$G$1463,$P55)="","",INDEX(MASTER!$G$4:$G$1463,$P55)),""))</f>
        <v>61802</v>
      </c>
      <c r="G55" s="15" t="str">
        <f>IF($P55="","",IFERROR(IF(INDEX(MASTER!$H$4:$H$1463,$P55)="","",INDEX(MASTER!$H$4:$H$1463,$P55)),""))</f>
        <v>61,000 - 61,999</v>
      </c>
      <c r="H55" s="16">
        <f>IF($P55="","",IFERROR(IF(INDEX(MASTER!$I$4:$I$1463,$P55)="","",INDEX(MASTER!$I$4:$I$1463,$P55)),""))</f>
        <v>3948</v>
      </c>
      <c r="I55" s="15" t="str">
        <f>IF($P55="","",IFERROR(IF(INDEX(MASTER!$J$4:$J$1463,$P55)="","",INDEX(MASTER!$J$4:$J$1463,$P55)),""))</f>
        <v>DEVELOPING</v>
      </c>
      <c r="J55" s="17">
        <f>IF($P55="","",IFERROR(IF(INDEX(MASTER!$L$4:$L$1463,$P55)="","",INDEX(MASTER!$L$4:$L$1463,$P55)),""))</f>
        <v>4.37</v>
      </c>
      <c r="K55" s="17">
        <f>IF($P55="","",IFERROR(IF(INDEX(MASTER!$N$4:$N$1463,$P55)="","",INDEX(MASTER!$N$4:$N$1463,$P55)),""))</f>
        <v>42.4</v>
      </c>
      <c r="L55" s="15" t="str">
        <f>IF($P55="","",IFERROR(IF(INDEX(MASTER!$O$4:$O$1463,$P55)="","",INDEX(MASTER!$O$4:$O$1463,$P55)),""))</f>
        <v>B</v>
      </c>
      <c r="M55" s="15">
        <f>IF($P55="","",IFERROR(IF(INDEX(MASTER!$Q$4:$Q$1463,$P55)="","",INDEX(MASTER!$Q$4:$Q$1463,$P55)),""))</f>
        <v>63</v>
      </c>
      <c r="N55" s="15" t="str">
        <f>IF($P55="","",IFERROR(IF(INDEX(MASTER!$S$4:$S$1463,$P55)="","",INDEX(MASTER!$S$4:$S$1463,$P55)),""))</f>
        <v>Complete</v>
      </c>
      <c r="P55">
        <f>IFERROR(MATCH($Q$1&amp;"@47",MASTER!$AC$4:$AC$1463,0),"")</f>
        <v>664</v>
      </c>
    </row>
    <row r="56" spans="1:16">
      <c r="A56" s="19">
        <f>IF($P56="","",48)</f>
        <v>48</v>
      </c>
      <c r="B56" s="18" t="str">
        <f>IF($P56="","",IFERROR(IF(INDEX(MASTER!$C$4:$C$1463,$P56)="","",INDEX(MASTER!$C$4:$C$1463,$P56)),""))</f>
        <v>Krjum</v>
      </c>
      <c r="C56" s="19" t="str">
        <f>IF($P56="","",IFERROR(IF(INDEX(MASTER!$D$4:$D$1463,$P56)="","",INDEX(MASTER!$D$4:$D$1463,$P56)),""))</f>
        <v/>
      </c>
      <c r="D56" s="19" t="str">
        <f>IF($P56="","",IFERROR(IF(INDEX(MASTER!$E$4:$E$1463,$P56)="","",INDEX(MASTER!$E$4:$E$1463,$P56)),""))</f>
        <v>BARBARIAN</v>
      </c>
      <c r="E56" s="19" t="str">
        <f>IF($P56="","",IFERROR(IF(INDEX(MASTER!$F$4:$F$1463,$P56)="","",INDEX(MASTER!$F$4:$F$1463,$P56)),""))</f>
        <v>Frontline</v>
      </c>
      <c r="F56" s="20">
        <f>IF($P56="","",IFERROR(IF(INDEX(MASTER!$G$4:$G$1463,$P56)="","",INDEX(MASTER!$G$4:$G$1463,$P56)),""))</f>
        <v>62932</v>
      </c>
      <c r="G56" s="19" t="str">
        <f>IF($P56="","",IFERROR(IF(INDEX(MASTER!$H$4:$H$1463,$P56)="","",INDEX(MASTER!$H$4:$H$1463,$P56)),""))</f>
        <v>62,000 - 62,999</v>
      </c>
      <c r="H56" s="20">
        <f>IF($P56="","",IFERROR(IF(INDEX(MASTER!$I$4:$I$1463,$P56)="","",INDEX(MASTER!$I$4:$I$1463,$P56)),""))</f>
        <v>5144</v>
      </c>
      <c r="I56" s="19" t="str">
        <f>IF($P56="","",IFERROR(IF(INDEX(MASTER!$J$4:$J$1463,$P56)="","",INDEX(MASTER!$J$4:$J$1463,$P56)),""))</f>
        <v>CORE</v>
      </c>
      <c r="J56" s="21">
        <f>IF($P56="","",IFERROR(IF(INDEX(MASTER!$L$4:$L$1463,$P56)="","",INDEX(MASTER!$L$4:$L$1463,$P56)),""))</f>
        <v>5.03</v>
      </c>
      <c r="K56" s="21">
        <f>IF($P56="","",IFERROR(IF(INDEX(MASTER!$N$4:$N$1463,$P56)="","",INDEX(MASTER!$N$4:$N$1463,$P56)),""))</f>
        <v>51.7</v>
      </c>
      <c r="L56" s="19" t="str">
        <f>IF($P56="","",IFERROR(IF(INDEX(MASTER!$O$4:$O$1463,$P56)="","",INDEX(MASTER!$O$4:$O$1463,$P56)),""))</f>
        <v>A</v>
      </c>
      <c r="M56" s="19">
        <f>IF($P56="","",IFERROR(IF(INDEX(MASTER!$Q$4:$Q$1463,$P56)="","",INDEX(MASTER!$Q$4:$Q$1463,$P56)),""))</f>
        <v>39</v>
      </c>
      <c r="N56" s="19" t="str">
        <f>IF($P56="","",IFERROR(IF(INDEX(MASTER!$S$4:$S$1463,$P56)="","",INDEX(MASTER!$S$4:$S$1463,$P56)),""))</f>
        <v>Complete</v>
      </c>
      <c r="P56">
        <f>IFERROR(MATCH($Q$1&amp;"@48",MASTER!$AC$4:$AC$1463,0),"")</f>
        <v>665</v>
      </c>
    </row>
    <row r="57" spans="1:16">
      <c r="A57" s="15">
        <f>IF($P57="","",49)</f>
        <v>49</v>
      </c>
      <c r="B57" s="14" t="str">
        <f>IF($P57="","",IFERROR(IF(INDEX(MASTER!$C$4:$C$1463,$P57)="","",INDEX(MASTER!$C$4:$C$1463,$P57)),""))</f>
        <v>Lava444</v>
      </c>
      <c r="C57" s="15" t="str">
        <f>IF($P57="","",IFERROR(IF(INDEX(MASTER!$D$4:$D$1463,$P57)="","",INDEX(MASTER!$D$4:$D$1463,$P57)),""))</f>
        <v/>
      </c>
      <c r="D57" s="15" t="str">
        <f>IF($P57="","",IFERROR(IF(INDEX(MASTER!$E$4:$E$1463,$P57)="","",INDEX(MASTER!$E$4:$E$1463,$P57)),""))</f>
        <v>BARBARIAN</v>
      </c>
      <c r="E57" s="15" t="str">
        <f>IF($P57="","",IFERROR(IF(INDEX(MASTER!$F$4:$F$1463,$P57)="","",INDEX(MASTER!$F$4:$F$1463,$P57)),""))</f>
        <v>Frontline</v>
      </c>
      <c r="F57" s="16">
        <f>IF($P57="","",IFERROR(IF(INDEX(MASTER!$G$4:$G$1463,$P57)="","",INDEX(MASTER!$G$4:$G$1463,$P57)),""))</f>
        <v>61196</v>
      </c>
      <c r="G57" s="15" t="str">
        <f>IF($P57="","",IFERROR(IF(INDEX(MASTER!$H$4:$H$1463,$P57)="","",INDEX(MASTER!$H$4:$H$1463,$P57)),""))</f>
        <v>61,000 - 61,999</v>
      </c>
      <c r="H57" s="16">
        <f>IF($P57="","",IFERROR(IF(INDEX(MASTER!$I$4:$I$1463,$P57)="","",INDEX(MASTER!$I$4:$I$1463,$P57)),""))</f>
        <v>2462</v>
      </c>
      <c r="I57" s="15" t="str">
        <f>IF($P57="","",IFERROR(IF(INDEX(MASTER!$J$4:$J$1463,$P57)="","",INDEX(MASTER!$J$4:$J$1463,$P57)),""))</f>
        <v>DEVELOPING</v>
      </c>
      <c r="J57" s="17">
        <f>IF($P57="","",IFERROR(IF(INDEX(MASTER!$L$4:$L$1463,$P57)="","",INDEX(MASTER!$L$4:$L$1463,$P57)),""))</f>
        <v>3.37</v>
      </c>
      <c r="K57" s="17">
        <f>IF($P57="","",IFERROR(IF(INDEX(MASTER!$N$4:$N$1463,$P57)="","",INDEX(MASTER!$N$4:$N$1463,$P57)),""))</f>
        <v>32.700000000000003</v>
      </c>
      <c r="L57" s="15" t="str">
        <f>IF($P57="","",IFERROR(IF(INDEX(MASTER!$O$4:$O$1463,$P57)="","",INDEX(MASTER!$O$4:$O$1463,$P57)),""))</f>
        <v>C</v>
      </c>
      <c r="M57" s="15">
        <f>IF($P57="","",IFERROR(IF(INDEX(MASTER!$Q$4:$Q$1463,$P57)="","",INDEX(MASTER!$Q$4:$Q$1463,$P57)),""))</f>
        <v>99</v>
      </c>
      <c r="N57" s="15" t="str">
        <f>IF($P57="","",IFERROR(IF(INDEX(MASTER!$S$4:$S$1463,$P57)="","",INDEX(MASTER!$S$4:$S$1463,$P57)),""))</f>
        <v>Complete</v>
      </c>
      <c r="P57">
        <f>IFERROR(MATCH($Q$1&amp;"@49",MASTER!$AC$4:$AC$1463,0),"")</f>
        <v>669</v>
      </c>
    </row>
    <row r="58" spans="1:16">
      <c r="A58" s="19">
        <f>IF($P58="","",50)</f>
        <v>50</v>
      </c>
      <c r="B58" s="18" t="str">
        <f>IF($P58="","",IFERROR(IF(INDEX(MASTER!$C$4:$C$1463,$P58)="","",INDEX(MASTER!$C$4:$C$1463,$P58)),""))</f>
        <v>Lexxdysia</v>
      </c>
      <c r="C58" s="19" t="str">
        <f>IF($P58="","",IFERROR(IF(INDEX(MASTER!$D$4:$D$1463,$P58)="","",INDEX(MASTER!$D$4:$D$1463,$P58)),""))</f>
        <v/>
      </c>
      <c r="D58" s="19" t="str">
        <f>IF($P58="","",IFERROR(IF(INDEX(MASTER!$E$4:$E$1463,$P58)="","",INDEX(MASTER!$E$4:$E$1463,$P58)),""))</f>
        <v>TEMPEST</v>
      </c>
      <c r="E58" s="19" t="str">
        <f>IF($P58="","",IFERROR(IF(INDEX(MASTER!$F$4:$F$1463,$P58)="","",INDEX(MASTER!$F$4:$F$1463,$P58)),""))</f>
        <v>Melee DPS</v>
      </c>
      <c r="F58" s="20">
        <f>IF($P58="","",IFERROR(IF(INDEX(MASTER!$G$4:$G$1463,$P58)="","",INDEX(MASTER!$G$4:$G$1463,$P58)),""))</f>
        <v>63079</v>
      </c>
      <c r="G58" s="19" t="str">
        <f>IF($P58="","",IFERROR(IF(INDEX(MASTER!$H$4:$H$1463,$P58)="","",INDEX(MASTER!$H$4:$H$1463,$P58)),""))</f>
        <v>63,000 - 63,999</v>
      </c>
      <c r="H58" s="20">
        <f>IF($P58="","",IFERROR(IF(INDEX(MASTER!$I$4:$I$1463,$P58)="","",INDEX(MASTER!$I$4:$I$1463,$P58)),""))</f>
        <v>3215</v>
      </c>
      <c r="I58" s="19" t="str">
        <f>IF($P58="","",IFERROR(IF(INDEX(MASTER!$J$4:$J$1463,$P58)="","",INDEX(MASTER!$J$4:$J$1463,$P58)),""))</f>
        <v>DEVELOPING</v>
      </c>
      <c r="J58" s="21">
        <f>IF($P58="","",IFERROR(IF(INDEX(MASTER!$L$4:$L$1463,$P58)="","",INDEX(MASTER!$L$4:$L$1463,$P58)),""))</f>
        <v>4.1500000000000004</v>
      </c>
      <c r="K58" s="21">
        <f>IF($P58="","",IFERROR(IF(INDEX(MASTER!$N$4:$N$1463,$P58)="","",INDEX(MASTER!$N$4:$N$1463,$P58)),""))</f>
        <v>42.2</v>
      </c>
      <c r="L58" s="19" t="str">
        <f>IF($P58="","",IFERROR(IF(INDEX(MASTER!$O$4:$O$1463,$P58)="","",INDEX(MASTER!$O$4:$O$1463,$P58)),""))</f>
        <v>B</v>
      </c>
      <c r="M58" s="19">
        <f>IF($P58="","",IFERROR(IF(INDEX(MASTER!$Q$4:$Q$1463,$P58)="","",INDEX(MASTER!$Q$4:$Q$1463,$P58)),""))</f>
        <v>84</v>
      </c>
      <c r="N58" s="19" t="str">
        <f>IF($P58="","",IFERROR(IF(INDEX(MASTER!$S$4:$S$1463,$P58)="","",INDEX(MASTER!$S$4:$S$1463,$P58)),""))</f>
        <v>Complete</v>
      </c>
      <c r="P58">
        <f>IFERROR(MATCH($Q$1&amp;"@50",MASTER!$AC$4:$AC$1463,0),"")</f>
        <v>686</v>
      </c>
    </row>
    <row r="59" spans="1:16">
      <c r="A59" s="15">
        <f>IF($P59="","",51)</f>
        <v>51</v>
      </c>
      <c r="B59" s="14" t="str">
        <f>IF($P59="","",IFERROR(IF(INDEX(MASTER!$C$4:$C$1463,$P59)="","",INDEX(MASTER!$C$4:$C$1463,$P59)),""))</f>
        <v>LifeInATrap</v>
      </c>
      <c r="C59" s="15" t="str">
        <f>IF($P59="","",IFERROR(IF(INDEX(MASTER!$D$4:$D$1463,$P59)="","",INDEX(MASTER!$D$4:$D$1463,$P59)),""))</f>
        <v/>
      </c>
      <c r="D59" s="15" t="str">
        <f>IF($P59="","",IFERROR(IF(INDEX(MASTER!$E$4:$E$1463,$P59)="","",INDEX(MASTER!$E$4:$E$1463,$P59)),""))</f>
        <v>MONK</v>
      </c>
      <c r="E59" s="15" t="str">
        <f>IF($P59="","",IFERROR(IF(INDEX(MASTER!$F$4:$F$1463,$P59)="","",INDEX(MASTER!$F$4:$F$1463,$P59)),""))</f>
        <v>Support</v>
      </c>
      <c r="F59" s="16">
        <f>IF($P59="","",IFERROR(IF(INDEX(MASTER!$G$4:$G$1463,$P59)="","",INDEX(MASTER!$G$4:$G$1463,$P59)),""))</f>
        <v>61636</v>
      </c>
      <c r="G59" s="15" t="str">
        <f>IF($P59="","",IFERROR(IF(INDEX(MASTER!$H$4:$H$1463,$P59)="","",INDEX(MASTER!$H$4:$H$1463,$P59)),""))</f>
        <v>61,000 - 61,999</v>
      </c>
      <c r="H59" s="16">
        <f>IF($P59="","",IFERROR(IF(INDEX(MASTER!$I$4:$I$1463,$P59)="","",INDEX(MASTER!$I$4:$I$1463,$P59)),""))</f>
        <v>4430</v>
      </c>
      <c r="I59" s="15" t="str">
        <f>IF($P59="","",IFERROR(IF(INDEX(MASTER!$J$4:$J$1463,$P59)="","",INDEX(MASTER!$J$4:$J$1463,$P59)),""))</f>
        <v>CORE</v>
      </c>
      <c r="J59" s="17">
        <f>IF($P59="","",IFERROR(IF(INDEX(MASTER!$L$4:$L$1463,$P59)="","",INDEX(MASTER!$L$4:$L$1463,$P59)),""))</f>
        <v>4.91</v>
      </c>
      <c r="K59" s="17">
        <f>IF($P59="","",IFERROR(IF(INDEX(MASTER!$N$4:$N$1463,$P59)="","",INDEX(MASTER!$N$4:$N$1463,$P59)),""))</f>
        <v>45</v>
      </c>
      <c r="L59" s="15" t="str">
        <f>IF($P59="","",IFERROR(IF(INDEX(MASTER!$O$4:$O$1463,$P59)="","",INDEX(MASTER!$O$4:$O$1463,$P59)),""))</f>
        <v>B</v>
      </c>
      <c r="M59" s="15">
        <f>IF($P59="","",IFERROR(IF(INDEX(MASTER!$Q$4:$Q$1463,$P59)="","",INDEX(MASTER!$Q$4:$Q$1463,$P59)),""))</f>
        <v>51</v>
      </c>
      <c r="N59" s="15" t="str">
        <f>IF($P59="","",IFERROR(IF(INDEX(MASTER!$S$4:$S$1463,$P59)="","",INDEX(MASTER!$S$4:$S$1463,$P59)),""))</f>
        <v>Complete</v>
      </c>
      <c r="P59">
        <f>IFERROR(MATCH($Q$1&amp;"@51",MASTER!$AC$4:$AC$1463,0),"")</f>
        <v>707</v>
      </c>
    </row>
    <row r="60" spans="1:16">
      <c r="A60" s="19">
        <f>IF($P60="","",52)</f>
        <v>52</v>
      </c>
      <c r="B60" s="18" t="str">
        <f>IF($P60="","",IFERROR(IF(INDEX(MASTER!$C$4:$C$1463,$P60)="","",INDEX(MASTER!$C$4:$C$1463,$P60)),""))</f>
        <v>LilithRoze</v>
      </c>
      <c r="C60" s="19" t="str">
        <f>IF($P60="","",IFERROR(IF(INDEX(MASTER!$D$4:$D$1463,$P60)="","",INDEX(MASTER!$D$4:$D$1463,$P60)),""))</f>
        <v/>
      </c>
      <c r="D60" s="19" t="str">
        <f>IF($P60="","",IFERROR(IF(INDEX(MASTER!$E$4:$E$1463,$P60)="","",INDEX(MASTER!$E$4:$E$1463,$P60)),""))</f>
        <v>BARBARIAN</v>
      </c>
      <c r="E60" s="19" t="str">
        <f>IF($P60="","",IFERROR(IF(INDEX(MASTER!$F$4:$F$1463,$P60)="","",INDEX(MASTER!$F$4:$F$1463,$P60)),""))</f>
        <v>Frontline</v>
      </c>
      <c r="F60" s="20">
        <f>IF($P60="","",IFERROR(IF(INDEX(MASTER!$G$4:$G$1463,$P60)="","",INDEX(MASTER!$G$4:$G$1463,$P60)),""))</f>
        <v>63127</v>
      </c>
      <c r="G60" s="19" t="str">
        <f>IF($P60="","",IFERROR(IF(INDEX(MASTER!$H$4:$H$1463,$P60)="","",INDEX(MASTER!$H$4:$H$1463,$P60)),""))</f>
        <v>63,000 - 63,999</v>
      </c>
      <c r="H60" s="20">
        <f>IF($P60="","",IFERROR(IF(INDEX(MASTER!$I$4:$I$1463,$P60)="","",INDEX(MASTER!$I$4:$I$1463,$P60)),""))</f>
        <v>4185</v>
      </c>
      <c r="I60" s="19" t="str">
        <f>IF($P60="","",IFERROR(IF(INDEX(MASTER!$J$4:$J$1463,$P60)="","",INDEX(MASTER!$J$4:$J$1463,$P60)),""))</f>
        <v>CORE</v>
      </c>
      <c r="J60" s="21">
        <f>IF($P60="","",IFERROR(IF(INDEX(MASTER!$L$4:$L$1463,$P60)="","",INDEX(MASTER!$L$4:$L$1463,$P60)),""))</f>
        <v>4.25</v>
      </c>
      <c r="K60" s="21">
        <f>IF($P60="","",IFERROR(IF(INDEX(MASTER!$N$4:$N$1463,$P60)="","",INDEX(MASTER!$N$4:$N$1463,$P60)),""))</f>
        <v>46.7</v>
      </c>
      <c r="L60" s="19" t="str">
        <f>IF($P60="","",IFERROR(IF(INDEX(MASTER!$O$4:$O$1463,$P60)="","",INDEX(MASTER!$O$4:$O$1463,$P60)),""))</f>
        <v>B</v>
      </c>
      <c r="M60" s="19">
        <f>IF($P60="","",IFERROR(IF(INDEX(MASTER!$Q$4:$Q$1463,$P60)="","",INDEX(MASTER!$Q$4:$Q$1463,$P60)),""))</f>
        <v>54</v>
      </c>
      <c r="N60" s="19" t="str">
        <f>IF($P60="","",IFERROR(IF(INDEX(MASTER!$S$4:$S$1463,$P60)="","",INDEX(MASTER!$S$4:$S$1463,$P60)),""))</f>
        <v>Complete</v>
      </c>
      <c r="P60">
        <f>IFERROR(MATCH($Q$1&amp;"@52",MASTER!$AC$4:$AC$1463,0),"")</f>
        <v>714</v>
      </c>
    </row>
    <row r="61" spans="1:16">
      <c r="A61" s="15">
        <f>IF($P61="","",53)</f>
        <v>53</v>
      </c>
      <c r="B61" s="14" t="str">
        <f>IF($P61="","",IFERROR(IF(INDEX(MASTER!$C$4:$C$1463,$P61)="","",INDEX(MASTER!$C$4:$C$1463,$P61)),""))</f>
        <v>Lithium</v>
      </c>
      <c r="C61" s="15" t="str">
        <f>IF($P61="","",IFERROR(IF(INDEX(MASTER!$D$4:$D$1463,$P61)="","",INDEX(MASTER!$D$4:$D$1463,$P61)),""))</f>
        <v/>
      </c>
      <c r="D61" s="15" t="str">
        <f>IF($P61="","",IFERROR(IF(INDEX(MASTER!$E$4:$E$1463,$P61)="","",INDEX(MASTER!$E$4:$E$1463,$P61)),""))</f>
        <v>TEMPEST</v>
      </c>
      <c r="E61" s="15" t="str">
        <f>IF($P61="","",IFERROR(IF(INDEX(MASTER!$F$4:$F$1463,$P61)="","",INDEX(MASTER!$F$4:$F$1463,$P61)),""))</f>
        <v>Melee DPS</v>
      </c>
      <c r="F61" s="16">
        <f>IF($P61="","",IFERROR(IF(INDEX(MASTER!$G$4:$G$1463,$P61)="","",INDEX(MASTER!$G$4:$G$1463,$P61)),""))</f>
        <v>62201</v>
      </c>
      <c r="G61" s="15" t="str">
        <f>IF($P61="","",IFERROR(IF(INDEX(MASTER!$H$4:$H$1463,$P61)="","",INDEX(MASTER!$H$4:$H$1463,$P61)),""))</f>
        <v>62,000 - 62,999</v>
      </c>
      <c r="H61" s="16">
        <f>IF($P61="","",IFERROR(IF(INDEX(MASTER!$I$4:$I$1463,$P61)="","",INDEX(MASTER!$I$4:$I$1463,$P61)),""))</f>
        <v>3498</v>
      </c>
      <c r="I61" s="15" t="str">
        <f>IF($P61="","",IFERROR(IF(INDEX(MASTER!$J$4:$J$1463,$P61)="","",INDEX(MASTER!$J$4:$J$1463,$P61)),""))</f>
        <v>DEVELOPING</v>
      </c>
      <c r="J61" s="17">
        <f>IF($P61="","",IFERROR(IF(INDEX(MASTER!$L$4:$L$1463,$P61)="","",INDEX(MASTER!$L$4:$L$1463,$P61)),""))</f>
        <v>4.91</v>
      </c>
      <c r="K61" s="17">
        <f>IF($P61="","",IFERROR(IF(INDEX(MASTER!$N$4:$N$1463,$P61)="","",INDEX(MASTER!$N$4:$N$1463,$P61)),""))</f>
        <v>42.4</v>
      </c>
      <c r="L61" s="15" t="str">
        <f>IF($P61="","",IFERROR(IF(INDEX(MASTER!$O$4:$O$1463,$P61)="","",INDEX(MASTER!$O$4:$O$1463,$P61)),""))</f>
        <v>B</v>
      </c>
      <c r="M61" s="15">
        <f>IF($P61="","",IFERROR(IF(INDEX(MASTER!$Q$4:$Q$1463,$P61)="","",INDEX(MASTER!$Q$4:$Q$1463,$P61)),""))</f>
        <v>74</v>
      </c>
      <c r="N61" s="15" t="str">
        <f>IF($P61="","",IFERROR(IF(INDEX(MASTER!$S$4:$S$1463,$P61)="","",INDEX(MASTER!$S$4:$S$1463,$P61)),""))</f>
        <v>Complete</v>
      </c>
      <c r="P61">
        <f>IFERROR(MATCH($Q$1&amp;"@53",MASTER!$AC$4:$AC$1463,0),"")</f>
        <v>722</v>
      </c>
    </row>
    <row r="62" spans="1:16">
      <c r="A62" s="19">
        <f>IF($P62="","",54)</f>
        <v>54</v>
      </c>
      <c r="B62" s="18" t="str">
        <f>IF($P62="","",IFERROR(IF(INDEX(MASTER!$C$4:$C$1463,$P62)="","",INDEX(MASTER!$C$4:$C$1463,$P62)),""))</f>
        <v>Loss Prevention(kace)</v>
      </c>
      <c r="C62" s="19" t="str">
        <f>IF($P62="","",IFERROR(IF(INDEX(MASTER!$D$4:$D$1463,$P62)="","",INDEX(MASTER!$D$4:$D$1463,$P62)),""))</f>
        <v>XX</v>
      </c>
      <c r="D62" s="19" t="str">
        <f>IF($P62="","",IFERROR(IF(INDEX(MASTER!$E$4:$E$1463,$P62)="","",INDEX(MASTER!$E$4:$E$1463,$P62)),""))</f>
        <v>DRUID</v>
      </c>
      <c r="E62" s="19" t="str">
        <f>IF($P62="","",IFERROR(IF(INDEX(MASTER!$F$4:$F$1463,$P62)="","",INDEX(MASTER!$F$4:$F$1463,$P62)),""))</f>
        <v>Support</v>
      </c>
      <c r="F62" s="20">
        <f>IF($P62="","",IFERROR(IF(INDEX(MASTER!$G$4:$G$1463,$P62)="","",INDEX(MASTER!$G$4:$G$1463,$P62)),""))</f>
        <v>63518</v>
      </c>
      <c r="G62" s="19" t="str">
        <f>IF($P62="","",IFERROR(IF(INDEX(MASTER!$H$4:$H$1463,$P62)="","",INDEX(MASTER!$H$4:$H$1463,$P62)),""))</f>
        <v>63,000 - 63,999</v>
      </c>
      <c r="H62" s="20">
        <f>IF($P62="","",IFERROR(IF(INDEX(MASTER!$I$4:$I$1463,$P62)="","",INDEX(MASTER!$I$4:$I$1463,$P62)),""))</f>
        <v>7364</v>
      </c>
      <c r="I62" s="19" t="str">
        <f>IF($P62="","",IFERROR(IF(INDEX(MASTER!$J$4:$J$1463,$P62)="","",INDEX(MASTER!$J$4:$J$1463,$P62)),""))</f>
        <v>VETERAN</v>
      </c>
      <c r="J62" s="21">
        <f>IF($P62="","",IFERROR(IF(INDEX(MASTER!$L$4:$L$1463,$P62)="","",INDEX(MASTER!$L$4:$L$1463,$P62)),""))</f>
        <v>6.52</v>
      </c>
      <c r="K62" s="21">
        <f>IF($P62="","",IFERROR(IF(INDEX(MASTER!$N$4:$N$1463,$P62)="","",INDEX(MASTER!$N$4:$N$1463,$P62)),""))</f>
        <v>65.400000000000006</v>
      </c>
      <c r="L62" s="19" t="str">
        <f>IF($P62="","",IFERROR(IF(INDEX(MASTER!$O$4:$O$1463,$P62)="","",INDEX(MASTER!$O$4:$O$1463,$P62)),""))</f>
        <v>S</v>
      </c>
      <c r="M62" s="19">
        <f>IF($P62="","",IFERROR(IF(INDEX(MASTER!$Q$4:$Q$1463,$P62)="","",INDEX(MASTER!$Q$4:$Q$1463,$P62)),""))</f>
        <v>20</v>
      </c>
      <c r="N62" s="19" t="str">
        <f>IF($P62="","",IFERROR(IF(INDEX(MASTER!$S$4:$S$1463,$P62)="","",INDEX(MASTER!$S$4:$S$1463,$P62)),""))</f>
        <v>Complete</v>
      </c>
      <c r="P62">
        <f>IFERROR(MATCH($Q$1&amp;"@54",MASTER!$AC$4:$AC$1463,0),"")</f>
        <v>733</v>
      </c>
    </row>
    <row r="63" spans="1:16">
      <c r="A63" s="15">
        <f>IF($P63="","",55)</f>
        <v>55</v>
      </c>
      <c r="B63" s="14" t="str">
        <f>IF($P63="","",IFERROR(IF(INDEX(MASTER!$C$4:$C$1463,$P63)="","",INDEX(MASTER!$C$4:$C$1463,$P63)),""))</f>
        <v>MaddGod</v>
      </c>
      <c r="C63" s="15" t="str">
        <f>IF($P63="","",IFERROR(IF(INDEX(MASTER!$D$4:$D$1463,$P63)="","",INDEX(MASTER!$D$4:$D$1463,$P63)),""))</f>
        <v/>
      </c>
      <c r="D63" s="15" t="str">
        <f>IF($P63="","",IFERROR(IF(INDEX(MASTER!$E$4:$E$1463,$P63)="","",INDEX(MASTER!$E$4:$E$1463,$P63)),""))</f>
        <v>BARBARIAN</v>
      </c>
      <c r="E63" s="15" t="str">
        <f>IF($P63="","",IFERROR(IF(INDEX(MASTER!$F$4:$F$1463,$P63)="","",INDEX(MASTER!$F$4:$F$1463,$P63)),""))</f>
        <v>Frontline</v>
      </c>
      <c r="F63" s="16">
        <f>IF($P63="","",IFERROR(IF(INDEX(MASTER!$G$4:$G$1463,$P63)="","",INDEX(MASTER!$G$4:$G$1463,$P63)),""))</f>
        <v>62694</v>
      </c>
      <c r="G63" s="15" t="str">
        <f>IF($P63="","",IFERROR(IF(INDEX(MASTER!$H$4:$H$1463,$P63)="","",INDEX(MASTER!$H$4:$H$1463,$P63)),""))</f>
        <v>62,000 - 62,999</v>
      </c>
      <c r="H63" s="16">
        <f>IF($P63="","",IFERROR(IF(INDEX(MASTER!$I$4:$I$1463,$P63)="","",INDEX(MASTER!$I$4:$I$1463,$P63)),""))</f>
        <v>3268</v>
      </c>
      <c r="I63" s="15" t="str">
        <f>IF($P63="","",IFERROR(IF(INDEX(MASTER!$J$4:$J$1463,$P63)="","",INDEX(MASTER!$J$4:$J$1463,$P63)),""))</f>
        <v>DEVELOPING</v>
      </c>
      <c r="J63" s="17">
        <f>IF($P63="","",IFERROR(IF(INDEX(MASTER!$L$4:$L$1463,$P63)="","",INDEX(MASTER!$L$4:$L$1463,$P63)),""))</f>
        <v>4.07</v>
      </c>
      <c r="K63" s="17">
        <f>IF($P63="","",IFERROR(IF(INDEX(MASTER!$N$4:$N$1463,$P63)="","",INDEX(MASTER!$N$4:$N$1463,$P63)),""))</f>
        <v>41.3</v>
      </c>
      <c r="L63" s="15" t="str">
        <f>IF($P63="","",IFERROR(IF(INDEX(MASTER!$O$4:$O$1463,$P63)="","",INDEX(MASTER!$O$4:$O$1463,$P63)),""))</f>
        <v>B</v>
      </c>
      <c r="M63" s="15">
        <f>IF($P63="","",IFERROR(IF(INDEX(MASTER!$Q$4:$Q$1463,$P63)="","",INDEX(MASTER!$Q$4:$Q$1463,$P63)),""))</f>
        <v>80</v>
      </c>
      <c r="N63" s="15" t="str">
        <f>IF($P63="","",IFERROR(IF(INDEX(MASTER!$S$4:$S$1463,$P63)="","",INDEX(MASTER!$S$4:$S$1463,$P63)),""))</f>
        <v>Complete</v>
      </c>
      <c r="P63">
        <f>IFERROR(MATCH($Q$1&amp;"@55",MASTER!$AC$4:$AC$1463,0),"")</f>
        <v>746</v>
      </c>
    </row>
    <row r="64" spans="1:16">
      <c r="A64" s="19">
        <f>IF($P64="","",56)</f>
        <v>56</v>
      </c>
      <c r="B64" s="18" t="str">
        <f>IF($P64="","",IFERROR(IF(INDEX(MASTER!$C$4:$C$1463,$P64)="","",INDEX(MASTER!$C$4:$C$1463,$P64)),""))</f>
        <v>MaknDav</v>
      </c>
      <c r="C64" s="19" t="str">
        <f>IF($P64="","",IFERROR(IF(INDEX(MASTER!$D$4:$D$1463,$P64)="","",INDEX(MASTER!$D$4:$D$1463,$P64)),""))</f>
        <v/>
      </c>
      <c r="D64" s="19" t="str">
        <f>IF($P64="","",IFERROR(IF(INDEX(MASTER!$E$4:$E$1463,$P64)="","",INDEX(MASTER!$E$4:$E$1463,$P64)),""))</f>
        <v>WARLOCK</v>
      </c>
      <c r="E64" s="19" t="str">
        <f>IF($P64="","",IFERROR(IF(INDEX(MASTER!$F$4:$F$1463,$P64)="","",INDEX(MASTER!$F$4:$F$1463,$P64)),""))</f>
        <v>Control</v>
      </c>
      <c r="F64" s="20">
        <f>IF($P64="","",IFERROR(IF(INDEX(MASTER!$G$4:$G$1463,$P64)="","",INDEX(MASTER!$G$4:$G$1463,$P64)),""))</f>
        <v>62515</v>
      </c>
      <c r="G64" s="19" t="str">
        <f>IF($P64="","",IFERROR(IF(INDEX(MASTER!$H$4:$H$1463,$P64)="","",INDEX(MASTER!$H$4:$H$1463,$P64)),""))</f>
        <v>62,000 - 62,999</v>
      </c>
      <c r="H64" s="20">
        <f>IF($P64="","",IFERROR(IF(INDEX(MASTER!$I$4:$I$1463,$P64)="","",INDEX(MASTER!$I$4:$I$1463,$P64)),""))</f>
        <v>2830</v>
      </c>
      <c r="I64" s="19" t="str">
        <f>IF($P64="","",IFERROR(IF(INDEX(MASTER!$J$4:$J$1463,$P64)="","",INDEX(MASTER!$J$4:$J$1463,$P64)),""))</f>
        <v>DEVELOPING</v>
      </c>
      <c r="J64" s="21">
        <f>IF($P64="","",IFERROR(IF(INDEX(MASTER!$L$4:$L$1463,$P64)="","",INDEX(MASTER!$L$4:$L$1463,$P64)),""))</f>
        <v>4.3899999999999997</v>
      </c>
      <c r="K64" s="21">
        <f>IF($P64="","",IFERROR(IF(INDEX(MASTER!$N$4:$N$1463,$P64)="","",INDEX(MASTER!$N$4:$N$1463,$P64)),""))</f>
        <v>39.4</v>
      </c>
      <c r="L64" s="19" t="str">
        <f>IF($P64="","",IFERROR(IF(INDEX(MASTER!$O$4:$O$1463,$P64)="","",INDEX(MASTER!$O$4:$O$1463,$P64)),""))</f>
        <v>B</v>
      </c>
      <c r="M64" s="19">
        <f>IF($P64="","",IFERROR(IF(INDEX(MASTER!$Q$4:$Q$1463,$P64)="","",INDEX(MASTER!$Q$4:$Q$1463,$P64)),""))</f>
        <v>95</v>
      </c>
      <c r="N64" s="19" t="str">
        <f>IF($P64="","",IFERROR(IF(INDEX(MASTER!$S$4:$S$1463,$P64)="","",INDEX(MASTER!$S$4:$S$1463,$P64)),""))</f>
        <v>Complete</v>
      </c>
      <c r="P64">
        <f>IFERROR(MATCH($Q$1&amp;"@56",MASTER!$AC$4:$AC$1463,0),"")</f>
        <v>758</v>
      </c>
    </row>
    <row r="65" spans="1:16">
      <c r="A65" s="15">
        <f>IF($P65="","",57)</f>
        <v>57</v>
      </c>
      <c r="B65" s="14" t="str">
        <f>IF($P65="","",IFERROR(IF(INDEX(MASTER!$C$4:$C$1463,$P65)="","",INDEX(MASTER!$C$4:$C$1463,$P65)),""))</f>
        <v>MarnieMayhem</v>
      </c>
      <c r="C65" s="15" t="str">
        <f>IF($P65="","",IFERROR(IF(INDEX(MASTER!$D$4:$D$1463,$P65)="","",INDEX(MASTER!$D$4:$D$1463,$P65)),""))</f>
        <v/>
      </c>
      <c r="D65" s="15" t="str">
        <f>IF($P65="","",IFERROR(IF(INDEX(MASTER!$E$4:$E$1463,$P65)="","",INDEX(MASTER!$E$4:$E$1463,$P65)),""))</f>
        <v>MONK</v>
      </c>
      <c r="E65" s="15" t="str">
        <f>IF($P65="","",IFERROR(IF(INDEX(MASTER!$F$4:$F$1463,$P65)="","",INDEX(MASTER!$F$4:$F$1463,$P65)),""))</f>
        <v>Support</v>
      </c>
      <c r="F65" s="16">
        <f>IF($P65="","",IFERROR(IF(INDEX(MASTER!$G$4:$G$1463,$P65)="","",INDEX(MASTER!$G$4:$G$1463,$P65)),""))</f>
        <v>62911</v>
      </c>
      <c r="G65" s="15" t="str">
        <f>IF($P65="","",IFERROR(IF(INDEX(MASTER!$H$4:$H$1463,$P65)="","",INDEX(MASTER!$H$4:$H$1463,$P65)),""))</f>
        <v>62,000 - 62,999</v>
      </c>
      <c r="H65" s="16">
        <f>IF($P65="","",IFERROR(IF(INDEX(MASTER!$I$4:$I$1463,$P65)="","",INDEX(MASTER!$I$4:$I$1463,$P65)),""))</f>
        <v>3206</v>
      </c>
      <c r="I65" s="15" t="str">
        <f>IF($P65="","",IFERROR(IF(INDEX(MASTER!$J$4:$J$1463,$P65)="","",INDEX(MASTER!$J$4:$J$1463,$P65)),""))</f>
        <v>DEVELOPING</v>
      </c>
      <c r="J65" s="17">
        <f>IF($P65="","",IFERROR(IF(INDEX(MASTER!$L$4:$L$1463,$P65)="","",INDEX(MASTER!$L$4:$L$1463,$P65)),""))</f>
        <v>4.16</v>
      </c>
      <c r="K65" s="17">
        <f>IF($P65="","",IFERROR(IF(INDEX(MASTER!$N$4:$N$1463,$P65)="","",INDEX(MASTER!$N$4:$N$1463,$P65)),""))</f>
        <v>41.7</v>
      </c>
      <c r="L65" s="15" t="str">
        <f>IF($P65="","",IFERROR(IF(INDEX(MASTER!$O$4:$O$1463,$P65)="","",INDEX(MASTER!$O$4:$O$1463,$P65)),""))</f>
        <v>B</v>
      </c>
      <c r="M65" s="15">
        <f>IF($P65="","",IFERROR(IF(INDEX(MASTER!$Q$4:$Q$1463,$P65)="","",INDEX(MASTER!$Q$4:$Q$1463,$P65)),""))</f>
        <v>85</v>
      </c>
      <c r="N65" s="15" t="str">
        <f>IF($P65="","",IFERROR(IF(INDEX(MASTER!$S$4:$S$1463,$P65)="","",INDEX(MASTER!$S$4:$S$1463,$P65)),""))</f>
        <v>Complete</v>
      </c>
      <c r="P65">
        <f>IFERROR(MATCH($Q$1&amp;"@57",MASTER!$AC$4:$AC$1463,0),"")</f>
        <v>772</v>
      </c>
    </row>
    <row r="66" spans="1:16">
      <c r="A66" s="19">
        <f>IF($P66="","",58)</f>
        <v>58</v>
      </c>
      <c r="B66" s="18" t="str">
        <f>IF($P66="","",IFERROR(IF(INDEX(MASTER!$C$4:$C$1463,$P66)="","",INDEX(MASTER!$C$4:$C$1463,$P66)),""))</f>
        <v>meeplet</v>
      </c>
      <c r="C66" s="19" t="str">
        <f>IF($P66="","",IFERROR(IF(INDEX(MASTER!$D$4:$D$1463,$P66)="","",INDEX(MASTER!$D$4:$D$1463,$P66)),""))</f>
        <v/>
      </c>
      <c r="D66" s="19" t="str">
        <f>IF($P66="","",IFERROR(IF(INDEX(MASTER!$E$4:$E$1463,$P66)="","",INDEX(MASTER!$E$4:$E$1463,$P66)),""))</f>
        <v>WARLOCK</v>
      </c>
      <c r="E66" s="19" t="str">
        <f>IF($P66="","",IFERROR(IF(INDEX(MASTER!$F$4:$F$1463,$P66)="","",INDEX(MASTER!$F$4:$F$1463,$P66)),""))</f>
        <v>Control</v>
      </c>
      <c r="F66" s="20">
        <f>IF($P66="","",IFERROR(IF(INDEX(MASTER!$G$4:$G$1463,$P66)="","",INDEX(MASTER!$G$4:$G$1463,$P66)),""))</f>
        <v>63089</v>
      </c>
      <c r="G66" s="19" t="str">
        <f>IF($P66="","",IFERROR(IF(INDEX(MASTER!$H$4:$H$1463,$P66)="","",INDEX(MASTER!$H$4:$H$1463,$P66)),""))</f>
        <v>63,000 - 63,999</v>
      </c>
      <c r="H66" s="20">
        <f>IF($P66="","",IFERROR(IF(INDEX(MASTER!$I$4:$I$1463,$P66)="","",INDEX(MASTER!$I$4:$I$1463,$P66)),""))</f>
        <v>3776</v>
      </c>
      <c r="I66" s="19" t="str">
        <f>IF($P66="","",IFERROR(IF(INDEX(MASTER!$J$4:$J$1463,$P66)="","",INDEX(MASTER!$J$4:$J$1463,$P66)),""))</f>
        <v>DEVELOPING</v>
      </c>
      <c r="J66" s="21">
        <f>IF($P66="","",IFERROR(IF(INDEX(MASTER!$L$4:$L$1463,$P66)="","",INDEX(MASTER!$L$4:$L$1463,$P66)),""))</f>
        <v>4.03</v>
      </c>
      <c r="K66" s="21">
        <f>IF($P66="","",IFERROR(IF(INDEX(MASTER!$N$4:$N$1463,$P66)="","",INDEX(MASTER!$N$4:$N$1463,$P66)),""))</f>
        <v>44.5</v>
      </c>
      <c r="L66" s="19" t="str">
        <f>IF($P66="","",IFERROR(IF(INDEX(MASTER!$O$4:$O$1463,$P66)="","",INDEX(MASTER!$O$4:$O$1463,$P66)),""))</f>
        <v>B</v>
      </c>
      <c r="M66" s="19">
        <f>IF($P66="","",IFERROR(IF(INDEX(MASTER!$Q$4:$Q$1463,$P66)="","",INDEX(MASTER!$Q$4:$Q$1463,$P66)),""))</f>
        <v>67</v>
      </c>
      <c r="N66" s="19" t="str">
        <f>IF($P66="","",IFERROR(IF(INDEX(MASTER!$S$4:$S$1463,$P66)="","",INDEX(MASTER!$S$4:$S$1463,$P66)),""))</f>
        <v>Complete</v>
      </c>
      <c r="P66">
        <f>IFERROR(MATCH($Q$1&amp;"@58",MASTER!$AC$4:$AC$1463,0),"")</f>
        <v>776</v>
      </c>
    </row>
    <row r="67" spans="1:16">
      <c r="A67" s="15">
        <f>IF($P67="","",59)</f>
        <v>59</v>
      </c>
      <c r="B67" s="14" t="str">
        <f>IF($P67="","",IFERROR(IF(INDEX(MASTER!$C$4:$C$1463,$P67)="","",INDEX(MASTER!$C$4:$C$1463,$P67)),""))</f>
        <v>methodwolf</v>
      </c>
      <c r="C67" s="15" t="str">
        <f>IF($P67="","",IFERROR(IF(INDEX(MASTER!$D$4:$D$1463,$P67)="","",INDEX(MASTER!$D$4:$D$1463,$P67)),""))</f>
        <v/>
      </c>
      <c r="D67" s="15" t="str">
        <f>IF($P67="","",IFERROR(IF(INDEX(MASTER!$E$4:$E$1463,$P67)="","",INDEX(MASTER!$E$4:$E$1463,$P67)),""))</f>
        <v>DEMON HUNTER</v>
      </c>
      <c r="E67" s="15" t="str">
        <f>IF($P67="","",IFERROR(IF(INDEX(MASTER!$F$4:$F$1463,$P67)="","",INDEX(MASTER!$F$4:$F$1463,$P67)),""))</f>
        <v>Ranged DPS</v>
      </c>
      <c r="F67" s="16">
        <f>IF($P67="","",IFERROR(IF(INDEX(MASTER!$G$4:$G$1463,$P67)="","",INDEX(MASTER!$G$4:$G$1463,$P67)),""))</f>
        <v>62538</v>
      </c>
      <c r="G67" s="15" t="str">
        <f>IF($P67="","",IFERROR(IF(INDEX(MASTER!$H$4:$H$1463,$P67)="","",INDEX(MASTER!$H$4:$H$1463,$P67)),""))</f>
        <v>62,000 - 62,999</v>
      </c>
      <c r="H67" s="16">
        <f>IF($P67="","",IFERROR(IF(INDEX(MASTER!$I$4:$I$1463,$P67)="","",INDEX(MASTER!$I$4:$I$1463,$P67)),""))</f>
        <v>4987</v>
      </c>
      <c r="I67" s="15" t="str">
        <f>IF($P67="","",IFERROR(IF(INDEX(MASTER!$J$4:$J$1463,$P67)="","",INDEX(MASTER!$J$4:$J$1463,$P67)),""))</f>
        <v>CORE</v>
      </c>
      <c r="J67" s="17">
        <f>IF($P67="","",IFERROR(IF(INDEX(MASTER!$L$4:$L$1463,$P67)="","",INDEX(MASTER!$L$4:$L$1463,$P67)),""))</f>
        <v>4.5</v>
      </c>
      <c r="K67" s="17">
        <f>IF($P67="","",IFERROR(IF(INDEX(MASTER!$N$4:$N$1463,$P67)="","",INDEX(MASTER!$N$4:$N$1463,$P67)),""))</f>
        <v>49.1</v>
      </c>
      <c r="L67" s="15" t="str">
        <f>IF($P67="","",IFERROR(IF(INDEX(MASTER!$O$4:$O$1463,$P67)="","",INDEX(MASTER!$O$4:$O$1463,$P67)),""))</f>
        <v>B</v>
      </c>
      <c r="M67" s="15">
        <f>IF($P67="","",IFERROR(IF(INDEX(MASTER!$Q$4:$Q$1463,$P67)="","",INDEX(MASTER!$Q$4:$Q$1463,$P67)),""))</f>
        <v>42</v>
      </c>
      <c r="N67" s="15" t="str">
        <f>IF($P67="","",IFERROR(IF(INDEX(MASTER!$S$4:$S$1463,$P67)="","",INDEX(MASTER!$S$4:$S$1463,$P67)),""))</f>
        <v>Complete</v>
      </c>
      <c r="P67">
        <f>IFERROR(MATCH($Q$1&amp;"@59",MASTER!$AC$4:$AC$1463,0),"")</f>
        <v>780</v>
      </c>
    </row>
    <row r="68" spans="1:16">
      <c r="A68" s="19">
        <f>IF($P68="","",60)</f>
        <v>60</v>
      </c>
      <c r="B68" s="18" t="str">
        <f>IF($P68="","",IFERROR(IF(INDEX(MASTER!$C$4:$C$1463,$P68)="","",INDEX(MASTER!$C$4:$C$1463,$P68)),""))</f>
        <v>MidnightPheonix</v>
      </c>
      <c r="C68" s="19" t="str">
        <f>IF($P68="","",IFERROR(IF(INDEX(MASTER!$D$4:$D$1463,$P68)="","",INDEX(MASTER!$D$4:$D$1463,$P68)),""))</f>
        <v/>
      </c>
      <c r="D68" s="19" t="str">
        <f>IF($P68="","",IFERROR(IF(INDEX(MASTER!$E$4:$E$1463,$P68)="","",INDEX(MASTER!$E$4:$E$1463,$P68)),""))</f>
        <v>WIZARD</v>
      </c>
      <c r="E68" s="19" t="str">
        <f>IF($P68="","",IFERROR(IF(INDEX(MASTER!$F$4:$F$1463,$P68)="","",INDEX(MASTER!$F$4:$F$1463,$P68)),""))</f>
        <v>Ranged DPS</v>
      </c>
      <c r="F68" s="20">
        <f>IF($P68="","",IFERROR(IF(INDEX(MASTER!$G$4:$G$1463,$P68)="","",INDEX(MASTER!$G$4:$G$1463,$P68)),""))</f>
        <v>63126</v>
      </c>
      <c r="G68" s="19" t="str">
        <f>IF($P68="","",IFERROR(IF(INDEX(MASTER!$H$4:$H$1463,$P68)="","",INDEX(MASTER!$H$4:$H$1463,$P68)),""))</f>
        <v>63,000 - 63,999</v>
      </c>
      <c r="H68" s="20">
        <f>IF($P68="","",IFERROR(IF(INDEX(MASTER!$I$4:$I$1463,$P68)="","",INDEX(MASTER!$I$4:$I$1463,$P68)),""))</f>
        <v>2922</v>
      </c>
      <c r="I68" s="19" t="str">
        <f>IF($P68="","",IFERROR(IF(INDEX(MASTER!$J$4:$J$1463,$P68)="","",INDEX(MASTER!$J$4:$J$1463,$P68)),""))</f>
        <v>DEVELOPING</v>
      </c>
      <c r="J68" s="21">
        <f>IF($P68="","",IFERROR(IF(INDEX(MASTER!$L$4:$L$1463,$P68)="","",INDEX(MASTER!$L$4:$L$1463,$P68)),""))</f>
        <v>3.77</v>
      </c>
      <c r="K68" s="21">
        <f>IF($P68="","",IFERROR(IF(INDEX(MASTER!$N$4:$N$1463,$P68)="","",INDEX(MASTER!$N$4:$N$1463,$P68)),""))</f>
        <v>40.4</v>
      </c>
      <c r="L68" s="19" t="str">
        <f>IF($P68="","",IFERROR(IF(INDEX(MASTER!$O$4:$O$1463,$P68)="","",INDEX(MASTER!$O$4:$O$1463,$P68)),""))</f>
        <v>B</v>
      </c>
      <c r="M68" s="19">
        <f>IF($P68="","",IFERROR(IF(INDEX(MASTER!$Q$4:$Q$1463,$P68)="","",INDEX(MASTER!$Q$4:$Q$1463,$P68)),""))</f>
        <v>94</v>
      </c>
      <c r="N68" s="19" t="str">
        <f>IF($P68="","",IFERROR(IF(INDEX(MASTER!$S$4:$S$1463,$P68)="","",INDEX(MASTER!$S$4:$S$1463,$P68)),""))</f>
        <v>Complete</v>
      </c>
      <c r="P68">
        <f>IFERROR(MATCH($Q$1&amp;"@60",MASTER!$AC$4:$AC$1463,0),"")</f>
        <v>804</v>
      </c>
    </row>
    <row r="69" spans="1:16">
      <c r="A69" s="15">
        <f>IF($P69="","",61)</f>
        <v>61</v>
      </c>
      <c r="B69" s="14" t="str">
        <f>IF($P69="","",IFERROR(IF(INDEX(MASTER!$C$4:$C$1463,$P69)="","",INDEX(MASTER!$C$4:$C$1463,$P69)),""))</f>
        <v>MissSpieler</v>
      </c>
      <c r="C69" s="15" t="str">
        <f>IF($P69="","",IFERROR(IF(INDEX(MASTER!$D$4:$D$1463,$P69)="","",INDEX(MASTER!$D$4:$D$1463,$P69)),""))</f>
        <v/>
      </c>
      <c r="D69" s="15" t="str">
        <f>IF($P69="","",IFERROR(IF(INDEX(MASTER!$E$4:$E$1463,$P69)="","",INDEX(MASTER!$E$4:$E$1463,$P69)),""))</f>
        <v>BLOOD KNIGHT</v>
      </c>
      <c r="E69" s="15" t="str">
        <f>IF($P69="","",IFERROR(IF(INDEX(MASTER!$F$4:$F$1463,$P69)="","",INDEX(MASTER!$F$4:$F$1463,$P69)),""))</f>
        <v>Frontline</v>
      </c>
      <c r="F69" s="16">
        <f>IF($P69="","",IFERROR(IF(INDEX(MASTER!$G$4:$G$1463,$P69)="","",INDEX(MASTER!$G$4:$G$1463,$P69)),""))</f>
        <v>62240</v>
      </c>
      <c r="G69" s="15" t="str">
        <f>IF($P69="","",IFERROR(IF(INDEX(MASTER!$H$4:$H$1463,$P69)="","",INDEX(MASTER!$H$4:$H$1463,$P69)),""))</f>
        <v>62,000 - 62,999</v>
      </c>
      <c r="H69" s="16">
        <f>IF($P69="","",IFERROR(IF(INDEX(MASTER!$I$4:$I$1463,$P69)="","",INDEX(MASTER!$I$4:$I$1463,$P69)),""))</f>
        <v>4098</v>
      </c>
      <c r="I69" s="15" t="str">
        <f>IF($P69="","",IFERROR(IF(INDEX(MASTER!$J$4:$J$1463,$P69)="","",INDEX(MASTER!$J$4:$J$1463,$P69)),""))</f>
        <v>CORE</v>
      </c>
      <c r="J69" s="17">
        <f>IF($P69="","",IFERROR(IF(INDEX(MASTER!$L$4:$L$1463,$P69)="","",INDEX(MASTER!$L$4:$L$1463,$P69)),""))</f>
        <v>5.56</v>
      </c>
      <c r="K69" s="17">
        <f>IF($P69="","",IFERROR(IF(INDEX(MASTER!$N$4:$N$1463,$P69)="","",INDEX(MASTER!$N$4:$N$1463,$P69)),""))</f>
        <v>46.2</v>
      </c>
      <c r="L69" s="15" t="str">
        <f>IF($P69="","",IFERROR(IF(INDEX(MASTER!$O$4:$O$1463,$P69)="","",INDEX(MASTER!$O$4:$O$1463,$P69)),""))</f>
        <v>B</v>
      </c>
      <c r="M69" s="15">
        <f>IF($P69="","",IFERROR(IF(INDEX(MASTER!$Q$4:$Q$1463,$P69)="","",INDEX(MASTER!$Q$4:$Q$1463,$P69)),""))</f>
        <v>57</v>
      </c>
      <c r="N69" s="15" t="str">
        <f>IF($P69="","",IFERROR(IF(INDEX(MASTER!$S$4:$S$1463,$P69)="","",INDEX(MASTER!$S$4:$S$1463,$P69)),""))</f>
        <v>Complete</v>
      </c>
      <c r="P69">
        <f>IFERROR(MATCH($Q$1&amp;"@61",MASTER!$AC$4:$AC$1463,0),"")</f>
        <v>806</v>
      </c>
    </row>
    <row r="70" spans="1:16">
      <c r="A70" s="19">
        <f>IF($P70="","",62)</f>
        <v>62</v>
      </c>
      <c r="B70" s="18" t="str">
        <f>IF($P70="","",IFERROR(IF(INDEX(MASTER!$C$4:$C$1463,$P70)="","",INDEX(MASTER!$C$4:$C$1463,$P70)),""))</f>
        <v>Mntnmn</v>
      </c>
      <c r="C70" s="19" t="str">
        <f>IF($P70="","",IFERROR(IF(INDEX(MASTER!$D$4:$D$1463,$P70)="","",INDEX(MASTER!$D$4:$D$1463,$P70)),""))</f>
        <v>XX</v>
      </c>
      <c r="D70" s="19" t="str">
        <f>IF($P70="","",IFERROR(IF(INDEX(MASTER!$E$4:$E$1463,$P70)="","",INDEX(MASTER!$E$4:$E$1463,$P70)),""))</f>
        <v>DEMON HUNTER</v>
      </c>
      <c r="E70" s="19" t="str">
        <f>IF($P70="","",IFERROR(IF(INDEX(MASTER!$F$4:$F$1463,$P70)="","",INDEX(MASTER!$F$4:$F$1463,$P70)),""))</f>
        <v>Ranged DPS</v>
      </c>
      <c r="F70" s="20">
        <f>IF($P70="","",IFERROR(IF(INDEX(MASTER!$G$4:$G$1463,$P70)="","",INDEX(MASTER!$G$4:$G$1463,$P70)),""))</f>
        <v>63864</v>
      </c>
      <c r="G70" s="19" t="str">
        <f>IF($P70="","",IFERROR(IF(INDEX(MASTER!$H$4:$H$1463,$P70)="","",INDEX(MASTER!$H$4:$H$1463,$P70)),""))</f>
        <v>63,000 - 63,999</v>
      </c>
      <c r="H70" s="20">
        <f>IF($P70="","",IFERROR(IF(INDEX(MASTER!$I$4:$I$1463,$P70)="","",INDEX(MASTER!$I$4:$I$1463,$P70)),""))</f>
        <v>8011</v>
      </c>
      <c r="I70" s="19" t="str">
        <f>IF($P70="","",IFERROR(IF(INDEX(MASTER!$J$4:$J$1463,$P70)="","",INDEX(MASTER!$J$4:$J$1463,$P70)),""))</f>
        <v>ELITE</v>
      </c>
      <c r="J70" s="21">
        <f>IF($P70="","",IFERROR(IF(INDEX(MASTER!$L$4:$L$1463,$P70)="","",INDEX(MASTER!$L$4:$L$1463,$P70)),""))</f>
        <v>5.6</v>
      </c>
      <c r="K70" s="21">
        <f>IF($P70="","",IFERROR(IF(INDEX(MASTER!$N$4:$N$1463,$P70)="","",INDEX(MASTER!$N$4:$N$1463,$P70)),""))</f>
        <v>67.599999999999994</v>
      </c>
      <c r="L70" s="19" t="str">
        <f>IF($P70="","",IFERROR(IF(INDEX(MASTER!$O$4:$O$1463,$P70)="","",INDEX(MASTER!$O$4:$O$1463,$P70)),""))</f>
        <v>S</v>
      </c>
      <c r="M70" s="19">
        <f>IF($P70="","",IFERROR(IF(INDEX(MASTER!$Q$4:$Q$1463,$P70)="","",INDEX(MASTER!$Q$4:$Q$1463,$P70)),""))</f>
        <v>14</v>
      </c>
      <c r="N70" s="19" t="str">
        <f>IF($P70="","",IFERROR(IF(INDEX(MASTER!$S$4:$S$1463,$P70)="","",INDEX(MASTER!$S$4:$S$1463,$P70)),""))</f>
        <v>Complete</v>
      </c>
      <c r="P70">
        <f>IFERROR(MATCH($Q$1&amp;"@62",MASTER!$AC$4:$AC$1463,0),"")</f>
        <v>842</v>
      </c>
    </row>
    <row r="71" spans="1:16">
      <c r="A71" s="15">
        <f>IF($P71="","",63)</f>
        <v>63</v>
      </c>
      <c r="B71" s="14" t="str">
        <f>IF($P71="","",IFERROR(IF(INDEX(MASTER!$C$4:$C$1463,$P71)="","",INDEX(MASTER!$C$4:$C$1463,$P71)),""))</f>
        <v>Mohnnkey</v>
      </c>
      <c r="C71" s="15" t="str">
        <f>IF($P71="","",IFERROR(IF(INDEX(MASTER!$D$4:$D$1463,$P71)="","",INDEX(MASTER!$D$4:$D$1463,$P71)),""))</f>
        <v/>
      </c>
      <c r="D71" s="15" t="str">
        <f>IF($P71="","",IFERROR(IF(INDEX(MASTER!$E$4:$E$1463,$P71)="","",INDEX(MASTER!$E$4:$E$1463,$P71)),""))</f>
        <v>MONK</v>
      </c>
      <c r="E71" s="15" t="str">
        <f>IF($P71="","",IFERROR(IF(INDEX(MASTER!$F$4:$F$1463,$P71)="","",INDEX(MASTER!$F$4:$F$1463,$P71)),""))</f>
        <v>Support</v>
      </c>
      <c r="F71" s="16">
        <f>IF($P71="","",IFERROR(IF(INDEX(MASTER!$G$4:$G$1463,$P71)="","",INDEX(MASTER!$G$4:$G$1463,$P71)),""))</f>
        <v>62814</v>
      </c>
      <c r="G71" s="15" t="str">
        <f>IF($P71="","",IFERROR(IF(INDEX(MASTER!$H$4:$H$1463,$P71)="","",INDEX(MASTER!$H$4:$H$1463,$P71)),""))</f>
        <v>62,000 - 62,999</v>
      </c>
      <c r="H71" s="16">
        <f>IF($P71="","",IFERROR(IF(INDEX(MASTER!$I$4:$I$1463,$P71)="","",INDEX(MASTER!$I$4:$I$1463,$P71)),""))</f>
        <v>4609</v>
      </c>
      <c r="I71" s="15" t="str">
        <f>IF($P71="","",IFERROR(IF(INDEX(MASTER!$J$4:$J$1463,$P71)="","",INDEX(MASTER!$J$4:$J$1463,$P71)),""))</f>
        <v>CORE</v>
      </c>
      <c r="J71" s="17">
        <f>IF($P71="","",IFERROR(IF(INDEX(MASTER!$L$4:$L$1463,$P71)="","",INDEX(MASTER!$L$4:$L$1463,$P71)),""))</f>
        <v>5.78</v>
      </c>
      <c r="K71" s="17">
        <f>IF($P71="","",IFERROR(IF(INDEX(MASTER!$N$4:$N$1463,$P71)="","",INDEX(MASTER!$N$4:$N$1463,$P71)),""))</f>
        <v>50.3</v>
      </c>
      <c r="L71" s="15" t="str">
        <f>IF($P71="","",IFERROR(IF(INDEX(MASTER!$O$4:$O$1463,$P71)="","",INDEX(MASTER!$O$4:$O$1463,$P71)),""))</f>
        <v>A</v>
      </c>
      <c r="M71" s="15">
        <f>IF($P71="","",IFERROR(IF(INDEX(MASTER!$Q$4:$Q$1463,$P71)="","",INDEX(MASTER!$Q$4:$Q$1463,$P71)),""))</f>
        <v>47</v>
      </c>
      <c r="N71" s="15" t="str">
        <f>IF($P71="","",IFERROR(IF(INDEX(MASTER!$S$4:$S$1463,$P71)="","",INDEX(MASTER!$S$4:$S$1463,$P71)),""))</f>
        <v>Complete</v>
      </c>
      <c r="P71">
        <f>IFERROR(MATCH($Q$1&amp;"@63",MASTER!$AC$4:$AC$1463,0),"")</f>
        <v>862</v>
      </c>
    </row>
    <row r="72" spans="1:16">
      <c r="A72" s="19">
        <f>IF($P72="","",64)</f>
        <v>64</v>
      </c>
      <c r="B72" s="18" t="str">
        <f>IF($P72="","",IFERROR(IF(INDEX(MASTER!$C$4:$C$1463,$P72)="","",INDEX(MASTER!$C$4:$C$1463,$P72)),""))</f>
        <v>NaricusTheReaver</v>
      </c>
      <c r="C72" s="19" t="str">
        <f>IF($P72="","",IFERROR(IF(INDEX(MASTER!$D$4:$D$1463,$P72)="","",INDEX(MASTER!$D$4:$D$1463,$P72)),""))</f>
        <v/>
      </c>
      <c r="D72" s="19" t="str">
        <f>IF($P72="","",IFERROR(IF(INDEX(MASTER!$E$4:$E$1463,$P72)="","",INDEX(MASTER!$E$4:$E$1463,$P72)),""))</f>
        <v>WIZARD</v>
      </c>
      <c r="E72" s="19" t="str">
        <f>IF($P72="","",IFERROR(IF(INDEX(MASTER!$F$4:$F$1463,$P72)="","",INDEX(MASTER!$F$4:$F$1463,$P72)),""))</f>
        <v>Ranged DPS</v>
      </c>
      <c r="F72" s="20">
        <f>IF($P72="","",IFERROR(IF(INDEX(MASTER!$G$4:$G$1463,$P72)="","",INDEX(MASTER!$G$4:$G$1463,$P72)),""))</f>
        <v>61317</v>
      </c>
      <c r="G72" s="19" t="str">
        <f>IF($P72="","",IFERROR(IF(INDEX(MASTER!$H$4:$H$1463,$P72)="","",INDEX(MASTER!$H$4:$H$1463,$P72)),""))</f>
        <v>61,000 - 61,999</v>
      </c>
      <c r="H72" s="20">
        <f>IF($P72="","",IFERROR(IF(INDEX(MASTER!$I$4:$I$1463,$P72)="","",INDEX(MASTER!$I$4:$I$1463,$P72)),""))</f>
        <v>3665</v>
      </c>
      <c r="I72" s="19" t="str">
        <f>IF($P72="","",IFERROR(IF(INDEX(MASTER!$J$4:$J$1463,$P72)="","",INDEX(MASTER!$J$4:$J$1463,$P72)),""))</f>
        <v>DEVELOPING</v>
      </c>
      <c r="J72" s="21">
        <f>IF($P72="","",IFERROR(IF(INDEX(MASTER!$L$4:$L$1463,$P72)="","",INDEX(MASTER!$L$4:$L$1463,$P72)),""))</f>
        <v>3.61</v>
      </c>
      <c r="K72" s="21">
        <f>IF($P72="","",IFERROR(IF(INDEX(MASTER!$N$4:$N$1463,$P72)="","",INDEX(MASTER!$N$4:$N$1463,$P72)),""))</f>
        <v>38.6</v>
      </c>
      <c r="L72" s="19" t="str">
        <f>IF($P72="","",IFERROR(IF(INDEX(MASTER!$O$4:$O$1463,$P72)="","",INDEX(MASTER!$O$4:$O$1463,$P72)),""))</f>
        <v>B</v>
      </c>
      <c r="M72" s="19">
        <f>IF($P72="","",IFERROR(IF(INDEX(MASTER!$Q$4:$Q$1463,$P72)="","",INDEX(MASTER!$Q$4:$Q$1463,$P72)),""))</f>
        <v>72</v>
      </c>
      <c r="N72" s="19" t="str">
        <f>IF($P72="","",IFERROR(IF(INDEX(MASTER!$S$4:$S$1463,$P72)="","",INDEX(MASTER!$S$4:$S$1463,$P72)),""))</f>
        <v>Complete</v>
      </c>
      <c r="P72">
        <f>IFERROR(MATCH($Q$1&amp;"@64",MASTER!$AC$4:$AC$1463,0),"")</f>
        <v>866</v>
      </c>
    </row>
    <row r="73" spans="1:16">
      <c r="A73" s="15">
        <f>IF($P73="","",65)</f>
        <v>65</v>
      </c>
      <c r="B73" s="14" t="str">
        <f>IF($P73="","",IFERROR(IF(INDEX(MASTER!$C$4:$C$1463,$P73)="","",INDEX(MASTER!$C$4:$C$1463,$P73)),""))</f>
        <v>OGDOJA420</v>
      </c>
      <c r="C73" s="15" t="str">
        <f>IF($P73="","",IFERROR(IF(INDEX(MASTER!$D$4:$D$1463,$P73)="","",INDEX(MASTER!$D$4:$D$1463,$P73)),""))</f>
        <v/>
      </c>
      <c r="D73" s="15" t="str">
        <f>IF($P73="","",IFERROR(IF(INDEX(MASTER!$E$4:$E$1463,$P73)="","",INDEX(MASTER!$E$4:$E$1463,$P73)),""))</f>
        <v>DEMON HUNTER</v>
      </c>
      <c r="E73" s="15" t="str">
        <f>IF($P73="","",IFERROR(IF(INDEX(MASTER!$F$4:$F$1463,$P73)="","",INDEX(MASTER!$F$4:$F$1463,$P73)),""))</f>
        <v>Ranged DPS</v>
      </c>
      <c r="F73" s="16">
        <f>IF($P73="","",IFERROR(IF(INDEX(MASTER!$G$4:$G$1463,$P73)="","",INDEX(MASTER!$G$4:$G$1463,$P73)),""))</f>
        <v>63274</v>
      </c>
      <c r="G73" s="15" t="str">
        <f>IF($P73="","",IFERROR(IF(INDEX(MASTER!$H$4:$H$1463,$P73)="","",INDEX(MASTER!$H$4:$H$1463,$P73)),""))</f>
        <v>63,000 - 63,999</v>
      </c>
      <c r="H73" s="16">
        <f>IF($P73="","",IFERROR(IF(INDEX(MASTER!$I$4:$I$1463,$P73)="","",INDEX(MASTER!$I$4:$I$1463,$P73)),""))</f>
        <v>4733</v>
      </c>
      <c r="I73" s="15" t="str">
        <f>IF($P73="","",IFERROR(IF(INDEX(MASTER!$J$4:$J$1463,$P73)="","",INDEX(MASTER!$J$4:$J$1463,$P73)),""))</f>
        <v>CORE</v>
      </c>
      <c r="J73" s="17">
        <f>IF($P73="","",IFERROR(IF(INDEX(MASTER!$L$4:$L$1463,$P73)="","",INDEX(MASTER!$L$4:$L$1463,$P73)),""))</f>
        <v>6</v>
      </c>
      <c r="K73" s="17">
        <f>IF($P73="","",IFERROR(IF(INDEX(MASTER!$N$4:$N$1463,$P73)="","",INDEX(MASTER!$N$4:$N$1463,$P73)),""))</f>
        <v>52.4</v>
      </c>
      <c r="L73" s="15" t="str">
        <f>IF($P73="","",IFERROR(IF(INDEX(MASTER!$O$4:$O$1463,$P73)="","",INDEX(MASTER!$O$4:$O$1463,$P73)),""))</f>
        <v>A</v>
      </c>
      <c r="M73" s="15">
        <f>IF($P73="","",IFERROR(IF(INDEX(MASTER!$Q$4:$Q$1463,$P73)="","",INDEX(MASTER!$Q$4:$Q$1463,$P73)),""))</f>
        <v>45</v>
      </c>
      <c r="N73" s="15" t="str">
        <f>IF($P73="","",IFERROR(IF(INDEX(MASTER!$S$4:$S$1463,$P73)="","",INDEX(MASTER!$S$4:$S$1463,$P73)),""))</f>
        <v>Complete</v>
      </c>
      <c r="P73">
        <f>IFERROR(MATCH($Q$1&amp;"@65",MASTER!$AC$4:$AC$1463,0),"")</f>
        <v>867</v>
      </c>
    </row>
    <row r="74" spans="1:16">
      <c r="A74" s="19">
        <f>IF($P74="","",66)</f>
        <v>66</v>
      </c>
      <c r="B74" s="18" t="str">
        <f>IF($P74="","",IFERROR(IF(INDEX(MASTER!$C$4:$C$1463,$P74)="","",INDEX(MASTER!$C$4:$C$1463,$P74)),""))</f>
        <v>OneSleepyDonut</v>
      </c>
      <c r="C74" s="19" t="str">
        <f>IF($P74="","",IFERROR(IF(INDEX(MASTER!$D$4:$D$1463,$P74)="","",INDEX(MASTER!$D$4:$D$1463,$P74)),""))</f>
        <v/>
      </c>
      <c r="D74" s="19" t="str">
        <f>IF($P74="","",IFERROR(IF(INDEX(MASTER!$E$4:$E$1463,$P74)="","",INDEX(MASTER!$E$4:$E$1463,$P74)),""))</f>
        <v>DEMON HUNTER</v>
      </c>
      <c r="E74" s="19" t="str">
        <f>IF($P74="","",IFERROR(IF(INDEX(MASTER!$F$4:$F$1463,$P74)="","",INDEX(MASTER!$F$4:$F$1463,$P74)),""))</f>
        <v>Ranged DPS</v>
      </c>
      <c r="F74" s="20">
        <f>IF($P74="","",IFERROR(IF(INDEX(MASTER!$G$4:$G$1463,$P74)="","",INDEX(MASTER!$G$4:$G$1463,$P74)),""))</f>
        <v>61385</v>
      </c>
      <c r="G74" s="19" t="str">
        <f>IF($P74="","",IFERROR(IF(INDEX(MASTER!$H$4:$H$1463,$P74)="","",INDEX(MASTER!$H$4:$H$1463,$P74)),""))</f>
        <v>61,000 - 61,999</v>
      </c>
      <c r="H74" s="20">
        <f>IF($P74="","",IFERROR(IF(INDEX(MASTER!$I$4:$I$1463,$P74)="","",INDEX(MASTER!$I$4:$I$1463,$P74)),""))</f>
        <v>3958</v>
      </c>
      <c r="I74" s="19" t="str">
        <f>IF($P74="","",IFERROR(IF(INDEX(MASTER!$J$4:$J$1463,$P74)="","",INDEX(MASTER!$J$4:$J$1463,$P74)),""))</f>
        <v>DEVELOPING</v>
      </c>
      <c r="J74" s="21">
        <f>IF($P74="","",IFERROR(IF(INDEX(MASTER!$L$4:$L$1463,$P74)="","",INDEX(MASTER!$L$4:$L$1463,$P74)),""))</f>
        <v>4.07</v>
      </c>
      <c r="K74" s="21">
        <f>IF($P74="","",IFERROR(IF(INDEX(MASTER!$N$4:$N$1463,$P74)="","",INDEX(MASTER!$N$4:$N$1463,$P74)),""))</f>
        <v>40.9</v>
      </c>
      <c r="L74" s="19" t="str">
        <f>IF($P74="","",IFERROR(IF(INDEX(MASTER!$O$4:$O$1463,$P74)="","",INDEX(MASTER!$O$4:$O$1463,$P74)),""))</f>
        <v>B</v>
      </c>
      <c r="M74" s="19">
        <f>IF($P74="","",IFERROR(IF(INDEX(MASTER!$Q$4:$Q$1463,$P74)="","",INDEX(MASTER!$Q$4:$Q$1463,$P74)),""))</f>
        <v>62</v>
      </c>
      <c r="N74" s="19" t="str">
        <f>IF($P74="","",IFERROR(IF(INDEX(MASTER!$S$4:$S$1463,$P74)="","",INDEX(MASTER!$S$4:$S$1463,$P74)),""))</f>
        <v>Complete</v>
      </c>
      <c r="P74">
        <f>IFERROR(MATCH($Q$1&amp;"@66",MASTER!$AC$4:$AC$1463,0),"")</f>
        <v>896</v>
      </c>
    </row>
    <row r="75" spans="1:16">
      <c r="A75" s="15">
        <f>IF($P75="","",67)</f>
        <v>67</v>
      </c>
      <c r="B75" s="14" t="str">
        <f>IF($P75="","",IFERROR(IF(INDEX(MASTER!$C$4:$C$1463,$P75)="","",INDEX(MASTER!$C$4:$C$1463,$P75)),""))</f>
        <v>OriginalSin</v>
      </c>
      <c r="C75" s="15" t="str">
        <f>IF($P75="","",IFERROR(IF(INDEX(MASTER!$D$4:$D$1463,$P75)="","",INDEX(MASTER!$D$4:$D$1463,$P75)),""))</f>
        <v/>
      </c>
      <c r="D75" s="15" t="str">
        <f>IF($P75="","",IFERROR(IF(INDEX(MASTER!$E$4:$E$1463,$P75)="","",INDEX(MASTER!$E$4:$E$1463,$P75)),""))</f>
        <v>WARLOCK</v>
      </c>
      <c r="E75" s="15" t="str">
        <f>IF($P75="","",IFERROR(IF(INDEX(MASTER!$F$4:$F$1463,$P75)="","",INDEX(MASTER!$F$4:$F$1463,$P75)),""))</f>
        <v>Control</v>
      </c>
      <c r="F75" s="16">
        <f>IF($P75="","",IFERROR(IF(INDEX(MASTER!$G$4:$G$1463,$P75)="","",INDEX(MASTER!$G$4:$G$1463,$P75)),""))</f>
        <v>62037</v>
      </c>
      <c r="G75" s="15" t="str">
        <f>IF($P75="","",IFERROR(IF(INDEX(MASTER!$H$4:$H$1463,$P75)="","",INDEX(MASTER!$H$4:$H$1463,$P75)),""))</f>
        <v>62,000 - 62,999</v>
      </c>
      <c r="H75" s="16">
        <f>IF($P75="","",IFERROR(IF(INDEX(MASTER!$I$4:$I$1463,$P75)="","",INDEX(MASTER!$I$4:$I$1463,$P75)),""))</f>
        <v>7355</v>
      </c>
      <c r="I75" s="15" t="str">
        <f>IF($P75="","",IFERROR(IF(INDEX(MASTER!$J$4:$J$1463,$P75)="","",INDEX(MASTER!$J$4:$J$1463,$P75)),""))</f>
        <v>VETERAN</v>
      </c>
      <c r="J75" s="17">
        <f>IF($P75="","",IFERROR(IF(INDEX(MASTER!$L$4:$L$1463,$P75)="","",INDEX(MASTER!$L$4:$L$1463,$P75)),""))</f>
        <v>5.28</v>
      </c>
      <c r="K75" s="17">
        <f>IF($P75="","",IFERROR(IF(INDEX(MASTER!$N$4:$N$1463,$P75)="","",INDEX(MASTER!$N$4:$N$1463,$P75)),""))</f>
        <v>59.4</v>
      </c>
      <c r="L75" s="15" t="str">
        <f>IF($P75="","",IFERROR(IF(INDEX(MASTER!$O$4:$O$1463,$P75)="","",INDEX(MASTER!$O$4:$O$1463,$P75)),""))</f>
        <v>A</v>
      </c>
      <c r="M75" s="15">
        <f>IF($P75="","",IFERROR(IF(INDEX(MASTER!$Q$4:$Q$1463,$P75)="","",INDEX(MASTER!$Q$4:$Q$1463,$P75)),""))</f>
        <v>21</v>
      </c>
      <c r="N75" s="15" t="str">
        <f>IF($P75="","",IFERROR(IF(INDEX(MASTER!$S$4:$S$1463,$P75)="","",INDEX(MASTER!$S$4:$S$1463,$P75)),""))</f>
        <v>Complete</v>
      </c>
      <c r="P75">
        <f>IFERROR(MATCH($Q$1&amp;"@67",MASTER!$AC$4:$AC$1463,0),"")</f>
        <v>911</v>
      </c>
    </row>
    <row r="76" spans="1:16">
      <c r="A76" s="19">
        <f>IF($P76="","",68)</f>
        <v>68</v>
      </c>
      <c r="B76" s="18" t="str">
        <f>IF($P76="","",IFERROR(IF(INDEX(MASTER!$C$4:$C$1463,$P76)="","",INDEX(MASTER!$C$4:$C$1463,$P76)),""))</f>
        <v>OttoFyre</v>
      </c>
      <c r="C76" s="19" t="str">
        <f>IF($P76="","",IFERROR(IF(INDEX(MASTER!$D$4:$D$1463,$P76)="","",INDEX(MASTER!$D$4:$D$1463,$P76)),""))</f>
        <v/>
      </c>
      <c r="D76" s="19" t="str">
        <f>IF($P76="","",IFERROR(IF(INDEX(MASTER!$E$4:$E$1463,$P76)="","",INDEX(MASTER!$E$4:$E$1463,$P76)),""))</f>
        <v>NECROMANCER</v>
      </c>
      <c r="E76" s="19" t="str">
        <f>IF($P76="","",IFERROR(IF(INDEX(MASTER!$F$4:$F$1463,$P76)="","",INDEX(MASTER!$F$4:$F$1463,$P76)),""))</f>
        <v>Control</v>
      </c>
      <c r="F76" s="20">
        <f>IF($P76="","",IFERROR(IF(INDEX(MASTER!$G$4:$G$1463,$P76)="","",INDEX(MASTER!$G$4:$G$1463,$P76)),""))</f>
        <v>63408</v>
      </c>
      <c r="G76" s="19" t="str">
        <f>IF($P76="","",IFERROR(IF(INDEX(MASTER!$H$4:$H$1463,$P76)="","",INDEX(MASTER!$H$4:$H$1463,$P76)),""))</f>
        <v>63,000 - 63,999</v>
      </c>
      <c r="H76" s="20">
        <f>IF($P76="","",IFERROR(IF(INDEX(MASTER!$I$4:$I$1463,$P76)="","",INDEX(MASTER!$I$4:$I$1463,$P76)),""))</f>
        <v>6573</v>
      </c>
      <c r="I76" s="19" t="str">
        <f>IF($P76="","",IFERROR(IF(INDEX(MASTER!$J$4:$J$1463,$P76)="","",INDEX(MASTER!$J$4:$J$1463,$P76)),""))</f>
        <v>VETERAN</v>
      </c>
      <c r="J76" s="21">
        <f>IF($P76="","",IFERROR(IF(INDEX(MASTER!$L$4:$L$1463,$P76)="","",INDEX(MASTER!$L$4:$L$1463,$P76)),""))</f>
        <v>5.73</v>
      </c>
      <c r="K76" s="21">
        <f>IF($P76="","",IFERROR(IF(INDEX(MASTER!$N$4:$N$1463,$P76)="","",INDEX(MASTER!$N$4:$N$1463,$P76)),""))</f>
        <v>60.4</v>
      </c>
      <c r="L76" s="19" t="str">
        <f>IF($P76="","",IFERROR(IF(INDEX(MASTER!$O$4:$O$1463,$P76)="","",INDEX(MASTER!$O$4:$O$1463,$P76)),""))</f>
        <v>A</v>
      </c>
      <c r="M76" s="19">
        <f>IF($P76="","",IFERROR(IF(INDEX(MASTER!$Q$4:$Q$1463,$P76)="","",INDEX(MASTER!$Q$4:$Q$1463,$P76)),""))</f>
        <v>25</v>
      </c>
      <c r="N76" s="19" t="str">
        <f>IF($P76="","",IFERROR(IF(INDEX(MASTER!$S$4:$S$1463,$P76)="","",INDEX(MASTER!$S$4:$S$1463,$P76)),""))</f>
        <v>Complete</v>
      </c>
      <c r="P76">
        <f>IFERROR(MATCH($Q$1&amp;"@68",MASTER!$AC$4:$AC$1463,0),"")</f>
        <v>935</v>
      </c>
    </row>
    <row r="77" spans="1:16">
      <c r="A77" s="15">
        <f>IF($P77="","",69)</f>
        <v>69</v>
      </c>
      <c r="B77" s="14" t="str">
        <f>IF($P77="","",IFERROR(IF(INDEX(MASTER!$C$4:$C$1463,$P77)="","",INDEX(MASTER!$C$4:$C$1463,$P77)),""))</f>
        <v>Oumua</v>
      </c>
      <c r="C77" s="15" t="str">
        <f>IF($P77="","",IFERROR(IF(INDEX(MASTER!$D$4:$D$1463,$P77)="","",INDEX(MASTER!$D$4:$D$1463,$P77)),""))</f>
        <v/>
      </c>
      <c r="D77" s="15" t="str">
        <f>IF($P77="","",IFERROR(IF(INDEX(MASTER!$E$4:$E$1463,$P77)="","",INDEX(MASTER!$E$4:$E$1463,$P77)),""))</f>
        <v>CRUSADER</v>
      </c>
      <c r="E77" s="15" t="str">
        <f>IF($P77="","",IFERROR(IF(INDEX(MASTER!$F$4:$F$1463,$P77)="","",INDEX(MASTER!$F$4:$F$1463,$P77)),""))</f>
        <v>Frontline</v>
      </c>
      <c r="F77" s="16">
        <f>IF($P77="","",IFERROR(IF(INDEX(MASTER!$G$4:$G$1463,$P77)="","",INDEX(MASTER!$G$4:$G$1463,$P77)),""))</f>
        <v>63465</v>
      </c>
      <c r="G77" s="15" t="str">
        <f>IF($P77="","",IFERROR(IF(INDEX(MASTER!$H$4:$H$1463,$P77)="","",INDEX(MASTER!$H$4:$H$1463,$P77)),""))</f>
        <v>63,000 - 63,999</v>
      </c>
      <c r="H77" s="16">
        <f>IF($P77="","",IFERROR(IF(INDEX(MASTER!$I$4:$I$1463,$P77)="","",INDEX(MASTER!$I$4:$I$1463,$P77)),""))</f>
        <v>4055</v>
      </c>
      <c r="I77" s="15" t="str">
        <f>IF($P77="","",IFERROR(IF(INDEX(MASTER!$J$4:$J$1463,$P77)="","",INDEX(MASTER!$J$4:$J$1463,$P77)),""))</f>
        <v>CORE</v>
      </c>
      <c r="J77" s="17">
        <f>IF($P77="","",IFERROR(IF(INDEX(MASTER!$L$4:$L$1463,$P77)="","",INDEX(MASTER!$L$4:$L$1463,$P77)),""))</f>
        <v>5.08</v>
      </c>
      <c r="K77" s="17">
        <f>IF($P77="","",IFERROR(IF(INDEX(MASTER!$N$4:$N$1463,$P77)="","",INDEX(MASTER!$N$4:$N$1463,$P77)),""))</f>
        <v>48.4</v>
      </c>
      <c r="L77" s="15" t="str">
        <f>IF($P77="","",IFERROR(IF(INDEX(MASTER!$O$4:$O$1463,$P77)="","",INDEX(MASTER!$O$4:$O$1463,$P77)),""))</f>
        <v>B</v>
      </c>
      <c r="M77" s="15">
        <f>IF($P77="","",IFERROR(IF(INDEX(MASTER!$Q$4:$Q$1463,$P77)="","",INDEX(MASTER!$Q$4:$Q$1463,$P77)),""))</f>
        <v>59</v>
      </c>
      <c r="N77" s="15" t="str">
        <f>IF($P77="","",IFERROR(IF(INDEX(MASTER!$S$4:$S$1463,$P77)="","",INDEX(MASTER!$S$4:$S$1463,$P77)),""))</f>
        <v>Complete</v>
      </c>
      <c r="P77">
        <f>IFERROR(MATCH($Q$1&amp;"@69",MASTER!$AC$4:$AC$1463,0),"")</f>
        <v>953</v>
      </c>
    </row>
    <row r="78" spans="1:16">
      <c r="A78" s="19">
        <f>IF($P78="","",70)</f>
        <v>70</v>
      </c>
      <c r="B78" s="18" t="str">
        <f>IF($P78="","",IFERROR(IF(INDEX(MASTER!$C$4:$C$1463,$P78)="","",INDEX(MASTER!$C$4:$C$1463,$P78)),""))</f>
        <v>Panoramix</v>
      </c>
      <c r="C78" s="19" t="str">
        <f>IF($P78="","",IFERROR(IF(INDEX(MASTER!$D$4:$D$1463,$P78)="","",INDEX(MASTER!$D$4:$D$1463,$P78)),""))</f>
        <v/>
      </c>
      <c r="D78" s="19" t="str">
        <f>IF($P78="","",IFERROR(IF(INDEX(MASTER!$E$4:$E$1463,$P78)="","",INDEX(MASTER!$E$4:$E$1463,$P78)),""))</f>
        <v>WIZARD</v>
      </c>
      <c r="E78" s="19" t="str">
        <f>IF($P78="","",IFERROR(IF(INDEX(MASTER!$F$4:$F$1463,$P78)="","",INDEX(MASTER!$F$4:$F$1463,$P78)),""))</f>
        <v>Ranged DPS</v>
      </c>
      <c r="F78" s="20">
        <f>IF($P78="","",IFERROR(IF(INDEX(MASTER!$G$4:$G$1463,$P78)="","",INDEX(MASTER!$G$4:$G$1463,$P78)),""))</f>
        <v>63859</v>
      </c>
      <c r="G78" s="19" t="str">
        <f>IF($P78="","",IFERROR(IF(INDEX(MASTER!$H$4:$H$1463,$P78)="","",INDEX(MASTER!$H$4:$H$1463,$P78)),""))</f>
        <v>63,000 - 63,999</v>
      </c>
      <c r="H78" s="20">
        <f>IF($P78="","",IFERROR(IF(INDEX(MASTER!$I$4:$I$1463,$P78)="","",INDEX(MASTER!$I$4:$I$1463,$P78)),""))</f>
        <v>8277</v>
      </c>
      <c r="I78" s="19" t="str">
        <f>IF($P78="","",IFERROR(IF(INDEX(MASTER!$J$4:$J$1463,$P78)="","",INDEX(MASTER!$J$4:$J$1463,$P78)),""))</f>
        <v>ELITE</v>
      </c>
      <c r="J78" s="21">
        <f>IF($P78="","",IFERROR(IF(INDEX(MASTER!$L$4:$L$1463,$P78)="","",INDEX(MASTER!$L$4:$L$1463,$P78)),""))</f>
        <v>5.66</v>
      </c>
      <c r="K78" s="21">
        <f>IF($P78="","",IFERROR(IF(INDEX(MASTER!$N$4:$N$1463,$P78)="","",INDEX(MASTER!$N$4:$N$1463,$P78)),""))</f>
        <v>68.900000000000006</v>
      </c>
      <c r="L78" s="19" t="str">
        <f>IF($P78="","",IFERROR(IF(INDEX(MASTER!$O$4:$O$1463,$P78)="","",INDEX(MASTER!$O$4:$O$1463,$P78)),""))</f>
        <v>S</v>
      </c>
      <c r="M78" s="19">
        <f>IF($P78="","",IFERROR(IF(INDEX(MASTER!$Q$4:$Q$1463,$P78)="","",INDEX(MASTER!$Q$4:$Q$1463,$P78)),""))</f>
        <v>13</v>
      </c>
      <c r="N78" s="19" t="str">
        <f>IF($P78="","",IFERROR(IF(INDEX(MASTER!$S$4:$S$1463,$P78)="","",INDEX(MASTER!$S$4:$S$1463,$P78)),""))</f>
        <v>Complete</v>
      </c>
      <c r="P78">
        <f>IFERROR(MATCH($Q$1&amp;"@70",MASTER!$AC$4:$AC$1463,0),"")</f>
        <v>957</v>
      </c>
    </row>
    <row r="79" spans="1:16">
      <c r="A79" s="15">
        <f>IF($P79="","",71)</f>
        <v>71</v>
      </c>
      <c r="B79" s="14" t="str">
        <f>IF($P79="","",IFERROR(IF(INDEX(MASTER!$C$4:$C$1463,$P79)="","",INDEX(MASTER!$C$4:$C$1463,$P79)),""))</f>
        <v>Pneumothorax</v>
      </c>
      <c r="C79" s="15" t="str">
        <f>IF($P79="","",IFERROR(IF(INDEX(MASTER!$D$4:$D$1463,$P79)="","",INDEX(MASTER!$D$4:$D$1463,$P79)),""))</f>
        <v/>
      </c>
      <c r="D79" s="15" t="str">
        <f>IF($P79="","",IFERROR(IF(INDEX(MASTER!$E$4:$E$1463,$P79)="","",INDEX(MASTER!$E$4:$E$1463,$P79)),""))</f>
        <v>BARBARIAN</v>
      </c>
      <c r="E79" s="15" t="str">
        <f>IF($P79="","",IFERROR(IF(INDEX(MASTER!$F$4:$F$1463,$P79)="","",INDEX(MASTER!$F$4:$F$1463,$P79)),""))</f>
        <v>Frontline</v>
      </c>
      <c r="F79" s="16">
        <f>IF($P79="","",IFERROR(IF(INDEX(MASTER!$G$4:$G$1463,$P79)="","",INDEX(MASTER!$G$4:$G$1463,$P79)),""))</f>
        <v>62882</v>
      </c>
      <c r="G79" s="15" t="str">
        <f>IF($P79="","",IFERROR(IF(INDEX(MASTER!$H$4:$H$1463,$P79)="","",INDEX(MASTER!$H$4:$H$1463,$P79)),""))</f>
        <v>62,000 - 62,999</v>
      </c>
      <c r="H79" s="16">
        <f>IF($P79="","",IFERROR(IF(INDEX(MASTER!$I$4:$I$1463,$P79)="","",INDEX(MASTER!$I$4:$I$1463,$P79)),""))</f>
        <v>2768</v>
      </c>
      <c r="I79" s="15" t="str">
        <f>IF($P79="","",IFERROR(IF(INDEX(MASTER!$J$4:$J$1463,$P79)="","",INDEX(MASTER!$J$4:$J$1463,$P79)),""))</f>
        <v>DEVELOPING</v>
      </c>
      <c r="J79" s="17">
        <f>IF($P79="","",IFERROR(IF(INDEX(MASTER!$L$4:$L$1463,$P79)="","",INDEX(MASTER!$L$4:$L$1463,$P79)),""))</f>
        <v>4.42</v>
      </c>
      <c r="K79" s="17">
        <f>IF($P79="","",IFERROR(IF(INDEX(MASTER!$N$4:$N$1463,$P79)="","",INDEX(MASTER!$N$4:$N$1463,$P79)),""))</f>
        <v>40.200000000000003</v>
      </c>
      <c r="L79" s="15" t="str">
        <f>IF($P79="","",IFERROR(IF(INDEX(MASTER!$O$4:$O$1463,$P79)="","",INDEX(MASTER!$O$4:$O$1463,$P79)),""))</f>
        <v>B</v>
      </c>
      <c r="M79" s="15">
        <f>IF($P79="","",IFERROR(IF(INDEX(MASTER!$Q$4:$Q$1463,$P79)="","",INDEX(MASTER!$Q$4:$Q$1463,$P79)),""))</f>
        <v>96</v>
      </c>
      <c r="N79" s="15" t="str">
        <f>IF($P79="","",IFERROR(IF(INDEX(MASTER!$S$4:$S$1463,$P79)="","",INDEX(MASTER!$S$4:$S$1463,$P79)),""))</f>
        <v>Complete</v>
      </c>
      <c r="P79">
        <f>IFERROR(MATCH($Q$1&amp;"@71",MASTER!$AC$4:$AC$1463,0),"")</f>
        <v>967</v>
      </c>
    </row>
    <row r="80" spans="1:16">
      <c r="A80" s="19">
        <f>IF($P80="","",72)</f>
        <v>72</v>
      </c>
      <c r="B80" s="18" t="str">
        <f>IF($P80="","",IFERROR(IF(INDEX(MASTER!$C$4:$C$1463,$P80)="","",INDEX(MASTER!$C$4:$C$1463,$P80)),""))</f>
        <v>Raìdox-</v>
      </c>
      <c r="C80" s="19" t="str">
        <f>IF($P80="","",IFERROR(IF(INDEX(MASTER!$D$4:$D$1463,$P80)="","",INDEX(MASTER!$D$4:$D$1463,$P80)),""))</f>
        <v>XX</v>
      </c>
      <c r="D80" s="19" t="str">
        <f>IF($P80="","",IFERROR(IF(INDEX(MASTER!$E$4:$E$1463,$P80)="","",INDEX(MASTER!$E$4:$E$1463,$P80)),""))</f>
        <v>WARLOCK</v>
      </c>
      <c r="E80" s="19" t="str">
        <f>IF($P80="","",IFERROR(IF(INDEX(MASTER!$F$4:$F$1463,$P80)="","",INDEX(MASTER!$F$4:$F$1463,$P80)),""))</f>
        <v>Control</v>
      </c>
      <c r="F80" s="20">
        <f>IF($P80="","",IFERROR(IF(INDEX(MASTER!$G$4:$G$1463,$P80)="","",INDEX(MASTER!$G$4:$G$1463,$P80)),""))</f>
        <v>63872</v>
      </c>
      <c r="G80" s="19" t="str">
        <f>IF($P80="","",IFERROR(IF(INDEX(MASTER!$H$4:$H$1463,$P80)="","",INDEX(MASTER!$H$4:$H$1463,$P80)),""))</f>
        <v>63,000 - 63,999</v>
      </c>
      <c r="H80" s="20">
        <f>IF($P80="","",IFERROR(IF(INDEX(MASTER!$I$4:$I$1463,$P80)="","",INDEX(MASTER!$I$4:$I$1463,$P80)),""))</f>
        <v>6200</v>
      </c>
      <c r="I80" s="19" t="str">
        <f>IF($P80="","",IFERROR(IF(INDEX(MASTER!$J$4:$J$1463,$P80)="","",INDEX(MASTER!$J$4:$J$1463,$P80)),""))</f>
        <v>VETERAN</v>
      </c>
      <c r="J80" s="21">
        <f>IF($P80="","",IFERROR(IF(INDEX(MASTER!$L$4:$L$1463,$P80)="","",INDEX(MASTER!$L$4:$L$1463,$P80)),""))</f>
        <v>5.54</v>
      </c>
      <c r="K80" s="21">
        <f>IF($P80="","",IFERROR(IF(INDEX(MASTER!$N$4:$N$1463,$P80)="","",INDEX(MASTER!$N$4:$N$1463,$P80)),""))</f>
        <v>59.6</v>
      </c>
      <c r="L80" s="19" t="str">
        <f>IF($P80="","",IFERROR(IF(INDEX(MASTER!$O$4:$O$1463,$P80)="","",INDEX(MASTER!$O$4:$O$1463,$P80)),""))</f>
        <v>A</v>
      </c>
      <c r="M80" s="19">
        <f>IF($P80="","",IFERROR(IF(INDEX(MASTER!$Q$4:$Q$1463,$P80)="","",INDEX(MASTER!$Q$4:$Q$1463,$P80)),""))</f>
        <v>27</v>
      </c>
      <c r="N80" s="19" t="str">
        <f>IF($P80="","",IFERROR(IF(INDEX(MASTER!$S$4:$S$1463,$P80)="","",INDEX(MASTER!$S$4:$S$1463,$P80)),""))</f>
        <v>Complete</v>
      </c>
      <c r="P80">
        <f>IFERROR(MATCH($Q$1&amp;"@72",MASTER!$AC$4:$AC$1463,0),"")</f>
        <v>1017</v>
      </c>
    </row>
    <row r="81" spans="1:16">
      <c r="A81" s="15">
        <f>IF($P81="","",73)</f>
        <v>73</v>
      </c>
      <c r="B81" s="14" t="str">
        <f>IF($P81="","",IFERROR(IF(INDEX(MASTER!$C$4:$C$1463,$P81)="","",INDEX(MASTER!$C$4:$C$1463,$P81)),""))</f>
        <v>Rishaal</v>
      </c>
      <c r="C81" s="15" t="str">
        <f>IF($P81="","",IFERROR(IF(INDEX(MASTER!$D$4:$D$1463,$P81)="","",INDEX(MASTER!$D$4:$D$1463,$P81)),""))</f>
        <v/>
      </c>
      <c r="D81" s="15" t="str">
        <f>IF($P81="","",IFERROR(IF(INDEX(MASTER!$E$4:$E$1463,$P81)="","",INDEX(MASTER!$E$4:$E$1463,$P81)),""))</f>
        <v>WIZARD</v>
      </c>
      <c r="E81" s="15" t="str">
        <f>IF($P81="","",IFERROR(IF(INDEX(MASTER!$F$4:$F$1463,$P81)="","",INDEX(MASTER!$F$4:$F$1463,$P81)),""))</f>
        <v>Ranged DPS</v>
      </c>
      <c r="F81" s="16">
        <f>IF($P81="","",IFERROR(IF(INDEX(MASTER!$G$4:$G$1463,$P81)="","",INDEX(MASTER!$G$4:$G$1463,$P81)),""))</f>
        <v>63793</v>
      </c>
      <c r="G81" s="15" t="str">
        <f>IF($P81="","",IFERROR(IF(INDEX(MASTER!$H$4:$H$1463,$P81)="","",INDEX(MASTER!$H$4:$H$1463,$P81)),""))</f>
        <v>63,000 - 63,999</v>
      </c>
      <c r="H81" s="16">
        <f>IF($P81="","",IFERROR(IF(INDEX(MASTER!$I$4:$I$1463,$P81)="","",INDEX(MASTER!$I$4:$I$1463,$P81)),""))</f>
        <v>8394</v>
      </c>
      <c r="I81" s="15" t="str">
        <f>IF($P81="","",IFERROR(IF(INDEX(MASTER!$J$4:$J$1463,$P81)="","",INDEX(MASTER!$J$4:$J$1463,$P81)),""))</f>
        <v>ELITE</v>
      </c>
      <c r="J81" s="17">
        <f>IF($P81="","",IFERROR(IF(INDEX(MASTER!$L$4:$L$1463,$P81)="","",INDEX(MASTER!$L$4:$L$1463,$P81)),""))</f>
        <v>6.46</v>
      </c>
      <c r="K81" s="17">
        <f>IF($P81="","",IFERROR(IF(INDEX(MASTER!$N$4:$N$1463,$P81)="","",INDEX(MASTER!$N$4:$N$1463,$P81)),""))</f>
        <v>70.5</v>
      </c>
      <c r="L81" s="15" t="str">
        <f>IF($P81="","",IFERROR(IF(INDEX(MASTER!$O$4:$O$1463,$P81)="","",INDEX(MASTER!$O$4:$O$1463,$P81)),""))</f>
        <v>S</v>
      </c>
      <c r="M81" s="15">
        <f>IF($P81="","",IFERROR(IF(INDEX(MASTER!$Q$4:$Q$1463,$P81)="","",INDEX(MASTER!$Q$4:$Q$1463,$P81)),""))</f>
        <v>12</v>
      </c>
      <c r="N81" s="15" t="str">
        <f>IF($P81="","",IFERROR(IF(INDEX(MASTER!$S$4:$S$1463,$P81)="","",INDEX(MASTER!$S$4:$S$1463,$P81)),""))</f>
        <v>Complete</v>
      </c>
      <c r="P81">
        <f>IFERROR(MATCH($Q$1&amp;"@73",MASTER!$AC$4:$AC$1463,0),"")</f>
        <v>1019</v>
      </c>
    </row>
    <row r="82" spans="1:16">
      <c r="A82" s="19">
        <f>IF($P82="","",74)</f>
        <v>74</v>
      </c>
      <c r="B82" s="18" t="str">
        <f>IF($P82="","",IFERROR(IF(INDEX(MASTER!$C$4:$C$1463,$P82)="","",INDEX(MASTER!$C$4:$C$1463,$P82)),""))</f>
        <v>Robusto</v>
      </c>
      <c r="C82" s="19" t="str">
        <f>IF($P82="","",IFERROR(IF(INDEX(MASTER!$D$4:$D$1463,$P82)="","",INDEX(MASTER!$D$4:$D$1463,$P82)),""))</f>
        <v/>
      </c>
      <c r="D82" s="19" t="str">
        <f>IF($P82="","",IFERROR(IF(INDEX(MASTER!$E$4:$E$1463,$P82)="","",INDEX(MASTER!$E$4:$E$1463,$P82)),""))</f>
        <v>DRUID</v>
      </c>
      <c r="E82" s="19" t="str">
        <f>IF($P82="","",IFERROR(IF(INDEX(MASTER!$F$4:$F$1463,$P82)="","",INDEX(MASTER!$F$4:$F$1463,$P82)),""))</f>
        <v>Support</v>
      </c>
      <c r="F82" s="20">
        <f>IF($P82="","",IFERROR(IF(INDEX(MASTER!$G$4:$G$1463,$P82)="","",INDEX(MASTER!$G$4:$G$1463,$P82)),""))</f>
        <v>62798</v>
      </c>
      <c r="G82" s="19" t="str">
        <f>IF($P82="","",IFERROR(IF(INDEX(MASTER!$H$4:$H$1463,$P82)="","",INDEX(MASTER!$H$4:$H$1463,$P82)),""))</f>
        <v>62,000 - 62,999</v>
      </c>
      <c r="H82" s="20">
        <f>IF($P82="","",IFERROR(IF(INDEX(MASTER!$I$4:$I$1463,$P82)="","",INDEX(MASTER!$I$4:$I$1463,$P82)),""))</f>
        <v>3720</v>
      </c>
      <c r="I82" s="19" t="str">
        <f>IF($P82="","",IFERROR(IF(INDEX(MASTER!$J$4:$J$1463,$P82)="","",INDEX(MASTER!$J$4:$J$1463,$P82)),""))</f>
        <v>DEVELOPING</v>
      </c>
      <c r="J82" s="21">
        <f>IF($P82="","",IFERROR(IF(INDEX(MASTER!$L$4:$L$1463,$P82)="","",INDEX(MASTER!$L$4:$L$1463,$P82)),""))</f>
        <v>4.3</v>
      </c>
      <c r="K82" s="21">
        <f>IF($P82="","",IFERROR(IF(INDEX(MASTER!$N$4:$N$1463,$P82)="","",INDEX(MASTER!$N$4:$N$1463,$P82)),""))</f>
        <v>43.9</v>
      </c>
      <c r="L82" s="19" t="str">
        <f>IF($P82="","",IFERROR(IF(INDEX(MASTER!$O$4:$O$1463,$P82)="","",INDEX(MASTER!$O$4:$O$1463,$P82)),""))</f>
        <v>B</v>
      </c>
      <c r="M82" s="19">
        <f>IF($P82="","",IFERROR(IF(INDEX(MASTER!$Q$4:$Q$1463,$P82)="","",INDEX(MASTER!$Q$4:$Q$1463,$P82)),""))</f>
        <v>69</v>
      </c>
      <c r="N82" s="19" t="str">
        <f>IF($P82="","",IFERROR(IF(INDEX(MASTER!$S$4:$S$1463,$P82)="","",INDEX(MASTER!$S$4:$S$1463,$P82)),""))</f>
        <v>Complete</v>
      </c>
      <c r="P82">
        <f>IFERROR(MATCH($Q$1&amp;"@74",MASTER!$AC$4:$AC$1463,0),"")</f>
        <v>1026</v>
      </c>
    </row>
    <row r="83" spans="1:16">
      <c r="A83" s="15">
        <f>IF($P83="","",75)</f>
        <v>75</v>
      </c>
      <c r="B83" s="14" t="str">
        <f>IF($P83="","",IFERROR(IF(INDEX(MASTER!$C$4:$C$1463,$P83)="","",INDEX(MASTER!$C$4:$C$1463,$P83)),""))</f>
        <v>Roxilicious</v>
      </c>
      <c r="C83" s="15" t="str">
        <f>IF($P83="","",IFERROR(IF(INDEX(MASTER!$D$4:$D$1463,$P83)="","",INDEX(MASTER!$D$4:$D$1463,$P83)),""))</f>
        <v/>
      </c>
      <c r="D83" s="15" t="str">
        <f>IF($P83="","",IFERROR(IF(INDEX(MASTER!$E$4:$E$1463,$P83)="","",INDEX(MASTER!$E$4:$E$1463,$P83)),""))</f>
        <v>DEMON HUNTER</v>
      </c>
      <c r="E83" s="15" t="str">
        <f>IF($P83="","",IFERROR(IF(INDEX(MASTER!$F$4:$F$1463,$P83)="","",INDEX(MASTER!$F$4:$F$1463,$P83)),""))</f>
        <v>Ranged DPS</v>
      </c>
      <c r="F83" s="16">
        <f>IF($P83="","",IFERROR(IF(INDEX(MASTER!$G$4:$G$1463,$P83)="","",INDEX(MASTER!$G$4:$G$1463,$P83)),""))</f>
        <v>62460</v>
      </c>
      <c r="G83" s="15" t="str">
        <f>IF($P83="","",IFERROR(IF(INDEX(MASTER!$H$4:$H$1463,$P83)="","",INDEX(MASTER!$H$4:$H$1463,$P83)),""))</f>
        <v>62,000 - 62,999</v>
      </c>
      <c r="H83" s="16">
        <f>IF($P83="","",IFERROR(IF(INDEX(MASTER!$I$4:$I$1463,$P83)="","",INDEX(MASTER!$I$4:$I$1463,$P83)),""))</f>
        <v>3055</v>
      </c>
      <c r="I83" s="15" t="str">
        <f>IF($P83="","",IFERROR(IF(INDEX(MASTER!$J$4:$J$1463,$P83)="","",INDEX(MASTER!$J$4:$J$1463,$P83)),""))</f>
        <v>DEVELOPING</v>
      </c>
      <c r="J83" s="17">
        <f>IF($P83="","",IFERROR(IF(INDEX(MASTER!$L$4:$L$1463,$P83)="","",INDEX(MASTER!$L$4:$L$1463,$P83)),""))</f>
        <v>4.1399999999999997</v>
      </c>
      <c r="K83" s="17">
        <f>IF($P83="","",IFERROR(IF(INDEX(MASTER!$N$4:$N$1463,$P83)="","",INDEX(MASTER!$N$4:$N$1463,$P83)),""))</f>
        <v>39.9</v>
      </c>
      <c r="L83" s="15" t="str">
        <f>IF($P83="","",IFERROR(IF(INDEX(MASTER!$O$4:$O$1463,$P83)="","",INDEX(MASTER!$O$4:$O$1463,$P83)),""))</f>
        <v>B</v>
      </c>
      <c r="M83" s="15">
        <f>IF($P83="","",IFERROR(IF(INDEX(MASTER!$Q$4:$Q$1463,$P83)="","",INDEX(MASTER!$Q$4:$Q$1463,$P83)),""))</f>
        <v>91</v>
      </c>
      <c r="N83" s="15" t="str">
        <f>IF($P83="","",IFERROR(IF(INDEX(MASTER!$S$4:$S$1463,$P83)="","",INDEX(MASTER!$S$4:$S$1463,$P83)),""))</f>
        <v>Complete</v>
      </c>
      <c r="P83">
        <f>IFERROR(MATCH($Q$1&amp;"@75",MASTER!$AC$4:$AC$1463,0),"")</f>
        <v>1031</v>
      </c>
    </row>
    <row r="84" spans="1:16">
      <c r="A84" s="19">
        <f>IF($P84="","",76)</f>
        <v>76</v>
      </c>
      <c r="B84" s="18" t="str">
        <f>IF($P84="","",IFERROR(IF(INDEX(MASTER!$C$4:$C$1463,$P84)="","",INDEX(MASTER!$C$4:$C$1463,$P84)),""))</f>
        <v>siike</v>
      </c>
      <c r="C84" s="19" t="str">
        <f>IF($P84="","",IFERROR(IF(INDEX(MASTER!$D$4:$D$1463,$P84)="","",INDEX(MASTER!$D$4:$D$1463,$P84)),""))</f>
        <v/>
      </c>
      <c r="D84" s="19" t="str">
        <f>IF($P84="","",IFERROR(IF(INDEX(MASTER!$E$4:$E$1463,$P84)="","",INDEX(MASTER!$E$4:$E$1463,$P84)),""))</f>
        <v>BARBARIAN</v>
      </c>
      <c r="E84" s="19" t="str">
        <f>IF($P84="","",IFERROR(IF(INDEX(MASTER!$F$4:$F$1463,$P84)="","",INDEX(MASTER!$F$4:$F$1463,$P84)),""))</f>
        <v>Frontline</v>
      </c>
      <c r="F84" s="20">
        <f>IF($P84="","",IFERROR(IF(INDEX(MASTER!$G$4:$G$1463,$P84)="","",INDEX(MASTER!$G$4:$G$1463,$P84)),""))</f>
        <v>61895</v>
      </c>
      <c r="G84" s="19" t="str">
        <f>IF($P84="","",IFERROR(IF(INDEX(MASTER!$H$4:$H$1463,$P84)="","",INDEX(MASTER!$H$4:$H$1463,$P84)),""))</f>
        <v>61,000 - 61,999</v>
      </c>
      <c r="H84" s="20">
        <f>IF($P84="","",IFERROR(IF(INDEX(MASTER!$I$4:$I$1463,$P84)="","",INDEX(MASTER!$I$4:$I$1463,$P84)),""))</f>
        <v>3498</v>
      </c>
      <c r="I84" s="19" t="str">
        <f>IF($P84="","",IFERROR(IF(INDEX(MASTER!$J$4:$J$1463,$P84)="","",INDEX(MASTER!$J$4:$J$1463,$P84)),""))</f>
        <v>DEVELOPING</v>
      </c>
      <c r="J84" s="21">
        <f>IF($P84="","",IFERROR(IF(INDEX(MASTER!$L$4:$L$1463,$P84)="","",INDEX(MASTER!$L$4:$L$1463,$P84)),""))</f>
        <v>4.0599999999999996</v>
      </c>
      <c r="K84" s="21">
        <f>IF($P84="","",IFERROR(IF(INDEX(MASTER!$N$4:$N$1463,$P84)="","",INDEX(MASTER!$N$4:$N$1463,$P84)),""))</f>
        <v>40.200000000000003</v>
      </c>
      <c r="L84" s="19" t="str">
        <f>IF($P84="","",IFERROR(IF(INDEX(MASTER!$O$4:$O$1463,$P84)="","",INDEX(MASTER!$O$4:$O$1463,$P84)),""))</f>
        <v>B</v>
      </c>
      <c r="M84" s="19">
        <f>IF($P84="","",IFERROR(IF(INDEX(MASTER!$Q$4:$Q$1463,$P84)="","",INDEX(MASTER!$Q$4:$Q$1463,$P84)),""))</f>
        <v>75</v>
      </c>
      <c r="N84" s="19" t="str">
        <f>IF($P84="","",IFERROR(IF(INDEX(MASTER!$S$4:$S$1463,$P84)="","",INDEX(MASTER!$S$4:$S$1463,$P84)),""))</f>
        <v>Complete</v>
      </c>
      <c r="P84">
        <f>IFERROR(MATCH($Q$1&amp;"@76",MASTER!$AC$4:$AC$1463,0),"")</f>
        <v>1043</v>
      </c>
    </row>
    <row r="85" spans="1:16">
      <c r="A85" s="15">
        <f>IF($P85="","",77)</f>
        <v>77</v>
      </c>
      <c r="B85" s="14" t="str">
        <f>IF($P85="","",IFERROR(IF(INDEX(MASTER!$C$4:$C$1463,$P85)="","",INDEX(MASTER!$C$4:$C$1463,$P85)),""))</f>
        <v>SilentlySweeetT</v>
      </c>
      <c r="C85" s="15" t="str">
        <f>IF($P85="","",IFERROR(IF(INDEX(MASTER!$D$4:$D$1463,$P85)="","",INDEX(MASTER!$D$4:$D$1463,$P85)),""))</f>
        <v/>
      </c>
      <c r="D85" s="15" t="str">
        <f>IF($P85="","",IFERROR(IF(INDEX(MASTER!$E$4:$E$1463,$P85)="","",INDEX(MASTER!$E$4:$E$1463,$P85)),""))</f>
        <v>WIZARD</v>
      </c>
      <c r="E85" s="15" t="str">
        <f>IF($P85="","",IFERROR(IF(INDEX(MASTER!$F$4:$F$1463,$P85)="","",INDEX(MASTER!$F$4:$F$1463,$P85)),""))</f>
        <v>Ranged DPS</v>
      </c>
      <c r="F85" s="16">
        <f>IF($P85="","",IFERROR(IF(INDEX(MASTER!$G$4:$G$1463,$P85)="","",INDEX(MASTER!$G$4:$G$1463,$P85)),""))</f>
        <v>61849</v>
      </c>
      <c r="G85" s="15" t="str">
        <f>IF($P85="","",IFERROR(IF(INDEX(MASTER!$H$4:$H$1463,$P85)="","",INDEX(MASTER!$H$4:$H$1463,$P85)),""))</f>
        <v>61,000 - 61,999</v>
      </c>
      <c r="H85" s="16">
        <f>IF($P85="","",IFERROR(IF(INDEX(MASTER!$I$4:$I$1463,$P85)="","",INDEX(MASTER!$I$4:$I$1463,$P85)),""))</f>
        <v>2649</v>
      </c>
      <c r="I85" s="15" t="str">
        <f>IF($P85="","",IFERROR(IF(INDEX(MASTER!$J$4:$J$1463,$P85)="","",INDEX(MASTER!$J$4:$J$1463,$P85)),""))</f>
        <v>DEVELOPING</v>
      </c>
      <c r="J85" s="17">
        <f>IF($P85="","",IFERROR(IF(INDEX(MASTER!$L$4:$L$1463,$P85)="","",INDEX(MASTER!$L$4:$L$1463,$P85)),""))</f>
        <v>3.87</v>
      </c>
      <c r="K85" s="17">
        <f>IF($P85="","",IFERROR(IF(INDEX(MASTER!$N$4:$N$1463,$P85)="","",INDEX(MASTER!$N$4:$N$1463,$P85)),""))</f>
        <v>36</v>
      </c>
      <c r="L85" s="15" t="str">
        <f>IF($P85="","",IFERROR(IF(INDEX(MASTER!$O$4:$O$1463,$P85)="","",INDEX(MASTER!$O$4:$O$1463,$P85)),""))</f>
        <v>B</v>
      </c>
      <c r="M85" s="15">
        <f>IF($P85="","",IFERROR(IF(INDEX(MASTER!$Q$4:$Q$1463,$P85)="","",INDEX(MASTER!$Q$4:$Q$1463,$P85)),""))</f>
        <v>97</v>
      </c>
      <c r="N85" s="15" t="str">
        <f>IF($P85="","",IFERROR(IF(INDEX(MASTER!$S$4:$S$1463,$P85)="","",INDEX(MASTER!$S$4:$S$1463,$P85)),""))</f>
        <v>Complete</v>
      </c>
      <c r="P85">
        <f>IFERROR(MATCH($Q$1&amp;"@77",MASTER!$AC$4:$AC$1463,0),"")</f>
        <v>1046</v>
      </c>
    </row>
    <row r="86" spans="1:16">
      <c r="A86" s="19">
        <f>IF($P86="","",78)</f>
        <v>78</v>
      </c>
      <c r="B86" s="18" t="str">
        <f>IF($P86="","",IFERROR(IF(INDEX(MASTER!$C$4:$C$1463,$P86)="","",INDEX(MASTER!$C$4:$C$1463,$P86)),""))</f>
        <v>Sirboss_0</v>
      </c>
      <c r="C86" s="19" t="str">
        <f>IF($P86="","",IFERROR(IF(INDEX(MASTER!$D$4:$D$1463,$P86)="","",INDEX(MASTER!$D$4:$D$1463,$P86)),""))</f>
        <v/>
      </c>
      <c r="D86" s="19" t="str">
        <f>IF($P86="","",IFERROR(IF(INDEX(MASTER!$E$4:$E$1463,$P86)="","",INDEX(MASTER!$E$4:$E$1463,$P86)),""))</f>
        <v>DEMON HUNTER</v>
      </c>
      <c r="E86" s="19" t="str">
        <f>IF($P86="","",IFERROR(IF(INDEX(MASTER!$F$4:$F$1463,$P86)="","",INDEX(MASTER!$F$4:$F$1463,$P86)),""))</f>
        <v>Ranged DPS</v>
      </c>
      <c r="F86" s="20">
        <f>IF($P86="","",IFERROR(IF(INDEX(MASTER!$G$4:$G$1463,$P86)="","",INDEX(MASTER!$G$4:$G$1463,$P86)),""))</f>
        <v>62937</v>
      </c>
      <c r="G86" s="19" t="str">
        <f>IF($P86="","",IFERROR(IF(INDEX(MASTER!$H$4:$H$1463,$P86)="","",INDEX(MASTER!$H$4:$H$1463,$P86)),""))</f>
        <v>62,000 - 62,999</v>
      </c>
      <c r="H86" s="20">
        <f>IF($P86="","",IFERROR(IF(INDEX(MASTER!$I$4:$I$1463,$P86)="","",INDEX(MASTER!$I$4:$I$1463,$P86)),""))</f>
        <v>3028</v>
      </c>
      <c r="I86" s="19" t="str">
        <f>IF($P86="","",IFERROR(IF(INDEX(MASTER!$J$4:$J$1463,$P86)="","",INDEX(MASTER!$J$4:$J$1463,$P86)),""))</f>
        <v>DEVELOPING</v>
      </c>
      <c r="J86" s="21">
        <f>IF($P86="","",IFERROR(IF(INDEX(MASTER!$L$4:$L$1463,$P86)="","",INDEX(MASTER!$L$4:$L$1463,$P86)),""))</f>
        <v>3.99</v>
      </c>
      <c r="K86" s="21">
        <f>IF($P86="","",IFERROR(IF(INDEX(MASTER!$N$4:$N$1463,$P86)="","",INDEX(MASTER!$N$4:$N$1463,$P86)),""))</f>
        <v>40.799999999999997</v>
      </c>
      <c r="L86" s="19" t="str">
        <f>IF($P86="","",IFERROR(IF(INDEX(MASTER!$O$4:$O$1463,$P86)="","",INDEX(MASTER!$O$4:$O$1463,$P86)),""))</f>
        <v>B</v>
      </c>
      <c r="M86" s="19">
        <f>IF($P86="","",IFERROR(IF(INDEX(MASTER!$Q$4:$Q$1463,$P86)="","",INDEX(MASTER!$Q$4:$Q$1463,$P86)),""))</f>
        <v>92</v>
      </c>
      <c r="N86" s="19" t="str">
        <f>IF($P86="","",IFERROR(IF(INDEX(MASTER!$S$4:$S$1463,$P86)="","",INDEX(MASTER!$S$4:$S$1463,$P86)),""))</f>
        <v>Complete</v>
      </c>
      <c r="P86">
        <f>IFERROR(MATCH($Q$1&amp;"@78",MASTER!$AC$4:$AC$1463,0),"")</f>
        <v>1055</v>
      </c>
    </row>
    <row r="87" spans="1:16">
      <c r="A87" s="15">
        <f>IF($P87="","",79)</f>
        <v>79</v>
      </c>
      <c r="B87" s="14" t="str">
        <f>IF($P87="","",IFERROR(IF(INDEX(MASTER!$C$4:$C$1463,$P87)="","",INDEX(MASTER!$C$4:$C$1463,$P87)),""))</f>
        <v>Six2Jet</v>
      </c>
      <c r="C87" s="15" t="str">
        <f>IF($P87="","",IFERROR(IF(INDEX(MASTER!$D$4:$D$1463,$P87)="","",INDEX(MASTER!$D$4:$D$1463,$P87)),""))</f>
        <v/>
      </c>
      <c r="D87" s="15" t="str">
        <f>IF($P87="","",IFERROR(IF(INDEX(MASTER!$E$4:$E$1463,$P87)="","",INDEX(MASTER!$E$4:$E$1463,$P87)),""))</f>
        <v>DEMON HUNTER</v>
      </c>
      <c r="E87" s="15" t="str">
        <f>IF($P87="","",IFERROR(IF(INDEX(MASTER!$F$4:$F$1463,$P87)="","",INDEX(MASTER!$F$4:$F$1463,$P87)),""))</f>
        <v>Ranged DPS</v>
      </c>
      <c r="F87" s="16">
        <f>IF($P87="","",IFERROR(IF(INDEX(MASTER!$G$4:$G$1463,$P87)="","",INDEX(MASTER!$G$4:$G$1463,$P87)),""))</f>
        <v>63245</v>
      </c>
      <c r="G87" s="15" t="str">
        <f>IF($P87="","",IFERROR(IF(INDEX(MASTER!$H$4:$H$1463,$P87)="","",INDEX(MASTER!$H$4:$H$1463,$P87)),""))</f>
        <v>63,000 - 63,999</v>
      </c>
      <c r="H87" s="16">
        <f>IF($P87="","",IFERROR(IF(INDEX(MASTER!$I$4:$I$1463,$P87)="","",INDEX(MASTER!$I$4:$I$1463,$P87)),""))</f>
        <v>4042</v>
      </c>
      <c r="I87" s="15" t="str">
        <f>IF($P87="","",IFERROR(IF(INDEX(MASTER!$J$4:$J$1463,$P87)="","",INDEX(MASTER!$J$4:$J$1463,$P87)),""))</f>
        <v>CORE</v>
      </c>
      <c r="J87" s="17">
        <f>IF($P87="","",IFERROR(IF(INDEX(MASTER!$L$4:$L$1463,$P87)="","",INDEX(MASTER!$L$4:$L$1463,$P87)),""))</f>
        <v>4.95</v>
      </c>
      <c r="K87" s="17">
        <f>IF($P87="","",IFERROR(IF(INDEX(MASTER!$N$4:$N$1463,$P87)="","",INDEX(MASTER!$N$4:$N$1463,$P87)),""))</f>
        <v>47.6</v>
      </c>
      <c r="L87" s="15" t="str">
        <f>IF($P87="","",IFERROR(IF(INDEX(MASTER!$O$4:$O$1463,$P87)="","",INDEX(MASTER!$O$4:$O$1463,$P87)),""))</f>
        <v>B</v>
      </c>
      <c r="M87" s="15">
        <f>IF($P87="","",IFERROR(IF(INDEX(MASTER!$Q$4:$Q$1463,$P87)="","",INDEX(MASTER!$Q$4:$Q$1463,$P87)),""))</f>
        <v>60</v>
      </c>
      <c r="N87" s="15" t="str">
        <f>IF($P87="","",IFERROR(IF(INDEX(MASTER!$S$4:$S$1463,$P87)="","",INDEX(MASTER!$S$4:$S$1463,$P87)),""))</f>
        <v>Complete</v>
      </c>
      <c r="P87">
        <f>IFERROR(MATCH($Q$1&amp;"@79",MASTER!$AC$4:$AC$1463,0),"")</f>
        <v>1062</v>
      </c>
    </row>
    <row r="88" spans="1:16">
      <c r="A88" s="19">
        <f>IF($P88="","",80)</f>
        <v>80</v>
      </c>
      <c r="B88" s="18" t="str">
        <f>IF($P88="","",IFERROR(IF(INDEX(MASTER!$C$4:$C$1463,$P88)="","",INDEX(MASTER!$C$4:$C$1463,$P88)),""))</f>
        <v>Smackie</v>
      </c>
      <c r="C88" s="19" t="str">
        <f>IF($P88="","",IFERROR(IF(INDEX(MASTER!$D$4:$D$1463,$P88)="","",INDEX(MASTER!$D$4:$D$1463,$P88)),""))</f>
        <v/>
      </c>
      <c r="D88" s="19" t="str">
        <f>IF($P88="","",IFERROR(IF(INDEX(MASTER!$E$4:$E$1463,$P88)="","",INDEX(MASTER!$E$4:$E$1463,$P88)),""))</f>
        <v>BARBARIAN</v>
      </c>
      <c r="E88" s="19" t="str">
        <f>IF($P88="","",IFERROR(IF(INDEX(MASTER!$F$4:$F$1463,$P88)="","",INDEX(MASTER!$F$4:$F$1463,$P88)),""))</f>
        <v>Frontline</v>
      </c>
      <c r="F88" s="20">
        <f>IF($P88="","",IFERROR(IF(INDEX(MASTER!$G$4:$G$1463,$P88)="","",INDEX(MASTER!$G$4:$G$1463,$P88)),""))</f>
        <v>64415</v>
      </c>
      <c r="G88" s="19" t="str">
        <f>IF($P88="","",IFERROR(IF(INDEX(MASTER!$H$4:$H$1463,$P88)="","",INDEX(MASTER!$H$4:$H$1463,$P88)),""))</f>
        <v>64,000 +</v>
      </c>
      <c r="H88" s="20">
        <f>IF($P88="","",IFERROR(IF(INDEX(MASTER!$I$4:$I$1463,$P88)="","",INDEX(MASTER!$I$4:$I$1463,$P88)),""))</f>
        <v>9278</v>
      </c>
      <c r="I88" s="19" t="str">
        <f>IF($P88="","",IFERROR(IF(INDEX(MASTER!$J$4:$J$1463,$P88)="","",INDEX(MASTER!$J$4:$J$1463,$P88)),""))</f>
        <v>ELITE</v>
      </c>
      <c r="J88" s="21">
        <f>IF($P88="","",IFERROR(IF(INDEX(MASTER!$L$4:$L$1463,$P88)="","",INDEX(MASTER!$L$4:$L$1463,$P88)),""))</f>
        <v>7.9</v>
      </c>
      <c r="K88" s="21">
        <f>IF($P88="","",IFERROR(IF(INDEX(MASTER!$N$4:$N$1463,$P88)="","",INDEX(MASTER!$N$4:$N$1463,$P88)),""))</f>
        <v>78.400000000000006</v>
      </c>
      <c r="L88" s="19" t="str">
        <f>IF($P88="","",IFERROR(IF(INDEX(MASTER!$O$4:$O$1463,$P88)="","",INDEX(MASTER!$O$4:$O$1463,$P88)),""))</f>
        <v>S</v>
      </c>
      <c r="M88" s="19">
        <f>IF($P88="","",IFERROR(IF(INDEX(MASTER!$Q$4:$Q$1463,$P88)="","",INDEX(MASTER!$Q$4:$Q$1463,$P88)),""))</f>
        <v>8</v>
      </c>
      <c r="N88" s="19" t="str">
        <f>IF($P88="","",IFERROR(IF(INDEX(MASTER!$S$4:$S$1463,$P88)="","",INDEX(MASTER!$S$4:$S$1463,$P88)),""))</f>
        <v>Complete</v>
      </c>
      <c r="P88">
        <f>IFERROR(MATCH($Q$1&amp;"@80",MASTER!$AC$4:$AC$1463,0),"")</f>
        <v>1065</v>
      </c>
    </row>
    <row r="89" spans="1:16">
      <c r="A89" s="15">
        <f>IF($P89="","",81)</f>
        <v>81</v>
      </c>
      <c r="B89" s="14" t="str">
        <f>IF($P89="","",IFERROR(IF(INDEX(MASTER!$C$4:$C$1463,$P89)="","",INDEX(MASTER!$C$4:$C$1463,$P89)),""))</f>
        <v>Smokentree</v>
      </c>
      <c r="C89" s="15" t="str">
        <f>IF($P89="","",IFERROR(IF(INDEX(MASTER!$D$4:$D$1463,$P89)="","",INDEX(MASTER!$D$4:$D$1463,$P89)),""))</f>
        <v/>
      </c>
      <c r="D89" s="15" t="str">
        <f>IF($P89="","",IFERROR(IF(INDEX(MASTER!$E$4:$E$1463,$P89)="","",INDEX(MASTER!$E$4:$E$1463,$P89)),""))</f>
        <v>WARLOCK</v>
      </c>
      <c r="E89" s="15" t="str">
        <f>IF($P89="","",IFERROR(IF(INDEX(MASTER!$F$4:$F$1463,$P89)="","",INDEX(MASTER!$F$4:$F$1463,$P89)),""))</f>
        <v>Control</v>
      </c>
      <c r="F89" s="16">
        <f>IF($P89="","",IFERROR(IF(INDEX(MASTER!$G$4:$G$1463,$P89)="","",INDEX(MASTER!$G$4:$G$1463,$P89)),""))</f>
        <v>62022</v>
      </c>
      <c r="G89" s="15" t="str">
        <f>IF($P89="","",IFERROR(IF(INDEX(MASTER!$H$4:$H$1463,$P89)="","",INDEX(MASTER!$H$4:$H$1463,$P89)),""))</f>
        <v>62,000 - 62,999</v>
      </c>
      <c r="H89" s="16">
        <f>IF($P89="","",IFERROR(IF(INDEX(MASTER!$I$4:$I$1463,$P89)="","",INDEX(MASTER!$I$4:$I$1463,$P89)),""))</f>
        <v>3338</v>
      </c>
      <c r="I89" s="15" t="str">
        <f>IF($P89="","",IFERROR(IF(INDEX(MASTER!$J$4:$J$1463,$P89)="","",INDEX(MASTER!$J$4:$J$1463,$P89)),""))</f>
        <v>DEVELOPING</v>
      </c>
      <c r="J89" s="17">
        <f>IF($P89="","",IFERROR(IF(INDEX(MASTER!$L$4:$L$1463,$P89)="","",INDEX(MASTER!$L$4:$L$1463,$P89)),""))</f>
        <v>3.52</v>
      </c>
      <c r="K89" s="17">
        <f>IF($P89="","",IFERROR(IF(INDEX(MASTER!$N$4:$N$1463,$P89)="","",INDEX(MASTER!$N$4:$N$1463,$P89)),""))</f>
        <v>38.9</v>
      </c>
      <c r="L89" s="15" t="str">
        <f>IF($P89="","",IFERROR(IF(INDEX(MASTER!$O$4:$O$1463,$P89)="","",INDEX(MASTER!$O$4:$O$1463,$P89)),""))</f>
        <v>B</v>
      </c>
      <c r="M89" s="15">
        <f>IF($P89="","",IFERROR(IF(INDEX(MASTER!$Q$4:$Q$1463,$P89)="","",INDEX(MASTER!$Q$4:$Q$1463,$P89)),""))</f>
        <v>77</v>
      </c>
      <c r="N89" s="15" t="str">
        <f>IF($P89="","",IFERROR(IF(INDEX(MASTER!$S$4:$S$1463,$P89)="","",INDEX(MASTER!$S$4:$S$1463,$P89)),""))</f>
        <v>Complete</v>
      </c>
      <c r="P89">
        <f>IFERROR(MATCH($Q$1&amp;"@81",MASTER!$AC$4:$AC$1463,0),"")</f>
        <v>1105</v>
      </c>
    </row>
    <row r="90" spans="1:16">
      <c r="A90" s="19">
        <f>IF($P90="","",82)</f>
        <v>82</v>
      </c>
      <c r="B90" s="18" t="str">
        <f>IF($P90="","",IFERROR(IF(INDEX(MASTER!$C$4:$C$1463,$P90)="","",INDEX(MASTER!$C$4:$C$1463,$P90)),""))</f>
        <v>SonOfSoul</v>
      </c>
      <c r="C90" s="19" t="str">
        <f>IF($P90="","",IFERROR(IF(INDEX(MASTER!$D$4:$D$1463,$P90)="","",INDEX(MASTER!$D$4:$D$1463,$P90)),""))</f>
        <v>XX</v>
      </c>
      <c r="D90" s="19" t="str">
        <f>IF($P90="","",IFERROR(IF(INDEX(MASTER!$E$4:$E$1463,$P90)="","",INDEX(MASTER!$E$4:$E$1463,$P90)),""))</f>
        <v>CRUSADER</v>
      </c>
      <c r="E90" s="19" t="str">
        <f>IF($P90="","",IFERROR(IF(INDEX(MASTER!$F$4:$F$1463,$P90)="","",INDEX(MASTER!$F$4:$F$1463,$P90)),""))</f>
        <v>Frontline</v>
      </c>
      <c r="F90" s="20">
        <f>IF($P90="","",IFERROR(IF(INDEX(MASTER!$G$4:$G$1463,$P90)="","",INDEX(MASTER!$G$4:$G$1463,$P90)),""))</f>
        <v>63732</v>
      </c>
      <c r="G90" s="19" t="str">
        <f>IF($P90="","",IFERROR(IF(INDEX(MASTER!$H$4:$H$1463,$P90)="","",INDEX(MASTER!$H$4:$H$1463,$P90)),""))</f>
        <v>63,000 - 63,999</v>
      </c>
      <c r="H90" s="20">
        <f>IF($P90="","",IFERROR(IF(INDEX(MASTER!$I$4:$I$1463,$P90)="","",INDEX(MASTER!$I$4:$I$1463,$P90)),""))</f>
        <v>5492</v>
      </c>
      <c r="I90" s="19" t="str">
        <f>IF($P90="","",IFERROR(IF(INDEX(MASTER!$J$4:$J$1463,$P90)="","",INDEX(MASTER!$J$4:$J$1463,$P90)),""))</f>
        <v>CORE</v>
      </c>
      <c r="J90" s="21">
        <f>IF($P90="","",IFERROR(IF(INDEX(MASTER!$L$4:$L$1463,$P90)="","",INDEX(MASTER!$L$4:$L$1463,$P90)),""))</f>
        <v>5.33</v>
      </c>
      <c r="K90" s="21">
        <f>IF($P90="","",IFERROR(IF(INDEX(MASTER!$N$4:$N$1463,$P90)="","",INDEX(MASTER!$N$4:$N$1463,$P90)),""))</f>
        <v>55.8</v>
      </c>
      <c r="L90" s="19" t="str">
        <f>IF($P90="","",IFERROR(IF(INDEX(MASTER!$O$4:$O$1463,$P90)="","",INDEX(MASTER!$O$4:$O$1463,$P90)),""))</f>
        <v>A</v>
      </c>
      <c r="M90" s="19">
        <f>IF($P90="","",IFERROR(IF(INDEX(MASTER!$Q$4:$Q$1463,$P90)="","",INDEX(MASTER!$Q$4:$Q$1463,$P90)),""))</f>
        <v>35</v>
      </c>
      <c r="N90" s="19" t="str">
        <f>IF($P90="","",IFERROR(IF(INDEX(MASTER!$S$4:$S$1463,$P90)="","",INDEX(MASTER!$S$4:$S$1463,$P90)),""))</f>
        <v>Complete</v>
      </c>
      <c r="P90">
        <f>IFERROR(MATCH($Q$1&amp;"@82",MASTER!$AC$4:$AC$1463,0),"")</f>
        <v>1130</v>
      </c>
    </row>
    <row r="91" spans="1:16">
      <c r="A91" s="15">
        <f>IF($P91="","",83)</f>
        <v>83</v>
      </c>
      <c r="B91" s="14" t="str">
        <f>IF($P91="","",IFERROR(IF(INDEX(MASTER!$C$4:$C$1463,$P91)="","",INDEX(MASTER!$C$4:$C$1463,$P91)),""))</f>
        <v>SPANđëx</v>
      </c>
      <c r="C91" s="15" t="str">
        <f>IF($P91="","",IFERROR(IF(INDEX(MASTER!$D$4:$D$1463,$P91)="","",INDEX(MASTER!$D$4:$D$1463,$P91)),""))</f>
        <v/>
      </c>
      <c r="D91" s="15" t="str">
        <f>IF($P91="","",IFERROR(IF(INDEX(MASTER!$E$4:$E$1463,$P91)="","",INDEX(MASTER!$E$4:$E$1463,$P91)),""))</f>
        <v>WARLOCK</v>
      </c>
      <c r="E91" s="15" t="str">
        <f>IF($P91="","",IFERROR(IF(INDEX(MASTER!$F$4:$F$1463,$P91)="","",INDEX(MASTER!$F$4:$F$1463,$P91)),""))</f>
        <v>Control</v>
      </c>
      <c r="F91" s="16">
        <f>IF($P91="","",IFERROR(IF(INDEX(MASTER!$G$4:$G$1463,$P91)="","",INDEX(MASTER!$G$4:$G$1463,$P91)),""))</f>
        <v>63196</v>
      </c>
      <c r="G91" s="15" t="str">
        <f>IF($P91="","",IFERROR(IF(INDEX(MASTER!$H$4:$H$1463,$P91)="","",INDEX(MASTER!$H$4:$H$1463,$P91)),""))</f>
        <v>63,000 - 63,999</v>
      </c>
      <c r="H91" s="16">
        <f>IF($P91="","",IFERROR(IF(INDEX(MASTER!$I$4:$I$1463,$P91)="","",INDEX(MASTER!$I$4:$I$1463,$P91)),""))</f>
        <v>7419</v>
      </c>
      <c r="I91" s="15" t="str">
        <f>IF($P91="","",IFERROR(IF(INDEX(MASTER!$J$4:$J$1463,$P91)="","",INDEX(MASTER!$J$4:$J$1463,$P91)),""))</f>
        <v>VETERAN</v>
      </c>
      <c r="J91" s="17">
        <f>IF($P91="","",IFERROR(IF(INDEX(MASTER!$L$4:$L$1463,$P91)="","",INDEX(MASTER!$L$4:$L$1463,$P91)),""))</f>
        <v>5.2</v>
      </c>
      <c r="K91" s="17">
        <f>IF($P91="","",IFERROR(IF(INDEX(MASTER!$N$4:$N$1463,$P91)="","",INDEX(MASTER!$N$4:$N$1463,$P91)),""))</f>
        <v>62.6</v>
      </c>
      <c r="L91" s="15" t="str">
        <f>IF($P91="","",IFERROR(IF(INDEX(MASTER!$O$4:$O$1463,$P91)="","",INDEX(MASTER!$O$4:$O$1463,$P91)),""))</f>
        <v>A</v>
      </c>
      <c r="M91" s="15">
        <f>IF($P91="","",IFERROR(IF(INDEX(MASTER!$Q$4:$Q$1463,$P91)="","",INDEX(MASTER!$Q$4:$Q$1463,$P91)),""))</f>
        <v>19</v>
      </c>
      <c r="N91" s="15" t="str">
        <f>IF($P91="","",IFERROR(IF(INDEX(MASTER!$S$4:$S$1463,$P91)="","",INDEX(MASTER!$S$4:$S$1463,$P91)),""))</f>
        <v>Complete</v>
      </c>
      <c r="P91">
        <f>IFERROR(MATCH($Q$1&amp;"@83",MASTER!$AC$4:$AC$1463,0),"")</f>
        <v>1133</v>
      </c>
    </row>
    <row r="92" spans="1:16">
      <c r="A92" s="19">
        <f>IF($P92="","",84)</f>
        <v>84</v>
      </c>
      <c r="B92" s="18" t="str">
        <f>IF($P92="","",IFERROR(IF(INDEX(MASTER!$C$4:$C$1463,$P92)="","",INDEX(MASTER!$C$4:$C$1463,$P92)),""))</f>
        <v>SpinDieseI</v>
      </c>
      <c r="C92" s="19" t="str">
        <f>IF($P92="","",IFERROR(IF(INDEX(MASTER!$D$4:$D$1463,$P92)="","",INDEX(MASTER!$D$4:$D$1463,$P92)),""))</f>
        <v/>
      </c>
      <c r="D92" s="19" t="str">
        <f>IF($P92="","",IFERROR(IF(INDEX(MASTER!$E$4:$E$1463,$P92)="","",INDEX(MASTER!$E$4:$E$1463,$P92)),""))</f>
        <v>DEMON HUNTER</v>
      </c>
      <c r="E92" s="19" t="str">
        <f>IF($P92="","",IFERROR(IF(INDEX(MASTER!$F$4:$F$1463,$P92)="","",INDEX(MASTER!$F$4:$F$1463,$P92)),""))</f>
        <v>Ranged DPS</v>
      </c>
      <c r="F92" s="20">
        <f>IF($P92="","",IFERROR(IF(INDEX(MASTER!$G$4:$G$1463,$P92)="","",INDEX(MASTER!$G$4:$G$1463,$P92)),""))</f>
        <v>63291</v>
      </c>
      <c r="G92" s="19" t="str">
        <f>IF($P92="","",IFERROR(IF(INDEX(MASTER!$H$4:$H$1463,$P92)="","",INDEX(MASTER!$H$4:$H$1463,$P92)),""))</f>
        <v>63,000 - 63,999</v>
      </c>
      <c r="H92" s="20">
        <f>IF($P92="","",IFERROR(IF(INDEX(MASTER!$I$4:$I$1463,$P92)="","",INDEX(MASTER!$I$4:$I$1463,$P92)),""))</f>
        <v>10332</v>
      </c>
      <c r="I92" s="19" t="str">
        <f>IF($P92="","",IFERROR(IF(INDEX(MASTER!$J$4:$J$1463,$P92)="","",INDEX(MASTER!$J$4:$J$1463,$P92)),""))</f>
        <v>APEX</v>
      </c>
      <c r="J92" s="21">
        <f>IF($P92="","",IFERROR(IF(INDEX(MASTER!$L$4:$L$1463,$P92)="","",INDEX(MASTER!$L$4:$L$1463,$P92)),""))</f>
        <v>10.5</v>
      </c>
      <c r="K92" s="21">
        <f>IF($P92="","",IFERROR(IF(INDEX(MASTER!$N$4:$N$1463,$P92)="","",INDEX(MASTER!$N$4:$N$1463,$P92)),""))</f>
        <v>84.4</v>
      </c>
      <c r="L92" s="19" t="str">
        <f>IF($P92="","",IFERROR(IF(INDEX(MASTER!$O$4:$O$1463,$P92)="","",INDEX(MASTER!$O$4:$O$1463,$P92)),""))</f>
        <v>S+</v>
      </c>
      <c r="M92" s="19">
        <f>IF($P92="","",IFERROR(IF(INDEX(MASTER!$Q$4:$Q$1463,$P92)="","",INDEX(MASTER!$Q$4:$Q$1463,$P92)),""))</f>
        <v>3</v>
      </c>
      <c r="N92" s="19" t="str">
        <f>IF($P92="","",IFERROR(IF(INDEX(MASTER!$S$4:$S$1463,$P92)="","",INDEX(MASTER!$S$4:$S$1463,$P92)),""))</f>
        <v>Complete</v>
      </c>
      <c r="P92">
        <f>IFERROR(MATCH($Q$1&amp;"@84",MASTER!$AC$4:$AC$1463,0),"")</f>
        <v>1135</v>
      </c>
    </row>
    <row r="93" spans="1:16">
      <c r="A93" s="15">
        <f>IF($P93="","",85)</f>
        <v>85</v>
      </c>
      <c r="B93" s="14" t="str">
        <f>IF($P93="","",IFERROR(IF(INDEX(MASTER!$C$4:$C$1463,$P93)="","",INDEX(MASTER!$C$4:$C$1463,$P93)),""))</f>
        <v>Steel</v>
      </c>
      <c r="C93" s="15" t="str">
        <f>IF($P93="","",IFERROR(IF(INDEX(MASTER!$D$4:$D$1463,$P93)="","",INDEX(MASTER!$D$4:$D$1463,$P93)),""))</f>
        <v/>
      </c>
      <c r="D93" s="15" t="str">
        <f>IF($P93="","",IFERROR(IF(INDEX(MASTER!$E$4:$E$1463,$P93)="","",INDEX(MASTER!$E$4:$E$1463,$P93)),""))</f>
        <v>NECROMANCER</v>
      </c>
      <c r="E93" s="15" t="str">
        <f>IF($P93="","",IFERROR(IF(INDEX(MASTER!$F$4:$F$1463,$P93)="","",INDEX(MASTER!$F$4:$F$1463,$P93)),""))</f>
        <v>Control</v>
      </c>
      <c r="F93" s="16">
        <f>IF($P93="","",IFERROR(IF(INDEX(MASTER!$G$4:$G$1463,$P93)="","",INDEX(MASTER!$G$4:$G$1463,$P93)),""))</f>
        <v>63255</v>
      </c>
      <c r="G93" s="15" t="str">
        <f>IF($P93="","",IFERROR(IF(INDEX(MASTER!$H$4:$H$1463,$P93)="","",INDEX(MASTER!$H$4:$H$1463,$P93)),""))</f>
        <v>63,000 - 63,999</v>
      </c>
      <c r="H93" s="16">
        <f>IF($P93="","",IFERROR(IF(INDEX(MASTER!$I$4:$I$1463,$P93)="","",INDEX(MASTER!$I$4:$I$1463,$P93)),""))</f>
        <v>5557</v>
      </c>
      <c r="I93" s="15" t="str">
        <f>IF($P93="","",IFERROR(IF(INDEX(MASTER!$J$4:$J$1463,$P93)="","",INDEX(MASTER!$J$4:$J$1463,$P93)),""))</f>
        <v>CORE</v>
      </c>
      <c r="J93" s="17">
        <f>IF($P93="","",IFERROR(IF(INDEX(MASTER!$L$4:$L$1463,$P93)="","",INDEX(MASTER!$L$4:$L$1463,$P93)),""))</f>
        <v>5.26</v>
      </c>
      <c r="K93" s="17">
        <f>IF($P93="","",IFERROR(IF(INDEX(MASTER!$N$4:$N$1463,$P93)="","",INDEX(MASTER!$N$4:$N$1463,$P93)),""))</f>
        <v>54.7</v>
      </c>
      <c r="L93" s="15" t="str">
        <f>IF($P93="","",IFERROR(IF(INDEX(MASTER!$O$4:$O$1463,$P93)="","",INDEX(MASTER!$O$4:$O$1463,$P93)),""))</f>
        <v>A</v>
      </c>
      <c r="M93" s="15">
        <f>IF($P93="","",IFERROR(IF(INDEX(MASTER!$Q$4:$Q$1463,$P93)="","",INDEX(MASTER!$Q$4:$Q$1463,$P93)),""))</f>
        <v>33</v>
      </c>
      <c r="N93" s="15" t="str">
        <f>IF($P93="","",IFERROR(IF(INDEX(MASTER!$S$4:$S$1463,$P93)="","",INDEX(MASTER!$S$4:$S$1463,$P93)),""))</f>
        <v>Complete</v>
      </c>
      <c r="P93">
        <f>IFERROR(MATCH($Q$1&amp;"@85",MASTER!$AC$4:$AC$1463,0),"")</f>
        <v>1168</v>
      </c>
    </row>
    <row r="94" spans="1:16">
      <c r="A94" s="19">
        <f>IF($P94="","",86)</f>
        <v>86</v>
      </c>
      <c r="B94" s="18" t="str">
        <f>IF($P94="","",IFERROR(IF(INDEX(MASTER!$C$4:$C$1463,$P94)="","",INDEX(MASTER!$C$4:$C$1463,$P94)),""))</f>
        <v>Stepheroth</v>
      </c>
      <c r="C94" s="19" t="str">
        <f>IF($P94="","",IFERROR(IF(INDEX(MASTER!$D$4:$D$1463,$P94)="","",INDEX(MASTER!$D$4:$D$1463,$P94)),""))</f>
        <v/>
      </c>
      <c r="D94" s="19" t="str">
        <f>IF($P94="","",IFERROR(IF(INDEX(MASTER!$E$4:$E$1463,$P94)="","",INDEX(MASTER!$E$4:$E$1463,$P94)),""))</f>
        <v>NECROMANCER</v>
      </c>
      <c r="E94" s="19" t="str">
        <f>IF($P94="","",IFERROR(IF(INDEX(MASTER!$F$4:$F$1463,$P94)="","",INDEX(MASTER!$F$4:$F$1463,$P94)),""))</f>
        <v>Control</v>
      </c>
      <c r="F94" s="20">
        <f>IF($P94="","",IFERROR(IF(INDEX(MASTER!$G$4:$G$1463,$P94)="","",INDEX(MASTER!$G$4:$G$1463,$P94)),""))</f>
        <v>62944</v>
      </c>
      <c r="G94" s="19" t="str">
        <f>IF($P94="","",IFERROR(IF(INDEX(MASTER!$H$4:$H$1463,$P94)="","",INDEX(MASTER!$H$4:$H$1463,$P94)),""))</f>
        <v>62,000 - 62,999</v>
      </c>
      <c r="H94" s="20">
        <f>IF($P94="","",IFERROR(IF(INDEX(MASTER!$I$4:$I$1463,$P94)="","",INDEX(MASTER!$I$4:$I$1463,$P94)),""))</f>
        <v>3867</v>
      </c>
      <c r="I94" s="19" t="str">
        <f>IF($P94="","",IFERROR(IF(INDEX(MASTER!$J$4:$J$1463,$P94)="","",INDEX(MASTER!$J$4:$J$1463,$P94)),""))</f>
        <v>DEVELOPING</v>
      </c>
      <c r="J94" s="21">
        <f>IF($P94="","",IFERROR(IF(INDEX(MASTER!$L$4:$L$1463,$P94)="","",INDEX(MASTER!$L$4:$L$1463,$P94)),""))</f>
        <v>4.05</v>
      </c>
      <c r="K94" s="21">
        <f>IF($P94="","",IFERROR(IF(INDEX(MASTER!$N$4:$N$1463,$P94)="","",INDEX(MASTER!$N$4:$N$1463,$P94)),""))</f>
        <v>44.5</v>
      </c>
      <c r="L94" s="19" t="str">
        <f>IF($P94="","",IFERROR(IF(INDEX(MASTER!$O$4:$O$1463,$P94)="","",INDEX(MASTER!$O$4:$O$1463,$P94)),""))</f>
        <v>B</v>
      </c>
      <c r="M94" s="19">
        <f>IF($P94="","",IFERROR(IF(INDEX(MASTER!$Q$4:$Q$1463,$P94)="","",INDEX(MASTER!$Q$4:$Q$1463,$P94)),""))</f>
        <v>64</v>
      </c>
      <c r="N94" s="19" t="str">
        <f>IF($P94="","",IFERROR(IF(INDEX(MASTER!$S$4:$S$1463,$P94)="","",INDEX(MASTER!$S$4:$S$1463,$P94)),""))</f>
        <v>Complete</v>
      </c>
      <c r="P94">
        <f>IFERROR(MATCH($Q$1&amp;"@86",MASTER!$AC$4:$AC$1463,0),"")</f>
        <v>1222</v>
      </c>
    </row>
    <row r="95" spans="1:16">
      <c r="A95" s="15">
        <f>IF($P95="","",87)</f>
        <v>87</v>
      </c>
      <c r="B95" s="14" t="str">
        <f>IF($P95="","",IFERROR(IF(INDEX(MASTER!$C$4:$C$1463,$P95)="","",INDEX(MASTER!$C$4:$C$1463,$P95)),""))</f>
        <v>Synister_0</v>
      </c>
      <c r="C95" s="15" t="str">
        <f>IF($P95="","",IFERROR(IF(INDEX(MASTER!$D$4:$D$1463,$P95)="","",INDEX(MASTER!$D$4:$D$1463,$P95)),""))</f>
        <v/>
      </c>
      <c r="D95" s="15" t="str">
        <f>IF($P95="","",IFERROR(IF(INDEX(MASTER!$E$4:$E$1463,$P95)="","",INDEX(MASTER!$E$4:$E$1463,$P95)),""))</f>
        <v>DEMON HUNTER</v>
      </c>
      <c r="E95" s="15" t="str">
        <f>IF($P95="","",IFERROR(IF(INDEX(MASTER!$F$4:$F$1463,$P95)="","",INDEX(MASTER!$F$4:$F$1463,$P95)),""))</f>
        <v>Ranged DPS</v>
      </c>
      <c r="F95" s="16">
        <f>IF($P95="","",IFERROR(IF(INDEX(MASTER!$G$4:$G$1463,$P95)="","",INDEX(MASTER!$G$4:$G$1463,$P95)),""))</f>
        <v>63210</v>
      </c>
      <c r="G95" s="15" t="str">
        <f>IF($P95="","",IFERROR(IF(INDEX(MASTER!$H$4:$H$1463,$P95)="","",INDEX(MASTER!$H$4:$H$1463,$P95)),""))</f>
        <v>63,000 - 63,999</v>
      </c>
      <c r="H95" s="16">
        <f>IF($P95="","",IFERROR(IF(INDEX(MASTER!$I$4:$I$1463,$P95)="","",INDEX(MASTER!$I$4:$I$1463,$P95)),""))</f>
        <v>5749</v>
      </c>
      <c r="I95" s="15" t="str">
        <f>IF($P95="","",IFERROR(IF(INDEX(MASTER!$J$4:$J$1463,$P95)="","",INDEX(MASTER!$J$4:$J$1463,$P95)),""))</f>
        <v>CORE</v>
      </c>
      <c r="J95" s="17">
        <f>IF($P95="","",IFERROR(IF(INDEX(MASTER!$L$4:$L$1463,$P95)="","",INDEX(MASTER!$L$4:$L$1463,$P95)),""))</f>
        <v>4.88</v>
      </c>
      <c r="K95" s="17">
        <f>IF($P95="","",IFERROR(IF(INDEX(MASTER!$N$4:$N$1463,$P95)="","",INDEX(MASTER!$N$4:$N$1463,$P95)),""))</f>
        <v>54.8</v>
      </c>
      <c r="L95" s="15" t="str">
        <f>IF($P95="","",IFERROR(IF(INDEX(MASTER!$O$4:$O$1463,$P95)="","",INDEX(MASTER!$O$4:$O$1463,$P95)),""))</f>
        <v>A</v>
      </c>
      <c r="M95" s="15">
        <f>IF($P95="","",IFERROR(IF(INDEX(MASTER!$Q$4:$Q$1463,$P95)="","",INDEX(MASTER!$Q$4:$Q$1463,$P95)),""))</f>
        <v>31</v>
      </c>
      <c r="N95" s="15" t="str">
        <f>IF($P95="","",IFERROR(IF(INDEX(MASTER!$S$4:$S$1463,$P95)="","",INDEX(MASTER!$S$4:$S$1463,$P95)),""))</f>
        <v>Complete</v>
      </c>
      <c r="P95">
        <f>IFERROR(MATCH($Q$1&amp;"@87",MASTER!$AC$4:$AC$1463,0),"")</f>
        <v>1268</v>
      </c>
    </row>
    <row r="96" spans="1:16">
      <c r="A96" s="19">
        <f>IF($P96="","",88)</f>
        <v>88</v>
      </c>
      <c r="B96" s="18" t="str">
        <f>IF($P96="","",IFERROR(IF(INDEX(MASTER!$C$4:$C$1463,$P96)="","",INDEX(MASTER!$C$4:$C$1463,$P96)),""))</f>
        <v>Terrorhavoc</v>
      </c>
      <c r="C96" s="19" t="str">
        <f>IF($P96="","",IFERROR(IF(INDEX(MASTER!$D$4:$D$1463,$P96)="","",INDEX(MASTER!$D$4:$D$1463,$P96)),""))</f>
        <v/>
      </c>
      <c r="D96" s="19" t="str">
        <f>IF($P96="","",IFERROR(IF(INDEX(MASTER!$E$4:$E$1463,$P96)="","",INDEX(MASTER!$E$4:$E$1463,$P96)),""))</f>
        <v>BARBARIAN</v>
      </c>
      <c r="E96" s="19" t="str">
        <f>IF($P96="","",IFERROR(IF(INDEX(MASTER!$F$4:$F$1463,$P96)="","",INDEX(MASTER!$F$4:$F$1463,$P96)),""))</f>
        <v>Frontline</v>
      </c>
      <c r="F96" s="20">
        <f>IF($P96="","",IFERROR(IF(INDEX(MASTER!$G$4:$G$1463,$P96)="","",INDEX(MASTER!$G$4:$G$1463,$P96)),""))</f>
        <v>63257</v>
      </c>
      <c r="G96" s="19" t="str">
        <f>IF($P96="","",IFERROR(IF(INDEX(MASTER!$H$4:$H$1463,$P96)="","",INDEX(MASTER!$H$4:$H$1463,$P96)),""))</f>
        <v>63,000 - 63,999</v>
      </c>
      <c r="H96" s="20">
        <f>IF($P96="","",IFERROR(IF(INDEX(MASTER!$I$4:$I$1463,$P96)="","",INDEX(MASTER!$I$4:$I$1463,$P96)),""))</f>
        <v>4973</v>
      </c>
      <c r="I96" s="19" t="str">
        <f>IF($P96="","",IFERROR(IF(INDEX(MASTER!$J$4:$J$1463,$P96)="","",INDEX(MASTER!$J$4:$J$1463,$P96)),""))</f>
        <v>CORE</v>
      </c>
      <c r="J96" s="21">
        <f>IF($P96="","",IFERROR(IF(INDEX(MASTER!$L$4:$L$1463,$P96)="","",INDEX(MASTER!$L$4:$L$1463,$P96)),""))</f>
        <v>5.19</v>
      </c>
      <c r="K96" s="21">
        <f>IF($P96="","",IFERROR(IF(INDEX(MASTER!$N$4:$N$1463,$P96)="","",INDEX(MASTER!$N$4:$N$1463,$P96)),""))</f>
        <v>52.1</v>
      </c>
      <c r="L96" s="19" t="str">
        <f>IF($P96="","",IFERROR(IF(INDEX(MASTER!$O$4:$O$1463,$P96)="","",INDEX(MASTER!$O$4:$O$1463,$P96)),""))</f>
        <v>A</v>
      </c>
      <c r="M96" s="19">
        <f>IF($P96="","",IFERROR(IF(INDEX(MASTER!$Q$4:$Q$1463,$P96)="","",INDEX(MASTER!$Q$4:$Q$1463,$P96)),""))</f>
        <v>43</v>
      </c>
      <c r="N96" s="19" t="str">
        <f>IF($P96="","",IFERROR(IF(INDEX(MASTER!$S$4:$S$1463,$P96)="","",INDEX(MASTER!$S$4:$S$1463,$P96)),""))</f>
        <v>Complete</v>
      </c>
      <c r="P96">
        <f>IFERROR(MATCH($Q$1&amp;"@88",MASTER!$AC$4:$AC$1463,0),"")</f>
        <v>1269</v>
      </c>
    </row>
    <row r="97" spans="1:16">
      <c r="A97" s="15">
        <f>IF($P97="","",89)</f>
        <v>89</v>
      </c>
      <c r="B97" s="14" t="str">
        <f>IF($P97="","",IFERROR(IF(INDEX(MASTER!$C$4:$C$1463,$P97)="","",INDEX(MASTER!$C$4:$C$1463,$P97)),""))</f>
        <v>TGHOST</v>
      </c>
      <c r="C97" s="15" t="str">
        <f>IF($P97="","",IFERROR(IF(INDEX(MASTER!$D$4:$D$1463,$P97)="","",INDEX(MASTER!$D$4:$D$1463,$P97)),""))</f>
        <v/>
      </c>
      <c r="D97" s="15" t="str">
        <f>IF($P97="","",IFERROR(IF(INDEX(MASTER!$E$4:$E$1463,$P97)="","",INDEX(MASTER!$E$4:$E$1463,$P97)),""))</f>
        <v>BLOOD KNIGHT</v>
      </c>
      <c r="E97" s="15" t="str">
        <f>IF($P97="","",IFERROR(IF(INDEX(MASTER!$F$4:$F$1463,$P97)="","",INDEX(MASTER!$F$4:$F$1463,$P97)),""))</f>
        <v>Frontline</v>
      </c>
      <c r="F97" s="16">
        <f>IF($P97="","",IFERROR(IF(INDEX(MASTER!$G$4:$G$1463,$P97)="","",INDEX(MASTER!$G$4:$G$1463,$P97)),""))</f>
        <v>64270</v>
      </c>
      <c r="G97" s="15" t="str">
        <f>IF($P97="","",IFERROR(IF(INDEX(MASTER!$H$4:$H$1463,$P97)="","",INDEX(MASTER!$H$4:$H$1463,$P97)),""))</f>
        <v>64,000 +</v>
      </c>
      <c r="H97" s="16">
        <f>IF($P97="","",IFERROR(IF(INDEX(MASTER!$I$4:$I$1463,$P97)="","",INDEX(MASTER!$I$4:$I$1463,$P97)),""))</f>
        <v>9868</v>
      </c>
      <c r="I97" s="15" t="str">
        <f>IF($P97="","",IFERROR(IF(INDEX(MASTER!$J$4:$J$1463,$P97)="","",INDEX(MASTER!$J$4:$J$1463,$P97)),""))</f>
        <v>ELITE</v>
      </c>
      <c r="J97" s="17">
        <f>IF($P97="","",IFERROR(IF(INDEX(MASTER!$L$4:$L$1463,$P97)="","",INDEX(MASTER!$L$4:$L$1463,$P97)),""))</f>
        <v>6.34</v>
      </c>
      <c r="K97" s="17">
        <f>IF($P97="","",IFERROR(IF(INDEX(MASTER!$N$4:$N$1463,$P97)="","",INDEX(MASTER!$N$4:$N$1463,$P97)),""))</f>
        <v>78</v>
      </c>
      <c r="L97" s="15" t="str">
        <f>IF($P97="","",IFERROR(IF(INDEX(MASTER!$O$4:$O$1463,$P97)="","",INDEX(MASTER!$O$4:$O$1463,$P97)),""))</f>
        <v>S</v>
      </c>
      <c r="M97" s="15">
        <f>IF($P97="","",IFERROR(IF(INDEX(MASTER!$Q$4:$Q$1463,$P97)="","",INDEX(MASTER!$Q$4:$Q$1463,$P97)),""))</f>
        <v>6</v>
      </c>
      <c r="N97" s="15" t="str">
        <f>IF($P97="","",IFERROR(IF(INDEX(MASTER!$S$4:$S$1463,$P97)="","",INDEX(MASTER!$S$4:$S$1463,$P97)),""))</f>
        <v>Complete</v>
      </c>
      <c r="P97">
        <f>IFERROR(MATCH($Q$1&amp;"@89",MASTER!$AC$4:$AC$1463,0),"")</f>
        <v>1286</v>
      </c>
    </row>
    <row r="98" spans="1:16">
      <c r="A98" s="19">
        <f>IF($P98="","",90)</f>
        <v>90</v>
      </c>
      <c r="B98" s="18" t="str">
        <f>IF($P98="","",IFERROR(IF(INDEX(MASTER!$C$4:$C$1463,$P98)="","",INDEX(MASTER!$C$4:$C$1463,$P98)),""))</f>
        <v>TheEvilLegumes</v>
      </c>
      <c r="C98" s="19" t="str">
        <f>IF($P98="","",IFERROR(IF(INDEX(MASTER!$D$4:$D$1463,$P98)="","",INDEX(MASTER!$D$4:$D$1463,$P98)),""))</f>
        <v/>
      </c>
      <c r="D98" s="19" t="str">
        <f>IF($P98="","",IFERROR(IF(INDEX(MASTER!$E$4:$E$1463,$P98)="","",INDEX(MASTER!$E$4:$E$1463,$P98)),""))</f>
        <v>BLOOD KNIGHT</v>
      </c>
      <c r="E98" s="19" t="str">
        <f>IF($P98="","",IFERROR(IF(INDEX(MASTER!$F$4:$F$1463,$P98)="","",INDEX(MASTER!$F$4:$F$1463,$P98)),""))</f>
        <v>Frontline</v>
      </c>
      <c r="F98" s="20">
        <f>IF($P98="","",IFERROR(IF(INDEX(MASTER!$G$4:$G$1463,$P98)="","",INDEX(MASTER!$G$4:$G$1463,$P98)),""))</f>
        <v>63797</v>
      </c>
      <c r="G98" s="19" t="str">
        <f>IF($P98="","",IFERROR(IF(INDEX(MASTER!$H$4:$H$1463,$P98)="","",INDEX(MASTER!$H$4:$H$1463,$P98)),""))</f>
        <v>63,000 - 63,999</v>
      </c>
      <c r="H98" s="20">
        <f>IF($P98="","",IFERROR(IF(INDEX(MASTER!$I$4:$I$1463,$P98)="","",INDEX(MASTER!$I$4:$I$1463,$P98)),""))</f>
        <v>7134</v>
      </c>
      <c r="I98" s="19" t="str">
        <f>IF($P98="","",IFERROR(IF(INDEX(MASTER!$J$4:$J$1463,$P98)="","",INDEX(MASTER!$J$4:$J$1463,$P98)),""))</f>
        <v>VETERAN</v>
      </c>
      <c r="J98" s="21">
        <f>IF($P98="","",IFERROR(IF(INDEX(MASTER!$L$4:$L$1463,$P98)="","",INDEX(MASTER!$L$4:$L$1463,$P98)),""))</f>
        <v>6.08</v>
      </c>
      <c r="K98" s="21">
        <f>IF($P98="","",IFERROR(IF(INDEX(MASTER!$N$4:$N$1463,$P98)="","",INDEX(MASTER!$N$4:$N$1463,$P98)),""))</f>
        <v>64.400000000000006</v>
      </c>
      <c r="L98" s="19" t="str">
        <f>IF($P98="","",IFERROR(IF(INDEX(MASTER!$O$4:$O$1463,$P98)="","",INDEX(MASTER!$O$4:$O$1463,$P98)),""))</f>
        <v>A</v>
      </c>
      <c r="M98" s="19">
        <f>IF($P98="","",IFERROR(IF(INDEX(MASTER!$Q$4:$Q$1463,$P98)="","",INDEX(MASTER!$Q$4:$Q$1463,$P98)),""))</f>
        <v>23</v>
      </c>
      <c r="N98" s="19" t="str">
        <f>IF($P98="","",IFERROR(IF(INDEX(MASTER!$S$4:$S$1463,$P98)="","",INDEX(MASTER!$S$4:$S$1463,$P98)),""))</f>
        <v>Complete</v>
      </c>
      <c r="P98">
        <f>IFERROR(MATCH($Q$1&amp;"@90",MASTER!$AC$4:$AC$1463,0),"")</f>
        <v>1292</v>
      </c>
    </row>
    <row r="99" spans="1:16">
      <c r="A99" s="15">
        <f>IF($P99="","",91)</f>
        <v>91</v>
      </c>
      <c r="B99" s="14" t="str">
        <f>IF($P99="","",IFERROR(IF(INDEX(MASTER!$C$4:$C$1463,$P99)="","",INDEX(MASTER!$C$4:$C$1463,$P99)),""))</f>
        <v>TraUmatics</v>
      </c>
      <c r="C99" s="15" t="str">
        <f>IF($P99="","",IFERROR(IF(INDEX(MASTER!$D$4:$D$1463,$P99)="","",INDEX(MASTER!$D$4:$D$1463,$P99)),""))</f>
        <v/>
      </c>
      <c r="D99" s="15" t="str">
        <f>IF($P99="","",IFERROR(IF(INDEX(MASTER!$E$4:$E$1463,$P99)="","",INDEX(MASTER!$E$4:$E$1463,$P99)),""))</f>
        <v>DEMON HUNTER</v>
      </c>
      <c r="E99" s="15" t="str">
        <f>IF($P99="","",IFERROR(IF(INDEX(MASTER!$F$4:$F$1463,$P99)="","",INDEX(MASTER!$F$4:$F$1463,$P99)),""))</f>
        <v>Ranged DPS</v>
      </c>
      <c r="F99" s="16">
        <f>IF($P99="","",IFERROR(IF(INDEX(MASTER!$G$4:$G$1463,$P99)="","",INDEX(MASTER!$G$4:$G$1463,$P99)),""))</f>
        <v>61667</v>
      </c>
      <c r="G99" s="15" t="str">
        <f>IF($P99="","",IFERROR(IF(INDEX(MASTER!$H$4:$H$1463,$P99)="","",INDEX(MASTER!$H$4:$H$1463,$P99)),""))</f>
        <v>61,000 - 61,999</v>
      </c>
      <c r="H99" s="16">
        <f>IF($P99="","",IFERROR(IF(INDEX(MASTER!$I$4:$I$1463,$P99)="","",INDEX(MASTER!$I$4:$I$1463,$P99)),""))</f>
        <v>3615</v>
      </c>
      <c r="I99" s="15" t="str">
        <f>IF($P99="","",IFERROR(IF(INDEX(MASTER!$J$4:$J$1463,$P99)="","",INDEX(MASTER!$J$4:$J$1463,$P99)),""))</f>
        <v>DEVELOPING</v>
      </c>
      <c r="J99" s="17">
        <f>IF($P99="","",IFERROR(IF(INDEX(MASTER!$L$4:$L$1463,$P99)="","",INDEX(MASTER!$L$4:$L$1463,$P99)),""))</f>
        <v>3.92</v>
      </c>
      <c r="K99" s="17">
        <f>IF($P99="","",IFERROR(IF(INDEX(MASTER!$N$4:$N$1463,$P99)="","",INDEX(MASTER!$N$4:$N$1463,$P99)),""))</f>
        <v>39.9</v>
      </c>
      <c r="L99" s="15" t="str">
        <f>IF($P99="","",IFERROR(IF(INDEX(MASTER!$O$4:$O$1463,$P99)="","",INDEX(MASTER!$O$4:$O$1463,$P99)),""))</f>
        <v>B</v>
      </c>
      <c r="M99" s="15">
        <f>IF($P99="","",IFERROR(IF(INDEX(MASTER!$Q$4:$Q$1463,$P99)="","",INDEX(MASTER!$Q$4:$Q$1463,$P99)),""))</f>
        <v>73</v>
      </c>
      <c r="N99" s="15" t="str">
        <f>IF($P99="","",IFERROR(IF(INDEX(MASTER!$S$4:$S$1463,$P99)="","",INDEX(MASTER!$S$4:$S$1463,$P99)),""))</f>
        <v>Complete</v>
      </c>
      <c r="P99">
        <f>IFERROR(MATCH($Q$1&amp;"@91",MASTER!$AC$4:$AC$1463,0),"")</f>
        <v>1324</v>
      </c>
    </row>
    <row r="100" spans="1:16">
      <c r="A100" s="19">
        <f>IF($P100="","",92)</f>
        <v>92</v>
      </c>
      <c r="B100" s="18" t="str">
        <f>IF($P100="","",IFERROR(IF(INDEX(MASTER!$C$4:$C$1463,$P100)="","",INDEX(MASTER!$C$4:$C$1463,$P100)),""))</f>
        <v>VinegarT1Ts</v>
      </c>
      <c r="C100" s="19" t="str">
        <f>IF($P100="","",IFERROR(IF(INDEX(MASTER!$D$4:$D$1463,$P100)="","",INDEX(MASTER!$D$4:$D$1463,$P100)),""))</f>
        <v/>
      </c>
      <c r="D100" s="19" t="str">
        <f>IF($P100="","",IFERROR(IF(INDEX(MASTER!$E$4:$E$1463,$P100)="","",INDEX(MASTER!$E$4:$E$1463,$P100)),""))</f>
        <v>BLOOD KNIGHT</v>
      </c>
      <c r="E100" s="19" t="str">
        <f>IF($P100="","",IFERROR(IF(INDEX(MASTER!$F$4:$F$1463,$P100)="","",INDEX(MASTER!$F$4:$F$1463,$P100)),""))</f>
        <v>Frontline</v>
      </c>
      <c r="F100" s="20">
        <f>IF($P100="","",IFERROR(IF(INDEX(MASTER!$G$4:$G$1463,$P100)="","",INDEX(MASTER!$G$4:$G$1463,$P100)),""))</f>
        <v>62347</v>
      </c>
      <c r="G100" s="19" t="str">
        <f>IF($P100="","",IFERROR(IF(INDEX(MASTER!$H$4:$H$1463,$P100)="","",INDEX(MASTER!$H$4:$H$1463,$P100)),""))</f>
        <v>62,000 - 62,999</v>
      </c>
      <c r="H100" s="20">
        <f>IF($P100="","",IFERROR(IF(INDEX(MASTER!$I$4:$I$1463,$P100)="","",INDEX(MASTER!$I$4:$I$1463,$P100)),""))</f>
        <v>3326</v>
      </c>
      <c r="I100" s="19" t="str">
        <f>IF($P100="","",IFERROR(IF(INDEX(MASTER!$J$4:$J$1463,$P100)="","",INDEX(MASTER!$J$4:$J$1463,$P100)),""))</f>
        <v>DEVELOPING</v>
      </c>
      <c r="J100" s="21">
        <f>IF($P100="","",IFERROR(IF(INDEX(MASTER!$L$4:$L$1463,$P100)="","",INDEX(MASTER!$L$4:$L$1463,$P100)),""))</f>
        <v>3.66</v>
      </c>
      <c r="K100" s="21">
        <f>IF($P100="","",IFERROR(IF(INDEX(MASTER!$N$4:$N$1463,$P100)="","",INDEX(MASTER!$N$4:$N$1463,$P100)),""))</f>
        <v>40</v>
      </c>
      <c r="L100" s="19" t="str">
        <f>IF($P100="","",IFERROR(IF(INDEX(MASTER!$O$4:$O$1463,$P100)="","",INDEX(MASTER!$O$4:$O$1463,$P100)),""))</f>
        <v>B</v>
      </c>
      <c r="M100" s="19">
        <f>IF($P100="","",IFERROR(IF(INDEX(MASTER!$Q$4:$Q$1463,$P100)="","",INDEX(MASTER!$Q$4:$Q$1463,$P100)),""))</f>
        <v>78</v>
      </c>
      <c r="N100" s="19" t="str">
        <f>IF($P100="","",IFERROR(IF(INDEX(MASTER!$S$4:$S$1463,$P100)="","",INDEX(MASTER!$S$4:$S$1463,$P100)),""))</f>
        <v>Complete</v>
      </c>
      <c r="P100">
        <f>IFERROR(MATCH($Q$1&amp;"@92",MASTER!$AC$4:$AC$1463,0),"")</f>
        <v>1339</v>
      </c>
    </row>
    <row r="101" spans="1:16">
      <c r="A101" s="15">
        <f>IF($P101="","",93)</f>
        <v>93</v>
      </c>
      <c r="B101" s="14" t="str">
        <f>IF($P101="","",IFERROR(IF(INDEX(MASTER!$C$4:$C$1463,$P101)="","",INDEX(MASTER!$C$4:$C$1463,$P101)),""))</f>
        <v>Vul</v>
      </c>
      <c r="C101" s="15" t="str">
        <f>IF($P101="","",IFERROR(IF(INDEX(MASTER!$D$4:$D$1463,$P101)="","",INDEX(MASTER!$D$4:$D$1463,$P101)),""))</f>
        <v/>
      </c>
      <c r="D101" s="15" t="str">
        <f>IF($P101="","",IFERROR(IF(INDEX(MASTER!$E$4:$E$1463,$P101)="","",INDEX(MASTER!$E$4:$E$1463,$P101)),""))</f>
        <v>BARBARIAN</v>
      </c>
      <c r="E101" s="15" t="str">
        <f>IF($P101="","",IFERROR(IF(INDEX(MASTER!$F$4:$F$1463,$P101)="","",INDEX(MASTER!$F$4:$F$1463,$P101)),""))</f>
        <v>Frontline</v>
      </c>
      <c r="F101" s="16">
        <f>IF($P101="","",IFERROR(IF(INDEX(MASTER!$G$4:$G$1463,$P101)="","",INDEX(MASTER!$G$4:$G$1463,$P101)),""))</f>
        <v>63166</v>
      </c>
      <c r="G101" s="15" t="str">
        <f>IF($P101="","",IFERROR(IF(INDEX(MASTER!$H$4:$H$1463,$P101)="","",INDEX(MASTER!$H$4:$H$1463,$P101)),""))</f>
        <v>63,000 - 63,999</v>
      </c>
      <c r="H101" s="16">
        <f>IF($P101="","",IFERROR(IF(INDEX(MASTER!$I$4:$I$1463,$P101)="","",INDEX(MASTER!$I$4:$I$1463,$P101)),""))</f>
        <v>4820</v>
      </c>
      <c r="I101" s="15" t="str">
        <f>IF($P101="","",IFERROR(IF(INDEX(MASTER!$J$4:$J$1463,$P101)="","",INDEX(MASTER!$J$4:$J$1463,$P101)),""))</f>
        <v>CORE</v>
      </c>
      <c r="J101" s="17">
        <f>IF($P101="","",IFERROR(IF(INDEX(MASTER!$L$4:$L$1463,$P101)="","",INDEX(MASTER!$L$4:$L$1463,$P101)),""))</f>
        <v>4.82</v>
      </c>
      <c r="K101" s="17">
        <f>IF($P101="","",IFERROR(IF(INDEX(MASTER!$N$4:$N$1463,$P101)="","",INDEX(MASTER!$N$4:$N$1463,$P101)),""))</f>
        <v>50.6</v>
      </c>
      <c r="L101" s="15" t="str">
        <f>IF($P101="","",IFERROR(IF(INDEX(MASTER!$O$4:$O$1463,$P101)="","",INDEX(MASTER!$O$4:$O$1463,$P101)),""))</f>
        <v>A</v>
      </c>
      <c r="M101" s="15">
        <f>IF($P101="","",IFERROR(IF(INDEX(MASTER!$Q$4:$Q$1463,$P101)="","",INDEX(MASTER!$Q$4:$Q$1463,$P101)),""))</f>
        <v>44</v>
      </c>
      <c r="N101" s="15" t="str">
        <f>IF($P101="","",IFERROR(IF(INDEX(MASTER!$S$4:$S$1463,$P101)="","",INDEX(MASTER!$S$4:$S$1463,$P101)),""))</f>
        <v>Complete</v>
      </c>
      <c r="P101">
        <f>IFERROR(MATCH($Q$1&amp;"@93",MASTER!$AC$4:$AC$1463,0),"")</f>
        <v>1352</v>
      </c>
    </row>
    <row r="102" spans="1:16">
      <c r="A102" s="19">
        <f>IF($P102="","",94)</f>
        <v>94</v>
      </c>
      <c r="B102" s="18" t="str">
        <f>IF($P102="","",IFERROR(IF(INDEX(MASTER!$C$4:$C$1463,$P102)="","",INDEX(MASTER!$C$4:$C$1463,$P102)),""))</f>
        <v>Wulf</v>
      </c>
      <c r="C102" s="19" t="str">
        <f>IF($P102="","",IFERROR(IF(INDEX(MASTER!$D$4:$D$1463,$P102)="","",INDEX(MASTER!$D$4:$D$1463,$P102)),""))</f>
        <v>XX</v>
      </c>
      <c r="D102" s="19" t="str">
        <f>IF($P102="","",IFERROR(IF(INDEX(MASTER!$E$4:$E$1463,$P102)="","",INDEX(MASTER!$E$4:$E$1463,$P102)),""))</f>
        <v>BARBARIAN</v>
      </c>
      <c r="E102" s="19" t="str">
        <f>IF($P102="","",IFERROR(IF(INDEX(MASTER!$F$4:$F$1463,$P102)="","",INDEX(MASTER!$F$4:$F$1463,$P102)),""))</f>
        <v>Frontline</v>
      </c>
      <c r="F102" s="20">
        <f>IF($P102="","",IFERROR(IF(INDEX(MASTER!$G$4:$G$1463,$P102)="","",INDEX(MASTER!$G$4:$G$1463,$P102)),""))</f>
        <v>64040</v>
      </c>
      <c r="G102" s="19" t="str">
        <f>IF($P102="","",IFERROR(IF(INDEX(MASTER!$H$4:$H$1463,$P102)="","",INDEX(MASTER!$H$4:$H$1463,$P102)),""))</f>
        <v>64,000 +</v>
      </c>
      <c r="H102" s="20">
        <f>IF($P102="","",IFERROR(IF(INDEX(MASTER!$I$4:$I$1463,$P102)="","",INDEX(MASTER!$I$4:$I$1463,$P102)),""))</f>
        <v>11602</v>
      </c>
      <c r="I102" s="19" t="str">
        <f>IF($P102="","",IFERROR(IF(INDEX(MASTER!$J$4:$J$1463,$P102)="","",INDEX(MASTER!$J$4:$J$1463,$P102)),""))</f>
        <v>APEX</v>
      </c>
      <c r="J102" s="21">
        <f>IF($P102="","",IFERROR(IF(INDEX(MASTER!$L$4:$L$1463,$P102)="","",INDEX(MASTER!$L$4:$L$1463,$P102)),""))</f>
        <v>7.47</v>
      </c>
      <c r="K102" s="21">
        <f>IF($P102="","",IFERROR(IF(INDEX(MASTER!$N$4:$N$1463,$P102)="","",INDEX(MASTER!$N$4:$N$1463,$P102)),""))</f>
        <v>86.9</v>
      </c>
      <c r="L102" s="19" t="str">
        <f>IF($P102="","",IFERROR(IF(INDEX(MASTER!$O$4:$O$1463,$P102)="","",INDEX(MASTER!$O$4:$O$1463,$P102)),""))</f>
        <v>S+</v>
      </c>
      <c r="M102" s="19">
        <f>IF($P102="","",IFERROR(IF(INDEX(MASTER!$Q$4:$Q$1463,$P102)="","",INDEX(MASTER!$Q$4:$Q$1463,$P102)),""))</f>
        <v>1</v>
      </c>
      <c r="N102" s="19" t="str">
        <f>IF($P102="","",IFERROR(IF(INDEX(MASTER!$S$4:$S$1463,$P102)="","",INDEX(MASTER!$S$4:$S$1463,$P102)),""))</f>
        <v>Complete</v>
      </c>
      <c r="P102">
        <f>IFERROR(MATCH($Q$1&amp;"@94",MASTER!$AC$4:$AC$1463,0),"")</f>
        <v>1340</v>
      </c>
    </row>
    <row r="103" spans="1:16">
      <c r="A103" s="15">
        <f>IF($P103="","",95)</f>
        <v>95</v>
      </c>
      <c r="B103" s="14" t="str">
        <f>IF($P103="","",IFERROR(IF(INDEX(MASTER!$C$4:$C$1463,$P103)="","",INDEX(MASTER!$C$4:$C$1463,$P103)),""))</f>
        <v>WULFSBIETCH</v>
      </c>
      <c r="C103" s="15" t="str">
        <f>IF($P103="","",IFERROR(IF(INDEX(MASTER!$D$4:$D$1463,$P103)="","",INDEX(MASTER!$D$4:$D$1463,$P103)),""))</f>
        <v>XX</v>
      </c>
      <c r="D103" s="15" t="str">
        <f>IF($P103="","",IFERROR(IF(INDEX(MASTER!$E$4:$E$1463,$P103)="","",INDEX(MASTER!$E$4:$E$1463,$P103)),""))</f>
        <v>NECROMANCER</v>
      </c>
      <c r="E103" s="15" t="str">
        <f>IF($P103="","",IFERROR(IF(INDEX(MASTER!$F$4:$F$1463,$P103)="","",INDEX(MASTER!$F$4:$F$1463,$P103)),""))</f>
        <v>Control</v>
      </c>
      <c r="F103" s="16">
        <f>IF($P103="","",IFERROR(IF(INDEX(MASTER!$G$4:$G$1463,$P103)="","",INDEX(MASTER!$G$4:$G$1463,$P103)),""))</f>
        <v>63600</v>
      </c>
      <c r="G103" s="15" t="str">
        <f>IF($P103="","",IFERROR(IF(INDEX(MASTER!$H$4:$H$1463,$P103)="","",INDEX(MASTER!$H$4:$H$1463,$P103)),""))</f>
        <v>63,000 - 63,999</v>
      </c>
      <c r="H103" s="16">
        <f>IF($P103="","",IFERROR(IF(INDEX(MASTER!$I$4:$I$1463,$P103)="","",INDEX(MASTER!$I$4:$I$1463,$P103)),""))</f>
        <v>7793</v>
      </c>
      <c r="I103" s="15" t="str">
        <f>IF($P103="","",IFERROR(IF(INDEX(MASTER!$J$4:$J$1463,$P103)="","",INDEX(MASTER!$J$4:$J$1463,$P103)),""))</f>
        <v>VETERAN</v>
      </c>
      <c r="J103" s="17">
        <f>IF($P103="","",IFERROR(IF(INDEX(MASTER!$L$4:$L$1463,$P103)="","",INDEX(MASTER!$L$4:$L$1463,$P103)),""))</f>
        <v>8</v>
      </c>
      <c r="K103" s="17">
        <f>IF($P103="","",IFERROR(IF(INDEX(MASTER!$N$4:$N$1463,$P103)="","",INDEX(MASTER!$N$4:$N$1463,$P103)),""))</f>
        <v>70</v>
      </c>
      <c r="L103" s="15" t="str">
        <f>IF($P103="","",IFERROR(IF(INDEX(MASTER!$O$4:$O$1463,$P103)="","",INDEX(MASTER!$O$4:$O$1463,$P103)),""))</f>
        <v>S</v>
      </c>
      <c r="M103" s="15">
        <f>IF($P103="","",IFERROR(IF(INDEX(MASTER!$Q$4:$Q$1463,$P103)="","",INDEX(MASTER!$Q$4:$Q$1463,$P103)),""))</f>
        <v>16</v>
      </c>
      <c r="N103" s="15" t="str">
        <f>IF($P103="","",IFERROR(IF(INDEX(MASTER!$S$4:$S$1463,$P103)="","",INDEX(MASTER!$S$4:$S$1463,$P103)),""))</f>
        <v>Complete</v>
      </c>
      <c r="P103">
        <f>IFERROR(MATCH($Q$1&amp;"@95",MASTER!$AC$4:$AC$1463,0),"")</f>
        <v>1342</v>
      </c>
    </row>
    <row r="104" spans="1:16">
      <c r="A104" s="19">
        <f>IF($P104="","",96)</f>
        <v>96</v>
      </c>
      <c r="B104" s="18" t="str">
        <f>IF($P104="","",IFERROR(IF(INDEX(MASTER!$C$4:$C$1463,$P104)="","",INDEX(MASTER!$C$4:$C$1463,$P104)),""))</f>
        <v>xNeva</v>
      </c>
      <c r="C104" s="19" t="str">
        <f>IF($P104="","",IFERROR(IF(INDEX(MASTER!$D$4:$D$1463,$P104)="","",INDEX(MASTER!$D$4:$D$1463,$P104)),""))</f>
        <v/>
      </c>
      <c r="D104" s="19" t="str">
        <f>IF($P104="","",IFERROR(IF(INDEX(MASTER!$E$4:$E$1463,$P104)="","",INDEX(MASTER!$E$4:$E$1463,$P104)),""))</f>
        <v>BLOOD KNIGHT</v>
      </c>
      <c r="E104" s="19" t="str">
        <f>IF($P104="","",IFERROR(IF(INDEX(MASTER!$F$4:$F$1463,$P104)="","",INDEX(MASTER!$F$4:$F$1463,$P104)),""))</f>
        <v>Frontline</v>
      </c>
      <c r="F104" s="20">
        <f>IF($P104="","",IFERROR(IF(INDEX(MASTER!$G$4:$G$1463,$P104)="","",INDEX(MASTER!$G$4:$G$1463,$P104)),""))</f>
        <v>62618</v>
      </c>
      <c r="G104" s="19" t="str">
        <f>IF($P104="","",IFERROR(IF(INDEX(MASTER!$H$4:$H$1463,$P104)="","",INDEX(MASTER!$H$4:$H$1463,$P104)),""))</f>
        <v>62,000 - 62,999</v>
      </c>
      <c r="H104" s="20">
        <f>IF($P104="","",IFERROR(IF(INDEX(MASTER!$I$4:$I$1463,$P104)="","",INDEX(MASTER!$I$4:$I$1463,$P104)),""))</f>
        <v>4065</v>
      </c>
      <c r="I104" s="19" t="str">
        <f>IF($P104="","",IFERROR(IF(INDEX(MASTER!$J$4:$J$1463,$P104)="","",INDEX(MASTER!$J$4:$J$1463,$P104)),""))</f>
        <v>CORE</v>
      </c>
      <c r="J104" s="21">
        <f>IF($P104="","",IFERROR(IF(INDEX(MASTER!$L$4:$L$1463,$P104)="","",INDEX(MASTER!$L$4:$L$1463,$P104)),""))</f>
        <v>4.01</v>
      </c>
      <c r="K104" s="21">
        <f>IF($P104="","",IFERROR(IF(INDEX(MASTER!$N$4:$N$1463,$P104)="","",INDEX(MASTER!$N$4:$N$1463,$P104)),""))</f>
        <v>44.5</v>
      </c>
      <c r="L104" s="19" t="str">
        <f>IF($P104="","",IFERROR(IF(INDEX(MASTER!$O$4:$O$1463,$P104)="","",INDEX(MASTER!$O$4:$O$1463,$P104)),""))</f>
        <v>B</v>
      </c>
      <c r="M104" s="19">
        <f>IF($P104="","",IFERROR(IF(INDEX(MASTER!$Q$4:$Q$1463,$P104)="","",INDEX(MASTER!$Q$4:$Q$1463,$P104)),""))</f>
        <v>58</v>
      </c>
      <c r="N104" s="19" t="str">
        <f>IF($P104="","",IFERROR(IF(INDEX(MASTER!$S$4:$S$1463,$P104)="","",INDEX(MASTER!$S$4:$S$1463,$P104)),""))</f>
        <v>Complete</v>
      </c>
      <c r="P104">
        <f>IFERROR(MATCH($Q$1&amp;"@96",MASTER!$AC$4:$AC$1463,0),"")</f>
        <v>1344</v>
      </c>
    </row>
    <row r="105" spans="1:16">
      <c r="A105" s="15">
        <f>IF($P105="","",97)</f>
        <v>97</v>
      </c>
      <c r="B105" s="14" t="str">
        <f>IF($P105="","",IFERROR(IF(INDEX(MASTER!$C$4:$C$1463,$P105)="","",INDEX(MASTER!$C$4:$C$1463,$P105)),""))</f>
        <v>xXSoulSlayer1221Xx</v>
      </c>
      <c r="C105" s="15" t="str">
        <f>IF($P105="","",IFERROR(IF(INDEX(MASTER!$D$4:$D$1463,$P105)="","",INDEX(MASTER!$D$4:$D$1463,$P105)),""))</f>
        <v>XX</v>
      </c>
      <c r="D105" s="15" t="str">
        <f>IF($P105="","",IFERROR(IF(INDEX(MASTER!$E$4:$E$1463,$P105)="","",INDEX(MASTER!$E$4:$E$1463,$P105)),""))</f>
        <v>WARLOCK</v>
      </c>
      <c r="E105" s="15" t="str">
        <f>IF($P105="","",IFERROR(IF(INDEX(MASTER!$F$4:$F$1463,$P105)="","",INDEX(MASTER!$F$4:$F$1463,$P105)),""))</f>
        <v>Control</v>
      </c>
      <c r="F105" s="16">
        <f>IF($P105="","",IFERROR(IF(INDEX(MASTER!$G$4:$G$1463,$P105)="","",INDEX(MASTER!$G$4:$G$1463,$P105)),""))</f>
        <v>64122</v>
      </c>
      <c r="G105" s="15" t="str">
        <f>IF($P105="","",IFERROR(IF(INDEX(MASTER!$H$4:$H$1463,$P105)="","",INDEX(MASTER!$H$4:$H$1463,$P105)),""))</f>
        <v>64,000 +</v>
      </c>
      <c r="H105" s="16">
        <f>IF($P105="","",IFERROR(IF(INDEX(MASTER!$I$4:$I$1463,$P105)="","",INDEX(MASTER!$I$4:$I$1463,$P105)),""))</f>
        <v>10023</v>
      </c>
      <c r="I105" s="15" t="str">
        <f>IF($P105="","",IFERROR(IF(INDEX(MASTER!$J$4:$J$1463,$P105)="","",INDEX(MASTER!$J$4:$J$1463,$P105)),""))</f>
        <v>APEX</v>
      </c>
      <c r="J105" s="17">
        <f>IF($P105="","",IFERROR(IF(INDEX(MASTER!$L$4:$L$1463,$P105)="","",INDEX(MASTER!$L$4:$L$1463,$P105)),""))</f>
        <v>6.72</v>
      </c>
      <c r="K105" s="17">
        <f>IF($P105="","",IFERROR(IF(INDEX(MASTER!$N$4:$N$1463,$P105)="","",INDEX(MASTER!$N$4:$N$1463,$P105)),""))</f>
        <v>79</v>
      </c>
      <c r="L105" s="15" t="str">
        <f>IF($P105="","",IFERROR(IF(INDEX(MASTER!$O$4:$O$1463,$P105)="","",INDEX(MASTER!$O$4:$O$1463,$P105)),""))</f>
        <v>S</v>
      </c>
      <c r="M105" s="15">
        <f>IF($P105="","",IFERROR(IF(INDEX(MASTER!$Q$4:$Q$1463,$P105)="","",INDEX(MASTER!$Q$4:$Q$1463,$P105)),""))</f>
        <v>5</v>
      </c>
      <c r="N105" s="15" t="str">
        <f>IF($P105="","",IFERROR(IF(INDEX(MASTER!$S$4:$S$1463,$P105)="","",INDEX(MASTER!$S$4:$S$1463,$P105)),""))</f>
        <v>Complete</v>
      </c>
      <c r="P105">
        <f>IFERROR(MATCH($Q$1&amp;"@97",MASTER!$AC$4:$AC$1463,0),"")</f>
        <v>1346</v>
      </c>
    </row>
    <row r="106" spans="1:16">
      <c r="A106" s="19">
        <f>IF($P106="","",98)</f>
        <v>98</v>
      </c>
      <c r="B106" s="18" t="str">
        <f>IF($P106="","",IFERROR(IF(INDEX(MASTER!$C$4:$C$1463,$P106)="","",INDEX(MASTER!$C$4:$C$1463,$P106)),""))</f>
        <v>Zolera</v>
      </c>
      <c r="C106" s="19" t="str">
        <f>IF($P106="","",IFERROR(IF(INDEX(MASTER!$D$4:$D$1463,$P106)="","",INDEX(MASTER!$D$4:$D$1463,$P106)),""))</f>
        <v/>
      </c>
      <c r="D106" s="19" t="str">
        <f>IF($P106="","",IFERROR(IF(INDEX(MASTER!$E$4:$E$1463,$P106)="","",INDEX(MASTER!$E$4:$E$1463,$P106)),""))</f>
        <v>DEMON HUNTER</v>
      </c>
      <c r="E106" s="19" t="str">
        <f>IF($P106="","",IFERROR(IF(INDEX(MASTER!$F$4:$F$1463,$P106)="","",INDEX(MASTER!$F$4:$F$1463,$P106)),""))</f>
        <v>Ranged DPS</v>
      </c>
      <c r="F106" s="20">
        <f>IF($P106="","",IFERROR(IF(INDEX(MASTER!$G$4:$G$1463,$P106)="","",INDEX(MASTER!$G$4:$G$1463,$P106)),""))</f>
        <v>62609</v>
      </c>
      <c r="G106" s="19" t="str">
        <f>IF($P106="","",IFERROR(IF(INDEX(MASTER!$H$4:$H$1463,$P106)="","",INDEX(MASTER!$H$4:$H$1463,$P106)),""))</f>
        <v>62,000 - 62,999</v>
      </c>
      <c r="H106" s="20">
        <f>IF($P106="","",IFERROR(IF(INDEX(MASTER!$I$4:$I$1463,$P106)="","",INDEX(MASTER!$I$4:$I$1463,$P106)),""))</f>
        <v>3227</v>
      </c>
      <c r="I106" s="19" t="str">
        <f>IF($P106="","",IFERROR(IF(INDEX(MASTER!$J$4:$J$1463,$P106)="","",INDEX(MASTER!$J$4:$J$1463,$P106)),""))</f>
        <v>DEVELOPING</v>
      </c>
      <c r="J106" s="21">
        <f>IF($P106="","",IFERROR(IF(INDEX(MASTER!$L$4:$L$1463,$P106)="","",INDEX(MASTER!$L$4:$L$1463,$P106)),""))</f>
        <v>4.21</v>
      </c>
      <c r="K106" s="21">
        <f>IF($P106="","",IFERROR(IF(INDEX(MASTER!$N$4:$N$1463,$P106)="","",INDEX(MASTER!$N$4:$N$1463,$P106)),""))</f>
        <v>41.1</v>
      </c>
      <c r="L106" s="19" t="str">
        <f>IF($P106="","",IFERROR(IF(INDEX(MASTER!$O$4:$O$1463,$P106)="","",INDEX(MASTER!$O$4:$O$1463,$P106)),""))</f>
        <v>B</v>
      </c>
      <c r="M106" s="19">
        <f>IF($P106="","",IFERROR(IF(INDEX(MASTER!$Q$4:$Q$1463,$P106)="","",INDEX(MASTER!$Q$4:$Q$1463,$P106)),""))</f>
        <v>83</v>
      </c>
      <c r="N106" s="19" t="str">
        <f>IF($P106="","",IFERROR(IF(INDEX(MASTER!$S$4:$S$1463,$P106)="","",INDEX(MASTER!$S$4:$S$1463,$P106)),""))</f>
        <v>Complete</v>
      </c>
      <c r="P106">
        <f>IFERROR(MATCH($Q$1&amp;"@98",MASTER!$AC$4:$AC$1463,0),"")</f>
        <v>1347</v>
      </c>
    </row>
    <row r="107" spans="1:16">
      <c r="A107" s="15">
        <f>IF($P107="","",99)</f>
        <v>99</v>
      </c>
      <c r="B107" s="14" t="str">
        <f>IF($P107="","",IFERROR(IF(INDEX(MASTER!$C$4:$C$1463,$P107)="","",INDEX(MASTER!$C$4:$C$1463,$P107)),""))</f>
        <v>ѴĦŘÆĻ</v>
      </c>
      <c r="C107" s="15" t="str">
        <f>IF($P107="","",IFERROR(IF(INDEX(MASTER!$D$4:$D$1463,$P107)="","",INDEX(MASTER!$D$4:$D$1463,$P107)),""))</f>
        <v/>
      </c>
      <c r="D107" s="15" t="str">
        <f>IF($P107="","",IFERROR(IF(INDEX(MASTER!$E$4:$E$1463,$P107)="","",INDEX(MASTER!$E$4:$E$1463,$P107)),""))</f>
        <v>WIZARD</v>
      </c>
      <c r="E107" s="15" t="str">
        <f>IF($P107="","",IFERROR(IF(INDEX(MASTER!$F$4:$F$1463,$P107)="","",INDEX(MASTER!$F$4:$F$1463,$P107)),""))</f>
        <v>Ranged DPS</v>
      </c>
      <c r="F107" s="16">
        <f>IF($P107="","",IFERROR(IF(INDEX(MASTER!$G$4:$G$1463,$P107)="","",INDEX(MASTER!$G$4:$G$1463,$P107)),""))</f>
        <v>62657</v>
      </c>
      <c r="G107" s="15" t="str">
        <f>IF($P107="","",IFERROR(IF(INDEX(MASTER!$H$4:$H$1463,$P107)="","",INDEX(MASTER!$H$4:$H$1463,$P107)),""))</f>
        <v>62,000 - 62,999</v>
      </c>
      <c r="H107" s="16">
        <f>IF($P107="","",IFERROR(IF(INDEX(MASTER!$I$4:$I$1463,$P107)="","",INDEX(MASTER!$I$4:$I$1463,$P107)),""))</f>
        <v>4164</v>
      </c>
      <c r="I107" s="15" t="str">
        <f>IF($P107="","",IFERROR(IF(INDEX(MASTER!$J$4:$J$1463,$P107)="","",INDEX(MASTER!$J$4:$J$1463,$P107)),""))</f>
        <v>CORE</v>
      </c>
      <c r="J107" s="17">
        <f>IF($P107="","",IFERROR(IF(INDEX(MASTER!$L$4:$L$1463,$P107)="","",INDEX(MASTER!$L$4:$L$1463,$P107)),""))</f>
        <v>4.2300000000000004</v>
      </c>
      <c r="K107" s="17">
        <f>IF($P107="","",IFERROR(IF(INDEX(MASTER!$N$4:$N$1463,$P107)="","",INDEX(MASTER!$N$4:$N$1463,$P107)),""))</f>
        <v>45.4</v>
      </c>
      <c r="L107" s="15" t="str">
        <f>IF($P107="","",IFERROR(IF(INDEX(MASTER!$O$4:$O$1463,$P107)="","",INDEX(MASTER!$O$4:$O$1463,$P107)),""))</f>
        <v>B</v>
      </c>
      <c r="M107" s="15">
        <f>IF($P107="","",IFERROR(IF(INDEX(MASTER!$Q$4:$Q$1463,$P107)="","",INDEX(MASTER!$Q$4:$Q$1463,$P107)),""))</f>
        <v>55</v>
      </c>
      <c r="N107" s="15" t="str">
        <f>IF($P107="","",IFERROR(IF(INDEX(MASTER!$S$4:$S$1463,$P107)="","",INDEX(MASTER!$S$4:$S$1463,$P107)),""))</f>
        <v>Complete</v>
      </c>
      <c r="P107">
        <f>IFERROR(MATCH($Q$1&amp;"@99",MASTER!$AC$4:$AC$1463,0),"")</f>
        <v>1351</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3" spans="1:16" ht="19.5" customHeight="1">
      <c r="B133" s="91" t="s">
        <v>488</v>
      </c>
      <c r="C133" s="91"/>
      <c r="D133" s="91"/>
      <c r="E133" s="91"/>
      <c r="F133" s="91"/>
      <c r="G133" s="91"/>
    </row>
    <row r="134" spans="1:16" ht="27.75" customHeight="1">
      <c r="B134" s="108" t="s">
        <v>68</v>
      </c>
      <c r="C134" s="108"/>
      <c r="D134" s="13" t="s">
        <v>69</v>
      </c>
      <c r="E134" s="13" t="s">
        <v>64</v>
      </c>
      <c r="F134" s="13" t="s">
        <v>50</v>
      </c>
      <c r="G134" s="13" t="s">
        <v>51</v>
      </c>
    </row>
    <row r="135" spans="1:16">
      <c r="B135" s="106" t="s">
        <v>71</v>
      </c>
      <c r="C135" s="106"/>
      <c r="D135" s="16" t="str">
        <f>IFERROR(INDEX(SETUP!$B$55:$B$64,MATCH($B135,SETUP!$A$55:$A$64,0)),"-")</f>
        <v>Frontline</v>
      </c>
      <c r="E135" s="16">
        <f>COUNTIFS(MASTER!$B:$B,$Q$1,MASTER!$E:$E,$B135)</f>
        <v>19</v>
      </c>
      <c r="F135" s="16">
        <f>IFERROR(ROUND(AVERAGEIFS(MASTER!$I:$I,MASTER!$B:$B,$Q$1,MASTER!$E:$E,$B135),0),"-")</f>
        <v>5442</v>
      </c>
      <c r="G135" s="16">
        <f>IF($E135=0,"-",IFERROR(_xlfn.MAXIFS(MASTER!$I:$I,MASTER!$B:$B,$Q$1,MASTER!$E:$E,$B135),"-"))</f>
        <v>11602</v>
      </c>
    </row>
    <row r="136" spans="1:16">
      <c r="B136" s="105" t="s">
        <v>72</v>
      </c>
      <c r="C136" s="105"/>
      <c r="D136" s="20" t="str">
        <f>IFERROR(INDEX(SETUP!$B$55:$B$64,MATCH($B136,SETUP!$A$55:$A$64,0)),"-")</f>
        <v>Frontline</v>
      </c>
      <c r="E136" s="20">
        <f>COUNTIFS(MASTER!$B:$B,$Q$1,MASTER!$E:$E,$B136)</f>
        <v>7</v>
      </c>
      <c r="F136" s="20">
        <f>IFERROR(ROUND(AVERAGEIFS(MASTER!$I:$I,MASTER!$B:$B,$Q$1,MASTER!$E:$E,$B136),0),"-")</f>
        <v>5143</v>
      </c>
      <c r="G136" s="20">
        <f>IF($E136=0,"-",IFERROR(_xlfn.MAXIFS(MASTER!$I:$I,MASTER!$B:$B,$Q$1,MASTER!$E:$E,$B136),"-"))</f>
        <v>9868</v>
      </c>
    </row>
    <row r="137" spans="1:16">
      <c r="B137" s="106" t="s">
        <v>73</v>
      </c>
      <c r="C137" s="106"/>
      <c r="D137" s="16" t="str">
        <f>IFERROR(INDEX(SETUP!$B$55:$B$64,MATCH($B137,SETUP!$A$55:$A$64,0)),"-")</f>
        <v>Frontline</v>
      </c>
      <c r="E137" s="16">
        <f>COUNTIFS(MASTER!$B:$B,$Q$1,MASTER!$E:$E,$B137)</f>
        <v>7</v>
      </c>
      <c r="F137" s="16">
        <f>IFERROR(ROUND(AVERAGEIFS(MASTER!$I:$I,MASTER!$B:$B,$Q$1,MASTER!$E:$E,$B137),0),"-")</f>
        <v>5408</v>
      </c>
      <c r="G137" s="16">
        <f>IF($E137=0,"-",IFERROR(_xlfn.MAXIFS(MASTER!$I:$I,MASTER!$B:$B,$Q$1,MASTER!$E:$E,$B137),"-"))</f>
        <v>8503</v>
      </c>
    </row>
    <row r="138" spans="1:16">
      <c r="B138" s="105" t="s">
        <v>74</v>
      </c>
      <c r="C138" s="105"/>
      <c r="D138" s="20" t="str">
        <f>IFERROR(INDEX(SETUP!$B$55:$B$64,MATCH($B138,SETUP!$A$55:$A$64,0)),"-")</f>
        <v>Ranged DPS</v>
      </c>
      <c r="E138" s="20">
        <f>COUNTIFS(MASTER!$B:$B,$Q$1,MASTER!$E:$E,$B138)</f>
        <v>18</v>
      </c>
      <c r="F138" s="20">
        <f>IFERROR(ROUND(AVERAGEIFS(MASTER!$I:$I,MASTER!$B:$B,$Q$1,MASTER!$E:$E,$B138),0),"-")</f>
        <v>4944</v>
      </c>
      <c r="G138" s="20">
        <f>IF($E138=0,"-",IFERROR(_xlfn.MAXIFS(MASTER!$I:$I,MASTER!$B:$B,$Q$1,MASTER!$E:$E,$B138),"-"))</f>
        <v>10332</v>
      </c>
    </row>
    <row r="139" spans="1:16">
      <c r="B139" s="106" t="s">
        <v>75</v>
      </c>
      <c r="C139" s="106"/>
      <c r="D139" s="16" t="str">
        <f>IFERROR(INDEX(SETUP!$B$55:$B$64,MATCH($B139,SETUP!$A$55:$A$64,0)),"-")</f>
        <v>Support</v>
      </c>
      <c r="E139" s="16">
        <f>COUNTIFS(MASTER!$B:$B,$Q$1,MASTER!$E:$E,$B139)</f>
        <v>5</v>
      </c>
      <c r="F139" s="16">
        <f>IFERROR(ROUND(AVERAGEIFS(MASTER!$I:$I,MASTER!$B:$B,$Q$1,MASTER!$E:$E,$B139),0),"-")</f>
        <v>6645</v>
      </c>
      <c r="G139" s="16">
        <f>IF($E139=0,"-",IFERROR(_xlfn.MAXIFS(MASTER!$I:$I,MASTER!$B:$B,$Q$1,MASTER!$E:$E,$B139),"-"))</f>
        <v>10077</v>
      </c>
    </row>
    <row r="140" spans="1:16">
      <c r="B140" s="105" t="s">
        <v>76</v>
      </c>
      <c r="C140" s="105"/>
      <c r="D140" s="20" t="str">
        <f>IFERROR(INDEX(SETUP!$B$55:$B$64,MATCH($B140,SETUP!$A$55:$A$64,0)),"-")</f>
        <v>Support</v>
      </c>
      <c r="E140" s="20">
        <f>COUNTIFS(MASTER!$B:$B,$Q$1,MASTER!$E:$E,$B140)</f>
        <v>3</v>
      </c>
      <c r="F140" s="20">
        <f>IFERROR(ROUND(AVERAGEIFS(MASTER!$I:$I,MASTER!$B:$B,$Q$1,MASTER!$E:$E,$B140),0),"-")</f>
        <v>4082</v>
      </c>
      <c r="G140" s="20">
        <f>IF($E140=0,"-",IFERROR(_xlfn.MAXIFS(MASTER!$I:$I,MASTER!$B:$B,$Q$1,MASTER!$E:$E,$B140),"-"))</f>
        <v>4609</v>
      </c>
    </row>
    <row r="141" spans="1:16">
      <c r="B141" s="106" t="s">
        <v>77</v>
      </c>
      <c r="C141" s="106"/>
      <c r="D141" s="16" t="str">
        <f>IFERROR(INDEX(SETUP!$B$55:$B$64,MATCH($B141,SETUP!$A$55:$A$64,0)),"-")</f>
        <v>Control</v>
      </c>
      <c r="E141" s="16">
        <f>COUNTIFS(MASTER!$B:$B,$Q$1,MASTER!$E:$E,$B141)</f>
        <v>6</v>
      </c>
      <c r="F141" s="16">
        <f>IFERROR(ROUND(AVERAGEIFS(MASTER!$I:$I,MASTER!$B:$B,$Q$1,MASTER!$E:$E,$B141),0),"-")</f>
        <v>5615</v>
      </c>
      <c r="G141" s="16">
        <f>IF($E141=0,"-",IFERROR(_xlfn.MAXIFS(MASTER!$I:$I,MASTER!$B:$B,$Q$1,MASTER!$E:$E,$B141),"-"))</f>
        <v>7793</v>
      </c>
    </row>
    <row r="142" spans="1:16">
      <c r="B142" s="105" t="s">
        <v>78</v>
      </c>
      <c r="C142" s="105"/>
      <c r="D142" s="20" t="str">
        <f>IFERROR(INDEX(SETUP!$B$55:$B$64,MATCH($B142,SETUP!$A$55:$A$64,0)),"-")</f>
        <v>Melee DPS</v>
      </c>
      <c r="E142" s="20">
        <f>COUNTIFS(MASTER!$B:$B,$Q$1,MASTER!$E:$E,$B142)</f>
        <v>6</v>
      </c>
      <c r="F142" s="20">
        <f>IFERROR(ROUND(AVERAGEIFS(MASTER!$I:$I,MASTER!$B:$B,$Q$1,MASTER!$E:$E,$B142),0),"-")</f>
        <v>5102</v>
      </c>
      <c r="G142" s="20">
        <f>IF($E142=0,"-",IFERROR(_xlfn.MAXIFS(MASTER!$I:$I,MASTER!$B:$B,$Q$1,MASTER!$E:$E,$B142),"-"))</f>
        <v>7946</v>
      </c>
    </row>
    <row r="143" spans="1:16">
      <c r="B143" s="106" t="s">
        <v>79</v>
      </c>
      <c r="C143" s="106"/>
      <c r="D143" s="16" t="str">
        <f>IFERROR(INDEX(SETUP!$B$55:$B$64,MATCH($B143,SETUP!$A$55:$A$64,0)),"-")</f>
        <v>Control</v>
      </c>
      <c r="E143" s="16">
        <f>COUNTIFS(MASTER!$B:$B,$Q$1,MASTER!$E:$E,$B143)</f>
        <v>17</v>
      </c>
      <c r="F143" s="16">
        <f>IFERROR(ROUND(AVERAGEIFS(MASTER!$I:$I,MASTER!$B:$B,$Q$1,MASTER!$E:$E,$B143),0),"-")</f>
        <v>5290</v>
      </c>
      <c r="G143" s="16">
        <f>IF($E143=0,"-",IFERROR(_xlfn.MAXIFS(MASTER!$I:$I,MASTER!$B:$B,$Q$1,MASTER!$E:$E,$B143),"-"))</f>
        <v>10023</v>
      </c>
    </row>
    <row r="144" spans="1:16">
      <c r="B144" s="105" t="s">
        <v>80</v>
      </c>
      <c r="C144" s="105"/>
      <c r="D144" s="20" t="str">
        <f>IFERROR(INDEX(SETUP!$B$55:$B$64,MATCH($B144,SETUP!$A$55:$A$64,0)),"-")</f>
        <v>Ranged DPS</v>
      </c>
      <c r="E144" s="20">
        <f>COUNTIFS(MASTER!$B:$B,$Q$1,MASTER!$E:$E,$B144)</f>
        <v>11</v>
      </c>
      <c r="F144" s="20">
        <f>IFERROR(ROUND(AVERAGEIFS(MASTER!$I:$I,MASTER!$B:$B,$Q$1,MASTER!$E:$E,$B144),0),"-")</f>
        <v>4563</v>
      </c>
      <c r="G144" s="20">
        <f>IF($E144=0,"-",IFERROR(_xlfn.MAXIFS(MASTER!$I:$I,MASTER!$B:$B,$Q$1,MASTER!$E:$E,$B144),"-"))</f>
        <v>8394</v>
      </c>
    </row>
  </sheetData>
  <autoFilter ref="A8:N130" xr:uid="{00000000-0009-0000-0000-000009000000}"/>
  <mergeCells count="29">
    <mergeCell ref="A1:N1"/>
    <mergeCell ref="A2:N2"/>
    <mergeCell ref="A4:B4"/>
    <mergeCell ref="C4:D4"/>
    <mergeCell ref="E4:F4"/>
    <mergeCell ref="G4:H4"/>
    <mergeCell ref="I4:J4"/>
    <mergeCell ref="K4:L4"/>
    <mergeCell ref="M4:N4"/>
    <mergeCell ref="K5:L5"/>
    <mergeCell ref="M5:N5"/>
    <mergeCell ref="A7:N7"/>
    <mergeCell ref="B133:G133"/>
    <mergeCell ref="B134:C134"/>
    <mergeCell ref="A5:B5"/>
    <mergeCell ref="C5:D5"/>
    <mergeCell ref="E5:F5"/>
    <mergeCell ref="G5:H5"/>
    <mergeCell ref="I5:J5"/>
    <mergeCell ref="B135:C135"/>
    <mergeCell ref="B136:C136"/>
    <mergeCell ref="B137:C137"/>
    <mergeCell ref="B138:C138"/>
    <mergeCell ref="B139:C139"/>
    <mergeCell ref="B140:C140"/>
    <mergeCell ref="B141:C141"/>
    <mergeCell ref="B142:C142"/>
    <mergeCell ref="B143:C143"/>
    <mergeCell ref="B144:C144"/>
  </mergeCells>
  <conditionalFormatting sqref="H9:H130">
    <cfRule type="colorScale" priority="2">
      <colorScale>
        <cfvo type="num" val="0"/>
        <cfvo type="num" val="5000"/>
        <cfvo type="num" val="12600"/>
        <color rgb="FFF8CBAD"/>
        <color rgb="FFFFE699"/>
        <color rgb="FFA9D08E"/>
      </colorScale>
    </cfRule>
  </conditionalFormatting>
  <conditionalFormatting sqref="N9:N130">
    <cfRule type="cellIs" dxfId="15"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9 A11:Q23 A10 C10:Q10 A25:Q144 A24 C24:Q24" evalError="1" twoDigitTextYear="1" numberStoredAsText="1" formula="1" formulaRange="1" unlockedFormula="1" emptyCellReference="1" listDataValidation="1" calculatedColumn="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pageSetUpPr fitToPage="1"/>
  </sheetPr>
  <dimension ref="A1:Q147"/>
  <sheetViews>
    <sheetView showGridLines="0" zoomScaleNormal="100" workbookViewId="0">
      <pane xSplit="1" ySplit="8" topLeftCell="B33" activePane="bottomRight" state="frozen"/>
      <selection pane="topRight" activeCell="B1" sqref="B1"/>
      <selection pane="bottomLeft" activeCell="A9" sqref="A9"/>
      <selection pane="bottomRight" sqref="A1:N1"/>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489</v>
      </c>
      <c r="B1" s="92"/>
      <c r="C1" s="92"/>
      <c r="D1" s="92"/>
      <c r="E1" s="92"/>
      <c r="F1" s="92"/>
      <c r="G1" s="92"/>
      <c r="H1" s="92"/>
      <c r="I1" s="92"/>
      <c r="J1" s="92"/>
      <c r="K1" s="92"/>
      <c r="L1" s="92"/>
      <c r="M1" s="92"/>
      <c r="N1" s="92"/>
      <c r="Q1" t="s">
        <v>105</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100</v>
      </c>
      <c r="B5" s="95"/>
      <c r="C5" s="95">
        <f>COUNTIFS(MASTER!$B:$B,$Q$1,MASTER!$S:$S,"Complete")</f>
        <v>97</v>
      </c>
      <c r="D5" s="95"/>
      <c r="E5" s="95">
        <f>IFERROR(ROUND(AVERAGEIFS(MASTER!$I:$I,MASTER!$B:$B,$Q$1),0),"-")</f>
        <v>5539</v>
      </c>
      <c r="F5" s="95"/>
      <c r="G5" s="95">
        <f>IFERROR(_xlfn.MAXIFS(MASTER!$I:$I,MASTER!$B:$B,$Q$1),"-")</f>
        <v>11601</v>
      </c>
      <c r="H5" s="95"/>
      <c r="I5" s="95">
        <f>COUNTIFS(MASTER!$B:$B,$Q$1,MASTER!$I:$I,"&gt;=10000")</f>
        <v>6</v>
      </c>
      <c r="J5" s="95"/>
      <c r="K5" s="107">
        <f>IFERROR(ROUND(AVERAGEIFS(MASTER!$N:$N,MASTER!$B:$B,$Q$1),1),"-")</f>
        <v>53.7</v>
      </c>
      <c r="L5" s="107"/>
      <c r="M5" s="95">
        <f>IF($Q$1="FUCT","- ours -",IFERROR(ROUND(AVERAGEIFS(MASTER!$I:$I,MASTER!$B:$B,$Q$1)-AVERAGEIF(MASTER!$B:$B,"FUCT",MASTER!$I:$I),0),"-"))</f>
        <v>325</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2HiGh4LiFe</v>
      </c>
      <c r="C9" s="15" t="str">
        <f>IF($P9="","",IFERROR(IF(INDEX(MASTER!$D$4:$D$1463,$P9)="","",INDEX(MASTER!$D$4:$D$1463,$P9)),""))</f>
        <v/>
      </c>
      <c r="D9" s="15" t="str">
        <f>IF($P9="","",IFERROR(IF(INDEX(MASTER!$E$4:$E$1463,$P9)="","",INDEX(MASTER!$E$4:$E$1463,$P9)),""))</f>
        <v>WARLOCK</v>
      </c>
      <c r="E9" s="15" t="str">
        <f>IF($P9="","",IFERROR(IF(INDEX(MASTER!$F$4:$F$1463,$P9)="","",INDEX(MASTER!$F$4:$F$1463,$P9)),""))</f>
        <v>Control</v>
      </c>
      <c r="F9" s="16">
        <f>IF($P9="","",IFERROR(IF(INDEX(MASTER!$G$4:$G$1463,$P9)="","",INDEX(MASTER!$G$4:$G$1463,$P9)),""))</f>
        <v>63413</v>
      </c>
      <c r="G9" s="15" t="str">
        <f>IF($P9="","",IFERROR(IF(INDEX(MASTER!$H$4:$H$1463,$P9)="","",INDEX(MASTER!$H$4:$H$1463,$P9)),""))</f>
        <v>63,000 - 63,999</v>
      </c>
      <c r="H9" s="16">
        <f>IF($P9="","",IFERROR(IF(INDEX(MASTER!$I$4:$I$1463,$P9)="","",INDEX(MASTER!$I$4:$I$1463,$P9)),""))</f>
        <v>5340</v>
      </c>
      <c r="I9" s="15" t="str">
        <f>IF($P9="","",IFERROR(IF(INDEX(MASTER!$J$4:$J$1463,$P9)="","",INDEX(MASTER!$J$4:$J$1463,$P9)),""))</f>
        <v>CORE</v>
      </c>
      <c r="J9" s="17">
        <f>IF($P9="","",IFERROR(IF(INDEX(MASTER!$L$4:$L$1463,$P9)="","",INDEX(MASTER!$L$4:$L$1463,$P9)),""))</f>
        <v>5.19</v>
      </c>
      <c r="K9" s="17">
        <f>IF($P9="","",IFERROR(IF(INDEX(MASTER!$N$4:$N$1463,$P9)="","",INDEX(MASTER!$N$4:$N$1463,$P9)),""))</f>
        <v>54.1</v>
      </c>
      <c r="L9" s="15" t="str">
        <f>IF($P9="","",IFERROR(IF(INDEX(MASTER!$O$4:$O$1463,$P9)="","",INDEX(MASTER!$O$4:$O$1463,$P9)),""))</f>
        <v>A</v>
      </c>
      <c r="M9" s="15">
        <f>IF($P9="","",IFERROR(IF(INDEX(MASTER!$Q$4:$Q$1463,$P9)="","",INDEX(MASTER!$Q$4:$Q$1463,$P9)),""))</f>
        <v>42</v>
      </c>
      <c r="N9" s="15" t="str">
        <f>IF($P9="","",IFERROR(IF(INDEX(MASTER!$S$4:$S$1463,$P9)="","",INDEX(MASTER!$S$4:$S$1463,$P9)),""))</f>
        <v>Complete</v>
      </c>
      <c r="P9">
        <f>IFERROR(MATCH($Q$1&amp;"@1",MASTER!$AC$4:$AC$1463,0),"")</f>
        <v>3</v>
      </c>
    </row>
    <row r="10" spans="1:17">
      <c r="A10" s="19">
        <f>IF($P10="","",2)</f>
        <v>2</v>
      </c>
      <c r="B10" s="18" t="str">
        <f>IF($P10="","",IFERROR(IF(INDEX(MASTER!$C$4:$C$1463,$P10)="","",INDEX(MASTER!$C$4:$C$1463,$P10)),""))</f>
        <v>Ady007</v>
      </c>
      <c r="C10" s="19" t="str">
        <f>IF($P10="","",IFERROR(IF(INDEX(MASTER!$D$4:$D$1463,$P10)="","",INDEX(MASTER!$D$4:$D$1463,$P10)),""))</f>
        <v/>
      </c>
      <c r="D10" s="19" t="str">
        <f>IF($P10="","",IFERROR(IF(INDEX(MASTER!$E$4:$E$1463,$P10)="","",INDEX(MASTER!$E$4:$E$1463,$P10)),""))</f>
        <v>CRUSADER</v>
      </c>
      <c r="E10" s="19" t="str">
        <f>IF($P10="","",IFERROR(IF(INDEX(MASTER!$F$4:$F$1463,$P10)="","",INDEX(MASTER!$F$4:$F$1463,$P10)),""))</f>
        <v>Frontline</v>
      </c>
      <c r="F10" s="20">
        <f>IF($P10="","",IFERROR(IF(INDEX(MASTER!$G$4:$G$1463,$P10)="","",INDEX(MASTER!$G$4:$G$1463,$P10)),""))</f>
        <v>62008</v>
      </c>
      <c r="G10" s="19" t="str">
        <f>IF($P10="","",IFERROR(IF(INDEX(MASTER!$H$4:$H$1463,$P10)="","",INDEX(MASTER!$H$4:$H$1463,$P10)),""))</f>
        <v>62,000 - 62,999</v>
      </c>
      <c r="H10" s="20">
        <f>IF($P10="","",IFERROR(IF(INDEX(MASTER!$I$4:$I$1463,$P10)="","",INDEX(MASTER!$I$4:$I$1463,$P10)),""))</f>
        <v>3820</v>
      </c>
      <c r="I10" s="19" t="str">
        <f>IF($P10="","",IFERROR(IF(INDEX(MASTER!$J$4:$J$1463,$P10)="","",INDEX(MASTER!$J$4:$J$1463,$P10)),""))</f>
        <v>DEVELOPING</v>
      </c>
      <c r="J10" s="21">
        <f>IF($P10="","",IFERROR(IF(INDEX(MASTER!$L$4:$L$1463,$P10)="","",INDEX(MASTER!$L$4:$L$1463,$P10)),""))</f>
        <v>5.34</v>
      </c>
      <c r="K10" s="21">
        <f>IF($P10="","",IFERROR(IF(INDEX(MASTER!$N$4:$N$1463,$P10)="","",INDEX(MASTER!$N$4:$N$1463,$P10)),""))</f>
        <v>44</v>
      </c>
      <c r="L10" s="19" t="str">
        <f>IF($P10="","",IFERROR(IF(INDEX(MASTER!$O$4:$O$1463,$P10)="","",INDEX(MASTER!$O$4:$O$1463,$P10)),""))</f>
        <v>B</v>
      </c>
      <c r="M10" s="19">
        <f>IF($P10="","",IFERROR(IF(INDEX(MASTER!$Q$4:$Q$1463,$P10)="","",INDEX(MASTER!$Q$4:$Q$1463,$P10)),""))</f>
        <v>76</v>
      </c>
      <c r="N10" s="19" t="str">
        <f>IF($P10="","",IFERROR(IF(INDEX(MASTER!$S$4:$S$1463,$P10)="","",INDEX(MASTER!$S$4:$S$1463,$P10)),""))</f>
        <v>Complete</v>
      </c>
      <c r="P10">
        <f>IFERROR(MATCH($Q$1&amp;"@2",MASTER!$AC$4:$AC$1463,0),"")</f>
        <v>23</v>
      </c>
    </row>
    <row r="11" spans="1:17">
      <c r="A11" s="15">
        <f>IF($P11="","",3)</f>
        <v>3</v>
      </c>
      <c r="B11" s="14" t="str">
        <f>IF($P11="","",IFERROR(IF(INDEX(MASTER!$C$4:$C$1463,$P11)="","",INDEX(MASTER!$C$4:$C$1463,$P11)),""))</f>
        <v>Alemanix</v>
      </c>
      <c r="C11" s="15" t="str">
        <f>IF($P11="","",IFERROR(IF(INDEX(MASTER!$D$4:$D$1463,$P11)="","",INDEX(MASTER!$D$4:$D$1463,$P11)),""))</f>
        <v>MÍLF</v>
      </c>
      <c r="D11" s="15" t="str">
        <f>IF($P11="","",IFERROR(IF(INDEX(MASTER!$E$4:$E$1463,$P11)="","",INDEX(MASTER!$E$4:$E$1463,$P11)),""))</f>
        <v>WARLOCK</v>
      </c>
      <c r="E11" s="15" t="str">
        <f>IF($P11="","",IFERROR(IF(INDEX(MASTER!$F$4:$F$1463,$P11)="","",INDEX(MASTER!$F$4:$F$1463,$P11)),""))</f>
        <v>Control</v>
      </c>
      <c r="F11" s="16">
        <f>IF($P11="","",IFERROR(IF(INDEX(MASTER!$G$4:$G$1463,$P11)="","",INDEX(MASTER!$G$4:$G$1463,$P11)),""))</f>
        <v>63604</v>
      </c>
      <c r="G11" s="15" t="str">
        <f>IF($P11="","",IFERROR(IF(INDEX(MASTER!$H$4:$H$1463,$P11)="","",INDEX(MASTER!$H$4:$H$1463,$P11)),""))</f>
        <v>63,000 - 63,999</v>
      </c>
      <c r="H11" s="16">
        <f>IF($P11="","",IFERROR(IF(INDEX(MASTER!$I$4:$I$1463,$P11)="","",INDEX(MASTER!$I$4:$I$1463,$P11)),""))</f>
        <v>5671</v>
      </c>
      <c r="I11" s="15" t="str">
        <f>IF($P11="","",IFERROR(IF(INDEX(MASTER!$J$4:$J$1463,$P11)="","",INDEX(MASTER!$J$4:$J$1463,$P11)),""))</f>
        <v>CORE</v>
      </c>
      <c r="J11" s="17">
        <f>IF($P11="","",IFERROR(IF(INDEX(MASTER!$L$4:$L$1463,$P11)="","",INDEX(MASTER!$L$4:$L$1463,$P11)),""))</f>
        <v>5.0999999999999996</v>
      </c>
      <c r="K11" s="17">
        <f>IF($P11="","",IFERROR(IF(INDEX(MASTER!$N$4:$N$1463,$P11)="","",INDEX(MASTER!$N$4:$N$1463,$P11)),""))</f>
        <v>55.9</v>
      </c>
      <c r="L11" s="15" t="str">
        <f>IF($P11="","",IFERROR(IF(INDEX(MASTER!$O$4:$O$1463,$P11)="","",INDEX(MASTER!$O$4:$O$1463,$P11)),""))</f>
        <v>A</v>
      </c>
      <c r="M11" s="15">
        <f>IF($P11="","",IFERROR(IF(INDEX(MASTER!$Q$4:$Q$1463,$P11)="","",INDEX(MASTER!$Q$4:$Q$1463,$P11)),""))</f>
        <v>36</v>
      </c>
      <c r="N11" s="15" t="str">
        <f>IF($P11="","",IFERROR(IF(INDEX(MASTER!$S$4:$S$1463,$P11)="","",INDEX(MASTER!$S$4:$S$1463,$P11)),""))</f>
        <v>Complete</v>
      </c>
      <c r="P11">
        <f>IFERROR(MATCH($Q$1&amp;"@3",MASTER!$AC$4:$AC$1463,0),"")</f>
        <v>32</v>
      </c>
    </row>
    <row r="12" spans="1:17">
      <c r="A12" s="19">
        <f>IF($P12="","",4)</f>
        <v>4</v>
      </c>
      <c r="B12" s="18" t="str">
        <f>IF($P12="","",IFERROR(IF(INDEX(MASTER!$C$4:$C$1463,$P12)="","",INDEX(MASTER!$C$4:$C$1463,$P12)),""))</f>
        <v>ANDROID18</v>
      </c>
      <c r="C12" s="19" t="str">
        <f>IF($P12="","",IFERROR(IF(INDEX(MASTER!$D$4:$D$1463,$P12)="","",INDEX(MASTER!$D$4:$D$1463,$P12)),""))</f>
        <v>DBZ</v>
      </c>
      <c r="D12" s="19" t="str">
        <f>IF($P12="","",IFERROR(IF(INDEX(MASTER!$E$4:$E$1463,$P12)="","",INDEX(MASTER!$E$4:$E$1463,$P12)),""))</f>
        <v>DEMON HUNTER</v>
      </c>
      <c r="E12" s="19" t="str">
        <f>IF($P12="","",IFERROR(IF(INDEX(MASTER!$F$4:$F$1463,$P12)="","",INDEX(MASTER!$F$4:$F$1463,$P12)),""))</f>
        <v>Ranged DPS</v>
      </c>
      <c r="F12" s="20">
        <f>IF($P12="","",IFERROR(IF(INDEX(MASTER!$G$4:$G$1463,$P12)="","",INDEX(MASTER!$G$4:$G$1463,$P12)),""))</f>
        <v>63945</v>
      </c>
      <c r="G12" s="19" t="str">
        <f>IF($P12="","",IFERROR(IF(INDEX(MASTER!$H$4:$H$1463,$P12)="","",INDEX(MASTER!$H$4:$H$1463,$P12)),""))</f>
        <v>63,000 - 63,999</v>
      </c>
      <c r="H12" s="20">
        <f>IF($P12="","",IFERROR(IF(INDEX(MASTER!$I$4:$I$1463,$P12)="","",INDEX(MASTER!$I$4:$I$1463,$P12)),""))</f>
        <v>11001</v>
      </c>
      <c r="I12" s="19" t="str">
        <f>IF($P12="","",IFERROR(IF(INDEX(MASTER!$J$4:$J$1463,$P12)="","",INDEX(MASTER!$J$4:$J$1463,$P12)),""))</f>
        <v>APEX</v>
      </c>
      <c r="J12" s="21">
        <f>IF($P12="","",IFERROR(IF(INDEX(MASTER!$L$4:$L$1463,$P12)="","",INDEX(MASTER!$L$4:$L$1463,$P12)),""))</f>
        <v>7.56</v>
      </c>
      <c r="K12" s="21">
        <f>IF($P12="","",IFERROR(IF(INDEX(MASTER!$N$4:$N$1463,$P12)="","",INDEX(MASTER!$N$4:$N$1463,$P12)),""))</f>
        <v>84.2</v>
      </c>
      <c r="L12" s="19" t="str">
        <f>IF($P12="","",IFERROR(IF(INDEX(MASTER!$O$4:$O$1463,$P12)="","",INDEX(MASTER!$O$4:$O$1463,$P12)),""))</f>
        <v>S+</v>
      </c>
      <c r="M12" s="19">
        <f>IF($P12="","",IFERROR(IF(INDEX(MASTER!$Q$4:$Q$1463,$P12)="","",INDEX(MASTER!$Q$4:$Q$1463,$P12)),""))</f>
        <v>2</v>
      </c>
      <c r="N12" s="19" t="str">
        <f>IF($P12="","",IFERROR(IF(INDEX(MASTER!$S$4:$S$1463,$P12)="","",INDEX(MASTER!$S$4:$S$1463,$P12)),""))</f>
        <v>Complete</v>
      </c>
      <c r="P12">
        <f>IFERROR(MATCH($Q$1&amp;"@4",MASTER!$AC$4:$AC$1463,0),"")</f>
        <v>44</v>
      </c>
    </row>
    <row r="13" spans="1:17">
      <c r="A13" s="15">
        <f>IF($P13="","",5)</f>
        <v>5</v>
      </c>
      <c r="B13" s="14" t="str">
        <f>IF($P13="","",IFERROR(IF(INDEX(MASTER!$C$4:$C$1463,$P13)="","",INDEX(MASTER!$C$4:$C$1463,$P13)),""))</f>
        <v>Arwyn</v>
      </c>
      <c r="C13" s="15" t="str">
        <f>IF($P13="","",IFERROR(IF(INDEX(MASTER!$D$4:$D$1463,$P13)="","",INDEX(MASTER!$D$4:$D$1463,$P13)),""))</f>
        <v/>
      </c>
      <c r="D13" s="15" t="str">
        <f>IF($P13="","",IFERROR(IF(INDEX(MASTER!$E$4:$E$1463,$P13)="","",INDEX(MASTER!$E$4:$E$1463,$P13)),""))</f>
        <v>BLOOD KNIGHT</v>
      </c>
      <c r="E13" s="15" t="str">
        <f>IF($P13="","",IFERROR(IF(INDEX(MASTER!$F$4:$F$1463,$P13)="","",INDEX(MASTER!$F$4:$F$1463,$P13)),""))</f>
        <v>Frontline</v>
      </c>
      <c r="F13" s="16">
        <f>IF($P13="","",IFERROR(IF(INDEX(MASTER!$G$4:$G$1463,$P13)="","",INDEX(MASTER!$G$4:$G$1463,$P13)),""))</f>
        <v>63345</v>
      </c>
      <c r="G13" s="15" t="str">
        <f>IF($P13="","",IFERROR(IF(INDEX(MASTER!$H$4:$H$1463,$P13)="","",INDEX(MASTER!$H$4:$H$1463,$P13)),""))</f>
        <v>63,000 - 63,999</v>
      </c>
      <c r="H13" s="16">
        <f>IF($P13="","",IFERROR(IF(INDEX(MASTER!$I$4:$I$1463,$P13)="","",INDEX(MASTER!$I$4:$I$1463,$P13)),""))</f>
        <v>5594</v>
      </c>
      <c r="I13" s="15" t="str">
        <f>IF($P13="","",IFERROR(IF(INDEX(MASTER!$J$4:$J$1463,$P13)="","",INDEX(MASTER!$J$4:$J$1463,$P13)),""))</f>
        <v>CORE</v>
      </c>
      <c r="J13" s="17">
        <f>IF($P13="","",IFERROR(IF(INDEX(MASTER!$L$4:$L$1463,$P13)="","",INDEX(MASTER!$L$4:$L$1463,$P13)),""))</f>
        <v>5.41</v>
      </c>
      <c r="K13" s="17">
        <f>IF($P13="","",IFERROR(IF(INDEX(MASTER!$N$4:$N$1463,$P13)="","",INDEX(MASTER!$N$4:$N$1463,$P13)),""))</f>
        <v>55.4</v>
      </c>
      <c r="L13" s="15" t="str">
        <f>IF($P13="","",IFERROR(IF(INDEX(MASTER!$O$4:$O$1463,$P13)="","",INDEX(MASTER!$O$4:$O$1463,$P13)),""))</f>
        <v>A</v>
      </c>
      <c r="M13" s="15">
        <f>IF($P13="","",IFERROR(IF(INDEX(MASTER!$Q$4:$Q$1463,$P13)="","",INDEX(MASTER!$Q$4:$Q$1463,$P13)),""))</f>
        <v>38</v>
      </c>
      <c r="N13" s="15" t="str">
        <f>IF($P13="","",IFERROR(IF(INDEX(MASTER!$S$4:$S$1463,$P13)="","",INDEX(MASTER!$S$4:$S$1463,$P13)),""))</f>
        <v>Complete</v>
      </c>
      <c r="P13">
        <f>IFERROR(MATCH($Q$1&amp;"@5",MASTER!$AC$4:$AC$1463,0),"")</f>
        <v>62</v>
      </c>
    </row>
    <row r="14" spans="1:17">
      <c r="A14" s="19">
        <f>IF($P14="","",6)</f>
        <v>6</v>
      </c>
      <c r="B14" s="18" t="str">
        <f>IF($P14="","",IFERROR(IF(INDEX(MASTER!$C$4:$C$1463,$P14)="","",INDEX(MASTER!$C$4:$C$1463,$P14)),""))</f>
        <v>Axi0m</v>
      </c>
      <c r="C14" s="19" t="str">
        <f>IF($P14="","",IFERROR(IF(INDEX(MASTER!$D$4:$D$1463,$P14)="","",INDEX(MASTER!$D$4:$D$1463,$P14)),""))</f>
        <v>TK0</v>
      </c>
      <c r="D14" s="19" t="str">
        <f>IF($P14="","",IFERROR(IF(INDEX(MASTER!$E$4:$E$1463,$P14)="","",INDEX(MASTER!$E$4:$E$1463,$P14)),""))</f>
        <v>DEMON HUNTER</v>
      </c>
      <c r="E14" s="19" t="str">
        <f>IF($P14="","",IFERROR(IF(INDEX(MASTER!$F$4:$F$1463,$P14)="","",INDEX(MASTER!$F$4:$F$1463,$P14)),""))</f>
        <v>Ranged DPS</v>
      </c>
      <c r="F14" s="20">
        <f>IF($P14="","",IFERROR(IF(INDEX(MASTER!$G$4:$G$1463,$P14)="","",INDEX(MASTER!$G$4:$G$1463,$P14)),""))</f>
        <v>62771</v>
      </c>
      <c r="G14" s="19" t="str">
        <f>IF($P14="","",IFERROR(IF(INDEX(MASTER!$H$4:$H$1463,$P14)="","",INDEX(MASTER!$H$4:$H$1463,$P14)),""))</f>
        <v>62,000 - 62,999</v>
      </c>
      <c r="H14" s="20">
        <f>IF($P14="","",IFERROR(IF(INDEX(MASTER!$I$4:$I$1463,$P14)="","",INDEX(MASTER!$I$4:$I$1463,$P14)),""))</f>
        <v>8491</v>
      </c>
      <c r="I14" s="19" t="str">
        <f>IF($P14="","",IFERROR(IF(INDEX(MASTER!$J$4:$J$1463,$P14)="","",INDEX(MASTER!$J$4:$J$1463,$P14)),""))</f>
        <v>ELITE</v>
      </c>
      <c r="J14" s="21">
        <f>IF($P14="","",IFERROR(IF(INDEX(MASTER!$L$4:$L$1463,$P14)="","",INDEX(MASTER!$L$4:$L$1463,$P14)),""))</f>
        <v>6.01</v>
      </c>
      <c r="K14" s="21">
        <f>IF($P14="","",IFERROR(IF(INDEX(MASTER!$N$4:$N$1463,$P14)="","",INDEX(MASTER!$N$4:$N$1463,$P14)),""))</f>
        <v>67.5</v>
      </c>
      <c r="L14" s="19" t="str">
        <f>IF($P14="","",IFERROR(IF(INDEX(MASTER!$O$4:$O$1463,$P14)="","",INDEX(MASTER!$O$4:$O$1463,$P14)),""))</f>
        <v>S</v>
      </c>
      <c r="M14" s="19">
        <f>IF($P14="","",IFERROR(IF(INDEX(MASTER!$Q$4:$Q$1463,$P14)="","",INDEX(MASTER!$Q$4:$Q$1463,$P14)),""))</f>
        <v>10</v>
      </c>
      <c r="N14" s="19" t="str">
        <f>IF($P14="","",IFERROR(IF(INDEX(MASTER!$S$4:$S$1463,$P14)="","",INDEX(MASTER!$S$4:$S$1463,$P14)),""))</f>
        <v>Complete</v>
      </c>
      <c r="P14">
        <f>IFERROR(MATCH($Q$1&amp;"@6",MASTER!$AC$4:$AC$1463,0),"")</f>
        <v>82</v>
      </c>
    </row>
    <row r="15" spans="1:17">
      <c r="A15" s="15">
        <f>IF($P15="","",7)</f>
        <v>7</v>
      </c>
      <c r="B15" s="14" t="str">
        <f>IF($P15="","",IFERROR(IF(INDEX(MASTER!$C$4:$C$1463,$P15)="","",INDEX(MASTER!$C$4:$C$1463,$P15)),""))</f>
        <v>azryel</v>
      </c>
      <c r="C15" s="15" t="str">
        <f>IF($P15="","",IFERROR(IF(INDEX(MASTER!$D$4:$D$1463,$P15)="","",INDEX(MASTER!$D$4:$D$1463,$P15)),""))</f>
        <v/>
      </c>
      <c r="D15" s="15" t="str">
        <f>IF($P15="","",IFERROR(IF(INDEX(MASTER!$E$4:$E$1463,$P15)="","",INDEX(MASTER!$E$4:$E$1463,$P15)),""))</f>
        <v>BARBARIAN</v>
      </c>
      <c r="E15" s="15" t="str">
        <f>IF($P15="","",IFERROR(IF(INDEX(MASTER!$F$4:$F$1463,$P15)="","",INDEX(MASTER!$F$4:$F$1463,$P15)),""))</f>
        <v>Frontline</v>
      </c>
      <c r="F15" s="16">
        <f>IF($P15="","",IFERROR(IF(INDEX(MASTER!$G$4:$G$1463,$P15)="","",INDEX(MASTER!$G$4:$G$1463,$P15)),""))</f>
        <v>61541</v>
      </c>
      <c r="G15" s="15" t="str">
        <f>IF($P15="","",IFERROR(IF(INDEX(MASTER!$H$4:$H$1463,$P15)="","",INDEX(MASTER!$H$4:$H$1463,$P15)),""))</f>
        <v>61,000 - 61,999</v>
      </c>
      <c r="H15" s="16">
        <f>IF($P15="","",IFERROR(IF(INDEX(MASTER!$I$4:$I$1463,$P15)="","",INDEX(MASTER!$I$4:$I$1463,$P15)),""))</f>
        <v>5148</v>
      </c>
      <c r="I15" s="15" t="str">
        <f>IF($P15="","",IFERROR(IF(INDEX(MASTER!$J$4:$J$1463,$P15)="","",INDEX(MASTER!$J$4:$J$1463,$P15)),""))</f>
        <v>CORE</v>
      </c>
      <c r="J15" s="17">
        <f>IF($P15="","",IFERROR(IF(INDEX(MASTER!$L$4:$L$1463,$P15)="","",INDEX(MASTER!$L$4:$L$1463,$P15)),""))</f>
        <v>5.4</v>
      </c>
      <c r="K15" s="17">
        <f>IF($P15="","",IFERROR(IF(INDEX(MASTER!$N$4:$N$1463,$P15)="","",INDEX(MASTER!$N$4:$N$1463,$P15)),""))</f>
        <v>48.7</v>
      </c>
      <c r="L15" s="15" t="str">
        <f>IF($P15="","",IFERROR(IF(INDEX(MASTER!$O$4:$O$1463,$P15)="","",INDEX(MASTER!$O$4:$O$1463,$P15)),""))</f>
        <v>B</v>
      </c>
      <c r="M15" s="15">
        <f>IF($P15="","",IFERROR(IF(INDEX(MASTER!$Q$4:$Q$1463,$P15)="","",INDEX(MASTER!$Q$4:$Q$1463,$P15)),""))</f>
        <v>47</v>
      </c>
      <c r="N15" s="15" t="str">
        <f>IF($P15="","",IFERROR(IF(INDEX(MASTER!$S$4:$S$1463,$P15)="","",INDEX(MASTER!$S$4:$S$1463,$P15)),""))</f>
        <v>Complete</v>
      </c>
      <c r="P15">
        <f>IFERROR(MATCH($Q$1&amp;"@7",MASTER!$AC$4:$AC$1463,0),"")</f>
        <v>90</v>
      </c>
    </row>
    <row r="16" spans="1:17">
      <c r="A16" s="19">
        <f>IF($P16="","",8)</f>
        <v>8</v>
      </c>
      <c r="B16" s="18" t="str">
        <f>IF($P16="","",IFERROR(IF(INDEX(MASTER!$C$4:$C$1463,$P16)="","",INDEX(MASTER!$C$4:$C$1463,$P16)),""))</f>
        <v>Bels</v>
      </c>
      <c r="C16" s="19" t="str">
        <f>IF($P16="","",IFERROR(IF(INDEX(MASTER!$D$4:$D$1463,$P16)="","",INDEX(MASTER!$D$4:$D$1463,$P16)),""))</f>
        <v>TK0</v>
      </c>
      <c r="D16" s="19" t="str">
        <f>IF($P16="","",IFERROR(IF(INDEX(MASTER!$E$4:$E$1463,$P16)="","",INDEX(MASTER!$E$4:$E$1463,$P16)),""))</f>
        <v>WARLOCK</v>
      </c>
      <c r="E16" s="19" t="str">
        <f>IF($P16="","",IFERROR(IF(INDEX(MASTER!$F$4:$F$1463,$P16)="","",INDEX(MASTER!$F$4:$F$1463,$P16)),""))</f>
        <v>Control</v>
      </c>
      <c r="F16" s="20">
        <f>IF($P16="","",IFERROR(IF(INDEX(MASTER!$G$4:$G$1463,$P16)="","",INDEX(MASTER!$G$4:$G$1463,$P16)),""))</f>
        <v>63750</v>
      </c>
      <c r="G16" s="19" t="str">
        <f>IF($P16="","",IFERROR(IF(INDEX(MASTER!$H$4:$H$1463,$P16)="","",INDEX(MASTER!$H$4:$H$1463,$P16)),""))</f>
        <v>63,000 - 63,999</v>
      </c>
      <c r="H16" s="20">
        <f>IF($P16="","",IFERROR(IF(INDEX(MASTER!$I$4:$I$1463,$P16)="","",INDEX(MASTER!$I$4:$I$1463,$P16)),""))</f>
        <v>6058</v>
      </c>
      <c r="I16" s="19" t="str">
        <f>IF($P16="","",IFERROR(IF(INDEX(MASTER!$J$4:$J$1463,$P16)="","",INDEX(MASTER!$J$4:$J$1463,$P16)),""))</f>
        <v>VETERAN</v>
      </c>
      <c r="J16" s="21">
        <f>IF($P16="","",IFERROR(IF(INDEX(MASTER!$L$4:$L$1463,$P16)="","",INDEX(MASTER!$L$4:$L$1463,$P16)),""))</f>
        <v>6.08</v>
      </c>
      <c r="K16" s="21">
        <f>IF($P16="","",IFERROR(IF(INDEX(MASTER!$N$4:$N$1463,$P16)="","",INDEX(MASTER!$N$4:$N$1463,$P16)),""))</f>
        <v>59.6</v>
      </c>
      <c r="L16" s="19" t="str">
        <f>IF($P16="","",IFERROR(IF(INDEX(MASTER!$O$4:$O$1463,$P16)="","",INDEX(MASTER!$O$4:$O$1463,$P16)),""))</f>
        <v>A</v>
      </c>
      <c r="M16" s="19">
        <f>IF($P16="","",IFERROR(IF(INDEX(MASTER!$Q$4:$Q$1463,$P16)="","",INDEX(MASTER!$Q$4:$Q$1463,$P16)),""))</f>
        <v>29</v>
      </c>
      <c r="N16" s="19" t="str">
        <f>IF($P16="","",IFERROR(IF(INDEX(MASTER!$S$4:$S$1463,$P16)="","",INDEX(MASTER!$S$4:$S$1463,$P16)),""))</f>
        <v>Complete</v>
      </c>
      <c r="P16">
        <f>IFERROR(MATCH($Q$1&amp;"@8",MASTER!$AC$4:$AC$1463,0),"")</f>
        <v>121</v>
      </c>
    </row>
    <row r="17" spans="1:16">
      <c r="A17" s="15">
        <f>IF($P17="","",9)</f>
        <v>9</v>
      </c>
      <c r="B17" s="14" t="str">
        <f>IF($P17="","",IFERROR(IF(INDEX(MASTER!$C$4:$C$1463,$P17)="","",INDEX(MASTER!$C$4:$C$1463,$P17)),""))</f>
        <v>Berserker</v>
      </c>
      <c r="C17" s="15" t="str">
        <f>IF($P17="","",IFERROR(IF(INDEX(MASTER!$D$4:$D$1463,$P17)="","",INDEX(MASTER!$D$4:$D$1463,$P17)),""))</f>
        <v/>
      </c>
      <c r="D17" s="15" t="str">
        <f>IF($P17="","",IFERROR(IF(INDEX(MASTER!$E$4:$E$1463,$P17)="","",INDEX(MASTER!$E$4:$E$1463,$P17)),""))</f>
        <v>WARLOCK</v>
      </c>
      <c r="E17" s="15" t="str">
        <f>IF($P17="","",IFERROR(IF(INDEX(MASTER!$F$4:$F$1463,$P17)="","",INDEX(MASTER!$F$4:$F$1463,$P17)),""))</f>
        <v>Control</v>
      </c>
      <c r="F17" s="16">
        <f>IF($P17="","",IFERROR(IF(INDEX(MASTER!$G$4:$G$1463,$P17)="","",INDEX(MASTER!$G$4:$G$1463,$P17)),""))</f>
        <v>61859</v>
      </c>
      <c r="G17" s="15" t="str">
        <f>IF($P17="","",IFERROR(IF(INDEX(MASTER!$H$4:$H$1463,$P17)="","",INDEX(MASTER!$H$4:$H$1463,$P17)),""))</f>
        <v>61,000 - 61,999</v>
      </c>
      <c r="H17" s="16">
        <f>IF($P17="","",IFERROR(IF(INDEX(MASTER!$I$4:$I$1463,$P17)="","",INDEX(MASTER!$I$4:$I$1463,$P17)),""))</f>
        <v>3012</v>
      </c>
      <c r="I17" s="15" t="str">
        <f>IF($P17="","",IFERROR(IF(INDEX(MASTER!$J$4:$J$1463,$P17)="","",INDEX(MASTER!$J$4:$J$1463,$P17)),""))</f>
        <v>DEVELOPING</v>
      </c>
      <c r="J17" s="17">
        <f>IF($P17="","",IFERROR(IF(INDEX(MASTER!$L$4:$L$1463,$P17)="","",INDEX(MASTER!$L$4:$L$1463,$P17)),""))</f>
        <v>3.82</v>
      </c>
      <c r="K17" s="17">
        <f>IF($P17="","",IFERROR(IF(INDEX(MASTER!$N$4:$N$1463,$P17)="","",INDEX(MASTER!$N$4:$N$1463,$P17)),""))</f>
        <v>37.6</v>
      </c>
      <c r="L17" s="15" t="str">
        <f>IF($P17="","",IFERROR(IF(INDEX(MASTER!$O$4:$O$1463,$P17)="","",INDEX(MASTER!$O$4:$O$1463,$P17)),""))</f>
        <v>B</v>
      </c>
      <c r="M17" s="15">
        <f>IF($P17="","",IFERROR(IF(INDEX(MASTER!$Q$4:$Q$1463,$P17)="","",INDEX(MASTER!$Q$4:$Q$1463,$P17)),""))</f>
        <v>94</v>
      </c>
      <c r="N17" s="15" t="str">
        <f>IF($P17="","",IFERROR(IF(INDEX(MASTER!$S$4:$S$1463,$P17)="","",INDEX(MASTER!$S$4:$S$1463,$P17)),""))</f>
        <v>Complete</v>
      </c>
      <c r="P17">
        <f>IFERROR(MATCH($Q$1&amp;"@9",MASTER!$AC$4:$AC$1463,0),"")</f>
        <v>126</v>
      </c>
    </row>
    <row r="18" spans="1:16">
      <c r="A18" s="19">
        <f>IF($P18="","",10)</f>
        <v>10</v>
      </c>
      <c r="B18" s="18" t="str">
        <f>IF($P18="","",IFERROR(IF(INDEX(MASTER!$C$4:$C$1463,$P18)="","",INDEX(MASTER!$C$4:$C$1463,$P18)),""))</f>
        <v>Besik</v>
      </c>
      <c r="C18" s="19" t="str">
        <f>IF($P18="","",IFERROR(IF(INDEX(MASTER!$D$4:$D$1463,$P18)="","",INDEX(MASTER!$D$4:$D$1463,$P18)),""))</f>
        <v/>
      </c>
      <c r="D18" s="19" t="str">
        <f>IF($P18="","",IFERROR(IF(INDEX(MASTER!$E$4:$E$1463,$P18)="","",INDEX(MASTER!$E$4:$E$1463,$P18)),""))</f>
        <v>WARLOCK</v>
      </c>
      <c r="E18" s="19" t="str">
        <f>IF($P18="","",IFERROR(IF(INDEX(MASTER!$F$4:$F$1463,$P18)="","",INDEX(MASTER!$F$4:$F$1463,$P18)),""))</f>
        <v>Control</v>
      </c>
      <c r="F18" s="20">
        <f>IF($P18="","",IFERROR(IF(INDEX(MASTER!$G$4:$G$1463,$P18)="","",INDEX(MASTER!$G$4:$G$1463,$P18)),""))</f>
        <v>61918</v>
      </c>
      <c r="G18" s="19" t="str">
        <f>IF($P18="","",IFERROR(IF(INDEX(MASTER!$H$4:$H$1463,$P18)="","",INDEX(MASTER!$H$4:$H$1463,$P18)),""))</f>
        <v>61,000 - 61,999</v>
      </c>
      <c r="H18" s="20">
        <f>IF($P18="","",IFERROR(IF(INDEX(MASTER!$I$4:$I$1463,$P18)="","",INDEX(MASTER!$I$4:$I$1463,$P18)),""))</f>
        <v>4469</v>
      </c>
      <c r="I18" s="19" t="str">
        <f>IF($P18="","",IFERROR(IF(INDEX(MASTER!$J$4:$J$1463,$P18)="","",INDEX(MASTER!$J$4:$J$1463,$P18)),""))</f>
        <v>CORE</v>
      </c>
      <c r="J18" s="21">
        <f>IF($P18="","",IFERROR(IF(INDEX(MASTER!$L$4:$L$1463,$P18)="","",INDEX(MASTER!$L$4:$L$1463,$P18)),""))</f>
        <v>5.03</v>
      </c>
      <c r="K18" s="21">
        <f>IF($P18="","",IFERROR(IF(INDEX(MASTER!$N$4:$N$1463,$P18)="","",INDEX(MASTER!$N$4:$N$1463,$P18)),""))</f>
        <v>46.1</v>
      </c>
      <c r="L18" s="19" t="str">
        <f>IF($P18="","",IFERROR(IF(INDEX(MASTER!$O$4:$O$1463,$P18)="","",INDEX(MASTER!$O$4:$O$1463,$P18)),""))</f>
        <v>B</v>
      </c>
      <c r="M18" s="19">
        <f>IF($P18="","",IFERROR(IF(INDEX(MASTER!$Q$4:$Q$1463,$P18)="","",INDEX(MASTER!$Q$4:$Q$1463,$P18)),""))</f>
        <v>65</v>
      </c>
      <c r="N18" s="19" t="str">
        <f>IF($P18="","",IFERROR(IF(INDEX(MASTER!$S$4:$S$1463,$P18)="","",INDEX(MASTER!$S$4:$S$1463,$P18)),""))</f>
        <v>Complete</v>
      </c>
      <c r="P18">
        <f>IFERROR(MATCH($Q$1&amp;"@10",MASTER!$AC$4:$AC$1463,0),"")</f>
        <v>127</v>
      </c>
    </row>
    <row r="19" spans="1:16">
      <c r="A19" s="15">
        <f>IF($P19="","",11)</f>
        <v>11</v>
      </c>
      <c r="B19" s="14" t="str">
        <f>IF($P19="","",IFERROR(IF(INDEX(MASTER!$C$4:$C$1463,$P19)="","",INDEX(MASTER!$C$4:$C$1463,$P19)),""))</f>
        <v>BigDaddyfail</v>
      </c>
      <c r="C19" s="15" t="str">
        <f>IF($P19="","",IFERROR(IF(INDEX(MASTER!$D$4:$D$1463,$P19)="","",INDEX(MASTER!$D$4:$D$1463,$P19)),""))</f>
        <v/>
      </c>
      <c r="D19" s="15" t="str">
        <f>IF($P19="","",IFERROR(IF(INDEX(MASTER!$E$4:$E$1463,$P19)="","",INDEX(MASTER!$E$4:$E$1463,$P19)),""))</f>
        <v>DRUID</v>
      </c>
      <c r="E19" s="15" t="str">
        <f>IF($P19="","",IFERROR(IF(INDEX(MASTER!$F$4:$F$1463,$P19)="","",INDEX(MASTER!$F$4:$F$1463,$P19)),""))</f>
        <v>Support</v>
      </c>
      <c r="F19" s="16">
        <f>IF($P19="","",IFERROR(IF(INDEX(MASTER!$G$4:$G$1463,$P19)="","",INDEX(MASTER!$G$4:$G$1463,$P19)),""))</f>
        <v>62513</v>
      </c>
      <c r="G19" s="15" t="str">
        <f>IF($P19="","",IFERROR(IF(INDEX(MASTER!$H$4:$H$1463,$P19)="","",INDEX(MASTER!$H$4:$H$1463,$P19)),""))</f>
        <v>62,000 - 62,999</v>
      </c>
      <c r="H19" s="16">
        <f>IF($P19="","",IFERROR(IF(INDEX(MASTER!$I$4:$I$1463,$P19)="","",INDEX(MASTER!$I$4:$I$1463,$P19)),""))</f>
        <v>6614</v>
      </c>
      <c r="I19" s="15" t="str">
        <f>IF($P19="","",IFERROR(IF(INDEX(MASTER!$J$4:$J$1463,$P19)="","",INDEX(MASTER!$J$4:$J$1463,$P19)),""))</f>
        <v>VETERAN</v>
      </c>
      <c r="J19" s="17">
        <f>IF($P19="","",IFERROR(IF(INDEX(MASTER!$L$4:$L$1463,$P19)="","",INDEX(MASTER!$L$4:$L$1463,$P19)),""))</f>
        <v>5.57</v>
      </c>
      <c r="K19" s="17">
        <f>IF($P19="","",IFERROR(IF(INDEX(MASTER!$N$4:$N$1463,$P19)="","",INDEX(MASTER!$N$4:$N$1463,$P19)),""))</f>
        <v>57.9</v>
      </c>
      <c r="L19" s="15" t="str">
        <f>IF($P19="","",IFERROR(IF(INDEX(MASTER!$O$4:$O$1463,$P19)="","",INDEX(MASTER!$O$4:$O$1463,$P19)),""))</f>
        <v>A</v>
      </c>
      <c r="M19" s="15">
        <f>IF($P19="","",IFERROR(IF(INDEX(MASTER!$Q$4:$Q$1463,$P19)="","",INDEX(MASTER!$Q$4:$Q$1463,$P19)),""))</f>
        <v>26</v>
      </c>
      <c r="N19" s="15" t="str">
        <f>IF($P19="","",IFERROR(IF(INDEX(MASTER!$S$4:$S$1463,$P19)="","",INDEX(MASTER!$S$4:$S$1463,$P19)),""))</f>
        <v>Complete</v>
      </c>
      <c r="P19">
        <f>IFERROR(MATCH($Q$1&amp;"@11",MASTER!$AC$4:$AC$1463,0),"")</f>
        <v>129</v>
      </c>
    </row>
    <row r="20" spans="1:16">
      <c r="A20" s="19">
        <f>IF($P20="","",12)</f>
        <v>12</v>
      </c>
      <c r="B20" s="18" t="str">
        <f>IF($P20="","",IFERROR(IF(INDEX(MASTER!$C$4:$C$1463,$P20)="","",INDEX(MASTER!$C$4:$C$1463,$P20)),""))</f>
        <v>BigDkDaddy</v>
      </c>
      <c r="C20" s="19" t="str">
        <f>IF($P20="","",IFERROR(IF(INDEX(MASTER!$D$4:$D$1463,$P20)="","",INDEX(MASTER!$D$4:$D$1463,$P20)),""))</f>
        <v>TK0</v>
      </c>
      <c r="D20" s="19" t="str">
        <f>IF($P20="","",IFERROR(IF(INDEX(MASTER!$E$4:$E$1463,$P20)="","",INDEX(MASTER!$E$4:$E$1463,$P20)),""))</f>
        <v>BARBARIAN</v>
      </c>
      <c r="E20" s="19" t="str">
        <f>IF($P20="","",IFERROR(IF(INDEX(MASTER!$F$4:$F$1463,$P20)="","",INDEX(MASTER!$F$4:$F$1463,$P20)),""))</f>
        <v>Frontline</v>
      </c>
      <c r="F20" s="20">
        <f>IF($P20="","",IFERROR(IF(INDEX(MASTER!$G$4:$G$1463,$P20)="","",INDEX(MASTER!$G$4:$G$1463,$P20)),""))</f>
        <v>62756</v>
      </c>
      <c r="G20" s="19" t="str">
        <f>IF($P20="","",IFERROR(IF(INDEX(MASTER!$H$4:$H$1463,$P20)="","",INDEX(MASTER!$H$4:$H$1463,$P20)),""))</f>
        <v>62,000 - 62,999</v>
      </c>
      <c r="H20" s="20">
        <f>IF($P20="","",IFERROR(IF(INDEX(MASTER!$I$4:$I$1463,$P20)="","",INDEX(MASTER!$I$4:$I$1463,$P20)),""))</f>
        <v>3306</v>
      </c>
      <c r="I20" s="19" t="str">
        <f>IF($P20="","",IFERROR(IF(INDEX(MASTER!$J$4:$J$1463,$P20)="","",INDEX(MASTER!$J$4:$J$1463,$P20)),""))</f>
        <v>DEVELOPING</v>
      </c>
      <c r="J20" s="21">
        <f>IF($P20="","",IFERROR(IF(INDEX(MASTER!$L$4:$L$1463,$P20)="","",INDEX(MASTER!$L$4:$L$1463,$P20)),""))</f>
        <v>3.71</v>
      </c>
      <c r="K20" s="21">
        <f>IF($P20="","",IFERROR(IF(INDEX(MASTER!$N$4:$N$1463,$P20)="","",INDEX(MASTER!$N$4:$N$1463,$P20)),""))</f>
        <v>41</v>
      </c>
      <c r="L20" s="19" t="str">
        <f>IF($P20="","",IFERROR(IF(INDEX(MASTER!$O$4:$O$1463,$P20)="","",INDEX(MASTER!$O$4:$O$1463,$P20)),""))</f>
        <v>B</v>
      </c>
      <c r="M20" s="19">
        <f>IF($P20="","",IFERROR(IF(INDEX(MASTER!$Q$4:$Q$1463,$P20)="","",INDEX(MASTER!$Q$4:$Q$1463,$P20)),""))</f>
        <v>87</v>
      </c>
      <c r="N20" s="19" t="str">
        <f>IF($P20="","",IFERROR(IF(INDEX(MASTER!$S$4:$S$1463,$P20)="","",INDEX(MASTER!$S$4:$S$1463,$P20)),""))</f>
        <v>Complete</v>
      </c>
      <c r="P20">
        <f>IFERROR(MATCH($Q$1&amp;"@12",MASTER!$AC$4:$AC$1463,0),"")</f>
        <v>132</v>
      </c>
    </row>
    <row r="21" spans="1:16">
      <c r="A21" s="15">
        <f>IF($P21="","",13)</f>
        <v>13</v>
      </c>
      <c r="B21" s="14" t="str">
        <f>IF($P21="","",IFERROR(IF(INDEX(MASTER!$C$4:$C$1463,$P21)="","",INDEX(MASTER!$C$4:$C$1463,$P21)),""))</f>
        <v>Biglou6918</v>
      </c>
      <c r="C21" s="15" t="str">
        <f>IF($P21="","",IFERROR(IF(INDEX(MASTER!$D$4:$D$1463,$P21)="","",INDEX(MASTER!$D$4:$D$1463,$P21)),""))</f>
        <v/>
      </c>
      <c r="D21" s="15" t="str">
        <f>IF($P21="","",IFERROR(IF(INDEX(MASTER!$E$4:$E$1463,$P21)="","",INDEX(MASTER!$E$4:$E$1463,$P21)),""))</f>
        <v>DRUID</v>
      </c>
      <c r="E21" s="15" t="str">
        <f>IF($P21="","",IFERROR(IF(INDEX(MASTER!$F$4:$F$1463,$P21)="","",INDEX(MASTER!$F$4:$F$1463,$P21)),""))</f>
        <v>Support</v>
      </c>
      <c r="F21" s="16">
        <f>IF($P21="","",IFERROR(IF(INDEX(MASTER!$G$4:$G$1463,$P21)="","",INDEX(MASTER!$G$4:$G$1463,$P21)),""))</f>
        <v>61660</v>
      </c>
      <c r="G21" s="15" t="str">
        <f>IF($P21="","",IFERROR(IF(INDEX(MASTER!$H$4:$H$1463,$P21)="","",INDEX(MASTER!$H$4:$H$1463,$P21)),""))</f>
        <v>61,000 - 61,999</v>
      </c>
      <c r="H21" s="16">
        <f>IF($P21="","",IFERROR(IF(INDEX(MASTER!$I$4:$I$1463,$P21)="","",INDEX(MASTER!$I$4:$I$1463,$P21)),""))</f>
        <v>7080</v>
      </c>
      <c r="I21" s="15" t="str">
        <f>IF($P21="","",IFERROR(IF(INDEX(MASTER!$J$4:$J$1463,$P21)="","",INDEX(MASTER!$J$4:$J$1463,$P21)),""))</f>
        <v>VETERAN</v>
      </c>
      <c r="J21" s="17">
        <f>IF($P21="","",IFERROR(IF(INDEX(MASTER!$L$4:$L$1463,$P21)="","",INDEX(MASTER!$L$4:$L$1463,$P21)),""))</f>
        <v>5.21</v>
      </c>
      <c r="K21" s="17">
        <f>IF($P21="","",IFERROR(IF(INDEX(MASTER!$N$4:$N$1463,$P21)="","",INDEX(MASTER!$N$4:$N$1463,$P21)),""))</f>
        <v>57.1</v>
      </c>
      <c r="L21" s="15" t="str">
        <f>IF($P21="","",IFERROR(IF(INDEX(MASTER!$O$4:$O$1463,$P21)="","",INDEX(MASTER!$O$4:$O$1463,$P21)),""))</f>
        <v>A</v>
      </c>
      <c r="M21" s="15">
        <f>IF($P21="","",IFERROR(IF(INDEX(MASTER!$Q$4:$Q$1463,$P21)="","",INDEX(MASTER!$Q$4:$Q$1463,$P21)),""))</f>
        <v>21</v>
      </c>
      <c r="N21" s="15" t="str">
        <f>IF($P21="","",IFERROR(IF(INDEX(MASTER!$S$4:$S$1463,$P21)="","",INDEX(MASTER!$S$4:$S$1463,$P21)),""))</f>
        <v>Complete</v>
      </c>
      <c r="P21">
        <f>IFERROR(MATCH($Q$1&amp;"@13",MASTER!$AC$4:$AC$1463,0),"")</f>
        <v>133</v>
      </c>
    </row>
    <row r="22" spans="1:16">
      <c r="A22" s="19">
        <f>IF($P22="","",14)</f>
        <v>14</v>
      </c>
      <c r="B22" s="18" t="str">
        <f>IF($P22="","",IFERROR(IF(INDEX(MASTER!$C$4:$C$1463,$P22)="","",INDEX(MASTER!$C$4:$C$1463,$P22)),""))</f>
        <v>Bjorn216BP</v>
      </c>
      <c r="C22" s="19" t="str">
        <f>IF($P22="","",IFERROR(IF(INDEX(MASTER!$D$4:$D$1463,$P22)="","",INDEX(MASTER!$D$4:$D$1463,$P22)),""))</f>
        <v>TK0</v>
      </c>
      <c r="D22" s="19" t="str">
        <f>IF($P22="","",IFERROR(IF(INDEX(MASTER!$E$4:$E$1463,$P22)="","",INDEX(MASTER!$E$4:$E$1463,$P22)),""))</f>
        <v>BARBARIAN</v>
      </c>
      <c r="E22" s="19" t="str">
        <f>IF($P22="","",IFERROR(IF(INDEX(MASTER!$F$4:$F$1463,$P22)="","",INDEX(MASTER!$F$4:$F$1463,$P22)),""))</f>
        <v>Frontline</v>
      </c>
      <c r="F22" s="20">
        <f>IF($P22="","",IFERROR(IF(INDEX(MASTER!$G$4:$G$1463,$P22)="","",INDEX(MASTER!$G$4:$G$1463,$P22)),""))</f>
        <v>62537</v>
      </c>
      <c r="G22" s="19" t="str">
        <f>IF($P22="","",IFERROR(IF(INDEX(MASTER!$H$4:$H$1463,$P22)="","",INDEX(MASTER!$H$4:$H$1463,$P22)),""))</f>
        <v>62,000 - 62,999</v>
      </c>
      <c r="H22" s="20">
        <f>IF($P22="","",IFERROR(IF(INDEX(MASTER!$I$4:$I$1463,$P22)="","",INDEX(MASTER!$I$4:$I$1463,$P22)),""))</f>
        <v>5222</v>
      </c>
      <c r="I22" s="19" t="str">
        <f>IF($P22="","",IFERROR(IF(INDEX(MASTER!$J$4:$J$1463,$P22)="","",INDEX(MASTER!$J$4:$J$1463,$P22)),""))</f>
        <v>CORE</v>
      </c>
      <c r="J22" s="21">
        <f>IF($P22="","",IFERROR(IF(INDEX(MASTER!$L$4:$L$1463,$P22)="","",INDEX(MASTER!$L$4:$L$1463,$P22)),""))</f>
        <v>5.3</v>
      </c>
      <c r="K22" s="21">
        <f>IF($P22="","",IFERROR(IF(INDEX(MASTER!$N$4:$N$1463,$P22)="","",INDEX(MASTER!$N$4:$N$1463,$P22)),""))</f>
        <v>51.5</v>
      </c>
      <c r="L22" s="19" t="str">
        <f>IF($P22="","",IFERROR(IF(INDEX(MASTER!$O$4:$O$1463,$P22)="","",INDEX(MASTER!$O$4:$O$1463,$P22)),""))</f>
        <v>A</v>
      </c>
      <c r="M22" s="19">
        <f>IF($P22="","",IFERROR(IF(INDEX(MASTER!$Q$4:$Q$1463,$P22)="","",INDEX(MASTER!$Q$4:$Q$1463,$P22)),""))</f>
        <v>46</v>
      </c>
      <c r="N22" s="19" t="str">
        <f>IF($P22="","",IFERROR(IF(INDEX(MASTER!$S$4:$S$1463,$P22)="","",INDEX(MASTER!$S$4:$S$1463,$P22)),""))</f>
        <v>Complete</v>
      </c>
      <c r="P22">
        <f>IFERROR(MATCH($Q$1&amp;"@14",MASTER!$AC$4:$AC$1463,0),"")</f>
        <v>138</v>
      </c>
    </row>
    <row r="23" spans="1:16">
      <c r="A23" s="15">
        <f>IF($P23="","",15)</f>
        <v>15</v>
      </c>
      <c r="B23" s="14" t="str">
        <f>IF($P23="","",IFERROR(IF(INDEX(MASTER!$C$4:$C$1463,$P23)="","",INDEX(MASTER!$C$4:$C$1463,$P23)),""))</f>
        <v>BLOODY</v>
      </c>
      <c r="C23" s="15" t="str">
        <f>IF($P23="","",IFERROR(IF(INDEX(MASTER!$D$4:$D$1463,$P23)="","",INDEX(MASTER!$D$4:$D$1463,$P23)),""))</f>
        <v>TK0</v>
      </c>
      <c r="D23" s="15" t="str">
        <f>IF($P23="","",IFERROR(IF(INDEX(MASTER!$E$4:$E$1463,$P23)="","",INDEX(MASTER!$E$4:$E$1463,$P23)),""))</f>
        <v>BARBARIAN</v>
      </c>
      <c r="E23" s="15" t="str">
        <f>IF($P23="","",IFERROR(IF(INDEX(MASTER!$F$4:$F$1463,$P23)="","",INDEX(MASTER!$F$4:$F$1463,$P23)),""))</f>
        <v>Frontline</v>
      </c>
      <c r="F23" s="16">
        <f>IF($P23="","",IFERROR(IF(INDEX(MASTER!$G$4:$G$1463,$P23)="","",INDEX(MASTER!$G$4:$G$1463,$P23)),""))</f>
        <v>62269</v>
      </c>
      <c r="G23" s="15" t="str">
        <f>IF($P23="","",IFERROR(IF(INDEX(MASTER!$H$4:$H$1463,$P23)="","",INDEX(MASTER!$H$4:$H$1463,$P23)),""))</f>
        <v>62,000 - 62,999</v>
      </c>
      <c r="H23" s="16">
        <f>IF($P23="","",IFERROR(IF(INDEX(MASTER!$I$4:$I$1463,$P23)="","",INDEX(MASTER!$I$4:$I$1463,$P23)),""))</f>
        <v>7917</v>
      </c>
      <c r="I23" s="15" t="str">
        <f>IF($P23="","",IFERROR(IF(INDEX(MASTER!$J$4:$J$1463,$P23)="","",INDEX(MASTER!$J$4:$J$1463,$P23)),""))</f>
        <v>VETERAN</v>
      </c>
      <c r="J23" s="17">
        <f>IF($P23="","",IFERROR(IF(INDEX(MASTER!$L$4:$L$1463,$P23)="","",INDEX(MASTER!$L$4:$L$1463,$P23)),""))</f>
        <v>5.82</v>
      </c>
      <c r="K23" s="17">
        <f>IF($P23="","",IFERROR(IF(INDEX(MASTER!$N$4:$N$1463,$P23)="","",INDEX(MASTER!$N$4:$N$1463,$P23)),""))</f>
        <v>63.4</v>
      </c>
      <c r="L23" s="15" t="str">
        <f>IF($P23="","",IFERROR(IF(INDEX(MASTER!$O$4:$O$1463,$P23)="","",INDEX(MASTER!$O$4:$O$1463,$P23)),""))</f>
        <v>A</v>
      </c>
      <c r="M23" s="15">
        <f>IF($P23="","",IFERROR(IF(INDEX(MASTER!$Q$4:$Q$1463,$P23)="","",INDEX(MASTER!$Q$4:$Q$1463,$P23)),""))</f>
        <v>13</v>
      </c>
      <c r="N23" s="15" t="str">
        <f>IF($P23="","",IFERROR(IF(INDEX(MASTER!$S$4:$S$1463,$P23)="","",INDEX(MASTER!$S$4:$S$1463,$P23)),""))</f>
        <v>Complete</v>
      </c>
      <c r="P23">
        <f>IFERROR(MATCH($Q$1&amp;"@15",MASTER!$AC$4:$AC$1463,0),"")</f>
        <v>147</v>
      </c>
    </row>
    <row r="24" spans="1:16">
      <c r="A24" s="19">
        <f>IF($P24="","",16)</f>
        <v>16</v>
      </c>
      <c r="B24" s="18" t="str">
        <f>IF($P24="","",IFERROR(IF(INDEX(MASTER!$C$4:$C$1463,$P24)="","",INDEX(MASTER!$C$4:$C$1463,$P24)),""))</f>
        <v>Brundyn</v>
      </c>
      <c r="C24" s="19" t="str">
        <f>IF($P24="","",IFERROR(IF(INDEX(MASTER!$D$4:$D$1463,$P24)="","",INDEX(MASTER!$D$4:$D$1463,$P24)),""))</f>
        <v>TK0</v>
      </c>
      <c r="D24" s="19" t="str">
        <f>IF($P24="","",IFERROR(IF(INDEX(MASTER!$E$4:$E$1463,$P24)="","",INDEX(MASTER!$E$4:$E$1463,$P24)),""))</f>
        <v>BARBARIAN</v>
      </c>
      <c r="E24" s="19" t="str">
        <f>IF($P24="","",IFERROR(IF(INDEX(MASTER!$F$4:$F$1463,$P24)="","",INDEX(MASTER!$F$4:$F$1463,$P24)),""))</f>
        <v>Frontline</v>
      </c>
      <c r="F24" s="20">
        <f>IF($P24="","",IFERROR(IF(INDEX(MASTER!$G$4:$G$1463,$P24)="","",INDEX(MASTER!$G$4:$G$1463,$P24)),""))</f>
        <v>61696</v>
      </c>
      <c r="G24" s="19" t="str">
        <f>IF($P24="","",IFERROR(IF(INDEX(MASTER!$H$4:$H$1463,$P24)="","",INDEX(MASTER!$H$4:$H$1463,$P24)),""))</f>
        <v>61,000 - 61,999</v>
      </c>
      <c r="H24" s="20">
        <f>IF($P24="","",IFERROR(IF(INDEX(MASTER!$I$4:$I$1463,$P24)="","",INDEX(MASTER!$I$4:$I$1463,$P24)),""))</f>
        <v>4518</v>
      </c>
      <c r="I24" s="19" t="str">
        <f>IF($P24="","",IFERROR(IF(INDEX(MASTER!$J$4:$J$1463,$P24)="","",INDEX(MASTER!$J$4:$J$1463,$P24)),""))</f>
        <v>CORE</v>
      </c>
      <c r="J24" s="21">
        <f>IF($P24="","",IFERROR(IF(INDEX(MASTER!$L$4:$L$1463,$P24)="","",INDEX(MASTER!$L$4:$L$1463,$P24)),""))</f>
        <v>4.59</v>
      </c>
      <c r="K24" s="21">
        <f>IF($P24="","",IFERROR(IF(INDEX(MASTER!$N$4:$N$1463,$P24)="","",INDEX(MASTER!$N$4:$N$1463,$P24)),""))</f>
        <v>45</v>
      </c>
      <c r="L24" s="19" t="str">
        <f>IF($P24="","",IFERROR(IF(INDEX(MASTER!$O$4:$O$1463,$P24)="","",INDEX(MASTER!$O$4:$O$1463,$P24)),""))</f>
        <v>B</v>
      </c>
      <c r="M24" s="19">
        <f>IF($P24="","",IFERROR(IF(INDEX(MASTER!$Q$4:$Q$1463,$P24)="","",INDEX(MASTER!$Q$4:$Q$1463,$P24)),""))</f>
        <v>63</v>
      </c>
      <c r="N24" s="19" t="str">
        <f>IF($P24="","",IFERROR(IF(INDEX(MASTER!$S$4:$S$1463,$P24)="","",INDEX(MASTER!$S$4:$S$1463,$P24)),""))</f>
        <v>Complete</v>
      </c>
      <c r="P24">
        <f>IFERROR(MATCH($Q$1&amp;"@16",MASTER!$AC$4:$AC$1463,0),"")</f>
        <v>173</v>
      </c>
    </row>
    <row r="25" spans="1:16">
      <c r="A25" s="15">
        <f>IF($P25="","",17)</f>
        <v>17</v>
      </c>
      <c r="B25" s="14" t="str">
        <f>IF($P25="","",IFERROR(IF(INDEX(MASTER!$C$4:$C$1463,$P25)="","",INDEX(MASTER!$C$4:$C$1463,$P25)),""))</f>
        <v>Buttburps</v>
      </c>
      <c r="C25" s="15" t="str">
        <f>IF($P25="","",IFERROR(IF(INDEX(MASTER!$D$4:$D$1463,$P25)="","",INDEX(MASTER!$D$4:$D$1463,$P25)),""))</f>
        <v/>
      </c>
      <c r="D25" s="15" t="str">
        <f>IF($P25="","",IFERROR(IF(INDEX(MASTER!$E$4:$E$1463,$P25)="","",INDEX(MASTER!$E$4:$E$1463,$P25)),""))</f>
        <v>DEMON HUNTER</v>
      </c>
      <c r="E25" s="15" t="str">
        <f>IF($P25="","",IFERROR(IF(INDEX(MASTER!$F$4:$F$1463,$P25)="","",INDEX(MASTER!$F$4:$F$1463,$P25)),""))</f>
        <v>Ranged DPS</v>
      </c>
      <c r="F25" s="16">
        <f>IF($P25="","",IFERROR(IF(INDEX(MASTER!$G$4:$G$1463,$P25)="","",INDEX(MASTER!$G$4:$G$1463,$P25)),""))</f>
        <v>63522</v>
      </c>
      <c r="G25" s="15" t="str">
        <f>IF($P25="","",IFERROR(IF(INDEX(MASTER!$H$4:$H$1463,$P25)="","",INDEX(MASTER!$H$4:$H$1463,$P25)),""))</f>
        <v>63,000 - 63,999</v>
      </c>
      <c r="H25" s="16">
        <f>IF($P25="","",IFERROR(IF(INDEX(MASTER!$I$4:$I$1463,$P25)="","",INDEX(MASTER!$I$4:$I$1463,$P25)),""))</f>
        <v>5904</v>
      </c>
      <c r="I25" s="15" t="str">
        <f>IF($P25="","",IFERROR(IF(INDEX(MASTER!$J$4:$J$1463,$P25)="","",INDEX(MASTER!$J$4:$J$1463,$P25)),""))</f>
        <v>CORE</v>
      </c>
      <c r="J25" s="17">
        <f>IF($P25="","",IFERROR(IF(INDEX(MASTER!$L$4:$L$1463,$P25)="","",INDEX(MASTER!$L$4:$L$1463,$P25)),""))</f>
        <v>6.46</v>
      </c>
      <c r="K25" s="17">
        <f>IF($P25="","",IFERROR(IF(INDEX(MASTER!$N$4:$N$1463,$P25)="","",INDEX(MASTER!$N$4:$N$1463,$P25)),""))</f>
        <v>59</v>
      </c>
      <c r="L25" s="15" t="str">
        <f>IF($P25="","",IFERROR(IF(INDEX(MASTER!$O$4:$O$1463,$P25)="","",INDEX(MASTER!$O$4:$O$1463,$P25)),""))</f>
        <v>A</v>
      </c>
      <c r="M25" s="15">
        <f>IF($P25="","",IFERROR(IF(INDEX(MASTER!$Q$4:$Q$1463,$P25)="","",INDEX(MASTER!$Q$4:$Q$1463,$P25)),""))</f>
        <v>32</v>
      </c>
      <c r="N25" s="15" t="str">
        <f>IF($P25="","",IFERROR(IF(INDEX(MASTER!$S$4:$S$1463,$P25)="","",INDEX(MASTER!$S$4:$S$1463,$P25)),""))</f>
        <v>Complete</v>
      </c>
      <c r="P25">
        <f>IFERROR(MATCH($Q$1&amp;"@17",MASTER!$AC$4:$AC$1463,0),"")</f>
        <v>177</v>
      </c>
    </row>
    <row r="26" spans="1:16">
      <c r="A26" s="19">
        <f>IF($P26="","",18)</f>
        <v>18</v>
      </c>
      <c r="B26" s="18" t="str">
        <f>IF($P26="","",IFERROR(IF(INDEX(MASTER!$C$4:$C$1463,$P26)="","",INDEX(MASTER!$C$4:$C$1463,$P26)),""))</f>
        <v>Caesar</v>
      </c>
      <c r="C26" s="19" t="str">
        <f>IF($P26="","",IFERROR(IF(INDEX(MASTER!$D$4:$D$1463,$P26)="","",INDEX(MASTER!$D$4:$D$1463,$P26)),""))</f>
        <v>TK0</v>
      </c>
      <c r="D26" s="19" t="str">
        <f>IF($P26="","",IFERROR(IF(INDEX(MASTER!$E$4:$E$1463,$P26)="","",INDEX(MASTER!$E$4:$E$1463,$P26)),""))</f>
        <v>WARLOCK</v>
      </c>
      <c r="E26" s="19" t="str">
        <f>IF($P26="","",IFERROR(IF(INDEX(MASTER!$F$4:$F$1463,$P26)="","",INDEX(MASTER!$F$4:$F$1463,$P26)),""))</f>
        <v>Control</v>
      </c>
      <c r="F26" s="20">
        <f>IF($P26="","",IFERROR(IF(INDEX(MASTER!$G$4:$G$1463,$P26)="","",INDEX(MASTER!$G$4:$G$1463,$P26)),""))</f>
        <v>63686</v>
      </c>
      <c r="G26" s="19" t="str">
        <f>IF($P26="","",IFERROR(IF(INDEX(MASTER!$H$4:$H$1463,$P26)="","",INDEX(MASTER!$H$4:$H$1463,$P26)),""))</f>
        <v>63,000 - 63,999</v>
      </c>
      <c r="H26" s="20">
        <f>IF($P26="","",IFERROR(IF(INDEX(MASTER!$I$4:$I$1463,$P26)="","",INDEX(MASTER!$I$4:$I$1463,$P26)),""))</f>
        <v>7372</v>
      </c>
      <c r="I26" s="19" t="str">
        <f>IF($P26="","",IFERROR(IF(INDEX(MASTER!$J$4:$J$1463,$P26)="","",INDEX(MASTER!$J$4:$J$1463,$P26)),""))</f>
        <v>VETERAN</v>
      </c>
      <c r="J26" s="21">
        <f>IF($P26="","",IFERROR(IF(INDEX(MASTER!$L$4:$L$1463,$P26)="","",INDEX(MASTER!$L$4:$L$1463,$P26)),""))</f>
        <v>6.28</v>
      </c>
      <c r="K26" s="21">
        <f>IF($P26="","",IFERROR(IF(INDEX(MASTER!$N$4:$N$1463,$P26)="","",INDEX(MASTER!$N$4:$N$1463,$P26)),""))</f>
        <v>65.5</v>
      </c>
      <c r="L26" s="19" t="str">
        <f>IF($P26="","",IFERROR(IF(INDEX(MASTER!$O$4:$O$1463,$P26)="","",INDEX(MASTER!$O$4:$O$1463,$P26)),""))</f>
        <v>S</v>
      </c>
      <c r="M26" s="19">
        <f>IF($P26="","",IFERROR(IF(INDEX(MASTER!$Q$4:$Q$1463,$P26)="","",INDEX(MASTER!$Q$4:$Q$1463,$P26)),""))</f>
        <v>19</v>
      </c>
      <c r="N26" s="19" t="str">
        <f>IF($P26="","",IFERROR(IF(INDEX(MASTER!$S$4:$S$1463,$P26)="","",INDEX(MASTER!$S$4:$S$1463,$P26)),""))</f>
        <v>Complete</v>
      </c>
      <c r="P26">
        <f>IFERROR(MATCH($Q$1&amp;"@18",MASTER!$AC$4:$AC$1463,0),"")</f>
        <v>186</v>
      </c>
    </row>
    <row r="27" spans="1:16">
      <c r="A27" s="15">
        <f>IF($P27="","",19)</f>
        <v>19</v>
      </c>
      <c r="B27" s="14" t="str">
        <f>IF($P27="","",IFERROR(IF(INDEX(MASTER!$C$4:$C$1463,$P27)="","",INDEX(MASTER!$C$4:$C$1463,$P27)),""))</f>
        <v>Cæsar</v>
      </c>
      <c r="C27" s="15" t="str">
        <f>IF($P27="","",IFERROR(IF(INDEX(MASTER!$D$4:$D$1463,$P27)="","",INDEX(MASTER!$D$4:$D$1463,$P27)),""))</f>
        <v>TK0</v>
      </c>
      <c r="D27" s="15" t="str">
        <f>IF($P27="","",IFERROR(IF(INDEX(MASTER!$E$4:$E$1463,$P27)="","",INDEX(MASTER!$E$4:$E$1463,$P27)),""))</f>
        <v>BARBARIAN</v>
      </c>
      <c r="E27" s="15" t="str">
        <f>IF($P27="","",IFERROR(IF(INDEX(MASTER!$F$4:$F$1463,$P27)="","",INDEX(MASTER!$F$4:$F$1463,$P27)),""))</f>
        <v>Frontline</v>
      </c>
      <c r="F27" s="16">
        <f>IF($P27="","",IFERROR(IF(INDEX(MASTER!$G$4:$G$1463,$P27)="","",INDEX(MASTER!$G$4:$G$1463,$P27)),""))</f>
        <v>62516</v>
      </c>
      <c r="G27" s="15" t="str">
        <f>IF($P27="","",IFERROR(IF(INDEX(MASTER!$H$4:$H$1463,$P27)="","",INDEX(MASTER!$H$4:$H$1463,$P27)),""))</f>
        <v>62,000 - 62,999</v>
      </c>
      <c r="H27" s="16">
        <f>IF($P27="","",IFERROR(IF(INDEX(MASTER!$I$4:$I$1463,$P27)="","",INDEX(MASTER!$I$4:$I$1463,$P27)),""))</f>
        <v>5340</v>
      </c>
      <c r="I27" s="15" t="str">
        <f>IF($P27="","",IFERROR(IF(INDEX(MASTER!$J$4:$J$1463,$P27)="","",INDEX(MASTER!$J$4:$J$1463,$P27)),""))</f>
        <v>CORE</v>
      </c>
      <c r="J27" s="17">
        <f>IF($P27="","",IFERROR(IF(INDEX(MASTER!$L$4:$L$1463,$P27)="","",INDEX(MASTER!$L$4:$L$1463,$P27)),""))</f>
        <v>4.87</v>
      </c>
      <c r="K27" s="17">
        <f>IF($P27="","",IFERROR(IF(INDEX(MASTER!$N$4:$N$1463,$P27)="","",INDEX(MASTER!$N$4:$N$1463,$P27)),""))</f>
        <v>51.2</v>
      </c>
      <c r="L27" s="15" t="str">
        <f>IF($P27="","",IFERROR(IF(INDEX(MASTER!$O$4:$O$1463,$P27)="","",INDEX(MASTER!$O$4:$O$1463,$P27)),""))</f>
        <v>A</v>
      </c>
      <c r="M27" s="15">
        <f>IF($P27="","",IFERROR(IF(INDEX(MASTER!$Q$4:$Q$1463,$P27)="","",INDEX(MASTER!$Q$4:$Q$1463,$P27)),""))</f>
        <v>43</v>
      </c>
      <c r="N27" s="15" t="str">
        <f>IF($P27="","",IFERROR(IF(INDEX(MASTER!$S$4:$S$1463,$P27)="","",INDEX(MASTER!$S$4:$S$1463,$P27)),""))</f>
        <v>Complete</v>
      </c>
      <c r="P27">
        <f>IFERROR(MATCH($Q$1&amp;"@19",MASTER!$AC$4:$AC$1463,0),"")</f>
        <v>243</v>
      </c>
    </row>
    <row r="28" spans="1:16">
      <c r="A28" s="19">
        <f>IF($P28="","",20)</f>
        <v>20</v>
      </c>
      <c r="B28" s="18" t="str">
        <f>IF($P28="","",IFERROR(IF(INDEX(MASTER!$C$4:$C$1463,$P28)="","",INDEX(MASTER!$C$4:$C$1463,$P28)),""))</f>
        <v>Captain69berserk</v>
      </c>
      <c r="C28" s="19" t="str">
        <f>IF($P28="","",IFERROR(IF(INDEX(MASTER!$D$4:$D$1463,$P28)="","",INDEX(MASTER!$D$4:$D$1463,$P28)),""))</f>
        <v/>
      </c>
      <c r="D28" s="19" t="str">
        <f>IF($P28="","",IFERROR(IF(INDEX(MASTER!$E$4:$E$1463,$P28)="","",INDEX(MASTER!$E$4:$E$1463,$P28)),""))</f>
        <v>BARBARIAN</v>
      </c>
      <c r="E28" s="19" t="str">
        <f>IF($P28="","",IFERROR(IF(INDEX(MASTER!$F$4:$F$1463,$P28)="","",INDEX(MASTER!$F$4:$F$1463,$P28)),""))</f>
        <v>Frontline</v>
      </c>
      <c r="F28" s="20">
        <f>IF($P28="","",IFERROR(IF(INDEX(MASTER!$G$4:$G$1463,$P28)="","",INDEX(MASTER!$G$4:$G$1463,$P28)),""))</f>
        <v>62013</v>
      </c>
      <c r="G28" s="19" t="str">
        <f>IF($P28="","",IFERROR(IF(INDEX(MASTER!$H$4:$H$1463,$P28)="","",INDEX(MASTER!$H$4:$H$1463,$P28)),""))</f>
        <v>62,000 - 62,999</v>
      </c>
      <c r="H28" s="20">
        <f>IF($P28="","",IFERROR(IF(INDEX(MASTER!$I$4:$I$1463,$P28)="","",INDEX(MASTER!$I$4:$I$1463,$P28)),""))</f>
        <v>3238</v>
      </c>
      <c r="I28" s="19" t="str">
        <f>IF($P28="","",IFERROR(IF(INDEX(MASTER!$J$4:$J$1463,$P28)="","",INDEX(MASTER!$J$4:$J$1463,$P28)),""))</f>
        <v>DEVELOPING</v>
      </c>
      <c r="J28" s="21">
        <f>IF($P28="","",IFERROR(IF(INDEX(MASTER!$L$4:$L$1463,$P28)="","",INDEX(MASTER!$L$4:$L$1463,$P28)),""))</f>
        <v>4.26</v>
      </c>
      <c r="K28" s="21">
        <f>IF($P28="","",IFERROR(IF(INDEX(MASTER!$N$4:$N$1463,$P28)="","",INDEX(MASTER!$N$4:$N$1463,$P28)),""))</f>
        <v>39.700000000000003</v>
      </c>
      <c r="L28" s="19" t="str">
        <f>IF($P28="","",IFERROR(IF(INDEX(MASTER!$O$4:$O$1463,$P28)="","",INDEX(MASTER!$O$4:$O$1463,$P28)),""))</f>
        <v>B</v>
      </c>
      <c r="M28" s="19">
        <f>IF($P28="","",IFERROR(IF(INDEX(MASTER!$Q$4:$Q$1463,$P28)="","",INDEX(MASTER!$Q$4:$Q$1463,$P28)),""))</f>
        <v>90</v>
      </c>
      <c r="N28" s="19" t="str">
        <f>IF($P28="","",IFERROR(IF(INDEX(MASTER!$S$4:$S$1463,$P28)="","",INDEX(MASTER!$S$4:$S$1463,$P28)),""))</f>
        <v>Complete</v>
      </c>
      <c r="P28">
        <f>IFERROR(MATCH($Q$1&amp;"@20",MASTER!$AC$4:$AC$1463,0),"")</f>
        <v>192</v>
      </c>
    </row>
    <row r="29" spans="1:16">
      <c r="A29" s="15">
        <f>IF($P29="","",21)</f>
        <v>21</v>
      </c>
      <c r="B29" s="14" t="str">
        <f>IF($P29="","",IFERROR(IF(INDEX(MASTER!$C$4:$C$1463,$P29)="","",INDEX(MASTER!$C$4:$C$1463,$P29)),""))</f>
        <v>Carbumazlx</v>
      </c>
      <c r="C29" s="15" t="str">
        <f>IF($P29="","",IFERROR(IF(INDEX(MASTER!$D$4:$D$1463,$P29)="","",INDEX(MASTER!$D$4:$D$1463,$P29)),""))</f>
        <v/>
      </c>
      <c r="D29" s="15" t="str">
        <f>IF($P29="","",IFERROR(IF(INDEX(MASTER!$E$4:$E$1463,$P29)="","",INDEX(MASTER!$E$4:$E$1463,$P29)),""))</f>
        <v>DEMON HUNTER</v>
      </c>
      <c r="E29" s="15" t="str">
        <f>IF($P29="","",IFERROR(IF(INDEX(MASTER!$F$4:$F$1463,$P29)="","",INDEX(MASTER!$F$4:$F$1463,$P29)),""))</f>
        <v>Ranged DPS</v>
      </c>
      <c r="F29" s="16">
        <f>IF($P29="","",IFERROR(IF(INDEX(MASTER!$G$4:$G$1463,$P29)="","",INDEX(MASTER!$G$4:$G$1463,$P29)),""))</f>
        <v>62258</v>
      </c>
      <c r="G29" s="15" t="str">
        <f>IF($P29="","",IFERROR(IF(INDEX(MASTER!$H$4:$H$1463,$P29)="","",INDEX(MASTER!$H$4:$H$1463,$P29)),""))</f>
        <v>62,000 - 62,999</v>
      </c>
      <c r="H29" s="16">
        <f>IF($P29="","",IFERROR(IF(INDEX(MASTER!$I$4:$I$1463,$P29)="","",INDEX(MASTER!$I$4:$I$1463,$P29)),""))</f>
        <v>4549</v>
      </c>
      <c r="I29" s="15" t="str">
        <f>IF($P29="","",IFERROR(IF(INDEX(MASTER!$J$4:$J$1463,$P29)="","",INDEX(MASTER!$J$4:$J$1463,$P29)),""))</f>
        <v>CORE</v>
      </c>
      <c r="J29" s="17">
        <f>IF($P29="","",IFERROR(IF(INDEX(MASTER!$L$4:$L$1463,$P29)="","",INDEX(MASTER!$L$4:$L$1463,$P29)),""))</f>
        <v>6.5</v>
      </c>
      <c r="K29" s="17">
        <f>IF($P29="","",IFERROR(IF(INDEX(MASTER!$N$4:$N$1463,$P29)="","",INDEX(MASTER!$N$4:$N$1463,$P29)),""))</f>
        <v>49.8</v>
      </c>
      <c r="L29" s="15" t="str">
        <f>IF($P29="","",IFERROR(IF(INDEX(MASTER!$O$4:$O$1463,$P29)="","",INDEX(MASTER!$O$4:$O$1463,$P29)),""))</f>
        <v>B</v>
      </c>
      <c r="M29" s="15">
        <f>IF($P29="","",IFERROR(IF(INDEX(MASTER!$Q$4:$Q$1463,$P29)="","",INDEX(MASTER!$Q$4:$Q$1463,$P29)),""))</f>
        <v>62</v>
      </c>
      <c r="N29" s="15" t="str">
        <f>IF($P29="","",IFERROR(IF(INDEX(MASTER!$S$4:$S$1463,$P29)="","",INDEX(MASTER!$S$4:$S$1463,$P29)),""))</f>
        <v>Complete</v>
      </c>
      <c r="P29">
        <f>IFERROR(MATCH($Q$1&amp;"@21",MASTER!$AC$4:$AC$1463,0),"")</f>
        <v>194</v>
      </c>
    </row>
    <row r="30" spans="1:16">
      <c r="A30" s="19">
        <f>IF($P30="","",22)</f>
        <v>22</v>
      </c>
      <c r="B30" s="18" t="str">
        <f>IF($P30="","",IFERROR(IF(INDEX(MASTER!$C$4:$C$1463,$P30)="","",INDEX(MASTER!$C$4:$C$1463,$P30)),""))</f>
        <v>ChaiSun</v>
      </c>
      <c r="C30" s="19" t="str">
        <f>IF($P30="","",IFERROR(IF(INDEX(MASTER!$D$4:$D$1463,$P30)="","",INDEX(MASTER!$D$4:$D$1463,$P30)),""))</f>
        <v>TK0</v>
      </c>
      <c r="D30" s="19" t="str">
        <f>IF($P30="","",IFERROR(IF(INDEX(MASTER!$E$4:$E$1463,$P30)="","",INDEX(MASTER!$E$4:$E$1463,$P30)),""))</f>
        <v>WIZARD</v>
      </c>
      <c r="E30" s="19" t="str">
        <f>IF($P30="","",IFERROR(IF(INDEX(MASTER!$F$4:$F$1463,$P30)="","",INDEX(MASTER!$F$4:$F$1463,$P30)),""))</f>
        <v>Ranged DPS</v>
      </c>
      <c r="F30" s="20">
        <f>IF($P30="","",IFERROR(IF(INDEX(MASTER!$G$4:$G$1463,$P30)="","",INDEX(MASTER!$G$4:$G$1463,$P30)),""))</f>
        <v>63610</v>
      </c>
      <c r="G30" s="19" t="str">
        <f>IF($P30="","",IFERROR(IF(INDEX(MASTER!$H$4:$H$1463,$P30)="","",INDEX(MASTER!$H$4:$H$1463,$P30)),""))</f>
        <v>63,000 - 63,999</v>
      </c>
      <c r="H30" s="20">
        <f>IF($P30="","",IFERROR(IF(INDEX(MASTER!$I$4:$I$1463,$P30)="","",INDEX(MASTER!$I$4:$I$1463,$P30)),""))</f>
        <v>6777</v>
      </c>
      <c r="I30" s="19" t="str">
        <f>IF($P30="","",IFERROR(IF(INDEX(MASTER!$J$4:$J$1463,$P30)="","",INDEX(MASTER!$J$4:$J$1463,$P30)),""))</f>
        <v>VETERAN</v>
      </c>
      <c r="J30" s="21">
        <f>IF($P30="","",IFERROR(IF(INDEX(MASTER!$L$4:$L$1463,$P30)="","",INDEX(MASTER!$L$4:$L$1463,$P30)),""))</f>
        <v>5.66</v>
      </c>
      <c r="K30" s="21">
        <f>IF($P30="","",IFERROR(IF(INDEX(MASTER!$N$4:$N$1463,$P30)="","",INDEX(MASTER!$N$4:$N$1463,$P30)),""))</f>
        <v>61.7</v>
      </c>
      <c r="L30" s="19" t="str">
        <f>IF($P30="","",IFERROR(IF(INDEX(MASTER!$O$4:$O$1463,$P30)="","",INDEX(MASTER!$O$4:$O$1463,$P30)),""))</f>
        <v>A</v>
      </c>
      <c r="M30" s="19">
        <f>IF($P30="","",IFERROR(IF(INDEX(MASTER!$Q$4:$Q$1463,$P30)="","",INDEX(MASTER!$Q$4:$Q$1463,$P30)),""))</f>
        <v>23</v>
      </c>
      <c r="N30" s="19" t="str">
        <f>IF($P30="","",IFERROR(IF(INDEX(MASTER!$S$4:$S$1463,$P30)="","",INDEX(MASTER!$S$4:$S$1463,$P30)),""))</f>
        <v>Complete</v>
      </c>
      <c r="P30">
        <f>IFERROR(MATCH($Q$1&amp;"@22",MASTER!$AC$4:$AC$1463,0),"")</f>
        <v>202</v>
      </c>
    </row>
    <row r="31" spans="1:16">
      <c r="A31" s="15">
        <f>IF($P31="","",23)</f>
        <v>23</v>
      </c>
      <c r="B31" s="14" t="str">
        <f>IF($P31="","",IFERROR(IF(INDEX(MASTER!$C$4:$C$1463,$P31)="","",INDEX(MASTER!$C$4:$C$1463,$P31)),""))</f>
        <v>ÇhuckBef</v>
      </c>
      <c r="C31" s="15" t="str">
        <f>IF($P31="","",IFERROR(IF(INDEX(MASTER!$D$4:$D$1463,$P31)="","",INDEX(MASTER!$D$4:$D$1463,$P31)),""))</f>
        <v>TK0</v>
      </c>
      <c r="D31" s="15" t="str">
        <f>IF($P31="","",IFERROR(IF(INDEX(MASTER!$E$4:$E$1463,$P31)="","",INDEX(MASTER!$E$4:$E$1463,$P31)),""))</f>
        <v>WARLOCK</v>
      </c>
      <c r="E31" s="15" t="str">
        <f>IF($P31="","",IFERROR(IF(INDEX(MASTER!$F$4:$F$1463,$P31)="","",INDEX(MASTER!$F$4:$F$1463,$P31)),""))</f>
        <v>Control</v>
      </c>
      <c r="F31" s="16">
        <f>IF($P31="","",IFERROR(IF(INDEX(MASTER!$G$4:$G$1463,$P31)="","",INDEX(MASTER!$G$4:$G$1463,$P31)),""))</f>
        <v>63309</v>
      </c>
      <c r="G31" s="15" t="str">
        <f>IF($P31="","",IFERROR(IF(INDEX(MASTER!$H$4:$H$1463,$P31)="","",INDEX(MASTER!$H$4:$H$1463,$P31)),""))</f>
        <v>63,000 - 63,999</v>
      </c>
      <c r="H31" s="16">
        <f>IF($P31="","",IFERROR(IF(INDEX(MASTER!$I$4:$I$1463,$P31)="","",INDEX(MASTER!$I$4:$I$1463,$P31)),""))</f>
        <v>6336</v>
      </c>
      <c r="I31" s="15" t="str">
        <f>IF($P31="","",IFERROR(IF(INDEX(MASTER!$J$4:$J$1463,$P31)="","",INDEX(MASTER!$J$4:$J$1463,$P31)),""))</f>
        <v>VETERAN</v>
      </c>
      <c r="J31" s="17">
        <f>IF($P31="","",IFERROR(IF(INDEX(MASTER!$L$4:$L$1463,$P31)="","",INDEX(MASTER!$L$4:$L$1463,$P31)),""))</f>
        <v>5.52</v>
      </c>
      <c r="K31" s="17">
        <f>IF($P31="","",IFERROR(IF(INDEX(MASTER!$N$4:$N$1463,$P31)="","",INDEX(MASTER!$N$4:$N$1463,$P31)),""))</f>
        <v>58.7</v>
      </c>
      <c r="L31" s="15" t="str">
        <f>IF($P31="","",IFERROR(IF(INDEX(MASTER!$O$4:$O$1463,$P31)="","",INDEX(MASTER!$O$4:$O$1463,$P31)),""))</f>
        <v>A</v>
      </c>
      <c r="M31" s="15">
        <f>IF($P31="","",IFERROR(IF(INDEX(MASTER!$Q$4:$Q$1463,$P31)="","",INDEX(MASTER!$Q$4:$Q$1463,$P31)),""))</f>
        <v>27</v>
      </c>
      <c r="N31" s="15" t="str">
        <f>IF($P31="","",IFERROR(IF(INDEX(MASTER!$S$4:$S$1463,$P31)="","",INDEX(MASTER!$S$4:$S$1463,$P31)),""))</f>
        <v>Complete</v>
      </c>
      <c r="P31">
        <f>IFERROR(MATCH($Q$1&amp;"@23",MASTER!$AC$4:$AC$1463,0),"")</f>
        <v>1336</v>
      </c>
    </row>
    <row r="32" spans="1:16">
      <c r="A32" s="19">
        <f>IF($P32="","",24)</f>
        <v>24</v>
      </c>
      <c r="B32" s="18" t="str">
        <f>IF($P32="","",IFERROR(IF(INDEX(MASTER!$C$4:$C$1463,$P32)="","",INDEX(MASTER!$C$4:$C$1463,$P32)),""))</f>
        <v>Cle0patra</v>
      </c>
      <c r="C32" s="19" t="str">
        <f>IF($P32="","",IFERROR(IF(INDEX(MASTER!$D$4:$D$1463,$P32)="","",INDEX(MASTER!$D$4:$D$1463,$P32)),""))</f>
        <v>TK0</v>
      </c>
      <c r="D32" s="19" t="str">
        <f>IF($P32="","",IFERROR(IF(INDEX(MASTER!$E$4:$E$1463,$P32)="","",INDEX(MASTER!$E$4:$E$1463,$P32)),""))</f>
        <v>BARBARIAN</v>
      </c>
      <c r="E32" s="19" t="str">
        <f>IF($P32="","",IFERROR(IF(INDEX(MASTER!$F$4:$F$1463,$P32)="","",INDEX(MASTER!$F$4:$F$1463,$P32)),""))</f>
        <v>Frontline</v>
      </c>
      <c r="F32" s="20">
        <f>IF($P32="","",IFERROR(IF(INDEX(MASTER!$G$4:$G$1463,$P32)="","",INDEX(MASTER!$G$4:$G$1463,$P32)),""))</f>
        <v>61257</v>
      </c>
      <c r="G32" s="19" t="str">
        <f>IF($P32="","",IFERROR(IF(INDEX(MASTER!$H$4:$H$1463,$P32)="","",INDEX(MASTER!$H$4:$H$1463,$P32)),""))</f>
        <v>61,000 - 61,999</v>
      </c>
      <c r="H32" s="20">
        <f>IF($P32="","",IFERROR(IF(INDEX(MASTER!$I$4:$I$1463,$P32)="","",INDEX(MASTER!$I$4:$I$1463,$P32)),""))</f>
        <v>3028</v>
      </c>
      <c r="I32" s="19" t="str">
        <f>IF($P32="","",IFERROR(IF(INDEX(MASTER!$J$4:$J$1463,$P32)="","",INDEX(MASTER!$J$4:$J$1463,$P32)),""))</f>
        <v>DEVELOPING</v>
      </c>
      <c r="J32" s="21">
        <f>IF($P32="","",IFERROR(IF(INDEX(MASTER!$L$4:$L$1463,$P32)="","",INDEX(MASTER!$L$4:$L$1463,$P32)),""))</f>
        <v>3.63</v>
      </c>
      <c r="K32" s="21">
        <f>IF($P32="","",IFERROR(IF(INDEX(MASTER!$N$4:$N$1463,$P32)="","",INDEX(MASTER!$N$4:$N$1463,$P32)),""))</f>
        <v>35.700000000000003</v>
      </c>
      <c r="L32" s="19" t="str">
        <f>IF($P32="","",IFERROR(IF(INDEX(MASTER!$O$4:$O$1463,$P32)="","",INDEX(MASTER!$O$4:$O$1463,$P32)),""))</f>
        <v>B</v>
      </c>
      <c r="M32" s="19">
        <f>IF($P32="","",IFERROR(IF(INDEX(MASTER!$Q$4:$Q$1463,$P32)="","",INDEX(MASTER!$Q$4:$Q$1463,$P32)),""))</f>
        <v>93</v>
      </c>
      <c r="N32" s="19" t="str">
        <f>IF($P32="","",IFERROR(IF(INDEX(MASTER!$S$4:$S$1463,$P32)="","",INDEX(MASTER!$S$4:$S$1463,$P32)),""))</f>
        <v>Complete</v>
      </c>
      <c r="P32">
        <f>IFERROR(MATCH($Q$1&amp;"@24",MASTER!$AC$4:$AC$1463,0),"")</f>
        <v>216</v>
      </c>
    </row>
    <row r="33" spans="1:16">
      <c r="A33" s="15">
        <f>IF($P33="","",25)</f>
        <v>25</v>
      </c>
      <c r="B33" s="14" t="str">
        <f>IF($P33="","",IFERROR(IF(INDEX(MASTER!$C$4:$C$1463,$P33)="","",INDEX(MASTER!$C$4:$C$1463,$P33)),""))</f>
        <v>Clubbit</v>
      </c>
      <c r="C33" s="15" t="str">
        <f>IF($P33="","",IFERROR(IF(INDEX(MASTER!$D$4:$D$1463,$P33)="","",INDEX(MASTER!$D$4:$D$1463,$P33)),""))</f>
        <v/>
      </c>
      <c r="D33" s="15" t="str">
        <f>IF($P33="","",IFERROR(IF(INDEX(MASTER!$E$4:$E$1463,$P33)="","",INDEX(MASTER!$E$4:$E$1463,$P33)),""))</f>
        <v>BARBARIAN</v>
      </c>
      <c r="E33" s="15" t="str">
        <f>IF($P33="","",IFERROR(IF(INDEX(MASTER!$F$4:$F$1463,$P33)="","",INDEX(MASTER!$F$4:$F$1463,$P33)),""))</f>
        <v>Frontline</v>
      </c>
      <c r="F33" s="16">
        <f>IF($P33="","",IFERROR(IF(INDEX(MASTER!$G$4:$G$1463,$P33)="","",INDEX(MASTER!$G$4:$G$1463,$P33)),""))</f>
        <v>63016</v>
      </c>
      <c r="G33" s="15" t="str">
        <f>IF($P33="","",IFERROR(IF(INDEX(MASTER!$H$4:$H$1463,$P33)="","",INDEX(MASTER!$H$4:$H$1463,$P33)),""))</f>
        <v>63,000 - 63,999</v>
      </c>
      <c r="H33" s="16">
        <f>IF($P33="","",IFERROR(IF(INDEX(MASTER!$I$4:$I$1463,$P33)="","",INDEX(MASTER!$I$4:$I$1463,$P33)),""))</f>
        <v>4607</v>
      </c>
      <c r="I33" s="15" t="str">
        <f>IF($P33="","",IFERROR(IF(INDEX(MASTER!$J$4:$J$1463,$P33)="","",INDEX(MASTER!$J$4:$J$1463,$P33)),""))</f>
        <v>CORE</v>
      </c>
      <c r="J33" s="17">
        <f>IF($P33="","",IFERROR(IF(INDEX(MASTER!$L$4:$L$1463,$P33)="","",INDEX(MASTER!$L$4:$L$1463,$P33)),""))</f>
        <v>5.5</v>
      </c>
      <c r="K33" s="17">
        <f>IF($P33="","",IFERROR(IF(INDEX(MASTER!$N$4:$N$1463,$P33)="","",INDEX(MASTER!$N$4:$N$1463,$P33)),""))</f>
        <v>50.4</v>
      </c>
      <c r="L33" s="15" t="str">
        <f>IF($P33="","",IFERROR(IF(INDEX(MASTER!$O$4:$O$1463,$P33)="","",INDEX(MASTER!$O$4:$O$1463,$P33)),""))</f>
        <v>A</v>
      </c>
      <c r="M33" s="15">
        <f>IF($P33="","",IFERROR(IF(INDEX(MASTER!$Q$4:$Q$1463,$P33)="","",INDEX(MASTER!$Q$4:$Q$1463,$P33)),""))</f>
        <v>59</v>
      </c>
      <c r="N33" s="15" t="str">
        <f>IF($P33="","",IFERROR(IF(INDEX(MASTER!$S$4:$S$1463,$P33)="","",INDEX(MASTER!$S$4:$S$1463,$P33)),""))</f>
        <v>Complete</v>
      </c>
      <c r="P33">
        <f>IFERROR(MATCH($Q$1&amp;"@25",MASTER!$AC$4:$AC$1463,0),"")</f>
        <v>221</v>
      </c>
    </row>
    <row r="34" spans="1:16">
      <c r="A34" s="19">
        <f>IF($P34="","",26)</f>
        <v>26</v>
      </c>
      <c r="B34" s="18" t="str">
        <f>IF($P34="","",IFERROR(IF(INDEX(MASTER!$C$4:$C$1463,$P34)="","",INDEX(MASTER!$C$4:$C$1463,$P34)),""))</f>
        <v>Cryosise1</v>
      </c>
      <c r="C34" s="19" t="str">
        <f>IF($P34="","",IFERROR(IF(INDEX(MASTER!$D$4:$D$1463,$P34)="","",INDEX(MASTER!$D$4:$D$1463,$P34)),""))</f>
        <v/>
      </c>
      <c r="D34" s="19" t="str">
        <f>IF($P34="","",IFERROR(IF(INDEX(MASTER!$E$4:$E$1463,$P34)="","",INDEX(MASTER!$E$4:$E$1463,$P34)),""))</f>
        <v>DEMON HUNTER</v>
      </c>
      <c r="E34" s="19" t="str">
        <f>IF($P34="","",IFERROR(IF(INDEX(MASTER!$F$4:$F$1463,$P34)="","",INDEX(MASTER!$F$4:$F$1463,$P34)),""))</f>
        <v>Ranged DPS</v>
      </c>
      <c r="F34" s="20">
        <f>IF($P34="","",IFERROR(IF(INDEX(MASTER!$G$4:$G$1463,$P34)="","",INDEX(MASTER!$G$4:$G$1463,$P34)),""))</f>
        <v>62880</v>
      </c>
      <c r="G34" s="19" t="str">
        <f>IF($P34="","",IFERROR(IF(INDEX(MASTER!$H$4:$H$1463,$P34)="","",INDEX(MASTER!$H$4:$H$1463,$P34)),""))</f>
        <v>62,000 - 62,999</v>
      </c>
      <c r="H34" s="20">
        <f>IF($P34="","",IFERROR(IF(INDEX(MASTER!$I$4:$I$1463,$P34)="","",INDEX(MASTER!$I$4:$I$1463,$P34)),""))</f>
        <v>3568</v>
      </c>
      <c r="I34" s="19" t="str">
        <f>IF($P34="","",IFERROR(IF(INDEX(MASTER!$J$4:$J$1463,$P34)="","",INDEX(MASTER!$J$4:$J$1463,$P34)),""))</f>
        <v>DEVELOPING</v>
      </c>
      <c r="J34" s="21">
        <f>IF($P34="","",IFERROR(IF(INDEX(MASTER!$L$4:$L$1463,$P34)="","",INDEX(MASTER!$L$4:$L$1463,$P34)),""))</f>
        <v>4.33</v>
      </c>
      <c r="K34" s="21">
        <f>IF($P34="","",IFERROR(IF(INDEX(MASTER!$N$4:$N$1463,$P34)="","",INDEX(MASTER!$N$4:$N$1463,$P34)),""))</f>
        <v>43.5</v>
      </c>
      <c r="L34" s="19" t="str">
        <f>IF($P34="","",IFERROR(IF(INDEX(MASTER!$O$4:$O$1463,$P34)="","",INDEX(MASTER!$O$4:$O$1463,$P34)),""))</f>
        <v>B</v>
      </c>
      <c r="M34" s="19">
        <f>IF($P34="","",IFERROR(IF(INDEX(MASTER!$Q$4:$Q$1463,$P34)="","",INDEX(MASTER!$Q$4:$Q$1463,$P34)),""))</f>
        <v>83</v>
      </c>
      <c r="N34" s="19" t="str">
        <f>IF($P34="","",IFERROR(IF(INDEX(MASTER!$S$4:$S$1463,$P34)="","",INDEX(MASTER!$S$4:$S$1463,$P34)),""))</f>
        <v>Complete</v>
      </c>
      <c r="P34">
        <f>IFERROR(MATCH($Q$1&amp;"@26",MASTER!$AC$4:$AC$1463,0),"")</f>
        <v>235</v>
      </c>
    </row>
    <row r="35" spans="1:16">
      <c r="A35" s="15">
        <f>IF($P35="","",27)</f>
        <v>27</v>
      </c>
      <c r="B35" s="14" t="str">
        <f>IF($P35="","",IFERROR(IF(INDEX(MASTER!$C$4:$C$1463,$P35)="","",INDEX(MASTER!$C$4:$C$1463,$P35)),""))</f>
        <v>DBZ MAJINBUU</v>
      </c>
      <c r="C35" s="15" t="str">
        <f>IF($P35="","",IFERROR(IF(INDEX(MASTER!$D$4:$D$1463,$P35)="","",INDEX(MASTER!$D$4:$D$1463,$P35)),""))</f>
        <v/>
      </c>
      <c r="D35" s="15" t="str">
        <f>IF($P35="","",IFERROR(IF(INDEX(MASTER!$E$4:$E$1463,$P35)="","",INDEX(MASTER!$E$4:$E$1463,$P35)),""))</f>
        <v>WARLOCK</v>
      </c>
      <c r="E35" s="15" t="str">
        <f>IF($P35="","",IFERROR(IF(INDEX(MASTER!$F$4:$F$1463,$P35)="","",INDEX(MASTER!$F$4:$F$1463,$P35)),""))</f>
        <v>Control</v>
      </c>
      <c r="F35" s="16">
        <f>IF($P35="","",IFERROR(IF(INDEX(MASTER!$G$4:$G$1463,$P35)="","",INDEX(MASTER!$G$4:$G$1463,$P35)),""))</f>
        <v>64413</v>
      </c>
      <c r="G35" s="15" t="str">
        <f>IF($P35="","",IFERROR(IF(INDEX(MASTER!$H$4:$H$1463,$P35)="","",INDEX(MASTER!$H$4:$H$1463,$P35)),""))</f>
        <v>64,000 +</v>
      </c>
      <c r="H35" s="16">
        <f>IF($P35="","",IFERROR(IF(INDEX(MASTER!$I$4:$I$1463,$P35)="","",INDEX(MASTER!$I$4:$I$1463,$P35)),""))</f>
        <v>10175</v>
      </c>
      <c r="I35" s="15" t="str">
        <f>IF($P35="","",IFERROR(IF(INDEX(MASTER!$J$4:$J$1463,$P35)="","",INDEX(MASTER!$J$4:$J$1463,$P35)),""))</f>
        <v>APEX</v>
      </c>
      <c r="J35" s="17">
        <f>IF($P35="","",IFERROR(IF(INDEX(MASTER!$L$4:$L$1463,$P35)="","",INDEX(MASTER!$L$4:$L$1463,$P35)),""))</f>
        <v>7.21</v>
      </c>
      <c r="K35" s="17">
        <f>IF($P35="","",IFERROR(IF(INDEX(MASTER!$N$4:$N$1463,$P35)="","",INDEX(MASTER!$N$4:$N$1463,$P35)),""))</f>
        <v>81.2</v>
      </c>
      <c r="L35" s="15" t="str">
        <f>IF($P35="","",IFERROR(IF(INDEX(MASTER!$O$4:$O$1463,$P35)="","",INDEX(MASTER!$O$4:$O$1463,$P35)),""))</f>
        <v>S+</v>
      </c>
      <c r="M35" s="15">
        <f>IF($P35="","",IFERROR(IF(INDEX(MASTER!$Q$4:$Q$1463,$P35)="","",INDEX(MASTER!$Q$4:$Q$1463,$P35)),""))</f>
        <v>6</v>
      </c>
      <c r="N35" s="15" t="str">
        <f>IF($P35="","",IFERROR(IF(INDEX(MASTER!$S$4:$S$1463,$P35)="","",INDEX(MASTER!$S$4:$S$1463,$P35)),""))</f>
        <v>Complete</v>
      </c>
      <c r="P35">
        <f>IFERROR(MATCH($Q$1&amp;"@27",MASTER!$AC$4:$AC$1463,0),"")</f>
        <v>261</v>
      </c>
    </row>
    <row r="36" spans="1:16">
      <c r="A36" s="19">
        <f>IF($P36="","",28)</f>
        <v>28</v>
      </c>
      <c r="B36" s="18" t="str">
        <f>IF($P36="","",IFERROR(IF(INDEX(MASTER!$C$4:$C$1463,$P36)="","",INDEX(MASTER!$C$4:$C$1463,$P36)),""))</f>
        <v>DBZ WHIS</v>
      </c>
      <c r="C36" s="19" t="str">
        <f>IF($P36="","",IFERROR(IF(INDEX(MASTER!$D$4:$D$1463,$P36)="","",INDEX(MASTER!$D$4:$D$1463,$P36)),""))</f>
        <v/>
      </c>
      <c r="D36" s="19" t="str">
        <f>IF($P36="","",IFERROR(IF(INDEX(MASTER!$E$4:$E$1463,$P36)="","",INDEX(MASTER!$E$4:$E$1463,$P36)),""))</f>
        <v>WIZARD</v>
      </c>
      <c r="E36" s="19" t="str">
        <f>IF($P36="","",IFERROR(IF(INDEX(MASTER!$F$4:$F$1463,$P36)="","",INDEX(MASTER!$F$4:$F$1463,$P36)),""))</f>
        <v>Ranged DPS</v>
      </c>
      <c r="F36" s="20">
        <f>IF($P36="","",IFERROR(IF(INDEX(MASTER!$G$4:$G$1463,$P36)="","",INDEX(MASTER!$G$4:$G$1463,$P36)),""))</f>
        <v>64176</v>
      </c>
      <c r="G36" s="19" t="str">
        <f>IF($P36="","",IFERROR(IF(INDEX(MASTER!$H$4:$H$1463,$P36)="","",INDEX(MASTER!$H$4:$H$1463,$P36)),""))</f>
        <v>64,000 +</v>
      </c>
      <c r="H36" s="20">
        <f>IF($P36="","",IFERROR(IF(INDEX(MASTER!$I$4:$I$1463,$P36)="","",INDEX(MASTER!$I$4:$I$1463,$P36)),""))</f>
        <v>8979</v>
      </c>
      <c r="I36" s="19" t="str">
        <f>IF($P36="","",IFERROR(IF(INDEX(MASTER!$J$4:$J$1463,$P36)="","",INDEX(MASTER!$J$4:$J$1463,$P36)),""))</f>
        <v>ELITE</v>
      </c>
      <c r="J36" s="21">
        <f>IF($P36="","",IFERROR(IF(INDEX(MASTER!$L$4:$L$1463,$P36)="","",INDEX(MASTER!$L$4:$L$1463,$P36)),""))</f>
        <v>6.14</v>
      </c>
      <c r="K36" s="21">
        <f>IF($P36="","",IFERROR(IF(INDEX(MASTER!$N$4:$N$1463,$P36)="","",INDEX(MASTER!$N$4:$N$1463,$P36)),""))</f>
        <v>73.599999999999994</v>
      </c>
      <c r="L36" s="19" t="str">
        <f>IF($P36="","",IFERROR(IF(INDEX(MASTER!$O$4:$O$1463,$P36)="","",INDEX(MASTER!$O$4:$O$1463,$P36)),""))</f>
        <v>S</v>
      </c>
      <c r="M36" s="19">
        <f>IF($P36="","",IFERROR(IF(INDEX(MASTER!$Q$4:$Q$1463,$P36)="","",INDEX(MASTER!$Q$4:$Q$1463,$P36)),""))</f>
        <v>8</v>
      </c>
      <c r="N36" s="19" t="str">
        <f>IF($P36="","",IFERROR(IF(INDEX(MASTER!$S$4:$S$1463,$P36)="","",INDEX(MASTER!$S$4:$S$1463,$P36)),""))</f>
        <v>Complete</v>
      </c>
      <c r="P36">
        <f>IFERROR(MATCH($Q$1&amp;"@28",MASTER!$AC$4:$AC$1463,0),"")</f>
        <v>262</v>
      </c>
    </row>
    <row r="37" spans="1:16">
      <c r="A37" s="15">
        <f>IF($P37="","",29)</f>
        <v>29</v>
      </c>
      <c r="B37" s="14" t="str">
        <f>IF($P37="","",IFERROR(IF(INDEX(MASTER!$C$4:$C$1463,$P37)="","",INDEX(MASTER!$C$4:$C$1463,$P37)),""))</f>
        <v>Deeds</v>
      </c>
      <c r="C37" s="15" t="str">
        <f>IF($P37="","",IFERROR(IF(INDEX(MASTER!$D$4:$D$1463,$P37)="","",INDEX(MASTER!$D$4:$D$1463,$P37)),""))</f>
        <v/>
      </c>
      <c r="D37" s="15" t="str">
        <f>IF($P37="","",IFERROR(IF(INDEX(MASTER!$E$4:$E$1463,$P37)="","",INDEX(MASTER!$E$4:$E$1463,$P37)),""))</f>
        <v>BARBARIAN</v>
      </c>
      <c r="E37" s="15" t="str">
        <f>IF($P37="","",IFERROR(IF(INDEX(MASTER!$F$4:$F$1463,$P37)="","",INDEX(MASTER!$F$4:$F$1463,$P37)),""))</f>
        <v>Frontline</v>
      </c>
      <c r="F37" s="16">
        <f>IF($P37="","",IFERROR(IF(INDEX(MASTER!$G$4:$G$1463,$P37)="","",INDEX(MASTER!$G$4:$G$1463,$P37)),""))</f>
        <v>64418</v>
      </c>
      <c r="G37" s="15" t="str">
        <f>IF($P37="","",IFERROR(IF(INDEX(MASTER!$H$4:$H$1463,$P37)="","",INDEX(MASTER!$H$4:$H$1463,$P37)),""))</f>
        <v>64,000 +</v>
      </c>
      <c r="H37" s="16">
        <f>IF($P37="","",IFERROR(IF(INDEX(MASTER!$I$4:$I$1463,$P37)="","",INDEX(MASTER!$I$4:$I$1463,$P37)),""))</f>
        <v>11601</v>
      </c>
      <c r="I37" s="15" t="str">
        <f>IF($P37="","",IFERROR(IF(INDEX(MASTER!$J$4:$J$1463,$P37)="","",INDEX(MASTER!$J$4:$J$1463,$P37)),""))</f>
        <v>APEX</v>
      </c>
      <c r="J37" s="17">
        <f>IF($P37="","",IFERROR(IF(INDEX(MASTER!$L$4:$L$1463,$P37)="","",INDEX(MASTER!$L$4:$L$1463,$P37)),""))</f>
        <v>7.65</v>
      </c>
      <c r="K37" s="17">
        <f>IF($P37="","",IFERROR(IF(INDEX(MASTER!$N$4:$N$1463,$P37)="","",INDEX(MASTER!$N$4:$N$1463,$P37)),""))</f>
        <v>88.2</v>
      </c>
      <c r="L37" s="15" t="str">
        <f>IF($P37="","",IFERROR(IF(INDEX(MASTER!$O$4:$O$1463,$P37)="","",INDEX(MASTER!$O$4:$O$1463,$P37)),""))</f>
        <v>S+</v>
      </c>
      <c r="M37" s="15">
        <f>IF($P37="","",IFERROR(IF(INDEX(MASTER!$Q$4:$Q$1463,$P37)="","",INDEX(MASTER!$Q$4:$Q$1463,$P37)),""))</f>
        <v>1</v>
      </c>
      <c r="N37" s="15" t="str">
        <f>IF($P37="","",IFERROR(IF(INDEX(MASTER!$S$4:$S$1463,$P37)="","",INDEX(MASTER!$S$4:$S$1463,$P37)),""))</f>
        <v>Complete</v>
      </c>
      <c r="P37">
        <f>IFERROR(MATCH($Q$1&amp;"@29",MASTER!$AC$4:$AC$1463,0),"")</f>
        <v>274</v>
      </c>
    </row>
    <row r="38" spans="1:16">
      <c r="A38" s="19">
        <f>IF($P38="","",30)</f>
        <v>30</v>
      </c>
      <c r="B38" s="18" t="str">
        <f>IF($P38="","",IFERROR(IF(INDEX(MASTER!$C$4:$C$1463,$P38)="","",INDEX(MASTER!$C$4:$C$1463,$P38)),""))</f>
        <v>DermisFerric</v>
      </c>
      <c r="C38" s="19" t="str">
        <f>IF($P38="","",IFERROR(IF(INDEX(MASTER!$D$4:$D$1463,$P38)="","",INDEX(MASTER!$D$4:$D$1463,$P38)),""))</f>
        <v/>
      </c>
      <c r="D38" s="19" t="str">
        <f>IF($P38="","",IFERROR(IF(INDEX(MASTER!$E$4:$E$1463,$P38)="","",INDEX(MASTER!$E$4:$E$1463,$P38)),""))</f>
        <v>WARLOCK</v>
      </c>
      <c r="E38" s="19" t="str">
        <f>IF($P38="","",IFERROR(IF(INDEX(MASTER!$F$4:$F$1463,$P38)="","",INDEX(MASTER!$F$4:$F$1463,$P38)),""))</f>
        <v>Control</v>
      </c>
      <c r="F38" s="20">
        <f>IF($P38="","",IFERROR(IF(INDEX(MASTER!$G$4:$G$1463,$P38)="","",INDEX(MASTER!$G$4:$G$1463,$P38)),""))</f>
        <v>63229</v>
      </c>
      <c r="G38" s="19" t="str">
        <f>IF($P38="","",IFERROR(IF(INDEX(MASTER!$H$4:$H$1463,$P38)="","",INDEX(MASTER!$H$4:$H$1463,$P38)),""))</f>
        <v>63,000 - 63,999</v>
      </c>
      <c r="H38" s="20">
        <f>IF($P38="","",IFERROR(IF(INDEX(MASTER!$I$4:$I$1463,$P38)="","",INDEX(MASTER!$I$4:$I$1463,$P38)),""))</f>
        <v>5622</v>
      </c>
      <c r="I38" s="19" t="str">
        <f>IF($P38="","",IFERROR(IF(INDEX(MASTER!$J$4:$J$1463,$P38)="","",INDEX(MASTER!$J$4:$J$1463,$P38)),""))</f>
        <v>CORE</v>
      </c>
      <c r="J38" s="21">
        <f>IF($P38="","",IFERROR(IF(INDEX(MASTER!$L$4:$L$1463,$P38)="","",INDEX(MASTER!$L$4:$L$1463,$P38)),""))</f>
        <v>3.63</v>
      </c>
      <c r="K38" s="21">
        <f>IF($P38="","",IFERROR(IF(INDEX(MASTER!$N$4:$N$1463,$P38)="","",INDEX(MASTER!$N$4:$N$1463,$P38)),""))</f>
        <v>52.2</v>
      </c>
      <c r="L38" s="19" t="str">
        <f>IF($P38="","",IFERROR(IF(INDEX(MASTER!$O$4:$O$1463,$P38)="","",INDEX(MASTER!$O$4:$O$1463,$P38)),""))</f>
        <v>A</v>
      </c>
      <c r="M38" s="19">
        <f>IF($P38="","",IFERROR(IF(INDEX(MASTER!$Q$4:$Q$1463,$P38)="","",INDEX(MASTER!$Q$4:$Q$1463,$P38)),""))</f>
        <v>37</v>
      </c>
      <c r="N38" s="19" t="str">
        <f>IF($P38="","",IFERROR(IF(INDEX(MASTER!$S$4:$S$1463,$P38)="","",INDEX(MASTER!$S$4:$S$1463,$P38)),""))</f>
        <v>Complete</v>
      </c>
      <c r="P38">
        <f>IFERROR(MATCH($Q$1&amp;"@30",MASTER!$AC$4:$AC$1463,0),"")</f>
        <v>279</v>
      </c>
    </row>
    <row r="39" spans="1:16">
      <c r="A39" s="15">
        <f>IF($P39="","",31)</f>
        <v>31</v>
      </c>
      <c r="B39" s="14" t="str">
        <f>IF($P39="","",IFERROR(IF(INDEX(MASTER!$C$4:$C$1463,$P39)="","",INDEX(MASTER!$C$4:$C$1463,$P39)),""))</f>
        <v>DominicDeValois</v>
      </c>
      <c r="C39" s="15" t="str">
        <f>IF($P39="","",IFERROR(IF(INDEX(MASTER!$D$4:$D$1463,$P39)="","",INDEX(MASTER!$D$4:$D$1463,$P39)),""))</f>
        <v/>
      </c>
      <c r="D39" s="15" t="str">
        <f>IF($P39="","",IFERROR(IF(INDEX(MASTER!$E$4:$E$1463,$P39)="","",INDEX(MASTER!$E$4:$E$1463,$P39)),""))</f>
        <v>BARBARIAN</v>
      </c>
      <c r="E39" s="15" t="str">
        <f>IF($P39="","",IFERROR(IF(INDEX(MASTER!$F$4:$F$1463,$P39)="","",INDEX(MASTER!$F$4:$F$1463,$P39)),""))</f>
        <v>Frontline</v>
      </c>
      <c r="F39" s="16">
        <f>IF($P39="","",IFERROR(IF(INDEX(MASTER!$G$4:$G$1463,$P39)="","",INDEX(MASTER!$G$4:$G$1463,$P39)),""))</f>
        <v>62531</v>
      </c>
      <c r="G39" s="15" t="str">
        <f>IF($P39="","",IFERROR(IF(INDEX(MASTER!$H$4:$H$1463,$P39)="","",INDEX(MASTER!$H$4:$H$1463,$P39)),""))</f>
        <v>62,000 - 62,999</v>
      </c>
      <c r="H39" s="16">
        <f>IF($P39="","",IFERROR(IF(INDEX(MASTER!$I$4:$I$1463,$P39)="","",INDEX(MASTER!$I$4:$I$1463,$P39)),""))</f>
        <v>4843</v>
      </c>
      <c r="I39" s="15" t="str">
        <f>IF($P39="","",IFERROR(IF(INDEX(MASTER!$J$4:$J$1463,$P39)="","",INDEX(MASTER!$J$4:$J$1463,$P39)),""))</f>
        <v>CORE</v>
      </c>
      <c r="J39" s="17">
        <f>IF($P39="","",IFERROR(IF(INDEX(MASTER!$L$4:$L$1463,$P39)="","",INDEX(MASTER!$L$4:$L$1463,$P39)),""))</f>
        <v>5.84</v>
      </c>
      <c r="K39" s="17">
        <f>IF($P39="","",IFERROR(IF(INDEX(MASTER!$N$4:$N$1463,$P39)="","",INDEX(MASTER!$N$4:$N$1463,$P39)),""))</f>
        <v>50.7</v>
      </c>
      <c r="L39" s="15" t="str">
        <f>IF($P39="","",IFERROR(IF(INDEX(MASTER!$O$4:$O$1463,$P39)="","",INDEX(MASTER!$O$4:$O$1463,$P39)),""))</f>
        <v>A</v>
      </c>
      <c r="M39" s="15">
        <f>IF($P39="","",IFERROR(IF(INDEX(MASTER!$Q$4:$Q$1463,$P39)="","",INDEX(MASTER!$Q$4:$Q$1463,$P39)),""))</f>
        <v>54</v>
      </c>
      <c r="N39" s="15" t="str">
        <f>IF($P39="","",IFERROR(IF(INDEX(MASTER!$S$4:$S$1463,$P39)="","",INDEX(MASTER!$S$4:$S$1463,$P39)),""))</f>
        <v>Complete</v>
      </c>
      <c r="P39">
        <f>IFERROR(MATCH($Q$1&amp;"@31",MASTER!$AC$4:$AC$1463,0),"")</f>
        <v>301</v>
      </c>
    </row>
    <row r="40" spans="1:16">
      <c r="A40" s="19">
        <f>IF($P40="","",32)</f>
        <v>32</v>
      </c>
      <c r="B40" s="18" t="str">
        <f>IF($P40="","",IFERROR(IF(INDEX(MASTER!$C$4:$C$1463,$P40)="","",INDEX(MASTER!$C$4:$C$1463,$P40)),""))</f>
        <v>DONCAN</v>
      </c>
      <c r="C40" s="19" t="str">
        <f>IF($P40="","",IFERROR(IF(INDEX(MASTER!$D$4:$D$1463,$P40)="","",INDEX(MASTER!$D$4:$D$1463,$P40)),""))</f>
        <v/>
      </c>
      <c r="D40" s="19" t="str">
        <f>IF($P40="","",IFERROR(IF(INDEX(MASTER!$E$4:$E$1463,$P40)="","",INDEX(MASTER!$E$4:$E$1463,$P40)),""))</f>
        <v>MONK</v>
      </c>
      <c r="E40" s="19" t="str">
        <f>IF($P40="","",IFERROR(IF(INDEX(MASTER!$F$4:$F$1463,$P40)="","",INDEX(MASTER!$F$4:$F$1463,$P40)),""))</f>
        <v>Support</v>
      </c>
      <c r="F40" s="20">
        <f>IF($P40="","",IFERROR(IF(INDEX(MASTER!$G$4:$G$1463,$P40)="","",INDEX(MASTER!$G$4:$G$1463,$P40)),""))</f>
        <v>62565</v>
      </c>
      <c r="G40" s="19" t="str">
        <f>IF($P40="","",IFERROR(IF(INDEX(MASTER!$H$4:$H$1463,$P40)="","",INDEX(MASTER!$H$4:$H$1463,$P40)),""))</f>
        <v>62,000 - 62,999</v>
      </c>
      <c r="H40" s="20">
        <f>IF($P40="","",IFERROR(IF(INDEX(MASTER!$I$4:$I$1463,$P40)="","",INDEX(MASTER!$I$4:$I$1463,$P40)),""))</f>
        <v>3246</v>
      </c>
      <c r="I40" s="19" t="str">
        <f>IF($P40="","",IFERROR(IF(INDEX(MASTER!$J$4:$J$1463,$P40)="","",INDEX(MASTER!$J$4:$J$1463,$P40)),""))</f>
        <v>DEVELOPING</v>
      </c>
      <c r="J40" s="21">
        <f>IF($P40="","",IFERROR(IF(INDEX(MASTER!$L$4:$L$1463,$P40)="","",INDEX(MASTER!$L$4:$L$1463,$P40)),""))</f>
        <v>4.59</v>
      </c>
      <c r="K40" s="21">
        <f>IF($P40="","",IFERROR(IF(INDEX(MASTER!$N$4:$N$1463,$P40)="","",INDEX(MASTER!$N$4:$N$1463,$P40)),""))</f>
        <v>41.7</v>
      </c>
      <c r="L40" s="19" t="str">
        <f>IF($P40="","",IFERROR(IF(INDEX(MASTER!$O$4:$O$1463,$P40)="","",INDEX(MASTER!$O$4:$O$1463,$P40)),""))</f>
        <v>B</v>
      </c>
      <c r="M40" s="19">
        <f>IF($P40="","",IFERROR(IF(INDEX(MASTER!$Q$4:$Q$1463,$P40)="","",INDEX(MASTER!$Q$4:$Q$1463,$P40)),""))</f>
        <v>89</v>
      </c>
      <c r="N40" s="19" t="str">
        <f>IF($P40="","",IFERROR(IF(INDEX(MASTER!$S$4:$S$1463,$P40)="","",INDEX(MASTER!$S$4:$S$1463,$P40)),""))</f>
        <v>Complete</v>
      </c>
      <c r="P40">
        <f>IFERROR(MATCH($Q$1&amp;"@32",MASTER!$AC$4:$AC$1463,0),"")</f>
        <v>304</v>
      </c>
    </row>
    <row r="41" spans="1:16">
      <c r="A41" s="15">
        <f>IF($P41="","",33)</f>
        <v>33</v>
      </c>
      <c r="B41" s="14" t="str">
        <f>IF($P41="","",IFERROR(IF(INDEX(MASTER!$C$4:$C$1463,$P41)="","",INDEX(MASTER!$C$4:$C$1463,$P41)),""))</f>
        <v>Draegen</v>
      </c>
      <c r="C41" s="15" t="str">
        <f>IF($P41="","",IFERROR(IF(INDEX(MASTER!$D$4:$D$1463,$P41)="","",INDEX(MASTER!$D$4:$D$1463,$P41)),""))</f>
        <v>TK0</v>
      </c>
      <c r="D41" s="15" t="str">
        <f>IF($P41="","",IFERROR(IF(INDEX(MASTER!$E$4:$E$1463,$P41)="","",INDEX(MASTER!$E$4:$E$1463,$P41)),""))</f>
        <v>BARBARIAN</v>
      </c>
      <c r="E41" s="15" t="str">
        <f>IF($P41="","",IFERROR(IF(INDEX(MASTER!$F$4:$F$1463,$P41)="","",INDEX(MASTER!$F$4:$F$1463,$P41)),""))</f>
        <v>Frontline</v>
      </c>
      <c r="F41" s="16">
        <f>IF($P41="","",IFERROR(IF(INDEX(MASTER!$G$4:$G$1463,$P41)="","",INDEX(MASTER!$G$4:$G$1463,$P41)),""))</f>
        <v>63523</v>
      </c>
      <c r="G41" s="15" t="str">
        <f>IF($P41="","",IFERROR(IF(INDEX(MASTER!$H$4:$H$1463,$P41)="","",INDEX(MASTER!$H$4:$H$1463,$P41)),""))</f>
        <v>63,000 - 63,999</v>
      </c>
      <c r="H41" s="16">
        <f>IF($P41="","",IFERROR(IF(INDEX(MASTER!$I$4:$I$1463,$P41)="","",INDEX(MASTER!$I$4:$I$1463,$P41)),""))</f>
        <v>6920</v>
      </c>
      <c r="I41" s="15" t="str">
        <f>IF($P41="","",IFERROR(IF(INDEX(MASTER!$J$4:$J$1463,$P41)="","",INDEX(MASTER!$J$4:$J$1463,$P41)),""))</f>
        <v>VETERAN</v>
      </c>
      <c r="J41" s="17">
        <f>IF($P41="","",IFERROR(IF(INDEX(MASTER!$L$4:$L$1463,$P41)="","",INDEX(MASTER!$L$4:$L$1463,$P41)),""))</f>
        <v>5.38</v>
      </c>
      <c r="K41" s="17">
        <f>IF($P41="","",IFERROR(IF(INDEX(MASTER!$N$4:$N$1463,$P41)="","",INDEX(MASTER!$N$4:$N$1463,$P41)),""))</f>
        <v>61.6</v>
      </c>
      <c r="L41" s="15" t="str">
        <f>IF($P41="","",IFERROR(IF(INDEX(MASTER!$O$4:$O$1463,$P41)="","",INDEX(MASTER!$O$4:$O$1463,$P41)),""))</f>
        <v>A</v>
      </c>
      <c r="M41" s="15">
        <f>IF($P41="","",IFERROR(IF(INDEX(MASTER!$Q$4:$Q$1463,$P41)="","",INDEX(MASTER!$Q$4:$Q$1463,$P41)),""))</f>
        <v>22</v>
      </c>
      <c r="N41" s="15" t="str">
        <f>IF($P41="","",IFERROR(IF(INDEX(MASTER!$S$4:$S$1463,$P41)="","",INDEX(MASTER!$S$4:$S$1463,$P41)),""))</f>
        <v>Complete</v>
      </c>
      <c r="P41">
        <f>IFERROR(MATCH($Q$1&amp;"@33",MASTER!$AC$4:$AC$1463,0),"")</f>
        <v>309</v>
      </c>
    </row>
    <row r="42" spans="1:16">
      <c r="A42" s="19">
        <f>IF($P42="","",34)</f>
        <v>34</v>
      </c>
      <c r="B42" s="18" t="str">
        <f>IF($P42="","",IFERROR(IF(INDEX(MASTER!$C$4:$C$1463,$P42)="","",INDEX(MASTER!$C$4:$C$1463,$P42)),""))</f>
        <v>Dru</v>
      </c>
      <c r="C42" s="19" t="str">
        <f>IF($P42="","",IFERROR(IF(INDEX(MASTER!$D$4:$D$1463,$P42)="","",INDEX(MASTER!$D$4:$D$1463,$P42)),""))</f>
        <v>TK0</v>
      </c>
      <c r="D42" s="19" t="str">
        <f>IF($P42="","",IFERROR(IF(INDEX(MASTER!$E$4:$E$1463,$P42)="","",INDEX(MASTER!$E$4:$E$1463,$P42)),""))</f>
        <v>DRUID</v>
      </c>
      <c r="E42" s="19" t="str">
        <f>IF($P42="","",IFERROR(IF(INDEX(MASTER!$F$4:$F$1463,$P42)="","",INDEX(MASTER!$F$4:$F$1463,$P42)),""))</f>
        <v>Support</v>
      </c>
      <c r="F42" s="20">
        <f>IF($P42="","",IFERROR(IF(INDEX(MASTER!$G$4:$G$1463,$P42)="","",INDEX(MASTER!$G$4:$G$1463,$P42)),""))</f>
        <v>60852</v>
      </c>
      <c r="G42" s="19" t="str">
        <f>IF($P42="","",IFERROR(IF(INDEX(MASTER!$H$4:$H$1463,$P42)="","",INDEX(MASTER!$H$4:$H$1463,$P42)),""))</f>
        <v>60,000 - 60,999</v>
      </c>
      <c r="H42" s="20">
        <f>IF($P42="","",IFERROR(IF(INDEX(MASTER!$I$4:$I$1463,$P42)="","",INDEX(MASTER!$I$4:$I$1463,$P42)),""))</f>
        <v>3751</v>
      </c>
      <c r="I42" s="19" t="str">
        <f>IF($P42="","",IFERROR(IF(INDEX(MASTER!$J$4:$J$1463,$P42)="","",INDEX(MASTER!$J$4:$J$1463,$P42)),""))</f>
        <v>DEVELOPING</v>
      </c>
      <c r="J42" s="21">
        <f>IF($P42="","",IFERROR(IF(INDEX(MASTER!$L$4:$L$1463,$P42)="","",INDEX(MASTER!$L$4:$L$1463,$P42)),""))</f>
        <v>5.26</v>
      </c>
      <c r="K42" s="21">
        <f>IF($P42="","",IFERROR(IF(INDEX(MASTER!$N$4:$N$1463,$P42)="","",INDEX(MASTER!$N$4:$N$1463,$P42)),""))</f>
        <v>40.5</v>
      </c>
      <c r="L42" s="19" t="str">
        <f>IF($P42="","",IFERROR(IF(INDEX(MASTER!$O$4:$O$1463,$P42)="","",INDEX(MASTER!$O$4:$O$1463,$P42)),""))</f>
        <v>B</v>
      </c>
      <c r="M42" s="19">
        <f>IF($P42="","",IFERROR(IF(INDEX(MASTER!$Q$4:$Q$1463,$P42)="","",INDEX(MASTER!$Q$4:$Q$1463,$P42)),""))</f>
        <v>78</v>
      </c>
      <c r="N42" s="19" t="str">
        <f>IF($P42="","",IFERROR(IF(INDEX(MASTER!$S$4:$S$1463,$P42)="","",INDEX(MASTER!$S$4:$S$1463,$P42)),""))</f>
        <v>Complete</v>
      </c>
      <c r="P42">
        <f>IFERROR(MATCH($Q$1&amp;"@34",MASTER!$AC$4:$AC$1463,0),"")</f>
        <v>319</v>
      </c>
    </row>
    <row r="43" spans="1:16">
      <c r="A43" s="15">
        <f>IF($P43="","",35)</f>
        <v>35</v>
      </c>
      <c r="B43" s="14" t="str">
        <f>IF($P43="","",IFERROR(IF(INDEX(MASTER!$C$4:$C$1463,$P43)="","",INDEX(MASTER!$C$4:$C$1463,$P43)),""))</f>
        <v>Duruko</v>
      </c>
      <c r="C43" s="15" t="str">
        <f>IF($P43="","",IFERROR(IF(INDEX(MASTER!$D$4:$D$1463,$P43)="","",INDEX(MASTER!$D$4:$D$1463,$P43)),""))</f>
        <v>TK0</v>
      </c>
      <c r="D43" s="15" t="str">
        <f>IF($P43="","",IFERROR(IF(INDEX(MASTER!$E$4:$E$1463,$P43)="","",INDEX(MASTER!$E$4:$E$1463,$P43)),""))</f>
        <v>DRUID</v>
      </c>
      <c r="E43" s="15" t="str">
        <f>IF($P43="","",IFERROR(IF(INDEX(MASTER!$F$4:$F$1463,$P43)="","",INDEX(MASTER!$F$4:$F$1463,$P43)),""))</f>
        <v>Support</v>
      </c>
      <c r="F43" s="16">
        <f>IF($P43="","",IFERROR(IF(INDEX(MASTER!$G$4:$G$1463,$P43)="","",INDEX(MASTER!$G$4:$G$1463,$P43)),""))</f>
        <v>63608</v>
      </c>
      <c r="G43" s="15" t="str">
        <f>IF($P43="","",IFERROR(IF(INDEX(MASTER!$H$4:$H$1463,$P43)="","",INDEX(MASTER!$H$4:$H$1463,$P43)),""))</f>
        <v>63,000 - 63,999</v>
      </c>
      <c r="H43" s="16">
        <f>IF($P43="","",IFERROR(IF(INDEX(MASTER!$I$4:$I$1463,$P43)="","",INDEX(MASTER!$I$4:$I$1463,$P43)),""))</f>
        <v>6768</v>
      </c>
      <c r="I43" s="15" t="str">
        <f>IF($P43="","",IFERROR(IF(INDEX(MASTER!$J$4:$J$1463,$P43)="","",INDEX(MASTER!$J$4:$J$1463,$P43)),""))</f>
        <v>VETERAN</v>
      </c>
      <c r="J43" s="17">
        <f>IF($P43="","",IFERROR(IF(INDEX(MASTER!$L$4:$L$1463,$P43)="","",INDEX(MASTER!$L$4:$L$1463,$P43)),""))</f>
        <v>5.48</v>
      </c>
      <c r="K43" s="17">
        <f>IF($P43="","",IFERROR(IF(INDEX(MASTER!$N$4:$N$1463,$P43)="","",INDEX(MASTER!$N$4:$N$1463,$P43)),""))</f>
        <v>61.3</v>
      </c>
      <c r="L43" s="15" t="str">
        <f>IF($P43="","",IFERROR(IF(INDEX(MASTER!$O$4:$O$1463,$P43)="","",INDEX(MASTER!$O$4:$O$1463,$P43)),""))</f>
        <v>A</v>
      </c>
      <c r="M43" s="15">
        <f>IF($P43="","",IFERROR(IF(INDEX(MASTER!$Q$4:$Q$1463,$P43)="","",INDEX(MASTER!$Q$4:$Q$1463,$P43)),""))</f>
        <v>24</v>
      </c>
      <c r="N43" s="15" t="str">
        <f>IF($P43="","",IFERROR(IF(INDEX(MASTER!$S$4:$S$1463,$P43)="","",INDEX(MASTER!$S$4:$S$1463,$P43)),""))</f>
        <v>Complete</v>
      </c>
      <c r="P43">
        <f>IFERROR(MATCH($Q$1&amp;"@35",MASTER!$AC$4:$AC$1463,0),"")</f>
        <v>329</v>
      </c>
    </row>
    <row r="44" spans="1:16">
      <c r="A44" s="19">
        <f>IF($P44="","",36)</f>
        <v>36</v>
      </c>
      <c r="B44" s="18" t="str">
        <f>IF($P44="","",IFERROR(IF(INDEX(MASTER!$C$4:$C$1463,$P44)="","",INDEX(MASTER!$C$4:$C$1463,$P44)),""))</f>
        <v>EKkö</v>
      </c>
      <c r="C44" s="19" t="str">
        <f>IF($P44="","",IFERROR(IF(INDEX(MASTER!$D$4:$D$1463,$P44)="","",INDEX(MASTER!$D$4:$D$1463,$P44)),""))</f>
        <v>TK0</v>
      </c>
      <c r="D44" s="19" t="str">
        <f>IF($P44="","",IFERROR(IF(INDEX(MASTER!$E$4:$E$1463,$P44)="","",INDEX(MASTER!$E$4:$E$1463,$P44)),""))</f>
        <v>WARLOCK</v>
      </c>
      <c r="E44" s="19" t="str">
        <f>IF($P44="","",IFERROR(IF(INDEX(MASTER!$F$4:$F$1463,$P44)="","",INDEX(MASTER!$F$4:$F$1463,$P44)),""))</f>
        <v>Control</v>
      </c>
      <c r="F44" s="20">
        <f>IF($P44="","",IFERROR(IF(INDEX(MASTER!$G$4:$G$1463,$P44)="","",INDEX(MASTER!$G$4:$G$1463,$P44)),""))</f>
        <v>63057</v>
      </c>
      <c r="G44" s="19" t="str">
        <f>IF($P44="","",IFERROR(IF(INDEX(MASTER!$H$4:$H$1463,$P44)="","",INDEX(MASTER!$H$4:$H$1463,$P44)),""))</f>
        <v>63,000 - 63,999</v>
      </c>
      <c r="H44" s="20">
        <f>IF($P44="","",IFERROR(IF(INDEX(MASTER!$I$4:$I$1463,$P44)="","",INDEX(MASTER!$I$4:$I$1463,$P44)),""))</f>
        <v>7447</v>
      </c>
      <c r="I44" s="19" t="str">
        <f>IF($P44="","",IFERROR(IF(INDEX(MASTER!$J$4:$J$1463,$P44)="","",INDEX(MASTER!$J$4:$J$1463,$P44)),""))</f>
        <v>VETERAN</v>
      </c>
      <c r="J44" s="21">
        <f>IF($P44="","",IFERROR(IF(INDEX(MASTER!$L$4:$L$1463,$P44)="","",INDEX(MASTER!$L$4:$L$1463,$P44)),""))</f>
        <v>6.6</v>
      </c>
      <c r="K44" s="21">
        <f>IF($P44="","",IFERROR(IF(INDEX(MASTER!$N$4:$N$1463,$P44)="","",INDEX(MASTER!$N$4:$N$1463,$P44)),""))</f>
        <v>64.7</v>
      </c>
      <c r="L44" s="19" t="str">
        <f>IF($P44="","",IFERROR(IF(INDEX(MASTER!$O$4:$O$1463,$P44)="","",INDEX(MASTER!$O$4:$O$1463,$P44)),""))</f>
        <v>A</v>
      </c>
      <c r="M44" s="19">
        <f>IF($P44="","",IFERROR(IF(INDEX(MASTER!$Q$4:$Q$1463,$P44)="","",INDEX(MASTER!$Q$4:$Q$1463,$P44)),""))</f>
        <v>17</v>
      </c>
      <c r="N44" s="19" t="str">
        <f>IF($P44="","",IFERROR(IF(INDEX(MASTER!$S$4:$S$1463,$P44)="","",INDEX(MASTER!$S$4:$S$1463,$P44)),""))</f>
        <v>Complete</v>
      </c>
      <c r="P44">
        <f>IFERROR(MATCH($Q$1&amp;"@36",MASTER!$AC$4:$AC$1463,0),"")</f>
        <v>346</v>
      </c>
    </row>
    <row r="45" spans="1:16">
      <c r="A45" s="15">
        <f>IF($P45="","",37)</f>
        <v>37</v>
      </c>
      <c r="B45" s="14" t="str">
        <f>IF($P45="","",IFERROR(IF(INDEX(MASTER!$C$4:$C$1463,$P45)="","",INDEX(MASTER!$C$4:$C$1463,$P45)),""))</f>
        <v>feank</v>
      </c>
      <c r="C45" s="15" t="str">
        <f>IF($P45="","",IFERROR(IF(INDEX(MASTER!$D$4:$D$1463,$P45)="","",INDEX(MASTER!$D$4:$D$1463,$P45)),""))</f>
        <v/>
      </c>
      <c r="D45" s="15" t="str">
        <f>IF($P45="","",IFERROR(IF(INDEX(MASTER!$E$4:$E$1463,$P45)="","",INDEX(MASTER!$E$4:$E$1463,$P45)),""))</f>
        <v/>
      </c>
      <c r="E45" s="15" t="str">
        <f>IF($P45="","",IFERROR(IF(INDEX(MASTER!$F$4:$F$1463,$P45)="","",INDEX(MASTER!$F$4:$F$1463,$P45)),""))</f>
        <v>-</v>
      </c>
      <c r="F45" s="16" t="str">
        <f>IF($P45="","",IFERROR(IF(INDEX(MASTER!$G$4:$G$1463,$P45)="","",INDEX(MASTER!$G$4:$G$1463,$P45)),""))</f>
        <v/>
      </c>
      <c r="G45" s="15" t="str">
        <f>IF($P45="","",IFERROR(IF(INDEX(MASTER!$H$4:$H$1463,$P45)="","",INDEX(MASTER!$H$4:$H$1463,$P45)),""))</f>
        <v>-</v>
      </c>
      <c r="H45" s="16" t="str">
        <f>IF($P45="","",IFERROR(IF(INDEX(MASTER!$I$4:$I$1463,$P45)="","",INDEX(MASTER!$I$4:$I$1463,$P45)),""))</f>
        <v/>
      </c>
      <c r="I45" s="15" t="str">
        <f>IF($P45="","",IFERROR(IF(INDEX(MASTER!$J$4:$J$1463,$P45)="","",INDEX(MASTER!$J$4:$J$1463,$P45)),""))</f>
        <v>-</v>
      </c>
      <c r="J45" s="17" t="str">
        <f>IF($P45="","",IFERROR(IF(INDEX(MASTER!$L$4:$L$1463,$P45)="","",INDEX(MASTER!$L$4:$L$1463,$P45)),""))</f>
        <v/>
      </c>
      <c r="K45" s="17" t="str">
        <f>IF($P45="","",IFERROR(IF(INDEX(MASTER!$N$4:$N$1463,$P45)="","",INDEX(MASTER!$N$4:$N$1463,$P45)),""))</f>
        <v/>
      </c>
      <c r="L45" s="15" t="str">
        <f>IF($P45="","",IFERROR(IF(INDEX(MASTER!$O$4:$O$1463,$P45)="","",INDEX(MASTER!$O$4:$O$1463,$P45)),""))</f>
        <v>-</v>
      </c>
      <c r="M45" s="15">
        <f>IF($P45="","",IFERROR(IF(INDEX(MASTER!$Q$4:$Q$1463,$P45)="","",INDEX(MASTER!$Q$4:$Q$1463,$P45)),""))</f>
        <v>98</v>
      </c>
      <c r="N45" s="15" t="str">
        <f>IF($P45="","",IFERROR(IF(INDEX(MASTER!$S$4:$S$1463,$P45)="","",INDEX(MASTER!$S$4:$S$1463,$P45)),""))</f>
        <v>Name only</v>
      </c>
      <c r="P45">
        <f>IFERROR(MATCH($Q$1&amp;"@37",MASTER!$AC$4:$AC$1463,0),"")</f>
        <v>383</v>
      </c>
    </row>
    <row r="46" spans="1:16">
      <c r="A46" s="19">
        <f>IF($P46="","",38)</f>
        <v>38</v>
      </c>
      <c r="B46" s="18" t="str">
        <f>IF($P46="","",IFERROR(IF(INDEX(MASTER!$C$4:$C$1463,$P46)="","",INDEX(MASTER!$C$4:$C$1463,$P46)),""))</f>
        <v>FeartheDew</v>
      </c>
      <c r="C46" s="19" t="str">
        <f>IF($P46="","",IFERROR(IF(INDEX(MASTER!$D$4:$D$1463,$P46)="","",INDEX(MASTER!$D$4:$D$1463,$P46)),""))</f>
        <v/>
      </c>
      <c r="D46" s="19" t="str">
        <f>IF($P46="","",IFERROR(IF(INDEX(MASTER!$E$4:$E$1463,$P46)="","",INDEX(MASTER!$E$4:$E$1463,$P46)),""))</f>
        <v>BARBARIAN</v>
      </c>
      <c r="E46" s="19" t="str">
        <f>IF($P46="","",IFERROR(IF(INDEX(MASTER!$F$4:$F$1463,$P46)="","",INDEX(MASTER!$F$4:$F$1463,$P46)),""))</f>
        <v>Frontline</v>
      </c>
      <c r="F46" s="20">
        <f>IF($P46="","",IFERROR(IF(INDEX(MASTER!$G$4:$G$1463,$P46)="","",INDEX(MASTER!$G$4:$G$1463,$P46)),""))</f>
        <v>63297</v>
      </c>
      <c r="G46" s="19" t="str">
        <f>IF($P46="","",IFERROR(IF(INDEX(MASTER!$H$4:$H$1463,$P46)="","",INDEX(MASTER!$H$4:$H$1463,$P46)),""))</f>
        <v>63,000 - 63,999</v>
      </c>
      <c r="H46" s="20">
        <f>IF($P46="","",IFERROR(IF(INDEX(MASTER!$I$4:$I$1463,$P46)="","",INDEX(MASTER!$I$4:$I$1463,$P46)),""))</f>
        <v>4156</v>
      </c>
      <c r="I46" s="19" t="str">
        <f>IF($P46="","",IFERROR(IF(INDEX(MASTER!$J$4:$J$1463,$P46)="","",INDEX(MASTER!$J$4:$J$1463,$P46)),""))</f>
        <v>CORE</v>
      </c>
      <c r="J46" s="21">
        <f>IF($P46="","",IFERROR(IF(INDEX(MASTER!$L$4:$L$1463,$P46)="","",INDEX(MASTER!$L$4:$L$1463,$P46)),""))</f>
        <v>5.54</v>
      </c>
      <c r="K46" s="21">
        <f>IF($P46="","",IFERROR(IF(INDEX(MASTER!$N$4:$N$1463,$P46)="","",INDEX(MASTER!$N$4:$N$1463,$P46)),""))</f>
        <v>49.2</v>
      </c>
      <c r="L46" s="19" t="str">
        <f>IF($P46="","",IFERROR(IF(INDEX(MASTER!$O$4:$O$1463,$P46)="","",INDEX(MASTER!$O$4:$O$1463,$P46)),""))</f>
        <v>B</v>
      </c>
      <c r="M46" s="19">
        <f>IF($P46="","",IFERROR(IF(INDEX(MASTER!$Q$4:$Q$1463,$P46)="","",INDEX(MASTER!$Q$4:$Q$1463,$P46)),""))</f>
        <v>73</v>
      </c>
      <c r="N46" s="19" t="str">
        <f>IF($P46="","",IFERROR(IF(INDEX(MASTER!$S$4:$S$1463,$P46)="","",INDEX(MASTER!$S$4:$S$1463,$P46)),""))</f>
        <v>Complete</v>
      </c>
      <c r="P46">
        <f>IFERROR(MATCH($Q$1&amp;"@38",MASTER!$AC$4:$AC$1463,0),"")</f>
        <v>384</v>
      </c>
    </row>
    <row r="47" spans="1:16">
      <c r="A47" s="15">
        <f>IF($P47="","",39)</f>
        <v>39</v>
      </c>
      <c r="B47" s="14" t="str">
        <f>IF($P47="","",IFERROR(IF(INDEX(MASTER!$C$4:$C$1463,$P47)="","",INDEX(MASTER!$C$4:$C$1463,$P47)),""))</f>
        <v>Fenrir207</v>
      </c>
      <c r="C47" s="15" t="str">
        <f>IF($P47="","",IFERROR(IF(INDEX(MASTER!$D$4:$D$1463,$P47)="","",INDEX(MASTER!$D$4:$D$1463,$P47)),""))</f>
        <v/>
      </c>
      <c r="D47" s="15" t="str">
        <f>IF($P47="","",IFERROR(IF(INDEX(MASTER!$E$4:$E$1463,$P47)="","",INDEX(MASTER!$E$4:$E$1463,$P47)),""))</f>
        <v>DEMON HUNTER</v>
      </c>
      <c r="E47" s="15" t="str">
        <f>IF($P47="","",IFERROR(IF(INDEX(MASTER!$F$4:$F$1463,$P47)="","",INDEX(MASTER!$F$4:$F$1463,$P47)),""))</f>
        <v>Ranged DPS</v>
      </c>
      <c r="F47" s="16">
        <f>IF($P47="","",IFERROR(IF(INDEX(MASTER!$G$4:$G$1463,$P47)="","",INDEX(MASTER!$G$4:$G$1463,$P47)),""))</f>
        <v>63233</v>
      </c>
      <c r="G47" s="15" t="str">
        <f>IF($P47="","",IFERROR(IF(INDEX(MASTER!$H$4:$H$1463,$P47)="","",INDEX(MASTER!$H$4:$H$1463,$P47)),""))</f>
        <v>63,000 - 63,999</v>
      </c>
      <c r="H47" s="16">
        <f>IF($P47="","",IFERROR(IF(INDEX(MASTER!$I$4:$I$1463,$P47)="","",INDEX(MASTER!$I$4:$I$1463,$P47)),""))</f>
        <v>7112</v>
      </c>
      <c r="I47" s="15" t="str">
        <f>IF($P47="","",IFERROR(IF(INDEX(MASTER!$J$4:$J$1463,$P47)="","",INDEX(MASTER!$J$4:$J$1463,$P47)),""))</f>
        <v>VETERAN</v>
      </c>
      <c r="J47" s="17">
        <f>IF($P47="","",IFERROR(IF(INDEX(MASTER!$L$4:$L$1463,$P47)="","",INDEX(MASTER!$L$4:$L$1463,$P47)),""))</f>
        <v>5.61</v>
      </c>
      <c r="K47" s="17">
        <f>IF($P47="","",IFERROR(IF(INDEX(MASTER!$N$4:$N$1463,$P47)="","",INDEX(MASTER!$N$4:$N$1463,$P47)),""))</f>
        <v>62.1</v>
      </c>
      <c r="L47" s="15" t="str">
        <f>IF($P47="","",IFERROR(IF(INDEX(MASTER!$O$4:$O$1463,$P47)="","",INDEX(MASTER!$O$4:$O$1463,$P47)),""))</f>
        <v>A</v>
      </c>
      <c r="M47" s="15">
        <f>IF($P47="","",IFERROR(IF(INDEX(MASTER!$Q$4:$Q$1463,$P47)="","",INDEX(MASTER!$Q$4:$Q$1463,$P47)),""))</f>
        <v>20</v>
      </c>
      <c r="N47" s="15" t="str">
        <f>IF($P47="","",IFERROR(IF(INDEX(MASTER!$S$4:$S$1463,$P47)="","",INDEX(MASTER!$S$4:$S$1463,$P47)),""))</f>
        <v>Complete</v>
      </c>
      <c r="P47">
        <f>IFERROR(MATCH($Q$1&amp;"@39",MASTER!$AC$4:$AC$1463,0),"")</f>
        <v>385</v>
      </c>
    </row>
    <row r="48" spans="1:16">
      <c r="A48" s="19">
        <f>IF($P48="","",40)</f>
        <v>40</v>
      </c>
      <c r="B48" s="18" t="str">
        <f>IF($P48="","",IFERROR(IF(INDEX(MASTER!$C$4:$C$1463,$P48)="","",INDEX(MASTER!$C$4:$C$1463,$P48)),""))</f>
        <v>Flavius</v>
      </c>
      <c r="C48" s="19" t="str">
        <f>IF($P48="","",IFERROR(IF(INDEX(MASTER!$D$4:$D$1463,$P48)="","",INDEX(MASTER!$D$4:$D$1463,$P48)),""))</f>
        <v/>
      </c>
      <c r="D48" s="19" t="str">
        <f>IF($P48="","",IFERROR(IF(INDEX(MASTER!$E$4:$E$1463,$P48)="","",INDEX(MASTER!$E$4:$E$1463,$P48)),""))</f>
        <v>CRUSADER</v>
      </c>
      <c r="E48" s="19" t="str">
        <f>IF($P48="","",IFERROR(IF(INDEX(MASTER!$F$4:$F$1463,$P48)="","",INDEX(MASTER!$F$4:$F$1463,$P48)),""))</f>
        <v>Frontline</v>
      </c>
      <c r="F48" s="20">
        <f>IF($P48="","",IFERROR(IF(INDEX(MASTER!$G$4:$G$1463,$P48)="","",INDEX(MASTER!$G$4:$G$1463,$P48)),""))</f>
        <v>63979</v>
      </c>
      <c r="G48" s="19" t="str">
        <f>IF($P48="","",IFERROR(IF(INDEX(MASTER!$H$4:$H$1463,$P48)="","",INDEX(MASTER!$H$4:$H$1463,$P48)),""))</f>
        <v>63,000 - 63,999</v>
      </c>
      <c r="H48" s="20">
        <f>IF($P48="","",IFERROR(IF(INDEX(MASTER!$I$4:$I$1463,$P48)="","",INDEX(MASTER!$I$4:$I$1463,$P48)),""))</f>
        <v>7701</v>
      </c>
      <c r="I48" s="19" t="str">
        <f>IF($P48="","",IFERROR(IF(INDEX(MASTER!$J$4:$J$1463,$P48)="","",INDEX(MASTER!$J$4:$J$1463,$P48)),""))</f>
        <v>VETERAN</v>
      </c>
      <c r="J48" s="21">
        <f>IF($P48="","",IFERROR(IF(INDEX(MASTER!$L$4:$L$1463,$P48)="","",INDEX(MASTER!$L$4:$L$1463,$P48)),""))</f>
        <v>5.85</v>
      </c>
      <c r="K48" s="21">
        <f>IF($P48="","",IFERROR(IF(INDEX(MASTER!$N$4:$N$1463,$P48)="","",INDEX(MASTER!$N$4:$N$1463,$P48)),""))</f>
        <v>67</v>
      </c>
      <c r="L48" s="19" t="str">
        <f>IF($P48="","",IFERROR(IF(INDEX(MASTER!$O$4:$O$1463,$P48)="","",INDEX(MASTER!$O$4:$O$1463,$P48)),""))</f>
        <v>S</v>
      </c>
      <c r="M48" s="19">
        <f>IF($P48="","",IFERROR(IF(INDEX(MASTER!$Q$4:$Q$1463,$P48)="","",INDEX(MASTER!$Q$4:$Q$1463,$P48)),""))</f>
        <v>15</v>
      </c>
      <c r="N48" s="19" t="str">
        <f>IF($P48="","",IFERROR(IF(INDEX(MASTER!$S$4:$S$1463,$P48)="","",INDEX(MASTER!$S$4:$S$1463,$P48)),""))</f>
        <v>Complete</v>
      </c>
      <c r="P48">
        <f>IFERROR(MATCH($Q$1&amp;"@40",MASTER!$AC$4:$AC$1463,0),"")</f>
        <v>391</v>
      </c>
    </row>
    <row r="49" spans="1:16">
      <c r="A49" s="15">
        <f>IF($P49="","",41)</f>
        <v>41</v>
      </c>
      <c r="B49" s="14" t="str">
        <f>IF($P49="","",IFERROR(IF(INDEX(MASTER!$C$4:$C$1463,$P49)="","",INDEX(MASTER!$C$4:$C$1463,$P49)),""))</f>
        <v>Gazzurple</v>
      </c>
      <c r="C49" s="15" t="str">
        <f>IF($P49="","",IFERROR(IF(INDEX(MASTER!$D$4:$D$1463,$P49)="","",INDEX(MASTER!$D$4:$D$1463,$P49)),""))</f>
        <v/>
      </c>
      <c r="D49" s="15" t="str">
        <f>IF($P49="","",IFERROR(IF(INDEX(MASTER!$E$4:$E$1463,$P49)="","",INDEX(MASTER!$E$4:$E$1463,$P49)),""))</f>
        <v>BLOOD KNIGHT</v>
      </c>
      <c r="E49" s="15" t="str">
        <f>IF($P49="","",IFERROR(IF(INDEX(MASTER!$F$4:$F$1463,$P49)="","",INDEX(MASTER!$F$4:$F$1463,$P49)),""))</f>
        <v>Frontline</v>
      </c>
      <c r="F49" s="16">
        <f>IF($P49="","",IFERROR(IF(INDEX(MASTER!$G$4:$G$1463,$P49)="","",INDEX(MASTER!$G$4:$G$1463,$P49)),""))</f>
        <v>63386</v>
      </c>
      <c r="G49" s="15" t="str">
        <f>IF($P49="","",IFERROR(IF(INDEX(MASTER!$H$4:$H$1463,$P49)="","",INDEX(MASTER!$H$4:$H$1463,$P49)),""))</f>
        <v>63,000 - 63,999</v>
      </c>
      <c r="H49" s="16">
        <f>IF($P49="","",IFERROR(IF(INDEX(MASTER!$I$4:$I$1463,$P49)="","",INDEX(MASTER!$I$4:$I$1463,$P49)),""))</f>
        <v>5701</v>
      </c>
      <c r="I49" s="15" t="str">
        <f>IF($P49="","",IFERROR(IF(INDEX(MASTER!$J$4:$J$1463,$P49)="","",INDEX(MASTER!$J$4:$J$1463,$P49)),""))</f>
        <v>CORE</v>
      </c>
      <c r="J49" s="17">
        <f>IF($P49="","",IFERROR(IF(INDEX(MASTER!$L$4:$L$1463,$P49)="","",INDEX(MASTER!$L$4:$L$1463,$P49)),""))</f>
        <v>5.3</v>
      </c>
      <c r="K49" s="17">
        <f>IF($P49="","",IFERROR(IF(INDEX(MASTER!$N$4:$N$1463,$P49)="","",INDEX(MASTER!$N$4:$N$1463,$P49)),""))</f>
        <v>55.8</v>
      </c>
      <c r="L49" s="15" t="str">
        <f>IF($P49="","",IFERROR(IF(INDEX(MASTER!$O$4:$O$1463,$P49)="","",INDEX(MASTER!$O$4:$O$1463,$P49)),""))</f>
        <v>A</v>
      </c>
      <c r="M49" s="15">
        <f>IF($P49="","",IFERROR(IF(INDEX(MASTER!$Q$4:$Q$1463,$P49)="","",INDEX(MASTER!$Q$4:$Q$1463,$P49)),""))</f>
        <v>35</v>
      </c>
      <c r="N49" s="15" t="str">
        <f>IF($P49="","",IFERROR(IF(INDEX(MASTER!$S$4:$S$1463,$P49)="","",INDEX(MASTER!$S$4:$S$1463,$P49)),""))</f>
        <v>Complete</v>
      </c>
      <c r="P49">
        <f>IFERROR(MATCH($Q$1&amp;"@41",MASTER!$AC$4:$AC$1463,0),"")</f>
        <v>417</v>
      </c>
    </row>
    <row r="50" spans="1:16">
      <c r="A50" s="19">
        <f>IF($P50="","",42)</f>
        <v>42</v>
      </c>
      <c r="B50" s="18" t="str">
        <f>IF($P50="","",IFERROR(IF(INDEX(MASTER!$C$4:$C$1463,$P50)="","",INDEX(MASTER!$C$4:$C$1463,$P50)),""))</f>
        <v>GOTENKS</v>
      </c>
      <c r="C50" s="19" t="str">
        <f>IF($P50="","",IFERROR(IF(INDEX(MASTER!$D$4:$D$1463,$P50)="","",INDEX(MASTER!$D$4:$D$1463,$P50)),""))</f>
        <v>DBZ</v>
      </c>
      <c r="D50" s="19" t="str">
        <f>IF($P50="","",IFERROR(IF(INDEX(MASTER!$E$4:$E$1463,$P50)="","",INDEX(MASTER!$E$4:$E$1463,$P50)),""))</f>
        <v>CRUSADER</v>
      </c>
      <c r="E50" s="19" t="str">
        <f>IF($P50="","",IFERROR(IF(INDEX(MASTER!$F$4:$F$1463,$P50)="","",INDEX(MASTER!$F$4:$F$1463,$P50)),""))</f>
        <v>Frontline</v>
      </c>
      <c r="F50" s="20">
        <f>IF($P50="","",IFERROR(IF(INDEX(MASTER!$G$4:$G$1463,$P50)="","",INDEX(MASTER!$G$4:$G$1463,$P50)),""))</f>
        <v>63703</v>
      </c>
      <c r="G50" s="19" t="str">
        <f>IF($P50="","",IFERROR(IF(INDEX(MASTER!$H$4:$H$1463,$P50)="","",INDEX(MASTER!$H$4:$H$1463,$P50)),""))</f>
        <v>63,000 - 63,999</v>
      </c>
      <c r="H50" s="20">
        <f>IF($P50="","",IFERROR(IF(INDEX(MASTER!$I$4:$I$1463,$P50)="","",INDEX(MASTER!$I$4:$I$1463,$P50)),""))</f>
        <v>10246</v>
      </c>
      <c r="I50" s="19" t="str">
        <f>IF($P50="","",IFERROR(IF(INDEX(MASTER!$J$4:$J$1463,$P50)="","",INDEX(MASTER!$J$4:$J$1463,$P50)),""))</f>
        <v>APEX</v>
      </c>
      <c r="J50" s="21">
        <f>IF($P50="","",IFERROR(IF(INDEX(MASTER!$L$4:$L$1463,$P50)="","",INDEX(MASTER!$L$4:$L$1463,$P50)),""))</f>
        <v>7.82</v>
      </c>
      <c r="K50" s="21">
        <f>IF($P50="","",IFERROR(IF(INDEX(MASTER!$N$4:$N$1463,$P50)="","",INDEX(MASTER!$N$4:$N$1463,$P50)),""))</f>
        <v>80.7</v>
      </c>
      <c r="L50" s="19" t="str">
        <f>IF($P50="","",IFERROR(IF(INDEX(MASTER!$O$4:$O$1463,$P50)="","",INDEX(MASTER!$O$4:$O$1463,$P50)),""))</f>
        <v>S+</v>
      </c>
      <c r="M50" s="19">
        <f>IF($P50="","",IFERROR(IF(INDEX(MASTER!$Q$4:$Q$1463,$P50)="","",INDEX(MASTER!$Q$4:$Q$1463,$P50)),""))</f>
        <v>5</v>
      </c>
      <c r="N50" s="19" t="str">
        <f>IF($P50="","",IFERROR(IF(INDEX(MASTER!$S$4:$S$1463,$P50)="","",INDEX(MASTER!$S$4:$S$1463,$P50)),""))</f>
        <v>Complete</v>
      </c>
      <c r="P50">
        <f>IFERROR(MATCH($Q$1&amp;"@42",MASTER!$AC$4:$AC$1463,0),"")</f>
        <v>442</v>
      </c>
    </row>
    <row r="51" spans="1:16">
      <c r="A51" s="15">
        <f>IF($P51="","",43)</f>
        <v>43</v>
      </c>
      <c r="B51" s="14" t="str">
        <f>IF($P51="","",IFERROR(IF(INDEX(MASTER!$C$4:$C$1463,$P51)="","",INDEX(MASTER!$C$4:$C$1463,$P51)),""))</f>
        <v>GotMik</v>
      </c>
      <c r="C51" s="15" t="str">
        <f>IF($P51="","",IFERROR(IF(INDEX(MASTER!$D$4:$D$1463,$P51)="","",INDEX(MASTER!$D$4:$D$1463,$P51)),""))</f>
        <v/>
      </c>
      <c r="D51" s="15" t="str">
        <f>IF($P51="","",IFERROR(IF(INDEX(MASTER!$E$4:$E$1463,$P51)="","",INDEX(MASTER!$E$4:$E$1463,$P51)),""))</f>
        <v>BARBARIAN</v>
      </c>
      <c r="E51" s="15" t="str">
        <f>IF($P51="","",IFERROR(IF(INDEX(MASTER!$F$4:$F$1463,$P51)="","",INDEX(MASTER!$F$4:$F$1463,$P51)),""))</f>
        <v>Frontline</v>
      </c>
      <c r="F51" s="16">
        <f>IF($P51="","",IFERROR(IF(INDEX(MASTER!$G$4:$G$1463,$P51)="","",INDEX(MASTER!$G$4:$G$1463,$P51)),""))</f>
        <v>63712</v>
      </c>
      <c r="G51" s="15" t="str">
        <f>IF($P51="","",IFERROR(IF(INDEX(MASTER!$H$4:$H$1463,$P51)="","",INDEX(MASTER!$H$4:$H$1463,$P51)),""))</f>
        <v>63,000 - 63,999</v>
      </c>
      <c r="H51" s="16">
        <f>IF($P51="","",IFERROR(IF(INDEX(MASTER!$I$4:$I$1463,$P51)="","",INDEX(MASTER!$I$4:$I$1463,$P51)),""))</f>
        <v>6218</v>
      </c>
      <c r="I51" s="15" t="str">
        <f>IF($P51="","",IFERROR(IF(INDEX(MASTER!$J$4:$J$1463,$P51)="","",INDEX(MASTER!$J$4:$J$1463,$P51)),""))</f>
        <v>VETERAN</v>
      </c>
      <c r="J51" s="17">
        <f>IF($P51="","",IFERROR(IF(INDEX(MASTER!$L$4:$L$1463,$P51)="","",INDEX(MASTER!$L$4:$L$1463,$P51)),""))</f>
        <v>5.61</v>
      </c>
      <c r="K51" s="17">
        <f>IF($P51="","",IFERROR(IF(INDEX(MASTER!$N$4:$N$1463,$P51)="","",INDEX(MASTER!$N$4:$N$1463,$P51)),""))</f>
        <v>59.4</v>
      </c>
      <c r="L51" s="15" t="str">
        <f>IF($P51="","",IFERROR(IF(INDEX(MASTER!$O$4:$O$1463,$P51)="","",INDEX(MASTER!$O$4:$O$1463,$P51)),""))</f>
        <v>A</v>
      </c>
      <c r="M51" s="15">
        <f>IF($P51="","",IFERROR(IF(INDEX(MASTER!$Q$4:$Q$1463,$P51)="","",INDEX(MASTER!$Q$4:$Q$1463,$P51)),""))</f>
        <v>28</v>
      </c>
      <c r="N51" s="15" t="str">
        <f>IF($P51="","",IFERROR(IF(INDEX(MASTER!$S$4:$S$1463,$P51)="","",INDEX(MASTER!$S$4:$S$1463,$P51)),""))</f>
        <v>Complete</v>
      </c>
      <c r="P51">
        <f>IFERROR(MATCH($Q$1&amp;"@43",MASTER!$AC$4:$AC$1463,0),"")</f>
        <v>443</v>
      </c>
    </row>
    <row r="52" spans="1:16">
      <c r="A52" s="19">
        <f>IF($P52="","",44)</f>
        <v>44</v>
      </c>
      <c r="B52" s="18" t="str">
        <f>IF($P52="","",IFERROR(IF(INDEX(MASTER!$C$4:$C$1463,$P52)="","",INDEX(MASTER!$C$4:$C$1463,$P52)),""))</f>
        <v>Grammy</v>
      </c>
      <c r="C52" s="19" t="str">
        <f>IF($P52="","",IFERROR(IF(INDEX(MASTER!$D$4:$D$1463,$P52)="","",INDEX(MASTER!$D$4:$D$1463,$P52)),""))</f>
        <v>TK0</v>
      </c>
      <c r="D52" s="19" t="str">
        <f>IF($P52="","",IFERROR(IF(INDEX(MASTER!$E$4:$E$1463,$P52)="","",INDEX(MASTER!$E$4:$E$1463,$P52)),""))</f>
        <v>WARLOCK</v>
      </c>
      <c r="E52" s="19" t="str">
        <f>IF($P52="","",IFERROR(IF(INDEX(MASTER!$F$4:$F$1463,$P52)="","",INDEX(MASTER!$F$4:$F$1463,$P52)),""))</f>
        <v>Control</v>
      </c>
      <c r="F52" s="20">
        <f>IF($P52="","",IFERROR(IF(INDEX(MASTER!$G$4:$G$1463,$P52)="","",INDEX(MASTER!$G$4:$G$1463,$P52)),""))</f>
        <v>63036</v>
      </c>
      <c r="G52" s="19" t="str">
        <f>IF($P52="","",IFERROR(IF(INDEX(MASTER!$H$4:$H$1463,$P52)="","",INDEX(MASTER!$H$4:$H$1463,$P52)),""))</f>
        <v>63,000 - 63,999</v>
      </c>
      <c r="H52" s="20">
        <f>IF($P52="","",IFERROR(IF(INDEX(MASTER!$I$4:$I$1463,$P52)="","",INDEX(MASTER!$I$4:$I$1463,$P52)),""))</f>
        <v>3436</v>
      </c>
      <c r="I52" s="19" t="str">
        <f>IF($P52="","",IFERROR(IF(INDEX(MASTER!$J$4:$J$1463,$P52)="","",INDEX(MASTER!$J$4:$J$1463,$P52)),""))</f>
        <v>DEVELOPING</v>
      </c>
      <c r="J52" s="21">
        <f>IF($P52="","",IFERROR(IF(INDEX(MASTER!$L$4:$L$1463,$P52)="","",INDEX(MASTER!$L$4:$L$1463,$P52)),""))</f>
        <v>4.01</v>
      </c>
      <c r="K52" s="21">
        <f>IF($P52="","",IFERROR(IF(INDEX(MASTER!$N$4:$N$1463,$P52)="","",INDEX(MASTER!$N$4:$N$1463,$P52)),""))</f>
        <v>42.8</v>
      </c>
      <c r="L52" s="19" t="str">
        <f>IF($P52="","",IFERROR(IF(INDEX(MASTER!$O$4:$O$1463,$P52)="","",INDEX(MASTER!$O$4:$O$1463,$P52)),""))</f>
        <v>B</v>
      </c>
      <c r="M52" s="19">
        <f>IF($P52="","",IFERROR(IF(INDEX(MASTER!$Q$4:$Q$1463,$P52)="","",INDEX(MASTER!$Q$4:$Q$1463,$P52)),""))</f>
        <v>86</v>
      </c>
      <c r="N52" s="19" t="str">
        <f>IF($P52="","",IFERROR(IF(INDEX(MASTER!$S$4:$S$1463,$P52)="","",INDEX(MASTER!$S$4:$S$1463,$P52)),""))</f>
        <v>Complete</v>
      </c>
      <c r="P52">
        <f>IFERROR(MATCH($Q$1&amp;"@44",MASTER!$AC$4:$AC$1463,0),"")</f>
        <v>447</v>
      </c>
    </row>
    <row r="53" spans="1:16">
      <c r="A53" s="15">
        <f>IF($P53="","",45)</f>
        <v>45</v>
      </c>
      <c r="B53" s="14" t="str">
        <f>IF($P53="","",IFERROR(IF(INDEX(MASTER!$C$4:$C$1463,$P53)="","",INDEX(MASTER!$C$4:$C$1463,$P53)),""))</f>
        <v>Grazito</v>
      </c>
      <c r="C53" s="15" t="str">
        <f>IF($P53="","",IFERROR(IF(INDEX(MASTER!$D$4:$D$1463,$P53)="","",INDEX(MASTER!$D$4:$D$1463,$P53)),""))</f>
        <v/>
      </c>
      <c r="D53" s="15" t="str">
        <f>IF($P53="","",IFERROR(IF(INDEX(MASTER!$E$4:$E$1463,$P53)="","",INDEX(MASTER!$E$4:$E$1463,$P53)),""))</f>
        <v>DRUID</v>
      </c>
      <c r="E53" s="15" t="str">
        <f>IF($P53="","",IFERROR(IF(INDEX(MASTER!$F$4:$F$1463,$P53)="","",INDEX(MASTER!$F$4:$F$1463,$P53)),""))</f>
        <v>Support</v>
      </c>
      <c r="F53" s="16">
        <f>IF($P53="","",IFERROR(IF(INDEX(MASTER!$G$4:$G$1463,$P53)="","",INDEX(MASTER!$G$4:$G$1463,$P53)),""))</f>
        <v>63537</v>
      </c>
      <c r="G53" s="15" t="str">
        <f>IF($P53="","",IFERROR(IF(INDEX(MASTER!$H$4:$H$1463,$P53)="","",INDEX(MASTER!$H$4:$H$1463,$P53)),""))</f>
        <v>63,000 - 63,999</v>
      </c>
      <c r="H53" s="16">
        <f>IF($P53="","",IFERROR(IF(INDEX(MASTER!$I$4:$I$1463,$P53)="","",INDEX(MASTER!$I$4:$I$1463,$P53)),""))</f>
        <v>4557</v>
      </c>
      <c r="I53" s="15" t="str">
        <f>IF($P53="","",IFERROR(IF(INDEX(MASTER!$J$4:$J$1463,$P53)="","",INDEX(MASTER!$J$4:$J$1463,$P53)),""))</f>
        <v>CORE</v>
      </c>
      <c r="J53" s="17">
        <f>IF($P53="","",IFERROR(IF(INDEX(MASTER!$L$4:$L$1463,$P53)="","",INDEX(MASTER!$L$4:$L$1463,$P53)),""))</f>
        <v>4.3099999999999996</v>
      </c>
      <c r="K53" s="17">
        <f>IF($P53="","",IFERROR(IF(INDEX(MASTER!$N$4:$N$1463,$P53)="","",INDEX(MASTER!$N$4:$N$1463,$P53)),""))</f>
        <v>49.5</v>
      </c>
      <c r="L53" s="15" t="str">
        <f>IF($P53="","",IFERROR(IF(INDEX(MASTER!$O$4:$O$1463,$P53)="","",INDEX(MASTER!$O$4:$O$1463,$P53)),""))</f>
        <v>B</v>
      </c>
      <c r="M53" s="15">
        <f>IF($P53="","",IFERROR(IF(INDEX(MASTER!$Q$4:$Q$1463,$P53)="","",INDEX(MASTER!$Q$4:$Q$1463,$P53)),""))</f>
        <v>61</v>
      </c>
      <c r="N53" s="15" t="str">
        <f>IF($P53="","",IFERROR(IF(INDEX(MASTER!$S$4:$S$1463,$P53)="","",INDEX(MASTER!$S$4:$S$1463,$P53)),""))</f>
        <v>Complete</v>
      </c>
      <c r="P53">
        <f>IFERROR(MATCH($Q$1&amp;"@45",MASTER!$AC$4:$AC$1463,0),"")</f>
        <v>453</v>
      </c>
    </row>
    <row r="54" spans="1:16">
      <c r="A54" s="19">
        <f>IF($P54="","",46)</f>
        <v>46</v>
      </c>
      <c r="B54" s="18" t="str">
        <f>IF($P54="","",IFERROR(IF(INDEX(MASTER!$C$4:$C$1463,$P54)="","",INDEX(MASTER!$C$4:$C$1463,$P54)),""))</f>
        <v>GushMintz</v>
      </c>
      <c r="C54" s="19" t="str">
        <f>IF($P54="","",IFERROR(IF(INDEX(MASTER!$D$4:$D$1463,$P54)="","",INDEX(MASTER!$D$4:$D$1463,$P54)),""))</f>
        <v/>
      </c>
      <c r="D54" s="19" t="str">
        <f>IF($P54="","",IFERROR(IF(INDEX(MASTER!$E$4:$E$1463,$P54)="","",INDEX(MASTER!$E$4:$E$1463,$P54)),""))</f>
        <v>WARLOCK</v>
      </c>
      <c r="E54" s="19" t="str">
        <f>IF($P54="","",IFERROR(IF(INDEX(MASTER!$F$4:$F$1463,$P54)="","",INDEX(MASTER!$F$4:$F$1463,$P54)),""))</f>
        <v>Control</v>
      </c>
      <c r="F54" s="20">
        <f>IF($P54="","",IFERROR(IF(INDEX(MASTER!$G$4:$G$1463,$P54)="","",INDEX(MASTER!$G$4:$G$1463,$P54)),""))</f>
        <v>63691</v>
      </c>
      <c r="G54" s="19" t="str">
        <f>IF($P54="","",IFERROR(IF(INDEX(MASTER!$H$4:$H$1463,$P54)="","",INDEX(MASTER!$H$4:$H$1463,$P54)),""))</f>
        <v>63,000 - 63,999</v>
      </c>
      <c r="H54" s="20">
        <f>IF($P54="","",IFERROR(IF(INDEX(MASTER!$I$4:$I$1463,$P54)="","",INDEX(MASTER!$I$4:$I$1463,$P54)),""))</f>
        <v>8191</v>
      </c>
      <c r="I54" s="19" t="str">
        <f>IF($P54="","",IFERROR(IF(INDEX(MASTER!$J$4:$J$1463,$P54)="","",INDEX(MASTER!$J$4:$J$1463,$P54)),""))</f>
        <v>ELITE</v>
      </c>
      <c r="J54" s="21">
        <f>IF($P54="","",IFERROR(IF(INDEX(MASTER!$L$4:$L$1463,$P54)="","",INDEX(MASTER!$L$4:$L$1463,$P54)),""))</f>
        <v>6.17</v>
      </c>
      <c r="K54" s="21">
        <f>IF($P54="","",IFERROR(IF(INDEX(MASTER!$N$4:$N$1463,$P54)="","",INDEX(MASTER!$N$4:$N$1463,$P54)),""))</f>
        <v>68.900000000000006</v>
      </c>
      <c r="L54" s="19" t="str">
        <f>IF($P54="","",IFERROR(IF(INDEX(MASTER!$O$4:$O$1463,$P54)="","",INDEX(MASTER!$O$4:$O$1463,$P54)),""))</f>
        <v>S</v>
      </c>
      <c r="M54" s="19">
        <f>IF($P54="","",IFERROR(IF(INDEX(MASTER!$Q$4:$Q$1463,$P54)="","",INDEX(MASTER!$Q$4:$Q$1463,$P54)),""))</f>
        <v>11</v>
      </c>
      <c r="N54" s="19" t="str">
        <f>IF($P54="","",IFERROR(IF(INDEX(MASTER!$S$4:$S$1463,$P54)="","",INDEX(MASTER!$S$4:$S$1463,$P54)),""))</f>
        <v>Complete</v>
      </c>
      <c r="P54">
        <f>IFERROR(MATCH($Q$1&amp;"@46",MASTER!$AC$4:$AC$1463,0),"")</f>
        <v>465</v>
      </c>
    </row>
    <row r="55" spans="1:16">
      <c r="A55" s="15">
        <f>IF($P55="","",47)</f>
        <v>47</v>
      </c>
      <c r="B55" s="14" t="str">
        <f>IF($P55="","",IFERROR(IF(INDEX(MASTER!$C$4:$C$1463,$P55)="","",INDEX(MASTER!$C$4:$C$1463,$P55)),""))</f>
        <v>HAPPY</v>
      </c>
      <c r="C55" s="15" t="str">
        <f>IF($P55="","",IFERROR(IF(INDEX(MASTER!$D$4:$D$1463,$P55)="","",INDEX(MASTER!$D$4:$D$1463,$P55)),""))</f>
        <v>TK0</v>
      </c>
      <c r="D55" s="15" t="str">
        <f>IF($P55="","",IFERROR(IF(INDEX(MASTER!$E$4:$E$1463,$P55)="","",INDEX(MASTER!$E$4:$E$1463,$P55)),""))</f>
        <v>WIZARD</v>
      </c>
      <c r="E55" s="15" t="str">
        <f>IF($P55="","",IFERROR(IF(INDEX(MASTER!$F$4:$F$1463,$P55)="","",INDEX(MASTER!$F$4:$F$1463,$P55)),""))</f>
        <v>Ranged DPS</v>
      </c>
      <c r="F55" s="16">
        <f>IF($P55="","",IFERROR(IF(INDEX(MASTER!$G$4:$G$1463,$P55)="","",INDEX(MASTER!$G$4:$G$1463,$P55)),""))</f>
        <v>62147</v>
      </c>
      <c r="G55" s="15" t="str">
        <f>IF($P55="","",IFERROR(IF(INDEX(MASTER!$H$4:$H$1463,$P55)="","",INDEX(MASTER!$H$4:$H$1463,$P55)),""))</f>
        <v>62,000 - 62,999</v>
      </c>
      <c r="H55" s="16">
        <f>IF($P55="","",IFERROR(IF(INDEX(MASTER!$I$4:$I$1463,$P55)="","",INDEX(MASTER!$I$4:$I$1463,$P55)),""))</f>
        <v>4326</v>
      </c>
      <c r="I55" s="15" t="str">
        <f>IF($P55="","",IFERROR(IF(INDEX(MASTER!$J$4:$J$1463,$P55)="","",INDEX(MASTER!$J$4:$J$1463,$P55)),""))</f>
        <v>CORE</v>
      </c>
      <c r="J55" s="17">
        <f>IF($P55="","",IFERROR(IF(INDEX(MASTER!$L$4:$L$1463,$P55)="","",INDEX(MASTER!$L$4:$L$1463,$P55)),""))</f>
        <v>5.3</v>
      </c>
      <c r="K55" s="17">
        <f>IF($P55="","",IFERROR(IF(INDEX(MASTER!$N$4:$N$1463,$P55)="","",INDEX(MASTER!$N$4:$N$1463,$P55)),""))</f>
        <v>46.5</v>
      </c>
      <c r="L55" s="15" t="str">
        <f>IF($P55="","",IFERROR(IF(INDEX(MASTER!$O$4:$O$1463,$P55)="","",INDEX(MASTER!$O$4:$O$1463,$P55)),""))</f>
        <v>B</v>
      </c>
      <c r="M55" s="15">
        <f>IF($P55="","",IFERROR(IF(INDEX(MASTER!$Q$4:$Q$1463,$P55)="","",INDEX(MASTER!$Q$4:$Q$1463,$P55)),""))</f>
        <v>67</v>
      </c>
      <c r="N55" s="15" t="str">
        <f>IF($P55="","",IFERROR(IF(INDEX(MASTER!$S$4:$S$1463,$P55)="","",INDEX(MASTER!$S$4:$S$1463,$P55)),""))</f>
        <v>Complete</v>
      </c>
      <c r="P55">
        <f>IFERROR(MATCH($Q$1&amp;"@47",MASTER!$AC$4:$AC$1463,0),"")</f>
        <v>470</v>
      </c>
    </row>
    <row r="56" spans="1:16">
      <c r="A56" s="19">
        <f>IF($P56="","",48)</f>
        <v>48</v>
      </c>
      <c r="B56" s="18" t="str">
        <f>IF($P56="","",IFERROR(IF(INDEX(MASTER!$C$4:$C$1463,$P56)="","",INDEX(MASTER!$C$4:$C$1463,$P56)),""))</f>
        <v>Harley</v>
      </c>
      <c r="C56" s="19" t="str">
        <f>IF($P56="","",IFERROR(IF(INDEX(MASTER!$D$4:$D$1463,$P56)="","",INDEX(MASTER!$D$4:$D$1463,$P56)),""))</f>
        <v>TK0</v>
      </c>
      <c r="D56" s="19" t="str">
        <f>IF($P56="","",IFERROR(IF(INDEX(MASTER!$E$4:$E$1463,$P56)="","",INDEX(MASTER!$E$4:$E$1463,$P56)),""))</f>
        <v>WARLOCK</v>
      </c>
      <c r="E56" s="19" t="str">
        <f>IF($P56="","",IFERROR(IF(INDEX(MASTER!$F$4:$F$1463,$P56)="","",INDEX(MASTER!$F$4:$F$1463,$P56)),""))</f>
        <v>Control</v>
      </c>
      <c r="F56" s="20">
        <f>IF($P56="","",IFERROR(IF(INDEX(MASTER!$G$4:$G$1463,$P56)="","",INDEX(MASTER!$G$4:$G$1463,$P56)),""))</f>
        <v>63207</v>
      </c>
      <c r="G56" s="19" t="str">
        <f>IF($P56="","",IFERROR(IF(INDEX(MASTER!$H$4:$H$1463,$P56)="","",INDEX(MASTER!$H$4:$H$1463,$P56)),""))</f>
        <v>63,000 - 63,999</v>
      </c>
      <c r="H56" s="20">
        <f>IF($P56="","",IFERROR(IF(INDEX(MASTER!$I$4:$I$1463,$P56)="","",INDEX(MASTER!$I$4:$I$1463,$P56)),""))</f>
        <v>4594</v>
      </c>
      <c r="I56" s="19" t="str">
        <f>IF($P56="","",IFERROR(IF(INDEX(MASTER!$J$4:$J$1463,$P56)="","",INDEX(MASTER!$J$4:$J$1463,$P56)),""))</f>
        <v>CORE</v>
      </c>
      <c r="J56" s="21">
        <f>IF($P56="","",IFERROR(IF(INDEX(MASTER!$L$4:$L$1463,$P56)="","",INDEX(MASTER!$L$4:$L$1463,$P56)),""))</f>
        <v>5.21</v>
      </c>
      <c r="K56" s="21">
        <f>IF($P56="","",IFERROR(IF(INDEX(MASTER!$N$4:$N$1463,$P56)="","",INDEX(MASTER!$N$4:$N$1463,$P56)),""))</f>
        <v>50.3</v>
      </c>
      <c r="L56" s="19" t="str">
        <f>IF($P56="","",IFERROR(IF(INDEX(MASTER!$O$4:$O$1463,$P56)="","",INDEX(MASTER!$O$4:$O$1463,$P56)),""))</f>
        <v>A</v>
      </c>
      <c r="M56" s="19">
        <f>IF($P56="","",IFERROR(IF(INDEX(MASTER!$Q$4:$Q$1463,$P56)="","",INDEX(MASTER!$Q$4:$Q$1463,$P56)),""))</f>
        <v>60</v>
      </c>
      <c r="N56" s="19" t="str">
        <f>IF($P56="","",IFERROR(IF(INDEX(MASTER!$S$4:$S$1463,$P56)="","",INDEX(MASTER!$S$4:$S$1463,$P56)),""))</f>
        <v>Complete</v>
      </c>
      <c r="P56">
        <f>IFERROR(MATCH($Q$1&amp;"@48",MASTER!$AC$4:$AC$1463,0),"")</f>
        <v>473</v>
      </c>
    </row>
    <row r="57" spans="1:16">
      <c r="A57" s="15">
        <f>IF($P57="","",49)</f>
        <v>49</v>
      </c>
      <c r="B57" s="14" t="str">
        <f>IF($P57="","",IFERROR(IF(INDEX(MASTER!$C$4:$C$1463,$P57)="","",INDEX(MASTER!$C$4:$C$1463,$P57)),""))</f>
        <v>HERCULE</v>
      </c>
      <c r="C57" s="15" t="str">
        <f>IF($P57="","",IFERROR(IF(INDEX(MASTER!$D$4:$D$1463,$P57)="","",INDEX(MASTER!$D$4:$D$1463,$P57)),""))</f>
        <v>DBZ</v>
      </c>
      <c r="D57" s="15" t="str">
        <f>IF($P57="","",IFERROR(IF(INDEX(MASTER!$E$4:$E$1463,$P57)="","",INDEX(MASTER!$E$4:$E$1463,$P57)),""))</f>
        <v>BARBARIAN</v>
      </c>
      <c r="E57" s="15" t="str">
        <f>IF($P57="","",IFERROR(IF(INDEX(MASTER!$F$4:$F$1463,$P57)="","",INDEX(MASTER!$F$4:$F$1463,$P57)),""))</f>
        <v>Frontline</v>
      </c>
      <c r="F57" s="16">
        <f>IF($P57="","",IFERROR(IF(INDEX(MASTER!$G$4:$G$1463,$P57)="","",INDEX(MASTER!$G$4:$G$1463,$P57)),""))</f>
        <v>63652</v>
      </c>
      <c r="G57" s="15" t="str">
        <f>IF($P57="","",IFERROR(IF(INDEX(MASTER!$H$4:$H$1463,$P57)="","",INDEX(MASTER!$H$4:$H$1463,$P57)),""))</f>
        <v>63,000 - 63,999</v>
      </c>
      <c r="H57" s="16">
        <f>IF($P57="","",IFERROR(IF(INDEX(MASTER!$I$4:$I$1463,$P57)="","",INDEX(MASTER!$I$4:$I$1463,$P57)),""))</f>
        <v>8102</v>
      </c>
      <c r="I57" s="15" t="str">
        <f>IF($P57="","",IFERROR(IF(INDEX(MASTER!$J$4:$J$1463,$P57)="","",INDEX(MASTER!$J$4:$J$1463,$P57)),""))</f>
        <v>ELITE</v>
      </c>
      <c r="J57" s="17">
        <f>IF($P57="","",IFERROR(IF(INDEX(MASTER!$L$4:$L$1463,$P57)="","",INDEX(MASTER!$L$4:$L$1463,$P57)),""))</f>
        <v>6.22</v>
      </c>
      <c r="K57" s="17">
        <f>IF($P57="","",IFERROR(IF(INDEX(MASTER!$N$4:$N$1463,$P57)="","",INDEX(MASTER!$N$4:$N$1463,$P57)),""))</f>
        <v>68.5</v>
      </c>
      <c r="L57" s="15" t="str">
        <f>IF($P57="","",IFERROR(IF(INDEX(MASTER!$O$4:$O$1463,$P57)="","",INDEX(MASTER!$O$4:$O$1463,$P57)),""))</f>
        <v>S</v>
      </c>
      <c r="M57" s="15">
        <f>IF($P57="","",IFERROR(IF(INDEX(MASTER!$Q$4:$Q$1463,$P57)="","",INDEX(MASTER!$Q$4:$Q$1463,$P57)),""))</f>
        <v>12</v>
      </c>
      <c r="N57" s="15" t="str">
        <f>IF($P57="","",IFERROR(IF(INDEX(MASTER!$S$4:$S$1463,$P57)="","",INDEX(MASTER!$S$4:$S$1463,$P57)),""))</f>
        <v>Complete</v>
      </c>
      <c r="P57">
        <f>IFERROR(MATCH($Q$1&amp;"@49",MASTER!$AC$4:$AC$1463,0),"")</f>
        <v>498</v>
      </c>
    </row>
    <row r="58" spans="1:16">
      <c r="A58" s="19">
        <f>IF($P58="","",50)</f>
        <v>50</v>
      </c>
      <c r="B58" s="18" t="str">
        <f>IF($P58="","",IFERROR(IF(INDEX(MASTER!$C$4:$C$1463,$P58)="","",INDEX(MASTER!$C$4:$C$1463,$P58)),""))</f>
        <v>HughHeefner</v>
      </c>
      <c r="C58" s="19" t="str">
        <f>IF($P58="","",IFERROR(IF(INDEX(MASTER!$D$4:$D$1463,$P58)="","",INDEX(MASTER!$D$4:$D$1463,$P58)),""))</f>
        <v>TK0</v>
      </c>
      <c r="D58" s="19" t="str">
        <f>IF($P58="","",IFERROR(IF(INDEX(MASTER!$E$4:$E$1463,$P58)="","",INDEX(MASTER!$E$4:$E$1463,$P58)),""))</f>
        <v>DRUID</v>
      </c>
      <c r="E58" s="19" t="str">
        <f>IF($P58="","",IFERROR(IF(INDEX(MASTER!$F$4:$F$1463,$P58)="","",INDEX(MASTER!$F$4:$F$1463,$P58)),""))</f>
        <v>Support</v>
      </c>
      <c r="F58" s="20">
        <f>IF($P58="","",IFERROR(IF(INDEX(MASTER!$G$4:$G$1463,$P58)="","",INDEX(MASTER!$G$4:$G$1463,$P58)),""))</f>
        <v>61903</v>
      </c>
      <c r="G58" s="19" t="str">
        <f>IF($P58="","",IFERROR(IF(INDEX(MASTER!$H$4:$H$1463,$P58)="","",INDEX(MASTER!$H$4:$H$1463,$P58)),""))</f>
        <v>61,000 - 61,999</v>
      </c>
      <c r="H58" s="20">
        <f>IF($P58="","",IFERROR(IF(INDEX(MASTER!$I$4:$I$1463,$P58)="","",INDEX(MASTER!$I$4:$I$1463,$P58)),""))</f>
        <v>4251</v>
      </c>
      <c r="I58" s="19" t="str">
        <f>IF($P58="","",IFERROR(IF(INDEX(MASTER!$J$4:$J$1463,$P58)="","",INDEX(MASTER!$J$4:$J$1463,$P58)),""))</f>
        <v>CORE</v>
      </c>
      <c r="J58" s="21">
        <f>IF($P58="","",IFERROR(IF(INDEX(MASTER!$L$4:$L$1463,$P58)="","",INDEX(MASTER!$L$4:$L$1463,$P58)),""))</f>
        <v>4.45</v>
      </c>
      <c r="K58" s="21">
        <f>IF($P58="","",IFERROR(IF(INDEX(MASTER!$N$4:$N$1463,$P58)="","",INDEX(MASTER!$N$4:$N$1463,$P58)),""))</f>
        <v>44.1</v>
      </c>
      <c r="L58" s="19" t="str">
        <f>IF($P58="","",IFERROR(IF(INDEX(MASTER!$O$4:$O$1463,$P58)="","",INDEX(MASTER!$O$4:$O$1463,$P58)),""))</f>
        <v>B</v>
      </c>
      <c r="M58" s="19">
        <f>IF($P58="","",IFERROR(IF(INDEX(MASTER!$Q$4:$Q$1463,$P58)="","",INDEX(MASTER!$Q$4:$Q$1463,$P58)),""))</f>
        <v>69</v>
      </c>
      <c r="N58" s="19" t="str">
        <f>IF($P58="","",IFERROR(IF(INDEX(MASTER!$S$4:$S$1463,$P58)="","",INDEX(MASTER!$S$4:$S$1463,$P58)),""))</f>
        <v>Complete</v>
      </c>
      <c r="P58">
        <f>IFERROR(MATCH($Q$1&amp;"@50",MASTER!$AC$4:$AC$1463,0),"")</f>
        <v>514</v>
      </c>
    </row>
    <row r="59" spans="1:16">
      <c r="A59" s="15">
        <f>IF($P59="","",51)</f>
        <v>51</v>
      </c>
      <c r="B59" s="14" t="str">
        <f>IF($P59="","",IFERROR(IF(INDEX(MASTER!$C$4:$C$1463,$P59)="","",INDEX(MASTER!$C$4:$C$1463,$P59)),""))</f>
        <v>Huginn81</v>
      </c>
      <c r="C59" s="15" t="str">
        <f>IF($P59="","",IFERROR(IF(INDEX(MASTER!$D$4:$D$1463,$P59)="","",INDEX(MASTER!$D$4:$D$1463,$P59)),""))</f>
        <v/>
      </c>
      <c r="D59" s="15" t="str">
        <f>IF($P59="","",IFERROR(IF(INDEX(MASTER!$E$4:$E$1463,$P59)="","",INDEX(MASTER!$E$4:$E$1463,$P59)),""))</f>
        <v>TEMPEST</v>
      </c>
      <c r="E59" s="15" t="str">
        <f>IF($P59="","",IFERROR(IF(INDEX(MASTER!$F$4:$F$1463,$P59)="","",INDEX(MASTER!$F$4:$F$1463,$P59)),""))</f>
        <v>Melee DPS</v>
      </c>
      <c r="F59" s="16">
        <f>IF($P59="","",IFERROR(IF(INDEX(MASTER!$G$4:$G$1463,$P59)="","",INDEX(MASTER!$G$4:$G$1463,$P59)),""))</f>
        <v>62172</v>
      </c>
      <c r="G59" s="15" t="str">
        <f>IF($P59="","",IFERROR(IF(INDEX(MASTER!$H$4:$H$1463,$P59)="","",INDEX(MASTER!$H$4:$H$1463,$P59)),""))</f>
        <v>62,000 - 62,999</v>
      </c>
      <c r="H59" s="16">
        <f>IF($P59="","",IFERROR(IF(INDEX(MASTER!$I$4:$I$1463,$P59)="","",INDEX(MASTER!$I$4:$I$1463,$P59)),""))</f>
        <v>5099</v>
      </c>
      <c r="I59" s="15" t="str">
        <f>IF($P59="","",IFERROR(IF(INDEX(MASTER!$J$4:$J$1463,$P59)="","",INDEX(MASTER!$J$4:$J$1463,$P59)),""))</f>
        <v>CORE</v>
      </c>
      <c r="J59" s="17">
        <f>IF($P59="","",IFERROR(IF(INDEX(MASTER!$L$4:$L$1463,$P59)="","",INDEX(MASTER!$L$4:$L$1463,$P59)),""))</f>
        <v>5.81</v>
      </c>
      <c r="K59" s="17">
        <f>IF($P59="","",IFERROR(IF(INDEX(MASTER!$N$4:$N$1463,$P59)="","",INDEX(MASTER!$N$4:$N$1463,$P59)),""))</f>
        <v>50.8</v>
      </c>
      <c r="L59" s="15" t="str">
        <f>IF($P59="","",IFERROR(IF(INDEX(MASTER!$O$4:$O$1463,$P59)="","",INDEX(MASTER!$O$4:$O$1463,$P59)),""))</f>
        <v>A</v>
      </c>
      <c r="M59" s="15">
        <f>IF($P59="","",IFERROR(IF(INDEX(MASTER!$Q$4:$Q$1463,$P59)="","",INDEX(MASTER!$Q$4:$Q$1463,$P59)),""))</f>
        <v>49</v>
      </c>
      <c r="N59" s="15" t="str">
        <f>IF($P59="","",IFERROR(IF(INDEX(MASTER!$S$4:$S$1463,$P59)="","",INDEX(MASTER!$S$4:$S$1463,$P59)),""))</f>
        <v>Complete</v>
      </c>
      <c r="P59">
        <f>IFERROR(MATCH($Q$1&amp;"@51",MASTER!$AC$4:$AC$1463,0),"")</f>
        <v>515</v>
      </c>
    </row>
    <row r="60" spans="1:16">
      <c r="A60" s="19">
        <f>IF($P60="","",52)</f>
        <v>52</v>
      </c>
      <c r="B60" s="18" t="str">
        <f>IF($P60="","",IFERROR(IF(INDEX(MASTER!$C$4:$C$1463,$P60)="","",INDEX(MASTER!$C$4:$C$1463,$P60)),""))</f>
        <v>IIYRio</v>
      </c>
      <c r="C60" s="19" t="str">
        <f>IF($P60="","",IFERROR(IF(INDEX(MASTER!$D$4:$D$1463,$P60)="","",INDEX(MASTER!$D$4:$D$1463,$P60)),""))</f>
        <v>TK0</v>
      </c>
      <c r="D60" s="19" t="str">
        <f>IF($P60="","",IFERROR(IF(INDEX(MASTER!$E$4:$E$1463,$P60)="","",INDEX(MASTER!$E$4:$E$1463,$P60)),""))</f>
        <v>WARLOCK</v>
      </c>
      <c r="E60" s="19" t="str">
        <f>IF($P60="","",IFERROR(IF(INDEX(MASTER!$F$4:$F$1463,$P60)="","",INDEX(MASTER!$F$4:$F$1463,$P60)),""))</f>
        <v>Control</v>
      </c>
      <c r="F60" s="20">
        <f>IF($P60="","",IFERROR(IF(INDEX(MASTER!$G$4:$G$1463,$P60)="","",INDEX(MASTER!$G$4:$G$1463,$P60)),""))</f>
        <v>63056</v>
      </c>
      <c r="G60" s="19" t="str">
        <f>IF($P60="","",IFERROR(IF(INDEX(MASTER!$H$4:$H$1463,$P60)="","",INDEX(MASTER!$H$4:$H$1463,$P60)),""))</f>
        <v>63,000 - 63,999</v>
      </c>
      <c r="H60" s="20">
        <f>IF($P60="","",IFERROR(IF(INDEX(MASTER!$I$4:$I$1463,$P60)="","",INDEX(MASTER!$I$4:$I$1463,$P60)),""))</f>
        <v>3646</v>
      </c>
      <c r="I60" s="19" t="str">
        <f>IF($P60="","",IFERROR(IF(INDEX(MASTER!$J$4:$J$1463,$P60)="","",INDEX(MASTER!$J$4:$J$1463,$P60)),""))</f>
        <v>DEVELOPING</v>
      </c>
      <c r="J60" s="21">
        <f>IF($P60="","",IFERROR(IF(INDEX(MASTER!$L$4:$L$1463,$P60)="","",INDEX(MASTER!$L$4:$L$1463,$P60)),""))</f>
        <v>5.09</v>
      </c>
      <c r="K60" s="21">
        <f>IF($P60="","",IFERROR(IF(INDEX(MASTER!$N$4:$N$1463,$P60)="","",INDEX(MASTER!$N$4:$N$1463,$P60)),""))</f>
        <v>45.6</v>
      </c>
      <c r="L60" s="19" t="str">
        <f>IF($P60="","",IFERROR(IF(INDEX(MASTER!$O$4:$O$1463,$P60)="","",INDEX(MASTER!$O$4:$O$1463,$P60)),""))</f>
        <v>B</v>
      </c>
      <c r="M60" s="19">
        <f>IF($P60="","",IFERROR(IF(INDEX(MASTER!$Q$4:$Q$1463,$P60)="","",INDEX(MASTER!$Q$4:$Q$1463,$P60)),""))</f>
        <v>81</v>
      </c>
      <c r="N60" s="19" t="str">
        <f>IF($P60="","",IFERROR(IF(INDEX(MASTER!$S$4:$S$1463,$P60)="","",INDEX(MASTER!$S$4:$S$1463,$P60)),""))</f>
        <v>Complete</v>
      </c>
      <c r="P60">
        <f>IFERROR(MATCH($Q$1&amp;"@52",MASTER!$AC$4:$AC$1463,0),"")</f>
        <v>529</v>
      </c>
    </row>
    <row r="61" spans="1:16">
      <c r="A61" s="15">
        <f>IF($P61="","",53)</f>
        <v>53</v>
      </c>
      <c r="B61" s="14" t="str">
        <f>IF($P61="","",IFERROR(IF(INDEX(MASTER!$C$4:$C$1463,$P61)="","",INDEX(MASTER!$C$4:$C$1463,$P61)),""))</f>
        <v>IND X D E S I</v>
      </c>
      <c r="C61" s="15" t="str">
        <f>IF($P61="","",IFERROR(IF(INDEX(MASTER!$D$4:$D$1463,$P61)="","",INDEX(MASTER!$D$4:$D$1463,$P61)),""))</f>
        <v/>
      </c>
      <c r="D61" s="15" t="str">
        <f>IF($P61="","",IFERROR(IF(INDEX(MASTER!$E$4:$E$1463,$P61)="","",INDEX(MASTER!$E$4:$E$1463,$P61)),""))</f>
        <v>WARLOCK</v>
      </c>
      <c r="E61" s="15" t="str">
        <f>IF($P61="","",IFERROR(IF(INDEX(MASTER!$F$4:$F$1463,$P61)="","",INDEX(MASTER!$F$4:$F$1463,$P61)),""))</f>
        <v>Control</v>
      </c>
      <c r="F61" s="16">
        <f>IF($P61="","",IFERROR(IF(INDEX(MASTER!$G$4:$G$1463,$P61)="","",INDEX(MASTER!$G$4:$G$1463,$P61)),""))</f>
        <v>62062</v>
      </c>
      <c r="G61" s="15" t="str">
        <f>IF($P61="","",IFERROR(IF(INDEX(MASTER!$H$4:$H$1463,$P61)="","",INDEX(MASTER!$H$4:$H$1463,$P61)),""))</f>
        <v>62,000 - 62,999</v>
      </c>
      <c r="H61" s="16">
        <f>IF($P61="","",IFERROR(IF(INDEX(MASTER!$I$4:$I$1463,$P61)="","",INDEX(MASTER!$I$4:$I$1463,$P61)),""))</f>
        <v>3150</v>
      </c>
      <c r="I61" s="15" t="str">
        <f>IF($P61="","",IFERROR(IF(INDEX(MASTER!$J$4:$J$1463,$P61)="","",INDEX(MASTER!$J$4:$J$1463,$P61)),""))</f>
        <v>DEVELOPING</v>
      </c>
      <c r="J61" s="17">
        <f>IF($P61="","",IFERROR(IF(INDEX(MASTER!$L$4:$L$1463,$P61)="","",INDEX(MASTER!$L$4:$L$1463,$P61)),""))</f>
        <v>4.96</v>
      </c>
      <c r="K61" s="17">
        <f>IF($P61="","",IFERROR(IF(INDEX(MASTER!$N$4:$N$1463,$P61)="","",INDEX(MASTER!$N$4:$N$1463,$P61)),""))</f>
        <v>40.6</v>
      </c>
      <c r="L61" s="15" t="str">
        <f>IF($P61="","",IFERROR(IF(INDEX(MASTER!$O$4:$O$1463,$P61)="","",INDEX(MASTER!$O$4:$O$1463,$P61)),""))</f>
        <v>B</v>
      </c>
      <c r="M61" s="15">
        <f>IF($P61="","",IFERROR(IF(INDEX(MASTER!$Q$4:$Q$1463,$P61)="","",INDEX(MASTER!$Q$4:$Q$1463,$P61)),""))</f>
        <v>92</v>
      </c>
      <c r="N61" s="15" t="str">
        <f>IF($P61="","",IFERROR(IF(INDEX(MASTER!$S$4:$S$1463,$P61)="","",INDEX(MASTER!$S$4:$S$1463,$P61)),""))</f>
        <v>Complete</v>
      </c>
      <c r="P61">
        <f>IFERROR(MATCH($Q$1&amp;"@53",MASTER!$AC$4:$AC$1463,0),"")</f>
        <v>534</v>
      </c>
    </row>
    <row r="62" spans="1:16">
      <c r="A62" s="19">
        <f>IF($P62="","",54)</f>
        <v>54</v>
      </c>
      <c r="B62" s="18" t="str">
        <f>IF($P62="","",IFERROR(IF(INDEX(MASTER!$C$4:$C$1463,$P62)="","",INDEX(MASTER!$C$4:$C$1463,$P62)),""))</f>
        <v>JK DarthMaul</v>
      </c>
      <c r="C62" s="19" t="str">
        <f>IF($P62="","",IFERROR(IF(INDEX(MASTER!$D$4:$D$1463,$P62)="","",INDEX(MASTER!$D$4:$D$1463,$P62)),""))</f>
        <v/>
      </c>
      <c r="D62" s="19" t="str">
        <f>IF($P62="","",IFERROR(IF(INDEX(MASTER!$E$4:$E$1463,$P62)="","",INDEX(MASTER!$E$4:$E$1463,$P62)),""))</f>
        <v>BARBARIAN</v>
      </c>
      <c r="E62" s="19" t="str">
        <f>IF($P62="","",IFERROR(IF(INDEX(MASTER!$F$4:$F$1463,$P62)="","",INDEX(MASTER!$F$4:$F$1463,$P62)),""))</f>
        <v>Frontline</v>
      </c>
      <c r="F62" s="20">
        <f>IF($P62="","",IFERROR(IF(INDEX(MASTER!$G$4:$G$1463,$P62)="","",INDEX(MASTER!$G$4:$G$1463,$P62)),""))</f>
        <v>63821</v>
      </c>
      <c r="G62" s="19" t="str">
        <f>IF($P62="","",IFERROR(IF(INDEX(MASTER!$H$4:$H$1463,$P62)="","",INDEX(MASTER!$H$4:$H$1463,$P62)),""))</f>
        <v>63,000 - 63,999</v>
      </c>
      <c r="H62" s="20">
        <f>IF($P62="","",IFERROR(IF(INDEX(MASTER!$I$4:$I$1463,$P62)="","",INDEX(MASTER!$I$4:$I$1463,$P62)),""))</f>
        <v>7433</v>
      </c>
      <c r="I62" s="19" t="str">
        <f>IF($P62="","",IFERROR(IF(INDEX(MASTER!$J$4:$J$1463,$P62)="","",INDEX(MASTER!$J$4:$J$1463,$P62)),""))</f>
        <v>VETERAN</v>
      </c>
      <c r="J62" s="21">
        <f>IF($P62="","",IFERROR(IF(INDEX(MASTER!$L$4:$L$1463,$P62)="","",INDEX(MASTER!$L$4:$L$1463,$P62)),""))</f>
        <v>6.43</v>
      </c>
      <c r="K62" s="21">
        <f>IF($P62="","",IFERROR(IF(INDEX(MASTER!$N$4:$N$1463,$P62)="","",INDEX(MASTER!$N$4:$N$1463,$P62)),""))</f>
        <v>66.400000000000006</v>
      </c>
      <c r="L62" s="19" t="str">
        <f>IF($P62="","",IFERROR(IF(INDEX(MASTER!$O$4:$O$1463,$P62)="","",INDEX(MASTER!$O$4:$O$1463,$P62)),""))</f>
        <v>S</v>
      </c>
      <c r="M62" s="19">
        <f>IF($P62="","",IFERROR(IF(INDEX(MASTER!$Q$4:$Q$1463,$P62)="","",INDEX(MASTER!$Q$4:$Q$1463,$P62)),""))</f>
        <v>18</v>
      </c>
      <c r="N62" s="19" t="str">
        <f>IF($P62="","",IFERROR(IF(INDEX(MASTER!$S$4:$S$1463,$P62)="","",INDEX(MASTER!$S$4:$S$1463,$P62)),""))</f>
        <v>Complete</v>
      </c>
      <c r="P62">
        <f>IFERROR(MATCH($Q$1&amp;"@54",MASTER!$AC$4:$AC$1463,0),"")</f>
        <v>566</v>
      </c>
    </row>
    <row r="63" spans="1:16">
      <c r="A63" s="15">
        <f>IF($P63="","",55)</f>
        <v>55</v>
      </c>
      <c r="B63" s="14" t="str">
        <f>IF($P63="","",IFERROR(IF(INDEX(MASTER!$C$4:$C$1463,$P63)="","",INDEX(MASTER!$C$4:$C$1463,$P63)),""))</f>
        <v>Jt0</v>
      </c>
      <c r="C63" s="15" t="str">
        <f>IF($P63="","",IFERROR(IF(INDEX(MASTER!$D$4:$D$1463,$P63)="","",INDEX(MASTER!$D$4:$D$1463,$P63)),""))</f>
        <v/>
      </c>
      <c r="D63" s="15" t="str">
        <f>IF($P63="","",IFERROR(IF(INDEX(MASTER!$E$4:$E$1463,$P63)="","",INDEX(MASTER!$E$4:$E$1463,$P63)),""))</f>
        <v>DRUID</v>
      </c>
      <c r="E63" s="15" t="str">
        <f>IF($P63="","",IFERROR(IF(INDEX(MASTER!$F$4:$F$1463,$P63)="","",INDEX(MASTER!$F$4:$F$1463,$P63)),""))</f>
        <v>Support</v>
      </c>
      <c r="F63" s="16">
        <f>IF($P63="","",IFERROR(IF(INDEX(MASTER!$G$4:$G$1463,$P63)="","",INDEX(MASTER!$G$4:$G$1463,$P63)),""))</f>
        <v>61945</v>
      </c>
      <c r="G63" s="15" t="str">
        <f>IF($P63="","",IFERROR(IF(INDEX(MASTER!$H$4:$H$1463,$P63)="","",INDEX(MASTER!$H$4:$H$1463,$P63)),""))</f>
        <v>61,000 - 61,999</v>
      </c>
      <c r="H63" s="16">
        <f>IF($P63="","",IFERROR(IF(INDEX(MASTER!$I$4:$I$1463,$P63)="","",INDEX(MASTER!$I$4:$I$1463,$P63)),""))</f>
        <v>5730</v>
      </c>
      <c r="I63" s="15" t="str">
        <f>IF($P63="","",IFERROR(IF(INDEX(MASTER!$J$4:$J$1463,$P63)="","",INDEX(MASTER!$J$4:$J$1463,$P63)),""))</f>
        <v>CORE</v>
      </c>
      <c r="J63" s="17">
        <f>IF($P63="","",IFERROR(IF(INDEX(MASTER!$L$4:$L$1463,$P63)="","",INDEX(MASTER!$L$4:$L$1463,$P63)),""))</f>
        <v>5.0999999999999996</v>
      </c>
      <c r="K63" s="17">
        <f>IF($P63="","",IFERROR(IF(INDEX(MASTER!$N$4:$N$1463,$P63)="","",INDEX(MASTER!$N$4:$N$1463,$P63)),""))</f>
        <v>51.8</v>
      </c>
      <c r="L63" s="15" t="str">
        <f>IF($P63="","",IFERROR(IF(INDEX(MASTER!$O$4:$O$1463,$P63)="","",INDEX(MASTER!$O$4:$O$1463,$P63)),""))</f>
        <v>A</v>
      </c>
      <c r="M63" s="15">
        <f>IF($P63="","",IFERROR(IF(INDEX(MASTER!$Q$4:$Q$1463,$P63)="","",INDEX(MASTER!$Q$4:$Q$1463,$P63)),""))</f>
        <v>34</v>
      </c>
      <c r="N63" s="15" t="str">
        <f>IF($P63="","",IFERROR(IF(INDEX(MASTER!$S$4:$S$1463,$P63)="","",INDEX(MASTER!$S$4:$S$1463,$P63)),""))</f>
        <v>Complete</v>
      </c>
      <c r="P63">
        <f>IFERROR(MATCH($Q$1&amp;"@55",MASTER!$AC$4:$AC$1463,0),"")</f>
        <v>574</v>
      </c>
    </row>
    <row r="64" spans="1:16">
      <c r="A64" s="19">
        <f>IF($P64="","",56)</f>
        <v>56</v>
      </c>
      <c r="B64" s="18" t="str">
        <f>IF($P64="","",IFERROR(IF(INDEX(MASTER!$C$4:$C$1463,$P64)="","",INDEX(MASTER!$C$4:$C$1463,$P64)),""))</f>
        <v>Kalena</v>
      </c>
      <c r="C64" s="19" t="str">
        <f>IF($P64="","",IFERROR(IF(INDEX(MASTER!$D$4:$D$1463,$P64)="","",INDEX(MASTER!$D$4:$D$1463,$P64)),""))</f>
        <v/>
      </c>
      <c r="D64" s="19" t="str">
        <f>IF($P64="","",IFERROR(IF(INDEX(MASTER!$E$4:$E$1463,$P64)="","",INDEX(MASTER!$E$4:$E$1463,$P64)),""))</f>
        <v>CRUSADER</v>
      </c>
      <c r="E64" s="19" t="str">
        <f>IF($P64="","",IFERROR(IF(INDEX(MASTER!$F$4:$F$1463,$P64)="","",INDEX(MASTER!$F$4:$F$1463,$P64)),""))</f>
        <v>Frontline</v>
      </c>
      <c r="F64" s="20">
        <f>IF($P64="","",IFERROR(IF(INDEX(MASTER!$G$4:$G$1463,$P64)="","",INDEX(MASTER!$G$4:$G$1463,$P64)),""))</f>
        <v>62957</v>
      </c>
      <c r="G64" s="19" t="str">
        <f>IF($P64="","",IFERROR(IF(INDEX(MASTER!$H$4:$H$1463,$P64)="","",INDEX(MASTER!$H$4:$H$1463,$P64)),""))</f>
        <v>62,000 - 62,999</v>
      </c>
      <c r="H64" s="20">
        <f>IF($P64="","",IFERROR(IF(INDEX(MASTER!$I$4:$I$1463,$P64)="","",INDEX(MASTER!$I$4:$I$1463,$P64)),""))</f>
        <v>6026</v>
      </c>
      <c r="I64" s="19" t="str">
        <f>IF($P64="","",IFERROR(IF(INDEX(MASTER!$J$4:$J$1463,$P64)="","",INDEX(MASTER!$J$4:$J$1463,$P64)),""))</f>
        <v>VETERAN</v>
      </c>
      <c r="J64" s="21">
        <f>IF($P64="","",IFERROR(IF(INDEX(MASTER!$L$4:$L$1463,$P64)="","",INDEX(MASTER!$L$4:$L$1463,$P64)),""))</f>
        <v>4.51</v>
      </c>
      <c r="K64" s="21">
        <f>IF($P64="","",IFERROR(IF(INDEX(MASTER!$N$4:$N$1463,$P64)="","",INDEX(MASTER!$N$4:$N$1463,$P64)),""))</f>
        <v>54.8</v>
      </c>
      <c r="L64" s="19" t="str">
        <f>IF($P64="","",IFERROR(IF(INDEX(MASTER!$O$4:$O$1463,$P64)="","",INDEX(MASTER!$O$4:$O$1463,$P64)),""))</f>
        <v>A</v>
      </c>
      <c r="M64" s="19">
        <f>IF($P64="","",IFERROR(IF(INDEX(MASTER!$Q$4:$Q$1463,$P64)="","",INDEX(MASTER!$Q$4:$Q$1463,$P64)),""))</f>
        <v>30</v>
      </c>
      <c r="N64" s="19" t="str">
        <f>IF($P64="","",IFERROR(IF(INDEX(MASTER!$S$4:$S$1463,$P64)="","",INDEX(MASTER!$S$4:$S$1463,$P64)),""))</f>
        <v>Complete</v>
      </c>
      <c r="P64">
        <f>IFERROR(MATCH($Q$1&amp;"@56",MASTER!$AC$4:$AC$1463,0),"")</f>
        <v>584</v>
      </c>
    </row>
    <row r="65" spans="1:16">
      <c r="A65" s="15">
        <f>IF($P65="","",57)</f>
        <v>57</v>
      </c>
      <c r="B65" s="14" t="str">
        <f>IF($P65="","",IFERROR(IF(INDEX(MASTER!$C$4:$C$1463,$P65)="","",INDEX(MASTER!$C$4:$C$1463,$P65)),""))</f>
        <v>KAPTBARBEL</v>
      </c>
      <c r="C65" s="15" t="str">
        <f>IF($P65="","",IFERROR(IF(INDEX(MASTER!$D$4:$D$1463,$P65)="","",INDEX(MASTER!$D$4:$D$1463,$P65)),""))</f>
        <v/>
      </c>
      <c r="D65" s="15" t="str">
        <f>IF($P65="","",IFERROR(IF(INDEX(MASTER!$E$4:$E$1463,$P65)="","",INDEX(MASTER!$E$4:$E$1463,$P65)),""))</f>
        <v>CRUSADER</v>
      </c>
      <c r="E65" s="15" t="str">
        <f>IF($P65="","",IFERROR(IF(INDEX(MASTER!$F$4:$F$1463,$P65)="","",INDEX(MASTER!$F$4:$F$1463,$P65)),""))</f>
        <v>Frontline</v>
      </c>
      <c r="F65" s="16">
        <f>IF($P65="","",IFERROR(IF(INDEX(MASTER!$G$4:$G$1463,$P65)="","",INDEX(MASTER!$G$4:$G$1463,$P65)),""))</f>
        <v>62367</v>
      </c>
      <c r="G65" s="15" t="str">
        <f>IF($P65="","",IFERROR(IF(INDEX(MASTER!$H$4:$H$1463,$P65)="","",INDEX(MASTER!$H$4:$H$1463,$P65)),""))</f>
        <v>62,000 - 62,999</v>
      </c>
      <c r="H65" s="16">
        <f>IF($P65="","",IFERROR(IF(INDEX(MASTER!$I$4:$I$1463,$P65)="","",INDEX(MASTER!$I$4:$I$1463,$P65)),""))</f>
        <v>3462</v>
      </c>
      <c r="I65" s="15" t="str">
        <f>IF($P65="","",IFERROR(IF(INDEX(MASTER!$J$4:$J$1463,$P65)="","",INDEX(MASTER!$J$4:$J$1463,$P65)),""))</f>
        <v>DEVELOPING</v>
      </c>
      <c r="J65" s="17">
        <f>IF($P65="","",IFERROR(IF(INDEX(MASTER!$L$4:$L$1463,$P65)="","",INDEX(MASTER!$L$4:$L$1463,$P65)),""))</f>
        <v>4.33</v>
      </c>
      <c r="K65" s="17">
        <f>IF($P65="","",IFERROR(IF(INDEX(MASTER!$N$4:$N$1463,$P65)="","",INDEX(MASTER!$N$4:$N$1463,$P65)),""))</f>
        <v>41.7</v>
      </c>
      <c r="L65" s="15" t="str">
        <f>IF($P65="","",IFERROR(IF(INDEX(MASTER!$O$4:$O$1463,$P65)="","",INDEX(MASTER!$O$4:$O$1463,$P65)),""))</f>
        <v>B</v>
      </c>
      <c r="M65" s="15">
        <f>IF($P65="","",IFERROR(IF(INDEX(MASTER!$Q$4:$Q$1463,$P65)="","",INDEX(MASTER!$Q$4:$Q$1463,$P65)),""))</f>
        <v>85</v>
      </c>
      <c r="N65" s="15" t="str">
        <f>IF($P65="","",IFERROR(IF(INDEX(MASTER!$S$4:$S$1463,$P65)="","",INDEX(MASTER!$S$4:$S$1463,$P65)),""))</f>
        <v>Complete</v>
      </c>
      <c r="P65">
        <f>IFERROR(MATCH($Q$1&amp;"@57",MASTER!$AC$4:$AC$1463,0),"")</f>
        <v>589</v>
      </c>
    </row>
    <row r="66" spans="1:16">
      <c r="A66" s="19">
        <f>IF($P66="","",58)</f>
        <v>58</v>
      </c>
      <c r="B66" s="18" t="str">
        <f>IF($P66="","",IFERROR(IF(INDEX(MASTER!$C$4:$C$1463,$P66)="","",INDEX(MASTER!$C$4:$C$1463,$P66)),""))</f>
        <v>KupaBèárLV</v>
      </c>
      <c r="C66" s="19" t="str">
        <f>IF($P66="","",IFERROR(IF(INDEX(MASTER!$D$4:$D$1463,$P66)="","",INDEX(MASTER!$D$4:$D$1463,$P66)),""))</f>
        <v>TK0</v>
      </c>
      <c r="D66" s="19" t="str">
        <f>IF($P66="","",IFERROR(IF(INDEX(MASTER!$E$4:$E$1463,$P66)="","",INDEX(MASTER!$E$4:$E$1463,$P66)),""))</f>
        <v>BARBARIAN</v>
      </c>
      <c r="E66" s="19" t="str">
        <f>IF($P66="","",IFERROR(IF(INDEX(MASTER!$F$4:$F$1463,$P66)="","",INDEX(MASTER!$F$4:$F$1463,$P66)),""))</f>
        <v>Frontline</v>
      </c>
      <c r="F66" s="20">
        <f>IF($P66="","",IFERROR(IF(INDEX(MASTER!$G$4:$G$1463,$P66)="","",INDEX(MASTER!$G$4:$G$1463,$P66)),""))</f>
        <v>62941</v>
      </c>
      <c r="G66" s="19" t="str">
        <f>IF($P66="","",IFERROR(IF(INDEX(MASTER!$H$4:$H$1463,$P66)="","",INDEX(MASTER!$H$4:$H$1463,$P66)),""))</f>
        <v>62,000 - 62,999</v>
      </c>
      <c r="H66" s="20">
        <f>IF($P66="","",IFERROR(IF(INDEX(MASTER!$I$4:$I$1463,$P66)="","",INDEX(MASTER!$I$4:$I$1463,$P66)),""))</f>
        <v>3950</v>
      </c>
      <c r="I66" s="19" t="str">
        <f>IF($P66="","",IFERROR(IF(INDEX(MASTER!$J$4:$J$1463,$P66)="","",INDEX(MASTER!$J$4:$J$1463,$P66)),""))</f>
        <v>DEVELOPING</v>
      </c>
      <c r="J66" s="21">
        <f>IF($P66="","",IFERROR(IF(INDEX(MASTER!$L$4:$L$1463,$P66)="","",INDEX(MASTER!$L$4:$L$1463,$P66)),""))</f>
        <v>4.01</v>
      </c>
      <c r="K66" s="21">
        <f>IF($P66="","",IFERROR(IF(INDEX(MASTER!$N$4:$N$1463,$P66)="","",INDEX(MASTER!$N$4:$N$1463,$P66)),""))</f>
        <v>44.8</v>
      </c>
      <c r="L66" s="19" t="str">
        <f>IF($P66="","",IFERROR(IF(INDEX(MASTER!$O$4:$O$1463,$P66)="","",INDEX(MASTER!$O$4:$O$1463,$P66)),""))</f>
        <v>B</v>
      </c>
      <c r="M66" s="19">
        <f>IF($P66="","",IFERROR(IF(INDEX(MASTER!$Q$4:$Q$1463,$P66)="","",INDEX(MASTER!$Q$4:$Q$1463,$P66)),""))</f>
        <v>74</v>
      </c>
      <c r="N66" s="19" t="str">
        <f>IF($P66="","",IFERROR(IF(INDEX(MASTER!$S$4:$S$1463,$P66)="","",INDEX(MASTER!$S$4:$S$1463,$P66)),""))</f>
        <v>Complete</v>
      </c>
      <c r="P66">
        <f>IFERROR(MATCH($Q$1&amp;"@58",MASTER!$AC$4:$AC$1463,0),"")</f>
        <v>635</v>
      </c>
    </row>
    <row r="67" spans="1:16">
      <c r="A67" s="15">
        <f>IF($P67="","",59)</f>
        <v>59</v>
      </c>
      <c r="B67" s="14" t="str">
        <f>IF($P67="","",IFERROR(IF(INDEX(MASTER!$C$4:$C$1463,$P67)="","",INDEX(MASTER!$C$4:$C$1463,$P67)),""))</f>
        <v>Leonides</v>
      </c>
      <c r="C67" s="15" t="str">
        <f>IF($P67="","",IFERROR(IF(INDEX(MASTER!$D$4:$D$1463,$P67)="","",INDEX(MASTER!$D$4:$D$1463,$P67)),""))</f>
        <v/>
      </c>
      <c r="D67" s="15" t="str">
        <f>IF($P67="","",IFERROR(IF(INDEX(MASTER!$E$4:$E$1463,$P67)="","",INDEX(MASTER!$E$4:$E$1463,$P67)),""))</f>
        <v>CRUSADER</v>
      </c>
      <c r="E67" s="15" t="str">
        <f>IF($P67="","",IFERROR(IF(INDEX(MASTER!$F$4:$F$1463,$P67)="","",INDEX(MASTER!$F$4:$F$1463,$P67)),""))</f>
        <v>Frontline</v>
      </c>
      <c r="F67" s="16">
        <f>IF($P67="","",IFERROR(IF(INDEX(MASTER!$G$4:$G$1463,$P67)="","",INDEX(MASTER!$G$4:$G$1463,$P67)),""))</f>
        <v>63113</v>
      </c>
      <c r="G67" s="15" t="str">
        <f>IF($P67="","",IFERROR(IF(INDEX(MASTER!$H$4:$H$1463,$P67)="","",INDEX(MASTER!$H$4:$H$1463,$P67)),""))</f>
        <v>63,000 - 63,999</v>
      </c>
      <c r="H67" s="16">
        <f>IF($P67="","",IFERROR(IF(INDEX(MASTER!$I$4:$I$1463,$P67)="","",INDEX(MASTER!$I$4:$I$1463,$P67)),""))</f>
        <v>4825</v>
      </c>
      <c r="I67" s="15" t="str">
        <f>IF($P67="","",IFERROR(IF(INDEX(MASTER!$J$4:$J$1463,$P67)="","",INDEX(MASTER!$J$4:$J$1463,$P67)),""))</f>
        <v>CORE</v>
      </c>
      <c r="J67" s="17">
        <f>IF($P67="","",IFERROR(IF(INDEX(MASTER!$L$4:$L$1463,$P67)="","",INDEX(MASTER!$L$4:$L$1463,$P67)),""))</f>
        <v>4.9000000000000004</v>
      </c>
      <c r="K67" s="17">
        <f>IF($P67="","",IFERROR(IF(INDEX(MASTER!$N$4:$N$1463,$P67)="","",INDEX(MASTER!$N$4:$N$1463,$P67)),""))</f>
        <v>50.6</v>
      </c>
      <c r="L67" s="15" t="str">
        <f>IF($P67="","",IFERROR(IF(INDEX(MASTER!$O$4:$O$1463,$P67)="","",INDEX(MASTER!$O$4:$O$1463,$P67)),""))</f>
        <v>A</v>
      </c>
      <c r="M67" s="15">
        <f>IF($P67="","",IFERROR(IF(INDEX(MASTER!$Q$4:$Q$1463,$P67)="","",INDEX(MASTER!$Q$4:$Q$1463,$P67)),""))</f>
        <v>55</v>
      </c>
      <c r="N67" s="15" t="str">
        <f>IF($P67="","",IFERROR(IF(INDEX(MASTER!$S$4:$S$1463,$P67)="","",INDEX(MASTER!$S$4:$S$1463,$P67)),""))</f>
        <v>Complete</v>
      </c>
      <c r="P67">
        <f>IFERROR(MATCH($Q$1&amp;"@59",MASTER!$AC$4:$AC$1463,0),"")</f>
        <v>659</v>
      </c>
    </row>
    <row r="68" spans="1:16">
      <c r="A68" s="19">
        <f>IF($P68="","",60)</f>
        <v>60</v>
      </c>
      <c r="B68" s="18" t="str">
        <f>IF($P68="","",IFERROR(IF(INDEX(MASTER!$C$4:$C$1463,$P68)="","",INDEX(MASTER!$C$4:$C$1463,$P68)),""))</f>
        <v>Lilee1</v>
      </c>
      <c r="C68" s="19" t="str">
        <f>IF($P68="","",IFERROR(IF(INDEX(MASTER!$D$4:$D$1463,$P68)="","",INDEX(MASTER!$D$4:$D$1463,$P68)),""))</f>
        <v/>
      </c>
      <c r="D68" s="19" t="str">
        <f>IF($P68="","",IFERROR(IF(INDEX(MASTER!$E$4:$E$1463,$P68)="","",INDEX(MASTER!$E$4:$E$1463,$P68)),""))</f>
        <v>DEMON HUNTER</v>
      </c>
      <c r="E68" s="19" t="str">
        <f>IF($P68="","",IFERROR(IF(INDEX(MASTER!$F$4:$F$1463,$P68)="","",INDEX(MASTER!$F$4:$F$1463,$P68)),""))</f>
        <v>Ranged DPS</v>
      </c>
      <c r="F68" s="20">
        <f>IF($P68="","",IFERROR(IF(INDEX(MASTER!$G$4:$G$1463,$P68)="","",INDEX(MASTER!$G$4:$G$1463,$P68)),""))</f>
        <v>63747</v>
      </c>
      <c r="G68" s="19" t="str">
        <f>IF($P68="","",IFERROR(IF(INDEX(MASTER!$H$4:$H$1463,$P68)="","",INDEX(MASTER!$H$4:$H$1463,$P68)),""))</f>
        <v>63,000 - 63,999</v>
      </c>
      <c r="H68" s="20">
        <f>IF($P68="","",IFERROR(IF(INDEX(MASTER!$I$4:$I$1463,$P68)="","",INDEX(MASTER!$I$4:$I$1463,$P68)),""))</f>
        <v>7812</v>
      </c>
      <c r="I68" s="19" t="str">
        <f>IF($P68="","",IFERROR(IF(INDEX(MASTER!$J$4:$J$1463,$P68)="","",INDEX(MASTER!$J$4:$J$1463,$P68)),""))</f>
        <v>VETERAN</v>
      </c>
      <c r="J68" s="21">
        <f>IF($P68="","",IFERROR(IF(INDEX(MASTER!$L$4:$L$1463,$P68)="","",INDEX(MASTER!$L$4:$L$1463,$P68)),""))</f>
        <v>6.12</v>
      </c>
      <c r="K68" s="21">
        <f>IF($P68="","",IFERROR(IF(INDEX(MASTER!$N$4:$N$1463,$P68)="","",INDEX(MASTER!$N$4:$N$1463,$P68)),""))</f>
        <v>67.3</v>
      </c>
      <c r="L68" s="19" t="str">
        <f>IF($P68="","",IFERROR(IF(INDEX(MASTER!$O$4:$O$1463,$P68)="","",INDEX(MASTER!$O$4:$O$1463,$P68)),""))</f>
        <v>S</v>
      </c>
      <c r="M68" s="19">
        <f>IF($P68="","",IFERROR(IF(INDEX(MASTER!$Q$4:$Q$1463,$P68)="","",INDEX(MASTER!$Q$4:$Q$1463,$P68)),""))</f>
        <v>14</v>
      </c>
      <c r="N68" s="19" t="str">
        <f>IF($P68="","",IFERROR(IF(INDEX(MASTER!$S$4:$S$1463,$P68)="","",INDEX(MASTER!$S$4:$S$1463,$P68)),""))</f>
        <v>Complete</v>
      </c>
      <c r="P68">
        <f>IFERROR(MATCH($Q$1&amp;"@60",MASTER!$AC$4:$AC$1463,0),"")</f>
        <v>668</v>
      </c>
    </row>
    <row r="69" spans="1:16">
      <c r="A69" s="15">
        <f>IF($P69="","",61)</f>
        <v>61</v>
      </c>
      <c r="B69" s="14" t="str">
        <f>IF($P69="","",IFERROR(IF(INDEX(MASTER!$C$4:$C$1463,$P69)="","",INDEX(MASTER!$C$4:$C$1463,$P69)),""))</f>
        <v>Loganabhi</v>
      </c>
      <c r="C69" s="15" t="str">
        <f>IF($P69="","",IFERROR(IF(INDEX(MASTER!$D$4:$D$1463,$P69)="","",INDEX(MASTER!$D$4:$D$1463,$P69)),""))</f>
        <v/>
      </c>
      <c r="D69" s="15" t="str">
        <f>IF($P69="","",IFERROR(IF(INDEX(MASTER!$E$4:$E$1463,$P69)="","",INDEX(MASTER!$E$4:$E$1463,$P69)),""))</f>
        <v>BLOOD KNIGHT</v>
      </c>
      <c r="E69" s="15" t="str">
        <f>IF($P69="","",IFERROR(IF(INDEX(MASTER!$F$4:$F$1463,$P69)="","",INDEX(MASTER!$F$4:$F$1463,$P69)),""))</f>
        <v>Frontline</v>
      </c>
      <c r="F69" s="16">
        <f>IF($P69="","",IFERROR(IF(INDEX(MASTER!$G$4:$G$1463,$P69)="","",INDEX(MASTER!$G$4:$G$1463,$P69)),""))</f>
        <v>61374</v>
      </c>
      <c r="G69" s="15" t="str">
        <f>IF($P69="","",IFERROR(IF(INDEX(MASTER!$H$4:$H$1463,$P69)="","",INDEX(MASTER!$H$4:$H$1463,$P69)),""))</f>
        <v>61,000 - 61,999</v>
      </c>
      <c r="H69" s="16">
        <f>IF($P69="","",IFERROR(IF(INDEX(MASTER!$I$4:$I$1463,$P69)="","",INDEX(MASTER!$I$4:$I$1463,$P69)),""))</f>
        <v>2526</v>
      </c>
      <c r="I69" s="15" t="str">
        <f>IF($P69="","",IFERROR(IF(INDEX(MASTER!$J$4:$J$1463,$P69)="","",INDEX(MASTER!$J$4:$J$1463,$P69)),""))</f>
        <v>DEVELOPING</v>
      </c>
      <c r="J69" s="17">
        <f>IF($P69="","",IFERROR(IF(INDEX(MASTER!$L$4:$L$1463,$P69)="","",INDEX(MASTER!$L$4:$L$1463,$P69)),""))</f>
        <v>3.61</v>
      </c>
      <c r="K69" s="17">
        <f>IF($P69="","",IFERROR(IF(INDEX(MASTER!$N$4:$N$1463,$P69)="","",INDEX(MASTER!$N$4:$N$1463,$P69)),""))</f>
        <v>33.799999999999997</v>
      </c>
      <c r="L69" s="15" t="str">
        <f>IF($P69="","",IFERROR(IF(INDEX(MASTER!$O$4:$O$1463,$P69)="","",INDEX(MASTER!$O$4:$O$1463,$P69)),""))</f>
        <v>C</v>
      </c>
      <c r="M69" s="15">
        <f>IF($P69="","",IFERROR(IF(INDEX(MASTER!$Q$4:$Q$1463,$P69)="","",INDEX(MASTER!$Q$4:$Q$1463,$P69)),""))</f>
        <v>97</v>
      </c>
      <c r="N69" s="15" t="str">
        <f>IF($P69="","",IFERROR(IF(INDEX(MASTER!$S$4:$S$1463,$P69)="","",INDEX(MASTER!$S$4:$S$1463,$P69)),""))</f>
        <v>Complete</v>
      </c>
      <c r="P69">
        <f>IFERROR(MATCH($Q$1&amp;"@61",MASTER!$AC$4:$AC$1463,0),"")</f>
        <v>675</v>
      </c>
    </row>
    <row r="70" spans="1:16">
      <c r="A70" s="19">
        <f>IF($P70="","",62)</f>
        <v>62</v>
      </c>
      <c r="B70" s="18" t="str">
        <f>IF($P70="","",IFERROR(IF(INDEX(MASTER!$C$4:$C$1463,$P70)="","",INDEX(MASTER!$C$4:$C$1463,$P70)),""))</f>
        <v>LotLezard</v>
      </c>
      <c r="C70" s="19" t="str">
        <f>IF($P70="","",IFERROR(IF(INDEX(MASTER!$D$4:$D$1463,$P70)="","",INDEX(MASTER!$D$4:$D$1463,$P70)),""))</f>
        <v/>
      </c>
      <c r="D70" s="19" t="str">
        <f>IF($P70="","",IFERROR(IF(INDEX(MASTER!$E$4:$E$1463,$P70)="","",INDEX(MASTER!$E$4:$E$1463,$P70)),""))</f>
        <v>WARLOCK</v>
      </c>
      <c r="E70" s="19" t="str">
        <f>IF($P70="","",IFERROR(IF(INDEX(MASTER!$F$4:$F$1463,$P70)="","",INDEX(MASTER!$F$4:$F$1463,$P70)),""))</f>
        <v>Control</v>
      </c>
      <c r="F70" s="20">
        <f>IF($P70="","",IFERROR(IF(INDEX(MASTER!$G$4:$G$1463,$P70)="","",INDEX(MASTER!$G$4:$G$1463,$P70)),""))</f>
        <v>62698</v>
      </c>
      <c r="G70" s="19" t="str">
        <f>IF($P70="","",IFERROR(IF(INDEX(MASTER!$H$4:$H$1463,$P70)="","",INDEX(MASTER!$H$4:$H$1463,$P70)),""))</f>
        <v>62,000 - 62,999</v>
      </c>
      <c r="H70" s="20">
        <f>IF($P70="","",IFERROR(IF(INDEX(MASTER!$I$4:$I$1463,$P70)="","",INDEX(MASTER!$I$4:$I$1463,$P70)),""))</f>
        <v>8755</v>
      </c>
      <c r="I70" s="19" t="str">
        <f>IF($P70="","",IFERROR(IF(INDEX(MASTER!$J$4:$J$1463,$P70)="","",INDEX(MASTER!$J$4:$J$1463,$P70)),""))</f>
        <v>ELITE</v>
      </c>
      <c r="J70" s="21">
        <f>IF($P70="","",IFERROR(IF(INDEX(MASTER!$L$4:$L$1463,$P70)="","",INDEX(MASTER!$L$4:$L$1463,$P70)),""))</f>
        <v>5.38</v>
      </c>
      <c r="K70" s="21">
        <f>IF($P70="","",IFERROR(IF(INDEX(MASTER!$N$4:$N$1463,$P70)="","",INDEX(MASTER!$N$4:$N$1463,$P70)),""))</f>
        <v>67.400000000000006</v>
      </c>
      <c r="L70" s="19" t="str">
        <f>IF($P70="","",IFERROR(IF(INDEX(MASTER!$O$4:$O$1463,$P70)="","",INDEX(MASTER!$O$4:$O$1463,$P70)),""))</f>
        <v>S</v>
      </c>
      <c r="M70" s="19">
        <f>IF($P70="","",IFERROR(IF(INDEX(MASTER!$Q$4:$Q$1463,$P70)="","",INDEX(MASTER!$Q$4:$Q$1463,$P70)),""))</f>
        <v>9</v>
      </c>
      <c r="N70" s="19" t="str">
        <f>IF($P70="","",IFERROR(IF(INDEX(MASTER!$S$4:$S$1463,$P70)="","",INDEX(MASTER!$S$4:$S$1463,$P70)),""))</f>
        <v>Complete</v>
      </c>
      <c r="P70">
        <f>IFERROR(MATCH($Q$1&amp;"@62",MASTER!$AC$4:$AC$1463,0),"")</f>
        <v>688</v>
      </c>
    </row>
    <row r="71" spans="1:16">
      <c r="A71" s="15">
        <f>IF($P71="","",63)</f>
        <v>63</v>
      </c>
      <c r="B71" s="14" t="str">
        <f>IF($P71="","",IFERROR(IF(INDEX(MASTER!$C$4:$C$1463,$P71)="","",INDEX(MASTER!$C$4:$C$1463,$P71)),""))</f>
        <v>Lucky</v>
      </c>
      <c r="C71" s="15" t="str">
        <f>IF($P71="","",IFERROR(IF(INDEX(MASTER!$D$4:$D$1463,$P71)="","",INDEX(MASTER!$D$4:$D$1463,$P71)),""))</f>
        <v>TK0</v>
      </c>
      <c r="D71" s="15" t="str">
        <f>IF($P71="","",IFERROR(IF(INDEX(MASTER!$E$4:$E$1463,$P71)="","",INDEX(MASTER!$E$4:$E$1463,$P71)),""))</f>
        <v>DEMON HUNTER</v>
      </c>
      <c r="E71" s="15" t="str">
        <f>IF($P71="","",IFERROR(IF(INDEX(MASTER!$F$4:$F$1463,$P71)="","",INDEX(MASTER!$F$4:$F$1463,$P71)),""))</f>
        <v>Ranged DPS</v>
      </c>
      <c r="F71" s="16">
        <f>IF($P71="","",IFERROR(IF(INDEX(MASTER!$G$4:$G$1463,$P71)="","",INDEX(MASTER!$G$4:$G$1463,$P71)),""))</f>
        <v>62120</v>
      </c>
      <c r="G71" s="15" t="str">
        <f>IF($P71="","",IFERROR(IF(INDEX(MASTER!$H$4:$H$1463,$P71)="","",INDEX(MASTER!$H$4:$H$1463,$P71)),""))</f>
        <v>62,000 - 62,999</v>
      </c>
      <c r="H71" s="16">
        <f>IF($P71="","",IFERROR(IF(INDEX(MASTER!$I$4:$I$1463,$P71)="","",INDEX(MASTER!$I$4:$I$1463,$P71)),""))</f>
        <v>5933</v>
      </c>
      <c r="I71" s="15" t="str">
        <f>IF($P71="","",IFERROR(IF(INDEX(MASTER!$J$4:$J$1463,$P71)="","",INDEX(MASTER!$J$4:$J$1463,$P71)),""))</f>
        <v>CORE</v>
      </c>
      <c r="J71" s="17">
        <f>IF($P71="","",IFERROR(IF(INDEX(MASTER!$L$4:$L$1463,$P71)="","",INDEX(MASTER!$L$4:$L$1463,$P71)),""))</f>
        <v>6.4</v>
      </c>
      <c r="K71" s="17">
        <f>IF($P71="","",IFERROR(IF(INDEX(MASTER!$N$4:$N$1463,$P71)="","",INDEX(MASTER!$N$4:$N$1463,$P71)),""))</f>
        <v>55.3</v>
      </c>
      <c r="L71" s="15" t="str">
        <f>IF($P71="","",IFERROR(IF(INDEX(MASTER!$O$4:$O$1463,$P71)="","",INDEX(MASTER!$O$4:$O$1463,$P71)),""))</f>
        <v>A</v>
      </c>
      <c r="M71" s="15">
        <f>IF($P71="","",IFERROR(IF(INDEX(MASTER!$Q$4:$Q$1463,$P71)="","",INDEX(MASTER!$Q$4:$Q$1463,$P71)),""))</f>
        <v>31</v>
      </c>
      <c r="N71" s="15" t="str">
        <f>IF($P71="","",IFERROR(IF(INDEX(MASTER!$S$4:$S$1463,$P71)="","",INDEX(MASTER!$S$4:$S$1463,$P71)),""))</f>
        <v>Complete</v>
      </c>
      <c r="P71">
        <f>IFERROR(MATCH($Q$1&amp;"@63",MASTER!$AC$4:$AC$1463,0),"")</f>
        <v>691</v>
      </c>
    </row>
    <row r="72" spans="1:16">
      <c r="A72" s="19">
        <f>IF($P72="","",64)</f>
        <v>64</v>
      </c>
      <c r="B72" s="18" t="str">
        <f>IF($P72="","",IFERROR(IF(INDEX(MASTER!$C$4:$C$1463,$P72)="","",INDEX(MASTER!$C$4:$C$1463,$P72)),""))</f>
        <v>Mandrin Charactures x 2</v>
      </c>
      <c r="C72" s="19" t="str">
        <f>IF($P72="","",IFERROR(IF(INDEX(MASTER!$D$4:$D$1463,$P72)="","",INDEX(MASTER!$D$4:$D$1463,$P72)),""))</f>
        <v/>
      </c>
      <c r="D72" s="19" t="str">
        <f>IF($P72="","",IFERROR(IF(INDEX(MASTER!$E$4:$E$1463,$P72)="","",INDEX(MASTER!$E$4:$E$1463,$P72)),""))</f>
        <v>CRUSADER</v>
      </c>
      <c r="E72" s="19" t="str">
        <f>IF($P72="","",IFERROR(IF(INDEX(MASTER!$F$4:$F$1463,$P72)="","",INDEX(MASTER!$F$4:$F$1463,$P72)),""))</f>
        <v>Frontline</v>
      </c>
      <c r="F72" s="20">
        <f>IF($P72="","",IFERROR(IF(INDEX(MASTER!$G$4:$G$1463,$P72)="","",INDEX(MASTER!$G$4:$G$1463,$P72)),""))</f>
        <v>63237</v>
      </c>
      <c r="G72" s="19" t="str">
        <f>IF($P72="","",IFERROR(IF(INDEX(MASTER!$H$4:$H$1463,$P72)="","",INDEX(MASTER!$H$4:$H$1463,$P72)),""))</f>
        <v>63,000 - 63,999</v>
      </c>
      <c r="H72" s="20">
        <f>IF($P72="","",IFERROR(IF(INDEX(MASTER!$I$4:$I$1463,$P72)="","",INDEX(MASTER!$I$4:$I$1463,$P72)),""))</f>
        <v>4185</v>
      </c>
      <c r="I72" s="19" t="str">
        <f>IF($P72="","",IFERROR(IF(INDEX(MASTER!$J$4:$J$1463,$P72)="","",INDEX(MASTER!$J$4:$J$1463,$P72)),""))</f>
        <v>CORE</v>
      </c>
      <c r="J72" s="21">
        <f>IF($P72="","",IFERROR(IF(INDEX(MASTER!$L$4:$L$1463,$P72)="","",INDEX(MASTER!$L$4:$L$1463,$P72)),""))</f>
        <v>4.83</v>
      </c>
      <c r="K72" s="21">
        <f>IF($P72="","",IFERROR(IF(INDEX(MASTER!$N$4:$N$1463,$P72)="","",INDEX(MASTER!$N$4:$N$1463,$P72)),""))</f>
        <v>48</v>
      </c>
      <c r="L72" s="19" t="str">
        <f>IF($P72="","",IFERROR(IF(INDEX(MASTER!$O$4:$O$1463,$P72)="","",INDEX(MASTER!$O$4:$O$1463,$P72)),""))</f>
        <v>B</v>
      </c>
      <c r="M72" s="19">
        <f>IF($P72="","",IFERROR(IF(INDEX(MASTER!$Q$4:$Q$1463,$P72)="","",INDEX(MASTER!$Q$4:$Q$1463,$P72)),""))</f>
        <v>72</v>
      </c>
      <c r="N72" s="19" t="str">
        <f>IF($P72="","",IFERROR(IF(INDEX(MASTER!$S$4:$S$1463,$P72)="","",INDEX(MASTER!$S$4:$S$1463,$P72)),""))</f>
        <v>Complete</v>
      </c>
      <c r="P72">
        <f>IFERROR(MATCH($Q$1&amp;"@64",MASTER!$AC$4:$AC$1463,0),"")</f>
        <v>730</v>
      </c>
    </row>
    <row r="73" spans="1:16">
      <c r="A73" s="15">
        <f>IF($P73="","",65)</f>
        <v>65</v>
      </c>
      <c r="B73" s="14" t="str">
        <f>IF($P73="","",IFERROR(IF(INDEX(MASTER!$C$4:$C$1463,$P73)="","",INDEX(MASTER!$C$4:$C$1463,$P73)),""))</f>
        <v>Meatdish</v>
      </c>
      <c r="C73" s="15" t="str">
        <f>IF($P73="","",IFERROR(IF(INDEX(MASTER!$D$4:$D$1463,$P73)="","",INDEX(MASTER!$D$4:$D$1463,$P73)),""))</f>
        <v/>
      </c>
      <c r="D73" s="15" t="str">
        <f>IF($P73="","",IFERROR(IF(INDEX(MASTER!$E$4:$E$1463,$P73)="","",INDEX(MASTER!$E$4:$E$1463,$P73)),""))</f>
        <v>WARLOCK</v>
      </c>
      <c r="E73" s="15" t="str">
        <f>IF($P73="","",IFERROR(IF(INDEX(MASTER!$F$4:$F$1463,$P73)="","",INDEX(MASTER!$F$4:$F$1463,$P73)),""))</f>
        <v>Control</v>
      </c>
      <c r="F73" s="16">
        <f>IF($P73="","",IFERROR(IF(INDEX(MASTER!$G$4:$G$1463,$P73)="","",INDEX(MASTER!$G$4:$G$1463,$P73)),""))</f>
        <v>63021</v>
      </c>
      <c r="G73" s="15" t="str">
        <f>IF($P73="","",IFERROR(IF(INDEX(MASTER!$H$4:$H$1463,$P73)="","",INDEX(MASTER!$H$4:$H$1463,$P73)),""))</f>
        <v>63,000 - 63,999</v>
      </c>
      <c r="H73" s="16">
        <f>IF($P73="","",IFERROR(IF(INDEX(MASTER!$I$4:$I$1463,$P73)="","",INDEX(MASTER!$I$4:$I$1463,$P73)),""))</f>
        <v>2865</v>
      </c>
      <c r="I73" s="15" t="str">
        <f>IF($P73="","",IFERROR(IF(INDEX(MASTER!$J$4:$J$1463,$P73)="","",INDEX(MASTER!$J$4:$J$1463,$P73)),""))</f>
        <v>DEVELOPING</v>
      </c>
      <c r="J73" s="17">
        <f>IF($P73="","",IFERROR(IF(INDEX(MASTER!$L$4:$L$1463,$P73)="","",INDEX(MASTER!$L$4:$L$1463,$P73)),""))</f>
        <v>4.21</v>
      </c>
      <c r="K73" s="17">
        <f>IF($P73="","",IFERROR(IF(INDEX(MASTER!$N$4:$N$1463,$P73)="","",INDEX(MASTER!$N$4:$N$1463,$P73)),""))</f>
        <v>40.6</v>
      </c>
      <c r="L73" s="15" t="str">
        <f>IF($P73="","",IFERROR(IF(INDEX(MASTER!$O$4:$O$1463,$P73)="","",INDEX(MASTER!$O$4:$O$1463,$P73)),""))</f>
        <v>B</v>
      </c>
      <c r="M73" s="15">
        <f>IF($P73="","",IFERROR(IF(INDEX(MASTER!$Q$4:$Q$1463,$P73)="","",INDEX(MASTER!$Q$4:$Q$1463,$P73)),""))</f>
        <v>96</v>
      </c>
      <c r="N73" s="15" t="str">
        <f>IF($P73="","",IFERROR(IF(INDEX(MASTER!$S$4:$S$1463,$P73)="","",INDEX(MASTER!$S$4:$S$1463,$P73)),""))</f>
        <v>Complete</v>
      </c>
      <c r="P73">
        <f>IFERROR(MATCH($Q$1&amp;"@65",MASTER!$AC$4:$AC$1463,0),"")</f>
        <v>744</v>
      </c>
    </row>
    <row r="74" spans="1:16">
      <c r="A74" s="19">
        <f>IF($P74="","",66)</f>
        <v>66</v>
      </c>
      <c r="B74" s="18" t="str">
        <f>IF($P74="","",IFERROR(IF(INDEX(MASTER!$C$4:$C$1463,$P74)="","",INDEX(MASTER!$C$4:$C$1463,$P74)),""))</f>
        <v>MyK</v>
      </c>
      <c r="C74" s="19" t="str">
        <f>IF($P74="","",IFERROR(IF(INDEX(MASTER!$D$4:$D$1463,$P74)="","",INDEX(MASTER!$D$4:$D$1463,$P74)),""))</f>
        <v/>
      </c>
      <c r="D74" s="19" t="str">
        <f>IF($P74="","",IFERROR(IF(INDEX(MASTER!$E$4:$E$1463,$P74)="","",INDEX(MASTER!$E$4:$E$1463,$P74)),""))</f>
        <v/>
      </c>
      <c r="E74" s="19" t="str">
        <f>IF($P74="","",IFERROR(IF(INDEX(MASTER!$F$4:$F$1463,$P74)="","",INDEX(MASTER!$F$4:$F$1463,$P74)),""))</f>
        <v>-</v>
      </c>
      <c r="F74" s="20" t="str">
        <f>IF($P74="","",IFERROR(IF(INDEX(MASTER!$G$4:$G$1463,$P74)="","",INDEX(MASTER!$G$4:$G$1463,$P74)),""))</f>
        <v/>
      </c>
      <c r="G74" s="19" t="str">
        <f>IF($P74="","",IFERROR(IF(INDEX(MASTER!$H$4:$H$1463,$P74)="","",INDEX(MASTER!$H$4:$H$1463,$P74)),""))</f>
        <v>-</v>
      </c>
      <c r="H74" s="20" t="str">
        <f>IF($P74="","",IFERROR(IF(INDEX(MASTER!$I$4:$I$1463,$P74)="","",INDEX(MASTER!$I$4:$I$1463,$P74)),""))</f>
        <v/>
      </c>
      <c r="I74" s="19" t="str">
        <f>IF($P74="","",IFERROR(IF(INDEX(MASTER!$J$4:$J$1463,$P74)="","",INDEX(MASTER!$J$4:$J$1463,$P74)),""))</f>
        <v>-</v>
      </c>
      <c r="J74" s="21" t="str">
        <f>IF($P74="","",IFERROR(IF(INDEX(MASTER!$L$4:$L$1463,$P74)="","",INDEX(MASTER!$L$4:$L$1463,$P74)),""))</f>
        <v/>
      </c>
      <c r="K74" s="21" t="str">
        <f>IF($P74="","",IFERROR(IF(INDEX(MASTER!$N$4:$N$1463,$P74)="","",INDEX(MASTER!$N$4:$N$1463,$P74)),""))</f>
        <v/>
      </c>
      <c r="L74" s="19" t="str">
        <f>IF($P74="","",IFERROR(IF(INDEX(MASTER!$O$4:$O$1463,$P74)="","",INDEX(MASTER!$O$4:$O$1463,$P74)),""))</f>
        <v>-</v>
      </c>
      <c r="M74" s="19">
        <f>IF($P74="","",IFERROR(IF(INDEX(MASTER!$Q$4:$Q$1463,$P74)="","",INDEX(MASTER!$Q$4:$Q$1463,$P74)),""))</f>
        <v>99</v>
      </c>
      <c r="N74" s="19" t="str">
        <f>IF($P74="","",IFERROR(IF(INDEX(MASTER!$S$4:$S$1463,$P74)="","",INDEX(MASTER!$S$4:$S$1463,$P74)),""))</f>
        <v>Name only</v>
      </c>
      <c r="P74">
        <f>IFERROR(MATCH($Q$1&amp;"@66",MASTER!$AC$4:$AC$1463,0),"")</f>
        <v>801</v>
      </c>
    </row>
    <row r="75" spans="1:16">
      <c r="A75" s="15">
        <f>IF($P75="","",67)</f>
        <v>67</v>
      </c>
      <c r="B75" s="14" t="str">
        <f>IF($P75="","",IFERROR(IF(INDEX(MASTER!$C$4:$C$1463,$P75)="","",INDEX(MASTER!$C$4:$C$1463,$P75)),""))</f>
        <v>NecroChicken</v>
      </c>
      <c r="C75" s="15" t="str">
        <f>IF($P75="","",IFERROR(IF(INDEX(MASTER!$D$4:$D$1463,$P75)="","",INDEX(MASTER!$D$4:$D$1463,$P75)),""))</f>
        <v/>
      </c>
      <c r="D75" s="15" t="str">
        <f>IF($P75="","",IFERROR(IF(INDEX(MASTER!$E$4:$E$1463,$P75)="","",INDEX(MASTER!$E$4:$E$1463,$P75)),""))</f>
        <v>WARLOCK</v>
      </c>
      <c r="E75" s="15" t="str">
        <f>IF($P75="","",IFERROR(IF(INDEX(MASTER!$F$4:$F$1463,$P75)="","",INDEX(MASTER!$F$4:$F$1463,$P75)),""))</f>
        <v>Control</v>
      </c>
      <c r="F75" s="16">
        <f>IF($P75="","",IFERROR(IF(INDEX(MASTER!$G$4:$G$1463,$P75)="","",INDEX(MASTER!$G$4:$G$1463,$P75)),""))</f>
        <v>62412</v>
      </c>
      <c r="G75" s="15" t="str">
        <f>IF($P75="","",IFERROR(IF(INDEX(MASTER!$H$4:$H$1463,$P75)="","",INDEX(MASTER!$H$4:$H$1463,$P75)),""))</f>
        <v>62,000 - 62,999</v>
      </c>
      <c r="H75" s="16">
        <f>IF($P75="","",IFERROR(IF(INDEX(MASTER!$I$4:$I$1463,$P75)="","",INDEX(MASTER!$I$4:$I$1463,$P75)),""))</f>
        <v>3536</v>
      </c>
      <c r="I75" s="15" t="str">
        <f>IF($P75="","",IFERROR(IF(INDEX(MASTER!$J$4:$J$1463,$P75)="","",INDEX(MASTER!$J$4:$J$1463,$P75)),""))</f>
        <v>DEVELOPING</v>
      </c>
      <c r="J75" s="17">
        <f>IF($P75="","",IFERROR(IF(INDEX(MASTER!$L$4:$L$1463,$P75)="","",INDEX(MASTER!$L$4:$L$1463,$P75)),""))</f>
        <v>6.1</v>
      </c>
      <c r="K75" s="17">
        <f>IF($P75="","",IFERROR(IF(INDEX(MASTER!$N$4:$N$1463,$P75)="","",INDEX(MASTER!$N$4:$N$1463,$P75)),""))</f>
        <v>45.1</v>
      </c>
      <c r="L75" s="15" t="str">
        <f>IF($P75="","",IFERROR(IF(INDEX(MASTER!$O$4:$O$1463,$P75)="","",INDEX(MASTER!$O$4:$O$1463,$P75)),""))</f>
        <v>B</v>
      </c>
      <c r="M75" s="15">
        <f>IF($P75="","",IFERROR(IF(INDEX(MASTER!$Q$4:$Q$1463,$P75)="","",INDEX(MASTER!$Q$4:$Q$1463,$P75)),""))</f>
        <v>84</v>
      </c>
      <c r="N75" s="15" t="str">
        <f>IF($P75="","",IFERROR(IF(INDEX(MASTER!$S$4:$S$1463,$P75)="","",INDEX(MASTER!$S$4:$S$1463,$P75)),""))</f>
        <v>Complete</v>
      </c>
      <c r="P75">
        <f>IFERROR(MATCH($Q$1&amp;"@67",MASTER!$AC$4:$AC$1463,0),"")</f>
        <v>810</v>
      </c>
    </row>
    <row r="76" spans="1:16">
      <c r="A76" s="19">
        <f>IF($P76="","",68)</f>
        <v>68</v>
      </c>
      <c r="B76" s="18" t="str">
        <f>IF($P76="","",IFERROR(IF(INDEX(MASTER!$C$4:$C$1463,$P76)="","",INDEX(MASTER!$C$4:$C$1463,$P76)),""))</f>
        <v>NòváK</v>
      </c>
      <c r="C76" s="19" t="str">
        <f>IF($P76="","",IFERROR(IF(INDEX(MASTER!$D$4:$D$1463,$P76)="","",INDEX(MASTER!$D$4:$D$1463,$P76)),""))</f>
        <v>TK0</v>
      </c>
      <c r="D76" s="19" t="str">
        <f>IF($P76="","",IFERROR(IF(INDEX(MASTER!$E$4:$E$1463,$P76)="","",INDEX(MASTER!$E$4:$E$1463,$P76)),""))</f>
        <v>WARLOCK</v>
      </c>
      <c r="E76" s="19" t="str">
        <f>IF($P76="","",IFERROR(IF(INDEX(MASTER!$F$4:$F$1463,$P76)="","",INDEX(MASTER!$F$4:$F$1463,$P76)),""))</f>
        <v>Control</v>
      </c>
      <c r="F76" s="20">
        <f>IF($P76="","",IFERROR(IF(INDEX(MASTER!$G$4:$G$1463,$P76)="","",INDEX(MASTER!$G$4:$G$1463,$P76)),""))</f>
        <v>63284</v>
      </c>
      <c r="G76" s="19" t="str">
        <f>IF($P76="","",IFERROR(IF(INDEX(MASTER!$H$4:$H$1463,$P76)="","",INDEX(MASTER!$H$4:$H$1463,$P76)),""))</f>
        <v>63,000 - 63,999</v>
      </c>
      <c r="H76" s="20">
        <f>IF($P76="","",IFERROR(IF(INDEX(MASTER!$I$4:$I$1463,$P76)="","",INDEX(MASTER!$I$4:$I$1463,$P76)),""))</f>
        <v>4306</v>
      </c>
      <c r="I76" s="19" t="str">
        <f>IF($P76="","",IFERROR(IF(INDEX(MASTER!$J$4:$J$1463,$P76)="","",INDEX(MASTER!$J$4:$J$1463,$P76)),""))</f>
        <v>CORE</v>
      </c>
      <c r="J76" s="21">
        <f>IF($P76="","",IFERROR(IF(INDEX(MASTER!$L$4:$L$1463,$P76)="","",INDEX(MASTER!$L$4:$L$1463,$P76)),""))</f>
        <v>3.94</v>
      </c>
      <c r="K76" s="21">
        <f>IF($P76="","",IFERROR(IF(INDEX(MASTER!$N$4:$N$1463,$P76)="","",INDEX(MASTER!$N$4:$N$1463,$P76)),""))</f>
        <v>47.2</v>
      </c>
      <c r="L76" s="19" t="str">
        <f>IF($P76="","",IFERROR(IF(INDEX(MASTER!$O$4:$O$1463,$P76)="","",INDEX(MASTER!$O$4:$O$1463,$P76)),""))</f>
        <v>B</v>
      </c>
      <c r="M76" s="19">
        <f>IF($P76="","",IFERROR(IF(INDEX(MASTER!$Q$4:$Q$1463,$P76)="","",INDEX(MASTER!$Q$4:$Q$1463,$P76)),""))</f>
        <v>68</v>
      </c>
      <c r="N76" s="19" t="str">
        <f>IF($P76="","",IFERROR(IF(INDEX(MASTER!$S$4:$S$1463,$P76)="","",INDEX(MASTER!$S$4:$S$1463,$P76)),""))</f>
        <v>Complete</v>
      </c>
      <c r="P76">
        <f>IFERROR(MATCH($Q$1&amp;"@68",MASTER!$AC$4:$AC$1463,0),"")</f>
        <v>836</v>
      </c>
    </row>
    <row r="77" spans="1:16">
      <c r="A77" s="15">
        <f>IF($P77="","",69)</f>
        <v>69</v>
      </c>
      <c r="B77" s="14" t="str">
        <f>IF($P77="","",IFERROR(IF(INDEX(MASTER!$C$4:$C$1463,$P77)="","",INDEX(MASTER!$C$4:$C$1463,$P77)),""))</f>
        <v>Oooh</v>
      </c>
      <c r="C77" s="15" t="str">
        <f>IF($P77="","",IFERROR(IF(INDEX(MASTER!$D$4:$D$1463,$P77)="","",INDEX(MASTER!$D$4:$D$1463,$P77)),""))</f>
        <v>TK0</v>
      </c>
      <c r="D77" s="15" t="str">
        <f>IF($P77="","",IFERROR(IF(INDEX(MASTER!$E$4:$E$1463,$P77)="","",INDEX(MASTER!$E$4:$E$1463,$P77)),""))</f>
        <v>BARBARIAN</v>
      </c>
      <c r="E77" s="15" t="str">
        <f>IF($P77="","",IFERROR(IF(INDEX(MASTER!$F$4:$F$1463,$P77)="","",INDEX(MASTER!$F$4:$F$1463,$P77)),""))</f>
        <v>Frontline</v>
      </c>
      <c r="F77" s="16">
        <f>IF($P77="","",IFERROR(IF(INDEX(MASTER!$G$4:$G$1463,$P77)="","",INDEX(MASTER!$G$4:$G$1463,$P77)),""))</f>
        <v>63360</v>
      </c>
      <c r="G77" s="15" t="str">
        <f>IF($P77="","",IFERROR(IF(INDEX(MASTER!$H$4:$H$1463,$P77)="","",INDEX(MASTER!$H$4:$H$1463,$P77)),""))</f>
        <v>63,000 - 63,999</v>
      </c>
      <c r="H77" s="16">
        <f>IF($P77="","",IFERROR(IF(INDEX(MASTER!$I$4:$I$1463,$P77)="","",INDEX(MASTER!$I$4:$I$1463,$P77)),""))</f>
        <v>5353</v>
      </c>
      <c r="I77" s="15" t="str">
        <f>IF($P77="","",IFERROR(IF(INDEX(MASTER!$J$4:$J$1463,$P77)="","",INDEX(MASTER!$J$4:$J$1463,$P77)),""))</f>
        <v>CORE</v>
      </c>
      <c r="J77" s="17">
        <f>IF($P77="","",IFERROR(IF(INDEX(MASTER!$L$4:$L$1463,$P77)="","",INDEX(MASTER!$L$4:$L$1463,$P77)),""))</f>
        <v>5.33</v>
      </c>
      <c r="K77" s="17">
        <f>IF($P77="","",IFERROR(IF(INDEX(MASTER!$N$4:$N$1463,$P77)="","",INDEX(MASTER!$N$4:$N$1463,$P77)),""))</f>
        <v>54.2</v>
      </c>
      <c r="L77" s="15" t="str">
        <f>IF($P77="","",IFERROR(IF(INDEX(MASTER!$O$4:$O$1463,$P77)="","",INDEX(MASTER!$O$4:$O$1463,$P77)),""))</f>
        <v>A</v>
      </c>
      <c r="M77" s="15">
        <f>IF($P77="","",IFERROR(IF(INDEX(MASTER!$Q$4:$Q$1463,$P77)="","",INDEX(MASTER!$Q$4:$Q$1463,$P77)),""))</f>
        <v>41</v>
      </c>
      <c r="N77" s="15" t="str">
        <f>IF($P77="","",IFERROR(IF(INDEX(MASTER!$S$4:$S$1463,$P77)="","",INDEX(MASTER!$S$4:$S$1463,$P77)),""))</f>
        <v>Complete</v>
      </c>
      <c r="P77">
        <f>IFERROR(MATCH($Q$1&amp;"@69",MASTER!$AC$4:$AC$1463,0),"")</f>
        <v>856</v>
      </c>
    </row>
    <row r="78" spans="1:16">
      <c r="A78" s="19">
        <f>IF($P78="","",70)</f>
        <v>70</v>
      </c>
      <c r="B78" s="18" t="str">
        <f>IF($P78="","",IFERROR(IF(INDEX(MASTER!$C$4:$C$1463,$P78)="","",INDEX(MASTER!$C$4:$C$1463,$P78)),""))</f>
        <v>PandaNarc</v>
      </c>
      <c r="C78" s="19" t="str">
        <f>IF($P78="","",IFERROR(IF(INDEX(MASTER!$D$4:$D$1463,$P78)="","",INDEX(MASTER!$D$4:$D$1463,$P78)),""))</f>
        <v>TK0</v>
      </c>
      <c r="D78" s="19" t="str">
        <f>IF($P78="","",IFERROR(IF(INDEX(MASTER!$E$4:$E$1463,$P78)="","",INDEX(MASTER!$E$4:$E$1463,$P78)),""))</f>
        <v>WARLOCK</v>
      </c>
      <c r="E78" s="19" t="str">
        <f>IF($P78="","",IFERROR(IF(INDEX(MASTER!$F$4:$F$1463,$P78)="","",INDEX(MASTER!$F$4:$F$1463,$P78)),""))</f>
        <v>Control</v>
      </c>
      <c r="F78" s="20">
        <f>IF($P78="","",IFERROR(IF(INDEX(MASTER!$G$4:$G$1463,$P78)="","",INDEX(MASTER!$G$4:$G$1463,$P78)),""))</f>
        <v>63106</v>
      </c>
      <c r="G78" s="19" t="str">
        <f>IF($P78="","",IFERROR(IF(INDEX(MASTER!$H$4:$H$1463,$P78)="","",INDEX(MASTER!$H$4:$H$1463,$P78)),""))</f>
        <v>63,000 - 63,999</v>
      </c>
      <c r="H78" s="20">
        <f>IF($P78="","",IFERROR(IF(INDEX(MASTER!$I$4:$I$1463,$P78)="","",INDEX(MASTER!$I$4:$I$1463,$P78)),""))</f>
        <v>3751</v>
      </c>
      <c r="I78" s="19" t="str">
        <f>IF($P78="","",IFERROR(IF(INDEX(MASTER!$J$4:$J$1463,$P78)="","",INDEX(MASTER!$J$4:$J$1463,$P78)),""))</f>
        <v>DEVELOPING</v>
      </c>
      <c r="J78" s="21">
        <f>IF($P78="","",IFERROR(IF(INDEX(MASTER!$L$4:$L$1463,$P78)="","",INDEX(MASTER!$L$4:$L$1463,$P78)),""))</f>
        <v>5.17</v>
      </c>
      <c r="K78" s="21">
        <f>IF($P78="","",IFERROR(IF(INDEX(MASTER!$N$4:$N$1463,$P78)="","",INDEX(MASTER!$N$4:$N$1463,$P78)),""))</f>
        <v>46.3</v>
      </c>
      <c r="L78" s="19" t="str">
        <f>IF($P78="","",IFERROR(IF(INDEX(MASTER!$O$4:$O$1463,$P78)="","",INDEX(MASTER!$O$4:$O$1463,$P78)),""))</f>
        <v>B</v>
      </c>
      <c r="M78" s="19">
        <f>IF($P78="","",IFERROR(IF(INDEX(MASTER!$Q$4:$Q$1463,$P78)="","",INDEX(MASTER!$Q$4:$Q$1463,$P78)),""))</f>
        <v>79</v>
      </c>
      <c r="N78" s="19" t="str">
        <f>IF($P78="","",IFERROR(IF(INDEX(MASTER!$S$4:$S$1463,$P78)="","",INDEX(MASTER!$S$4:$S$1463,$P78)),""))</f>
        <v>Complete</v>
      </c>
      <c r="P78">
        <f>IFERROR(MATCH($Q$1&amp;"@70",MASTER!$AC$4:$AC$1463,0),"")</f>
        <v>875</v>
      </c>
    </row>
    <row r="79" spans="1:16">
      <c r="A79" s="15">
        <f>IF($P79="","",71)</f>
        <v>71</v>
      </c>
      <c r="B79" s="14" t="str">
        <f>IF($P79="","",IFERROR(IF(INDEX(MASTER!$C$4:$C$1463,$P79)="","",INDEX(MASTER!$C$4:$C$1463,$P79)),""))</f>
        <v>PapiZ</v>
      </c>
      <c r="C79" s="15" t="str">
        <f>IF($P79="","",IFERROR(IF(INDEX(MASTER!$D$4:$D$1463,$P79)="","",INDEX(MASTER!$D$4:$D$1463,$P79)),""))</f>
        <v/>
      </c>
      <c r="D79" s="15" t="str">
        <f>IF($P79="","",IFERROR(IF(INDEX(MASTER!$E$4:$E$1463,$P79)="","",INDEX(MASTER!$E$4:$E$1463,$P79)),""))</f>
        <v>NECROMANCER</v>
      </c>
      <c r="E79" s="15" t="str">
        <f>IF($P79="","",IFERROR(IF(INDEX(MASTER!$F$4:$F$1463,$P79)="","",INDEX(MASTER!$F$4:$F$1463,$P79)),""))</f>
        <v>Control</v>
      </c>
      <c r="F79" s="16">
        <f>IF($P79="","",IFERROR(IF(INDEX(MASTER!$G$4:$G$1463,$P79)="","",INDEX(MASTER!$G$4:$G$1463,$P79)),""))</f>
        <v>63485</v>
      </c>
      <c r="G79" s="15" t="str">
        <f>IF($P79="","",IFERROR(IF(INDEX(MASTER!$H$4:$H$1463,$P79)="","",INDEX(MASTER!$H$4:$H$1463,$P79)),""))</f>
        <v>63,000 - 63,999</v>
      </c>
      <c r="H79" s="16">
        <f>IF($P79="","",IFERROR(IF(INDEX(MASTER!$I$4:$I$1463,$P79)="","",INDEX(MASTER!$I$4:$I$1463,$P79)),""))</f>
        <v>5871</v>
      </c>
      <c r="I79" s="15" t="str">
        <f>IF($P79="","",IFERROR(IF(INDEX(MASTER!$J$4:$J$1463,$P79)="","",INDEX(MASTER!$J$4:$J$1463,$P79)),""))</f>
        <v>CORE</v>
      </c>
      <c r="J79" s="17">
        <f>IF($P79="","",IFERROR(IF(INDEX(MASTER!$L$4:$L$1463,$P79)="","",INDEX(MASTER!$L$4:$L$1463,$P79)),""))</f>
        <v>4.6399999999999997</v>
      </c>
      <c r="K79" s="17">
        <f>IF($P79="","",IFERROR(IF(INDEX(MASTER!$N$4:$N$1463,$P79)="","",INDEX(MASTER!$N$4:$N$1463,$P79)),""))</f>
        <v>55.7</v>
      </c>
      <c r="L79" s="15" t="str">
        <f>IF($P79="","",IFERROR(IF(INDEX(MASTER!$O$4:$O$1463,$P79)="","",INDEX(MASTER!$O$4:$O$1463,$P79)),""))</f>
        <v>A</v>
      </c>
      <c r="M79" s="15">
        <f>IF($P79="","",IFERROR(IF(INDEX(MASTER!$Q$4:$Q$1463,$P79)="","",INDEX(MASTER!$Q$4:$Q$1463,$P79)),""))</f>
        <v>33</v>
      </c>
      <c r="N79" s="15" t="str">
        <f>IF($P79="","",IFERROR(IF(INDEX(MASTER!$S$4:$S$1463,$P79)="","",INDEX(MASTER!$S$4:$S$1463,$P79)),""))</f>
        <v>Complete</v>
      </c>
      <c r="P79">
        <f>IFERROR(MATCH($Q$1&amp;"@71",MASTER!$AC$4:$AC$1463,0),"")</f>
        <v>879</v>
      </c>
    </row>
    <row r="80" spans="1:16">
      <c r="A80" s="19">
        <f>IF($P80="","",72)</f>
        <v>72</v>
      </c>
      <c r="B80" s="18" t="str">
        <f>IF($P80="","",IFERROR(IF(INDEX(MASTER!$C$4:$C$1463,$P80)="","",INDEX(MASTER!$C$4:$C$1463,$P80)),""))</f>
        <v>PNW5O3</v>
      </c>
      <c r="C80" s="19" t="str">
        <f>IF($P80="","",IFERROR(IF(INDEX(MASTER!$D$4:$D$1463,$P80)="","",INDEX(MASTER!$D$4:$D$1463,$P80)),""))</f>
        <v/>
      </c>
      <c r="D80" s="19" t="str">
        <f>IF($P80="","",IFERROR(IF(INDEX(MASTER!$E$4:$E$1463,$P80)="","",INDEX(MASTER!$E$4:$E$1463,$P80)),""))</f>
        <v>CRUSADER</v>
      </c>
      <c r="E80" s="19" t="str">
        <f>IF($P80="","",IFERROR(IF(INDEX(MASTER!$F$4:$F$1463,$P80)="","",INDEX(MASTER!$F$4:$F$1463,$P80)),""))</f>
        <v>Frontline</v>
      </c>
      <c r="F80" s="20">
        <f>IF($P80="","",IFERROR(IF(INDEX(MASTER!$G$4:$G$1463,$P80)="","",INDEX(MASTER!$G$4:$G$1463,$P80)),""))</f>
        <v>62996</v>
      </c>
      <c r="G80" s="19" t="str">
        <f>IF($P80="","",IFERROR(IF(INDEX(MASTER!$H$4:$H$1463,$P80)="","",INDEX(MASTER!$H$4:$H$1463,$P80)),""))</f>
        <v>62,000 - 62,999</v>
      </c>
      <c r="H80" s="20">
        <f>IF($P80="","",IFERROR(IF(INDEX(MASTER!$I$4:$I$1463,$P80)="","",INDEX(MASTER!$I$4:$I$1463,$P80)),""))</f>
        <v>2940</v>
      </c>
      <c r="I80" s="19" t="str">
        <f>IF($P80="","",IFERROR(IF(INDEX(MASTER!$J$4:$J$1463,$P80)="","",INDEX(MASTER!$J$4:$J$1463,$P80)),""))</f>
        <v>DEVELOPING</v>
      </c>
      <c r="J80" s="21">
        <f>IF($P80="","",IFERROR(IF(INDEX(MASTER!$L$4:$L$1463,$P80)="","",INDEX(MASTER!$L$4:$L$1463,$P80)),""))</f>
        <v>4.6900000000000004</v>
      </c>
      <c r="K80" s="21">
        <f>IF($P80="","",IFERROR(IF(INDEX(MASTER!$N$4:$N$1463,$P80)="","",INDEX(MASTER!$N$4:$N$1463,$P80)),""))</f>
        <v>41.7</v>
      </c>
      <c r="L80" s="19" t="str">
        <f>IF($P80="","",IFERROR(IF(INDEX(MASTER!$O$4:$O$1463,$P80)="","",INDEX(MASTER!$O$4:$O$1463,$P80)),""))</f>
        <v>B</v>
      </c>
      <c r="M80" s="19">
        <f>IF($P80="","",IFERROR(IF(INDEX(MASTER!$Q$4:$Q$1463,$P80)="","",INDEX(MASTER!$Q$4:$Q$1463,$P80)),""))</f>
        <v>95</v>
      </c>
      <c r="N80" s="19" t="str">
        <f>IF($P80="","",IFERROR(IF(INDEX(MASTER!$S$4:$S$1463,$P80)="","",INDEX(MASTER!$S$4:$S$1463,$P80)),""))</f>
        <v>Complete</v>
      </c>
      <c r="P80">
        <f>IFERROR(MATCH($Q$1&amp;"@72",MASTER!$AC$4:$AC$1463,0),"")</f>
        <v>897</v>
      </c>
    </row>
    <row r="81" spans="1:16">
      <c r="A81" s="15">
        <f>IF($P81="","",73)</f>
        <v>73</v>
      </c>
      <c r="B81" s="14" t="str">
        <f>IF($P81="","",IFERROR(IF(INDEX(MASTER!$C$4:$C$1463,$P81)="","",INDEX(MASTER!$C$4:$C$1463,$P81)),""))</f>
        <v>pookyCP</v>
      </c>
      <c r="C81" s="15" t="str">
        <f>IF($P81="","",IFERROR(IF(INDEX(MASTER!$D$4:$D$1463,$P81)="","",INDEX(MASTER!$D$4:$D$1463,$P81)),""))</f>
        <v>TK0</v>
      </c>
      <c r="D81" s="15" t="str">
        <f>IF($P81="","",IFERROR(IF(INDEX(MASTER!$E$4:$E$1463,$P81)="","",INDEX(MASTER!$E$4:$E$1463,$P81)),""))</f>
        <v>WARLOCK</v>
      </c>
      <c r="E81" s="15" t="str">
        <f>IF($P81="","",IFERROR(IF(INDEX(MASTER!$F$4:$F$1463,$P81)="","",INDEX(MASTER!$F$4:$F$1463,$P81)),""))</f>
        <v>Control</v>
      </c>
      <c r="F81" s="16">
        <f>IF($P81="","",IFERROR(IF(INDEX(MASTER!$G$4:$G$1463,$P81)="","",INDEX(MASTER!$G$4:$G$1463,$P81)),""))</f>
        <v>63426</v>
      </c>
      <c r="G81" s="15" t="str">
        <f>IF($P81="","",IFERROR(IF(INDEX(MASTER!$H$4:$H$1463,$P81)="","",INDEX(MASTER!$H$4:$H$1463,$P81)),""))</f>
        <v>63,000 - 63,999</v>
      </c>
      <c r="H81" s="16">
        <f>IF($P81="","",IFERROR(IF(INDEX(MASTER!$I$4:$I$1463,$P81)="","",INDEX(MASTER!$I$4:$I$1463,$P81)),""))</f>
        <v>5057</v>
      </c>
      <c r="I81" s="15" t="str">
        <f>IF($P81="","",IFERROR(IF(INDEX(MASTER!$J$4:$J$1463,$P81)="","",INDEX(MASTER!$J$4:$J$1463,$P81)),""))</f>
        <v>CORE</v>
      </c>
      <c r="J81" s="17">
        <f>IF($P81="","",IFERROR(IF(INDEX(MASTER!$L$4:$L$1463,$P81)="","",INDEX(MASTER!$L$4:$L$1463,$P81)),""))</f>
        <v>4.8499999999999996</v>
      </c>
      <c r="K81" s="17">
        <f>IF($P81="","",IFERROR(IF(INDEX(MASTER!$N$4:$N$1463,$P81)="","",INDEX(MASTER!$N$4:$N$1463,$P81)),""))</f>
        <v>52.3</v>
      </c>
      <c r="L81" s="15" t="str">
        <f>IF($P81="","",IFERROR(IF(INDEX(MASTER!$O$4:$O$1463,$P81)="","",INDEX(MASTER!$O$4:$O$1463,$P81)),""))</f>
        <v>A</v>
      </c>
      <c r="M81" s="15">
        <f>IF($P81="","",IFERROR(IF(INDEX(MASTER!$Q$4:$Q$1463,$P81)="","",INDEX(MASTER!$Q$4:$Q$1463,$P81)),""))</f>
        <v>51</v>
      </c>
      <c r="N81" s="15" t="str">
        <f>IF($P81="","",IFERROR(IF(INDEX(MASTER!$S$4:$S$1463,$P81)="","",INDEX(MASTER!$S$4:$S$1463,$P81)),""))</f>
        <v>Complete</v>
      </c>
      <c r="P81">
        <f>IFERROR(MATCH($Q$1&amp;"@73",MASTER!$AC$4:$AC$1463,0),"")</f>
        <v>900</v>
      </c>
    </row>
    <row r="82" spans="1:16">
      <c r="A82" s="19">
        <f>IF($P82="","",74)</f>
        <v>74</v>
      </c>
      <c r="B82" s="18" t="str">
        <f>IF($P82="","",IFERROR(IF(INDEX(MASTER!$C$4:$C$1463,$P82)="","",INDEX(MASTER!$C$4:$C$1463,$P82)),""))</f>
        <v>PootPootz</v>
      </c>
      <c r="C82" s="19" t="str">
        <f>IF($P82="","",IFERROR(IF(INDEX(MASTER!$D$4:$D$1463,$P82)="","",INDEX(MASTER!$D$4:$D$1463,$P82)),""))</f>
        <v/>
      </c>
      <c r="D82" s="19" t="str">
        <f>IF($P82="","",IFERROR(IF(INDEX(MASTER!$E$4:$E$1463,$P82)="","",INDEX(MASTER!$E$4:$E$1463,$P82)),""))</f>
        <v>BLOOD KNIGHT</v>
      </c>
      <c r="E82" s="19" t="str">
        <f>IF($P82="","",IFERROR(IF(INDEX(MASTER!$F$4:$F$1463,$P82)="","",INDEX(MASTER!$F$4:$F$1463,$P82)),""))</f>
        <v>Frontline</v>
      </c>
      <c r="F82" s="20">
        <f>IF($P82="","",IFERROR(IF(INDEX(MASTER!$G$4:$G$1463,$P82)="","",INDEX(MASTER!$G$4:$G$1463,$P82)),""))</f>
        <v>62875</v>
      </c>
      <c r="G82" s="19" t="str">
        <f>IF($P82="","",IFERROR(IF(INDEX(MASTER!$H$4:$H$1463,$P82)="","",INDEX(MASTER!$H$4:$H$1463,$P82)),""))</f>
        <v>62,000 - 62,999</v>
      </c>
      <c r="H82" s="20">
        <f>IF($P82="","",IFERROR(IF(INDEX(MASTER!$I$4:$I$1463,$P82)="","",INDEX(MASTER!$I$4:$I$1463,$P82)),""))</f>
        <v>6730</v>
      </c>
      <c r="I82" s="19" t="str">
        <f>IF($P82="","",IFERROR(IF(INDEX(MASTER!$J$4:$J$1463,$P82)="","",INDEX(MASTER!$J$4:$J$1463,$P82)),""))</f>
        <v>VETERAN</v>
      </c>
      <c r="J82" s="21">
        <f>IF($P82="","",IFERROR(IF(INDEX(MASTER!$L$4:$L$1463,$P82)="","",INDEX(MASTER!$L$4:$L$1463,$P82)),""))</f>
        <v>6.04</v>
      </c>
      <c r="K82" s="21">
        <f>IF($P82="","",IFERROR(IF(INDEX(MASTER!$N$4:$N$1463,$P82)="","",INDEX(MASTER!$N$4:$N$1463,$P82)),""))</f>
        <v>60.2</v>
      </c>
      <c r="L82" s="19" t="str">
        <f>IF($P82="","",IFERROR(IF(INDEX(MASTER!$O$4:$O$1463,$P82)="","",INDEX(MASTER!$O$4:$O$1463,$P82)),""))</f>
        <v>A</v>
      </c>
      <c r="M82" s="19">
        <f>IF($P82="","",IFERROR(IF(INDEX(MASTER!$Q$4:$Q$1463,$P82)="","",INDEX(MASTER!$Q$4:$Q$1463,$P82)),""))</f>
        <v>25</v>
      </c>
      <c r="N82" s="19" t="str">
        <f>IF($P82="","",IFERROR(IF(INDEX(MASTER!$S$4:$S$1463,$P82)="","",INDEX(MASTER!$S$4:$S$1463,$P82)),""))</f>
        <v>Complete</v>
      </c>
      <c r="P82">
        <f>IFERROR(MATCH($Q$1&amp;"@74",MASTER!$AC$4:$AC$1463,0),"")</f>
        <v>901</v>
      </c>
    </row>
    <row r="83" spans="1:16">
      <c r="A83" s="15">
        <f>IF($P83="","",75)</f>
        <v>75</v>
      </c>
      <c r="B83" s="14" t="str">
        <f>IF($P83="","",IFERROR(IF(INDEX(MASTER!$C$4:$C$1463,$P83)="","",INDEX(MASTER!$C$4:$C$1463,$P83)),""))</f>
        <v>ReaperO1</v>
      </c>
      <c r="C83" s="15" t="str">
        <f>IF($P83="","",IFERROR(IF(INDEX(MASTER!$D$4:$D$1463,$P83)="","",INDEX(MASTER!$D$4:$D$1463,$P83)),""))</f>
        <v/>
      </c>
      <c r="D83" s="15" t="str">
        <f>IF($P83="","",IFERROR(IF(INDEX(MASTER!$E$4:$E$1463,$P83)="","",INDEX(MASTER!$E$4:$E$1463,$P83)),""))</f>
        <v>WARLOCK</v>
      </c>
      <c r="E83" s="15" t="str">
        <f>IF($P83="","",IFERROR(IF(INDEX(MASTER!$F$4:$F$1463,$P83)="","",INDEX(MASTER!$F$4:$F$1463,$P83)),""))</f>
        <v>Control</v>
      </c>
      <c r="F83" s="16">
        <f>IF($P83="","",IFERROR(IF(INDEX(MASTER!$G$4:$G$1463,$P83)="","",INDEX(MASTER!$G$4:$G$1463,$P83)),""))</f>
        <v>63080</v>
      </c>
      <c r="G83" s="15" t="str">
        <f>IF($P83="","",IFERROR(IF(INDEX(MASTER!$H$4:$H$1463,$P83)="","",INDEX(MASTER!$H$4:$H$1463,$P83)),""))</f>
        <v>63,000 - 63,999</v>
      </c>
      <c r="H83" s="16">
        <f>IF($P83="","",IFERROR(IF(INDEX(MASTER!$I$4:$I$1463,$P83)="","",INDEX(MASTER!$I$4:$I$1463,$P83)),""))</f>
        <v>3220</v>
      </c>
      <c r="I83" s="15" t="str">
        <f>IF($P83="","",IFERROR(IF(INDEX(MASTER!$J$4:$J$1463,$P83)="","",INDEX(MASTER!$J$4:$J$1463,$P83)),""))</f>
        <v>DEVELOPING</v>
      </c>
      <c r="J83" s="17">
        <f>IF($P83="","",IFERROR(IF(INDEX(MASTER!$L$4:$L$1463,$P83)="","",INDEX(MASTER!$L$4:$L$1463,$P83)),""))</f>
        <v>4.04</v>
      </c>
      <c r="K83" s="17">
        <f>IF($P83="","",IFERROR(IF(INDEX(MASTER!$N$4:$N$1463,$P83)="","",INDEX(MASTER!$N$4:$N$1463,$P83)),""))</f>
        <v>42.1</v>
      </c>
      <c r="L83" s="15" t="str">
        <f>IF($P83="","",IFERROR(IF(INDEX(MASTER!$O$4:$O$1463,$P83)="","",INDEX(MASTER!$O$4:$O$1463,$P83)),""))</f>
        <v>B</v>
      </c>
      <c r="M83" s="15">
        <f>IF($P83="","",IFERROR(IF(INDEX(MASTER!$Q$4:$Q$1463,$P83)="","",INDEX(MASTER!$Q$4:$Q$1463,$P83)),""))</f>
        <v>91</v>
      </c>
      <c r="N83" s="15" t="str">
        <f>IF($P83="","",IFERROR(IF(INDEX(MASTER!$S$4:$S$1463,$P83)="","",INDEX(MASTER!$S$4:$S$1463,$P83)),""))</f>
        <v>Complete</v>
      </c>
      <c r="P83">
        <f>IFERROR(MATCH($Q$1&amp;"@75",MASTER!$AC$4:$AC$1463,0),"")</f>
        <v>937</v>
      </c>
    </row>
    <row r="84" spans="1:16">
      <c r="A84" s="19">
        <f>IF($P84="","",76)</f>
        <v>76</v>
      </c>
      <c r="B84" s="18" t="str">
        <f>IF($P84="","",IFERROR(IF(INDEX(MASTER!$C$4:$C$1463,$P84)="","",INDEX(MASTER!$C$4:$C$1463,$P84)),""))</f>
        <v>ROSHI</v>
      </c>
      <c r="C84" s="19" t="str">
        <f>IF($P84="","",IFERROR(IF(INDEX(MASTER!$D$4:$D$1463,$P84)="","",INDEX(MASTER!$D$4:$D$1463,$P84)),""))</f>
        <v>DBZ</v>
      </c>
      <c r="D84" s="19" t="str">
        <f>IF($P84="","",IFERROR(IF(INDEX(MASTER!$E$4:$E$1463,$P84)="","",INDEX(MASTER!$E$4:$E$1463,$P84)),""))</f>
        <v>WARLOCK</v>
      </c>
      <c r="E84" s="19" t="str">
        <f>IF($P84="","",IFERROR(IF(INDEX(MASTER!$F$4:$F$1463,$P84)="","",INDEX(MASTER!$F$4:$F$1463,$P84)),""))</f>
        <v>Control</v>
      </c>
      <c r="F84" s="20">
        <f>IF($P84="","",IFERROR(IF(INDEX(MASTER!$G$4:$G$1463,$P84)="","",INDEX(MASTER!$G$4:$G$1463,$P84)),""))</f>
        <v>64029</v>
      </c>
      <c r="G84" s="19" t="str">
        <f>IF($P84="","",IFERROR(IF(INDEX(MASTER!$H$4:$H$1463,$P84)="","",INDEX(MASTER!$H$4:$H$1463,$P84)),""))</f>
        <v>64,000 +</v>
      </c>
      <c r="H84" s="20">
        <f>IF($P84="","",IFERROR(IF(INDEX(MASTER!$I$4:$I$1463,$P84)="","",INDEX(MASTER!$I$4:$I$1463,$P84)),""))</f>
        <v>10652</v>
      </c>
      <c r="I84" s="19" t="str">
        <f>IF($P84="","",IFERROR(IF(INDEX(MASTER!$J$4:$J$1463,$P84)="","",INDEX(MASTER!$J$4:$J$1463,$P84)),""))</f>
        <v>APEX</v>
      </c>
      <c r="J84" s="21">
        <f>IF($P84="","",IFERROR(IF(INDEX(MASTER!$L$4:$L$1463,$P84)="","",INDEX(MASTER!$L$4:$L$1463,$P84)),""))</f>
        <v>7.47</v>
      </c>
      <c r="K84" s="21">
        <f>IF($P84="","",IFERROR(IF(INDEX(MASTER!$N$4:$N$1463,$P84)="","",INDEX(MASTER!$N$4:$N$1463,$P84)),""))</f>
        <v>82.7</v>
      </c>
      <c r="L84" s="19" t="str">
        <f>IF($P84="","",IFERROR(IF(INDEX(MASTER!$O$4:$O$1463,$P84)="","",INDEX(MASTER!$O$4:$O$1463,$P84)),""))</f>
        <v>S+</v>
      </c>
      <c r="M84" s="19">
        <f>IF($P84="","",IFERROR(IF(INDEX(MASTER!$Q$4:$Q$1463,$P84)="","",INDEX(MASTER!$Q$4:$Q$1463,$P84)),""))</f>
        <v>3</v>
      </c>
      <c r="N84" s="19" t="str">
        <f>IF($P84="","",IFERROR(IF(INDEX(MASTER!$S$4:$S$1463,$P84)="","",INDEX(MASTER!$S$4:$S$1463,$P84)),""))</f>
        <v>Complete</v>
      </c>
      <c r="P84">
        <f>IFERROR(MATCH($Q$1&amp;"@76",MASTER!$AC$4:$AC$1463,0),"")</f>
        <v>963</v>
      </c>
    </row>
    <row r="85" spans="1:16">
      <c r="A85" s="15">
        <f>IF($P85="","",77)</f>
        <v>77</v>
      </c>
      <c r="B85" s="14" t="str">
        <f>IF($P85="","",IFERROR(IF(INDEX(MASTER!$C$4:$C$1463,$P85)="","",INDEX(MASTER!$C$4:$C$1463,$P85)),""))</f>
        <v>RR (chin Symbol)</v>
      </c>
      <c r="C85" s="15" t="str">
        <f>IF($P85="","",IFERROR(IF(INDEX(MASTER!$D$4:$D$1463,$P85)="","",INDEX(MASTER!$D$4:$D$1463,$P85)),""))</f>
        <v/>
      </c>
      <c r="D85" s="15" t="str">
        <f>IF($P85="","",IFERROR(IF(INDEX(MASTER!$E$4:$E$1463,$P85)="","",INDEX(MASTER!$E$4:$E$1463,$P85)),""))</f>
        <v/>
      </c>
      <c r="E85" s="15" t="str">
        <f>IF($P85="","",IFERROR(IF(INDEX(MASTER!$F$4:$F$1463,$P85)="","",INDEX(MASTER!$F$4:$F$1463,$P85)),""))</f>
        <v>-</v>
      </c>
      <c r="F85" s="16" t="str">
        <f>IF($P85="","",IFERROR(IF(INDEX(MASTER!$G$4:$G$1463,$P85)="","",INDEX(MASTER!$G$4:$G$1463,$P85)),""))</f>
        <v/>
      </c>
      <c r="G85" s="15" t="str">
        <f>IF($P85="","",IFERROR(IF(INDEX(MASTER!$H$4:$H$1463,$P85)="","",INDEX(MASTER!$H$4:$H$1463,$P85)),""))</f>
        <v>-</v>
      </c>
      <c r="H85" s="16" t="str">
        <f>IF($P85="","",IFERROR(IF(INDEX(MASTER!$I$4:$I$1463,$P85)="","",INDEX(MASTER!$I$4:$I$1463,$P85)),""))</f>
        <v/>
      </c>
      <c r="I85" s="15" t="str">
        <f>IF($P85="","",IFERROR(IF(INDEX(MASTER!$J$4:$J$1463,$P85)="","",INDEX(MASTER!$J$4:$J$1463,$P85)),""))</f>
        <v>-</v>
      </c>
      <c r="J85" s="17" t="str">
        <f>IF($P85="","",IFERROR(IF(INDEX(MASTER!$L$4:$L$1463,$P85)="","",INDEX(MASTER!$L$4:$L$1463,$P85)),""))</f>
        <v/>
      </c>
      <c r="K85" s="17" t="str">
        <f>IF($P85="","",IFERROR(IF(INDEX(MASTER!$N$4:$N$1463,$P85)="","",INDEX(MASTER!$N$4:$N$1463,$P85)),""))</f>
        <v/>
      </c>
      <c r="L85" s="15" t="str">
        <f>IF($P85="","",IFERROR(IF(INDEX(MASTER!$O$4:$O$1463,$P85)="","",INDEX(MASTER!$O$4:$O$1463,$P85)),""))</f>
        <v>-</v>
      </c>
      <c r="M85" s="15">
        <f>IF($P85="","",IFERROR(IF(INDEX(MASTER!$Q$4:$Q$1463,$P85)="","",INDEX(MASTER!$Q$4:$Q$1463,$P85)),""))</f>
        <v>100</v>
      </c>
      <c r="N85" s="15" t="str">
        <f>IF($P85="","",IFERROR(IF(INDEX(MASTER!$S$4:$S$1463,$P85)="","",INDEX(MASTER!$S$4:$S$1463,$P85)),""))</f>
        <v>Name only</v>
      </c>
      <c r="P85">
        <f>IFERROR(MATCH($Q$1&amp;"@77",MASTER!$AC$4:$AC$1463,0),"")</f>
        <v>969</v>
      </c>
    </row>
    <row r="86" spans="1:16">
      <c r="A86" s="19">
        <f>IF($P86="","",78)</f>
        <v>78</v>
      </c>
      <c r="B86" s="18" t="str">
        <f>IF($P86="","",IFERROR(IF(INDEX(MASTER!$C$4:$C$1463,$P86)="","",INDEX(MASTER!$C$4:$C$1463,$P86)),""))</f>
        <v>Rudenko</v>
      </c>
      <c r="C86" s="19" t="str">
        <f>IF($P86="","",IFERROR(IF(INDEX(MASTER!$D$4:$D$1463,$P86)="","",INDEX(MASTER!$D$4:$D$1463,$P86)),""))</f>
        <v>TK0</v>
      </c>
      <c r="D86" s="19" t="str">
        <f>IF($P86="","",IFERROR(IF(INDEX(MASTER!$E$4:$E$1463,$P86)="","",INDEX(MASTER!$E$4:$E$1463,$P86)),""))</f>
        <v>CRUSADER</v>
      </c>
      <c r="E86" s="19" t="str">
        <f>IF($P86="","",IFERROR(IF(INDEX(MASTER!$F$4:$F$1463,$P86)="","",INDEX(MASTER!$F$4:$F$1463,$P86)),""))</f>
        <v>Frontline</v>
      </c>
      <c r="F86" s="20">
        <f>IF($P86="","",IFERROR(IF(INDEX(MASTER!$G$4:$G$1463,$P86)="","",INDEX(MASTER!$G$4:$G$1463,$P86)),""))</f>
        <v>60426</v>
      </c>
      <c r="G86" s="19" t="str">
        <f>IF($P86="","",IFERROR(IF(INDEX(MASTER!$H$4:$H$1463,$P86)="","",INDEX(MASTER!$H$4:$H$1463,$P86)),""))</f>
        <v>60,000 - 60,999</v>
      </c>
      <c r="H86" s="20">
        <f>IF($P86="","",IFERROR(IF(INDEX(MASTER!$I$4:$I$1463,$P86)="","",INDEX(MASTER!$I$4:$I$1463,$P86)),""))</f>
        <v>4237</v>
      </c>
      <c r="I86" s="19" t="str">
        <f>IF($P86="","",IFERROR(IF(INDEX(MASTER!$J$4:$J$1463,$P86)="","",INDEX(MASTER!$J$4:$J$1463,$P86)),""))</f>
        <v>CORE</v>
      </c>
      <c r="J86" s="21">
        <f>IF($P86="","",IFERROR(IF(INDEX(MASTER!$L$4:$L$1463,$P86)="","",INDEX(MASTER!$L$4:$L$1463,$P86)),""))</f>
        <v>4.33</v>
      </c>
      <c r="K86" s="21">
        <f>IF($P86="","",IFERROR(IF(INDEX(MASTER!$N$4:$N$1463,$P86)="","",INDEX(MASTER!$N$4:$N$1463,$P86)),""))</f>
        <v>40</v>
      </c>
      <c r="L86" s="19" t="str">
        <f>IF($P86="","",IFERROR(IF(INDEX(MASTER!$O$4:$O$1463,$P86)="","",INDEX(MASTER!$O$4:$O$1463,$P86)),""))</f>
        <v>B</v>
      </c>
      <c r="M86" s="19">
        <f>IF($P86="","",IFERROR(IF(INDEX(MASTER!$Q$4:$Q$1463,$P86)="","",INDEX(MASTER!$Q$4:$Q$1463,$P86)),""))</f>
        <v>70</v>
      </c>
      <c r="N86" s="19" t="str">
        <f>IF($P86="","",IFERROR(IF(INDEX(MASTER!$S$4:$S$1463,$P86)="","",INDEX(MASTER!$S$4:$S$1463,$P86)),""))</f>
        <v>Complete</v>
      </c>
      <c r="P86">
        <f>IFERROR(MATCH($Q$1&amp;"@78",MASTER!$AC$4:$AC$1463,0),"")</f>
        <v>970</v>
      </c>
    </row>
    <row r="87" spans="1:16">
      <c r="A87" s="15">
        <f>IF($P87="","",79)</f>
        <v>79</v>
      </c>
      <c r="B87" s="14" t="str">
        <f>IF($P87="","",IFERROR(IF(INDEX(MASTER!$C$4:$C$1463,$P87)="","",INDEX(MASTER!$C$4:$C$1463,$P87)),""))</f>
        <v>ShaRooz</v>
      </c>
      <c r="C87" s="15" t="str">
        <f>IF($P87="","",IFERROR(IF(INDEX(MASTER!$D$4:$D$1463,$P87)="","",INDEX(MASTER!$D$4:$D$1463,$P87)),""))</f>
        <v/>
      </c>
      <c r="D87" s="15" t="str">
        <f>IF($P87="","",IFERROR(IF(INDEX(MASTER!$E$4:$E$1463,$P87)="","",INDEX(MASTER!$E$4:$E$1463,$P87)),""))</f>
        <v>BARBARIAN</v>
      </c>
      <c r="E87" s="15" t="str">
        <f>IF($P87="","",IFERROR(IF(INDEX(MASTER!$F$4:$F$1463,$P87)="","",INDEX(MASTER!$F$4:$F$1463,$P87)),""))</f>
        <v>Frontline</v>
      </c>
      <c r="F87" s="16">
        <f>IF($P87="","",IFERROR(IF(INDEX(MASTER!$G$4:$G$1463,$P87)="","",INDEX(MASTER!$G$4:$G$1463,$P87)),""))</f>
        <v>63303</v>
      </c>
      <c r="G87" s="15" t="str">
        <f>IF($P87="","",IFERROR(IF(INDEX(MASTER!$H$4:$H$1463,$P87)="","",INDEX(MASTER!$H$4:$H$1463,$P87)),""))</f>
        <v>63,000 - 63,999</v>
      </c>
      <c r="H87" s="16">
        <f>IF($P87="","",IFERROR(IF(INDEX(MASTER!$I$4:$I$1463,$P87)="","",INDEX(MASTER!$I$4:$I$1463,$P87)),""))</f>
        <v>5304</v>
      </c>
      <c r="I87" s="15" t="str">
        <f>IF($P87="","",IFERROR(IF(INDEX(MASTER!$J$4:$J$1463,$P87)="","",INDEX(MASTER!$J$4:$J$1463,$P87)),""))</f>
        <v>CORE</v>
      </c>
      <c r="J87" s="17">
        <f>IF($P87="","",IFERROR(IF(INDEX(MASTER!$L$4:$L$1463,$P87)="","",INDEX(MASTER!$L$4:$L$1463,$P87)),""))</f>
        <v>4.5</v>
      </c>
      <c r="K87" s="17">
        <f>IF($P87="","",IFERROR(IF(INDEX(MASTER!$N$4:$N$1463,$P87)="","",INDEX(MASTER!$N$4:$N$1463,$P87)),""))</f>
        <v>52.5</v>
      </c>
      <c r="L87" s="15" t="str">
        <f>IF($P87="","",IFERROR(IF(INDEX(MASTER!$O$4:$O$1463,$P87)="","",INDEX(MASTER!$O$4:$O$1463,$P87)),""))</f>
        <v>A</v>
      </c>
      <c r="M87" s="15">
        <f>IF($P87="","",IFERROR(IF(INDEX(MASTER!$Q$4:$Q$1463,$P87)="","",INDEX(MASTER!$Q$4:$Q$1463,$P87)),""))</f>
        <v>45</v>
      </c>
      <c r="N87" s="15" t="str">
        <f>IF($P87="","",IFERROR(IF(INDEX(MASTER!$S$4:$S$1463,$P87)="","",INDEX(MASTER!$S$4:$S$1463,$P87)),""))</f>
        <v>Complete</v>
      </c>
      <c r="P87">
        <f>IFERROR(MATCH($Q$1&amp;"@79",MASTER!$AC$4:$AC$1463,0),"")</f>
        <v>1006</v>
      </c>
    </row>
    <row r="88" spans="1:16">
      <c r="A88" s="19">
        <f>IF($P88="","",80)</f>
        <v>80</v>
      </c>
      <c r="B88" s="18" t="str">
        <f>IF($P88="","",IFERROR(IF(INDEX(MASTER!$C$4:$C$1463,$P88)="","",INDEX(MASTER!$C$4:$C$1463,$P88)),""))</f>
        <v>SilentWolf</v>
      </c>
      <c r="C88" s="19" t="str">
        <f>IF($P88="","",IFERROR(IF(INDEX(MASTER!$D$4:$D$1463,$P88)="","",INDEX(MASTER!$D$4:$D$1463,$P88)),""))</f>
        <v>TK0</v>
      </c>
      <c r="D88" s="19" t="str">
        <f>IF($P88="","",IFERROR(IF(INDEX(MASTER!$E$4:$E$1463,$P88)="","",INDEX(MASTER!$E$4:$E$1463,$P88)),""))</f>
        <v>BARBARIAN</v>
      </c>
      <c r="E88" s="19" t="str">
        <f>IF($P88="","",IFERROR(IF(INDEX(MASTER!$F$4:$F$1463,$P88)="","",INDEX(MASTER!$F$4:$F$1463,$P88)),""))</f>
        <v>Frontline</v>
      </c>
      <c r="F88" s="20">
        <f>IF($P88="","",IFERROR(IF(INDEX(MASTER!$G$4:$G$1463,$P88)="","",INDEX(MASTER!$G$4:$G$1463,$P88)),""))</f>
        <v>63224</v>
      </c>
      <c r="G88" s="19" t="str">
        <f>IF($P88="","",IFERROR(IF(INDEX(MASTER!$H$4:$H$1463,$P88)="","",INDEX(MASTER!$H$4:$H$1463,$P88)),""))</f>
        <v>63,000 - 63,999</v>
      </c>
      <c r="H88" s="20">
        <f>IF($P88="","",IFERROR(IF(INDEX(MASTER!$I$4:$I$1463,$P88)="","",INDEX(MASTER!$I$4:$I$1463,$P88)),""))</f>
        <v>3803</v>
      </c>
      <c r="I88" s="19" t="str">
        <f>IF($P88="","",IFERROR(IF(INDEX(MASTER!$J$4:$J$1463,$P88)="","",INDEX(MASTER!$J$4:$J$1463,$P88)),""))</f>
        <v>DEVELOPING</v>
      </c>
      <c r="J88" s="21">
        <f>IF($P88="","",IFERROR(IF(INDEX(MASTER!$L$4:$L$1463,$P88)="","",INDEX(MASTER!$L$4:$L$1463,$P88)),""))</f>
        <v>4.58</v>
      </c>
      <c r="K88" s="21">
        <f>IF($P88="","",IFERROR(IF(INDEX(MASTER!$N$4:$N$1463,$P88)="","",INDEX(MASTER!$N$4:$N$1463,$P88)),""))</f>
        <v>45.9</v>
      </c>
      <c r="L88" s="19" t="str">
        <f>IF($P88="","",IFERROR(IF(INDEX(MASTER!$O$4:$O$1463,$P88)="","",INDEX(MASTER!$O$4:$O$1463,$P88)),""))</f>
        <v>B</v>
      </c>
      <c r="M88" s="19">
        <f>IF($P88="","",IFERROR(IF(INDEX(MASTER!$Q$4:$Q$1463,$P88)="","",INDEX(MASTER!$Q$4:$Q$1463,$P88)),""))</f>
        <v>77</v>
      </c>
      <c r="N88" s="19" t="str">
        <f>IF($P88="","",IFERROR(IF(INDEX(MASTER!$S$4:$S$1463,$P88)="","",INDEX(MASTER!$S$4:$S$1463,$P88)),""))</f>
        <v>Complete</v>
      </c>
      <c r="P88">
        <f>IFERROR(MATCH($Q$1&amp;"@80",MASTER!$AC$4:$AC$1463,0),"")</f>
        <v>1021</v>
      </c>
    </row>
    <row r="89" spans="1:16">
      <c r="A89" s="15">
        <f>IF($P89="","",81)</f>
        <v>81</v>
      </c>
      <c r="B89" s="14" t="str">
        <f>IF($P89="","",IFERROR(IF(INDEX(MASTER!$C$4:$C$1463,$P89)="","",INDEX(MASTER!$C$4:$C$1463,$P89)),""))</f>
        <v>Silhey</v>
      </c>
      <c r="C89" s="15" t="str">
        <f>IF($P89="","",IFERROR(IF(INDEX(MASTER!$D$4:$D$1463,$P89)="","",INDEX(MASTER!$D$4:$D$1463,$P89)),""))</f>
        <v>TK0</v>
      </c>
      <c r="D89" s="15" t="str">
        <f>IF($P89="","",IFERROR(IF(INDEX(MASTER!$E$4:$E$1463,$P89)="","",INDEX(MASTER!$E$4:$E$1463,$P89)),""))</f>
        <v>WARLOCK</v>
      </c>
      <c r="E89" s="15" t="str">
        <f>IF($P89="","",IFERROR(IF(INDEX(MASTER!$F$4:$F$1463,$P89)="","",INDEX(MASTER!$F$4:$F$1463,$P89)),""))</f>
        <v>Control</v>
      </c>
      <c r="F89" s="16">
        <f>IF($P89="","",IFERROR(IF(INDEX(MASTER!$G$4:$G$1463,$P89)="","",INDEX(MASTER!$G$4:$G$1463,$P89)),""))</f>
        <v>62391</v>
      </c>
      <c r="G89" s="15" t="str">
        <f>IF($P89="","",IFERROR(IF(INDEX(MASTER!$H$4:$H$1463,$P89)="","",INDEX(MASTER!$H$4:$H$1463,$P89)),""))</f>
        <v>62,000 - 62,999</v>
      </c>
      <c r="H89" s="16">
        <f>IF($P89="","",IFERROR(IF(INDEX(MASTER!$I$4:$I$1463,$P89)="","",INDEX(MASTER!$I$4:$I$1463,$P89)),""))</f>
        <v>5457</v>
      </c>
      <c r="I89" s="15" t="str">
        <f>IF($P89="","",IFERROR(IF(INDEX(MASTER!$J$4:$J$1463,$P89)="","",INDEX(MASTER!$J$4:$J$1463,$P89)),""))</f>
        <v>CORE</v>
      </c>
      <c r="J89" s="17">
        <f>IF($P89="","",IFERROR(IF(INDEX(MASTER!$L$4:$L$1463,$P89)="","",INDEX(MASTER!$L$4:$L$1463,$P89)),""))</f>
        <v>5.78</v>
      </c>
      <c r="K89" s="17">
        <f>IF($P89="","",IFERROR(IF(INDEX(MASTER!$N$4:$N$1463,$P89)="","",INDEX(MASTER!$N$4:$N$1463,$P89)),""))</f>
        <v>52.9</v>
      </c>
      <c r="L89" s="15" t="str">
        <f>IF($P89="","",IFERROR(IF(INDEX(MASTER!$O$4:$O$1463,$P89)="","",INDEX(MASTER!$O$4:$O$1463,$P89)),""))</f>
        <v>A</v>
      </c>
      <c r="M89" s="15">
        <f>IF($P89="","",IFERROR(IF(INDEX(MASTER!$Q$4:$Q$1463,$P89)="","",INDEX(MASTER!$Q$4:$Q$1463,$P89)),""))</f>
        <v>39</v>
      </c>
      <c r="N89" s="15" t="str">
        <f>IF($P89="","",IFERROR(IF(INDEX(MASTER!$S$4:$S$1463,$P89)="","",INDEX(MASTER!$S$4:$S$1463,$P89)),""))</f>
        <v>Complete</v>
      </c>
      <c r="P89">
        <f>IFERROR(MATCH($Q$1&amp;"@81",MASTER!$AC$4:$AC$1463,0),"")</f>
        <v>1022</v>
      </c>
    </row>
    <row r="90" spans="1:16">
      <c r="A90" s="19">
        <f>IF($P90="","",82)</f>
        <v>82</v>
      </c>
      <c r="B90" s="18" t="str">
        <f>IF($P90="","",IFERROR(IF(INDEX(MASTER!$C$4:$C$1463,$P90)="","",INDEX(MASTER!$C$4:$C$1463,$P90)),""))</f>
        <v>SKYFURRY</v>
      </c>
      <c r="C90" s="19" t="str">
        <f>IF($P90="","",IFERROR(IF(INDEX(MASTER!$D$4:$D$1463,$P90)="","",INDEX(MASTER!$D$4:$D$1463,$P90)),""))</f>
        <v/>
      </c>
      <c r="D90" s="19" t="str">
        <f>IF($P90="","",IFERROR(IF(INDEX(MASTER!$E$4:$E$1463,$P90)="","",INDEX(MASTER!$E$4:$E$1463,$P90)),""))</f>
        <v>CRUSADER</v>
      </c>
      <c r="E90" s="19" t="str">
        <f>IF($P90="","",IFERROR(IF(INDEX(MASTER!$F$4:$F$1463,$P90)="","",INDEX(MASTER!$F$4:$F$1463,$P90)),""))</f>
        <v>Frontline</v>
      </c>
      <c r="F90" s="20">
        <f>IF($P90="","",IFERROR(IF(INDEX(MASTER!$G$4:$G$1463,$P90)="","",INDEX(MASTER!$G$4:$G$1463,$P90)),""))</f>
        <v>61943</v>
      </c>
      <c r="G90" s="19" t="str">
        <f>IF($P90="","",IFERROR(IF(INDEX(MASTER!$H$4:$H$1463,$P90)="","",INDEX(MASTER!$H$4:$H$1463,$P90)),""))</f>
        <v>61,000 - 61,999</v>
      </c>
      <c r="H90" s="20">
        <f>IF($P90="","",IFERROR(IF(INDEX(MASTER!$I$4:$I$1463,$P90)="","",INDEX(MASTER!$I$4:$I$1463,$P90)),""))</f>
        <v>4408</v>
      </c>
      <c r="I90" s="19" t="str">
        <f>IF($P90="","",IFERROR(IF(INDEX(MASTER!$J$4:$J$1463,$P90)="","",INDEX(MASTER!$J$4:$J$1463,$P90)),""))</f>
        <v>CORE</v>
      </c>
      <c r="J90" s="21">
        <f>IF($P90="","",IFERROR(IF(INDEX(MASTER!$L$4:$L$1463,$P90)="","",INDEX(MASTER!$L$4:$L$1463,$P90)),""))</f>
        <v>5.75</v>
      </c>
      <c r="K90" s="21">
        <f>IF($P90="","",IFERROR(IF(INDEX(MASTER!$N$4:$N$1463,$P90)="","",INDEX(MASTER!$N$4:$N$1463,$P90)),""))</f>
        <v>47.1</v>
      </c>
      <c r="L90" s="19" t="str">
        <f>IF($P90="","",IFERROR(IF(INDEX(MASTER!$O$4:$O$1463,$P90)="","",INDEX(MASTER!$O$4:$O$1463,$P90)),""))</f>
        <v>B</v>
      </c>
      <c r="M90" s="19">
        <f>IF($P90="","",IFERROR(IF(INDEX(MASTER!$Q$4:$Q$1463,$P90)="","",INDEX(MASTER!$Q$4:$Q$1463,$P90)),""))</f>
        <v>66</v>
      </c>
      <c r="N90" s="19" t="str">
        <f>IF($P90="","",IFERROR(IF(INDEX(MASTER!$S$4:$S$1463,$P90)="","",INDEX(MASTER!$S$4:$S$1463,$P90)),""))</f>
        <v>Complete</v>
      </c>
      <c r="P90">
        <f>IFERROR(MATCH($Q$1&amp;"@82",MASTER!$AC$4:$AC$1463,0),"")</f>
        <v>1035</v>
      </c>
    </row>
    <row r="91" spans="1:16">
      <c r="A91" s="15">
        <f>IF($P91="","",83)</f>
        <v>83</v>
      </c>
      <c r="B91" s="14" t="str">
        <f>IF($P91="","",IFERROR(IF(INDEX(MASTER!$C$4:$C$1463,$P91)="","",INDEX(MASTER!$C$4:$C$1463,$P91)),""))</f>
        <v>SQUID</v>
      </c>
      <c r="C91" s="15" t="str">
        <f>IF($P91="","",IFERROR(IF(INDEX(MASTER!$D$4:$D$1463,$P91)="","",INDEX(MASTER!$D$4:$D$1463,$P91)),""))</f>
        <v/>
      </c>
      <c r="D91" s="15" t="str">
        <f>IF($P91="","",IFERROR(IF(INDEX(MASTER!$E$4:$E$1463,$P91)="","",INDEX(MASTER!$E$4:$E$1463,$P91)),""))</f>
        <v>WARLOCK</v>
      </c>
      <c r="E91" s="15" t="str">
        <f>IF($P91="","",IFERROR(IF(INDEX(MASTER!$F$4:$F$1463,$P91)="","",INDEX(MASTER!$F$4:$F$1463,$P91)),""))</f>
        <v>Control</v>
      </c>
      <c r="F91" s="16">
        <f>IF($P91="","",IFERROR(IF(INDEX(MASTER!$G$4:$G$1463,$P91)="","",INDEX(MASTER!$G$4:$G$1463,$P91)),""))</f>
        <v>61436</v>
      </c>
      <c r="G91" s="15" t="str">
        <f>IF($P91="","",IFERROR(IF(INDEX(MASTER!$H$4:$H$1463,$P91)="","",INDEX(MASTER!$H$4:$H$1463,$P91)),""))</f>
        <v>61,000 - 61,999</v>
      </c>
      <c r="H91" s="16">
        <f>IF($P91="","",IFERROR(IF(INDEX(MASTER!$I$4:$I$1463,$P91)="","",INDEX(MASTER!$I$4:$I$1463,$P91)),""))</f>
        <v>3750</v>
      </c>
      <c r="I91" s="15" t="str">
        <f>IF($P91="","",IFERROR(IF(INDEX(MASTER!$J$4:$J$1463,$P91)="","",INDEX(MASTER!$J$4:$J$1463,$P91)),""))</f>
        <v>DEVELOPING</v>
      </c>
      <c r="J91" s="17">
        <f>IF($P91="","",IFERROR(IF(INDEX(MASTER!$L$4:$L$1463,$P91)="","",INDEX(MASTER!$L$4:$L$1463,$P91)),""))</f>
        <v>3.97</v>
      </c>
      <c r="K91" s="17">
        <f>IF($P91="","",IFERROR(IF(INDEX(MASTER!$N$4:$N$1463,$P91)="","",INDEX(MASTER!$N$4:$N$1463,$P91)),""))</f>
        <v>39.9</v>
      </c>
      <c r="L91" s="15" t="str">
        <f>IF($P91="","",IFERROR(IF(INDEX(MASTER!$O$4:$O$1463,$P91)="","",INDEX(MASTER!$O$4:$O$1463,$P91)),""))</f>
        <v>B</v>
      </c>
      <c r="M91" s="15">
        <f>IF($P91="","",IFERROR(IF(INDEX(MASTER!$Q$4:$Q$1463,$P91)="","",INDEX(MASTER!$Q$4:$Q$1463,$P91)),""))</f>
        <v>80</v>
      </c>
      <c r="N91" s="15" t="str">
        <f>IF($P91="","",IFERROR(IF(INDEX(MASTER!$S$4:$S$1463,$P91)="","",INDEX(MASTER!$S$4:$S$1463,$P91)),""))</f>
        <v>Complete</v>
      </c>
      <c r="P91">
        <f>IFERROR(MATCH($Q$1&amp;"@83",MASTER!$AC$4:$AC$1463,0),"")</f>
        <v>1067</v>
      </c>
    </row>
    <row r="92" spans="1:16">
      <c r="A92" s="19">
        <f>IF($P92="","",84)</f>
        <v>84</v>
      </c>
      <c r="B92" s="18" t="str">
        <f>IF($P92="","",IFERROR(IF(INDEX(MASTER!$C$4:$C$1463,$P92)="","",INDEX(MASTER!$C$4:$C$1463,$P92)),""))</f>
        <v>StepBr0</v>
      </c>
      <c r="C92" s="19" t="str">
        <f>IF($P92="","",IFERROR(IF(INDEX(MASTER!$D$4:$D$1463,$P92)="","",INDEX(MASTER!$D$4:$D$1463,$P92)),""))</f>
        <v/>
      </c>
      <c r="D92" s="19" t="str">
        <f>IF($P92="","",IFERROR(IF(INDEX(MASTER!$E$4:$E$1463,$P92)="","",INDEX(MASTER!$E$4:$E$1463,$P92)),""))</f>
        <v>MONK</v>
      </c>
      <c r="E92" s="19" t="str">
        <f>IF($P92="","",IFERROR(IF(INDEX(MASTER!$F$4:$F$1463,$P92)="","",INDEX(MASTER!$F$4:$F$1463,$P92)),""))</f>
        <v>Support</v>
      </c>
      <c r="F92" s="20">
        <f>IF($P92="","",IFERROR(IF(INDEX(MASTER!$G$4:$G$1463,$P92)="","",INDEX(MASTER!$G$4:$G$1463,$P92)),""))</f>
        <v>62807</v>
      </c>
      <c r="G92" s="19" t="str">
        <f>IF($P92="","",IFERROR(IF(INDEX(MASTER!$H$4:$H$1463,$P92)="","",INDEX(MASTER!$H$4:$H$1463,$P92)),""))</f>
        <v>62,000 - 62,999</v>
      </c>
      <c r="H92" s="20">
        <f>IF($P92="","",IFERROR(IF(INDEX(MASTER!$I$4:$I$1463,$P92)="","",INDEX(MASTER!$I$4:$I$1463,$P92)),""))</f>
        <v>4962</v>
      </c>
      <c r="I92" s="19" t="str">
        <f>IF($P92="","",IFERROR(IF(INDEX(MASTER!$J$4:$J$1463,$P92)="","",INDEX(MASTER!$J$4:$J$1463,$P92)),""))</f>
        <v>CORE</v>
      </c>
      <c r="J92" s="21">
        <f>IF($P92="","",IFERROR(IF(INDEX(MASTER!$L$4:$L$1463,$P92)="","",INDEX(MASTER!$L$4:$L$1463,$P92)),""))</f>
        <v>5.41</v>
      </c>
      <c r="K92" s="21">
        <f>IF($P92="","",IFERROR(IF(INDEX(MASTER!$N$4:$N$1463,$P92)="","",INDEX(MASTER!$N$4:$N$1463,$P92)),""))</f>
        <v>51.2</v>
      </c>
      <c r="L92" s="19" t="str">
        <f>IF($P92="","",IFERROR(IF(INDEX(MASTER!$O$4:$O$1463,$P92)="","",INDEX(MASTER!$O$4:$O$1463,$P92)),""))</f>
        <v>A</v>
      </c>
      <c r="M92" s="19">
        <f>IF($P92="","",IFERROR(IF(INDEX(MASTER!$Q$4:$Q$1463,$P92)="","",INDEX(MASTER!$Q$4:$Q$1463,$P92)),""))</f>
        <v>53</v>
      </c>
      <c r="N92" s="19" t="str">
        <f>IF($P92="","",IFERROR(IF(INDEX(MASTER!$S$4:$S$1463,$P92)="","",INDEX(MASTER!$S$4:$S$1463,$P92)),""))</f>
        <v>Complete</v>
      </c>
      <c r="P92">
        <f>IFERROR(MATCH($Q$1&amp;"@84",MASTER!$AC$4:$AC$1463,0),"")</f>
        <v>1075</v>
      </c>
    </row>
    <row r="93" spans="1:16">
      <c r="A93" s="15">
        <f>IF($P93="","",85)</f>
        <v>85</v>
      </c>
      <c r="B93" s="14" t="str">
        <f>IF($P93="","",IFERROR(IF(INDEX(MASTER!$C$4:$C$1463,$P93)="","",INDEX(MASTER!$C$4:$C$1463,$P93)),""))</f>
        <v>StickyRiceLover</v>
      </c>
      <c r="C93" s="15" t="str">
        <f>IF($P93="","",IFERROR(IF(INDEX(MASTER!$D$4:$D$1463,$P93)="","",INDEX(MASTER!$D$4:$D$1463,$P93)),""))</f>
        <v/>
      </c>
      <c r="D93" s="15" t="str">
        <f>IF($P93="","",IFERROR(IF(INDEX(MASTER!$E$4:$E$1463,$P93)="","",INDEX(MASTER!$E$4:$E$1463,$P93)),""))</f>
        <v>BLOOD KNIGHT</v>
      </c>
      <c r="E93" s="15" t="str">
        <f>IF($P93="","",IFERROR(IF(INDEX(MASTER!$F$4:$F$1463,$P93)="","",INDEX(MASTER!$F$4:$F$1463,$P93)),""))</f>
        <v>Frontline</v>
      </c>
      <c r="F93" s="16">
        <f>IF($P93="","",IFERROR(IF(INDEX(MASTER!$G$4:$G$1463,$P93)="","",INDEX(MASTER!$G$4:$G$1463,$P93)),""))</f>
        <v>63639</v>
      </c>
      <c r="G93" s="15" t="str">
        <f>IF($P93="","",IFERROR(IF(INDEX(MASTER!$H$4:$H$1463,$P93)="","",INDEX(MASTER!$H$4:$H$1463,$P93)),""))</f>
        <v>63,000 - 63,999</v>
      </c>
      <c r="H93" s="16">
        <f>IF($P93="","",IFERROR(IF(INDEX(MASTER!$I$4:$I$1463,$P93)="","",INDEX(MASTER!$I$4:$I$1463,$P93)),""))</f>
        <v>7629</v>
      </c>
      <c r="I93" s="15" t="str">
        <f>IF($P93="","",IFERROR(IF(INDEX(MASTER!$J$4:$J$1463,$P93)="","",INDEX(MASTER!$J$4:$J$1463,$P93)),""))</f>
        <v>VETERAN</v>
      </c>
      <c r="J93" s="17">
        <f>IF($P93="","",IFERROR(IF(INDEX(MASTER!$L$4:$L$1463,$P93)="","",INDEX(MASTER!$L$4:$L$1463,$P93)),""))</f>
        <v>5.74</v>
      </c>
      <c r="K93" s="17">
        <f>IF($P93="","",IFERROR(IF(INDEX(MASTER!$N$4:$N$1463,$P93)="","",INDEX(MASTER!$N$4:$N$1463,$P93)),""))</f>
        <v>65.599999999999994</v>
      </c>
      <c r="L93" s="15" t="str">
        <f>IF($P93="","",IFERROR(IF(INDEX(MASTER!$O$4:$O$1463,$P93)="","",INDEX(MASTER!$O$4:$O$1463,$P93)),""))</f>
        <v>S</v>
      </c>
      <c r="M93" s="15">
        <f>IF($P93="","",IFERROR(IF(INDEX(MASTER!$Q$4:$Q$1463,$P93)="","",INDEX(MASTER!$Q$4:$Q$1463,$P93)),""))</f>
        <v>16</v>
      </c>
      <c r="N93" s="15" t="str">
        <f>IF($P93="","",IFERROR(IF(INDEX(MASTER!$S$4:$S$1463,$P93)="","",INDEX(MASTER!$S$4:$S$1463,$P93)),""))</f>
        <v>Complete</v>
      </c>
      <c r="P93">
        <f>IFERROR(MATCH($Q$1&amp;"@85",MASTER!$AC$4:$AC$1463,0),"")</f>
        <v>1080</v>
      </c>
    </row>
    <row r="94" spans="1:16">
      <c r="A94" s="19">
        <f>IF($P94="","",86)</f>
        <v>86</v>
      </c>
      <c r="B94" s="18" t="str">
        <f>IF($P94="","",IFERROR(IF(INDEX(MASTER!$C$4:$C$1463,$P94)="","",INDEX(MASTER!$C$4:$C$1463,$P94)),""))</f>
        <v>Stilizy</v>
      </c>
      <c r="C94" s="19" t="str">
        <f>IF($P94="","",IFERROR(IF(INDEX(MASTER!$D$4:$D$1463,$P94)="","",INDEX(MASTER!$D$4:$D$1463,$P94)),""))</f>
        <v/>
      </c>
      <c r="D94" s="19" t="str">
        <f>IF($P94="","",IFERROR(IF(INDEX(MASTER!$E$4:$E$1463,$P94)="","",INDEX(MASTER!$E$4:$E$1463,$P94)),""))</f>
        <v>BLOOD KNIGHT</v>
      </c>
      <c r="E94" s="19" t="str">
        <f>IF($P94="","",IFERROR(IF(INDEX(MASTER!$F$4:$F$1463,$P94)="","",INDEX(MASTER!$F$4:$F$1463,$P94)),""))</f>
        <v>Frontline</v>
      </c>
      <c r="F94" s="20">
        <f>IF($P94="","",IFERROR(IF(INDEX(MASTER!$G$4:$G$1463,$P94)="","",INDEX(MASTER!$G$4:$G$1463,$P94)),""))</f>
        <v>62582</v>
      </c>
      <c r="G94" s="19" t="str">
        <f>IF($P94="","",IFERROR(IF(INDEX(MASTER!$H$4:$H$1463,$P94)="","",INDEX(MASTER!$H$4:$H$1463,$P94)),""))</f>
        <v>62,000 - 62,999</v>
      </c>
      <c r="H94" s="20">
        <f>IF($P94="","",IFERROR(IF(INDEX(MASTER!$I$4:$I$1463,$P94)="","",INDEX(MASTER!$I$4:$I$1463,$P94)),""))</f>
        <v>3630</v>
      </c>
      <c r="I94" s="19" t="str">
        <f>IF($P94="","",IFERROR(IF(INDEX(MASTER!$J$4:$J$1463,$P94)="","",INDEX(MASTER!$J$4:$J$1463,$P94)),""))</f>
        <v>DEVELOPING</v>
      </c>
      <c r="J94" s="21">
        <f>IF($P94="","",IFERROR(IF(INDEX(MASTER!$L$4:$L$1463,$P94)="","",INDEX(MASTER!$L$4:$L$1463,$P94)),""))</f>
        <v>5.19</v>
      </c>
      <c r="K94" s="21">
        <f>IF($P94="","",IFERROR(IF(INDEX(MASTER!$N$4:$N$1463,$P94)="","",INDEX(MASTER!$N$4:$N$1463,$P94)),""))</f>
        <v>44.4</v>
      </c>
      <c r="L94" s="19" t="str">
        <f>IF($P94="","",IFERROR(IF(INDEX(MASTER!$O$4:$O$1463,$P94)="","",INDEX(MASTER!$O$4:$O$1463,$P94)),""))</f>
        <v>B</v>
      </c>
      <c r="M94" s="19">
        <f>IF($P94="","",IFERROR(IF(INDEX(MASTER!$Q$4:$Q$1463,$P94)="","",INDEX(MASTER!$Q$4:$Q$1463,$P94)),""))</f>
        <v>82</v>
      </c>
      <c r="N94" s="19" t="str">
        <f>IF($P94="","",IFERROR(IF(INDEX(MASTER!$S$4:$S$1463,$P94)="","",INDEX(MASTER!$S$4:$S$1463,$P94)),""))</f>
        <v>Complete</v>
      </c>
      <c r="P94">
        <f>IFERROR(MATCH($Q$1&amp;"@86",MASTER!$AC$4:$AC$1463,0),"")</f>
        <v>1081</v>
      </c>
    </row>
    <row r="95" spans="1:16">
      <c r="A95" s="15">
        <f>IF($P95="","",87)</f>
        <v>87</v>
      </c>
      <c r="B95" s="14" t="str">
        <f>IF($P95="","",IFERROR(IF(INDEX(MASTER!$C$4:$C$1463,$P95)="","",INDEX(MASTER!$C$4:$C$1463,$P95)),""))</f>
        <v>SwollBOIMatt</v>
      </c>
      <c r="C95" s="15" t="str">
        <f>IF($P95="","",IFERROR(IF(INDEX(MASTER!$D$4:$D$1463,$P95)="","",INDEX(MASTER!$D$4:$D$1463,$P95)),""))</f>
        <v/>
      </c>
      <c r="D95" s="15" t="str">
        <f>IF($P95="","",IFERROR(IF(INDEX(MASTER!$E$4:$E$1463,$P95)="","",INDEX(MASTER!$E$4:$E$1463,$P95)),""))</f>
        <v>WARLOCK</v>
      </c>
      <c r="E95" s="15" t="str">
        <f>IF($P95="","",IFERROR(IF(INDEX(MASTER!$F$4:$F$1463,$P95)="","",INDEX(MASTER!$F$4:$F$1463,$P95)),""))</f>
        <v>Control</v>
      </c>
      <c r="F95" s="16">
        <f>IF($P95="","",IFERROR(IF(INDEX(MASTER!$G$4:$G$1463,$P95)="","",INDEX(MASTER!$G$4:$G$1463,$P95)),""))</f>
        <v>60456</v>
      </c>
      <c r="G95" s="15" t="str">
        <f>IF($P95="","",IFERROR(IF(INDEX(MASTER!$H$4:$H$1463,$P95)="","",INDEX(MASTER!$H$4:$H$1463,$P95)),""))</f>
        <v>60,000 - 60,999</v>
      </c>
      <c r="H95" s="16">
        <f>IF($P95="","",IFERROR(IF(INDEX(MASTER!$I$4:$I$1463,$P95)="","",INDEX(MASTER!$I$4:$I$1463,$P95)),""))</f>
        <v>3870</v>
      </c>
      <c r="I95" s="15" t="str">
        <f>IF($P95="","",IFERROR(IF(INDEX(MASTER!$J$4:$J$1463,$P95)="","",INDEX(MASTER!$J$4:$J$1463,$P95)),""))</f>
        <v>DEVELOPING</v>
      </c>
      <c r="J95" s="17">
        <f>IF($P95="","",IFERROR(IF(INDEX(MASTER!$L$4:$L$1463,$P95)="","",INDEX(MASTER!$L$4:$L$1463,$P95)),""))</f>
        <v>4.99</v>
      </c>
      <c r="K95" s="17">
        <f>IF($P95="","",IFERROR(IF(INDEX(MASTER!$N$4:$N$1463,$P95)="","",INDEX(MASTER!$N$4:$N$1463,$P95)),""))</f>
        <v>39.6</v>
      </c>
      <c r="L95" s="15" t="str">
        <f>IF($P95="","",IFERROR(IF(INDEX(MASTER!$O$4:$O$1463,$P95)="","",INDEX(MASTER!$O$4:$O$1463,$P95)),""))</f>
        <v>B</v>
      </c>
      <c r="M95" s="15">
        <f>IF($P95="","",IFERROR(IF(INDEX(MASTER!$Q$4:$Q$1463,$P95)="","",INDEX(MASTER!$Q$4:$Q$1463,$P95)),""))</f>
        <v>75</v>
      </c>
      <c r="N95" s="15" t="str">
        <f>IF($P95="","",IFERROR(IF(INDEX(MASTER!$S$4:$S$1463,$P95)="","",INDEX(MASTER!$S$4:$S$1463,$P95)),""))</f>
        <v>Complete</v>
      </c>
      <c r="P95">
        <f>IFERROR(MATCH($Q$1&amp;"@87",MASTER!$AC$4:$AC$1463,0),"")</f>
        <v>1101</v>
      </c>
    </row>
    <row r="96" spans="1:16">
      <c r="A96" s="19">
        <f>IF($P96="","",88)</f>
        <v>88</v>
      </c>
      <c r="B96" s="18" t="str">
        <f>IF($P96="","",IFERROR(IF(INDEX(MASTER!$C$4:$C$1463,$P96)="","",INDEX(MASTER!$C$4:$C$1463,$P96)),""))</f>
        <v>Tazty</v>
      </c>
      <c r="C96" s="19" t="str">
        <f>IF($P96="","",IFERROR(IF(INDEX(MASTER!$D$4:$D$1463,$P96)="","",INDEX(MASTER!$D$4:$D$1463,$P96)),""))</f>
        <v>TK0</v>
      </c>
      <c r="D96" s="19" t="str">
        <f>IF($P96="","",IFERROR(IF(INDEX(MASTER!$E$4:$E$1463,$P96)="","",INDEX(MASTER!$E$4:$E$1463,$P96)),""))</f>
        <v>WARLOCK</v>
      </c>
      <c r="E96" s="19" t="str">
        <f>IF($P96="","",IFERROR(IF(INDEX(MASTER!$F$4:$F$1463,$P96)="","",INDEX(MASTER!$F$4:$F$1463,$P96)),""))</f>
        <v>Control</v>
      </c>
      <c r="F96" s="20">
        <f>IF($P96="","",IFERROR(IF(INDEX(MASTER!$G$4:$G$1463,$P96)="","",INDEX(MASTER!$G$4:$G$1463,$P96)),""))</f>
        <v>63307</v>
      </c>
      <c r="G96" s="19" t="str">
        <f>IF($P96="","",IFERROR(IF(INDEX(MASTER!$H$4:$H$1463,$P96)="","",INDEX(MASTER!$H$4:$H$1463,$P96)),""))</f>
        <v>63,000 - 63,999</v>
      </c>
      <c r="H96" s="20">
        <f>IF($P96="","",IFERROR(IF(INDEX(MASTER!$I$4:$I$1463,$P96)="","",INDEX(MASTER!$I$4:$I$1463,$P96)),""))</f>
        <v>5314</v>
      </c>
      <c r="I96" s="19" t="str">
        <f>IF($P96="","",IFERROR(IF(INDEX(MASTER!$J$4:$J$1463,$P96)="","",INDEX(MASTER!$J$4:$J$1463,$P96)),""))</f>
        <v>CORE</v>
      </c>
      <c r="J96" s="21">
        <f>IF($P96="","",IFERROR(IF(INDEX(MASTER!$L$4:$L$1463,$P96)="","",INDEX(MASTER!$L$4:$L$1463,$P96)),""))</f>
        <v>5.64</v>
      </c>
      <c r="K96" s="21">
        <f>IF($P96="","",IFERROR(IF(INDEX(MASTER!$N$4:$N$1463,$P96)="","",INDEX(MASTER!$N$4:$N$1463,$P96)),""))</f>
        <v>54.5</v>
      </c>
      <c r="L96" s="19" t="str">
        <f>IF($P96="","",IFERROR(IF(INDEX(MASTER!$O$4:$O$1463,$P96)="","",INDEX(MASTER!$O$4:$O$1463,$P96)),""))</f>
        <v>A</v>
      </c>
      <c r="M96" s="19">
        <f>IF($P96="","",IFERROR(IF(INDEX(MASTER!$Q$4:$Q$1463,$P96)="","",INDEX(MASTER!$Q$4:$Q$1463,$P96)),""))</f>
        <v>44</v>
      </c>
      <c r="N96" s="19" t="str">
        <f>IF($P96="","",IFERROR(IF(INDEX(MASTER!$S$4:$S$1463,$P96)="","",INDEX(MASTER!$S$4:$S$1463,$P96)),""))</f>
        <v>Complete</v>
      </c>
      <c r="P96">
        <f>IFERROR(MATCH($Q$1&amp;"@88",MASTER!$AC$4:$AC$1463,0),"")</f>
        <v>1126</v>
      </c>
    </row>
    <row r="97" spans="1:16">
      <c r="A97" s="15">
        <f>IF($P97="","",89)</f>
        <v>89</v>
      </c>
      <c r="B97" s="14" t="str">
        <f>IF($P97="","",IFERROR(IF(INDEX(MASTER!$C$4:$C$1463,$P97)="","",INDEX(MASTER!$C$4:$C$1463,$P97)),""))</f>
        <v>TheFin</v>
      </c>
      <c r="C97" s="15" t="str">
        <f>IF($P97="","",IFERROR(IF(INDEX(MASTER!$D$4:$D$1463,$P97)="","",INDEX(MASTER!$D$4:$D$1463,$P97)),""))</f>
        <v/>
      </c>
      <c r="D97" s="15" t="str">
        <f>IF($P97="","",IFERROR(IF(INDEX(MASTER!$E$4:$E$1463,$P97)="","",INDEX(MASTER!$E$4:$E$1463,$P97)),""))</f>
        <v>MONK</v>
      </c>
      <c r="E97" s="15" t="str">
        <f>IF($P97="","",IFERROR(IF(INDEX(MASTER!$F$4:$F$1463,$P97)="","",INDEX(MASTER!$F$4:$F$1463,$P97)),""))</f>
        <v>Support</v>
      </c>
      <c r="F97" s="16">
        <f>IF($P97="","",IFERROR(IF(INDEX(MASTER!$G$4:$G$1463,$P97)="","",INDEX(MASTER!$G$4:$G$1463,$P97)),""))</f>
        <v>63008</v>
      </c>
      <c r="G97" s="15" t="str">
        <f>IF($P97="","",IFERROR(IF(INDEX(MASTER!$H$4:$H$1463,$P97)="","",INDEX(MASTER!$H$4:$H$1463,$P97)),""))</f>
        <v>63,000 - 63,999</v>
      </c>
      <c r="H97" s="16">
        <f>IF($P97="","",IFERROR(IF(INDEX(MASTER!$I$4:$I$1463,$P97)="","",INDEX(MASTER!$I$4:$I$1463,$P97)),""))</f>
        <v>4518</v>
      </c>
      <c r="I97" s="15" t="str">
        <f>IF($P97="","",IFERROR(IF(INDEX(MASTER!$J$4:$J$1463,$P97)="","",INDEX(MASTER!$J$4:$J$1463,$P97)),""))</f>
        <v>CORE</v>
      </c>
      <c r="J97" s="17">
        <f>IF($P97="","",IFERROR(IF(INDEX(MASTER!$L$4:$L$1463,$P97)="","",INDEX(MASTER!$L$4:$L$1463,$P97)),""))</f>
        <v>4.5199999999999996</v>
      </c>
      <c r="K97" s="17">
        <f>IF($P97="","",IFERROR(IF(INDEX(MASTER!$N$4:$N$1463,$P97)="","",INDEX(MASTER!$N$4:$N$1463,$P97)),""))</f>
        <v>48.3</v>
      </c>
      <c r="L97" s="15" t="str">
        <f>IF($P97="","",IFERROR(IF(INDEX(MASTER!$O$4:$O$1463,$P97)="","",INDEX(MASTER!$O$4:$O$1463,$P97)),""))</f>
        <v>B</v>
      </c>
      <c r="M97" s="15">
        <f>IF($P97="","",IFERROR(IF(INDEX(MASTER!$Q$4:$Q$1463,$P97)="","",INDEX(MASTER!$Q$4:$Q$1463,$P97)),""))</f>
        <v>64</v>
      </c>
      <c r="N97" s="15" t="str">
        <f>IF($P97="","",IFERROR(IF(INDEX(MASTER!$S$4:$S$1463,$P97)="","",INDEX(MASTER!$S$4:$S$1463,$P97)),""))</f>
        <v>Complete</v>
      </c>
      <c r="P97">
        <f>IFERROR(MATCH($Q$1&amp;"@89",MASTER!$AC$4:$AC$1463,0),"")</f>
        <v>1136</v>
      </c>
    </row>
    <row r="98" spans="1:16">
      <c r="A98" s="19">
        <f>IF($P98="","",90)</f>
        <v>90</v>
      </c>
      <c r="B98" s="18" t="str">
        <f>IF($P98="","",IFERROR(IF(INDEX(MASTER!$C$4:$C$1463,$P98)="","",INDEX(MASTER!$C$4:$C$1463,$P98)),""))</f>
        <v>ThreePercent</v>
      </c>
      <c r="C98" s="19" t="str">
        <f>IF($P98="","",IFERROR(IF(INDEX(MASTER!$D$4:$D$1463,$P98)="","",INDEX(MASTER!$D$4:$D$1463,$P98)),""))</f>
        <v/>
      </c>
      <c r="D98" s="19" t="str">
        <f>IF($P98="","",IFERROR(IF(INDEX(MASTER!$E$4:$E$1463,$P98)="","",INDEX(MASTER!$E$4:$E$1463,$P98)),""))</f>
        <v>BARBARIAN</v>
      </c>
      <c r="E98" s="19" t="str">
        <f>IF($P98="","",IFERROR(IF(INDEX(MASTER!$F$4:$F$1463,$P98)="","",INDEX(MASTER!$F$4:$F$1463,$P98)),""))</f>
        <v>Frontline</v>
      </c>
      <c r="F98" s="20">
        <f>IF($P98="","",IFERROR(IF(INDEX(MASTER!$G$4:$G$1463,$P98)="","",INDEX(MASTER!$G$4:$G$1463,$P98)),""))</f>
        <v>63671</v>
      </c>
      <c r="G98" s="19" t="str">
        <f>IF($P98="","",IFERROR(IF(INDEX(MASTER!$H$4:$H$1463,$P98)="","",INDEX(MASTER!$H$4:$H$1463,$P98)),""))</f>
        <v>63,000 - 63,999</v>
      </c>
      <c r="H98" s="20">
        <f>IF($P98="","",IFERROR(IF(INDEX(MASTER!$I$4:$I$1463,$P98)="","",INDEX(MASTER!$I$4:$I$1463,$P98)),""))</f>
        <v>5436</v>
      </c>
      <c r="I98" s="19" t="str">
        <f>IF($P98="","",IFERROR(IF(INDEX(MASTER!$J$4:$J$1463,$P98)="","",INDEX(MASTER!$J$4:$J$1463,$P98)),""))</f>
        <v>CORE</v>
      </c>
      <c r="J98" s="21">
        <f>IF($P98="","",IFERROR(IF(INDEX(MASTER!$L$4:$L$1463,$P98)="","",INDEX(MASTER!$L$4:$L$1463,$P98)),""))</f>
        <v>5.48</v>
      </c>
      <c r="K98" s="21">
        <f>IF($P98="","",IFERROR(IF(INDEX(MASTER!$N$4:$N$1463,$P98)="","",INDEX(MASTER!$N$4:$N$1463,$P98)),""))</f>
        <v>55.7</v>
      </c>
      <c r="L98" s="19" t="str">
        <f>IF($P98="","",IFERROR(IF(INDEX(MASTER!$O$4:$O$1463,$P98)="","",INDEX(MASTER!$O$4:$O$1463,$P98)),""))</f>
        <v>A</v>
      </c>
      <c r="M98" s="19">
        <f>IF($P98="","",IFERROR(IF(INDEX(MASTER!$Q$4:$Q$1463,$P98)="","",INDEX(MASTER!$Q$4:$Q$1463,$P98)),""))</f>
        <v>40</v>
      </c>
      <c r="N98" s="19" t="str">
        <f>IF($P98="","",IFERROR(IF(INDEX(MASTER!$S$4:$S$1463,$P98)="","",INDEX(MASTER!$S$4:$S$1463,$P98)),""))</f>
        <v>Complete</v>
      </c>
      <c r="P98">
        <f>IFERROR(MATCH($Q$1&amp;"@90",MASTER!$AC$4:$AC$1463,0),"")</f>
        <v>1149</v>
      </c>
    </row>
    <row r="99" spans="1:16">
      <c r="A99" s="15">
        <f>IF($P99="","",91)</f>
        <v>91</v>
      </c>
      <c r="B99" s="14" t="str">
        <f>IF($P99="","",IFERROR(IF(INDEX(MASTER!$C$4:$C$1463,$P99)="","",INDEX(MASTER!$C$4:$C$1463,$P99)),""))</f>
        <v>TK0  BLiN</v>
      </c>
      <c r="C99" s="15" t="str">
        <f>IF($P99="","",IFERROR(IF(INDEX(MASTER!$D$4:$D$1463,$P99)="","",INDEX(MASTER!$D$4:$D$1463,$P99)),""))</f>
        <v/>
      </c>
      <c r="D99" s="15" t="str">
        <f>IF($P99="","",IFERROR(IF(INDEX(MASTER!$E$4:$E$1463,$P99)="","",INDEX(MASTER!$E$4:$E$1463,$P99)),""))</f>
        <v>WARLOCK</v>
      </c>
      <c r="E99" s="15" t="str">
        <f>IF($P99="","",IFERROR(IF(INDEX(MASTER!$F$4:$F$1463,$P99)="","",INDEX(MASTER!$F$4:$F$1463,$P99)),""))</f>
        <v>Control</v>
      </c>
      <c r="F99" s="16">
        <f>IF($P99="","",IFERROR(IF(INDEX(MASTER!$G$4:$G$1463,$P99)="","",INDEX(MASTER!$G$4:$G$1463,$P99)),""))</f>
        <v>62048</v>
      </c>
      <c r="G99" s="15" t="str">
        <f>IF($P99="","",IFERROR(IF(INDEX(MASTER!$H$4:$H$1463,$P99)="","",INDEX(MASTER!$H$4:$H$1463,$P99)),""))</f>
        <v>62,000 - 62,999</v>
      </c>
      <c r="H99" s="16">
        <f>IF($P99="","",IFERROR(IF(INDEX(MASTER!$I$4:$I$1463,$P99)="","",INDEX(MASTER!$I$4:$I$1463,$P99)),""))</f>
        <v>4222</v>
      </c>
      <c r="I99" s="15" t="str">
        <f>IF($P99="","",IFERROR(IF(INDEX(MASTER!$J$4:$J$1463,$P99)="","",INDEX(MASTER!$J$4:$J$1463,$P99)),""))</f>
        <v>CORE</v>
      </c>
      <c r="J99" s="17">
        <f>IF($P99="","",IFERROR(IF(INDEX(MASTER!$L$4:$L$1463,$P99)="","",INDEX(MASTER!$L$4:$L$1463,$P99)),""))</f>
        <v>5.71</v>
      </c>
      <c r="K99" s="17">
        <f>IF($P99="","",IFERROR(IF(INDEX(MASTER!$N$4:$N$1463,$P99)="","",INDEX(MASTER!$N$4:$N$1463,$P99)),""))</f>
        <v>46.5</v>
      </c>
      <c r="L99" s="15" t="str">
        <f>IF($P99="","",IFERROR(IF(INDEX(MASTER!$O$4:$O$1463,$P99)="","",INDEX(MASTER!$O$4:$O$1463,$P99)),""))</f>
        <v>B</v>
      </c>
      <c r="M99" s="15">
        <f>IF($P99="","",IFERROR(IF(INDEX(MASTER!$Q$4:$Q$1463,$P99)="","",INDEX(MASTER!$Q$4:$Q$1463,$P99)),""))</f>
        <v>71</v>
      </c>
      <c r="N99" s="15" t="str">
        <f>IF($P99="","",IFERROR(IF(INDEX(MASTER!$S$4:$S$1463,$P99)="","",INDEX(MASTER!$S$4:$S$1463,$P99)),""))</f>
        <v>Complete</v>
      </c>
      <c r="P99">
        <f>IFERROR(MATCH($Q$1&amp;"@91",MASTER!$AC$4:$AC$1463,0),"")</f>
        <v>1158</v>
      </c>
    </row>
    <row r="100" spans="1:16">
      <c r="A100" s="19">
        <f>IF($P100="","",92)</f>
        <v>92</v>
      </c>
      <c r="B100" s="18" t="str">
        <f>IF($P100="","",IFERROR(IF(INDEX(MASTER!$C$4:$C$1463,$P100)="","",INDEX(MASTER!$C$4:$C$1463,$P100)),""))</f>
        <v>TooDogsFkng</v>
      </c>
      <c r="C100" s="19" t="str">
        <f>IF($P100="","",IFERROR(IF(INDEX(MASTER!$D$4:$D$1463,$P100)="","",INDEX(MASTER!$D$4:$D$1463,$P100)),""))</f>
        <v/>
      </c>
      <c r="D100" s="19" t="str">
        <f>IF($P100="","",IFERROR(IF(INDEX(MASTER!$E$4:$E$1463,$P100)="","",INDEX(MASTER!$E$4:$E$1463,$P100)),""))</f>
        <v>MONK</v>
      </c>
      <c r="E100" s="19" t="str">
        <f>IF($P100="","",IFERROR(IF(INDEX(MASTER!$F$4:$F$1463,$P100)="","",INDEX(MASTER!$F$4:$F$1463,$P100)),""))</f>
        <v>Support</v>
      </c>
      <c r="F100" s="20">
        <f>IF($P100="","",IFERROR(IF(INDEX(MASTER!$G$4:$G$1463,$P100)="","",INDEX(MASTER!$G$4:$G$1463,$P100)),""))</f>
        <v>63567</v>
      </c>
      <c r="G100" s="19" t="str">
        <f>IF($P100="","",IFERROR(IF(INDEX(MASTER!$H$4:$H$1463,$P100)="","",INDEX(MASTER!$H$4:$H$1463,$P100)),""))</f>
        <v>63,000 - 63,999</v>
      </c>
      <c r="H100" s="20">
        <f>IF($P100="","",IFERROR(IF(INDEX(MASTER!$I$4:$I$1463,$P100)="","",INDEX(MASTER!$I$4:$I$1463,$P100)),""))</f>
        <v>5093</v>
      </c>
      <c r="I100" s="19" t="str">
        <f>IF($P100="","",IFERROR(IF(INDEX(MASTER!$J$4:$J$1463,$P100)="","",INDEX(MASTER!$J$4:$J$1463,$P100)),""))</f>
        <v>CORE</v>
      </c>
      <c r="J100" s="21">
        <f>IF($P100="","",IFERROR(IF(INDEX(MASTER!$L$4:$L$1463,$P100)="","",INDEX(MASTER!$L$4:$L$1463,$P100)),""))</f>
        <v>5.26</v>
      </c>
      <c r="K100" s="21">
        <f>IF($P100="","",IFERROR(IF(INDEX(MASTER!$N$4:$N$1463,$P100)="","",INDEX(MASTER!$N$4:$N$1463,$P100)),""))</f>
        <v>53.5</v>
      </c>
      <c r="L100" s="19" t="str">
        <f>IF($P100="","",IFERROR(IF(INDEX(MASTER!$O$4:$O$1463,$P100)="","",INDEX(MASTER!$O$4:$O$1463,$P100)),""))</f>
        <v>A</v>
      </c>
      <c r="M100" s="19">
        <f>IF($P100="","",IFERROR(IF(INDEX(MASTER!$Q$4:$Q$1463,$P100)="","",INDEX(MASTER!$Q$4:$Q$1463,$P100)),""))</f>
        <v>50</v>
      </c>
      <c r="N100" s="19" t="str">
        <f>IF($P100="","",IFERROR(IF(INDEX(MASTER!$S$4:$S$1463,$P100)="","",INDEX(MASTER!$S$4:$S$1463,$P100)),""))</f>
        <v>Complete</v>
      </c>
      <c r="P100">
        <f>IFERROR(MATCH($Q$1&amp;"@92",MASTER!$AC$4:$AC$1463,0),"")</f>
        <v>1163</v>
      </c>
    </row>
    <row r="101" spans="1:16">
      <c r="A101" s="15">
        <f>IF($P101="","",93)</f>
        <v>93</v>
      </c>
      <c r="B101" s="14" t="str">
        <f>IF($P101="","",IFERROR(IF(INDEX(MASTER!$C$4:$C$1463,$P101)="","",INDEX(MASTER!$C$4:$C$1463,$P101)),""))</f>
        <v>VEGETA</v>
      </c>
      <c r="C101" s="15" t="str">
        <f>IF($P101="","",IFERROR(IF(INDEX(MASTER!$D$4:$D$1463,$P101)="","",INDEX(MASTER!$D$4:$D$1463,$P101)),""))</f>
        <v>DBZ</v>
      </c>
      <c r="D101" s="15" t="str">
        <f>IF($P101="","",IFERROR(IF(INDEX(MASTER!$E$4:$E$1463,$P101)="","",INDEX(MASTER!$E$4:$E$1463,$P101)),""))</f>
        <v>BLOOD KNIGHT</v>
      </c>
      <c r="E101" s="15" t="str">
        <f>IF($P101="","",IFERROR(IF(INDEX(MASTER!$F$4:$F$1463,$P101)="","",INDEX(MASTER!$F$4:$F$1463,$P101)),""))</f>
        <v>Frontline</v>
      </c>
      <c r="F101" s="16">
        <f>IF($P101="","",IFERROR(IF(INDEX(MASTER!$G$4:$G$1463,$P101)="","",INDEX(MASTER!$G$4:$G$1463,$P101)),""))</f>
        <v>64402</v>
      </c>
      <c r="G101" s="15" t="str">
        <f>IF($P101="","",IFERROR(IF(INDEX(MASTER!$H$4:$H$1463,$P101)="","",INDEX(MASTER!$H$4:$H$1463,$P101)),""))</f>
        <v>64,000 +</v>
      </c>
      <c r="H101" s="16">
        <f>IF($P101="","",IFERROR(IF(INDEX(MASTER!$I$4:$I$1463,$P101)="","",INDEX(MASTER!$I$4:$I$1463,$P101)),""))</f>
        <v>10350</v>
      </c>
      <c r="I101" s="15" t="str">
        <f>IF($P101="","",IFERROR(IF(INDEX(MASTER!$J$4:$J$1463,$P101)="","",INDEX(MASTER!$J$4:$J$1463,$P101)),""))</f>
        <v>APEX</v>
      </c>
      <c r="J101" s="17">
        <f>IF($P101="","",IFERROR(IF(INDEX(MASTER!$L$4:$L$1463,$P101)="","",INDEX(MASTER!$L$4:$L$1463,$P101)),""))</f>
        <v>7.22</v>
      </c>
      <c r="K101" s="17">
        <f>IF($P101="","",IFERROR(IF(INDEX(MASTER!$N$4:$N$1463,$P101)="","",INDEX(MASTER!$N$4:$N$1463,$P101)),""))</f>
        <v>82</v>
      </c>
      <c r="L101" s="15" t="str">
        <f>IF($P101="","",IFERROR(IF(INDEX(MASTER!$O$4:$O$1463,$P101)="","",INDEX(MASTER!$O$4:$O$1463,$P101)),""))</f>
        <v>S+</v>
      </c>
      <c r="M101" s="15">
        <f>IF($P101="","",IFERROR(IF(INDEX(MASTER!$Q$4:$Q$1463,$P101)="","",INDEX(MASTER!$Q$4:$Q$1463,$P101)),""))</f>
        <v>4</v>
      </c>
      <c r="N101" s="15" t="str">
        <f>IF($P101="","",IFERROR(IF(INDEX(MASTER!$S$4:$S$1463,$P101)="","",INDEX(MASTER!$S$4:$S$1463,$P101)),""))</f>
        <v>Complete</v>
      </c>
      <c r="P101">
        <f>IFERROR(MATCH($Q$1&amp;"@93",MASTER!$AC$4:$AC$1463,0),"")</f>
        <v>1213</v>
      </c>
    </row>
    <row r="102" spans="1:16">
      <c r="A102" s="19">
        <f>IF($P102="","",94)</f>
        <v>94</v>
      </c>
      <c r="B102" s="18" t="str">
        <f>IF($P102="","",IFERROR(IF(INDEX(MASTER!$C$4:$C$1463,$P102)="","",INDEX(MASTER!$C$4:$C$1463,$P102)),""))</f>
        <v>Vianna</v>
      </c>
      <c r="C102" s="19" t="str">
        <f>IF($P102="","",IFERROR(IF(INDEX(MASTER!$D$4:$D$1463,$P102)="","",INDEX(MASTER!$D$4:$D$1463,$P102)),""))</f>
        <v/>
      </c>
      <c r="D102" s="19" t="str">
        <f>IF($P102="","",IFERROR(IF(INDEX(MASTER!$E$4:$E$1463,$P102)="","",INDEX(MASTER!$E$4:$E$1463,$P102)),""))</f>
        <v>WIZARD</v>
      </c>
      <c r="E102" s="19" t="str">
        <f>IF($P102="","",IFERROR(IF(INDEX(MASTER!$F$4:$F$1463,$P102)="","",INDEX(MASTER!$F$4:$F$1463,$P102)),""))</f>
        <v>Ranged DPS</v>
      </c>
      <c r="F102" s="20">
        <f>IF($P102="","",IFERROR(IF(INDEX(MASTER!$G$4:$G$1463,$P102)="","",INDEX(MASTER!$G$4:$G$1463,$P102)),""))</f>
        <v>62851</v>
      </c>
      <c r="G102" s="19" t="str">
        <f>IF($P102="","",IFERROR(IF(INDEX(MASTER!$H$4:$H$1463,$P102)="","",INDEX(MASTER!$H$4:$H$1463,$P102)),""))</f>
        <v>62,000 - 62,999</v>
      </c>
      <c r="H102" s="20">
        <f>IF($P102="","",IFERROR(IF(INDEX(MASTER!$I$4:$I$1463,$P102)="","",INDEX(MASTER!$I$4:$I$1463,$P102)),""))</f>
        <v>3250</v>
      </c>
      <c r="I102" s="19" t="str">
        <f>IF($P102="","",IFERROR(IF(INDEX(MASTER!$J$4:$J$1463,$P102)="","",INDEX(MASTER!$J$4:$J$1463,$P102)),""))</f>
        <v>DEVELOPING</v>
      </c>
      <c r="J102" s="21">
        <f>IF($P102="","",IFERROR(IF(INDEX(MASTER!$L$4:$L$1463,$P102)="","",INDEX(MASTER!$L$4:$L$1463,$P102)),""))</f>
        <v>5.17</v>
      </c>
      <c r="K102" s="21">
        <f>IF($P102="","",IFERROR(IF(INDEX(MASTER!$N$4:$N$1463,$P102)="","",INDEX(MASTER!$N$4:$N$1463,$P102)),""))</f>
        <v>43.5</v>
      </c>
      <c r="L102" s="19" t="str">
        <f>IF($P102="","",IFERROR(IF(INDEX(MASTER!$O$4:$O$1463,$P102)="","",INDEX(MASTER!$O$4:$O$1463,$P102)),""))</f>
        <v>B</v>
      </c>
      <c r="M102" s="19">
        <f>IF($P102="","",IFERROR(IF(INDEX(MASTER!$Q$4:$Q$1463,$P102)="","",INDEX(MASTER!$Q$4:$Q$1463,$P102)),""))</f>
        <v>88</v>
      </c>
      <c r="N102" s="19" t="str">
        <f>IF($P102="","",IFERROR(IF(INDEX(MASTER!$S$4:$S$1463,$P102)="","",INDEX(MASTER!$S$4:$S$1463,$P102)),""))</f>
        <v>Complete</v>
      </c>
      <c r="P102">
        <f>IFERROR(MATCH($Q$1&amp;"@94",MASTER!$AC$4:$AC$1463,0),"")</f>
        <v>1219</v>
      </c>
    </row>
    <row r="103" spans="1:16">
      <c r="A103" s="15">
        <f>IF($P103="","",95)</f>
        <v>95</v>
      </c>
      <c r="B103" s="14" t="str">
        <f>IF($P103="","",IFERROR(IF(INDEX(MASTER!$C$4:$C$1463,$P103)="","",INDEX(MASTER!$C$4:$C$1463,$P103)),""))</f>
        <v>WifeSaidNo</v>
      </c>
      <c r="C103" s="15" t="str">
        <f>IF($P103="","",IFERROR(IF(INDEX(MASTER!$D$4:$D$1463,$P103)="","",INDEX(MASTER!$D$4:$D$1463,$P103)),""))</f>
        <v/>
      </c>
      <c r="D103" s="15" t="str">
        <f>IF($P103="","",IFERROR(IF(INDEX(MASTER!$E$4:$E$1463,$P103)="","",INDEX(MASTER!$E$4:$E$1463,$P103)),""))</f>
        <v>BARBARIAN</v>
      </c>
      <c r="E103" s="15" t="str">
        <f>IF($P103="","",IFERROR(IF(INDEX(MASTER!$F$4:$F$1463,$P103)="","",INDEX(MASTER!$F$4:$F$1463,$P103)),""))</f>
        <v>Frontline</v>
      </c>
      <c r="F103" s="16">
        <f>IF($P103="","",IFERROR(IF(INDEX(MASTER!$G$4:$G$1463,$P103)="","",INDEX(MASTER!$G$4:$G$1463,$P103)),""))</f>
        <v>62989</v>
      </c>
      <c r="G103" s="15" t="str">
        <f>IF($P103="","",IFERROR(IF(INDEX(MASTER!$H$4:$H$1463,$P103)="","",INDEX(MASTER!$H$4:$H$1463,$P103)),""))</f>
        <v>62,000 - 62,999</v>
      </c>
      <c r="H103" s="16">
        <f>IF($P103="","",IFERROR(IF(INDEX(MASTER!$I$4:$I$1463,$P103)="","",INDEX(MASTER!$I$4:$I$1463,$P103)),""))</f>
        <v>4770</v>
      </c>
      <c r="I103" s="15" t="str">
        <f>IF($P103="","",IFERROR(IF(INDEX(MASTER!$J$4:$J$1463,$P103)="","",INDEX(MASTER!$J$4:$J$1463,$P103)),""))</f>
        <v>CORE</v>
      </c>
      <c r="J103" s="17">
        <f>IF($P103="","",IFERROR(IF(INDEX(MASTER!$L$4:$L$1463,$P103)="","",INDEX(MASTER!$L$4:$L$1463,$P103)),""))</f>
        <v>5.81</v>
      </c>
      <c r="K103" s="17">
        <f>IF($P103="","",IFERROR(IF(INDEX(MASTER!$N$4:$N$1463,$P103)="","",INDEX(MASTER!$N$4:$N$1463,$P103)),""))</f>
        <v>51.5</v>
      </c>
      <c r="L103" s="15" t="str">
        <f>IF($P103="","",IFERROR(IF(INDEX(MASTER!$O$4:$O$1463,$P103)="","",INDEX(MASTER!$O$4:$O$1463,$P103)),""))</f>
        <v>A</v>
      </c>
      <c r="M103" s="15">
        <f>IF($P103="","",IFERROR(IF(INDEX(MASTER!$Q$4:$Q$1463,$P103)="","",INDEX(MASTER!$Q$4:$Q$1463,$P103)),""))</f>
        <v>56</v>
      </c>
      <c r="N103" s="15" t="str">
        <f>IF($P103="","",IFERROR(IF(INDEX(MASTER!$S$4:$S$1463,$P103)="","",INDEX(MASTER!$S$4:$S$1463,$P103)),""))</f>
        <v>Complete</v>
      </c>
      <c r="P103">
        <f>IFERROR(MATCH($Q$1&amp;"@95",MASTER!$AC$4:$AC$1463,0),"")</f>
        <v>1249</v>
      </c>
    </row>
    <row r="104" spans="1:16">
      <c r="A104" s="19">
        <f>IF($P104="","",96)</f>
        <v>96</v>
      </c>
      <c r="B104" s="18" t="str">
        <f>IF($P104="","",IFERROR(IF(INDEX(MASTER!$C$4:$C$1463,$P104)="","",INDEX(MASTER!$C$4:$C$1463,$P104)),""))</f>
        <v>Wikibeez</v>
      </c>
      <c r="C104" s="19" t="str">
        <f>IF($P104="","",IFERROR(IF(INDEX(MASTER!$D$4:$D$1463,$P104)="","",INDEX(MASTER!$D$4:$D$1463,$P104)),""))</f>
        <v/>
      </c>
      <c r="D104" s="19" t="str">
        <f>IF($P104="","",IFERROR(IF(INDEX(MASTER!$E$4:$E$1463,$P104)="","",INDEX(MASTER!$E$4:$E$1463,$P104)),""))</f>
        <v>MONK</v>
      </c>
      <c r="E104" s="19" t="str">
        <f>IF($P104="","",IFERROR(IF(INDEX(MASTER!$F$4:$F$1463,$P104)="","",INDEX(MASTER!$F$4:$F$1463,$P104)),""))</f>
        <v>Support</v>
      </c>
      <c r="F104" s="20">
        <f>IF($P104="","",IFERROR(IF(INDEX(MASTER!$G$4:$G$1463,$P104)="","",INDEX(MASTER!$G$4:$G$1463,$P104)),""))</f>
        <v>63381</v>
      </c>
      <c r="G104" s="19" t="str">
        <f>IF($P104="","",IFERROR(IF(INDEX(MASTER!$H$4:$H$1463,$P104)="","",INDEX(MASTER!$H$4:$H$1463,$P104)),""))</f>
        <v>63,000 - 63,999</v>
      </c>
      <c r="H104" s="20">
        <f>IF($P104="","",IFERROR(IF(INDEX(MASTER!$I$4:$I$1463,$P104)="","",INDEX(MASTER!$I$4:$I$1463,$P104)),""))</f>
        <v>5123</v>
      </c>
      <c r="I104" s="19" t="str">
        <f>IF($P104="","",IFERROR(IF(INDEX(MASTER!$J$4:$J$1463,$P104)="","",INDEX(MASTER!$J$4:$J$1463,$P104)),""))</f>
        <v>CORE</v>
      </c>
      <c r="J104" s="21">
        <f>IF($P104="","",IFERROR(IF(INDEX(MASTER!$L$4:$L$1463,$P104)="","",INDEX(MASTER!$L$4:$L$1463,$P104)),""))</f>
        <v>4.66</v>
      </c>
      <c r="K104" s="21">
        <f>IF($P104="","",IFERROR(IF(INDEX(MASTER!$N$4:$N$1463,$P104)="","",INDEX(MASTER!$N$4:$N$1463,$P104)),""))</f>
        <v>52.2</v>
      </c>
      <c r="L104" s="19" t="str">
        <f>IF($P104="","",IFERROR(IF(INDEX(MASTER!$O$4:$O$1463,$P104)="","",INDEX(MASTER!$O$4:$O$1463,$P104)),""))</f>
        <v>A</v>
      </c>
      <c r="M104" s="19">
        <f>IF($P104="","",IFERROR(IF(INDEX(MASTER!$Q$4:$Q$1463,$P104)="","",INDEX(MASTER!$Q$4:$Q$1463,$P104)),""))</f>
        <v>48</v>
      </c>
      <c r="N104" s="19" t="str">
        <f>IF($P104="","",IFERROR(IF(INDEX(MASTER!$S$4:$S$1463,$P104)="","",INDEX(MASTER!$S$4:$S$1463,$P104)),""))</f>
        <v>Complete</v>
      </c>
      <c r="P104">
        <f>IFERROR(MATCH($Q$1&amp;"@96",MASTER!$AC$4:$AC$1463,0),"")</f>
        <v>1250</v>
      </c>
    </row>
    <row r="105" spans="1:16">
      <c r="A105" s="15">
        <f>IF($P105="","",97)</f>
        <v>97</v>
      </c>
      <c r="B105" s="14" t="str">
        <f>IF($P105="","",IFERROR(IF(INDEX(MASTER!$C$4:$C$1463,$P105)="","",INDEX(MASTER!$C$4:$C$1463,$P105)),""))</f>
        <v>Will</v>
      </c>
      <c r="C105" s="15" t="str">
        <f>IF($P105="","",IFERROR(IF(INDEX(MASTER!$D$4:$D$1463,$P105)="","",INDEX(MASTER!$D$4:$D$1463,$P105)),""))</f>
        <v>TK0</v>
      </c>
      <c r="D105" s="15" t="str">
        <f>IF($P105="","",IFERROR(IF(INDEX(MASTER!$E$4:$E$1463,$P105)="","",INDEX(MASTER!$E$4:$E$1463,$P105)),""))</f>
        <v>WARLOCK</v>
      </c>
      <c r="E105" s="15" t="str">
        <f>IF($P105="","",IFERROR(IF(INDEX(MASTER!$F$4:$F$1463,$P105)="","",INDEX(MASTER!$F$4:$F$1463,$P105)),""))</f>
        <v>Control</v>
      </c>
      <c r="F105" s="16">
        <f>IF($P105="","",IFERROR(IF(INDEX(MASTER!$G$4:$G$1463,$P105)="","",INDEX(MASTER!$G$4:$G$1463,$P105)),""))</f>
        <v>63436</v>
      </c>
      <c r="G105" s="15" t="str">
        <f>IF($P105="","",IFERROR(IF(INDEX(MASTER!$H$4:$H$1463,$P105)="","",INDEX(MASTER!$H$4:$H$1463,$P105)),""))</f>
        <v>63,000 - 63,999</v>
      </c>
      <c r="H105" s="16">
        <f>IF($P105="","",IFERROR(IF(INDEX(MASTER!$I$4:$I$1463,$P105)="","",INDEX(MASTER!$I$4:$I$1463,$P105)),""))</f>
        <v>9011</v>
      </c>
      <c r="I105" s="15" t="str">
        <f>IF($P105="","",IFERROR(IF(INDEX(MASTER!$J$4:$J$1463,$P105)="","",INDEX(MASTER!$J$4:$J$1463,$P105)),""))</f>
        <v>ELITE</v>
      </c>
      <c r="J105" s="17">
        <f>IF($P105="","",IFERROR(IF(INDEX(MASTER!$L$4:$L$1463,$P105)="","",INDEX(MASTER!$L$4:$L$1463,$P105)),""))</f>
        <v>7.15</v>
      </c>
      <c r="K105" s="17">
        <f>IF($P105="","",IFERROR(IF(INDEX(MASTER!$N$4:$N$1463,$P105)="","",INDEX(MASTER!$N$4:$N$1463,$P105)),""))</f>
        <v>73.5</v>
      </c>
      <c r="L105" s="15" t="str">
        <f>IF($P105="","",IFERROR(IF(INDEX(MASTER!$O$4:$O$1463,$P105)="","",INDEX(MASTER!$O$4:$O$1463,$P105)),""))</f>
        <v>S</v>
      </c>
      <c r="M105" s="15">
        <f>IF($P105="","",IFERROR(IF(INDEX(MASTER!$Q$4:$Q$1463,$P105)="","",INDEX(MASTER!$Q$4:$Q$1463,$P105)),""))</f>
        <v>7</v>
      </c>
      <c r="N105" s="15" t="str">
        <f>IF($P105="","",IFERROR(IF(INDEX(MASTER!$S$4:$S$1463,$P105)="","",INDEX(MASTER!$S$4:$S$1463,$P105)),""))</f>
        <v>Complete</v>
      </c>
      <c r="P105">
        <f>IFERROR(MATCH($Q$1&amp;"@97",MASTER!$AC$4:$AC$1463,0),"")</f>
        <v>1252</v>
      </c>
    </row>
    <row r="106" spans="1:16">
      <c r="A106" s="19">
        <f>IF($P106="","",98)</f>
        <v>98</v>
      </c>
      <c r="B106" s="18" t="str">
        <f>IF($P106="","",IFERROR(IF(INDEX(MASTER!$C$4:$C$1463,$P106)="","",INDEX(MASTER!$C$4:$C$1463,$P106)),""))</f>
        <v>XxBISHOPxX</v>
      </c>
      <c r="C106" s="19" t="str">
        <f>IF($P106="","",IFERROR(IF(INDEX(MASTER!$D$4:$D$1463,$P106)="","",INDEX(MASTER!$D$4:$D$1463,$P106)),""))</f>
        <v/>
      </c>
      <c r="D106" s="19" t="str">
        <f>IF($P106="","",IFERROR(IF(INDEX(MASTER!$E$4:$E$1463,$P106)="","",INDEX(MASTER!$E$4:$E$1463,$P106)),""))</f>
        <v>BARBARIAN</v>
      </c>
      <c r="E106" s="19" t="str">
        <f>IF($P106="","",IFERROR(IF(INDEX(MASTER!$F$4:$F$1463,$P106)="","",INDEX(MASTER!$F$4:$F$1463,$P106)),""))</f>
        <v>Frontline</v>
      </c>
      <c r="F106" s="20">
        <f>IF($P106="","",IFERROR(IF(INDEX(MASTER!$G$4:$G$1463,$P106)="","",INDEX(MASTER!$G$4:$G$1463,$P106)),""))</f>
        <v>62641</v>
      </c>
      <c r="G106" s="19" t="str">
        <f>IF($P106="","",IFERROR(IF(INDEX(MASTER!$H$4:$H$1463,$P106)="","",INDEX(MASTER!$H$4:$H$1463,$P106)),""))</f>
        <v>62,000 - 62,999</v>
      </c>
      <c r="H106" s="20">
        <f>IF($P106="","",IFERROR(IF(INDEX(MASTER!$I$4:$I$1463,$P106)="","",INDEX(MASTER!$I$4:$I$1463,$P106)),""))</f>
        <v>4769</v>
      </c>
      <c r="I106" s="19" t="str">
        <f>IF($P106="","",IFERROR(IF(INDEX(MASTER!$J$4:$J$1463,$P106)="","",INDEX(MASTER!$J$4:$J$1463,$P106)),""))</f>
        <v>CORE</v>
      </c>
      <c r="J106" s="21">
        <f>IF($P106="","",IFERROR(IF(INDEX(MASTER!$L$4:$L$1463,$P106)="","",INDEX(MASTER!$L$4:$L$1463,$P106)),""))</f>
        <v>4.99</v>
      </c>
      <c r="K106" s="21">
        <f>IF($P106="","",IFERROR(IF(INDEX(MASTER!$N$4:$N$1463,$P106)="","",INDEX(MASTER!$N$4:$N$1463,$P106)),""))</f>
        <v>49.2</v>
      </c>
      <c r="L106" s="19" t="str">
        <f>IF($P106="","",IFERROR(IF(INDEX(MASTER!$O$4:$O$1463,$P106)="","",INDEX(MASTER!$O$4:$O$1463,$P106)),""))</f>
        <v>B</v>
      </c>
      <c r="M106" s="19">
        <f>IF($P106="","",IFERROR(IF(INDEX(MASTER!$Q$4:$Q$1463,$P106)="","",INDEX(MASTER!$Q$4:$Q$1463,$P106)),""))</f>
        <v>57</v>
      </c>
      <c r="N106" s="19" t="str">
        <f>IF($P106="","",IFERROR(IF(INDEX(MASTER!$S$4:$S$1463,$P106)="","",INDEX(MASTER!$S$4:$S$1463,$P106)),""))</f>
        <v>Complete</v>
      </c>
      <c r="P106">
        <f>IFERROR(MATCH($Q$1&amp;"@98",MASTER!$AC$4:$AC$1463,0),"")</f>
        <v>1289</v>
      </c>
    </row>
    <row r="107" spans="1:16">
      <c r="A107" s="15">
        <f>IF($P107="","",99)</f>
        <v>99</v>
      </c>
      <c r="B107" s="14" t="str">
        <f>IF($P107="","",IFERROR(IF(INDEX(MASTER!$C$4:$C$1463,$P107)="","",INDEX(MASTER!$C$4:$C$1463,$P107)),""))</f>
        <v>Yun</v>
      </c>
      <c r="C107" s="15" t="str">
        <f>IF($P107="","",IFERROR(IF(INDEX(MASTER!$D$4:$D$1463,$P107)="","",INDEX(MASTER!$D$4:$D$1463,$P107)),""))</f>
        <v/>
      </c>
      <c r="D107" s="15" t="str">
        <f>IF($P107="","",IFERROR(IF(INDEX(MASTER!$E$4:$E$1463,$P107)="","",INDEX(MASTER!$E$4:$E$1463,$P107)),""))</f>
        <v>WARLOCK</v>
      </c>
      <c r="E107" s="15" t="str">
        <f>IF($P107="","",IFERROR(IF(INDEX(MASTER!$F$4:$F$1463,$P107)="","",INDEX(MASTER!$F$4:$F$1463,$P107)),""))</f>
        <v>Control</v>
      </c>
      <c r="F107" s="16">
        <f>IF($P107="","",IFERROR(IF(INDEX(MASTER!$G$4:$G$1463,$P107)="","",INDEX(MASTER!$G$4:$G$1463,$P107)),""))</f>
        <v>60883</v>
      </c>
      <c r="G107" s="15" t="str">
        <f>IF($P107="","",IFERROR(IF(INDEX(MASTER!$H$4:$H$1463,$P107)="","",INDEX(MASTER!$H$4:$H$1463,$P107)),""))</f>
        <v>60,000 - 60,999</v>
      </c>
      <c r="H107" s="16">
        <f>IF($P107="","",IFERROR(IF(INDEX(MASTER!$I$4:$I$1463,$P107)="","",INDEX(MASTER!$I$4:$I$1463,$P107)),""))</f>
        <v>5001</v>
      </c>
      <c r="I107" s="15" t="str">
        <f>IF($P107="","",IFERROR(IF(INDEX(MASTER!$J$4:$J$1463,$P107)="","",INDEX(MASTER!$J$4:$J$1463,$P107)),""))</f>
        <v>CORE</v>
      </c>
      <c r="J107" s="17">
        <f>IF($P107="","",IFERROR(IF(INDEX(MASTER!$L$4:$L$1463,$P107)="","",INDEX(MASTER!$L$4:$L$1463,$P107)),""))</f>
        <v>3.32</v>
      </c>
      <c r="K107" s="17">
        <f>IF($P107="","",IFERROR(IF(INDEX(MASTER!$N$4:$N$1463,$P107)="","",INDEX(MASTER!$N$4:$N$1463,$P107)),""))</f>
        <v>42.8</v>
      </c>
      <c r="L107" s="15" t="str">
        <f>IF($P107="","",IFERROR(IF(INDEX(MASTER!$O$4:$O$1463,$P107)="","",INDEX(MASTER!$O$4:$O$1463,$P107)),""))</f>
        <v>B</v>
      </c>
      <c r="M107" s="15">
        <f>IF($P107="","",IFERROR(IF(INDEX(MASTER!$Q$4:$Q$1463,$P107)="","",INDEX(MASTER!$Q$4:$Q$1463,$P107)),""))</f>
        <v>52</v>
      </c>
      <c r="N107" s="15" t="str">
        <f>IF($P107="","",IFERROR(IF(INDEX(MASTER!$S$4:$S$1463,$P107)="","",INDEX(MASTER!$S$4:$S$1463,$P107)),""))</f>
        <v>Complete</v>
      </c>
      <c r="P107">
        <f>IFERROR(MATCH($Q$1&amp;"@99",MASTER!$AC$4:$AC$1463,0),"")</f>
        <v>1306</v>
      </c>
    </row>
    <row r="108" spans="1:16">
      <c r="A108" s="19">
        <f>IF($P108="","",100)</f>
        <v>100</v>
      </c>
      <c r="B108" s="18" t="str">
        <f>IF($P108="","",IFERROR(IF(INDEX(MASTER!$C$4:$C$1463,$P108)="","",INDEX(MASTER!$C$4:$C$1463,$P108)),""))</f>
        <v>ZyeTha</v>
      </c>
      <c r="C108" s="19" t="str">
        <f>IF($P108="","",IFERROR(IF(INDEX(MASTER!$D$4:$D$1463,$P108)="","",INDEX(MASTER!$D$4:$D$1463,$P108)),""))</f>
        <v/>
      </c>
      <c r="D108" s="19" t="str">
        <f>IF($P108="","",IFERROR(IF(INDEX(MASTER!$E$4:$E$1463,$P108)="","",INDEX(MASTER!$E$4:$E$1463,$P108)),""))</f>
        <v>WARLOCK</v>
      </c>
      <c r="E108" s="19" t="str">
        <f>IF($P108="","",IFERROR(IF(INDEX(MASTER!$F$4:$F$1463,$P108)="","",INDEX(MASTER!$F$4:$F$1463,$P108)),""))</f>
        <v>Control</v>
      </c>
      <c r="F108" s="20">
        <f>IF($P108="","",IFERROR(IF(INDEX(MASTER!$G$4:$G$1463,$P108)="","",INDEX(MASTER!$G$4:$G$1463,$P108)),""))</f>
        <v>62607</v>
      </c>
      <c r="G108" s="19" t="str">
        <f>IF($P108="","",IFERROR(IF(INDEX(MASTER!$H$4:$H$1463,$P108)="","",INDEX(MASTER!$H$4:$H$1463,$P108)),""))</f>
        <v>62,000 - 62,999</v>
      </c>
      <c r="H108" s="20">
        <f>IF($P108="","",IFERROR(IF(INDEX(MASTER!$I$4:$I$1463,$P108)="","",INDEX(MASTER!$I$4:$I$1463,$P108)),""))</f>
        <v>4630</v>
      </c>
      <c r="I108" s="19" t="str">
        <f>IF($P108="","",IFERROR(IF(INDEX(MASTER!$J$4:$J$1463,$P108)="","",INDEX(MASTER!$J$4:$J$1463,$P108)),""))</f>
        <v>CORE</v>
      </c>
      <c r="J108" s="21">
        <f>IF($P108="","",IFERROR(IF(INDEX(MASTER!$L$4:$L$1463,$P108)="","",INDEX(MASTER!$L$4:$L$1463,$P108)),""))</f>
        <v>5.4</v>
      </c>
      <c r="K108" s="21">
        <f>IF($P108="","",IFERROR(IF(INDEX(MASTER!$N$4:$N$1463,$P108)="","",INDEX(MASTER!$N$4:$N$1463,$P108)),""))</f>
        <v>49.2</v>
      </c>
      <c r="L108" s="19" t="str">
        <f>IF($P108="","",IFERROR(IF(INDEX(MASTER!$O$4:$O$1463,$P108)="","",INDEX(MASTER!$O$4:$O$1463,$P108)),""))</f>
        <v>B</v>
      </c>
      <c r="M108" s="19">
        <f>IF($P108="","",IFERROR(IF(INDEX(MASTER!$Q$4:$Q$1463,$P108)="","",INDEX(MASTER!$Q$4:$Q$1463,$P108)),""))</f>
        <v>58</v>
      </c>
      <c r="N108" s="19" t="str">
        <f>IF($P108="","",IFERROR(IF(INDEX(MASTER!$S$4:$S$1463,$P108)="","",INDEX(MASTER!$S$4:$S$1463,$P108)),""))</f>
        <v>Complete</v>
      </c>
      <c r="P108">
        <f>IFERROR(MATCH($Q$1&amp;"@100",MASTER!$AC$4:$AC$1463,0),"")</f>
        <v>1327</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1" spans="1:16">
      <c r="A131" s="15" t="str">
        <f>IF($P131="","",123)</f>
        <v/>
      </c>
      <c r="B131" s="14" t="str">
        <f>IF($P131="","",IFERROR(IF(INDEX(MASTER!$C$4:$C$1463,$P131)="","",INDEX(MASTER!$C$4:$C$1463,$P131)),""))</f>
        <v/>
      </c>
      <c r="C131" s="15" t="str">
        <f>IF($P131="","",IFERROR(IF(INDEX(MASTER!$D$4:$D$1463,$P131)="","",INDEX(MASTER!$D$4:$D$1463,$P131)),""))</f>
        <v/>
      </c>
      <c r="D131" s="15" t="str">
        <f>IF($P131="","",IFERROR(IF(INDEX(MASTER!$E$4:$E$1463,$P131)="","",INDEX(MASTER!$E$4:$E$1463,$P131)),""))</f>
        <v/>
      </c>
      <c r="E131" s="15" t="str">
        <f>IF($P131="","",IFERROR(IF(INDEX(MASTER!$F$4:$F$1463,$P131)="","",INDEX(MASTER!$F$4:$F$1463,$P131)),""))</f>
        <v/>
      </c>
      <c r="F131" s="16" t="str">
        <f>IF($P131="","",IFERROR(IF(INDEX(MASTER!$G$4:$G$1463,$P131)="","",INDEX(MASTER!$G$4:$G$1463,$P131)),""))</f>
        <v/>
      </c>
      <c r="G131" s="15" t="str">
        <f>IF($P131="","",IFERROR(IF(INDEX(MASTER!$H$4:$H$1463,$P131)="","",INDEX(MASTER!$H$4:$H$1463,$P131)),""))</f>
        <v/>
      </c>
      <c r="H131" s="16" t="str">
        <f>IF($P131="","",IFERROR(IF(INDEX(MASTER!$I$4:$I$1463,$P131)="","",INDEX(MASTER!$I$4:$I$1463,$P131)),""))</f>
        <v/>
      </c>
      <c r="I131" s="15" t="str">
        <f>IF($P131="","",IFERROR(IF(INDEX(MASTER!$J$4:$J$1463,$P131)="","",INDEX(MASTER!$J$4:$J$1463,$P131)),""))</f>
        <v/>
      </c>
      <c r="J131" s="17" t="str">
        <f>IF($P131="","",IFERROR(IF(INDEX(MASTER!$L$4:$L$1463,$P131)="","",INDEX(MASTER!$L$4:$L$1463,$P131)),""))</f>
        <v/>
      </c>
      <c r="K131" s="17" t="str">
        <f>IF($P131="","",IFERROR(IF(INDEX(MASTER!$N$4:$N$1463,$P131)="","",INDEX(MASTER!$N$4:$N$1463,$P131)),""))</f>
        <v/>
      </c>
      <c r="L131" s="15" t="str">
        <f>IF($P131="","",IFERROR(IF(INDEX(MASTER!$O$4:$O$1463,$P131)="","",INDEX(MASTER!$O$4:$O$1463,$P131)),""))</f>
        <v/>
      </c>
      <c r="M131" s="15" t="str">
        <f>IF($P131="","",IFERROR(IF(INDEX(MASTER!$Q$4:$Q$1463,$P131)="","",INDEX(MASTER!$Q$4:$Q$1463,$P131)),""))</f>
        <v/>
      </c>
      <c r="N131" s="15" t="str">
        <f>IF($P131="","",IFERROR(IF(INDEX(MASTER!$S$4:$S$1463,$P131)="","",INDEX(MASTER!$S$4:$S$1463,$P131)),""))</f>
        <v/>
      </c>
      <c r="P131" t="str">
        <f>IFERROR(MATCH($Q$1&amp;"@123",MASTER!$AC$4:$AC$1463,0),"")</f>
        <v/>
      </c>
    </row>
    <row r="132" spans="1:16">
      <c r="A132" s="19" t="str">
        <f>IF($P132="","",124)</f>
        <v/>
      </c>
      <c r="B132" s="18" t="str">
        <f>IF($P132="","",IFERROR(IF(INDEX(MASTER!$C$4:$C$1463,$P132)="","",INDEX(MASTER!$C$4:$C$1463,$P132)),""))</f>
        <v/>
      </c>
      <c r="C132" s="19" t="str">
        <f>IF($P132="","",IFERROR(IF(INDEX(MASTER!$D$4:$D$1463,$P132)="","",INDEX(MASTER!$D$4:$D$1463,$P132)),""))</f>
        <v/>
      </c>
      <c r="D132" s="19" t="str">
        <f>IF($P132="","",IFERROR(IF(INDEX(MASTER!$E$4:$E$1463,$P132)="","",INDEX(MASTER!$E$4:$E$1463,$P132)),""))</f>
        <v/>
      </c>
      <c r="E132" s="19" t="str">
        <f>IF($P132="","",IFERROR(IF(INDEX(MASTER!$F$4:$F$1463,$P132)="","",INDEX(MASTER!$F$4:$F$1463,$P132)),""))</f>
        <v/>
      </c>
      <c r="F132" s="20" t="str">
        <f>IF($P132="","",IFERROR(IF(INDEX(MASTER!$G$4:$G$1463,$P132)="","",INDEX(MASTER!$G$4:$G$1463,$P132)),""))</f>
        <v/>
      </c>
      <c r="G132" s="19" t="str">
        <f>IF($P132="","",IFERROR(IF(INDEX(MASTER!$H$4:$H$1463,$P132)="","",INDEX(MASTER!$H$4:$H$1463,$P132)),""))</f>
        <v/>
      </c>
      <c r="H132" s="20" t="str">
        <f>IF($P132="","",IFERROR(IF(INDEX(MASTER!$I$4:$I$1463,$P132)="","",INDEX(MASTER!$I$4:$I$1463,$P132)),""))</f>
        <v/>
      </c>
      <c r="I132" s="19" t="str">
        <f>IF($P132="","",IFERROR(IF(INDEX(MASTER!$J$4:$J$1463,$P132)="","",INDEX(MASTER!$J$4:$J$1463,$P132)),""))</f>
        <v/>
      </c>
      <c r="J132" s="21" t="str">
        <f>IF($P132="","",IFERROR(IF(INDEX(MASTER!$L$4:$L$1463,$P132)="","",INDEX(MASTER!$L$4:$L$1463,$P132)),""))</f>
        <v/>
      </c>
      <c r="K132" s="21" t="str">
        <f>IF($P132="","",IFERROR(IF(INDEX(MASTER!$N$4:$N$1463,$P132)="","",INDEX(MASTER!$N$4:$N$1463,$P132)),""))</f>
        <v/>
      </c>
      <c r="L132" s="19" t="str">
        <f>IF($P132="","",IFERROR(IF(INDEX(MASTER!$O$4:$O$1463,$P132)="","",INDEX(MASTER!$O$4:$O$1463,$P132)),""))</f>
        <v/>
      </c>
      <c r="M132" s="19" t="str">
        <f>IF($P132="","",IFERROR(IF(INDEX(MASTER!$Q$4:$Q$1463,$P132)="","",INDEX(MASTER!$Q$4:$Q$1463,$P132)),""))</f>
        <v/>
      </c>
      <c r="N132" s="19" t="str">
        <f>IF($P132="","",IFERROR(IF(INDEX(MASTER!$S$4:$S$1463,$P132)="","",INDEX(MASTER!$S$4:$S$1463,$P132)),""))</f>
        <v/>
      </c>
      <c r="P132" t="str">
        <f>IFERROR(MATCH($Q$1&amp;"@124",MASTER!$AC$4:$AC$1463,0),"")</f>
        <v/>
      </c>
    </row>
    <row r="133" spans="1:16">
      <c r="A133" s="15" t="str">
        <f>IF($P133="","",125)</f>
        <v/>
      </c>
      <c r="B133" s="14" t="str">
        <f>IF($P133="","",IFERROR(IF(INDEX(MASTER!$C$4:$C$1463,$P133)="","",INDEX(MASTER!$C$4:$C$1463,$P133)),""))</f>
        <v/>
      </c>
      <c r="C133" s="15" t="str">
        <f>IF($P133="","",IFERROR(IF(INDEX(MASTER!$D$4:$D$1463,$P133)="","",INDEX(MASTER!$D$4:$D$1463,$P133)),""))</f>
        <v/>
      </c>
      <c r="D133" s="15" t="str">
        <f>IF($P133="","",IFERROR(IF(INDEX(MASTER!$E$4:$E$1463,$P133)="","",INDEX(MASTER!$E$4:$E$1463,$P133)),""))</f>
        <v/>
      </c>
      <c r="E133" s="15" t="str">
        <f>IF($P133="","",IFERROR(IF(INDEX(MASTER!$F$4:$F$1463,$P133)="","",INDEX(MASTER!$F$4:$F$1463,$P133)),""))</f>
        <v/>
      </c>
      <c r="F133" s="16" t="str">
        <f>IF($P133="","",IFERROR(IF(INDEX(MASTER!$G$4:$G$1463,$P133)="","",INDEX(MASTER!$G$4:$G$1463,$P133)),""))</f>
        <v/>
      </c>
      <c r="G133" s="15" t="str">
        <f>IF($P133="","",IFERROR(IF(INDEX(MASTER!$H$4:$H$1463,$P133)="","",INDEX(MASTER!$H$4:$H$1463,$P133)),""))</f>
        <v/>
      </c>
      <c r="H133" s="16" t="str">
        <f>IF($P133="","",IFERROR(IF(INDEX(MASTER!$I$4:$I$1463,$P133)="","",INDEX(MASTER!$I$4:$I$1463,$P133)),""))</f>
        <v/>
      </c>
      <c r="I133" s="15" t="str">
        <f>IF($P133="","",IFERROR(IF(INDEX(MASTER!$J$4:$J$1463,$P133)="","",INDEX(MASTER!$J$4:$J$1463,$P133)),""))</f>
        <v/>
      </c>
      <c r="J133" s="17" t="str">
        <f>IF($P133="","",IFERROR(IF(INDEX(MASTER!$L$4:$L$1463,$P133)="","",INDEX(MASTER!$L$4:$L$1463,$P133)),""))</f>
        <v/>
      </c>
      <c r="K133" s="17" t="str">
        <f>IF($P133="","",IFERROR(IF(INDEX(MASTER!$N$4:$N$1463,$P133)="","",INDEX(MASTER!$N$4:$N$1463,$P133)),""))</f>
        <v/>
      </c>
      <c r="L133" s="15" t="str">
        <f>IF($P133="","",IFERROR(IF(INDEX(MASTER!$O$4:$O$1463,$P133)="","",INDEX(MASTER!$O$4:$O$1463,$P133)),""))</f>
        <v/>
      </c>
      <c r="M133" s="15" t="str">
        <f>IF($P133="","",IFERROR(IF(INDEX(MASTER!$Q$4:$Q$1463,$P133)="","",INDEX(MASTER!$Q$4:$Q$1463,$P133)),""))</f>
        <v/>
      </c>
      <c r="N133" s="15" t="str">
        <f>IF($P133="","",IFERROR(IF(INDEX(MASTER!$S$4:$S$1463,$P133)="","",INDEX(MASTER!$S$4:$S$1463,$P133)),""))</f>
        <v/>
      </c>
      <c r="P133" t="str">
        <f>IFERROR(MATCH($Q$1&amp;"@125",MASTER!$AC$4:$AC$1463,0),"")</f>
        <v/>
      </c>
    </row>
    <row r="136" spans="1:16" ht="19.5" customHeight="1">
      <c r="B136" s="91" t="s">
        <v>488</v>
      </c>
      <c r="C136" s="91"/>
      <c r="D136" s="91"/>
      <c r="E136" s="91"/>
      <c r="F136" s="91"/>
      <c r="G136" s="91"/>
    </row>
    <row r="137" spans="1:16" ht="27.75" customHeight="1">
      <c r="B137" s="108" t="s">
        <v>68</v>
      </c>
      <c r="C137" s="108"/>
      <c r="D137" s="13" t="s">
        <v>69</v>
      </c>
      <c r="E137" s="13" t="s">
        <v>64</v>
      </c>
      <c r="F137" s="13" t="s">
        <v>50</v>
      </c>
      <c r="G137" s="13" t="s">
        <v>51</v>
      </c>
    </row>
    <row r="138" spans="1:16">
      <c r="B138" s="105" t="s">
        <v>71</v>
      </c>
      <c r="C138" s="105"/>
      <c r="D138" s="20" t="str">
        <f>IFERROR(INDEX(SETUP!$B$55:$B$64,MATCH($B138,SETUP!$A$55:$A$64,0)),"-")</f>
        <v>Frontline</v>
      </c>
      <c r="E138" s="20">
        <f>COUNTIFS(MASTER!$B:$B,$Q$1,MASTER!$E:$E,$B138)</f>
        <v>23</v>
      </c>
      <c r="F138" s="20">
        <f>IFERROR(ROUND(AVERAGEIFS(MASTER!$I:$I,MASTER!$B:$B,$Q$1,MASTER!$E:$E,$B138),0),"-")</f>
        <v>5434</v>
      </c>
      <c r="G138" s="20">
        <f>IF($E138=0,"-",IFERROR(_xlfn.MAXIFS(MASTER!$I:$I,MASTER!$B:$B,$Q$1,MASTER!$E:$E,$B138),"-"))</f>
        <v>11601</v>
      </c>
    </row>
    <row r="139" spans="1:16">
      <c r="B139" s="106" t="s">
        <v>72</v>
      </c>
      <c r="C139" s="106"/>
      <c r="D139" s="16" t="str">
        <f>IFERROR(INDEX(SETUP!$B$55:$B$64,MATCH($B139,SETUP!$A$55:$A$64,0)),"-")</f>
        <v>Frontline</v>
      </c>
      <c r="E139" s="16">
        <f>COUNTIFS(MASTER!$B:$B,$Q$1,MASTER!$E:$E,$B139)</f>
        <v>7</v>
      </c>
      <c r="F139" s="16">
        <f>IFERROR(ROUND(AVERAGEIFS(MASTER!$I:$I,MASTER!$B:$B,$Q$1,MASTER!$E:$E,$B139),0),"-")</f>
        <v>6023</v>
      </c>
      <c r="G139" s="16">
        <f>IF($E139=0,"-",IFERROR(_xlfn.MAXIFS(MASTER!$I:$I,MASTER!$B:$B,$Q$1,MASTER!$E:$E,$B139),"-"))</f>
        <v>10350</v>
      </c>
    </row>
    <row r="140" spans="1:16">
      <c r="B140" s="105" t="s">
        <v>73</v>
      </c>
      <c r="C140" s="105"/>
      <c r="D140" s="20" t="str">
        <f>IFERROR(INDEX(SETUP!$B$55:$B$64,MATCH($B140,SETUP!$A$55:$A$64,0)),"-")</f>
        <v>Frontline</v>
      </c>
      <c r="E140" s="20">
        <f>COUNTIFS(MASTER!$B:$B,$Q$1,MASTER!$E:$E,$B140)</f>
        <v>10</v>
      </c>
      <c r="F140" s="20">
        <f>IFERROR(ROUND(AVERAGEIFS(MASTER!$I:$I,MASTER!$B:$B,$Q$1,MASTER!$E:$E,$B140),0),"-")</f>
        <v>5185</v>
      </c>
      <c r="G140" s="20">
        <f>IF($E140=0,"-",IFERROR(_xlfn.MAXIFS(MASTER!$I:$I,MASTER!$B:$B,$Q$1,MASTER!$E:$E,$B140),"-"))</f>
        <v>10246</v>
      </c>
    </row>
    <row r="141" spans="1:16">
      <c r="B141" s="106" t="s">
        <v>74</v>
      </c>
      <c r="C141" s="106"/>
      <c r="D141" s="16" t="str">
        <f>IFERROR(INDEX(SETUP!$B$55:$B$64,MATCH($B141,SETUP!$A$55:$A$64,0)),"-")</f>
        <v>Ranged DPS</v>
      </c>
      <c r="E141" s="16">
        <f>COUNTIFS(MASTER!$B:$B,$Q$1,MASTER!$E:$E,$B141)</f>
        <v>8</v>
      </c>
      <c r="F141" s="16">
        <f>IFERROR(ROUND(AVERAGEIFS(MASTER!$I:$I,MASTER!$B:$B,$Q$1,MASTER!$E:$E,$B141),0),"-")</f>
        <v>6796</v>
      </c>
      <c r="G141" s="16">
        <f>IF($E141=0,"-",IFERROR(_xlfn.MAXIFS(MASTER!$I:$I,MASTER!$B:$B,$Q$1,MASTER!$E:$E,$B141),"-"))</f>
        <v>11001</v>
      </c>
    </row>
    <row r="142" spans="1:16">
      <c r="B142" s="105" t="s">
        <v>75</v>
      </c>
      <c r="C142" s="105"/>
      <c r="D142" s="20" t="str">
        <f>IFERROR(INDEX(SETUP!$B$55:$B$64,MATCH($B142,SETUP!$A$55:$A$64,0)),"-")</f>
        <v>Support</v>
      </c>
      <c r="E142" s="20">
        <f>COUNTIFS(MASTER!$B:$B,$Q$1,MASTER!$E:$E,$B142)</f>
        <v>7</v>
      </c>
      <c r="F142" s="20">
        <f>IFERROR(ROUND(AVERAGEIFS(MASTER!$I:$I,MASTER!$B:$B,$Q$1,MASTER!$E:$E,$B142),0),"-")</f>
        <v>5536</v>
      </c>
      <c r="G142" s="20">
        <f>IF($E142=0,"-",IFERROR(_xlfn.MAXIFS(MASTER!$I:$I,MASTER!$B:$B,$Q$1,MASTER!$E:$E,$B142),"-"))</f>
        <v>7080</v>
      </c>
    </row>
    <row r="143" spans="1:16">
      <c r="B143" s="106" t="s">
        <v>76</v>
      </c>
      <c r="C143" s="106"/>
      <c r="D143" s="16" t="str">
        <f>IFERROR(INDEX(SETUP!$B$55:$B$64,MATCH($B143,SETUP!$A$55:$A$64,0)),"-")</f>
        <v>Support</v>
      </c>
      <c r="E143" s="16">
        <f>COUNTIFS(MASTER!$B:$B,$Q$1,MASTER!$E:$E,$B143)</f>
        <v>5</v>
      </c>
      <c r="F143" s="16">
        <f>IFERROR(ROUND(AVERAGEIFS(MASTER!$I:$I,MASTER!$B:$B,$Q$1,MASTER!$E:$E,$B143),0),"-")</f>
        <v>4588</v>
      </c>
      <c r="G143" s="16">
        <f>IF($E143=0,"-",IFERROR(_xlfn.MAXIFS(MASTER!$I:$I,MASTER!$B:$B,$Q$1,MASTER!$E:$E,$B143),"-"))</f>
        <v>5123</v>
      </c>
    </row>
    <row r="144" spans="1:16">
      <c r="B144" s="105" t="s">
        <v>77</v>
      </c>
      <c r="C144" s="105"/>
      <c r="D144" s="20" t="str">
        <f>IFERROR(INDEX(SETUP!$B$55:$B$64,MATCH($B144,SETUP!$A$55:$A$64,0)),"-")</f>
        <v>Control</v>
      </c>
      <c r="E144" s="20">
        <f>COUNTIFS(MASTER!$B:$B,$Q$1,MASTER!$E:$E,$B144)</f>
        <v>1</v>
      </c>
      <c r="F144" s="20">
        <f>IFERROR(ROUND(AVERAGEIFS(MASTER!$I:$I,MASTER!$B:$B,$Q$1,MASTER!$E:$E,$B144),0),"-")</f>
        <v>5871</v>
      </c>
      <c r="G144" s="20">
        <f>IF($E144=0,"-",IFERROR(_xlfn.MAXIFS(MASTER!$I:$I,MASTER!$B:$B,$Q$1,MASTER!$E:$E,$B144),"-"))</f>
        <v>5871</v>
      </c>
    </row>
    <row r="145" spans="2:7">
      <c r="B145" s="106" t="s">
        <v>78</v>
      </c>
      <c r="C145" s="106"/>
      <c r="D145" s="16" t="str">
        <f>IFERROR(INDEX(SETUP!$B$55:$B$64,MATCH($B145,SETUP!$A$55:$A$64,0)),"-")</f>
        <v>Melee DPS</v>
      </c>
      <c r="E145" s="16">
        <f>COUNTIFS(MASTER!$B:$B,$Q$1,MASTER!$E:$E,$B145)</f>
        <v>1</v>
      </c>
      <c r="F145" s="16">
        <f>IFERROR(ROUND(AVERAGEIFS(MASTER!$I:$I,MASTER!$B:$B,$Q$1,MASTER!$E:$E,$B145),0),"-")</f>
        <v>5099</v>
      </c>
      <c r="G145" s="16">
        <f>IF($E145=0,"-",IFERROR(_xlfn.MAXIFS(MASTER!$I:$I,MASTER!$B:$B,$Q$1,MASTER!$E:$E,$B145),"-"))</f>
        <v>5099</v>
      </c>
    </row>
    <row r="146" spans="2:7">
      <c r="B146" s="105" t="s">
        <v>79</v>
      </c>
      <c r="C146" s="105"/>
      <c r="D146" s="20" t="str">
        <f>IFERROR(INDEX(SETUP!$B$55:$B$64,MATCH($B146,SETUP!$A$55:$A$64,0)),"-")</f>
        <v>Control</v>
      </c>
      <c r="E146" s="20">
        <f>COUNTIFS(MASTER!$B:$B,$Q$1,MASTER!$E:$E,$B146)</f>
        <v>31</v>
      </c>
      <c r="F146" s="20">
        <f>IFERROR(ROUND(AVERAGEIFS(MASTER!$I:$I,MASTER!$B:$B,$Q$1,MASTER!$E:$E,$B146),0),"-")</f>
        <v>5417</v>
      </c>
      <c r="G146" s="20">
        <f>IF($E146=0,"-",IFERROR(_xlfn.MAXIFS(MASTER!$I:$I,MASTER!$B:$B,$Q$1,MASTER!$E:$E,$B146),"-"))</f>
        <v>10652</v>
      </c>
    </row>
    <row r="147" spans="2:7">
      <c r="B147" s="106" t="s">
        <v>80</v>
      </c>
      <c r="C147" s="106"/>
      <c r="D147" s="16" t="str">
        <f>IFERROR(INDEX(SETUP!$B$55:$B$64,MATCH($B147,SETUP!$A$55:$A$64,0)),"-")</f>
        <v>Ranged DPS</v>
      </c>
      <c r="E147" s="16">
        <f>COUNTIFS(MASTER!$B:$B,$Q$1,MASTER!$E:$E,$B147)</f>
        <v>4</v>
      </c>
      <c r="F147" s="16">
        <f>IFERROR(ROUND(AVERAGEIFS(MASTER!$I:$I,MASTER!$B:$B,$Q$1,MASTER!$E:$E,$B147),0),"-")</f>
        <v>5833</v>
      </c>
      <c r="G147" s="16">
        <f>IF($E147=0,"-",IFERROR(_xlfn.MAXIFS(MASTER!$I:$I,MASTER!$B:$B,$Q$1,MASTER!$E:$E,$B147),"-"))</f>
        <v>8979</v>
      </c>
    </row>
  </sheetData>
  <autoFilter ref="A8:N133" xr:uid="{00000000-0009-0000-0000-00000A000000}"/>
  <mergeCells count="29">
    <mergeCell ref="A1:N1"/>
    <mergeCell ref="A2:N2"/>
    <mergeCell ref="A4:B4"/>
    <mergeCell ref="C4:D4"/>
    <mergeCell ref="E4:F4"/>
    <mergeCell ref="G4:H4"/>
    <mergeCell ref="I4:J4"/>
    <mergeCell ref="K4:L4"/>
    <mergeCell ref="M4:N4"/>
    <mergeCell ref="K5:L5"/>
    <mergeCell ref="M5:N5"/>
    <mergeCell ref="A7:N7"/>
    <mergeCell ref="B136:G136"/>
    <mergeCell ref="B137:C137"/>
    <mergeCell ref="A5:B5"/>
    <mergeCell ref="C5:D5"/>
    <mergeCell ref="E5:F5"/>
    <mergeCell ref="G5:H5"/>
    <mergeCell ref="I5:J5"/>
    <mergeCell ref="B138:C138"/>
    <mergeCell ref="B139:C139"/>
    <mergeCell ref="B140:C140"/>
    <mergeCell ref="B141:C141"/>
    <mergeCell ref="B142:C142"/>
    <mergeCell ref="B143:C143"/>
    <mergeCell ref="B144:C144"/>
    <mergeCell ref="B145:C145"/>
    <mergeCell ref="B146:C146"/>
    <mergeCell ref="B147:C147"/>
  </mergeCells>
  <conditionalFormatting sqref="H9:H133">
    <cfRule type="colorScale" priority="2">
      <colorScale>
        <cfvo type="num" val="0"/>
        <cfvo type="num" val="5000"/>
        <cfvo type="num" val="12600"/>
        <color rgb="FFF8CBAD"/>
        <color rgb="FFFFE699"/>
        <color rgb="FFA9D08E"/>
      </colorScale>
    </cfRule>
  </conditionalFormatting>
  <conditionalFormatting sqref="N9:N133">
    <cfRule type="cellIs" dxfId="14"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7" evalError="1" twoDigitTextYear="1" numberStoredAsText="1" formula="1" formulaRange="1" unlockedFormula="1" emptyCellReference="1" listDataValidation="1" calculatedColumn="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pageSetUpPr fitToPage="1"/>
  </sheetPr>
  <dimension ref="A1:Q145"/>
  <sheetViews>
    <sheetView showGridLines="0" zoomScaleNormal="100" workbookViewId="0">
      <pane xSplit="1" ySplit="8" topLeftCell="B61" activePane="bottomRight" state="frozen"/>
      <selection pane="topRight" activeCell="B1" sqref="B1"/>
      <selection pane="bottomLeft" activeCell="A9" sqref="A9"/>
      <selection pane="bottomRight" activeCell="B61" sqref="B61:N61"/>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490</v>
      </c>
      <c r="B1" s="92"/>
      <c r="C1" s="92"/>
      <c r="D1" s="92"/>
      <c r="E1" s="92"/>
      <c r="F1" s="92"/>
      <c r="G1" s="92"/>
      <c r="H1" s="92"/>
      <c r="I1" s="92"/>
      <c r="J1" s="92"/>
      <c r="K1" s="92"/>
      <c r="L1" s="92"/>
      <c r="M1" s="92"/>
      <c r="N1" s="92"/>
      <c r="Q1" t="s">
        <v>86</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95</v>
      </c>
      <c r="B5" s="95"/>
      <c r="C5" s="95">
        <f>COUNTIFS(MASTER!$B:$B,$Q$1,MASTER!$S:$S,"Complete")</f>
        <v>95</v>
      </c>
      <c r="D5" s="95"/>
      <c r="E5" s="95">
        <f>IFERROR(ROUND(AVERAGEIFS(MASTER!$I:$I,MASTER!$B:$B,$Q$1),0),"-")</f>
        <v>6666</v>
      </c>
      <c r="F5" s="95"/>
      <c r="G5" s="95">
        <f>IFERROR(_xlfn.MAXIFS(MASTER!$I:$I,MASTER!$B:$B,$Q$1),"-")</f>
        <v>10905</v>
      </c>
      <c r="H5" s="95"/>
      <c r="I5" s="95">
        <f>COUNTIFS(MASTER!$B:$B,$Q$1,MASTER!$I:$I,"&gt;=10000")</f>
        <v>10</v>
      </c>
      <c r="J5" s="95"/>
      <c r="K5" s="107">
        <f>IFERROR(ROUND(AVERAGEIFS(MASTER!$N:$N,MASTER!$B:$B,$Q$1),1),"-")</f>
        <v>60.8</v>
      </c>
      <c r="L5" s="107"/>
      <c r="M5" s="95">
        <f>IF($Q$1="FUCT","- ours -",IFERROR(ROUND(AVERAGEIFS(MASTER!$I:$I,MASTER!$B:$B,$Q$1)-AVERAGEIF(MASTER!$B:$B,"FUCT",MASTER!$I:$I),0),"-"))</f>
        <v>1453</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56ke75</v>
      </c>
      <c r="C9" s="15" t="str">
        <f>IF($P9="","",IFERROR(IF(INDEX(MASTER!$D$4:$D$1463,$P9)="","",INDEX(MASTER!$D$4:$D$1463,$P9)),""))</f>
        <v/>
      </c>
      <c r="D9" s="15" t="str">
        <f>IF($P9="","",IFERROR(IF(INDEX(MASTER!$E$4:$E$1463,$P9)="","",INDEX(MASTER!$E$4:$E$1463,$P9)),""))</f>
        <v>NECROMANCER</v>
      </c>
      <c r="E9" s="15" t="str">
        <f>IF($P9="","",IFERROR(IF(INDEX(MASTER!$F$4:$F$1463,$P9)="","",INDEX(MASTER!$F$4:$F$1463,$P9)),""))</f>
        <v>Control</v>
      </c>
      <c r="F9" s="16">
        <f>IF($P9="","",IFERROR(IF(INDEX(MASTER!$G$4:$G$1463,$P9)="","",INDEX(MASTER!$G$4:$G$1463,$P9)),""))</f>
        <v>63921</v>
      </c>
      <c r="G9" s="15" t="str">
        <f>IF($P9="","",IFERROR(IF(INDEX(MASTER!$H$4:$H$1463,$P9)="","",INDEX(MASTER!$H$4:$H$1463,$P9)),""))</f>
        <v>63,000 - 63,999</v>
      </c>
      <c r="H9" s="16">
        <f>IF($P9="","",IFERROR(IF(INDEX(MASTER!$I$4:$I$1463,$P9)="","",INDEX(MASTER!$I$4:$I$1463,$P9)),""))</f>
        <v>8227</v>
      </c>
      <c r="I9" s="15" t="str">
        <f>IF($P9="","",IFERROR(IF(INDEX(MASTER!$J$4:$J$1463,$P9)="","",INDEX(MASTER!$J$4:$J$1463,$P9)),""))</f>
        <v>ELITE</v>
      </c>
      <c r="J9" s="17">
        <f>IF($P9="","",IFERROR(IF(INDEX(MASTER!$L$4:$L$1463,$P9)="","",INDEX(MASTER!$L$4:$L$1463,$P9)),""))</f>
        <v>5.85</v>
      </c>
      <c r="K9" s="17">
        <f>IF($P9="","",IFERROR(IF(INDEX(MASTER!$N$4:$N$1463,$P9)="","",INDEX(MASTER!$N$4:$N$1463,$P9)),""))</f>
        <v>69.099999999999994</v>
      </c>
      <c r="L9" s="15" t="str">
        <f>IF($P9="","",IFERROR(IF(INDEX(MASTER!$O$4:$O$1463,$P9)="","",INDEX(MASTER!$O$4:$O$1463,$P9)),""))</f>
        <v>S</v>
      </c>
      <c r="M9" s="15">
        <f>IF($P9="","",IFERROR(IF(INDEX(MASTER!$Q$4:$Q$1463,$P9)="","",INDEX(MASTER!$Q$4:$Q$1463,$P9)),""))</f>
        <v>31</v>
      </c>
      <c r="N9" s="15" t="str">
        <f>IF($P9="","",IFERROR(IF(INDEX(MASTER!$S$4:$S$1463,$P9)="","",INDEX(MASTER!$S$4:$S$1463,$P9)),""))</f>
        <v>Complete</v>
      </c>
      <c r="P9">
        <f>IFERROR(MATCH($Q$1&amp;"@1",MASTER!$AC$4:$AC$1463,0),"")</f>
        <v>8</v>
      </c>
    </row>
    <row r="10" spans="1:17">
      <c r="A10" s="19">
        <f>IF($P10="","",2)</f>
        <v>2</v>
      </c>
      <c r="B10" s="18" t="str">
        <f>IF($P10="","",IFERROR(IF(INDEX(MASTER!$C$4:$C$1463,$P10)="","",INDEX(MASTER!$C$4:$C$1463,$P10)),""))</f>
        <v>AdamMEmnoN</v>
      </c>
      <c r="C10" s="19" t="str">
        <f>IF($P10="","",IFERROR(IF(INDEX(MASTER!$D$4:$D$1463,$P10)="","",INDEX(MASTER!$D$4:$D$1463,$P10)),""))</f>
        <v/>
      </c>
      <c r="D10" s="19" t="str">
        <f>IF($P10="","",IFERROR(IF(INDEX(MASTER!$E$4:$E$1463,$P10)="","",INDEX(MASTER!$E$4:$E$1463,$P10)),""))</f>
        <v>WARLOCK</v>
      </c>
      <c r="E10" s="19" t="str">
        <f>IF($P10="","",IFERROR(IF(INDEX(MASTER!$F$4:$F$1463,$P10)="","",INDEX(MASTER!$F$4:$F$1463,$P10)),""))</f>
        <v>Control</v>
      </c>
      <c r="F10" s="20">
        <f>IF($P10="","",IFERROR(IF(INDEX(MASTER!$G$4:$G$1463,$P10)="","",INDEX(MASTER!$G$4:$G$1463,$P10)),""))</f>
        <v>63213</v>
      </c>
      <c r="G10" s="19" t="str">
        <f>IF($P10="","",IFERROR(IF(INDEX(MASTER!$H$4:$H$1463,$P10)="","",INDEX(MASTER!$H$4:$H$1463,$P10)),""))</f>
        <v>63,000 - 63,999</v>
      </c>
      <c r="H10" s="20">
        <f>IF($P10="","",IFERROR(IF(INDEX(MASTER!$I$4:$I$1463,$P10)="","",INDEX(MASTER!$I$4:$I$1463,$P10)),""))</f>
        <v>4265</v>
      </c>
      <c r="I10" s="19" t="str">
        <f>IF($P10="","",IFERROR(IF(INDEX(MASTER!$J$4:$J$1463,$P10)="","",INDEX(MASTER!$J$4:$J$1463,$P10)),""))</f>
        <v>CORE</v>
      </c>
      <c r="J10" s="21">
        <f>IF($P10="","",IFERROR(IF(INDEX(MASTER!$L$4:$L$1463,$P10)="","",INDEX(MASTER!$L$4:$L$1463,$P10)),""))</f>
        <v>6.41</v>
      </c>
      <c r="K10" s="21">
        <f>IF($P10="","",IFERROR(IF(INDEX(MASTER!$N$4:$N$1463,$P10)="","",INDEX(MASTER!$N$4:$N$1463,$P10)),""))</f>
        <v>50.9</v>
      </c>
      <c r="L10" s="19" t="str">
        <f>IF($P10="","",IFERROR(IF(INDEX(MASTER!$O$4:$O$1463,$P10)="","",INDEX(MASTER!$O$4:$O$1463,$P10)),""))</f>
        <v>A</v>
      </c>
      <c r="M10" s="19">
        <f>IF($P10="","",IFERROR(IF(INDEX(MASTER!$Q$4:$Q$1463,$P10)="","",INDEX(MASTER!$Q$4:$Q$1463,$P10)),""))</f>
        <v>77</v>
      </c>
      <c r="N10" s="19" t="str">
        <f>IF($P10="","",IFERROR(IF(INDEX(MASTER!$S$4:$S$1463,$P10)="","",INDEX(MASTER!$S$4:$S$1463,$P10)),""))</f>
        <v>Complete</v>
      </c>
      <c r="P10">
        <f>IFERROR(MATCH($Q$1&amp;"@2",MASTER!$AC$4:$AC$1463,0),"")</f>
        <v>17</v>
      </c>
    </row>
    <row r="11" spans="1:17">
      <c r="A11" s="15">
        <f>IF($P11="","",3)</f>
        <v>3</v>
      </c>
      <c r="B11" s="14" t="str">
        <f>IF($P11="","",IFERROR(IF(INDEX(MASTER!$C$4:$C$1463,$P11)="","",INDEX(MASTER!$C$4:$C$1463,$P11)),""))</f>
        <v>Àdãpt</v>
      </c>
      <c r="C11" s="15" t="str">
        <f>IF($P11="","",IFERROR(IF(INDEX(MASTER!$D$4:$D$1463,$P11)="","",INDEX(MASTER!$D$4:$D$1463,$P11)),""))</f>
        <v/>
      </c>
      <c r="D11" s="15" t="str">
        <f>IF($P11="","",IFERROR(IF(INDEX(MASTER!$E$4:$E$1463,$P11)="","",INDEX(MASTER!$E$4:$E$1463,$P11)),""))</f>
        <v>BARBARIAN</v>
      </c>
      <c r="E11" s="15" t="str">
        <f>IF($P11="","",IFERROR(IF(INDEX(MASTER!$F$4:$F$1463,$P11)="","",INDEX(MASTER!$F$4:$F$1463,$P11)),""))</f>
        <v>Frontline</v>
      </c>
      <c r="F11" s="16">
        <f>IF($P11="","",IFERROR(IF(INDEX(MASTER!$G$4:$G$1463,$P11)="","",INDEX(MASTER!$G$4:$G$1463,$P11)),""))</f>
        <v>63654</v>
      </c>
      <c r="G11" s="15" t="str">
        <f>IF($P11="","",IFERROR(IF(INDEX(MASTER!$H$4:$H$1463,$P11)="","",INDEX(MASTER!$H$4:$H$1463,$P11)),""))</f>
        <v>63,000 - 63,999</v>
      </c>
      <c r="H11" s="16">
        <f>IF($P11="","",IFERROR(IF(INDEX(MASTER!$I$4:$I$1463,$P11)="","",INDEX(MASTER!$I$4:$I$1463,$P11)),""))</f>
        <v>6392</v>
      </c>
      <c r="I11" s="15" t="str">
        <f>IF($P11="","",IFERROR(IF(INDEX(MASTER!$J$4:$J$1463,$P11)="","",INDEX(MASTER!$J$4:$J$1463,$P11)),""))</f>
        <v>VETERAN</v>
      </c>
      <c r="J11" s="17">
        <f>IF($P11="","",IFERROR(IF(INDEX(MASTER!$L$4:$L$1463,$P11)="","",INDEX(MASTER!$L$4:$L$1463,$P11)),""))</f>
        <v>4.8</v>
      </c>
      <c r="K11" s="17">
        <f>IF($P11="","",IFERROR(IF(INDEX(MASTER!$N$4:$N$1463,$P11)="","",INDEX(MASTER!$N$4:$N$1463,$P11)),""))</f>
        <v>58.7</v>
      </c>
      <c r="L11" s="15" t="str">
        <f>IF($P11="","",IFERROR(IF(INDEX(MASTER!$O$4:$O$1463,$P11)="","",INDEX(MASTER!$O$4:$O$1463,$P11)),""))</f>
        <v>A</v>
      </c>
      <c r="M11" s="15">
        <f>IF($P11="","",IFERROR(IF(INDEX(MASTER!$Q$4:$Q$1463,$P11)="","",INDEX(MASTER!$Q$4:$Q$1463,$P11)),""))</f>
        <v>50</v>
      </c>
      <c r="N11" s="15" t="str">
        <f>IF($P11="","",IFERROR(IF(INDEX(MASTER!$S$4:$S$1463,$P11)="","",INDEX(MASTER!$S$4:$S$1463,$P11)),""))</f>
        <v>Complete</v>
      </c>
      <c r="P11">
        <f>IFERROR(MATCH($Q$1&amp;"@3",MASTER!$AC$4:$AC$1463,0),"")</f>
        <v>1329</v>
      </c>
    </row>
    <row r="12" spans="1:17">
      <c r="A12" s="19">
        <f>IF($P12="","",4)</f>
        <v>4</v>
      </c>
      <c r="B12" s="18" t="str">
        <f>IF($P12="","",IFERROR(IF(INDEX(MASTER!$C$4:$C$1463,$P12)="","",INDEX(MASTER!$C$4:$C$1463,$P12)),""))</f>
        <v>Aggememnon</v>
      </c>
      <c r="C12" s="19" t="str">
        <f>IF($P12="","",IFERROR(IF(INDEX(MASTER!$D$4:$D$1463,$P12)="","",INDEX(MASTER!$D$4:$D$1463,$P12)),""))</f>
        <v/>
      </c>
      <c r="D12" s="19" t="str">
        <f>IF($P12="","",IFERROR(IF(INDEX(MASTER!$E$4:$E$1463,$P12)="","",INDEX(MASTER!$E$4:$E$1463,$P12)),""))</f>
        <v>CRUSADER</v>
      </c>
      <c r="E12" s="19" t="str">
        <f>IF($P12="","",IFERROR(IF(INDEX(MASTER!$F$4:$F$1463,$P12)="","",INDEX(MASTER!$F$4:$F$1463,$P12)),""))</f>
        <v>Frontline</v>
      </c>
      <c r="F12" s="20">
        <f>IF($P12="","",IFERROR(IF(INDEX(MASTER!$G$4:$G$1463,$P12)="","",INDEX(MASTER!$G$4:$G$1463,$P12)),""))</f>
        <v>63496</v>
      </c>
      <c r="G12" s="19" t="str">
        <f>IF($P12="","",IFERROR(IF(INDEX(MASTER!$H$4:$H$1463,$P12)="","",INDEX(MASTER!$H$4:$H$1463,$P12)),""))</f>
        <v>63,000 - 63,999</v>
      </c>
      <c r="H12" s="20">
        <f>IF($P12="","",IFERROR(IF(INDEX(MASTER!$I$4:$I$1463,$P12)="","",INDEX(MASTER!$I$4:$I$1463,$P12)),""))</f>
        <v>7281</v>
      </c>
      <c r="I12" s="19" t="str">
        <f>IF($P12="","",IFERROR(IF(INDEX(MASTER!$J$4:$J$1463,$P12)="","",INDEX(MASTER!$J$4:$J$1463,$P12)),""))</f>
        <v>VETERAN</v>
      </c>
      <c r="J12" s="21">
        <f>IF($P12="","",IFERROR(IF(INDEX(MASTER!$L$4:$L$1463,$P12)="","",INDEX(MASTER!$L$4:$L$1463,$P12)),""))</f>
        <v>5.3</v>
      </c>
      <c r="K12" s="21">
        <f>IF($P12="","",IFERROR(IF(INDEX(MASTER!$N$4:$N$1463,$P12)="","",INDEX(MASTER!$N$4:$N$1463,$P12)),""))</f>
        <v>63</v>
      </c>
      <c r="L12" s="19" t="str">
        <f>IF($P12="","",IFERROR(IF(INDEX(MASTER!$O$4:$O$1463,$P12)="","",INDEX(MASTER!$O$4:$O$1463,$P12)),""))</f>
        <v>A</v>
      </c>
      <c r="M12" s="19">
        <f>IF($P12="","",IFERROR(IF(INDEX(MASTER!$Q$4:$Q$1463,$P12)="","",INDEX(MASTER!$Q$4:$Q$1463,$P12)),""))</f>
        <v>42</v>
      </c>
      <c r="N12" s="19" t="str">
        <f>IF($P12="","",IFERROR(IF(INDEX(MASTER!$S$4:$S$1463,$P12)="","",INDEX(MASTER!$S$4:$S$1463,$P12)),""))</f>
        <v>Complete</v>
      </c>
      <c r="P12">
        <f>IFERROR(MATCH($Q$1&amp;"@4",MASTER!$AC$4:$AC$1463,0),"")</f>
        <v>25</v>
      </c>
    </row>
    <row r="13" spans="1:17">
      <c r="A13" s="15">
        <f>IF($P13="","",5)</f>
        <v>5</v>
      </c>
      <c r="B13" s="14" t="str">
        <f>IF($P13="","",IFERROR(IF(INDEX(MASTER!$C$4:$C$1463,$P13)="","",INDEX(MASTER!$C$4:$C$1463,$P13)),""))</f>
        <v>AJsme</v>
      </c>
      <c r="C13" s="15" t="str">
        <f>IF($P13="","",IFERROR(IF(INDEX(MASTER!$D$4:$D$1463,$P13)="","",INDEX(MASTER!$D$4:$D$1463,$P13)),""))</f>
        <v/>
      </c>
      <c r="D13" s="15" t="str">
        <f>IF($P13="","",IFERROR(IF(INDEX(MASTER!$E$4:$E$1463,$P13)="","",INDEX(MASTER!$E$4:$E$1463,$P13)),""))</f>
        <v>CRUSADER</v>
      </c>
      <c r="E13" s="15" t="str">
        <f>IF($P13="","",IFERROR(IF(INDEX(MASTER!$F$4:$F$1463,$P13)="","",INDEX(MASTER!$F$4:$F$1463,$P13)),""))</f>
        <v>Frontline</v>
      </c>
      <c r="F13" s="16">
        <f>IF($P13="","",IFERROR(IF(INDEX(MASTER!$G$4:$G$1463,$P13)="","",INDEX(MASTER!$G$4:$G$1463,$P13)),""))</f>
        <v>64072</v>
      </c>
      <c r="G13" s="15" t="str">
        <f>IF($P13="","",IFERROR(IF(INDEX(MASTER!$H$4:$H$1463,$P13)="","",INDEX(MASTER!$H$4:$H$1463,$P13)),""))</f>
        <v>64,000 +</v>
      </c>
      <c r="H13" s="16">
        <f>IF($P13="","",IFERROR(IF(INDEX(MASTER!$I$4:$I$1463,$P13)="","",INDEX(MASTER!$I$4:$I$1463,$P13)),""))</f>
        <v>10170</v>
      </c>
      <c r="I13" s="15" t="str">
        <f>IF($P13="","",IFERROR(IF(INDEX(MASTER!$J$4:$J$1463,$P13)="","",INDEX(MASTER!$J$4:$J$1463,$P13)),""))</f>
        <v>APEX</v>
      </c>
      <c r="J13" s="17">
        <f>IF($P13="","",IFERROR(IF(INDEX(MASTER!$L$4:$L$1463,$P13)="","",INDEX(MASTER!$L$4:$L$1463,$P13)),""))</f>
        <v>9.5399999999999991</v>
      </c>
      <c r="K13" s="17">
        <f>IF($P13="","",IFERROR(IF(INDEX(MASTER!$N$4:$N$1463,$P13)="","",INDEX(MASTER!$N$4:$N$1463,$P13)),""))</f>
        <v>84.2</v>
      </c>
      <c r="L13" s="15" t="str">
        <f>IF($P13="","",IFERROR(IF(INDEX(MASTER!$O$4:$O$1463,$P13)="","",INDEX(MASTER!$O$4:$O$1463,$P13)),""))</f>
        <v>S+</v>
      </c>
      <c r="M13" s="15">
        <f>IF($P13="","",IFERROR(IF(INDEX(MASTER!$Q$4:$Q$1463,$P13)="","",INDEX(MASTER!$Q$4:$Q$1463,$P13)),""))</f>
        <v>6</v>
      </c>
      <c r="N13" s="15" t="str">
        <f>IF($P13="","",IFERROR(IF(INDEX(MASTER!$S$4:$S$1463,$P13)="","",INDEX(MASTER!$S$4:$S$1463,$P13)),""))</f>
        <v>Complete</v>
      </c>
      <c r="P13">
        <f>IFERROR(MATCH($Q$1&amp;"@5",MASTER!$AC$4:$AC$1463,0),"")</f>
        <v>29</v>
      </c>
    </row>
    <row r="14" spans="1:17">
      <c r="A14" s="19">
        <f>IF($P14="","",6)</f>
        <v>6</v>
      </c>
      <c r="B14" s="18" t="str">
        <f>IF($P14="","",IFERROR(IF(INDEX(MASTER!$C$4:$C$1463,$P14)="","",INDEX(MASTER!$C$4:$C$1463,$P14)),""))</f>
        <v>Akadun</v>
      </c>
      <c r="C14" s="19" t="str">
        <f>IF($P14="","",IFERROR(IF(INDEX(MASTER!$D$4:$D$1463,$P14)="","",INDEX(MASTER!$D$4:$D$1463,$P14)),""))</f>
        <v/>
      </c>
      <c r="D14" s="19" t="str">
        <f>IF($P14="","",IFERROR(IF(INDEX(MASTER!$E$4:$E$1463,$P14)="","",INDEX(MASTER!$E$4:$E$1463,$P14)),""))</f>
        <v>WARLOCK</v>
      </c>
      <c r="E14" s="19" t="str">
        <f>IF($P14="","",IFERROR(IF(INDEX(MASTER!$F$4:$F$1463,$P14)="","",INDEX(MASTER!$F$4:$F$1463,$P14)),""))</f>
        <v>Control</v>
      </c>
      <c r="F14" s="20">
        <f>IF($P14="","",IFERROR(IF(INDEX(MASTER!$G$4:$G$1463,$P14)="","",INDEX(MASTER!$G$4:$G$1463,$P14)),""))</f>
        <v>64178</v>
      </c>
      <c r="G14" s="19" t="str">
        <f>IF($P14="","",IFERROR(IF(INDEX(MASTER!$H$4:$H$1463,$P14)="","",INDEX(MASTER!$H$4:$H$1463,$P14)),""))</f>
        <v>64,000 +</v>
      </c>
      <c r="H14" s="20">
        <f>IF($P14="","",IFERROR(IF(INDEX(MASTER!$I$4:$I$1463,$P14)="","",INDEX(MASTER!$I$4:$I$1463,$P14)),""))</f>
        <v>9037</v>
      </c>
      <c r="I14" s="19" t="str">
        <f>IF($P14="","",IFERROR(IF(INDEX(MASTER!$J$4:$J$1463,$P14)="","",INDEX(MASTER!$J$4:$J$1463,$P14)),""))</f>
        <v>ELITE</v>
      </c>
      <c r="J14" s="21">
        <f>IF($P14="","",IFERROR(IF(INDEX(MASTER!$L$4:$L$1463,$P14)="","",INDEX(MASTER!$L$4:$L$1463,$P14)),""))</f>
        <v>7</v>
      </c>
      <c r="K14" s="21">
        <f>IF($P14="","",IFERROR(IF(INDEX(MASTER!$N$4:$N$1463,$P14)="","",INDEX(MASTER!$N$4:$N$1463,$P14)),""))</f>
        <v>75.3</v>
      </c>
      <c r="L14" s="19" t="str">
        <f>IF($P14="","",IFERROR(IF(INDEX(MASTER!$O$4:$O$1463,$P14)="","",INDEX(MASTER!$O$4:$O$1463,$P14)),""))</f>
        <v>S</v>
      </c>
      <c r="M14" s="19">
        <f>IF($P14="","",IFERROR(IF(INDEX(MASTER!$Q$4:$Q$1463,$P14)="","",INDEX(MASTER!$Q$4:$Q$1463,$P14)),""))</f>
        <v>23</v>
      </c>
      <c r="N14" s="19" t="str">
        <f>IF($P14="","",IFERROR(IF(INDEX(MASTER!$S$4:$S$1463,$P14)="","",INDEX(MASTER!$S$4:$S$1463,$P14)),""))</f>
        <v>Complete</v>
      </c>
      <c r="P14">
        <f>IFERROR(MATCH($Q$1&amp;"@6",MASTER!$AC$4:$AC$1463,0),"")</f>
        <v>30</v>
      </c>
    </row>
    <row r="15" spans="1:17">
      <c r="A15" s="15">
        <f>IF($P15="","",7)</f>
        <v>7</v>
      </c>
      <c r="B15" s="14" t="str">
        <f>IF($P15="","",IFERROR(IF(INDEX(MASTER!$C$4:$C$1463,$P15)="","",INDEX(MASTER!$C$4:$C$1463,$P15)),""))</f>
        <v>Ariakis</v>
      </c>
      <c r="C15" s="15" t="str">
        <f>IF($P15="","",IFERROR(IF(INDEX(MASTER!$D$4:$D$1463,$P15)="","",INDEX(MASTER!$D$4:$D$1463,$P15)),""))</f>
        <v/>
      </c>
      <c r="D15" s="15" t="str">
        <f>IF($P15="","",IFERROR(IF(INDEX(MASTER!$E$4:$E$1463,$P15)="","",INDEX(MASTER!$E$4:$E$1463,$P15)),""))</f>
        <v>CRUSADER</v>
      </c>
      <c r="E15" s="15" t="str">
        <f>IF($P15="","",IFERROR(IF(INDEX(MASTER!$F$4:$F$1463,$P15)="","",INDEX(MASTER!$F$4:$F$1463,$P15)),""))</f>
        <v>Frontline</v>
      </c>
      <c r="F15" s="16">
        <f>IF($P15="","",IFERROR(IF(INDEX(MASTER!$G$4:$G$1463,$P15)="","",INDEX(MASTER!$G$4:$G$1463,$P15)),""))</f>
        <v>64199</v>
      </c>
      <c r="G15" s="15" t="str">
        <f>IF($P15="","",IFERROR(IF(INDEX(MASTER!$H$4:$H$1463,$P15)="","",INDEX(MASTER!$H$4:$H$1463,$P15)),""))</f>
        <v>64,000 +</v>
      </c>
      <c r="H15" s="16">
        <f>IF($P15="","",IFERROR(IF(INDEX(MASTER!$I$4:$I$1463,$P15)="","",INDEX(MASTER!$I$4:$I$1463,$P15)),""))</f>
        <v>9870</v>
      </c>
      <c r="I15" s="15" t="str">
        <f>IF($P15="","",IFERROR(IF(INDEX(MASTER!$J$4:$J$1463,$P15)="","",INDEX(MASTER!$J$4:$J$1463,$P15)),""))</f>
        <v>ELITE</v>
      </c>
      <c r="J15" s="17">
        <f>IF($P15="","",IFERROR(IF(INDEX(MASTER!$L$4:$L$1463,$P15)="","",INDEX(MASTER!$L$4:$L$1463,$P15)),""))</f>
        <v>6.14</v>
      </c>
      <c r="K15" s="17">
        <f>IF($P15="","",IFERROR(IF(INDEX(MASTER!$N$4:$N$1463,$P15)="","",INDEX(MASTER!$N$4:$N$1463,$P15)),""))</f>
        <v>77.5</v>
      </c>
      <c r="L15" s="15" t="str">
        <f>IF($P15="","",IFERROR(IF(INDEX(MASTER!$O$4:$O$1463,$P15)="","",INDEX(MASTER!$O$4:$O$1463,$P15)),""))</f>
        <v>S</v>
      </c>
      <c r="M15" s="15">
        <f>IF($P15="","",IFERROR(IF(INDEX(MASTER!$Q$4:$Q$1463,$P15)="","",INDEX(MASTER!$Q$4:$Q$1463,$P15)),""))</f>
        <v>13</v>
      </c>
      <c r="N15" s="15" t="str">
        <f>IF($P15="","",IFERROR(IF(INDEX(MASTER!$S$4:$S$1463,$P15)="","",INDEX(MASTER!$S$4:$S$1463,$P15)),""))</f>
        <v>Complete</v>
      </c>
      <c r="P15">
        <f>IFERROR(MATCH($Q$1&amp;"@7",MASTER!$AC$4:$AC$1463,0),"")</f>
        <v>56</v>
      </c>
    </row>
    <row r="16" spans="1:17">
      <c r="A16" s="19">
        <f>IF($P16="","",8)</f>
        <v>8</v>
      </c>
      <c r="B16" s="18" t="str">
        <f>IF($P16="","",IFERROR(IF(INDEX(MASTER!$C$4:$C$1463,$P16)="","",INDEX(MASTER!$C$4:$C$1463,$P16)),""))</f>
        <v>Azkikr</v>
      </c>
      <c r="C16" s="19" t="str">
        <f>IF($P16="","",IFERROR(IF(INDEX(MASTER!$D$4:$D$1463,$P16)="","",INDEX(MASTER!$D$4:$D$1463,$P16)),""))</f>
        <v/>
      </c>
      <c r="D16" s="19" t="str">
        <f>IF($P16="","",IFERROR(IF(INDEX(MASTER!$E$4:$E$1463,$P16)="","",INDEX(MASTER!$E$4:$E$1463,$P16)),""))</f>
        <v>BLOOD KNIGHT</v>
      </c>
      <c r="E16" s="19" t="str">
        <f>IF($P16="","",IFERROR(IF(INDEX(MASTER!$F$4:$F$1463,$P16)="","",INDEX(MASTER!$F$4:$F$1463,$P16)),""))</f>
        <v>Frontline</v>
      </c>
      <c r="F16" s="20">
        <f>IF($P16="","",IFERROR(IF(INDEX(MASTER!$G$4:$G$1463,$P16)="","",INDEX(MASTER!$G$4:$G$1463,$P16)),""))</f>
        <v>63614</v>
      </c>
      <c r="G16" s="19" t="str">
        <f>IF($P16="","",IFERROR(IF(INDEX(MASTER!$H$4:$H$1463,$P16)="","",INDEX(MASTER!$H$4:$H$1463,$P16)),""))</f>
        <v>63,000 - 63,999</v>
      </c>
      <c r="H16" s="20">
        <f>IF($P16="","",IFERROR(IF(INDEX(MASTER!$I$4:$I$1463,$P16)="","",INDEX(MASTER!$I$4:$I$1463,$P16)),""))</f>
        <v>6148</v>
      </c>
      <c r="I16" s="19" t="str">
        <f>IF($P16="","",IFERROR(IF(INDEX(MASTER!$J$4:$J$1463,$P16)="","",INDEX(MASTER!$J$4:$J$1463,$P16)),""))</f>
        <v>VETERAN</v>
      </c>
      <c r="J16" s="21">
        <f>IF($P16="","",IFERROR(IF(INDEX(MASTER!$L$4:$L$1463,$P16)="","",INDEX(MASTER!$L$4:$L$1463,$P16)),""))</f>
        <v>6.38</v>
      </c>
      <c r="K16" s="21">
        <f>IF($P16="","",IFERROR(IF(INDEX(MASTER!$N$4:$N$1463,$P16)="","",INDEX(MASTER!$N$4:$N$1463,$P16)),""))</f>
        <v>60.1</v>
      </c>
      <c r="L16" s="19" t="str">
        <f>IF($P16="","",IFERROR(IF(INDEX(MASTER!$O$4:$O$1463,$P16)="","",INDEX(MASTER!$O$4:$O$1463,$P16)),""))</f>
        <v>A</v>
      </c>
      <c r="M16" s="19">
        <f>IF($P16="","",IFERROR(IF(INDEX(MASTER!$Q$4:$Q$1463,$P16)="","",INDEX(MASTER!$Q$4:$Q$1463,$P16)),""))</f>
        <v>56</v>
      </c>
      <c r="N16" s="19" t="str">
        <f>IF($P16="","",IFERROR(IF(INDEX(MASTER!$S$4:$S$1463,$P16)="","",INDEX(MASTER!$S$4:$S$1463,$P16)),""))</f>
        <v>Complete</v>
      </c>
      <c r="P16">
        <f>IFERROR(MATCH($Q$1&amp;"@8",MASTER!$AC$4:$AC$1463,0),"")</f>
        <v>87</v>
      </c>
    </row>
    <row r="17" spans="1:16">
      <c r="A17" s="15">
        <f>IF($P17="","",9)</f>
        <v>9</v>
      </c>
      <c r="B17" s="14" t="str">
        <f>IF($P17="","",IFERROR(IF(INDEX(MASTER!$C$4:$C$1463,$P17)="","",INDEX(MASTER!$C$4:$C$1463,$P17)),""))</f>
        <v>Babysquids</v>
      </c>
      <c r="C17" s="15" t="str">
        <f>IF($P17="","",IFERROR(IF(INDEX(MASTER!$D$4:$D$1463,$P17)="","",INDEX(MASTER!$D$4:$D$1463,$P17)),""))</f>
        <v/>
      </c>
      <c r="D17" s="15" t="str">
        <f>IF($P17="","",IFERROR(IF(INDEX(MASTER!$E$4:$E$1463,$P17)="","",INDEX(MASTER!$E$4:$E$1463,$P17)),""))</f>
        <v>WIZARD</v>
      </c>
      <c r="E17" s="15" t="str">
        <f>IF($P17="","",IFERROR(IF(INDEX(MASTER!$F$4:$F$1463,$P17)="","",INDEX(MASTER!$F$4:$F$1463,$P17)),""))</f>
        <v>Ranged DPS</v>
      </c>
      <c r="F17" s="16">
        <f>IF($P17="","",IFERROR(IF(INDEX(MASTER!$G$4:$G$1463,$P17)="","",INDEX(MASTER!$G$4:$G$1463,$P17)),""))</f>
        <v>64202</v>
      </c>
      <c r="G17" s="15" t="str">
        <f>IF($P17="","",IFERROR(IF(INDEX(MASTER!$H$4:$H$1463,$P17)="","",INDEX(MASTER!$H$4:$H$1463,$P17)),""))</f>
        <v>64,000 +</v>
      </c>
      <c r="H17" s="16">
        <f>IF($P17="","",IFERROR(IF(INDEX(MASTER!$I$4:$I$1463,$P17)="","",INDEX(MASTER!$I$4:$I$1463,$P17)),""))</f>
        <v>8923</v>
      </c>
      <c r="I17" s="15" t="str">
        <f>IF($P17="","",IFERROR(IF(INDEX(MASTER!$J$4:$J$1463,$P17)="","",INDEX(MASTER!$J$4:$J$1463,$P17)),""))</f>
        <v>ELITE</v>
      </c>
      <c r="J17" s="17">
        <f>IF($P17="","",IFERROR(IF(INDEX(MASTER!$L$4:$L$1463,$P17)="","",INDEX(MASTER!$L$4:$L$1463,$P17)),""))</f>
        <v>9.6999999999999993</v>
      </c>
      <c r="K17" s="17">
        <f>IF($P17="","",IFERROR(IF(INDEX(MASTER!$N$4:$N$1463,$P17)="","",INDEX(MASTER!$N$4:$N$1463,$P17)),""))</f>
        <v>79.3</v>
      </c>
      <c r="L17" s="15" t="str">
        <f>IF($P17="","",IFERROR(IF(INDEX(MASTER!$O$4:$O$1463,$P17)="","",INDEX(MASTER!$O$4:$O$1463,$P17)),""))</f>
        <v>S</v>
      </c>
      <c r="M17" s="15">
        <f>IF($P17="","",IFERROR(IF(INDEX(MASTER!$Q$4:$Q$1463,$P17)="","",INDEX(MASTER!$Q$4:$Q$1463,$P17)),""))</f>
        <v>24</v>
      </c>
      <c r="N17" s="15" t="str">
        <f>IF($P17="","",IFERROR(IF(INDEX(MASTER!$S$4:$S$1463,$P17)="","",INDEX(MASTER!$S$4:$S$1463,$P17)),""))</f>
        <v>Complete</v>
      </c>
      <c r="P17">
        <f>IFERROR(MATCH($Q$1&amp;"@9",MASTER!$AC$4:$AC$1463,0),"")</f>
        <v>97</v>
      </c>
    </row>
    <row r="18" spans="1:16">
      <c r="A18" s="19">
        <f>IF($P18="","",10)</f>
        <v>10</v>
      </c>
      <c r="B18" s="18" t="str">
        <f>IF($P18="","",IFERROR(IF(INDEX(MASTER!$C$4:$C$1463,$P18)="","",INDEX(MASTER!$C$4:$C$1463,$P18)),""))</f>
        <v>Belagio</v>
      </c>
      <c r="C18" s="19" t="str">
        <f>IF($P18="","",IFERROR(IF(INDEX(MASTER!$D$4:$D$1463,$P18)="","",INDEX(MASTER!$D$4:$D$1463,$P18)),""))</f>
        <v/>
      </c>
      <c r="D18" s="19" t="str">
        <f>IF($P18="","",IFERROR(IF(INDEX(MASTER!$E$4:$E$1463,$P18)="","",INDEX(MASTER!$E$4:$E$1463,$P18)),""))</f>
        <v>DEMON HUNTER</v>
      </c>
      <c r="E18" s="19" t="str">
        <f>IF($P18="","",IFERROR(IF(INDEX(MASTER!$F$4:$F$1463,$P18)="","",INDEX(MASTER!$F$4:$F$1463,$P18)),""))</f>
        <v>Ranged DPS</v>
      </c>
      <c r="F18" s="20">
        <f>IF($P18="","",IFERROR(IF(INDEX(MASTER!$G$4:$G$1463,$P18)="","",INDEX(MASTER!$G$4:$G$1463,$P18)),""))</f>
        <v>63273</v>
      </c>
      <c r="G18" s="19" t="str">
        <f>IF($P18="","",IFERROR(IF(INDEX(MASTER!$H$4:$H$1463,$P18)="","",INDEX(MASTER!$H$4:$H$1463,$P18)),""))</f>
        <v>63,000 - 63,999</v>
      </c>
      <c r="H18" s="20">
        <f>IF($P18="","",IFERROR(IF(INDEX(MASTER!$I$4:$I$1463,$P18)="","",INDEX(MASTER!$I$4:$I$1463,$P18)),""))</f>
        <v>4075</v>
      </c>
      <c r="I18" s="19" t="str">
        <f>IF($P18="","",IFERROR(IF(INDEX(MASTER!$J$4:$J$1463,$P18)="","",INDEX(MASTER!$J$4:$J$1463,$P18)),""))</f>
        <v>CORE</v>
      </c>
      <c r="J18" s="21">
        <f>IF($P18="","",IFERROR(IF(INDEX(MASTER!$L$4:$L$1463,$P18)="","",INDEX(MASTER!$L$4:$L$1463,$P18)),""))</f>
        <v>5.7</v>
      </c>
      <c r="K18" s="21">
        <f>IF($P18="","",IFERROR(IF(INDEX(MASTER!$N$4:$N$1463,$P18)="","",INDEX(MASTER!$N$4:$N$1463,$P18)),""))</f>
        <v>49.1</v>
      </c>
      <c r="L18" s="19" t="str">
        <f>IF($P18="","",IFERROR(IF(INDEX(MASTER!$O$4:$O$1463,$P18)="","",INDEX(MASTER!$O$4:$O$1463,$P18)),""))</f>
        <v>B</v>
      </c>
      <c r="M18" s="19">
        <f>IF($P18="","",IFERROR(IF(INDEX(MASTER!$Q$4:$Q$1463,$P18)="","",INDEX(MASTER!$Q$4:$Q$1463,$P18)),""))</f>
        <v>78</v>
      </c>
      <c r="N18" s="19" t="str">
        <f>IF($P18="","",IFERROR(IF(INDEX(MASTER!$S$4:$S$1463,$P18)="","",INDEX(MASTER!$S$4:$S$1463,$P18)),""))</f>
        <v>Complete</v>
      </c>
      <c r="P18">
        <f>IFERROR(MATCH($Q$1&amp;"@10",MASTER!$AC$4:$AC$1463,0),"")</f>
        <v>116</v>
      </c>
    </row>
    <row r="19" spans="1:16">
      <c r="A19" s="15">
        <f>IF($P19="","",11)</f>
        <v>11</v>
      </c>
      <c r="B19" s="14" t="str">
        <f>IF($P19="","",IFERROR(IF(INDEX(MASTER!$C$4:$C$1463,$P19)="","",INDEX(MASTER!$C$4:$C$1463,$P19)),""))</f>
        <v>BellaBlue</v>
      </c>
      <c r="C19" s="15" t="str">
        <f>IF($P19="","",IFERROR(IF(INDEX(MASTER!$D$4:$D$1463,$P19)="","",INDEX(MASTER!$D$4:$D$1463,$P19)),""))</f>
        <v/>
      </c>
      <c r="D19" s="15" t="str">
        <f>IF($P19="","",IFERROR(IF(INDEX(MASTER!$E$4:$E$1463,$P19)="","",INDEX(MASTER!$E$4:$E$1463,$P19)),""))</f>
        <v>WARLOCK</v>
      </c>
      <c r="E19" s="15" t="str">
        <f>IF($P19="","",IFERROR(IF(INDEX(MASTER!$F$4:$F$1463,$P19)="","",INDEX(MASTER!$F$4:$F$1463,$P19)),""))</f>
        <v>Control</v>
      </c>
      <c r="F19" s="16">
        <f>IF($P19="","",IFERROR(IF(INDEX(MASTER!$G$4:$G$1463,$P19)="","",INDEX(MASTER!$G$4:$G$1463,$P19)),""))</f>
        <v>63148</v>
      </c>
      <c r="G19" s="15" t="str">
        <f>IF($P19="","",IFERROR(IF(INDEX(MASTER!$H$4:$H$1463,$P19)="","",INDEX(MASTER!$H$4:$H$1463,$P19)),""))</f>
        <v>63,000 - 63,999</v>
      </c>
      <c r="H19" s="16">
        <f>IF($P19="","",IFERROR(IF(INDEX(MASTER!$I$4:$I$1463,$P19)="","",INDEX(MASTER!$I$4:$I$1463,$P19)),""))</f>
        <v>4755</v>
      </c>
      <c r="I19" s="15" t="str">
        <f>IF($P19="","",IFERROR(IF(INDEX(MASTER!$J$4:$J$1463,$P19)="","",INDEX(MASTER!$J$4:$J$1463,$P19)),""))</f>
        <v>CORE</v>
      </c>
      <c r="J19" s="17">
        <f>IF($P19="","",IFERROR(IF(INDEX(MASTER!$L$4:$L$1463,$P19)="","",INDEX(MASTER!$L$4:$L$1463,$P19)),""))</f>
        <v>5.8</v>
      </c>
      <c r="K19" s="17">
        <f>IF($P19="","",IFERROR(IF(INDEX(MASTER!$N$4:$N$1463,$P19)="","",INDEX(MASTER!$N$4:$N$1463,$P19)),""))</f>
        <v>51.9</v>
      </c>
      <c r="L19" s="15" t="str">
        <f>IF($P19="","",IFERROR(IF(INDEX(MASTER!$O$4:$O$1463,$P19)="","",INDEX(MASTER!$O$4:$O$1463,$P19)),""))</f>
        <v>A</v>
      </c>
      <c r="M19" s="15">
        <f>IF($P19="","",IFERROR(IF(INDEX(MASTER!$Q$4:$Q$1463,$P19)="","",INDEX(MASTER!$Q$4:$Q$1463,$P19)),""))</f>
        <v>68</v>
      </c>
      <c r="N19" s="15" t="str">
        <f>IF($P19="","",IFERROR(IF(INDEX(MASTER!$S$4:$S$1463,$P19)="","",INDEX(MASTER!$S$4:$S$1463,$P19)),""))</f>
        <v>Complete</v>
      </c>
      <c r="P19">
        <f>IFERROR(MATCH($Q$1&amp;"@11",MASTER!$AC$4:$AC$1463,0),"")</f>
        <v>118</v>
      </c>
    </row>
    <row r="20" spans="1:16">
      <c r="A20" s="19">
        <f>IF($P20="","",12)</f>
        <v>12</v>
      </c>
      <c r="B20" s="18" t="str">
        <f>IF($P20="","",IFERROR(IF(INDEX(MASTER!$C$4:$C$1463,$P20)="","",INDEX(MASTER!$C$4:$C$1463,$P20)),""))</f>
        <v>BilboStabbins</v>
      </c>
      <c r="C20" s="19" t="str">
        <f>IF($P20="","",IFERROR(IF(INDEX(MASTER!$D$4:$D$1463,$P20)="","",INDEX(MASTER!$D$4:$D$1463,$P20)),""))</f>
        <v/>
      </c>
      <c r="D20" s="19" t="str">
        <f>IF($P20="","",IFERROR(IF(INDEX(MASTER!$E$4:$E$1463,$P20)="","",INDEX(MASTER!$E$4:$E$1463,$P20)),""))</f>
        <v>DEMON HUNTER</v>
      </c>
      <c r="E20" s="19" t="str">
        <f>IF($P20="","",IFERROR(IF(INDEX(MASTER!$F$4:$F$1463,$P20)="","",INDEX(MASTER!$F$4:$F$1463,$P20)),""))</f>
        <v>Ranged DPS</v>
      </c>
      <c r="F20" s="20">
        <f>IF($P20="","",IFERROR(IF(INDEX(MASTER!$G$4:$G$1463,$P20)="","",INDEX(MASTER!$G$4:$G$1463,$P20)),""))</f>
        <v>63632</v>
      </c>
      <c r="G20" s="19" t="str">
        <f>IF($P20="","",IFERROR(IF(INDEX(MASTER!$H$4:$H$1463,$P20)="","",INDEX(MASTER!$H$4:$H$1463,$P20)),""))</f>
        <v>63,000 - 63,999</v>
      </c>
      <c r="H20" s="20">
        <f>IF($P20="","",IFERROR(IF(INDEX(MASTER!$I$4:$I$1463,$P20)="","",INDEX(MASTER!$I$4:$I$1463,$P20)),""))</f>
        <v>7894</v>
      </c>
      <c r="I20" s="19" t="str">
        <f>IF($P20="","",IFERROR(IF(INDEX(MASTER!$J$4:$J$1463,$P20)="","",INDEX(MASTER!$J$4:$J$1463,$P20)),""))</f>
        <v>VETERAN</v>
      </c>
      <c r="J20" s="21">
        <f>IF($P20="","",IFERROR(IF(INDEX(MASTER!$L$4:$L$1463,$P20)="","",INDEX(MASTER!$L$4:$L$1463,$P20)),""))</f>
        <v>10.1</v>
      </c>
      <c r="K20" s="21">
        <f>IF($P20="","",IFERROR(IF(INDEX(MASTER!$N$4:$N$1463,$P20)="","",INDEX(MASTER!$N$4:$N$1463,$P20)),""))</f>
        <v>74</v>
      </c>
      <c r="L20" s="19" t="str">
        <f>IF($P20="","",IFERROR(IF(INDEX(MASTER!$O$4:$O$1463,$P20)="","",INDEX(MASTER!$O$4:$O$1463,$P20)),""))</f>
        <v>S</v>
      </c>
      <c r="M20" s="19">
        <f>IF($P20="","",IFERROR(IF(INDEX(MASTER!$Q$4:$Q$1463,$P20)="","",INDEX(MASTER!$Q$4:$Q$1463,$P20)),""))</f>
        <v>35</v>
      </c>
      <c r="N20" s="19" t="str">
        <f>IF($P20="","",IFERROR(IF(INDEX(MASTER!$S$4:$S$1463,$P20)="","",INDEX(MASTER!$S$4:$S$1463,$P20)),""))</f>
        <v>Complete</v>
      </c>
      <c r="P20">
        <f>IFERROR(MATCH($Q$1&amp;"@12",MASTER!$AC$4:$AC$1463,0),"")</f>
        <v>135</v>
      </c>
    </row>
    <row r="21" spans="1:16">
      <c r="A21" s="15">
        <f>IF($P21="","",13)</f>
        <v>13</v>
      </c>
      <c r="B21" s="14" t="str">
        <f>IF($P21="","",IFERROR(IF(INDEX(MASTER!$C$4:$C$1463,$P21)="","",INDEX(MASTER!$C$4:$C$1463,$P21)),""))</f>
        <v>BîrthdayCake</v>
      </c>
      <c r="C21" s="15" t="str">
        <f>IF($P21="","",IFERROR(IF(INDEX(MASTER!$D$4:$D$1463,$P21)="","",INDEX(MASTER!$D$4:$D$1463,$P21)),""))</f>
        <v/>
      </c>
      <c r="D21" s="15" t="str">
        <f>IF($P21="","",IFERROR(IF(INDEX(MASTER!$E$4:$E$1463,$P21)="","",INDEX(MASTER!$E$4:$E$1463,$P21)),""))</f>
        <v>DRUID</v>
      </c>
      <c r="E21" s="15" t="str">
        <f>IF($P21="","",IFERROR(IF(INDEX(MASTER!$F$4:$F$1463,$P21)="","",INDEX(MASTER!$F$4:$F$1463,$P21)),""))</f>
        <v>Support</v>
      </c>
      <c r="F21" s="16">
        <f>IF($P21="","",IFERROR(IF(INDEX(MASTER!$G$4:$G$1463,$P21)="","",INDEX(MASTER!$G$4:$G$1463,$P21)),""))</f>
        <v>63771</v>
      </c>
      <c r="G21" s="15" t="str">
        <f>IF($P21="","",IFERROR(IF(INDEX(MASTER!$H$4:$H$1463,$P21)="","",INDEX(MASTER!$H$4:$H$1463,$P21)),""))</f>
        <v>63,000 - 63,999</v>
      </c>
      <c r="H21" s="16">
        <f>IF($P21="","",IFERROR(IF(INDEX(MASTER!$I$4:$I$1463,$P21)="","",INDEX(MASTER!$I$4:$I$1463,$P21)),""))</f>
        <v>10084</v>
      </c>
      <c r="I21" s="15" t="str">
        <f>IF($P21="","",IFERROR(IF(INDEX(MASTER!$J$4:$J$1463,$P21)="","",INDEX(MASTER!$J$4:$J$1463,$P21)),""))</f>
        <v>APEX</v>
      </c>
      <c r="J21" s="17">
        <f>IF($P21="","",IFERROR(IF(INDEX(MASTER!$L$4:$L$1463,$P21)="","",INDEX(MASTER!$L$4:$L$1463,$P21)),""))</f>
        <v>9.9</v>
      </c>
      <c r="K21" s="17">
        <f>IF($P21="","",IFERROR(IF(INDEX(MASTER!$N$4:$N$1463,$P21)="","",INDEX(MASTER!$N$4:$N$1463,$P21)),""))</f>
        <v>83.6</v>
      </c>
      <c r="L21" s="15" t="str">
        <f>IF($P21="","",IFERROR(IF(INDEX(MASTER!$O$4:$O$1463,$P21)="","",INDEX(MASTER!$O$4:$O$1463,$P21)),""))</f>
        <v>S+</v>
      </c>
      <c r="M21" s="15">
        <f>IF($P21="","",IFERROR(IF(INDEX(MASTER!$Q$4:$Q$1463,$P21)="","",INDEX(MASTER!$Q$4:$Q$1463,$P21)),""))</f>
        <v>9</v>
      </c>
      <c r="N21" s="15" t="str">
        <f>IF($P21="","",IFERROR(IF(INDEX(MASTER!$S$4:$S$1463,$P21)="","",INDEX(MASTER!$S$4:$S$1463,$P21)),""))</f>
        <v>Complete</v>
      </c>
      <c r="P21">
        <f>IFERROR(MATCH($Q$1&amp;"@13",MASTER!$AC$4:$AC$1463,0),"")</f>
        <v>179</v>
      </c>
    </row>
    <row r="22" spans="1:16">
      <c r="A22" s="19">
        <f>IF($P22="","",14)</f>
        <v>14</v>
      </c>
      <c r="B22" s="18" t="str">
        <f>IF($P22="","",IFERROR(IF(INDEX(MASTER!$C$4:$C$1463,$P22)="","",INDEX(MASTER!$C$4:$C$1463,$P22)),""))</f>
        <v>Blakfrost</v>
      </c>
      <c r="C22" s="19" t="str">
        <f>IF($P22="","",IFERROR(IF(INDEX(MASTER!$D$4:$D$1463,$P22)="","",INDEX(MASTER!$D$4:$D$1463,$P22)),""))</f>
        <v/>
      </c>
      <c r="D22" s="19" t="str">
        <f>IF($P22="","",IFERROR(IF(INDEX(MASTER!$E$4:$E$1463,$P22)="","",INDEX(MASTER!$E$4:$E$1463,$P22)),""))</f>
        <v>TEMPEST</v>
      </c>
      <c r="E22" s="19" t="str">
        <f>IF($P22="","",IFERROR(IF(INDEX(MASTER!$F$4:$F$1463,$P22)="","",INDEX(MASTER!$F$4:$F$1463,$P22)),""))</f>
        <v>Melee DPS</v>
      </c>
      <c r="F22" s="20">
        <f>IF($P22="","",IFERROR(IF(INDEX(MASTER!$G$4:$G$1463,$P22)="","",INDEX(MASTER!$G$4:$G$1463,$P22)),""))</f>
        <v>62873</v>
      </c>
      <c r="G22" s="19" t="str">
        <f>IF($P22="","",IFERROR(IF(INDEX(MASTER!$H$4:$H$1463,$P22)="","",INDEX(MASTER!$H$4:$H$1463,$P22)),""))</f>
        <v>62,000 - 62,999</v>
      </c>
      <c r="H22" s="20">
        <f>IF($P22="","",IFERROR(IF(INDEX(MASTER!$I$4:$I$1463,$P22)="","",INDEX(MASTER!$I$4:$I$1463,$P22)),""))</f>
        <v>7184</v>
      </c>
      <c r="I22" s="19" t="str">
        <f>IF($P22="","",IFERROR(IF(INDEX(MASTER!$J$4:$J$1463,$P22)="","",INDEX(MASTER!$J$4:$J$1463,$P22)),""))</f>
        <v>VETERAN</v>
      </c>
      <c r="J22" s="21">
        <f>IF($P22="","",IFERROR(IF(INDEX(MASTER!$L$4:$L$1463,$P22)="","",INDEX(MASTER!$L$4:$L$1463,$P22)),""))</f>
        <v>6.59</v>
      </c>
      <c r="K22" s="21">
        <f>IF($P22="","",IFERROR(IF(INDEX(MASTER!$N$4:$N$1463,$P22)="","",INDEX(MASTER!$N$4:$N$1463,$P22)),""))</f>
        <v>63.1</v>
      </c>
      <c r="L22" s="19" t="str">
        <f>IF($P22="","",IFERROR(IF(INDEX(MASTER!$O$4:$O$1463,$P22)="","",INDEX(MASTER!$O$4:$O$1463,$P22)),""))</f>
        <v>A</v>
      </c>
      <c r="M22" s="19">
        <f>IF($P22="","",IFERROR(IF(INDEX(MASTER!$Q$4:$Q$1463,$P22)="","",INDEX(MASTER!$Q$4:$Q$1463,$P22)),""))</f>
        <v>44</v>
      </c>
      <c r="N22" s="19" t="str">
        <f>IF($P22="","",IFERROR(IF(INDEX(MASTER!$S$4:$S$1463,$P22)="","",INDEX(MASTER!$S$4:$S$1463,$P22)),""))</f>
        <v>Complete</v>
      </c>
      <c r="P22">
        <f>IFERROR(MATCH($Q$1&amp;"@14",MASTER!$AC$4:$AC$1463,0),"")</f>
        <v>142</v>
      </c>
    </row>
    <row r="23" spans="1:16">
      <c r="A23" s="15">
        <f>IF($P23="","",15)</f>
        <v>15</v>
      </c>
      <c r="B23" s="14" t="str">
        <f>IF($P23="","",IFERROR(IF(INDEX(MASTER!$C$4:$C$1463,$P23)="","",INDEX(MASTER!$C$4:$C$1463,$P23)),""))</f>
        <v>BloodzAF</v>
      </c>
      <c r="C23" s="15" t="str">
        <f>IF($P23="","",IFERROR(IF(INDEX(MASTER!$D$4:$D$1463,$P23)="","",INDEX(MASTER!$D$4:$D$1463,$P23)),""))</f>
        <v/>
      </c>
      <c r="D23" s="15" t="str">
        <f>IF($P23="","",IFERROR(IF(INDEX(MASTER!$E$4:$E$1463,$P23)="","",INDEX(MASTER!$E$4:$E$1463,$P23)),""))</f>
        <v>TEMPEST</v>
      </c>
      <c r="E23" s="15" t="str">
        <f>IF($P23="","",IFERROR(IF(INDEX(MASTER!$F$4:$F$1463,$P23)="","",INDEX(MASTER!$F$4:$F$1463,$P23)),""))</f>
        <v>Melee DPS</v>
      </c>
      <c r="F23" s="16">
        <f>IF($P23="","",IFERROR(IF(INDEX(MASTER!$G$4:$G$1463,$P23)="","",INDEX(MASTER!$G$4:$G$1463,$P23)),""))</f>
        <v>62761</v>
      </c>
      <c r="G23" s="15" t="str">
        <f>IF($P23="","",IFERROR(IF(INDEX(MASTER!$H$4:$H$1463,$P23)="","",INDEX(MASTER!$H$4:$H$1463,$P23)),""))</f>
        <v>62,000 - 62,999</v>
      </c>
      <c r="H23" s="16">
        <f>IF($P23="","",IFERROR(IF(INDEX(MASTER!$I$4:$I$1463,$P23)="","",INDEX(MASTER!$I$4:$I$1463,$P23)),""))</f>
        <v>6299</v>
      </c>
      <c r="I23" s="15" t="str">
        <f>IF($P23="","",IFERROR(IF(INDEX(MASTER!$J$4:$J$1463,$P23)="","",INDEX(MASTER!$J$4:$J$1463,$P23)),""))</f>
        <v>VETERAN</v>
      </c>
      <c r="J23" s="17">
        <f>IF($P23="","",IFERROR(IF(INDEX(MASTER!$L$4:$L$1463,$P23)="","",INDEX(MASTER!$L$4:$L$1463,$P23)),""))</f>
        <v>4.79</v>
      </c>
      <c r="K23" s="17">
        <f>IF($P23="","",IFERROR(IF(INDEX(MASTER!$N$4:$N$1463,$P23)="","",INDEX(MASTER!$N$4:$N$1463,$P23)),""))</f>
        <v>55.9</v>
      </c>
      <c r="L23" s="15" t="str">
        <f>IF($P23="","",IFERROR(IF(INDEX(MASTER!$O$4:$O$1463,$P23)="","",INDEX(MASTER!$O$4:$O$1463,$P23)),""))</f>
        <v>A</v>
      </c>
      <c r="M23" s="15">
        <f>IF($P23="","",IFERROR(IF(INDEX(MASTER!$Q$4:$Q$1463,$P23)="","",INDEX(MASTER!$Q$4:$Q$1463,$P23)),""))</f>
        <v>52</v>
      </c>
      <c r="N23" s="15" t="str">
        <f>IF($P23="","",IFERROR(IF(INDEX(MASTER!$S$4:$S$1463,$P23)="","",INDEX(MASTER!$S$4:$S$1463,$P23)),""))</f>
        <v>Complete</v>
      </c>
      <c r="P23">
        <f>IFERROR(MATCH($Q$1&amp;"@15",MASTER!$AC$4:$AC$1463,0),"")</f>
        <v>152</v>
      </c>
    </row>
    <row r="24" spans="1:16">
      <c r="A24" s="19">
        <f>IF($P24="","",16)</f>
        <v>16</v>
      </c>
      <c r="B24" s="18" t="str">
        <f>IF($P24="","",IFERROR(IF(INDEX(MASTER!$C$4:$C$1463,$P24)="","",INDEX(MASTER!$C$4:$C$1463,$P24)),""))</f>
        <v>Bo</v>
      </c>
      <c r="C24" s="19" t="str">
        <f>IF($P24="","",IFERROR(IF(INDEX(MASTER!$D$4:$D$1463,$P24)="","",INDEX(MASTER!$D$4:$D$1463,$P24)),""))</f>
        <v/>
      </c>
      <c r="D24" s="19" t="str">
        <f>IF($P24="","",IFERROR(IF(INDEX(MASTER!$E$4:$E$1463,$P24)="","",INDEX(MASTER!$E$4:$E$1463,$P24)),""))</f>
        <v>DRUID</v>
      </c>
      <c r="E24" s="19" t="str">
        <f>IF($P24="","",IFERROR(IF(INDEX(MASTER!$F$4:$F$1463,$P24)="","",INDEX(MASTER!$F$4:$F$1463,$P24)),""))</f>
        <v>Support</v>
      </c>
      <c r="F24" s="20">
        <f>IF($P24="","",IFERROR(IF(INDEX(MASTER!$G$4:$G$1463,$P24)="","",INDEX(MASTER!$G$4:$G$1463,$P24)),""))</f>
        <v>63120</v>
      </c>
      <c r="G24" s="19" t="str">
        <f>IF($P24="","",IFERROR(IF(INDEX(MASTER!$H$4:$H$1463,$P24)="","",INDEX(MASTER!$H$4:$H$1463,$P24)),""))</f>
        <v>63,000 - 63,999</v>
      </c>
      <c r="H24" s="20">
        <f>IF($P24="","",IFERROR(IF(INDEX(MASTER!$I$4:$I$1463,$P24)="","",INDEX(MASTER!$I$4:$I$1463,$P24)),""))</f>
        <v>4507</v>
      </c>
      <c r="I24" s="19" t="str">
        <f>IF($P24="","",IFERROR(IF(INDEX(MASTER!$J$4:$J$1463,$P24)="","",INDEX(MASTER!$J$4:$J$1463,$P24)),""))</f>
        <v>CORE</v>
      </c>
      <c r="J24" s="21">
        <f>IF($P24="","",IFERROR(IF(INDEX(MASTER!$L$4:$L$1463,$P24)="","",INDEX(MASTER!$L$4:$L$1463,$P24)),""))</f>
        <v>6.07</v>
      </c>
      <c r="K24" s="21">
        <f>IF($P24="","",IFERROR(IF(INDEX(MASTER!$N$4:$N$1463,$P24)="","",INDEX(MASTER!$N$4:$N$1463,$P24)),""))</f>
        <v>51.2</v>
      </c>
      <c r="L24" s="19" t="str">
        <f>IF($P24="","",IFERROR(IF(INDEX(MASTER!$O$4:$O$1463,$P24)="","",INDEX(MASTER!$O$4:$O$1463,$P24)),""))</f>
        <v>A</v>
      </c>
      <c r="M24" s="19">
        <f>IF($P24="","",IFERROR(IF(INDEX(MASTER!$Q$4:$Q$1463,$P24)="","",INDEX(MASTER!$Q$4:$Q$1463,$P24)),""))</f>
        <v>74</v>
      </c>
      <c r="N24" s="19" t="str">
        <f>IF($P24="","",IFERROR(IF(INDEX(MASTER!$S$4:$S$1463,$P24)="","",INDEX(MASTER!$S$4:$S$1463,$P24)),""))</f>
        <v>Complete</v>
      </c>
      <c r="P24">
        <f>IFERROR(MATCH($Q$1&amp;"@16",MASTER!$AC$4:$AC$1463,0),"")</f>
        <v>157</v>
      </c>
    </row>
    <row r="25" spans="1:16">
      <c r="A25" s="15">
        <f>IF($P25="","",17)</f>
        <v>17</v>
      </c>
      <c r="B25" s="14" t="str">
        <f>IF($P25="","",IFERROR(IF(INDEX(MASTER!$C$4:$C$1463,$P25)="","",INDEX(MASTER!$C$4:$C$1463,$P25)),""))</f>
        <v>Bumblebee</v>
      </c>
      <c r="C25" s="15" t="str">
        <f>IF($P25="","",IFERROR(IF(INDEX(MASTER!$D$4:$D$1463,$P25)="","",INDEX(MASTER!$D$4:$D$1463,$P25)),""))</f>
        <v/>
      </c>
      <c r="D25" s="15" t="str">
        <f>IF($P25="","",IFERROR(IF(INDEX(MASTER!$E$4:$E$1463,$P25)="","",INDEX(MASTER!$E$4:$E$1463,$P25)),""))</f>
        <v>DRUID</v>
      </c>
      <c r="E25" s="15" t="str">
        <f>IF($P25="","",IFERROR(IF(INDEX(MASTER!$F$4:$F$1463,$P25)="","",INDEX(MASTER!$F$4:$F$1463,$P25)),""))</f>
        <v>Support</v>
      </c>
      <c r="F25" s="16">
        <f>IF($P25="","",IFERROR(IF(INDEX(MASTER!$G$4:$G$1463,$P25)="","",INDEX(MASTER!$G$4:$G$1463,$P25)),""))</f>
        <v>62850</v>
      </c>
      <c r="G25" s="15" t="str">
        <f>IF($P25="","",IFERROR(IF(INDEX(MASTER!$H$4:$H$1463,$P25)="","",INDEX(MASTER!$H$4:$H$1463,$P25)),""))</f>
        <v>62,000 - 62,999</v>
      </c>
      <c r="H25" s="16">
        <f>IF($P25="","",IFERROR(IF(INDEX(MASTER!$I$4:$I$1463,$P25)="","",INDEX(MASTER!$I$4:$I$1463,$P25)),""))</f>
        <v>9724</v>
      </c>
      <c r="I25" s="15" t="str">
        <f>IF($P25="","",IFERROR(IF(INDEX(MASTER!$J$4:$J$1463,$P25)="","",INDEX(MASTER!$J$4:$J$1463,$P25)),""))</f>
        <v>ELITE</v>
      </c>
      <c r="J25" s="17">
        <f>IF($P25="","",IFERROR(IF(INDEX(MASTER!$L$4:$L$1463,$P25)="","",INDEX(MASTER!$L$4:$L$1463,$P25)),""))</f>
        <v>9.25</v>
      </c>
      <c r="K25" s="17">
        <f>IF($P25="","",IFERROR(IF(INDEX(MASTER!$N$4:$N$1463,$P25)="","",INDEX(MASTER!$N$4:$N$1463,$P25)),""))</f>
        <v>78.5</v>
      </c>
      <c r="L25" s="15" t="str">
        <f>IF($P25="","",IFERROR(IF(INDEX(MASTER!$O$4:$O$1463,$P25)="","",INDEX(MASTER!$O$4:$O$1463,$P25)),""))</f>
        <v>S</v>
      </c>
      <c r="M25" s="15">
        <f>IF($P25="","",IFERROR(IF(INDEX(MASTER!$Q$4:$Q$1463,$P25)="","",INDEX(MASTER!$Q$4:$Q$1463,$P25)),""))</f>
        <v>14</v>
      </c>
      <c r="N25" s="15" t="str">
        <f>IF($P25="","",IFERROR(IF(INDEX(MASTER!$S$4:$S$1463,$P25)="","",INDEX(MASTER!$S$4:$S$1463,$P25)),""))</f>
        <v>Complete</v>
      </c>
      <c r="P25">
        <f>IFERROR(MATCH($Q$1&amp;"@17",MASTER!$AC$4:$AC$1463,0),"")</f>
        <v>175</v>
      </c>
    </row>
    <row r="26" spans="1:16">
      <c r="A26" s="19">
        <f>IF($P26="","",18)</f>
        <v>18</v>
      </c>
      <c r="B26" s="18" t="str">
        <f>IF($P26="","",IFERROR(IF(INDEX(MASTER!$C$4:$C$1463,$P26)="","",INDEX(MASTER!$C$4:$C$1463,$P26)),""))</f>
        <v>ChemaCun</v>
      </c>
      <c r="C26" s="19" t="str">
        <f>IF($P26="","",IFERROR(IF(INDEX(MASTER!$D$4:$D$1463,$P26)="","",INDEX(MASTER!$D$4:$D$1463,$P26)),""))</f>
        <v/>
      </c>
      <c r="D26" s="19" t="str">
        <f>IF($P26="","",IFERROR(IF(INDEX(MASTER!$E$4:$E$1463,$P26)="","",INDEX(MASTER!$E$4:$E$1463,$P26)),""))</f>
        <v>BARBARIAN</v>
      </c>
      <c r="E26" s="19" t="str">
        <f>IF($P26="","",IFERROR(IF(INDEX(MASTER!$F$4:$F$1463,$P26)="","",INDEX(MASTER!$F$4:$F$1463,$P26)),""))</f>
        <v>Frontline</v>
      </c>
      <c r="F26" s="20">
        <f>IF($P26="","",IFERROR(IF(INDEX(MASTER!$G$4:$G$1463,$P26)="","",INDEX(MASTER!$G$4:$G$1463,$P26)),""))</f>
        <v>63630</v>
      </c>
      <c r="G26" s="19" t="str">
        <f>IF($P26="","",IFERROR(IF(INDEX(MASTER!$H$4:$H$1463,$P26)="","",INDEX(MASTER!$H$4:$H$1463,$P26)),""))</f>
        <v>63,000 - 63,999</v>
      </c>
      <c r="H26" s="20">
        <f>IF($P26="","",IFERROR(IF(INDEX(MASTER!$I$4:$I$1463,$P26)="","",INDEX(MASTER!$I$4:$I$1463,$P26)),""))</f>
        <v>6849</v>
      </c>
      <c r="I26" s="19" t="str">
        <f>IF($P26="","",IFERROR(IF(INDEX(MASTER!$J$4:$J$1463,$P26)="","",INDEX(MASTER!$J$4:$J$1463,$P26)),""))</f>
        <v>VETERAN</v>
      </c>
      <c r="J26" s="21">
        <f>IF($P26="","",IFERROR(IF(INDEX(MASTER!$L$4:$L$1463,$P26)="","",INDEX(MASTER!$L$4:$L$1463,$P26)),""))</f>
        <v>6.46</v>
      </c>
      <c r="K26" s="21">
        <f>IF($P26="","",IFERROR(IF(INDEX(MASTER!$N$4:$N$1463,$P26)="","",INDEX(MASTER!$N$4:$N$1463,$P26)),""))</f>
        <v>63.4</v>
      </c>
      <c r="L26" s="19" t="str">
        <f>IF($P26="","",IFERROR(IF(INDEX(MASTER!$O$4:$O$1463,$P26)="","",INDEX(MASTER!$O$4:$O$1463,$P26)),""))</f>
        <v>A</v>
      </c>
      <c r="M26" s="19">
        <f>IF($P26="","",IFERROR(IF(INDEX(MASTER!$Q$4:$Q$1463,$P26)="","",INDEX(MASTER!$Q$4:$Q$1463,$P26)),""))</f>
        <v>47</v>
      </c>
      <c r="N26" s="19" t="str">
        <f>IF($P26="","",IFERROR(IF(INDEX(MASTER!$S$4:$S$1463,$P26)="","",INDEX(MASTER!$S$4:$S$1463,$P26)),""))</f>
        <v>Complete</v>
      </c>
      <c r="P26">
        <f>IFERROR(MATCH($Q$1&amp;"@18",MASTER!$AC$4:$AC$1463,0),"")</f>
        <v>205</v>
      </c>
    </row>
    <row r="27" spans="1:16">
      <c r="A27" s="15">
        <f>IF($P27="","",19)</f>
        <v>19</v>
      </c>
      <c r="B27" s="14" t="str">
        <f>IF($P27="","",IFERROR(IF(INDEX(MASTER!$C$4:$C$1463,$P27)="","",INDEX(MASTER!$C$4:$C$1463,$P27)),""))</f>
        <v>Cirlia</v>
      </c>
      <c r="C27" s="15" t="str">
        <f>IF($P27="","",IFERROR(IF(INDEX(MASTER!$D$4:$D$1463,$P27)="","",INDEX(MASTER!$D$4:$D$1463,$P27)),""))</f>
        <v/>
      </c>
      <c r="D27" s="15" t="str">
        <f>IF($P27="","",IFERROR(IF(INDEX(MASTER!$E$4:$E$1463,$P27)="","",INDEX(MASTER!$E$4:$E$1463,$P27)),""))</f>
        <v>WARLOCK</v>
      </c>
      <c r="E27" s="15" t="str">
        <f>IF($P27="","",IFERROR(IF(INDEX(MASTER!$F$4:$F$1463,$P27)="","",INDEX(MASTER!$F$4:$F$1463,$P27)),""))</f>
        <v>Control</v>
      </c>
      <c r="F27" s="16">
        <f>IF($P27="","",IFERROR(IF(INDEX(MASTER!$G$4:$G$1463,$P27)="","",INDEX(MASTER!$G$4:$G$1463,$P27)),""))</f>
        <v>63610</v>
      </c>
      <c r="G27" s="15" t="str">
        <f>IF($P27="","",IFERROR(IF(INDEX(MASTER!$H$4:$H$1463,$P27)="","",INDEX(MASTER!$H$4:$H$1463,$P27)),""))</f>
        <v>63,000 - 63,999</v>
      </c>
      <c r="H27" s="16">
        <f>IF($P27="","",IFERROR(IF(INDEX(MASTER!$I$4:$I$1463,$P27)="","",INDEX(MASTER!$I$4:$I$1463,$P27)),""))</f>
        <v>7528</v>
      </c>
      <c r="I27" s="15" t="str">
        <f>IF($P27="","",IFERROR(IF(INDEX(MASTER!$J$4:$J$1463,$P27)="","",INDEX(MASTER!$J$4:$J$1463,$P27)),""))</f>
        <v>VETERAN</v>
      </c>
      <c r="J27" s="17">
        <f>IF($P27="","",IFERROR(IF(INDEX(MASTER!$L$4:$L$1463,$P27)="","",INDEX(MASTER!$L$4:$L$1463,$P27)),""))</f>
        <v>6.55</v>
      </c>
      <c r="K27" s="17">
        <f>IF($P27="","",IFERROR(IF(INDEX(MASTER!$N$4:$N$1463,$P27)="","",INDEX(MASTER!$N$4:$N$1463,$P27)),""))</f>
        <v>66.400000000000006</v>
      </c>
      <c r="L27" s="15" t="str">
        <f>IF($P27="","",IFERROR(IF(INDEX(MASTER!$O$4:$O$1463,$P27)="","",INDEX(MASTER!$O$4:$O$1463,$P27)),""))</f>
        <v>S</v>
      </c>
      <c r="M27" s="15">
        <f>IF($P27="","",IFERROR(IF(INDEX(MASTER!$Q$4:$Q$1463,$P27)="","",INDEX(MASTER!$Q$4:$Q$1463,$P27)),""))</f>
        <v>38</v>
      </c>
      <c r="N27" s="15" t="str">
        <f>IF($P27="","",IFERROR(IF(INDEX(MASTER!$S$4:$S$1463,$P27)="","",INDEX(MASTER!$S$4:$S$1463,$P27)),""))</f>
        <v>Complete</v>
      </c>
      <c r="P27">
        <f>IFERROR(MATCH($Q$1&amp;"@19",MASTER!$AC$4:$AC$1463,0),"")</f>
        <v>215</v>
      </c>
    </row>
    <row r="28" spans="1:16">
      <c r="A28" s="19">
        <f>IF($P28="","",20)</f>
        <v>20</v>
      </c>
      <c r="B28" s="18" t="str">
        <f>IF($P28="","",IFERROR(IF(INDEX(MASTER!$C$4:$C$1463,$P28)="","",INDEX(MASTER!$C$4:$C$1463,$P28)),""))</f>
        <v>Cleopatra31</v>
      </c>
      <c r="C28" s="19" t="str">
        <f>IF($P28="","",IFERROR(IF(INDEX(MASTER!$D$4:$D$1463,$P28)="","",INDEX(MASTER!$D$4:$D$1463,$P28)),""))</f>
        <v/>
      </c>
      <c r="D28" s="19" t="str">
        <f>IF($P28="","",IFERROR(IF(INDEX(MASTER!$E$4:$E$1463,$P28)="","",INDEX(MASTER!$E$4:$E$1463,$P28)),""))</f>
        <v>DEMON HUNTER</v>
      </c>
      <c r="E28" s="19" t="str">
        <f>IF($P28="","",IFERROR(IF(INDEX(MASTER!$F$4:$F$1463,$P28)="","",INDEX(MASTER!$F$4:$F$1463,$P28)),""))</f>
        <v>Ranged DPS</v>
      </c>
      <c r="F28" s="20">
        <f>IF($P28="","",IFERROR(IF(INDEX(MASTER!$G$4:$G$1463,$P28)="","",INDEX(MASTER!$G$4:$G$1463,$P28)),""))</f>
        <v>62753</v>
      </c>
      <c r="G28" s="19" t="str">
        <f>IF($P28="","",IFERROR(IF(INDEX(MASTER!$H$4:$H$1463,$P28)="","",INDEX(MASTER!$H$4:$H$1463,$P28)),""))</f>
        <v>62,000 - 62,999</v>
      </c>
      <c r="H28" s="20">
        <f>IF($P28="","",IFERROR(IF(INDEX(MASTER!$I$4:$I$1463,$P28)="","",INDEX(MASTER!$I$4:$I$1463,$P28)),""))</f>
        <v>1780</v>
      </c>
      <c r="I28" s="19" t="str">
        <f>IF($P28="","",IFERROR(IF(INDEX(MASTER!$J$4:$J$1463,$P28)="","",INDEX(MASTER!$J$4:$J$1463,$P28)),""))</f>
        <v>ROOKIE</v>
      </c>
      <c r="J28" s="21">
        <f>IF($P28="","",IFERROR(IF(INDEX(MASTER!$L$4:$L$1463,$P28)="","",INDEX(MASTER!$L$4:$L$1463,$P28)),""))</f>
        <v>3.85</v>
      </c>
      <c r="K28" s="21">
        <f>IF($P28="","",IFERROR(IF(INDEX(MASTER!$N$4:$N$1463,$P28)="","",INDEX(MASTER!$N$4:$N$1463,$P28)),""))</f>
        <v>34.6</v>
      </c>
      <c r="L28" s="19" t="str">
        <f>IF($P28="","",IFERROR(IF(INDEX(MASTER!$O$4:$O$1463,$P28)="","",INDEX(MASTER!$O$4:$O$1463,$P28)),""))</f>
        <v>C</v>
      </c>
      <c r="M28" s="19">
        <f>IF($P28="","",IFERROR(IF(INDEX(MASTER!$Q$4:$Q$1463,$P28)="","",INDEX(MASTER!$Q$4:$Q$1463,$P28)),""))</f>
        <v>95</v>
      </c>
      <c r="N28" s="19" t="str">
        <f>IF($P28="","",IFERROR(IF(INDEX(MASTER!$S$4:$S$1463,$P28)="","",INDEX(MASTER!$S$4:$S$1463,$P28)),""))</f>
        <v>Complete</v>
      </c>
      <c r="P28">
        <f>IFERROR(MATCH($Q$1&amp;"@20",MASTER!$AC$4:$AC$1463,0),"")</f>
        <v>219</v>
      </c>
    </row>
    <row r="29" spans="1:16">
      <c r="A29" s="15">
        <f>IF($P29="","",21)</f>
        <v>21</v>
      </c>
      <c r="B29" s="14" t="str">
        <f>IF($P29="","",IFERROR(IF(INDEX(MASTER!$C$4:$C$1463,$P29)="","",INDEX(MASTER!$C$4:$C$1463,$P29)),""))</f>
        <v>Cochinada</v>
      </c>
      <c r="C29" s="15" t="str">
        <f>IF($P29="","",IFERROR(IF(INDEX(MASTER!$D$4:$D$1463,$P29)="","",INDEX(MASTER!$D$4:$D$1463,$P29)),""))</f>
        <v/>
      </c>
      <c r="D29" s="15" t="str">
        <f>IF($P29="","",IFERROR(IF(INDEX(MASTER!$E$4:$E$1463,$P29)="","",INDEX(MASTER!$E$4:$E$1463,$P29)),""))</f>
        <v>WARLOCK</v>
      </c>
      <c r="E29" s="15" t="str">
        <f>IF($P29="","",IFERROR(IF(INDEX(MASTER!$F$4:$F$1463,$P29)="","",INDEX(MASTER!$F$4:$F$1463,$P29)),""))</f>
        <v>Control</v>
      </c>
      <c r="F29" s="16">
        <f>IF($P29="","",IFERROR(IF(INDEX(MASTER!$G$4:$G$1463,$P29)="","",INDEX(MASTER!$G$4:$G$1463,$P29)),""))</f>
        <v>61889</v>
      </c>
      <c r="G29" s="15" t="str">
        <f>IF($P29="","",IFERROR(IF(INDEX(MASTER!$H$4:$H$1463,$P29)="","",INDEX(MASTER!$H$4:$H$1463,$P29)),""))</f>
        <v>61,000 - 61,999</v>
      </c>
      <c r="H29" s="16">
        <f>IF($P29="","",IFERROR(IF(INDEX(MASTER!$I$4:$I$1463,$P29)="","",INDEX(MASTER!$I$4:$I$1463,$P29)),""))</f>
        <v>3643</v>
      </c>
      <c r="I29" s="15" t="str">
        <f>IF($P29="","",IFERROR(IF(INDEX(MASTER!$J$4:$J$1463,$P29)="","",INDEX(MASTER!$J$4:$J$1463,$P29)),""))</f>
        <v>DEVELOPING</v>
      </c>
      <c r="J29" s="17">
        <f>IF($P29="","",IFERROR(IF(INDEX(MASTER!$L$4:$L$1463,$P29)="","",INDEX(MASTER!$L$4:$L$1463,$P29)),""))</f>
        <v>4.3</v>
      </c>
      <c r="K29" s="17">
        <f>IF($P29="","",IFERROR(IF(INDEX(MASTER!$N$4:$N$1463,$P29)="","",INDEX(MASTER!$N$4:$N$1463,$P29)),""))</f>
        <v>41.2</v>
      </c>
      <c r="L29" s="15" t="str">
        <f>IF($P29="","",IFERROR(IF(INDEX(MASTER!$O$4:$O$1463,$P29)="","",INDEX(MASTER!$O$4:$O$1463,$P29)),""))</f>
        <v>B</v>
      </c>
      <c r="M29" s="15">
        <f>IF($P29="","",IFERROR(IF(INDEX(MASTER!$Q$4:$Q$1463,$P29)="","",INDEX(MASTER!$Q$4:$Q$1463,$P29)),""))</f>
        <v>84</v>
      </c>
      <c r="N29" s="15" t="str">
        <f>IF($P29="","",IFERROR(IF(INDEX(MASTER!$S$4:$S$1463,$P29)="","",INDEX(MASTER!$S$4:$S$1463,$P29)),""))</f>
        <v>Complete</v>
      </c>
      <c r="P29">
        <f>IFERROR(MATCH($Q$1&amp;"@21",MASTER!$AC$4:$AC$1463,0),"")</f>
        <v>222</v>
      </c>
    </row>
    <row r="30" spans="1:16">
      <c r="A30" s="19">
        <f>IF($P30="","",22)</f>
        <v>22</v>
      </c>
      <c r="B30" s="18" t="str">
        <f>IF($P30="","",IFERROR(IF(INDEX(MASTER!$C$4:$C$1463,$P30)="","",INDEX(MASTER!$C$4:$C$1463,$P30)),""))</f>
        <v>ConQueefftädor</v>
      </c>
      <c r="C30" s="19" t="str">
        <f>IF($P30="","",IFERROR(IF(INDEX(MASTER!$D$4:$D$1463,$P30)="","",INDEX(MASTER!$D$4:$D$1463,$P30)),""))</f>
        <v/>
      </c>
      <c r="D30" s="19" t="str">
        <f>IF($P30="","",IFERROR(IF(INDEX(MASTER!$E$4:$E$1463,$P30)="","",INDEX(MASTER!$E$4:$E$1463,$P30)),""))</f>
        <v>DEMON HUNTER</v>
      </c>
      <c r="E30" s="19" t="str">
        <f>IF($P30="","",IFERROR(IF(INDEX(MASTER!$F$4:$F$1463,$P30)="","",INDEX(MASTER!$F$4:$F$1463,$P30)),""))</f>
        <v>Ranged DPS</v>
      </c>
      <c r="F30" s="20">
        <f>IF($P30="","",IFERROR(IF(INDEX(MASTER!$G$4:$G$1463,$P30)="","",INDEX(MASTER!$G$4:$G$1463,$P30)),""))</f>
        <v>62899</v>
      </c>
      <c r="G30" s="19" t="str">
        <f>IF($P30="","",IFERROR(IF(INDEX(MASTER!$H$4:$H$1463,$P30)="","",INDEX(MASTER!$H$4:$H$1463,$P30)),""))</f>
        <v>62,000 - 62,999</v>
      </c>
      <c r="H30" s="20">
        <f>IF($P30="","",IFERROR(IF(INDEX(MASTER!$I$4:$I$1463,$P30)="","",INDEX(MASTER!$I$4:$I$1463,$P30)),""))</f>
        <v>6045</v>
      </c>
      <c r="I30" s="19" t="str">
        <f>IF($P30="","",IFERROR(IF(INDEX(MASTER!$J$4:$J$1463,$P30)="","",INDEX(MASTER!$J$4:$J$1463,$P30)),""))</f>
        <v>VETERAN</v>
      </c>
      <c r="J30" s="21">
        <f>IF($P30="","",IFERROR(IF(INDEX(MASTER!$L$4:$L$1463,$P30)="","",INDEX(MASTER!$L$4:$L$1463,$P30)),""))</f>
        <v>5.42</v>
      </c>
      <c r="K30" s="21">
        <f>IF($P30="","",IFERROR(IF(INDEX(MASTER!$N$4:$N$1463,$P30)="","",INDEX(MASTER!$N$4:$N$1463,$P30)),""))</f>
        <v>56.2</v>
      </c>
      <c r="L30" s="19" t="str">
        <f>IF($P30="","",IFERROR(IF(INDEX(MASTER!$O$4:$O$1463,$P30)="","",INDEX(MASTER!$O$4:$O$1463,$P30)),""))</f>
        <v>A</v>
      </c>
      <c r="M30" s="19">
        <f>IF($P30="","",IFERROR(IF(INDEX(MASTER!$Q$4:$Q$1463,$P30)="","",INDEX(MASTER!$Q$4:$Q$1463,$P30)),""))</f>
        <v>57</v>
      </c>
      <c r="N30" s="19" t="str">
        <f>IF($P30="","",IFERROR(IF(INDEX(MASTER!$S$4:$S$1463,$P30)="","",INDEX(MASTER!$S$4:$S$1463,$P30)),""))</f>
        <v>Complete</v>
      </c>
      <c r="P30">
        <f>IFERROR(MATCH($Q$1&amp;"@22",MASTER!$AC$4:$AC$1463,0),"")</f>
        <v>225</v>
      </c>
    </row>
    <row r="31" spans="1:16">
      <c r="A31" s="15">
        <f>IF($P31="","",23)</f>
        <v>23</v>
      </c>
      <c r="B31" s="14" t="str">
        <f>IF($P31="","",IFERROR(IF(INDEX(MASTER!$C$4:$C$1463,$P31)="","",INDEX(MASTER!$C$4:$C$1463,$P31)),""))</f>
        <v>Cyalix</v>
      </c>
      <c r="C31" s="15" t="str">
        <f>IF($P31="","",IFERROR(IF(INDEX(MASTER!$D$4:$D$1463,$P31)="","",INDEX(MASTER!$D$4:$D$1463,$P31)),""))</f>
        <v/>
      </c>
      <c r="D31" s="15" t="str">
        <f>IF($P31="","",IFERROR(IF(INDEX(MASTER!$E$4:$E$1463,$P31)="","",INDEX(MASTER!$E$4:$E$1463,$P31)),""))</f>
        <v>BARBARIAN</v>
      </c>
      <c r="E31" s="15" t="str">
        <f>IF($P31="","",IFERROR(IF(INDEX(MASTER!$F$4:$F$1463,$P31)="","",INDEX(MASTER!$F$4:$F$1463,$P31)),""))</f>
        <v>Frontline</v>
      </c>
      <c r="F31" s="16">
        <f>IF($P31="","",IFERROR(IF(INDEX(MASTER!$G$4:$G$1463,$P31)="","",INDEX(MASTER!$G$4:$G$1463,$P31)),""))</f>
        <v>62764</v>
      </c>
      <c r="G31" s="15" t="str">
        <f>IF($P31="","",IFERROR(IF(INDEX(MASTER!$H$4:$H$1463,$P31)="","",INDEX(MASTER!$H$4:$H$1463,$P31)),""))</f>
        <v>62,000 - 62,999</v>
      </c>
      <c r="H31" s="16">
        <f>IF($P31="","",IFERROR(IF(INDEX(MASTER!$I$4:$I$1463,$P31)="","",INDEX(MASTER!$I$4:$I$1463,$P31)),""))</f>
        <v>5585</v>
      </c>
      <c r="I31" s="15" t="str">
        <f>IF($P31="","",IFERROR(IF(INDEX(MASTER!$J$4:$J$1463,$P31)="","",INDEX(MASTER!$J$4:$J$1463,$P31)),""))</f>
        <v>CORE</v>
      </c>
      <c r="J31" s="17">
        <f>IF($P31="","",IFERROR(IF(INDEX(MASTER!$L$4:$L$1463,$P31)="","",INDEX(MASTER!$L$4:$L$1463,$P31)),""))</f>
        <v>6.75</v>
      </c>
      <c r="K31" s="17">
        <f>IF($P31="","",IFERROR(IF(INDEX(MASTER!$N$4:$N$1463,$P31)="","",INDEX(MASTER!$N$4:$N$1463,$P31)),""))</f>
        <v>56.1</v>
      </c>
      <c r="L31" s="15" t="str">
        <f>IF($P31="","",IFERROR(IF(INDEX(MASTER!$O$4:$O$1463,$P31)="","",INDEX(MASTER!$O$4:$O$1463,$P31)),""))</f>
        <v>A</v>
      </c>
      <c r="M31" s="15">
        <f>IF($P31="","",IFERROR(IF(INDEX(MASTER!$Q$4:$Q$1463,$P31)="","",INDEX(MASTER!$Q$4:$Q$1463,$P31)),""))</f>
        <v>60</v>
      </c>
      <c r="N31" s="15" t="str">
        <f>IF($P31="","",IFERROR(IF(INDEX(MASTER!$S$4:$S$1463,$P31)="","",INDEX(MASTER!$S$4:$S$1463,$P31)),""))</f>
        <v>Complete</v>
      </c>
      <c r="P31">
        <f>IFERROR(MATCH($Q$1&amp;"@23",MASTER!$AC$4:$AC$1463,0),"")</f>
        <v>238</v>
      </c>
    </row>
    <row r="32" spans="1:16">
      <c r="A32" s="19">
        <f>IF($P32="","",24)</f>
        <v>24</v>
      </c>
      <c r="B32" s="18" t="str">
        <f>IF($P32="","",IFERROR(IF(INDEX(MASTER!$C$4:$C$1463,$P32)="","",INDEX(MASTER!$C$4:$C$1463,$P32)),""))</f>
        <v>Cycomartygan</v>
      </c>
      <c r="C32" s="19" t="str">
        <f>IF($P32="","",IFERROR(IF(INDEX(MASTER!$D$4:$D$1463,$P32)="","",INDEX(MASTER!$D$4:$D$1463,$P32)),""))</f>
        <v/>
      </c>
      <c r="D32" s="19" t="str">
        <f>IF($P32="","",IFERROR(IF(INDEX(MASTER!$E$4:$E$1463,$P32)="","",INDEX(MASTER!$E$4:$E$1463,$P32)),""))</f>
        <v>BARBARIAN</v>
      </c>
      <c r="E32" s="19" t="str">
        <f>IF($P32="","",IFERROR(IF(INDEX(MASTER!$F$4:$F$1463,$P32)="","",INDEX(MASTER!$F$4:$F$1463,$P32)),""))</f>
        <v>Frontline</v>
      </c>
      <c r="F32" s="20">
        <f>IF($P32="","",IFERROR(IF(INDEX(MASTER!$G$4:$G$1463,$P32)="","",INDEX(MASTER!$G$4:$G$1463,$P32)),""))</f>
        <v>61649</v>
      </c>
      <c r="G32" s="19" t="str">
        <f>IF($P32="","",IFERROR(IF(INDEX(MASTER!$H$4:$H$1463,$P32)="","",INDEX(MASTER!$H$4:$H$1463,$P32)),""))</f>
        <v>61,000 - 61,999</v>
      </c>
      <c r="H32" s="20">
        <f>IF($P32="","",IFERROR(IF(INDEX(MASTER!$I$4:$I$1463,$P32)="","",INDEX(MASTER!$I$4:$I$1463,$P32)),""))</f>
        <v>2206</v>
      </c>
      <c r="I32" s="19" t="str">
        <f>IF($P32="","",IFERROR(IF(INDEX(MASTER!$J$4:$J$1463,$P32)="","",INDEX(MASTER!$J$4:$J$1463,$P32)),""))</f>
        <v>DEVELOPING</v>
      </c>
      <c r="J32" s="21">
        <f>IF($P32="","",IFERROR(IF(INDEX(MASTER!$L$4:$L$1463,$P32)="","",INDEX(MASTER!$L$4:$L$1463,$P32)),""))</f>
        <v>4.8</v>
      </c>
      <c r="K32" s="21">
        <f>IF($P32="","",IFERROR(IF(INDEX(MASTER!$N$4:$N$1463,$P32)="","",INDEX(MASTER!$N$4:$N$1463,$P32)),""))</f>
        <v>35.1</v>
      </c>
      <c r="L32" s="19" t="str">
        <f>IF($P32="","",IFERROR(IF(INDEX(MASTER!$O$4:$O$1463,$P32)="","",INDEX(MASTER!$O$4:$O$1463,$P32)),""))</f>
        <v>B</v>
      </c>
      <c r="M32" s="19">
        <f>IF($P32="","",IFERROR(IF(INDEX(MASTER!$Q$4:$Q$1463,$P32)="","",INDEX(MASTER!$Q$4:$Q$1463,$P32)),""))</f>
        <v>92</v>
      </c>
      <c r="N32" s="19" t="str">
        <f>IF($P32="","",IFERROR(IF(INDEX(MASTER!$S$4:$S$1463,$P32)="","",INDEX(MASTER!$S$4:$S$1463,$P32)),""))</f>
        <v>Complete</v>
      </c>
      <c r="P32">
        <f>IFERROR(MATCH($Q$1&amp;"@24",MASTER!$AC$4:$AC$1463,0),"")</f>
        <v>239</v>
      </c>
    </row>
    <row r="33" spans="1:16">
      <c r="A33" s="15">
        <f>IF($P33="","",25)</f>
        <v>25</v>
      </c>
      <c r="B33" s="14" t="str">
        <f>IF($P33="","",IFERROR(IF(INDEX(MASTER!$C$4:$C$1463,$P33)="","",INDEX(MASTER!$C$4:$C$1463,$P33)),""))</f>
        <v>Daedryx</v>
      </c>
      <c r="C33" s="15" t="str">
        <f>IF($P33="","",IFERROR(IF(INDEX(MASTER!$D$4:$D$1463,$P33)="","",INDEX(MASTER!$D$4:$D$1463,$P33)),""))</f>
        <v/>
      </c>
      <c r="D33" s="15" t="str">
        <f>IF($P33="","",IFERROR(IF(INDEX(MASTER!$E$4:$E$1463,$P33)="","",INDEX(MASTER!$E$4:$E$1463,$P33)),""))</f>
        <v>BARBARIAN</v>
      </c>
      <c r="E33" s="15" t="str">
        <f>IF($P33="","",IFERROR(IF(INDEX(MASTER!$F$4:$F$1463,$P33)="","",INDEX(MASTER!$F$4:$F$1463,$P33)),""))</f>
        <v>Frontline</v>
      </c>
      <c r="F33" s="16">
        <f>IF($P33="","",IFERROR(IF(INDEX(MASTER!$G$4:$G$1463,$P33)="","",INDEX(MASTER!$G$4:$G$1463,$P33)),""))</f>
        <v>64145</v>
      </c>
      <c r="G33" s="15" t="str">
        <f>IF($P33="","",IFERROR(IF(INDEX(MASTER!$H$4:$H$1463,$P33)="","",INDEX(MASTER!$H$4:$H$1463,$P33)),""))</f>
        <v>64,000 +</v>
      </c>
      <c r="H33" s="16">
        <f>IF($P33="","",IFERROR(IF(INDEX(MASTER!$I$4:$I$1463,$P33)="","",INDEX(MASTER!$I$4:$I$1463,$P33)),""))</f>
        <v>9269</v>
      </c>
      <c r="I33" s="15" t="str">
        <f>IF($P33="","",IFERROR(IF(INDEX(MASTER!$J$4:$J$1463,$P33)="","",INDEX(MASTER!$J$4:$J$1463,$P33)),""))</f>
        <v>ELITE</v>
      </c>
      <c r="J33" s="17">
        <f>IF($P33="","",IFERROR(IF(INDEX(MASTER!$L$4:$L$1463,$P33)="","",INDEX(MASTER!$L$4:$L$1463,$P33)),""))</f>
        <v>7.04</v>
      </c>
      <c r="K33" s="17">
        <f>IF($P33="","",IFERROR(IF(INDEX(MASTER!$N$4:$N$1463,$P33)="","",INDEX(MASTER!$N$4:$N$1463,$P33)),""))</f>
        <v>76.3</v>
      </c>
      <c r="L33" s="15" t="str">
        <f>IF($P33="","",IFERROR(IF(INDEX(MASTER!$O$4:$O$1463,$P33)="","",INDEX(MASTER!$O$4:$O$1463,$P33)),""))</f>
        <v>S</v>
      </c>
      <c r="M33" s="15">
        <f>IF($P33="","",IFERROR(IF(INDEX(MASTER!$Q$4:$Q$1463,$P33)="","",INDEX(MASTER!$Q$4:$Q$1463,$P33)),""))</f>
        <v>19</v>
      </c>
      <c r="N33" s="15" t="str">
        <f>IF($P33="","",IFERROR(IF(INDEX(MASTER!$S$4:$S$1463,$P33)="","",INDEX(MASTER!$S$4:$S$1463,$P33)),""))</f>
        <v>Complete</v>
      </c>
      <c r="P33">
        <f>IFERROR(MATCH($Q$1&amp;"@25",MASTER!$AC$4:$AC$1463,0),"")</f>
        <v>246</v>
      </c>
    </row>
    <row r="34" spans="1:16">
      <c r="A34" s="19">
        <f>IF($P34="","",26)</f>
        <v>26</v>
      </c>
      <c r="B34" s="18" t="str">
        <f>IF($P34="","",IFERROR(IF(INDEX(MASTER!$C$4:$C$1463,$P34)="","",INDEX(MASTER!$C$4:$C$1463,$P34)),""))</f>
        <v>Danáth</v>
      </c>
      <c r="C34" s="19" t="str">
        <f>IF($P34="","",IFERROR(IF(INDEX(MASTER!$D$4:$D$1463,$P34)="","",INDEX(MASTER!$D$4:$D$1463,$P34)),""))</f>
        <v/>
      </c>
      <c r="D34" s="19" t="str">
        <f>IF($P34="","",IFERROR(IF(INDEX(MASTER!$E$4:$E$1463,$P34)="","",INDEX(MASTER!$E$4:$E$1463,$P34)),""))</f>
        <v>CRUSADER</v>
      </c>
      <c r="E34" s="19" t="str">
        <f>IF($P34="","",IFERROR(IF(INDEX(MASTER!$F$4:$F$1463,$P34)="","",INDEX(MASTER!$F$4:$F$1463,$P34)),""))</f>
        <v>Frontline</v>
      </c>
      <c r="F34" s="20">
        <f>IF($P34="","",IFERROR(IF(INDEX(MASTER!$G$4:$G$1463,$P34)="","",INDEX(MASTER!$G$4:$G$1463,$P34)),""))</f>
        <v>61667</v>
      </c>
      <c r="G34" s="19" t="str">
        <f>IF($P34="","",IFERROR(IF(INDEX(MASTER!$H$4:$H$1463,$P34)="","",INDEX(MASTER!$H$4:$H$1463,$P34)),""))</f>
        <v>61,000 - 61,999</v>
      </c>
      <c r="H34" s="20">
        <f>IF($P34="","",IFERROR(IF(INDEX(MASTER!$I$4:$I$1463,$P34)="","",INDEX(MASTER!$I$4:$I$1463,$P34)),""))</f>
        <v>9535</v>
      </c>
      <c r="I34" s="19" t="str">
        <f>IF($P34="","",IFERROR(IF(INDEX(MASTER!$J$4:$J$1463,$P34)="","",INDEX(MASTER!$J$4:$J$1463,$P34)),""))</f>
        <v>ELITE</v>
      </c>
      <c r="J34" s="21">
        <f>IF($P34="","",IFERROR(IF(INDEX(MASTER!$L$4:$L$1463,$P34)="","",INDEX(MASTER!$L$4:$L$1463,$P34)),""))</f>
        <v>6.5</v>
      </c>
      <c r="K34" s="21">
        <f>IF($P34="","",IFERROR(IF(INDEX(MASTER!$N$4:$N$1463,$P34)="","",INDEX(MASTER!$N$4:$N$1463,$P34)),""))</f>
        <v>70</v>
      </c>
      <c r="L34" s="19" t="str">
        <f>IF($P34="","",IFERROR(IF(INDEX(MASTER!$O$4:$O$1463,$P34)="","",INDEX(MASTER!$O$4:$O$1463,$P34)),""))</f>
        <v>S</v>
      </c>
      <c r="M34" s="19">
        <f>IF($P34="","",IFERROR(IF(INDEX(MASTER!$Q$4:$Q$1463,$P34)="","",INDEX(MASTER!$Q$4:$Q$1463,$P34)),""))</f>
        <v>15</v>
      </c>
      <c r="N34" s="19" t="str">
        <f>IF($P34="","",IFERROR(IF(INDEX(MASTER!$S$4:$S$1463,$P34)="","",INDEX(MASTER!$S$4:$S$1463,$P34)),""))</f>
        <v>Complete</v>
      </c>
      <c r="P34">
        <f>IFERROR(MATCH($Q$1&amp;"@26",MASTER!$AC$4:$AC$1463,0),"")</f>
        <v>250</v>
      </c>
    </row>
    <row r="35" spans="1:16">
      <c r="A35" s="15">
        <f>IF($P35="","",27)</f>
        <v>27</v>
      </c>
      <c r="B35" s="14" t="str">
        <f>IF($P35="","",IFERROR(IF(INDEX(MASTER!$C$4:$C$1463,$P35)="","",INDEX(MASTER!$C$4:$C$1463,$P35)),""))</f>
        <v>Derradia</v>
      </c>
      <c r="C35" s="15" t="str">
        <f>IF($P35="","",IFERROR(IF(INDEX(MASTER!$D$4:$D$1463,$P35)="","",INDEX(MASTER!$D$4:$D$1463,$P35)),""))</f>
        <v/>
      </c>
      <c r="D35" s="15" t="str">
        <f>IF($P35="","",IFERROR(IF(INDEX(MASTER!$E$4:$E$1463,$P35)="","",INDEX(MASTER!$E$4:$E$1463,$P35)),""))</f>
        <v>TEMPEST</v>
      </c>
      <c r="E35" s="15" t="str">
        <f>IF($P35="","",IFERROR(IF(INDEX(MASTER!$F$4:$F$1463,$P35)="","",INDEX(MASTER!$F$4:$F$1463,$P35)),""))</f>
        <v>Melee DPS</v>
      </c>
      <c r="F35" s="16">
        <f>IF($P35="","",IFERROR(IF(INDEX(MASTER!$G$4:$G$1463,$P35)="","",INDEX(MASTER!$G$4:$G$1463,$P35)),""))</f>
        <v>60988</v>
      </c>
      <c r="G35" s="15" t="str">
        <f>IF($P35="","",IFERROR(IF(INDEX(MASTER!$H$4:$H$1463,$P35)="","",INDEX(MASTER!$H$4:$H$1463,$P35)),""))</f>
        <v>60,000 - 60,999</v>
      </c>
      <c r="H35" s="16">
        <f>IF($P35="","",IFERROR(IF(INDEX(MASTER!$I$4:$I$1463,$P35)="","",INDEX(MASTER!$I$4:$I$1463,$P35)),""))</f>
        <v>3410</v>
      </c>
      <c r="I35" s="15" t="str">
        <f>IF($P35="","",IFERROR(IF(INDEX(MASTER!$J$4:$J$1463,$P35)="","",INDEX(MASTER!$J$4:$J$1463,$P35)),""))</f>
        <v>DEVELOPING</v>
      </c>
      <c r="J35" s="17">
        <f>IF($P35="","",IFERROR(IF(INDEX(MASTER!$L$4:$L$1463,$P35)="","",INDEX(MASTER!$L$4:$L$1463,$P35)),""))</f>
        <v>3.5</v>
      </c>
      <c r="K35" s="17">
        <f>IF($P35="","",IFERROR(IF(INDEX(MASTER!$N$4:$N$1463,$P35)="","",INDEX(MASTER!$N$4:$N$1463,$P35)),""))</f>
        <v>36.5</v>
      </c>
      <c r="L35" s="15" t="str">
        <f>IF($P35="","",IFERROR(IF(INDEX(MASTER!$O$4:$O$1463,$P35)="","",INDEX(MASTER!$O$4:$O$1463,$P35)),""))</f>
        <v>B</v>
      </c>
      <c r="M35" s="15">
        <f>IF($P35="","",IFERROR(IF(INDEX(MASTER!$Q$4:$Q$1463,$P35)="","",INDEX(MASTER!$Q$4:$Q$1463,$P35)),""))</f>
        <v>86</v>
      </c>
      <c r="N35" s="15" t="str">
        <f>IF($P35="","",IFERROR(IF(INDEX(MASTER!$S$4:$S$1463,$P35)="","",INDEX(MASTER!$S$4:$S$1463,$P35)),""))</f>
        <v>Complete</v>
      </c>
      <c r="P35">
        <f>IFERROR(MATCH($Q$1&amp;"@27",MASTER!$AC$4:$AC$1463,0),"")</f>
        <v>280</v>
      </c>
    </row>
    <row r="36" spans="1:16">
      <c r="A36" s="19">
        <f>IF($P36="","",28)</f>
        <v>28</v>
      </c>
      <c r="B36" s="18" t="str">
        <f>IF($P36="","",IFERROR(IF(INDEX(MASTER!$C$4:$C$1463,$P36)="","",INDEX(MASTER!$C$4:$C$1463,$P36)),""))</f>
        <v>Dino</v>
      </c>
      <c r="C36" s="19" t="str">
        <f>IF($P36="","",IFERROR(IF(INDEX(MASTER!$D$4:$D$1463,$P36)="","",INDEX(MASTER!$D$4:$D$1463,$P36)),""))</f>
        <v/>
      </c>
      <c r="D36" s="19" t="str">
        <f>IF($P36="","",IFERROR(IF(INDEX(MASTER!$E$4:$E$1463,$P36)="","",INDEX(MASTER!$E$4:$E$1463,$P36)),""))</f>
        <v>BARBARIAN</v>
      </c>
      <c r="E36" s="19" t="str">
        <f>IF($P36="","",IFERROR(IF(INDEX(MASTER!$F$4:$F$1463,$P36)="","",INDEX(MASTER!$F$4:$F$1463,$P36)),""))</f>
        <v>Frontline</v>
      </c>
      <c r="F36" s="20">
        <f>IF($P36="","",IFERROR(IF(INDEX(MASTER!$G$4:$G$1463,$P36)="","",INDEX(MASTER!$G$4:$G$1463,$P36)),""))</f>
        <v>64343</v>
      </c>
      <c r="G36" s="19" t="str">
        <f>IF($P36="","",IFERROR(IF(INDEX(MASTER!$H$4:$H$1463,$P36)="","",INDEX(MASTER!$H$4:$H$1463,$P36)),""))</f>
        <v>64,000 +</v>
      </c>
      <c r="H36" s="20">
        <f>IF($P36="","",IFERROR(IF(INDEX(MASTER!$I$4:$I$1463,$P36)="","",INDEX(MASTER!$I$4:$I$1463,$P36)),""))</f>
        <v>10306</v>
      </c>
      <c r="I36" s="19" t="str">
        <f>IF($P36="","",IFERROR(IF(INDEX(MASTER!$J$4:$J$1463,$P36)="","",INDEX(MASTER!$J$4:$J$1463,$P36)),""))</f>
        <v>APEX</v>
      </c>
      <c r="J36" s="21">
        <f>IF($P36="","",IFERROR(IF(INDEX(MASTER!$L$4:$L$1463,$P36)="","",INDEX(MASTER!$L$4:$L$1463,$P36)),""))</f>
        <v>12.25</v>
      </c>
      <c r="K36" s="21">
        <f>IF($P36="","",IFERROR(IF(INDEX(MASTER!$N$4:$N$1463,$P36)="","",INDEX(MASTER!$N$4:$N$1463,$P36)),""))</f>
        <v>89.6</v>
      </c>
      <c r="L36" s="19" t="str">
        <f>IF($P36="","",IFERROR(IF(INDEX(MASTER!$O$4:$O$1463,$P36)="","",INDEX(MASTER!$O$4:$O$1463,$P36)),""))</f>
        <v>S+</v>
      </c>
      <c r="M36" s="19">
        <f>IF($P36="","",IFERROR(IF(INDEX(MASTER!$Q$4:$Q$1463,$P36)="","",INDEX(MASTER!$Q$4:$Q$1463,$P36)),""))</f>
        <v>3</v>
      </c>
      <c r="N36" s="19" t="str">
        <f>IF($P36="","",IFERROR(IF(INDEX(MASTER!$S$4:$S$1463,$P36)="","",INDEX(MASTER!$S$4:$S$1463,$P36)),""))</f>
        <v>Complete</v>
      </c>
      <c r="P36">
        <f>IFERROR(MATCH($Q$1&amp;"@28",MASTER!$AC$4:$AC$1463,0),"")</f>
        <v>293</v>
      </c>
    </row>
    <row r="37" spans="1:16">
      <c r="A37" s="15">
        <f>IF($P37="","",29)</f>
        <v>29</v>
      </c>
      <c r="B37" s="14" t="str">
        <f>IF($P37="","",IFERROR(IF(INDEX(MASTER!$C$4:$C$1463,$P37)="","",INDEX(MASTER!$C$4:$C$1463,$P37)),""))</f>
        <v>Drewin</v>
      </c>
      <c r="C37" s="15" t="str">
        <f>IF($P37="","",IFERROR(IF(INDEX(MASTER!$D$4:$D$1463,$P37)="","",INDEX(MASTER!$D$4:$D$1463,$P37)),""))</f>
        <v/>
      </c>
      <c r="D37" s="15" t="str">
        <f>IF($P37="","",IFERROR(IF(INDEX(MASTER!$E$4:$E$1463,$P37)="","",INDEX(MASTER!$E$4:$E$1463,$P37)),""))</f>
        <v>DEMON HUNTER</v>
      </c>
      <c r="E37" s="15" t="str">
        <f>IF($P37="","",IFERROR(IF(INDEX(MASTER!$F$4:$F$1463,$P37)="","",INDEX(MASTER!$F$4:$F$1463,$P37)),""))</f>
        <v>Ranged DPS</v>
      </c>
      <c r="F37" s="16">
        <f>IF($P37="","",IFERROR(IF(INDEX(MASTER!$G$4:$G$1463,$P37)="","",INDEX(MASTER!$G$4:$G$1463,$P37)),""))</f>
        <v>63429</v>
      </c>
      <c r="G37" s="15" t="str">
        <f>IF($P37="","",IFERROR(IF(INDEX(MASTER!$H$4:$H$1463,$P37)="","",INDEX(MASTER!$H$4:$H$1463,$P37)),""))</f>
        <v>63,000 - 63,999</v>
      </c>
      <c r="H37" s="16">
        <f>IF($P37="","",IFERROR(IF(INDEX(MASTER!$I$4:$I$1463,$P37)="","",INDEX(MASTER!$I$4:$I$1463,$P37)),""))</f>
        <v>5270</v>
      </c>
      <c r="I37" s="15" t="str">
        <f>IF($P37="","",IFERROR(IF(INDEX(MASTER!$J$4:$J$1463,$P37)="","",INDEX(MASTER!$J$4:$J$1463,$P37)),""))</f>
        <v>CORE</v>
      </c>
      <c r="J37" s="17">
        <f>IF($P37="","",IFERROR(IF(INDEX(MASTER!$L$4:$L$1463,$P37)="","",INDEX(MASTER!$L$4:$L$1463,$P37)),""))</f>
        <v>4.32</v>
      </c>
      <c r="K37" s="17">
        <f>IF($P37="","",IFERROR(IF(INDEX(MASTER!$N$4:$N$1463,$P37)="","",INDEX(MASTER!$N$4:$N$1463,$P37)),""))</f>
        <v>52.4</v>
      </c>
      <c r="L37" s="15" t="str">
        <f>IF($P37="","",IFERROR(IF(INDEX(MASTER!$O$4:$O$1463,$P37)="","",INDEX(MASTER!$O$4:$O$1463,$P37)),""))</f>
        <v>A</v>
      </c>
      <c r="M37" s="15">
        <f>IF($P37="","",IFERROR(IF(INDEX(MASTER!$Q$4:$Q$1463,$P37)="","",INDEX(MASTER!$Q$4:$Q$1463,$P37)),""))</f>
        <v>63</v>
      </c>
      <c r="N37" s="15" t="str">
        <f>IF($P37="","",IFERROR(IF(INDEX(MASTER!$S$4:$S$1463,$P37)="","",INDEX(MASTER!$S$4:$S$1463,$P37)),""))</f>
        <v>Complete</v>
      </c>
      <c r="P37">
        <f>IFERROR(MATCH($Q$1&amp;"@29",MASTER!$AC$4:$AC$1463,0),"")</f>
        <v>317</v>
      </c>
    </row>
    <row r="38" spans="1:16">
      <c r="A38" s="19">
        <f>IF($P38="","",30)</f>
        <v>30</v>
      </c>
      <c r="B38" s="18" t="str">
        <f>IF($P38="","",IFERROR(IF(INDEX(MASTER!$C$4:$C$1463,$P38)="","",INDEX(MASTER!$C$4:$C$1463,$P38)),""))</f>
        <v>Edgewalkër</v>
      </c>
      <c r="C38" s="19" t="str">
        <f>IF($P38="","",IFERROR(IF(INDEX(MASTER!$D$4:$D$1463,$P38)="","",INDEX(MASTER!$D$4:$D$1463,$P38)),""))</f>
        <v/>
      </c>
      <c r="D38" s="19" t="str">
        <f>IF($P38="","",IFERROR(IF(INDEX(MASTER!$E$4:$E$1463,$P38)="","",INDEX(MASTER!$E$4:$E$1463,$P38)),""))</f>
        <v>BARBARIAN</v>
      </c>
      <c r="E38" s="19" t="str">
        <f>IF($P38="","",IFERROR(IF(INDEX(MASTER!$F$4:$F$1463,$P38)="","",INDEX(MASTER!$F$4:$F$1463,$P38)),""))</f>
        <v>Frontline</v>
      </c>
      <c r="F38" s="20">
        <f>IF($P38="","",IFERROR(IF(INDEX(MASTER!$G$4:$G$1463,$P38)="","",INDEX(MASTER!$G$4:$G$1463,$P38)),""))</f>
        <v>64168</v>
      </c>
      <c r="G38" s="19" t="str">
        <f>IF($P38="","",IFERROR(IF(INDEX(MASTER!$H$4:$H$1463,$P38)="","",INDEX(MASTER!$H$4:$H$1463,$P38)),""))</f>
        <v>64,000 +</v>
      </c>
      <c r="H38" s="20">
        <f>IF($P38="","",IFERROR(IF(INDEX(MASTER!$I$4:$I$1463,$P38)="","",INDEX(MASTER!$I$4:$I$1463,$P38)),""))</f>
        <v>9441</v>
      </c>
      <c r="I38" s="19" t="str">
        <f>IF($P38="","",IFERROR(IF(INDEX(MASTER!$J$4:$J$1463,$P38)="","",INDEX(MASTER!$J$4:$J$1463,$P38)),""))</f>
        <v>ELITE</v>
      </c>
      <c r="J38" s="21">
        <f>IF($P38="","",IFERROR(IF(INDEX(MASTER!$L$4:$L$1463,$P38)="","",INDEX(MASTER!$L$4:$L$1463,$P38)),""))</f>
        <v>6.8</v>
      </c>
      <c r="K38" s="21">
        <f>IF($P38="","",IFERROR(IF(INDEX(MASTER!$N$4:$N$1463,$P38)="","",INDEX(MASTER!$N$4:$N$1463,$P38)),""))</f>
        <v>76.7</v>
      </c>
      <c r="L38" s="19" t="str">
        <f>IF($P38="","",IFERROR(IF(INDEX(MASTER!$O$4:$O$1463,$P38)="","",INDEX(MASTER!$O$4:$O$1463,$P38)),""))</f>
        <v>S</v>
      </c>
      <c r="M38" s="19">
        <f>IF($P38="","",IFERROR(IF(INDEX(MASTER!$Q$4:$Q$1463,$P38)="","",INDEX(MASTER!$Q$4:$Q$1463,$P38)),""))</f>
        <v>16</v>
      </c>
      <c r="N38" s="19" t="str">
        <f>IF($P38="","",IFERROR(IF(INDEX(MASTER!$S$4:$S$1463,$P38)="","",INDEX(MASTER!$S$4:$S$1463,$P38)),""))</f>
        <v>Complete</v>
      </c>
      <c r="P38">
        <f>IFERROR(MATCH($Q$1&amp;"@30",MASTER!$AC$4:$AC$1463,0),"")</f>
        <v>339</v>
      </c>
    </row>
    <row r="39" spans="1:16">
      <c r="A39" s="15">
        <f>IF($P39="","",31)</f>
        <v>31</v>
      </c>
      <c r="B39" s="14" t="str">
        <f>IF($P39="","",IFERROR(IF(INDEX(MASTER!$C$4:$C$1463,$P39)="","",INDEX(MASTER!$C$4:$C$1463,$P39)),""))</f>
        <v>Eilserus</v>
      </c>
      <c r="C39" s="15" t="str">
        <f>IF($P39="","",IFERROR(IF(INDEX(MASTER!$D$4:$D$1463,$P39)="","",INDEX(MASTER!$D$4:$D$1463,$P39)),""))</f>
        <v/>
      </c>
      <c r="D39" s="15" t="str">
        <f>IF($P39="","",IFERROR(IF(INDEX(MASTER!$E$4:$E$1463,$P39)="","",INDEX(MASTER!$E$4:$E$1463,$P39)),""))</f>
        <v>DEMON HUNTER</v>
      </c>
      <c r="E39" s="15" t="str">
        <f>IF($P39="","",IFERROR(IF(INDEX(MASTER!$F$4:$F$1463,$P39)="","",INDEX(MASTER!$F$4:$F$1463,$P39)),""))</f>
        <v>Ranged DPS</v>
      </c>
      <c r="F39" s="16">
        <f>IF($P39="","",IFERROR(IF(INDEX(MASTER!$G$4:$G$1463,$P39)="","",INDEX(MASTER!$G$4:$G$1463,$P39)),""))</f>
        <v>62691</v>
      </c>
      <c r="G39" s="15" t="str">
        <f>IF($P39="","",IFERROR(IF(INDEX(MASTER!$H$4:$H$1463,$P39)="","",INDEX(MASTER!$H$4:$H$1463,$P39)),""))</f>
        <v>62,000 - 62,999</v>
      </c>
      <c r="H39" s="16">
        <f>IF($P39="","",IFERROR(IF(INDEX(MASTER!$I$4:$I$1463,$P39)="","",INDEX(MASTER!$I$4:$I$1463,$P39)),""))</f>
        <v>7454</v>
      </c>
      <c r="I39" s="15" t="str">
        <f>IF($P39="","",IFERROR(IF(INDEX(MASTER!$J$4:$J$1463,$P39)="","",INDEX(MASTER!$J$4:$J$1463,$P39)),""))</f>
        <v>VETERAN</v>
      </c>
      <c r="J39" s="17">
        <f>IF($P39="","",IFERROR(IF(INDEX(MASTER!$L$4:$L$1463,$P39)="","",INDEX(MASTER!$L$4:$L$1463,$P39)),""))</f>
        <v>4.8499999999999996</v>
      </c>
      <c r="K39" s="17">
        <f>IF($P39="","",IFERROR(IF(INDEX(MASTER!$N$4:$N$1463,$P39)="","",INDEX(MASTER!$N$4:$N$1463,$P39)),""))</f>
        <v>60.9</v>
      </c>
      <c r="L39" s="15" t="str">
        <f>IF($P39="","",IFERROR(IF(INDEX(MASTER!$O$4:$O$1463,$P39)="","",INDEX(MASTER!$O$4:$O$1463,$P39)),""))</f>
        <v>A</v>
      </c>
      <c r="M39" s="15">
        <f>IF($P39="","",IFERROR(IF(INDEX(MASTER!$Q$4:$Q$1463,$P39)="","",INDEX(MASTER!$Q$4:$Q$1463,$P39)),""))</f>
        <v>39</v>
      </c>
      <c r="N39" s="15" t="str">
        <f>IF($P39="","",IFERROR(IF(INDEX(MASTER!$S$4:$S$1463,$P39)="","",INDEX(MASTER!$S$4:$S$1463,$P39)),""))</f>
        <v>Complete</v>
      </c>
      <c r="P39">
        <f>IFERROR(MATCH($Q$1&amp;"@31",MASTER!$AC$4:$AC$1463,0),"")</f>
        <v>344</v>
      </c>
    </row>
    <row r="40" spans="1:16">
      <c r="A40" s="19">
        <f>IF($P40="","",32)</f>
        <v>32</v>
      </c>
      <c r="B40" s="18" t="str">
        <f>IF($P40="","",IFERROR(IF(INDEX(MASTER!$C$4:$C$1463,$P40)="","",INDEX(MASTER!$C$4:$C$1463,$P40)),""))</f>
        <v>ELinsanetrain</v>
      </c>
      <c r="C40" s="19" t="str">
        <f>IF($P40="","",IFERROR(IF(INDEX(MASTER!$D$4:$D$1463,$P40)="","",INDEX(MASTER!$D$4:$D$1463,$P40)),""))</f>
        <v/>
      </c>
      <c r="D40" s="19" t="str">
        <f>IF($P40="","",IFERROR(IF(INDEX(MASTER!$E$4:$E$1463,$P40)="","",INDEX(MASTER!$E$4:$E$1463,$P40)),""))</f>
        <v>DEMON HUNTER</v>
      </c>
      <c r="E40" s="19" t="str">
        <f>IF($P40="","",IFERROR(IF(INDEX(MASTER!$F$4:$F$1463,$P40)="","",INDEX(MASTER!$F$4:$F$1463,$P40)),""))</f>
        <v>Ranged DPS</v>
      </c>
      <c r="F40" s="20">
        <f>IF($P40="","",IFERROR(IF(INDEX(MASTER!$G$4:$G$1463,$P40)="","",INDEX(MASTER!$G$4:$G$1463,$P40)),""))</f>
        <v>63126</v>
      </c>
      <c r="G40" s="19" t="str">
        <f>IF($P40="","",IFERROR(IF(INDEX(MASTER!$H$4:$H$1463,$P40)="","",INDEX(MASTER!$H$4:$H$1463,$P40)),""))</f>
        <v>63,000 - 63,999</v>
      </c>
      <c r="H40" s="20">
        <f>IF($P40="","",IFERROR(IF(INDEX(MASTER!$I$4:$I$1463,$P40)="","",INDEX(MASTER!$I$4:$I$1463,$P40)),""))</f>
        <v>8353</v>
      </c>
      <c r="I40" s="19" t="str">
        <f>IF($P40="","",IFERROR(IF(INDEX(MASTER!$J$4:$J$1463,$P40)="","",INDEX(MASTER!$J$4:$J$1463,$P40)),""))</f>
        <v>ELITE</v>
      </c>
      <c r="J40" s="21">
        <f>IF($P40="","",IFERROR(IF(INDEX(MASTER!$L$4:$L$1463,$P40)="","",INDEX(MASTER!$L$4:$L$1463,$P40)),""))</f>
        <v>5.13</v>
      </c>
      <c r="K40" s="21">
        <f>IF($P40="","",IFERROR(IF(INDEX(MASTER!$N$4:$N$1463,$P40)="","",INDEX(MASTER!$N$4:$N$1463,$P40)),""))</f>
        <v>66.400000000000006</v>
      </c>
      <c r="L40" s="19" t="str">
        <f>IF($P40="","",IFERROR(IF(INDEX(MASTER!$O$4:$O$1463,$P40)="","",INDEX(MASTER!$O$4:$O$1463,$P40)),""))</f>
        <v>S</v>
      </c>
      <c r="M40" s="19">
        <f>IF($P40="","",IFERROR(IF(INDEX(MASTER!$Q$4:$Q$1463,$P40)="","",INDEX(MASTER!$Q$4:$Q$1463,$P40)),""))</f>
        <v>30</v>
      </c>
      <c r="N40" s="19" t="str">
        <f>IF($P40="","",IFERROR(IF(INDEX(MASTER!$S$4:$S$1463,$P40)="","",INDEX(MASTER!$S$4:$S$1463,$P40)),""))</f>
        <v>Complete</v>
      </c>
      <c r="P40">
        <f>IFERROR(MATCH($Q$1&amp;"@32",MASTER!$AC$4:$AC$1463,0),"")</f>
        <v>351</v>
      </c>
    </row>
    <row r="41" spans="1:16">
      <c r="A41" s="15">
        <f>IF($P41="","",33)</f>
        <v>33</v>
      </c>
      <c r="B41" s="14" t="str">
        <f>IF($P41="","",IFERROR(IF(INDEX(MASTER!$C$4:$C$1463,$P41)="","",INDEX(MASTER!$C$4:$C$1463,$P41)),""))</f>
        <v>Emperis</v>
      </c>
      <c r="C41" s="15" t="str">
        <f>IF($P41="","",IFERROR(IF(INDEX(MASTER!$D$4:$D$1463,$P41)="","",INDEX(MASTER!$D$4:$D$1463,$P41)),""))</f>
        <v/>
      </c>
      <c r="D41" s="15" t="str">
        <f>IF($P41="","",IFERROR(IF(INDEX(MASTER!$E$4:$E$1463,$P41)="","",INDEX(MASTER!$E$4:$E$1463,$P41)),""))</f>
        <v>WIZARD</v>
      </c>
      <c r="E41" s="15" t="str">
        <f>IF($P41="","",IFERROR(IF(INDEX(MASTER!$F$4:$F$1463,$P41)="","",INDEX(MASTER!$F$4:$F$1463,$P41)),""))</f>
        <v>Ranged DPS</v>
      </c>
      <c r="F41" s="16">
        <f>IF($P41="","",IFERROR(IF(INDEX(MASTER!$G$4:$G$1463,$P41)="","",INDEX(MASTER!$G$4:$G$1463,$P41)),""))</f>
        <v>62392</v>
      </c>
      <c r="G41" s="15" t="str">
        <f>IF($P41="","",IFERROR(IF(INDEX(MASTER!$H$4:$H$1463,$P41)="","",INDEX(MASTER!$H$4:$H$1463,$P41)),""))</f>
        <v>62,000 - 62,999</v>
      </c>
      <c r="H41" s="16">
        <f>IF($P41="","",IFERROR(IF(INDEX(MASTER!$I$4:$I$1463,$P41)="","",INDEX(MASTER!$I$4:$I$1463,$P41)),""))</f>
        <v>4602</v>
      </c>
      <c r="I41" s="15" t="str">
        <f>IF($P41="","",IFERROR(IF(INDEX(MASTER!$J$4:$J$1463,$P41)="","",INDEX(MASTER!$J$4:$J$1463,$P41)),""))</f>
        <v>CORE</v>
      </c>
      <c r="J41" s="17">
        <f>IF($P41="","",IFERROR(IF(INDEX(MASTER!$L$4:$L$1463,$P41)="","",INDEX(MASTER!$L$4:$L$1463,$P41)),""))</f>
        <v>5.5</v>
      </c>
      <c r="K41" s="17">
        <f>IF($P41="","",IFERROR(IF(INDEX(MASTER!$N$4:$N$1463,$P41)="","",INDEX(MASTER!$N$4:$N$1463,$P41)),""))</f>
        <v>48.7</v>
      </c>
      <c r="L41" s="15" t="str">
        <f>IF($P41="","",IFERROR(IF(INDEX(MASTER!$O$4:$O$1463,$P41)="","",INDEX(MASTER!$O$4:$O$1463,$P41)),""))</f>
        <v>B</v>
      </c>
      <c r="M41" s="15">
        <f>IF($P41="","",IFERROR(IF(INDEX(MASTER!$Q$4:$Q$1463,$P41)="","",INDEX(MASTER!$Q$4:$Q$1463,$P41)),""))</f>
        <v>70</v>
      </c>
      <c r="N41" s="15" t="str">
        <f>IF($P41="","",IFERROR(IF(INDEX(MASTER!$S$4:$S$1463,$P41)="","",INDEX(MASTER!$S$4:$S$1463,$P41)),""))</f>
        <v>Complete</v>
      </c>
      <c r="P41">
        <f>IFERROR(MATCH($Q$1&amp;"@33",MASTER!$AC$4:$AC$1463,0),"")</f>
        <v>356</v>
      </c>
    </row>
    <row r="42" spans="1:16">
      <c r="A42" s="19">
        <f>IF($P42="","",34)</f>
        <v>34</v>
      </c>
      <c r="B42" s="18" t="str">
        <f>IF($P42="","",IFERROR(IF(INDEX(MASTER!$C$4:$C$1463,$P42)="","",INDEX(MASTER!$C$4:$C$1463,$P42)),""))</f>
        <v>FLEE</v>
      </c>
      <c r="C42" s="19" t="str">
        <f>IF($P42="","",IFERROR(IF(INDEX(MASTER!$D$4:$D$1463,$P42)="","",INDEX(MASTER!$D$4:$D$1463,$P42)),""))</f>
        <v/>
      </c>
      <c r="D42" s="19" t="str">
        <f>IF($P42="","",IFERROR(IF(INDEX(MASTER!$E$4:$E$1463,$P42)="","",INDEX(MASTER!$E$4:$E$1463,$P42)),""))</f>
        <v>WARLOCK</v>
      </c>
      <c r="E42" s="19" t="str">
        <f>IF($P42="","",IFERROR(IF(INDEX(MASTER!$F$4:$F$1463,$P42)="","",INDEX(MASTER!$F$4:$F$1463,$P42)),""))</f>
        <v>Control</v>
      </c>
      <c r="F42" s="20">
        <f>IF($P42="","",IFERROR(IF(INDEX(MASTER!$G$4:$G$1463,$P42)="","",INDEX(MASTER!$G$4:$G$1463,$P42)),""))</f>
        <v>63938</v>
      </c>
      <c r="G42" s="19" t="str">
        <f>IF($P42="","",IFERROR(IF(INDEX(MASTER!$H$4:$H$1463,$P42)="","",INDEX(MASTER!$H$4:$H$1463,$P42)),""))</f>
        <v>63,000 - 63,999</v>
      </c>
      <c r="H42" s="20">
        <f>IF($P42="","",IFERROR(IF(INDEX(MASTER!$I$4:$I$1463,$P42)="","",INDEX(MASTER!$I$4:$I$1463,$P42)),""))</f>
        <v>8377</v>
      </c>
      <c r="I42" s="19" t="str">
        <f>IF($P42="","",IFERROR(IF(INDEX(MASTER!$J$4:$J$1463,$P42)="","",INDEX(MASTER!$J$4:$J$1463,$P42)),""))</f>
        <v>ELITE</v>
      </c>
      <c r="J42" s="21">
        <f>IF($P42="","",IFERROR(IF(INDEX(MASTER!$L$4:$L$1463,$P42)="","",INDEX(MASTER!$L$4:$L$1463,$P42)),""))</f>
        <v>5.6</v>
      </c>
      <c r="K42" s="21">
        <f>IF($P42="","",IFERROR(IF(INDEX(MASTER!$N$4:$N$1463,$P42)="","",INDEX(MASTER!$N$4:$N$1463,$P42)),""))</f>
        <v>69.400000000000006</v>
      </c>
      <c r="L42" s="19" t="str">
        <f>IF($P42="","",IFERROR(IF(INDEX(MASTER!$O$4:$O$1463,$P42)="","",INDEX(MASTER!$O$4:$O$1463,$P42)),""))</f>
        <v>S</v>
      </c>
      <c r="M42" s="19">
        <f>IF($P42="","",IFERROR(IF(INDEX(MASTER!$Q$4:$Q$1463,$P42)="","",INDEX(MASTER!$Q$4:$Q$1463,$P42)),""))</f>
        <v>28</v>
      </c>
      <c r="N42" s="19" t="str">
        <f>IF($P42="","",IFERROR(IF(INDEX(MASTER!$S$4:$S$1463,$P42)="","",INDEX(MASTER!$S$4:$S$1463,$P42)),""))</f>
        <v>Complete</v>
      </c>
      <c r="P42">
        <f>IFERROR(MATCH($Q$1&amp;"@34",MASTER!$AC$4:$AC$1463,0),"")</f>
        <v>392</v>
      </c>
    </row>
    <row r="43" spans="1:16">
      <c r="A43" s="15">
        <f>IF($P43="","",35)</f>
        <v>35</v>
      </c>
      <c r="B43" s="14" t="str">
        <f>IF($P43="","",IFERROR(IF(INDEX(MASTER!$C$4:$C$1463,$P43)="","",INDEX(MASTER!$C$4:$C$1463,$P43)),""))</f>
        <v>FoxHayabusa</v>
      </c>
      <c r="C43" s="15" t="str">
        <f>IF($P43="","",IFERROR(IF(INDEX(MASTER!$D$4:$D$1463,$P43)="","",INDEX(MASTER!$D$4:$D$1463,$P43)),""))</f>
        <v/>
      </c>
      <c r="D43" s="15" t="str">
        <f>IF($P43="","",IFERROR(IF(INDEX(MASTER!$E$4:$E$1463,$P43)="","",INDEX(MASTER!$E$4:$E$1463,$P43)),""))</f>
        <v>WIZARD</v>
      </c>
      <c r="E43" s="15" t="str">
        <f>IF($P43="","",IFERROR(IF(INDEX(MASTER!$F$4:$F$1463,$P43)="","",INDEX(MASTER!$F$4:$F$1463,$P43)),""))</f>
        <v>Ranged DPS</v>
      </c>
      <c r="F43" s="16">
        <f>IF($P43="","",IFERROR(IF(INDEX(MASTER!$G$4:$G$1463,$P43)="","",INDEX(MASTER!$G$4:$G$1463,$P43)),""))</f>
        <v>61363</v>
      </c>
      <c r="G43" s="15" t="str">
        <f>IF($P43="","",IFERROR(IF(INDEX(MASTER!$H$4:$H$1463,$P43)="","",INDEX(MASTER!$H$4:$H$1463,$P43)),""))</f>
        <v>61,000 - 61,999</v>
      </c>
      <c r="H43" s="16">
        <f>IF($P43="","",IFERROR(IF(INDEX(MASTER!$I$4:$I$1463,$P43)="","",INDEX(MASTER!$I$4:$I$1463,$P43)),""))</f>
        <v>6343</v>
      </c>
      <c r="I43" s="15" t="str">
        <f>IF($P43="","",IFERROR(IF(INDEX(MASTER!$J$4:$J$1463,$P43)="","",INDEX(MASTER!$J$4:$J$1463,$P43)),""))</f>
        <v>VETERAN</v>
      </c>
      <c r="J43" s="17">
        <f>IF($P43="","",IFERROR(IF(INDEX(MASTER!$L$4:$L$1463,$P43)="","",INDEX(MASTER!$L$4:$L$1463,$P43)),""))</f>
        <v>6.87</v>
      </c>
      <c r="K43" s="17">
        <f>IF($P43="","",IFERROR(IF(INDEX(MASTER!$N$4:$N$1463,$P43)="","",INDEX(MASTER!$N$4:$N$1463,$P43)),""))</f>
        <v>55.9</v>
      </c>
      <c r="L43" s="15" t="str">
        <f>IF($P43="","",IFERROR(IF(INDEX(MASTER!$O$4:$O$1463,$P43)="","",INDEX(MASTER!$O$4:$O$1463,$P43)),""))</f>
        <v>A</v>
      </c>
      <c r="M43" s="15">
        <f>IF($P43="","",IFERROR(IF(INDEX(MASTER!$Q$4:$Q$1463,$P43)="","",INDEX(MASTER!$Q$4:$Q$1463,$P43)),""))</f>
        <v>51</v>
      </c>
      <c r="N43" s="15" t="str">
        <f>IF($P43="","",IFERROR(IF(INDEX(MASTER!$S$4:$S$1463,$P43)="","",INDEX(MASTER!$S$4:$S$1463,$P43)),""))</f>
        <v>Complete</v>
      </c>
      <c r="P43">
        <f>IFERROR(MATCH($Q$1&amp;"@35",MASTER!$AC$4:$AC$1463,0),"")</f>
        <v>398</v>
      </c>
    </row>
    <row r="44" spans="1:16">
      <c r="A44" s="19">
        <f>IF($P44="","",36)</f>
        <v>36</v>
      </c>
      <c r="B44" s="18" t="str">
        <f>IF($P44="","",IFERROR(IF(INDEX(MASTER!$C$4:$C$1463,$P44)="","",INDEX(MASTER!$C$4:$C$1463,$P44)),""))</f>
        <v>Fühnky</v>
      </c>
      <c r="C44" s="19" t="str">
        <f>IF($P44="","",IFERROR(IF(INDEX(MASTER!$D$4:$D$1463,$P44)="","",INDEX(MASTER!$D$4:$D$1463,$P44)),""))</f>
        <v/>
      </c>
      <c r="D44" s="19" t="str">
        <f>IF($P44="","",IFERROR(IF(INDEX(MASTER!$E$4:$E$1463,$P44)="","",INDEX(MASTER!$E$4:$E$1463,$P44)),""))</f>
        <v>DEMON HUNTER</v>
      </c>
      <c r="E44" s="19" t="str">
        <f>IF($P44="","",IFERROR(IF(INDEX(MASTER!$F$4:$F$1463,$P44)="","",INDEX(MASTER!$F$4:$F$1463,$P44)),""))</f>
        <v>Ranged DPS</v>
      </c>
      <c r="F44" s="20">
        <f>IF($P44="","",IFERROR(IF(INDEX(MASTER!$G$4:$G$1463,$P44)="","",INDEX(MASTER!$G$4:$G$1463,$P44)),""))</f>
        <v>63038</v>
      </c>
      <c r="G44" s="19" t="str">
        <f>IF($P44="","",IFERROR(IF(INDEX(MASTER!$H$4:$H$1463,$P44)="","",INDEX(MASTER!$H$4:$H$1463,$P44)),""))</f>
        <v>63,000 - 63,999</v>
      </c>
      <c r="H44" s="20">
        <f>IF($P44="","",IFERROR(IF(INDEX(MASTER!$I$4:$I$1463,$P44)="","",INDEX(MASTER!$I$4:$I$1463,$P44)),""))</f>
        <v>3532</v>
      </c>
      <c r="I44" s="19" t="str">
        <f>IF($P44="","",IFERROR(IF(INDEX(MASTER!$J$4:$J$1463,$P44)="","",INDEX(MASTER!$J$4:$J$1463,$P44)),""))</f>
        <v>DEVELOPING</v>
      </c>
      <c r="J44" s="21">
        <f>IF($P44="","",IFERROR(IF(INDEX(MASTER!$L$4:$L$1463,$P44)="","",INDEX(MASTER!$L$4:$L$1463,$P44)),""))</f>
        <v>4.5999999999999996</v>
      </c>
      <c r="K44" s="21">
        <f>IF($P44="","",IFERROR(IF(INDEX(MASTER!$N$4:$N$1463,$P44)="","",INDEX(MASTER!$N$4:$N$1463,$P44)),""))</f>
        <v>44.2</v>
      </c>
      <c r="L44" s="19" t="str">
        <f>IF($P44="","",IFERROR(IF(INDEX(MASTER!$O$4:$O$1463,$P44)="","",INDEX(MASTER!$O$4:$O$1463,$P44)),""))</f>
        <v>B</v>
      </c>
      <c r="M44" s="19">
        <f>IF($P44="","",IFERROR(IF(INDEX(MASTER!$Q$4:$Q$1463,$P44)="","",INDEX(MASTER!$Q$4:$Q$1463,$P44)),""))</f>
        <v>85</v>
      </c>
      <c r="N44" s="19" t="str">
        <f>IF($P44="","",IFERROR(IF(INDEX(MASTER!$S$4:$S$1463,$P44)="","",INDEX(MASTER!$S$4:$S$1463,$P44)),""))</f>
        <v>Complete</v>
      </c>
      <c r="P44">
        <f>IFERROR(MATCH($Q$1&amp;"@36",MASTER!$AC$4:$AC$1463,0),"")</f>
        <v>413</v>
      </c>
    </row>
    <row r="45" spans="1:16">
      <c r="A45" s="15">
        <f>IF($P45="","",37)</f>
        <v>37</v>
      </c>
      <c r="B45" s="14" t="str">
        <f>IF($P45="","",IFERROR(IF(INDEX(MASTER!$C$4:$C$1463,$P45)="","",INDEX(MASTER!$C$4:$C$1463,$P45)),""))</f>
        <v>Furealz</v>
      </c>
      <c r="C45" s="15" t="str">
        <f>IF($P45="","",IFERROR(IF(INDEX(MASTER!$D$4:$D$1463,$P45)="","",INDEX(MASTER!$D$4:$D$1463,$P45)),""))</f>
        <v/>
      </c>
      <c r="D45" s="15" t="str">
        <f>IF($P45="","",IFERROR(IF(INDEX(MASTER!$E$4:$E$1463,$P45)="","",INDEX(MASTER!$E$4:$E$1463,$P45)),""))</f>
        <v>WARLOCK</v>
      </c>
      <c r="E45" s="15" t="str">
        <f>IF($P45="","",IFERROR(IF(INDEX(MASTER!$F$4:$F$1463,$P45)="","",INDEX(MASTER!$F$4:$F$1463,$P45)),""))</f>
        <v>Control</v>
      </c>
      <c r="F45" s="16">
        <f>IF($P45="","",IFERROR(IF(INDEX(MASTER!$G$4:$G$1463,$P45)="","",INDEX(MASTER!$G$4:$G$1463,$P45)),""))</f>
        <v>63997</v>
      </c>
      <c r="G45" s="15" t="str">
        <f>IF($P45="","",IFERROR(IF(INDEX(MASTER!$H$4:$H$1463,$P45)="","",INDEX(MASTER!$H$4:$H$1463,$P45)),""))</f>
        <v>63,000 - 63,999</v>
      </c>
      <c r="H45" s="16">
        <f>IF($P45="","",IFERROR(IF(INDEX(MASTER!$I$4:$I$1463,$P45)="","",INDEX(MASTER!$I$4:$I$1463,$P45)),""))</f>
        <v>10352</v>
      </c>
      <c r="I45" s="15" t="str">
        <f>IF($P45="","",IFERROR(IF(INDEX(MASTER!$J$4:$J$1463,$P45)="","",INDEX(MASTER!$J$4:$J$1463,$P45)),""))</f>
        <v>APEX</v>
      </c>
      <c r="J45" s="17">
        <f>IF($P45="","",IFERROR(IF(INDEX(MASTER!$L$4:$L$1463,$P45)="","",INDEX(MASTER!$L$4:$L$1463,$P45)),""))</f>
        <v>7.37</v>
      </c>
      <c r="K45" s="17">
        <f>IF($P45="","",IFERROR(IF(INDEX(MASTER!$N$4:$N$1463,$P45)="","",INDEX(MASTER!$N$4:$N$1463,$P45)),""))</f>
        <v>81.099999999999994</v>
      </c>
      <c r="L45" s="15" t="str">
        <f>IF($P45="","",IFERROR(IF(INDEX(MASTER!$O$4:$O$1463,$P45)="","",INDEX(MASTER!$O$4:$O$1463,$P45)),""))</f>
        <v>S+</v>
      </c>
      <c r="M45" s="15">
        <f>IF($P45="","",IFERROR(IF(INDEX(MASTER!$Q$4:$Q$1463,$P45)="","",INDEX(MASTER!$Q$4:$Q$1463,$P45)),""))</f>
        <v>2</v>
      </c>
      <c r="N45" s="15" t="str">
        <f>IF($P45="","",IFERROR(IF(INDEX(MASTER!$S$4:$S$1463,$P45)="","",INDEX(MASTER!$S$4:$S$1463,$P45)),""))</f>
        <v>Complete</v>
      </c>
      <c r="P45">
        <f>IFERROR(MATCH($Q$1&amp;"@37",MASTER!$AC$4:$AC$1463,0),"")</f>
        <v>404</v>
      </c>
    </row>
    <row r="46" spans="1:16">
      <c r="A46" s="19">
        <f>IF($P46="","",38)</f>
        <v>38</v>
      </c>
      <c r="B46" s="18" t="str">
        <f>IF($P46="","",IFERROR(IF(INDEX(MASTER!$C$4:$C$1463,$P46)="","",INDEX(MASTER!$C$4:$C$1463,$P46)),""))</f>
        <v>FuRRyKaTa</v>
      </c>
      <c r="C46" s="19" t="str">
        <f>IF($P46="","",IFERROR(IF(INDEX(MASTER!$D$4:$D$1463,$P46)="","",INDEX(MASTER!$D$4:$D$1463,$P46)),""))</f>
        <v/>
      </c>
      <c r="D46" s="19" t="str">
        <f>IF($P46="","",IFERROR(IF(INDEX(MASTER!$E$4:$E$1463,$P46)="","",INDEX(MASTER!$E$4:$E$1463,$P46)),""))</f>
        <v>WARLOCK</v>
      </c>
      <c r="E46" s="19" t="str">
        <f>IF($P46="","",IFERROR(IF(INDEX(MASTER!$F$4:$F$1463,$P46)="","",INDEX(MASTER!$F$4:$F$1463,$P46)),""))</f>
        <v>Control</v>
      </c>
      <c r="F46" s="20">
        <f>IF($P46="","",IFERROR(IF(INDEX(MASTER!$G$4:$G$1463,$P46)="","",INDEX(MASTER!$G$4:$G$1463,$P46)),""))</f>
        <v>62053</v>
      </c>
      <c r="G46" s="19" t="str">
        <f>IF($P46="","",IFERROR(IF(INDEX(MASTER!$H$4:$H$1463,$P46)="","",INDEX(MASTER!$H$4:$H$1463,$P46)),""))</f>
        <v>62,000 - 62,999</v>
      </c>
      <c r="H46" s="20">
        <f>IF($P46="","",IFERROR(IF(INDEX(MASTER!$I$4:$I$1463,$P46)="","",INDEX(MASTER!$I$4:$I$1463,$P46)),""))</f>
        <v>5544</v>
      </c>
      <c r="I46" s="19" t="str">
        <f>IF($P46="","",IFERROR(IF(INDEX(MASTER!$J$4:$J$1463,$P46)="","",INDEX(MASTER!$J$4:$J$1463,$P46)),""))</f>
        <v>CORE</v>
      </c>
      <c r="J46" s="21">
        <f>IF($P46="","",IFERROR(IF(INDEX(MASTER!$L$4:$L$1463,$P46)="","",INDEX(MASTER!$L$4:$L$1463,$P46)),""))</f>
        <v>5.2</v>
      </c>
      <c r="K46" s="21">
        <f>IF($P46="","",IFERROR(IF(INDEX(MASTER!$N$4:$N$1463,$P46)="","",INDEX(MASTER!$N$4:$N$1463,$P46)),""))</f>
        <v>51.4</v>
      </c>
      <c r="L46" s="19" t="str">
        <f>IF($P46="","",IFERROR(IF(INDEX(MASTER!$O$4:$O$1463,$P46)="","",INDEX(MASTER!$O$4:$O$1463,$P46)),""))</f>
        <v>A</v>
      </c>
      <c r="M46" s="19">
        <f>IF($P46="","",IFERROR(IF(INDEX(MASTER!$Q$4:$Q$1463,$P46)="","",INDEX(MASTER!$Q$4:$Q$1463,$P46)),""))</f>
        <v>61</v>
      </c>
      <c r="N46" s="19" t="str">
        <f>IF($P46="","",IFERROR(IF(INDEX(MASTER!$S$4:$S$1463,$P46)="","",INDEX(MASTER!$S$4:$S$1463,$P46)),""))</f>
        <v>Complete</v>
      </c>
      <c r="P46">
        <f>IFERROR(MATCH($Q$1&amp;"@38",MASTER!$AC$4:$AC$1463,0),"")</f>
        <v>410</v>
      </c>
    </row>
    <row r="47" spans="1:16">
      <c r="A47" s="15">
        <f>IF($P47="","",39)</f>
        <v>39</v>
      </c>
      <c r="B47" s="14" t="str">
        <f>IF($P47="","",IFERROR(IF(INDEX(MASTER!$C$4:$C$1463,$P47)="","",INDEX(MASTER!$C$4:$C$1463,$P47)),""))</f>
        <v>GhostF8ceKilla</v>
      </c>
      <c r="C47" s="15" t="str">
        <f>IF($P47="","",IFERROR(IF(INDEX(MASTER!$D$4:$D$1463,$P47)="","",INDEX(MASTER!$D$4:$D$1463,$P47)),""))</f>
        <v/>
      </c>
      <c r="D47" s="15" t="str">
        <f>IF($P47="","",IFERROR(IF(INDEX(MASTER!$E$4:$E$1463,$P47)="","",INDEX(MASTER!$E$4:$E$1463,$P47)),""))</f>
        <v>DEMON HUNTER</v>
      </c>
      <c r="E47" s="15" t="str">
        <f>IF($P47="","",IFERROR(IF(INDEX(MASTER!$F$4:$F$1463,$P47)="","",INDEX(MASTER!$F$4:$F$1463,$P47)),""))</f>
        <v>Ranged DPS</v>
      </c>
      <c r="F47" s="16">
        <f>IF($P47="","",IFERROR(IF(INDEX(MASTER!$G$4:$G$1463,$P47)="","",INDEX(MASTER!$G$4:$G$1463,$P47)),""))</f>
        <v>62609</v>
      </c>
      <c r="G47" s="15" t="str">
        <f>IF($P47="","",IFERROR(IF(INDEX(MASTER!$H$4:$H$1463,$P47)="","",INDEX(MASTER!$H$4:$H$1463,$P47)),""))</f>
        <v>62,000 - 62,999</v>
      </c>
      <c r="H47" s="16">
        <f>IF($P47="","",IFERROR(IF(INDEX(MASTER!$I$4:$I$1463,$P47)="","",INDEX(MASTER!$I$4:$I$1463,$P47)),""))</f>
        <v>3902</v>
      </c>
      <c r="I47" s="15" t="str">
        <f>IF($P47="","",IFERROR(IF(INDEX(MASTER!$J$4:$J$1463,$P47)="","",INDEX(MASTER!$J$4:$J$1463,$P47)),""))</f>
        <v>DEVELOPING</v>
      </c>
      <c r="J47" s="17">
        <f>IF($P47="","",IFERROR(IF(INDEX(MASTER!$L$4:$L$1463,$P47)="","",INDEX(MASTER!$L$4:$L$1463,$P47)),""))</f>
        <v>3.95</v>
      </c>
      <c r="K47" s="17">
        <f>IF($P47="","",IFERROR(IF(INDEX(MASTER!$N$4:$N$1463,$P47)="","",INDEX(MASTER!$N$4:$N$1463,$P47)),""))</f>
        <v>43.6</v>
      </c>
      <c r="L47" s="15" t="str">
        <f>IF($P47="","",IFERROR(IF(INDEX(MASTER!$O$4:$O$1463,$P47)="","",INDEX(MASTER!$O$4:$O$1463,$P47)),""))</f>
        <v>B</v>
      </c>
      <c r="M47" s="15">
        <f>IF($P47="","",IFERROR(IF(INDEX(MASTER!$Q$4:$Q$1463,$P47)="","",INDEX(MASTER!$Q$4:$Q$1463,$P47)),""))</f>
        <v>80</v>
      </c>
      <c r="N47" s="15" t="str">
        <f>IF($P47="","",IFERROR(IF(INDEX(MASTER!$S$4:$S$1463,$P47)="","",INDEX(MASTER!$S$4:$S$1463,$P47)),""))</f>
        <v>Complete</v>
      </c>
      <c r="P47">
        <f>IFERROR(MATCH($Q$1&amp;"@39",MASTER!$AC$4:$AC$1463,0),"")</f>
        <v>425</v>
      </c>
    </row>
    <row r="48" spans="1:16">
      <c r="A48" s="19">
        <f>IF($P48="","",40)</f>
        <v>40</v>
      </c>
      <c r="B48" s="18" t="str">
        <f>IF($P48="","",IFERROR(IF(INDEX(MASTER!$C$4:$C$1463,$P48)="","",INDEX(MASTER!$C$4:$C$1463,$P48)),""))</f>
        <v>GhostFaceKillahh</v>
      </c>
      <c r="C48" s="19" t="str">
        <f>IF($P48="","",IFERROR(IF(INDEX(MASTER!$D$4:$D$1463,$P48)="","",INDEX(MASTER!$D$4:$D$1463,$P48)),""))</f>
        <v/>
      </c>
      <c r="D48" s="19" t="str">
        <f>IF($P48="","",IFERROR(IF(INDEX(MASTER!$E$4:$E$1463,$P48)="","",INDEX(MASTER!$E$4:$E$1463,$P48)),""))</f>
        <v>BARBARIAN</v>
      </c>
      <c r="E48" s="19" t="str">
        <f>IF($P48="","",IFERROR(IF(INDEX(MASTER!$F$4:$F$1463,$P48)="","",INDEX(MASTER!$F$4:$F$1463,$P48)),""))</f>
        <v>Frontline</v>
      </c>
      <c r="F48" s="20">
        <f>IF($P48="","",IFERROR(IF(INDEX(MASTER!$G$4:$G$1463,$P48)="","",INDEX(MASTER!$G$4:$G$1463,$P48)),""))</f>
        <v>63134</v>
      </c>
      <c r="G48" s="19" t="str">
        <f>IF($P48="","",IFERROR(IF(INDEX(MASTER!$H$4:$H$1463,$P48)="","",INDEX(MASTER!$H$4:$H$1463,$P48)),""))</f>
        <v>63,000 - 63,999</v>
      </c>
      <c r="H48" s="20">
        <f>IF($P48="","",IFERROR(IF(INDEX(MASTER!$I$4:$I$1463,$P48)="","",INDEX(MASTER!$I$4:$I$1463,$P48)),""))</f>
        <v>6269</v>
      </c>
      <c r="I48" s="19" t="str">
        <f>IF($P48="","",IFERROR(IF(INDEX(MASTER!$J$4:$J$1463,$P48)="","",INDEX(MASTER!$J$4:$J$1463,$P48)),""))</f>
        <v>VETERAN</v>
      </c>
      <c r="J48" s="21">
        <f>IF($P48="","",IFERROR(IF(INDEX(MASTER!$L$4:$L$1463,$P48)="","",INDEX(MASTER!$L$4:$L$1463,$P48)),""))</f>
        <v>5.67</v>
      </c>
      <c r="K48" s="21">
        <f>IF($P48="","",IFERROR(IF(INDEX(MASTER!$N$4:$N$1463,$P48)="","",INDEX(MASTER!$N$4:$N$1463,$P48)),""))</f>
        <v>58.2</v>
      </c>
      <c r="L48" s="19" t="str">
        <f>IF($P48="","",IFERROR(IF(INDEX(MASTER!$O$4:$O$1463,$P48)="","",INDEX(MASTER!$O$4:$O$1463,$P48)),""))</f>
        <v>A</v>
      </c>
      <c r="M48" s="19">
        <f>IF($P48="","",IFERROR(IF(INDEX(MASTER!$Q$4:$Q$1463,$P48)="","",INDEX(MASTER!$Q$4:$Q$1463,$P48)),""))</f>
        <v>53</v>
      </c>
      <c r="N48" s="19" t="str">
        <f>IF($P48="","",IFERROR(IF(INDEX(MASTER!$S$4:$S$1463,$P48)="","",INDEX(MASTER!$S$4:$S$1463,$P48)),""))</f>
        <v>Complete</v>
      </c>
      <c r="P48">
        <f>IFERROR(MATCH($Q$1&amp;"@40",MASTER!$AC$4:$AC$1463,0),"")</f>
        <v>426</v>
      </c>
    </row>
    <row r="49" spans="1:16">
      <c r="A49" s="15">
        <f>IF($P49="","",41)</f>
        <v>41</v>
      </c>
      <c r="B49" s="14" t="str">
        <f>IF($P49="","",IFERROR(IF(INDEX(MASTER!$C$4:$C$1463,$P49)="","",INDEX(MASTER!$C$4:$C$1463,$P49)),""))</f>
        <v>GrandMasterB810</v>
      </c>
      <c r="C49" s="15" t="str">
        <f>IF($P49="","",IFERROR(IF(INDEX(MASTER!$D$4:$D$1463,$P49)="","",INDEX(MASTER!$D$4:$D$1463,$P49)),""))</f>
        <v/>
      </c>
      <c r="D49" s="15" t="str">
        <f>IF($P49="","",IFERROR(IF(INDEX(MASTER!$E$4:$E$1463,$P49)="","",INDEX(MASTER!$E$4:$E$1463,$P49)),""))</f>
        <v>WARLOCK</v>
      </c>
      <c r="E49" s="15" t="str">
        <f>IF($P49="","",IFERROR(IF(INDEX(MASTER!$F$4:$F$1463,$P49)="","",INDEX(MASTER!$F$4:$F$1463,$P49)),""))</f>
        <v>Control</v>
      </c>
      <c r="F49" s="16">
        <f>IF($P49="","",IFERROR(IF(INDEX(MASTER!$G$4:$G$1463,$P49)="","",INDEX(MASTER!$G$4:$G$1463,$P49)),""))</f>
        <v>63862</v>
      </c>
      <c r="G49" s="15" t="str">
        <f>IF($P49="","",IFERROR(IF(INDEX(MASTER!$H$4:$H$1463,$P49)="","",INDEX(MASTER!$H$4:$H$1463,$P49)),""))</f>
        <v>63,000 - 63,999</v>
      </c>
      <c r="H49" s="16">
        <f>IF($P49="","",IFERROR(IF(INDEX(MASTER!$I$4:$I$1463,$P49)="","",INDEX(MASTER!$I$4:$I$1463,$P49)),""))</f>
        <v>6829</v>
      </c>
      <c r="I49" s="15" t="str">
        <f>IF($P49="","",IFERROR(IF(INDEX(MASTER!$J$4:$J$1463,$P49)="","",INDEX(MASTER!$J$4:$J$1463,$P49)),""))</f>
        <v>VETERAN</v>
      </c>
      <c r="J49" s="17">
        <f>IF($P49="","",IFERROR(IF(INDEX(MASTER!$L$4:$L$1463,$P49)="","",INDEX(MASTER!$L$4:$L$1463,$P49)),""))</f>
        <v>7.5</v>
      </c>
      <c r="K49" s="17">
        <f>IF($P49="","",IFERROR(IF(INDEX(MASTER!$N$4:$N$1463,$P49)="","",INDEX(MASTER!$N$4:$N$1463,$P49)),""))</f>
        <v>65.599999999999994</v>
      </c>
      <c r="L49" s="15" t="str">
        <f>IF($P49="","",IFERROR(IF(INDEX(MASTER!$O$4:$O$1463,$P49)="","",INDEX(MASTER!$O$4:$O$1463,$P49)),""))</f>
        <v>S</v>
      </c>
      <c r="M49" s="15">
        <f>IF($P49="","",IFERROR(IF(INDEX(MASTER!$Q$4:$Q$1463,$P49)="","",INDEX(MASTER!$Q$4:$Q$1463,$P49)),""))</f>
        <v>48</v>
      </c>
      <c r="N49" s="15" t="str">
        <f>IF($P49="","",IFERROR(IF(INDEX(MASTER!$S$4:$S$1463,$P49)="","",INDEX(MASTER!$S$4:$S$1463,$P49)),""))</f>
        <v>Complete</v>
      </c>
      <c r="P49">
        <f>IFERROR(MATCH($Q$1&amp;"@41",MASTER!$AC$4:$AC$1463,0),"")</f>
        <v>449</v>
      </c>
    </row>
    <row r="50" spans="1:16">
      <c r="A50" s="19">
        <f>IF($P50="","",42)</f>
        <v>42</v>
      </c>
      <c r="B50" s="18" t="str">
        <f>IF($P50="","",IFERROR(IF(INDEX(MASTER!$C$4:$C$1463,$P50)="","",INDEX(MASTER!$C$4:$C$1463,$P50)),""))</f>
        <v>Hardkiss</v>
      </c>
      <c r="C50" s="19" t="str">
        <f>IF($P50="","",IFERROR(IF(INDEX(MASTER!$D$4:$D$1463,$P50)="","",INDEX(MASTER!$D$4:$D$1463,$P50)),""))</f>
        <v/>
      </c>
      <c r="D50" s="19" t="str">
        <f>IF($P50="","",IFERROR(IF(INDEX(MASTER!$E$4:$E$1463,$P50)="","",INDEX(MASTER!$E$4:$E$1463,$P50)),""))</f>
        <v>WIZARD</v>
      </c>
      <c r="E50" s="19" t="str">
        <f>IF($P50="","",IFERROR(IF(INDEX(MASTER!$F$4:$F$1463,$P50)="","",INDEX(MASTER!$F$4:$F$1463,$P50)),""))</f>
        <v>Ranged DPS</v>
      </c>
      <c r="F50" s="20">
        <f>IF($P50="","",IFERROR(IF(INDEX(MASTER!$G$4:$G$1463,$P50)="","",INDEX(MASTER!$G$4:$G$1463,$P50)),""))</f>
        <v>63655</v>
      </c>
      <c r="G50" s="19" t="str">
        <f>IF($P50="","",IFERROR(IF(INDEX(MASTER!$H$4:$H$1463,$P50)="","",INDEX(MASTER!$H$4:$H$1463,$P50)),""))</f>
        <v>63,000 - 63,999</v>
      </c>
      <c r="H50" s="20">
        <f>IF($P50="","",IFERROR(IF(INDEX(MASTER!$I$4:$I$1463,$P50)="","",INDEX(MASTER!$I$4:$I$1463,$P50)),""))</f>
        <v>6192</v>
      </c>
      <c r="I50" s="19" t="str">
        <f>IF($P50="","",IFERROR(IF(INDEX(MASTER!$J$4:$J$1463,$P50)="","",INDEX(MASTER!$J$4:$J$1463,$P50)),""))</f>
        <v>VETERAN</v>
      </c>
      <c r="J50" s="21">
        <f>IF($P50="","",IFERROR(IF(INDEX(MASTER!$L$4:$L$1463,$P50)="","",INDEX(MASTER!$L$4:$L$1463,$P50)),""))</f>
        <v>5.0999999999999996</v>
      </c>
      <c r="K50" s="21">
        <f>IF($P50="","",IFERROR(IF(INDEX(MASTER!$N$4:$N$1463,$P50)="","",INDEX(MASTER!$N$4:$N$1463,$P50)),""))</f>
        <v>58.3</v>
      </c>
      <c r="L50" s="19" t="str">
        <f>IF($P50="","",IFERROR(IF(INDEX(MASTER!$O$4:$O$1463,$P50)="","",INDEX(MASTER!$O$4:$O$1463,$P50)),""))</f>
        <v>A</v>
      </c>
      <c r="M50" s="19">
        <f>IF($P50="","",IFERROR(IF(INDEX(MASTER!$Q$4:$Q$1463,$P50)="","",INDEX(MASTER!$Q$4:$Q$1463,$P50)),""))</f>
        <v>55</v>
      </c>
      <c r="N50" s="19" t="str">
        <f>IF($P50="","",IFERROR(IF(INDEX(MASTER!$S$4:$S$1463,$P50)="","",INDEX(MASTER!$S$4:$S$1463,$P50)),""))</f>
        <v>Complete</v>
      </c>
      <c r="P50">
        <f>IFERROR(MATCH($Q$1&amp;"@42",MASTER!$AC$4:$AC$1463,0),"")</f>
        <v>471</v>
      </c>
    </row>
    <row r="51" spans="1:16">
      <c r="A51" s="15">
        <f>IF($P51="","",43)</f>
        <v>43</v>
      </c>
      <c r="B51" s="14" t="str">
        <f>IF($P51="","",IFERROR(IF(INDEX(MASTER!$C$4:$C$1463,$P51)="","",INDEX(MASTER!$C$4:$C$1463,$P51)),""))</f>
        <v>Heath3rs</v>
      </c>
      <c r="C51" s="15" t="str">
        <f>IF($P51="","",IFERROR(IF(INDEX(MASTER!$D$4:$D$1463,$P51)="","",INDEX(MASTER!$D$4:$D$1463,$P51)),""))</f>
        <v/>
      </c>
      <c r="D51" s="15" t="str">
        <f>IF($P51="","",IFERROR(IF(INDEX(MASTER!$E$4:$E$1463,$P51)="","",INDEX(MASTER!$E$4:$E$1463,$P51)),""))</f>
        <v>WARLOCK</v>
      </c>
      <c r="E51" s="15" t="str">
        <f>IF($P51="","",IFERROR(IF(INDEX(MASTER!$F$4:$F$1463,$P51)="","",INDEX(MASTER!$F$4:$F$1463,$P51)),""))</f>
        <v>Control</v>
      </c>
      <c r="F51" s="16">
        <f>IF($P51="","",IFERROR(IF(INDEX(MASTER!$G$4:$G$1463,$P51)="","",INDEX(MASTER!$G$4:$G$1463,$P51)),""))</f>
        <v>64192</v>
      </c>
      <c r="G51" s="15" t="str">
        <f>IF($P51="","",IFERROR(IF(INDEX(MASTER!$H$4:$H$1463,$P51)="","",INDEX(MASTER!$H$4:$H$1463,$P51)),""))</f>
        <v>64,000 +</v>
      </c>
      <c r="H51" s="16">
        <f>IF($P51="","",IFERROR(IF(INDEX(MASTER!$I$4:$I$1463,$P51)="","",INDEX(MASTER!$I$4:$I$1463,$P51)),""))</f>
        <v>9403</v>
      </c>
      <c r="I51" s="15" t="str">
        <f>IF($P51="","",IFERROR(IF(INDEX(MASTER!$J$4:$J$1463,$P51)="","",INDEX(MASTER!$J$4:$J$1463,$P51)),""))</f>
        <v>ELITE</v>
      </c>
      <c r="J51" s="17">
        <f>IF($P51="","",IFERROR(IF(INDEX(MASTER!$L$4:$L$1463,$P51)="","",INDEX(MASTER!$L$4:$L$1463,$P51)),""))</f>
        <v>6.9</v>
      </c>
      <c r="K51" s="17">
        <f>IF($P51="","",IFERROR(IF(INDEX(MASTER!$N$4:$N$1463,$P51)="","",INDEX(MASTER!$N$4:$N$1463,$P51)),""))</f>
        <v>76.7</v>
      </c>
      <c r="L51" s="15" t="str">
        <f>IF($P51="","",IFERROR(IF(INDEX(MASTER!$O$4:$O$1463,$P51)="","",INDEX(MASTER!$O$4:$O$1463,$P51)),""))</f>
        <v>S</v>
      </c>
      <c r="M51" s="15">
        <f>IF($P51="","",IFERROR(IF(INDEX(MASTER!$Q$4:$Q$1463,$P51)="","",INDEX(MASTER!$Q$4:$Q$1463,$P51)),""))</f>
        <v>18</v>
      </c>
      <c r="N51" s="15" t="str">
        <f>IF($P51="","",IFERROR(IF(INDEX(MASTER!$S$4:$S$1463,$P51)="","",INDEX(MASTER!$S$4:$S$1463,$P51)),""))</f>
        <v>Complete</v>
      </c>
      <c r="P51">
        <f>IFERROR(MATCH($Q$1&amp;"@43",MASTER!$AC$4:$AC$1463,0),"")</f>
        <v>480</v>
      </c>
    </row>
    <row r="52" spans="1:16">
      <c r="A52" s="19">
        <f>IF($P52="","",44)</f>
        <v>44</v>
      </c>
      <c r="B52" s="18" t="str">
        <f>IF($P52="","",IFERROR(IF(INDEX(MASTER!$C$4:$C$1463,$P52)="","",INDEX(MASTER!$C$4:$C$1463,$P52)),""))</f>
        <v>Helexa</v>
      </c>
      <c r="C52" s="19" t="str">
        <f>IF($P52="","",IFERROR(IF(INDEX(MASTER!$D$4:$D$1463,$P52)="","",INDEX(MASTER!$D$4:$D$1463,$P52)),""))</f>
        <v/>
      </c>
      <c r="D52" s="19" t="str">
        <f>IF($P52="","",IFERROR(IF(INDEX(MASTER!$E$4:$E$1463,$P52)="","",INDEX(MASTER!$E$4:$E$1463,$P52)),""))</f>
        <v>CRUSADER</v>
      </c>
      <c r="E52" s="19" t="str">
        <f>IF($P52="","",IFERROR(IF(INDEX(MASTER!$F$4:$F$1463,$P52)="","",INDEX(MASTER!$F$4:$F$1463,$P52)),""))</f>
        <v>Frontline</v>
      </c>
      <c r="F52" s="20">
        <f>IF($P52="","",IFERROR(IF(INDEX(MASTER!$G$4:$G$1463,$P52)="","",INDEX(MASTER!$G$4:$G$1463,$P52)),""))</f>
        <v>63805</v>
      </c>
      <c r="G52" s="19" t="str">
        <f>IF($P52="","",IFERROR(IF(INDEX(MASTER!$H$4:$H$1463,$P52)="","",INDEX(MASTER!$H$4:$H$1463,$P52)),""))</f>
        <v>63,000 - 63,999</v>
      </c>
      <c r="H52" s="20">
        <f>IF($P52="","",IFERROR(IF(INDEX(MASTER!$I$4:$I$1463,$P52)="","",INDEX(MASTER!$I$4:$I$1463,$P52)),""))</f>
        <v>7229</v>
      </c>
      <c r="I52" s="19" t="str">
        <f>IF($P52="","",IFERROR(IF(INDEX(MASTER!$J$4:$J$1463,$P52)="","",INDEX(MASTER!$J$4:$J$1463,$P52)),""))</f>
        <v>VETERAN</v>
      </c>
      <c r="J52" s="21">
        <f>IF($P52="","",IFERROR(IF(INDEX(MASTER!$L$4:$L$1463,$P52)="","",INDEX(MASTER!$L$4:$L$1463,$P52)),""))</f>
        <v>4.79</v>
      </c>
      <c r="K52" s="21">
        <f>IF($P52="","",IFERROR(IF(INDEX(MASTER!$N$4:$N$1463,$P52)="","",INDEX(MASTER!$N$4:$N$1463,$P52)),""))</f>
        <v>62.7</v>
      </c>
      <c r="L52" s="19" t="str">
        <f>IF($P52="","",IFERROR(IF(INDEX(MASTER!$O$4:$O$1463,$P52)="","",INDEX(MASTER!$O$4:$O$1463,$P52)),""))</f>
        <v>A</v>
      </c>
      <c r="M52" s="19">
        <f>IF($P52="","",IFERROR(IF(INDEX(MASTER!$Q$4:$Q$1463,$P52)="","",INDEX(MASTER!$Q$4:$Q$1463,$P52)),""))</f>
        <v>43</v>
      </c>
      <c r="N52" s="19" t="str">
        <f>IF($P52="","",IFERROR(IF(INDEX(MASTER!$S$4:$S$1463,$P52)="","",INDEX(MASTER!$S$4:$S$1463,$P52)),""))</f>
        <v>Complete</v>
      </c>
      <c r="P52">
        <f>IFERROR(MATCH($Q$1&amp;"@44",MASTER!$AC$4:$AC$1463,0),"")</f>
        <v>484</v>
      </c>
    </row>
    <row r="53" spans="1:16">
      <c r="A53" s="15">
        <f>IF($P53="","",45)</f>
        <v>45</v>
      </c>
      <c r="B53" s="14" t="str">
        <f>IF($P53="","",IFERROR(IF(INDEX(MASTER!$C$4:$C$1463,$P53)="","",INDEX(MASTER!$C$4:$C$1463,$P53)),""))</f>
        <v>Hellman</v>
      </c>
      <c r="C53" s="15" t="str">
        <f>IF($P53="","",IFERROR(IF(INDEX(MASTER!$D$4:$D$1463,$P53)="","",INDEX(MASTER!$D$4:$D$1463,$P53)),""))</f>
        <v/>
      </c>
      <c r="D53" s="15" t="str">
        <f>IF($P53="","",IFERROR(IF(INDEX(MASTER!$E$4:$E$1463,$P53)="","",INDEX(MASTER!$E$4:$E$1463,$P53)),""))</f>
        <v>WARLOCK</v>
      </c>
      <c r="E53" s="15" t="str">
        <f>IF($P53="","",IFERROR(IF(INDEX(MASTER!$F$4:$F$1463,$P53)="","",INDEX(MASTER!$F$4:$F$1463,$P53)),""))</f>
        <v>Control</v>
      </c>
      <c r="F53" s="16">
        <f>IF($P53="","",IFERROR(IF(INDEX(MASTER!$G$4:$G$1463,$P53)="","",INDEX(MASTER!$G$4:$G$1463,$P53)),""))</f>
        <v>63452</v>
      </c>
      <c r="G53" s="15" t="str">
        <f>IF($P53="","",IFERROR(IF(INDEX(MASTER!$H$4:$H$1463,$P53)="","",INDEX(MASTER!$H$4:$H$1463,$P53)),""))</f>
        <v>63,000 - 63,999</v>
      </c>
      <c r="H53" s="16">
        <f>IF($P53="","",IFERROR(IF(INDEX(MASTER!$I$4:$I$1463,$P53)="","",INDEX(MASTER!$I$4:$I$1463,$P53)),""))</f>
        <v>4581</v>
      </c>
      <c r="I53" s="15" t="str">
        <f>IF($P53="","",IFERROR(IF(INDEX(MASTER!$J$4:$J$1463,$P53)="","",INDEX(MASTER!$J$4:$J$1463,$P53)),""))</f>
        <v>CORE</v>
      </c>
      <c r="J53" s="17">
        <f>IF($P53="","",IFERROR(IF(INDEX(MASTER!$L$4:$L$1463,$P53)="","",INDEX(MASTER!$L$4:$L$1463,$P53)),""))</f>
        <v>4.6100000000000003</v>
      </c>
      <c r="K53" s="17">
        <f>IF($P53="","",IFERROR(IF(INDEX(MASTER!$N$4:$N$1463,$P53)="","",INDEX(MASTER!$N$4:$N$1463,$P53)),""))</f>
        <v>49.9</v>
      </c>
      <c r="L53" s="15" t="str">
        <f>IF($P53="","",IFERROR(IF(INDEX(MASTER!$O$4:$O$1463,$P53)="","",INDEX(MASTER!$O$4:$O$1463,$P53)),""))</f>
        <v>B</v>
      </c>
      <c r="M53" s="15">
        <f>IF($P53="","",IFERROR(IF(INDEX(MASTER!$Q$4:$Q$1463,$P53)="","",INDEX(MASTER!$Q$4:$Q$1463,$P53)),""))</f>
        <v>71</v>
      </c>
      <c r="N53" s="15" t="str">
        <f>IF($P53="","",IFERROR(IF(INDEX(MASTER!$S$4:$S$1463,$P53)="","",INDEX(MASTER!$S$4:$S$1463,$P53)),""))</f>
        <v>Complete</v>
      </c>
      <c r="P53">
        <f>IFERROR(MATCH($Q$1&amp;"@45",MASTER!$AC$4:$AC$1463,0),"")</f>
        <v>487</v>
      </c>
    </row>
    <row r="54" spans="1:16">
      <c r="A54" s="19">
        <f>IF($P54="","",46)</f>
        <v>46</v>
      </c>
      <c r="B54" s="18" t="str">
        <f>IF($P54="","",IFERROR(IF(INDEX(MASTER!$C$4:$C$1463,$P54)="","",INDEX(MASTER!$C$4:$C$1463,$P54)),""))</f>
        <v>HolyÕne</v>
      </c>
      <c r="C54" s="19" t="str">
        <f>IF($P54="","",IFERROR(IF(INDEX(MASTER!$D$4:$D$1463,$P54)="","",INDEX(MASTER!$D$4:$D$1463,$P54)),""))</f>
        <v/>
      </c>
      <c r="D54" s="19" t="str">
        <f>IF($P54="","",IFERROR(IF(INDEX(MASTER!$E$4:$E$1463,$P54)="","",INDEX(MASTER!$E$4:$E$1463,$P54)),""))</f>
        <v>BARBARIAN</v>
      </c>
      <c r="E54" s="19" t="str">
        <f>IF($P54="","",IFERROR(IF(INDEX(MASTER!$F$4:$F$1463,$P54)="","",INDEX(MASTER!$F$4:$F$1463,$P54)),""))</f>
        <v>Frontline</v>
      </c>
      <c r="F54" s="20">
        <f>IF($P54="","",IFERROR(IF(INDEX(MASTER!$G$4:$G$1463,$P54)="","",INDEX(MASTER!$G$4:$G$1463,$P54)),""))</f>
        <v>63443</v>
      </c>
      <c r="G54" s="19" t="str">
        <f>IF($P54="","",IFERROR(IF(INDEX(MASTER!$H$4:$H$1463,$P54)="","",INDEX(MASTER!$H$4:$H$1463,$P54)),""))</f>
        <v>63,000 - 63,999</v>
      </c>
      <c r="H54" s="20">
        <f>IF($P54="","",IFERROR(IF(INDEX(MASTER!$I$4:$I$1463,$P54)="","",INDEX(MASTER!$I$4:$I$1463,$P54)),""))</f>
        <v>5147</v>
      </c>
      <c r="I54" s="19" t="str">
        <f>IF($P54="","",IFERROR(IF(INDEX(MASTER!$J$4:$J$1463,$P54)="","",INDEX(MASTER!$J$4:$J$1463,$P54)),""))</f>
        <v>CORE</v>
      </c>
      <c r="J54" s="21">
        <f>IF($P54="","",IFERROR(IF(INDEX(MASTER!$L$4:$L$1463,$P54)="","",INDEX(MASTER!$L$4:$L$1463,$P54)),""))</f>
        <v>4.8</v>
      </c>
      <c r="K54" s="21">
        <f>IF($P54="","",IFERROR(IF(INDEX(MASTER!$N$4:$N$1463,$P54)="","",INDEX(MASTER!$N$4:$N$1463,$P54)),""))</f>
        <v>52.7</v>
      </c>
      <c r="L54" s="19" t="str">
        <f>IF($P54="","",IFERROR(IF(INDEX(MASTER!$O$4:$O$1463,$P54)="","",INDEX(MASTER!$O$4:$O$1463,$P54)),""))</f>
        <v>A</v>
      </c>
      <c r="M54" s="19">
        <f>IF($P54="","",IFERROR(IF(INDEX(MASTER!$Q$4:$Q$1463,$P54)="","",INDEX(MASTER!$Q$4:$Q$1463,$P54)),""))</f>
        <v>65</v>
      </c>
      <c r="N54" s="19" t="str">
        <f>IF($P54="","",IFERROR(IF(INDEX(MASTER!$S$4:$S$1463,$P54)="","",INDEX(MASTER!$S$4:$S$1463,$P54)),""))</f>
        <v>Complete</v>
      </c>
      <c r="P54">
        <f>IFERROR(MATCH($Q$1&amp;"@46",MASTER!$AC$4:$AC$1463,0),"")</f>
        <v>508</v>
      </c>
    </row>
    <row r="55" spans="1:16">
      <c r="A55" s="15">
        <f>IF($P55="","",47)</f>
        <v>47</v>
      </c>
      <c r="B55" s="14" t="str">
        <f>IF($P55="","",IFERROR(IF(INDEX(MASTER!$C$4:$C$1463,$P55)="","",INDEX(MASTER!$C$4:$C$1463,$P55)),""))</f>
        <v>i34131</v>
      </c>
      <c r="C55" s="15" t="str">
        <f>IF($P55="","",IFERROR(IF(INDEX(MASTER!$D$4:$D$1463,$P55)="","",INDEX(MASTER!$D$4:$D$1463,$P55)),""))</f>
        <v/>
      </c>
      <c r="D55" s="15" t="str">
        <f>IF($P55="","",IFERROR(IF(INDEX(MASTER!$E$4:$E$1463,$P55)="","",INDEX(MASTER!$E$4:$E$1463,$P55)),""))</f>
        <v>WARLOCK</v>
      </c>
      <c r="E55" s="15" t="str">
        <f>IF($P55="","",IFERROR(IF(INDEX(MASTER!$F$4:$F$1463,$P55)="","",INDEX(MASTER!$F$4:$F$1463,$P55)),""))</f>
        <v>Control</v>
      </c>
      <c r="F55" s="16">
        <f>IF($P55="","",IFERROR(IF(INDEX(MASTER!$G$4:$G$1463,$P55)="","",INDEX(MASTER!$G$4:$G$1463,$P55)),""))</f>
        <v>63518</v>
      </c>
      <c r="G55" s="15" t="str">
        <f>IF($P55="","",IFERROR(IF(INDEX(MASTER!$H$4:$H$1463,$P55)="","",INDEX(MASTER!$H$4:$H$1463,$P55)),""))</f>
        <v>63,000 - 63,999</v>
      </c>
      <c r="H55" s="16">
        <f>IF($P55="","",IFERROR(IF(INDEX(MASTER!$I$4:$I$1463,$P55)="","",INDEX(MASTER!$I$4:$I$1463,$P55)),""))</f>
        <v>5701</v>
      </c>
      <c r="I55" s="15" t="str">
        <f>IF($P55="","",IFERROR(IF(INDEX(MASTER!$J$4:$J$1463,$P55)="","",INDEX(MASTER!$J$4:$J$1463,$P55)),""))</f>
        <v>CORE</v>
      </c>
      <c r="J55" s="17">
        <f>IF($P55="","",IFERROR(IF(INDEX(MASTER!$L$4:$L$1463,$P55)="","",INDEX(MASTER!$L$4:$L$1463,$P55)),""))</f>
        <v>6.4</v>
      </c>
      <c r="K55" s="17">
        <f>IF($P55="","",IFERROR(IF(INDEX(MASTER!$N$4:$N$1463,$P55)="","",INDEX(MASTER!$N$4:$N$1463,$P55)),""))</f>
        <v>58</v>
      </c>
      <c r="L55" s="15" t="str">
        <f>IF($P55="","",IFERROR(IF(INDEX(MASTER!$O$4:$O$1463,$P55)="","",INDEX(MASTER!$O$4:$O$1463,$P55)),""))</f>
        <v>A</v>
      </c>
      <c r="M55" s="15">
        <f>IF($P55="","",IFERROR(IF(INDEX(MASTER!$Q$4:$Q$1463,$P55)="","",INDEX(MASTER!$Q$4:$Q$1463,$P55)),""))</f>
        <v>59</v>
      </c>
      <c r="N55" s="15" t="str">
        <f>IF($P55="","",IFERROR(IF(INDEX(MASTER!$S$4:$S$1463,$P55)="","",INDEX(MASTER!$S$4:$S$1463,$P55)),""))</f>
        <v>Complete</v>
      </c>
      <c r="P55">
        <f>IFERROR(MATCH($Q$1&amp;"@47",MASTER!$AC$4:$AC$1463,0),"")</f>
        <v>523</v>
      </c>
    </row>
    <row r="56" spans="1:16">
      <c r="A56" s="19">
        <f>IF($P56="","",48)</f>
        <v>48</v>
      </c>
      <c r="B56" s="18" t="str">
        <f>IF($P56="","",IFERROR(IF(INDEX(MASTER!$C$4:$C$1463,$P56)="","",INDEX(MASTER!$C$4:$C$1463,$P56)),""))</f>
        <v>Incognito</v>
      </c>
      <c r="C56" s="19" t="str">
        <f>IF($P56="","",IFERROR(IF(INDEX(MASTER!$D$4:$D$1463,$P56)="","",INDEX(MASTER!$D$4:$D$1463,$P56)),""))</f>
        <v/>
      </c>
      <c r="D56" s="19" t="str">
        <f>IF($P56="","",IFERROR(IF(INDEX(MASTER!$E$4:$E$1463,$P56)="","",INDEX(MASTER!$E$4:$E$1463,$P56)),""))</f>
        <v>WARLOCK</v>
      </c>
      <c r="E56" s="19" t="str">
        <f>IF($P56="","",IFERROR(IF(INDEX(MASTER!$F$4:$F$1463,$P56)="","",INDEX(MASTER!$F$4:$F$1463,$P56)),""))</f>
        <v>Control</v>
      </c>
      <c r="F56" s="20">
        <f>IF($P56="","",IFERROR(IF(INDEX(MASTER!$G$4:$G$1463,$P56)="","",INDEX(MASTER!$G$4:$G$1463,$P56)),""))</f>
        <v>64349</v>
      </c>
      <c r="G56" s="19" t="str">
        <f>IF($P56="","",IFERROR(IF(INDEX(MASTER!$H$4:$H$1463,$P56)="","",INDEX(MASTER!$H$4:$H$1463,$P56)),""))</f>
        <v>64,000 +</v>
      </c>
      <c r="H56" s="20">
        <f>IF($P56="","",IFERROR(IF(INDEX(MASTER!$I$4:$I$1463,$P56)="","",INDEX(MASTER!$I$4:$I$1463,$P56)),""))</f>
        <v>9889</v>
      </c>
      <c r="I56" s="19" t="str">
        <f>IF($P56="","",IFERROR(IF(INDEX(MASTER!$J$4:$J$1463,$P56)="","",INDEX(MASTER!$J$4:$J$1463,$P56)),""))</f>
        <v>ELITE</v>
      </c>
      <c r="J56" s="21">
        <f>IF($P56="","",IFERROR(IF(INDEX(MASTER!$L$4:$L$1463,$P56)="","",INDEX(MASTER!$L$4:$L$1463,$P56)),""))</f>
        <v>6.62</v>
      </c>
      <c r="K56" s="21">
        <f>IF($P56="","",IFERROR(IF(INDEX(MASTER!$N$4:$N$1463,$P56)="","",INDEX(MASTER!$N$4:$N$1463,$P56)),""))</f>
        <v>78.8</v>
      </c>
      <c r="L56" s="19" t="str">
        <f>IF($P56="","",IFERROR(IF(INDEX(MASTER!$O$4:$O$1463,$P56)="","",INDEX(MASTER!$O$4:$O$1463,$P56)),""))</f>
        <v>S</v>
      </c>
      <c r="M56" s="19">
        <f>IF($P56="","",IFERROR(IF(INDEX(MASTER!$Q$4:$Q$1463,$P56)="","",INDEX(MASTER!$Q$4:$Q$1463,$P56)),""))</f>
        <v>12</v>
      </c>
      <c r="N56" s="19" t="str">
        <f>IF($P56="","",IFERROR(IF(INDEX(MASTER!$S$4:$S$1463,$P56)="","",INDEX(MASTER!$S$4:$S$1463,$P56)),""))</f>
        <v>Complete</v>
      </c>
      <c r="P56">
        <f>IFERROR(MATCH($Q$1&amp;"@48",MASTER!$AC$4:$AC$1463,0),"")</f>
        <v>533</v>
      </c>
    </row>
    <row r="57" spans="1:16">
      <c r="A57" s="15">
        <f>IF($P57="","",49)</f>
        <v>49</v>
      </c>
      <c r="B57" s="14" t="str">
        <f>IF($P57="","",IFERROR(IF(INDEX(MASTER!$C$4:$C$1463,$P57)="","",INDEX(MASTER!$C$4:$C$1463,$P57)),""))</f>
        <v>Jarrid</v>
      </c>
      <c r="C57" s="15" t="str">
        <f>IF($P57="","",IFERROR(IF(INDEX(MASTER!$D$4:$D$1463,$P57)="","",INDEX(MASTER!$D$4:$D$1463,$P57)),""))</f>
        <v/>
      </c>
      <c r="D57" s="15" t="str">
        <f>IF($P57="","",IFERROR(IF(INDEX(MASTER!$E$4:$E$1463,$P57)="","",INDEX(MASTER!$E$4:$E$1463,$P57)),""))</f>
        <v>BLOOD KNIGHT</v>
      </c>
      <c r="E57" s="15" t="str">
        <f>IF($P57="","",IFERROR(IF(INDEX(MASTER!$F$4:$F$1463,$P57)="","",INDEX(MASTER!$F$4:$F$1463,$P57)),""))</f>
        <v>Frontline</v>
      </c>
      <c r="F57" s="16">
        <f>IF($P57="","",IFERROR(IF(INDEX(MASTER!$G$4:$G$1463,$P57)="","",INDEX(MASTER!$G$4:$G$1463,$P57)),""))</f>
        <v>63118</v>
      </c>
      <c r="G57" s="15" t="str">
        <f>IF($P57="","",IFERROR(IF(INDEX(MASTER!$H$4:$H$1463,$P57)="","",INDEX(MASTER!$H$4:$H$1463,$P57)),""))</f>
        <v>63,000 - 63,999</v>
      </c>
      <c r="H57" s="16">
        <f>IF($P57="","",IFERROR(IF(INDEX(MASTER!$I$4:$I$1463,$P57)="","",INDEX(MASTER!$I$4:$I$1463,$P57)),""))</f>
        <v>3328</v>
      </c>
      <c r="I57" s="15" t="str">
        <f>IF($P57="","",IFERROR(IF(INDEX(MASTER!$J$4:$J$1463,$P57)="","",INDEX(MASTER!$J$4:$J$1463,$P57)),""))</f>
        <v>DEVELOPING</v>
      </c>
      <c r="J57" s="17">
        <f>IF($P57="","",IFERROR(IF(INDEX(MASTER!$L$4:$L$1463,$P57)="","",INDEX(MASTER!$L$4:$L$1463,$P57)),""))</f>
        <v>5.25</v>
      </c>
      <c r="K57" s="17">
        <f>IF($P57="","",IFERROR(IF(INDEX(MASTER!$N$4:$N$1463,$P57)="","",INDEX(MASTER!$N$4:$N$1463,$P57)),""))</f>
        <v>44.6</v>
      </c>
      <c r="L57" s="15" t="str">
        <f>IF($P57="","",IFERROR(IF(INDEX(MASTER!$O$4:$O$1463,$P57)="","",INDEX(MASTER!$O$4:$O$1463,$P57)),""))</f>
        <v>B</v>
      </c>
      <c r="M57" s="15">
        <f>IF($P57="","",IFERROR(IF(INDEX(MASTER!$Q$4:$Q$1463,$P57)="","",INDEX(MASTER!$Q$4:$Q$1463,$P57)),""))</f>
        <v>87</v>
      </c>
      <c r="N57" s="15" t="str">
        <f>IF($P57="","",IFERROR(IF(INDEX(MASTER!$S$4:$S$1463,$P57)="","",INDEX(MASTER!$S$4:$S$1463,$P57)),""))</f>
        <v>Complete</v>
      </c>
      <c r="P57">
        <f>IFERROR(MATCH($Q$1&amp;"@49",MASTER!$AC$4:$AC$1463,0),"")</f>
        <v>549</v>
      </c>
    </row>
    <row r="58" spans="1:16">
      <c r="A58" s="19">
        <f>IF($P58="","",50)</f>
        <v>50</v>
      </c>
      <c r="B58" s="18" t="str">
        <f>IF($P58="","",IFERROR(IF(INDEX(MASTER!$C$4:$C$1463,$P58)="","",INDEX(MASTER!$C$4:$C$1463,$P58)),""))</f>
        <v>JudgeD00die</v>
      </c>
      <c r="C58" s="19" t="str">
        <f>IF($P58="","",IFERROR(IF(INDEX(MASTER!$D$4:$D$1463,$P58)="","",INDEX(MASTER!$D$4:$D$1463,$P58)),""))</f>
        <v/>
      </c>
      <c r="D58" s="19" t="str">
        <f>IF($P58="","",IFERROR(IF(INDEX(MASTER!$E$4:$E$1463,$P58)="","",INDEX(MASTER!$E$4:$E$1463,$P58)),""))</f>
        <v>CRUSADER</v>
      </c>
      <c r="E58" s="19" t="str">
        <f>IF($P58="","",IFERROR(IF(INDEX(MASTER!$F$4:$F$1463,$P58)="","",INDEX(MASTER!$F$4:$F$1463,$P58)),""))</f>
        <v>Frontline</v>
      </c>
      <c r="F58" s="20">
        <f>IF($P58="","",IFERROR(IF(INDEX(MASTER!$G$4:$G$1463,$P58)="","",INDEX(MASTER!$G$4:$G$1463,$P58)),""))</f>
        <v>64020</v>
      </c>
      <c r="G58" s="19" t="str">
        <f>IF($P58="","",IFERROR(IF(INDEX(MASTER!$H$4:$H$1463,$P58)="","",INDEX(MASTER!$H$4:$H$1463,$P58)),""))</f>
        <v>64,000 +</v>
      </c>
      <c r="H58" s="20">
        <f>IF($P58="","",IFERROR(IF(INDEX(MASTER!$I$4:$I$1463,$P58)="","",INDEX(MASTER!$I$4:$I$1463,$P58)),""))</f>
        <v>8916</v>
      </c>
      <c r="I58" s="19" t="str">
        <f>IF($P58="","",IFERROR(IF(INDEX(MASTER!$J$4:$J$1463,$P58)="","",INDEX(MASTER!$J$4:$J$1463,$P58)),""))</f>
        <v>ELITE</v>
      </c>
      <c r="J58" s="21">
        <f>IF($P58="","",IFERROR(IF(INDEX(MASTER!$L$4:$L$1463,$P58)="","",INDEX(MASTER!$L$4:$L$1463,$P58)),""))</f>
        <v>6.5</v>
      </c>
      <c r="K58" s="21">
        <f>IF($P58="","",IFERROR(IF(INDEX(MASTER!$N$4:$N$1463,$P58)="","",INDEX(MASTER!$N$4:$N$1463,$P58)),""))</f>
        <v>73.5</v>
      </c>
      <c r="L58" s="19" t="str">
        <f>IF($P58="","",IFERROR(IF(INDEX(MASTER!$O$4:$O$1463,$P58)="","",INDEX(MASTER!$O$4:$O$1463,$P58)),""))</f>
        <v>S</v>
      </c>
      <c r="M58" s="19">
        <f>IF($P58="","",IFERROR(IF(INDEX(MASTER!$Q$4:$Q$1463,$P58)="","",INDEX(MASTER!$Q$4:$Q$1463,$P58)),""))</f>
        <v>25</v>
      </c>
      <c r="N58" s="19" t="str">
        <f>IF($P58="","",IFERROR(IF(INDEX(MASTER!$S$4:$S$1463,$P58)="","",INDEX(MASTER!$S$4:$S$1463,$P58)),""))</f>
        <v>Complete</v>
      </c>
      <c r="P58">
        <f>IFERROR(MATCH($Q$1&amp;"@50",MASTER!$AC$4:$AC$1463,0),"")</f>
        <v>575</v>
      </c>
    </row>
    <row r="59" spans="1:16">
      <c r="A59" s="15">
        <f>IF($P59="","",51)</f>
        <v>51</v>
      </c>
      <c r="B59" s="14" t="str">
        <f>IF($P59="","",IFERROR(IF(INDEX(MASTER!$C$4:$C$1463,$P59)="","",INDEX(MASTER!$C$4:$C$1463,$P59)),""))</f>
        <v>Läkshmi</v>
      </c>
      <c r="C59" s="15" t="str">
        <f>IF($P59="","",IFERROR(IF(INDEX(MASTER!$D$4:$D$1463,$P59)="","",INDEX(MASTER!$D$4:$D$1463,$P59)),""))</f>
        <v/>
      </c>
      <c r="D59" s="15" t="str">
        <f>IF($P59="","",IFERROR(IF(INDEX(MASTER!$E$4:$E$1463,$P59)="","",INDEX(MASTER!$E$4:$E$1463,$P59)),""))</f>
        <v>WARLOCK</v>
      </c>
      <c r="E59" s="15" t="str">
        <f>IF($P59="","",IFERROR(IF(INDEX(MASTER!$F$4:$F$1463,$P59)="","",INDEX(MASTER!$F$4:$F$1463,$P59)),""))</f>
        <v>Control</v>
      </c>
      <c r="F59" s="16">
        <f>IF($P59="","",IFERROR(IF(INDEX(MASTER!$G$4:$G$1463,$P59)="","",INDEX(MASTER!$G$4:$G$1463,$P59)),""))</f>
        <v>63323</v>
      </c>
      <c r="G59" s="15" t="str">
        <f>IF($P59="","",IFERROR(IF(INDEX(MASTER!$H$4:$H$1463,$P59)="","",INDEX(MASTER!$H$4:$H$1463,$P59)),""))</f>
        <v>63,000 - 63,999</v>
      </c>
      <c r="H59" s="16">
        <f>IF($P59="","",IFERROR(IF(INDEX(MASTER!$I$4:$I$1463,$P59)="","",INDEX(MASTER!$I$4:$I$1463,$P59)),""))</f>
        <v>7130</v>
      </c>
      <c r="I59" s="15" t="str">
        <f>IF($P59="","",IFERROR(IF(INDEX(MASTER!$J$4:$J$1463,$P59)="","",INDEX(MASTER!$J$4:$J$1463,$P59)),""))</f>
        <v>VETERAN</v>
      </c>
      <c r="J59" s="17">
        <f>IF($P59="","",IFERROR(IF(INDEX(MASTER!$L$4:$L$1463,$P59)="","",INDEX(MASTER!$L$4:$L$1463,$P59)),""))</f>
        <v>5.68</v>
      </c>
      <c r="K59" s="17">
        <f>IF($P59="","",IFERROR(IF(INDEX(MASTER!$N$4:$N$1463,$P59)="","",INDEX(MASTER!$N$4:$N$1463,$P59)),""))</f>
        <v>62.5</v>
      </c>
      <c r="L59" s="15" t="str">
        <f>IF($P59="","",IFERROR(IF(INDEX(MASTER!$O$4:$O$1463,$P59)="","",INDEX(MASTER!$O$4:$O$1463,$P59)),""))</f>
        <v>A</v>
      </c>
      <c r="M59" s="15">
        <f>IF($P59="","",IFERROR(IF(INDEX(MASTER!$Q$4:$Q$1463,$P59)="","",INDEX(MASTER!$Q$4:$Q$1463,$P59)),""))</f>
        <v>45</v>
      </c>
      <c r="N59" s="15" t="str">
        <f>IF($P59="","",IFERROR(IF(INDEX(MASTER!$S$4:$S$1463,$P59)="","",INDEX(MASTER!$S$4:$S$1463,$P59)),""))</f>
        <v>Complete</v>
      </c>
      <c r="P59">
        <f>IFERROR(MATCH($Q$1&amp;"@51",MASTER!$AC$4:$AC$1463,0),"")</f>
        <v>704</v>
      </c>
    </row>
    <row r="60" spans="1:16">
      <c r="A60" s="19">
        <f>IF($P60="","",52)</f>
        <v>52</v>
      </c>
      <c r="B60" s="18" t="str">
        <f>IF($P60="","",IFERROR(IF(INDEX(MASTER!$C$4:$C$1463,$P60)="","",INDEX(MASTER!$C$4:$C$1463,$P60)),""))</f>
        <v>Legel</v>
      </c>
      <c r="C60" s="19" t="str">
        <f>IF($P60="","",IFERROR(IF(INDEX(MASTER!$D$4:$D$1463,$P60)="","",INDEX(MASTER!$D$4:$D$1463,$P60)),""))</f>
        <v/>
      </c>
      <c r="D60" s="19" t="str">
        <f>IF($P60="","",IFERROR(IF(INDEX(MASTER!$E$4:$E$1463,$P60)="","",INDEX(MASTER!$E$4:$E$1463,$P60)),""))</f>
        <v>BLOOD KNIGHT</v>
      </c>
      <c r="E60" s="19" t="str">
        <f>IF($P60="","",IFERROR(IF(INDEX(MASTER!$F$4:$F$1463,$P60)="","",INDEX(MASTER!$F$4:$F$1463,$P60)),""))</f>
        <v>Frontline</v>
      </c>
      <c r="F60" s="20">
        <f>IF($P60="","",IFERROR(IF(INDEX(MASTER!$G$4:$G$1463,$P60)="","",INDEX(MASTER!$G$4:$G$1463,$P60)),""))</f>
        <v>62787</v>
      </c>
      <c r="G60" s="19" t="str">
        <f>IF($P60="","",IFERROR(IF(INDEX(MASTER!$H$4:$H$1463,$P60)="","",INDEX(MASTER!$H$4:$H$1463,$P60)),""))</f>
        <v>62,000 - 62,999</v>
      </c>
      <c r="H60" s="20">
        <f>IF($P60="","",IFERROR(IF(INDEX(MASTER!$I$4:$I$1463,$P60)="","",INDEX(MASTER!$I$4:$I$1463,$P60)),""))</f>
        <v>2200</v>
      </c>
      <c r="I60" s="19" t="str">
        <f>IF($P60="","",IFERROR(IF(INDEX(MASTER!$J$4:$J$1463,$P60)="","",INDEX(MASTER!$J$4:$J$1463,$P60)),""))</f>
        <v>DEVELOPING</v>
      </c>
      <c r="J60" s="21">
        <f>IF($P60="","",IFERROR(IF(INDEX(MASTER!$L$4:$L$1463,$P60)="","",INDEX(MASTER!$L$4:$L$1463,$P60)),""))</f>
        <v>4</v>
      </c>
      <c r="K60" s="21">
        <f>IF($P60="","",IFERROR(IF(INDEX(MASTER!$N$4:$N$1463,$P60)="","",INDEX(MASTER!$N$4:$N$1463,$P60)),""))</f>
        <v>36.799999999999997</v>
      </c>
      <c r="L60" s="19" t="str">
        <f>IF($P60="","",IFERROR(IF(INDEX(MASTER!$O$4:$O$1463,$P60)="","",INDEX(MASTER!$O$4:$O$1463,$P60)),""))</f>
        <v>B</v>
      </c>
      <c r="M60" s="19">
        <f>IF($P60="","",IFERROR(IF(INDEX(MASTER!$Q$4:$Q$1463,$P60)="","",INDEX(MASTER!$Q$4:$Q$1463,$P60)),""))</f>
        <v>93</v>
      </c>
      <c r="N60" s="19" t="str">
        <f>IF($P60="","",IFERROR(IF(INDEX(MASTER!$S$4:$S$1463,$P60)="","",INDEX(MASTER!$S$4:$S$1463,$P60)),""))</f>
        <v>Complete</v>
      </c>
      <c r="P60">
        <f>IFERROR(MATCH($Q$1&amp;"@52",MASTER!$AC$4:$AC$1463,0),"")</f>
        <v>655</v>
      </c>
    </row>
    <row r="61" spans="1:16">
      <c r="A61" s="15">
        <f>IF($P61="","",53)</f>
        <v>53</v>
      </c>
      <c r="B61" s="14" t="str">
        <f>IF($P61="","",IFERROR(IF(INDEX(MASTER!$C$4:$C$1463,$P61)="","",INDEX(MASTER!$C$4:$C$1463,$P61)),""))</f>
        <v>Longhornboot</v>
      </c>
      <c r="C61" s="15" t="str">
        <f>IF($P61="","",IFERROR(IF(INDEX(MASTER!$D$4:$D$1463,$P61)="","",INDEX(MASTER!$D$4:$D$1463,$P61)),""))</f>
        <v/>
      </c>
      <c r="D61" s="15" t="str">
        <f>IF($P61="","",IFERROR(IF(INDEX(MASTER!$E$4:$E$1463,$P61)="","",INDEX(MASTER!$E$4:$E$1463,$P61)),""))</f>
        <v>MONK</v>
      </c>
      <c r="E61" s="15" t="str">
        <f>IF($P61="","",IFERROR(IF(INDEX(MASTER!$F$4:$F$1463,$P61)="","",INDEX(MASTER!$F$4:$F$1463,$P61)),""))</f>
        <v>Support</v>
      </c>
      <c r="F61" s="16">
        <f>IF($P61="","",IFERROR(IF(INDEX(MASTER!$G$4:$G$1463,$P61)="","",INDEX(MASTER!$G$4:$G$1463,$P61)),""))</f>
        <v>62372</v>
      </c>
      <c r="G61" s="15" t="str">
        <f>IF($P61="","",IFERROR(IF(INDEX(MASTER!$H$4:$H$1463,$P61)="","",INDEX(MASTER!$H$4:$H$1463,$P61)),""))</f>
        <v>62,000 - 62,999</v>
      </c>
      <c r="H61" s="16">
        <f>IF($P61="","",IFERROR(IF(INDEX(MASTER!$I$4:$I$1463,$P61)="","",INDEX(MASTER!$I$4:$I$1463,$P61)),""))</f>
        <v>4703</v>
      </c>
      <c r="I61" s="15" t="str">
        <f>IF($P61="","",IFERROR(IF(INDEX(MASTER!$J$4:$J$1463,$P61)="","",INDEX(MASTER!$J$4:$J$1463,$P61)),""))</f>
        <v>CORE</v>
      </c>
      <c r="J61" s="17">
        <f>IF($P61="","",IFERROR(IF(INDEX(MASTER!$L$4:$L$1463,$P61)="","",INDEX(MASTER!$L$4:$L$1463,$P61)),""))</f>
        <v>4.3499999999999996</v>
      </c>
      <c r="K61" s="17">
        <f>IF($P61="","",IFERROR(IF(INDEX(MASTER!$N$4:$N$1463,$P61)="","",INDEX(MASTER!$N$4:$N$1463,$P61)),""))</f>
        <v>47.2</v>
      </c>
      <c r="L61" s="15" t="str">
        <f>IF($P61="","",IFERROR(IF(INDEX(MASTER!$O$4:$O$1463,$P61)="","",INDEX(MASTER!$O$4:$O$1463,$P61)),""))</f>
        <v>B</v>
      </c>
      <c r="M61" s="15">
        <f>IF($P61="","",IFERROR(IF(INDEX(MASTER!$Q$4:$Q$1463,$P61)="","",INDEX(MASTER!$Q$4:$Q$1463,$P61)),""))</f>
        <v>69</v>
      </c>
      <c r="N61" s="15" t="str">
        <f>IF($P61="","",IFERROR(IF(INDEX(MASTER!$S$4:$S$1463,$P61)="","",INDEX(MASTER!$S$4:$S$1463,$P61)),""))</f>
        <v>Complete</v>
      </c>
      <c r="P61">
        <f>IFERROR(MATCH($Q$1&amp;"@53",MASTER!$AC$4:$AC$1463,0),"")</f>
        <v>679</v>
      </c>
    </row>
    <row r="62" spans="1:16">
      <c r="A62" s="19">
        <f>IF($P62="","",54)</f>
        <v>54</v>
      </c>
      <c r="B62" s="18" t="str">
        <f>IF($P62="","",IFERROR(IF(INDEX(MASTER!$C$4:$C$1463,$P62)="","",INDEX(MASTER!$C$4:$C$1463,$P62)),""))</f>
        <v>LordMist</v>
      </c>
      <c r="C62" s="19" t="str">
        <f>IF($P62="","",IFERROR(IF(INDEX(MASTER!$D$4:$D$1463,$P62)="","",INDEX(MASTER!$D$4:$D$1463,$P62)),""))</f>
        <v/>
      </c>
      <c r="D62" s="19" t="str">
        <f>IF($P62="","",IFERROR(IF(INDEX(MASTER!$E$4:$E$1463,$P62)="","",INDEX(MASTER!$E$4:$E$1463,$P62)),""))</f>
        <v>BARBARIAN</v>
      </c>
      <c r="E62" s="19" t="str">
        <f>IF($P62="","",IFERROR(IF(INDEX(MASTER!$F$4:$F$1463,$P62)="","",INDEX(MASTER!$F$4:$F$1463,$P62)),""))</f>
        <v>Frontline</v>
      </c>
      <c r="F62" s="20">
        <f>IF($P62="","",IFERROR(IF(INDEX(MASTER!$G$4:$G$1463,$P62)="","",INDEX(MASTER!$G$4:$G$1463,$P62)),""))</f>
        <v>62880</v>
      </c>
      <c r="G62" s="19" t="str">
        <f>IF($P62="","",IFERROR(IF(INDEX(MASTER!$H$4:$H$1463,$P62)="","",INDEX(MASTER!$H$4:$H$1463,$P62)),""))</f>
        <v>62,000 - 62,999</v>
      </c>
      <c r="H62" s="20">
        <f>IF($P62="","",IFERROR(IF(INDEX(MASTER!$I$4:$I$1463,$P62)="","",INDEX(MASTER!$I$4:$I$1463,$P62)),""))</f>
        <v>7828</v>
      </c>
      <c r="I62" s="19" t="str">
        <f>IF($P62="","",IFERROR(IF(INDEX(MASTER!$J$4:$J$1463,$P62)="","",INDEX(MASTER!$J$4:$J$1463,$P62)),""))</f>
        <v>VETERAN</v>
      </c>
      <c r="J62" s="21">
        <f>IF($P62="","",IFERROR(IF(INDEX(MASTER!$L$4:$L$1463,$P62)="","",INDEX(MASTER!$L$4:$L$1463,$P62)),""))</f>
        <v>6</v>
      </c>
      <c r="K62" s="21">
        <f>IF($P62="","",IFERROR(IF(INDEX(MASTER!$N$4:$N$1463,$P62)="","",INDEX(MASTER!$N$4:$N$1463,$P62)),""))</f>
        <v>64.900000000000006</v>
      </c>
      <c r="L62" s="19" t="str">
        <f>IF($P62="","",IFERROR(IF(INDEX(MASTER!$O$4:$O$1463,$P62)="","",INDEX(MASTER!$O$4:$O$1463,$P62)),""))</f>
        <v>A</v>
      </c>
      <c r="M62" s="19">
        <f>IF($P62="","",IFERROR(IF(INDEX(MASTER!$Q$4:$Q$1463,$P62)="","",INDEX(MASTER!$Q$4:$Q$1463,$P62)),""))</f>
        <v>36</v>
      </c>
      <c r="N62" s="19" t="str">
        <f>IF($P62="","",IFERROR(IF(INDEX(MASTER!$S$4:$S$1463,$P62)="","",INDEX(MASTER!$S$4:$S$1463,$P62)),""))</f>
        <v>Complete</v>
      </c>
      <c r="P62">
        <f>IFERROR(MATCH($Q$1&amp;"@54",MASTER!$AC$4:$AC$1463,0),"")</f>
        <v>681</v>
      </c>
    </row>
    <row r="63" spans="1:16">
      <c r="A63" s="15">
        <f>IF($P63="","",55)</f>
        <v>55</v>
      </c>
      <c r="B63" s="14" t="str">
        <f>IF($P63="","",IFERROR(IF(INDEX(MASTER!$C$4:$C$1463,$P63)="","",INDEX(MASTER!$C$4:$C$1463,$P63)),""))</f>
        <v>Lycheal</v>
      </c>
      <c r="C63" s="15" t="str">
        <f>IF($P63="","",IFERROR(IF(INDEX(MASTER!$D$4:$D$1463,$P63)="","",INDEX(MASTER!$D$4:$D$1463,$P63)),""))</f>
        <v/>
      </c>
      <c r="D63" s="15" t="str">
        <f>IF($P63="","",IFERROR(IF(INDEX(MASTER!$E$4:$E$1463,$P63)="","",INDEX(MASTER!$E$4:$E$1463,$P63)),""))</f>
        <v>WIZARD</v>
      </c>
      <c r="E63" s="15" t="str">
        <f>IF($P63="","",IFERROR(IF(INDEX(MASTER!$F$4:$F$1463,$P63)="","",INDEX(MASTER!$F$4:$F$1463,$P63)),""))</f>
        <v>Ranged DPS</v>
      </c>
      <c r="F63" s="16">
        <f>IF($P63="","",IFERROR(IF(INDEX(MASTER!$G$4:$G$1463,$P63)="","",INDEX(MASTER!$G$4:$G$1463,$P63)),""))</f>
        <v>63482</v>
      </c>
      <c r="G63" s="15" t="str">
        <f>IF($P63="","",IFERROR(IF(INDEX(MASTER!$H$4:$H$1463,$P63)="","",INDEX(MASTER!$H$4:$H$1463,$P63)),""))</f>
        <v>63,000 - 63,999</v>
      </c>
      <c r="H63" s="16">
        <f>IF($P63="","",IFERROR(IF(INDEX(MASTER!$I$4:$I$1463,$P63)="","",INDEX(MASTER!$I$4:$I$1463,$P63)),""))</f>
        <v>7533</v>
      </c>
      <c r="I63" s="15" t="str">
        <f>IF($P63="","",IFERROR(IF(INDEX(MASTER!$J$4:$J$1463,$P63)="","",INDEX(MASTER!$J$4:$J$1463,$P63)),""))</f>
        <v>VETERAN</v>
      </c>
      <c r="J63" s="17">
        <f>IF($P63="","",IFERROR(IF(INDEX(MASTER!$L$4:$L$1463,$P63)="","",INDEX(MASTER!$L$4:$L$1463,$P63)),""))</f>
        <v>5.4</v>
      </c>
      <c r="K63" s="17">
        <f>IF($P63="","",IFERROR(IF(INDEX(MASTER!$N$4:$N$1463,$P63)="","",INDEX(MASTER!$N$4:$N$1463,$P63)),""))</f>
        <v>64.2</v>
      </c>
      <c r="L63" s="15" t="str">
        <f>IF($P63="","",IFERROR(IF(INDEX(MASTER!$O$4:$O$1463,$P63)="","",INDEX(MASTER!$O$4:$O$1463,$P63)),""))</f>
        <v>A</v>
      </c>
      <c r="M63" s="15">
        <f>IF($P63="","",IFERROR(IF(INDEX(MASTER!$Q$4:$Q$1463,$P63)="","",INDEX(MASTER!$Q$4:$Q$1463,$P63)),""))</f>
        <v>37</v>
      </c>
      <c r="N63" s="15" t="str">
        <f>IF($P63="","",IFERROR(IF(INDEX(MASTER!$S$4:$S$1463,$P63)="","",INDEX(MASTER!$S$4:$S$1463,$P63)),""))</f>
        <v>Complete</v>
      </c>
      <c r="P63">
        <f>IFERROR(MATCH($Q$1&amp;"@55",MASTER!$AC$4:$AC$1463,0),"")</f>
        <v>701</v>
      </c>
    </row>
    <row r="64" spans="1:16">
      <c r="A64" s="19">
        <f>IF($P64="","",56)</f>
        <v>56</v>
      </c>
      <c r="B64" s="18" t="str">
        <f>IF($P64="","",IFERROR(IF(INDEX(MASTER!$C$4:$C$1463,$P64)="","",INDEX(MASTER!$C$4:$C$1463,$P64)),""))</f>
        <v>Mabuhay</v>
      </c>
      <c r="C64" s="19" t="str">
        <f>IF($P64="","",IFERROR(IF(INDEX(MASTER!$D$4:$D$1463,$P64)="","",INDEX(MASTER!$D$4:$D$1463,$P64)),""))</f>
        <v/>
      </c>
      <c r="D64" s="19" t="str">
        <f>IF($P64="","",IFERROR(IF(INDEX(MASTER!$E$4:$E$1463,$P64)="","",INDEX(MASTER!$E$4:$E$1463,$P64)),""))</f>
        <v>DEMON HUNTER</v>
      </c>
      <c r="E64" s="19" t="str">
        <f>IF($P64="","",IFERROR(IF(INDEX(MASTER!$F$4:$F$1463,$P64)="","",INDEX(MASTER!$F$4:$F$1463,$P64)),""))</f>
        <v>Ranged DPS</v>
      </c>
      <c r="F64" s="20">
        <f>IF($P64="","",IFERROR(IF(INDEX(MASTER!$G$4:$G$1463,$P64)="","",INDEX(MASTER!$G$4:$G$1463,$P64)),""))</f>
        <v>63947</v>
      </c>
      <c r="G64" s="19" t="str">
        <f>IF($P64="","",IFERROR(IF(INDEX(MASTER!$H$4:$H$1463,$P64)="","",INDEX(MASTER!$H$4:$H$1463,$P64)),""))</f>
        <v>63,000 - 63,999</v>
      </c>
      <c r="H64" s="20">
        <f>IF($P64="","",IFERROR(IF(INDEX(MASTER!$I$4:$I$1463,$P64)="","",INDEX(MASTER!$I$4:$I$1463,$P64)),""))</f>
        <v>9120</v>
      </c>
      <c r="I64" s="19" t="str">
        <f>IF($P64="","",IFERROR(IF(INDEX(MASTER!$J$4:$J$1463,$P64)="","",INDEX(MASTER!$J$4:$J$1463,$P64)),""))</f>
        <v>ELITE</v>
      </c>
      <c r="J64" s="21">
        <f>IF($P64="","",IFERROR(IF(INDEX(MASTER!$L$4:$L$1463,$P64)="","",INDEX(MASTER!$L$4:$L$1463,$P64)),""))</f>
        <v>9.4</v>
      </c>
      <c r="K64" s="21">
        <f>IF($P64="","",IFERROR(IF(INDEX(MASTER!$N$4:$N$1463,$P64)="","",INDEX(MASTER!$N$4:$N$1463,$P64)),""))</f>
        <v>79</v>
      </c>
      <c r="L64" s="19" t="str">
        <f>IF($P64="","",IFERROR(IF(INDEX(MASTER!$O$4:$O$1463,$P64)="","",INDEX(MASTER!$O$4:$O$1463,$P64)),""))</f>
        <v>S</v>
      </c>
      <c r="M64" s="19">
        <f>IF($P64="","",IFERROR(IF(INDEX(MASTER!$Q$4:$Q$1463,$P64)="","",INDEX(MASTER!$Q$4:$Q$1463,$P64)),""))</f>
        <v>20</v>
      </c>
      <c r="N64" s="19" t="str">
        <f>IF($P64="","",IFERROR(IF(INDEX(MASTER!$S$4:$S$1463,$P64)="","",INDEX(MASTER!$S$4:$S$1463,$P64)),""))</f>
        <v>Complete</v>
      </c>
      <c r="P64">
        <f>IFERROR(MATCH($Q$1&amp;"@56",MASTER!$AC$4:$AC$1463,0),"")</f>
        <v>710</v>
      </c>
    </row>
    <row r="65" spans="1:16">
      <c r="A65" s="15">
        <f>IF($P65="","",57)</f>
        <v>57</v>
      </c>
      <c r="B65" s="14" t="str">
        <f>IF($P65="","",IFERROR(IF(INDEX(MASTER!$C$4:$C$1463,$P65)="","",INDEX(MASTER!$C$4:$C$1463,$P65)),""))</f>
        <v>Meliodas</v>
      </c>
      <c r="C65" s="15" t="str">
        <f>IF($P65="","",IFERROR(IF(INDEX(MASTER!$D$4:$D$1463,$P65)="","",INDEX(MASTER!$D$4:$D$1463,$P65)),""))</f>
        <v/>
      </c>
      <c r="D65" s="15" t="str">
        <f>IF($P65="","",IFERROR(IF(INDEX(MASTER!$E$4:$E$1463,$P65)="","",INDEX(MASTER!$E$4:$E$1463,$P65)),""))</f>
        <v>DRUID</v>
      </c>
      <c r="E65" s="15" t="str">
        <f>IF($P65="","",IFERROR(IF(INDEX(MASTER!$F$4:$F$1463,$P65)="","",INDEX(MASTER!$F$4:$F$1463,$P65)),""))</f>
        <v>Support</v>
      </c>
      <c r="F65" s="16">
        <f>IF($P65="","",IFERROR(IF(INDEX(MASTER!$G$4:$G$1463,$P65)="","",INDEX(MASTER!$G$4:$G$1463,$P65)),""))</f>
        <v>63454</v>
      </c>
      <c r="G65" s="15" t="str">
        <f>IF($P65="","",IFERROR(IF(INDEX(MASTER!$H$4:$H$1463,$P65)="","",INDEX(MASTER!$H$4:$H$1463,$P65)),""))</f>
        <v>63,000 - 63,999</v>
      </c>
      <c r="H65" s="16">
        <f>IF($P65="","",IFERROR(IF(INDEX(MASTER!$I$4:$I$1463,$P65)="","",INDEX(MASTER!$I$4:$I$1463,$P65)),""))</f>
        <v>4508</v>
      </c>
      <c r="I65" s="15" t="str">
        <f>IF($P65="","",IFERROR(IF(INDEX(MASTER!$J$4:$J$1463,$P65)="","",INDEX(MASTER!$J$4:$J$1463,$P65)),""))</f>
        <v>CORE</v>
      </c>
      <c r="J65" s="17">
        <f>IF($P65="","",IFERROR(IF(INDEX(MASTER!$L$4:$L$1463,$P65)="","",INDEX(MASTER!$L$4:$L$1463,$P65)),""))</f>
        <v>4.2699999999999996</v>
      </c>
      <c r="K65" s="17">
        <f>IF($P65="","",IFERROR(IF(INDEX(MASTER!$N$4:$N$1463,$P65)="","",INDEX(MASTER!$N$4:$N$1463,$P65)),""))</f>
        <v>49</v>
      </c>
      <c r="L65" s="15" t="str">
        <f>IF($P65="","",IFERROR(IF(INDEX(MASTER!$O$4:$O$1463,$P65)="","",INDEX(MASTER!$O$4:$O$1463,$P65)),""))</f>
        <v>B</v>
      </c>
      <c r="M65" s="15">
        <f>IF($P65="","",IFERROR(IF(INDEX(MASTER!$Q$4:$Q$1463,$P65)="","",INDEX(MASTER!$Q$4:$Q$1463,$P65)),""))</f>
        <v>73</v>
      </c>
      <c r="N65" s="15" t="str">
        <f>IF($P65="","",IFERROR(IF(INDEX(MASTER!$S$4:$S$1463,$P65)="","",INDEX(MASTER!$S$4:$S$1463,$P65)),""))</f>
        <v>Complete</v>
      </c>
      <c r="P65">
        <f>IFERROR(MATCH($Q$1&amp;"@57",MASTER!$AC$4:$AC$1463,0),"")</f>
        <v>750</v>
      </c>
    </row>
    <row r="66" spans="1:16">
      <c r="A66" s="19">
        <f>IF($P66="","",58)</f>
        <v>58</v>
      </c>
      <c r="B66" s="18" t="str">
        <f>IF($P66="","",IFERROR(IF(INDEX(MASTER!$C$4:$C$1463,$P66)="","",INDEX(MASTER!$C$4:$C$1463,$P66)),""))</f>
        <v>MELKQR</v>
      </c>
      <c r="C66" s="19" t="str">
        <f>IF($P66="","",IFERROR(IF(INDEX(MASTER!$D$4:$D$1463,$P66)="","",INDEX(MASTER!$D$4:$D$1463,$P66)),""))</f>
        <v/>
      </c>
      <c r="D66" s="19" t="str">
        <f>IF($P66="","",IFERROR(IF(INDEX(MASTER!$E$4:$E$1463,$P66)="","",INDEX(MASTER!$E$4:$E$1463,$P66)),""))</f>
        <v>BLOOD KNIGHT</v>
      </c>
      <c r="E66" s="19" t="str">
        <f>IF($P66="","",IFERROR(IF(INDEX(MASTER!$F$4:$F$1463,$P66)="","",INDEX(MASTER!$F$4:$F$1463,$P66)),""))</f>
        <v>Frontline</v>
      </c>
      <c r="F66" s="20">
        <f>IF($P66="","",IFERROR(IF(INDEX(MASTER!$G$4:$G$1463,$P66)="","",INDEX(MASTER!$G$4:$G$1463,$P66)),""))</f>
        <v>63088</v>
      </c>
      <c r="G66" s="19" t="str">
        <f>IF($P66="","",IFERROR(IF(INDEX(MASTER!$H$4:$H$1463,$P66)="","",INDEX(MASTER!$H$4:$H$1463,$P66)),""))</f>
        <v>63,000 - 63,999</v>
      </c>
      <c r="H66" s="20">
        <f>IF($P66="","",IFERROR(IF(INDEX(MASTER!$I$4:$I$1463,$P66)="","",INDEX(MASTER!$I$4:$I$1463,$P66)),""))</f>
        <v>4420</v>
      </c>
      <c r="I66" s="19" t="str">
        <f>IF($P66="","",IFERROR(IF(INDEX(MASTER!$J$4:$J$1463,$P66)="","",INDEX(MASTER!$J$4:$J$1463,$P66)),""))</f>
        <v>CORE</v>
      </c>
      <c r="J66" s="21">
        <f>IF($P66="","",IFERROR(IF(INDEX(MASTER!$L$4:$L$1463,$P66)="","",INDEX(MASTER!$L$4:$L$1463,$P66)),""))</f>
        <v>4.3</v>
      </c>
      <c r="K66" s="21">
        <f>IF($P66="","",IFERROR(IF(INDEX(MASTER!$N$4:$N$1463,$P66)="","",INDEX(MASTER!$N$4:$N$1463,$P66)),""))</f>
        <v>47.7</v>
      </c>
      <c r="L66" s="19" t="str">
        <f>IF($P66="","",IFERROR(IF(INDEX(MASTER!$O$4:$O$1463,$P66)="","",INDEX(MASTER!$O$4:$O$1463,$P66)),""))</f>
        <v>B</v>
      </c>
      <c r="M66" s="19">
        <f>IF($P66="","",IFERROR(IF(INDEX(MASTER!$Q$4:$Q$1463,$P66)="","",INDEX(MASTER!$Q$4:$Q$1463,$P66)),""))</f>
        <v>76</v>
      </c>
      <c r="N66" s="19" t="str">
        <f>IF($P66="","",IFERROR(IF(INDEX(MASTER!$S$4:$S$1463,$P66)="","",INDEX(MASTER!$S$4:$S$1463,$P66)),""))</f>
        <v>Complete</v>
      </c>
      <c r="P66">
        <f>IFERROR(MATCH($Q$1&amp;"@58",MASTER!$AC$4:$AC$1463,0),"")</f>
        <v>752</v>
      </c>
    </row>
    <row r="67" spans="1:16">
      <c r="A67" s="15">
        <f>IF($P67="","",59)</f>
        <v>59</v>
      </c>
      <c r="B67" s="14" t="str">
        <f>IF($P67="","",IFERROR(IF(INDEX(MASTER!$C$4:$C$1463,$P67)="","",INDEX(MASTER!$C$4:$C$1463,$P67)),""))</f>
        <v>Memile</v>
      </c>
      <c r="C67" s="15" t="str">
        <f>IF($P67="","",IFERROR(IF(INDEX(MASTER!$D$4:$D$1463,$P67)="","",INDEX(MASTER!$D$4:$D$1463,$P67)),""))</f>
        <v/>
      </c>
      <c r="D67" s="15" t="str">
        <f>IF($P67="","",IFERROR(IF(INDEX(MASTER!$E$4:$E$1463,$P67)="","",INDEX(MASTER!$E$4:$E$1463,$P67)),""))</f>
        <v>DEMON HUNTER</v>
      </c>
      <c r="E67" s="15" t="str">
        <f>IF($P67="","",IFERROR(IF(INDEX(MASTER!$F$4:$F$1463,$P67)="","",INDEX(MASTER!$F$4:$F$1463,$P67)),""))</f>
        <v>Ranged DPS</v>
      </c>
      <c r="F67" s="16">
        <f>IF($P67="","",IFERROR(IF(INDEX(MASTER!$G$4:$G$1463,$P67)="","",INDEX(MASTER!$G$4:$G$1463,$P67)),""))</f>
        <v>63081</v>
      </c>
      <c r="G67" s="15" t="str">
        <f>IF($P67="","",IFERROR(IF(INDEX(MASTER!$H$4:$H$1463,$P67)="","",INDEX(MASTER!$H$4:$H$1463,$P67)),""))</f>
        <v>63,000 - 63,999</v>
      </c>
      <c r="H67" s="16">
        <f>IF($P67="","",IFERROR(IF(INDEX(MASTER!$I$4:$I$1463,$P67)="","",INDEX(MASTER!$I$4:$I$1463,$P67)),""))</f>
        <v>3026</v>
      </c>
      <c r="I67" s="15" t="str">
        <f>IF($P67="","",IFERROR(IF(INDEX(MASTER!$J$4:$J$1463,$P67)="","",INDEX(MASTER!$J$4:$J$1463,$P67)),""))</f>
        <v>DEVELOPING</v>
      </c>
      <c r="J67" s="17">
        <f>IF($P67="","",IFERROR(IF(INDEX(MASTER!$L$4:$L$1463,$P67)="","",INDEX(MASTER!$L$4:$L$1463,$P67)),""))</f>
        <v>4.9000000000000004</v>
      </c>
      <c r="K67" s="17">
        <f>IF($P67="","",IFERROR(IF(INDEX(MASTER!$N$4:$N$1463,$P67)="","",INDEX(MASTER!$N$4:$N$1463,$P67)),""))</f>
        <v>42.6</v>
      </c>
      <c r="L67" s="15" t="str">
        <f>IF($P67="","",IFERROR(IF(INDEX(MASTER!$O$4:$O$1463,$P67)="","",INDEX(MASTER!$O$4:$O$1463,$P67)),""))</f>
        <v>B</v>
      </c>
      <c r="M67" s="15">
        <f>IF($P67="","",IFERROR(IF(INDEX(MASTER!$Q$4:$Q$1463,$P67)="","",INDEX(MASTER!$Q$4:$Q$1463,$P67)),""))</f>
        <v>88</v>
      </c>
      <c r="N67" s="15" t="str">
        <f>IF($P67="","",IFERROR(IF(INDEX(MASTER!$S$4:$S$1463,$P67)="","",INDEX(MASTER!$S$4:$S$1463,$P67)),""))</f>
        <v>Complete</v>
      </c>
      <c r="P67">
        <f>IFERROR(MATCH($Q$1&amp;"@59",MASTER!$AC$4:$AC$1463,0),"")</f>
        <v>753</v>
      </c>
    </row>
    <row r="68" spans="1:16">
      <c r="A68" s="19">
        <f>IF($P68="","",60)</f>
        <v>60</v>
      </c>
      <c r="B68" s="18" t="str">
        <f>IF($P68="","",IFERROR(IF(INDEX(MASTER!$C$4:$C$1463,$P68)="","",INDEX(MASTER!$C$4:$C$1463,$P68)),""))</f>
        <v>MidnightRose420</v>
      </c>
      <c r="C68" s="19" t="str">
        <f>IF($P68="","",IFERROR(IF(INDEX(MASTER!$D$4:$D$1463,$P68)="","",INDEX(MASTER!$D$4:$D$1463,$P68)),""))</f>
        <v/>
      </c>
      <c r="D68" s="19" t="str">
        <f>IF($P68="","",IFERROR(IF(INDEX(MASTER!$E$4:$E$1463,$P68)="","",INDEX(MASTER!$E$4:$E$1463,$P68)),""))</f>
        <v>NECROMANCER</v>
      </c>
      <c r="E68" s="19" t="str">
        <f>IF($P68="","",IFERROR(IF(INDEX(MASTER!$F$4:$F$1463,$P68)="","",INDEX(MASTER!$F$4:$F$1463,$P68)),""))</f>
        <v>Control</v>
      </c>
      <c r="F68" s="20">
        <f>IF($P68="","",IFERROR(IF(INDEX(MASTER!$G$4:$G$1463,$P68)="","",INDEX(MASTER!$G$4:$G$1463,$P68)),""))</f>
        <v>61600</v>
      </c>
      <c r="G68" s="19" t="str">
        <f>IF($P68="","",IFERROR(IF(INDEX(MASTER!$H$4:$H$1463,$P68)="","",INDEX(MASTER!$H$4:$H$1463,$P68)),""))</f>
        <v>61,000 - 61,999</v>
      </c>
      <c r="H68" s="20">
        <f>IF($P68="","",IFERROR(IF(INDEX(MASTER!$I$4:$I$1463,$P68)="","",INDEX(MASTER!$I$4:$I$1463,$P68)),""))</f>
        <v>3019</v>
      </c>
      <c r="I68" s="19" t="str">
        <f>IF($P68="","",IFERROR(IF(INDEX(MASTER!$J$4:$J$1463,$P68)="","",INDEX(MASTER!$J$4:$J$1463,$P68)),""))</f>
        <v>DEVELOPING</v>
      </c>
      <c r="J68" s="21">
        <f>IF($P68="","",IFERROR(IF(INDEX(MASTER!$L$4:$L$1463,$P68)="","",INDEX(MASTER!$L$4:$L$1463,$P68)),""))</f>
        <v>3.4</v>
      </c>
      <c r="K68" s="21">
        <f>IF($P68="","",IFERROR(IF(INDEX(MASTER!$N$4:$N$1463,$P68)="","",INDEX(MASTER!$N$4:$N$1463,$P68)),""))</f>
        <v>36.200000000000003</v>
      </c>
      <c r="L68" s="19" t="str">
        <f>IF($P68="","",IFERROR(IF(INDEX(MASTER!$O$4:$O$1463,$P68)="","",INDEX(MASTER!$O$4:$O$1463,$P68)),""))</f>
        <v>B</v>
      </c>
      <c r="M68" s="19">
        <f>IF($P68="","",IFERROR(IF(INDEX(MASTER!$Q$4:$Q$1463,$P68)="","",INDEX(MASTER!$Q$4:$Q$1463,$P68)),""))</f>
        <v>89</v>
      </c>
      <c r="N68" s="19" t="str">
        <f>IF($P68="","",IFERROR(IF(INDEX(MASTER!$S$4:$S$1463,$P68)="","",INDEX(MASTER!$S$4:$S$1463,$P68)),""))</f>
        <v>Complete</v>
      </c>
      <c r="P68">
        <f>IFERROR(MATCH($Q$1&amp;"@60",MASTER!$AC$4:$AC$1463,0),"")</f>
        <v>761</v>
      </c>
    </row>
    <row r="69" spans="1:16">
      <c r="A69" s="15">
        <f>IF($P69="","",61)</f>
        <v>61</v>
      </c>
      <c r="B69" s="14" t="str">
        <f>IF($P69="","",IFERROR(IF(INDEX(MASTER!$C$4:$C$1463,$P69)="","",INDEX(MASTER!$C$4:$C$1463,$P69)),""))</f>
        <v>Moonlessnight</v>
      </c>
      <c r="C69" s="15" t="str">
        <f>IF($P69="","",IFERROR(IF(INDEX(MASTER!$D$4:$D$1463,$P69)="","",INDEX(MASTER!$D$4:$D$1463,$P69)),""))</f>
        <v/>
      </c>
      <c r="D69" s="15" t="str">
        <f>IF($P69="","",IFERROR(IF(INDEX(MASTER!$E$4:$E$1463,$P69)="","",INDEX(MASTER!$E$4:$E$1463,$P69)),""))</f>
        <v>WARLOCK</v>
      </c>
      <c r="E69" s="15" t="str">
        <f>IF($P69="","",IFERROR(IF(INDEX(MASTER!$F$4:$F$1463,$P69)="","",INDEX(MASTER!$F$4:$F$1463,$P69)),""))</f>
        <v>Control</v>
      </c>
      <c r="F69" s="16">
        <f>IF($P69="","",IFERROR(IF(INDEX(MASTER!$G$4:$G$1463,$P69)="","",INDEX(MASTER!$G$4:$G$1463,$P69)),""))</f>
        <v>63144</v>
      </c>
      <c r="G69" s="15" t="str">
        <f>IF($P69="","",IFERROR(IF(INDEX(MASTER!$H$4:$H$1463,$P69)="","",INDEX(MASTER!$H$4:$H$1463,$P69)),""))</f>
        <v>63,000 - 63,999</v>
      </c>
      <c r="H69" s="16">
        <f>IF($P69="","",IFERROR(IF(INDEX(MASTER!$I$4:$I$1463,$P69)="","",INDEX(MASTER!$I$4:$I$1463,$P69)),""))</f>
        <v>4048</v>
      </c>
      <c r="I69" s="15" t="str">
        <f>IF($P69="","",IFERROR(IF(INDEX(MASTER!$J$4:$J$1463,$P69)="","",INDEX(MASTER!$J$4:$J$1463,$P69)),""))</f>
        <v>CORE</v>
      </c>
      <c r="J69" s="17">
        <f>IF($P69="","",IFERROR(IF(INDEX(MASTER!$L$4:$L$1463,$P69)="","",INDEX(MASTER!$L$4:$L$1463,$P69)),""))</f>
        <v>4</v>
      </c>
      <c r="K69" s="17">
        <f>IF($P69="","",IFERROR(IF(INDEX(MASTER!$N$4:$N$1463,$P69)="","",INDEX(MASTER!$N$4:$N$1463,$P69)),""))</f>
        <v>45.8</v>
      </c>
      <c r="L69" s="15" t="str">
        <f>IF($P69="","",IFERROR(IF(INDEX(MASTER!$O$4:$O$1463,$P69)="","",INDEX(MASTER!$O$4:$O$1463,$P69)),""))</f>
        <v>B</v>
      </c>
      <c r="M69" s="15">
        <f>IF($P69="","",IFERROR(IF(INDEX(MASTER!$Q$4:$Q$1463,$P69)="","",INDEX(MASTER!$Q$4:$Q$1463,$P69)),""))</f>
        <v>79</v>
      </c>
      <c r="N69" s="15" t="str">
        <f>IF($P69="","",IFERROR(IF(INDEX(MASTER!$S$4:$S$1463,$P69)="","",INDEX(MASTER!$S$4:$S$1463,$P69)),""))</f>
        <v>Complete</v>
      </c>
      <c r="P69">
        <f>IFERROR(MATCH($Q$1&amp;"@61",MASTER!$AC$4:$AC$1463,0),"")</f>
        <v>783</v>
      </c>
    </row>
    <row r="70" spans="1:16">
      <c r="A70" s="19">
        <f>IF($P70="","",62)</f>
        <v>62</v>
      </c>
      <c r="B70" s="18" t="str">
        <f>IF($P70="","",IFERROR(IF(INDEX(MASTER!$C$4:$C$1463,$P70)="","",INDEX(MASTER!$C$4:$C$1463,$P70)),""))</f>
        <v>Mortsubite</v>
      </c>
      <c r="C70" s="19" t="str">
        <f>IF($P70="","",IFERROR(IF(INDEX(MASTER!$D$4:$D$1463,$P70)="","",INDEX(MASTER!$D$4:$D$1463,$P70)),""))</f>
        <v/>
      </c>
      <c r="D70" s="19" t="str">
        <f>IF($P70="","",IFERROR(IF(INDEX(MASTER!$E$4:$E$1463,$P70)="","",INDEX(MASTER!$E$4:$E$1463,$P70)),""))</f>
        <v>DEMON HUNTER</v>
      </c>
      <c r="E70" s="19" t="str">
        <f>IF($P70="","",IFERROR(IF(INDEX(MASTER!$F$4:$F$1463,$P70)="","",INDEX(MASTER!$F$4:$F$1463,$P70)),""))</f>
        <v>Ranged DPS</v>
      </c>
      <c r="F70" s="20">
        <f>IF($P70="","",IFERROR(IF(INDEX(MASTER!$G$4:$G$1463,$P70)="","",INDEX(MASTER!$G$4:$G$1463,$P70)),""))</f>
        <v>63321</v>
      </c>
      <c r="G70" s="19" t="str">
        <f>IF($P70="","",IFERROR(IF(INDEX(MASTER!$H$4:$H$1463,$P70)="","",INDEX(MASTER!$H$4:$H$1463,$P70)),""))</f>
        <v>63,000 - 63,999</v>
      </c>
      <c r="H70" s="20">
        <f>IF($P70="","",IFERROR(IF(INDEX(MASTER!$I$4:$I$1463,$P70)="","",INDEX(MASTER!$I$4:$I$1463,$P70)),""))</f>
        <v>5179</v>
      </c>
      <c r="I70" s="19" t="str">
        <f>IF($P70="","",IFERROR(IF(INDEX(MASTER!$J$4:$J$1463,$P70)="","",INDEX(MASTER!$J$4:$J$1463,$P70)),""))</f>
        <v>CORE</v>
      </c>
      <c r="J70" s="21">
        <f>IF($P70="","",IFERROR(IF(INDEX(MASTER!$L$4:$L$1463,$P70)="","",INDEX(MASTER!$L$4:$L$1463,$P70)),""))</f>
        <v>5.2</v>
      </c>
      <c r="K70" s="21">
        <f>IF($P70="","",IFERROR(IF(INDEX(MASTER!$N$4:$N$1463,$P70)="","",INDEX(MASTER!$N$4:$N$1463,$P70)),""))</f>
        <v>53.2</v>
      </c>
      <c r="L70" s="19" t="str">
        <f>IF($P70="","",IFERROR(IF(INDEX(MASTER!$O$4:$O$1463,$P70)="","",INDEX(MASTER!$O$4:$O$1463,$P70)),""))</f>
        <v>A</v>
      </c>
      <c r="M70" s="19">
        <f>IF($P70="","",IFERROR(IF(INDEX(MASTER!$Q$4:$Q$1463,$P70)="","",INDEX(MASTER!$Q$4:$Q$1463,$P70)),""))</f>
        <v>64</v>
      </c>
      <c r="N70" s="19" t="str">
        <f>IF($P70="","",IFERROR(IF(INDEX(MASTER!$S$4:$S$1463,$P70)="","",INDEX(MASTER!$S$4:$S$1463,$P70)),""))</f>
        <v>Complete</v>
      </c>
      <c r="P70">
        <f>IFERROR(MATCH($Q$1&amp;"@62",MASTER!$AC$4:$AC$1463,0),"")</f>
        <v>792</v>
      </c>
    </row>
    <row r="71" spans="1:16">
      <c r="A71" s="15">
        <f>IF($P71="","",63)</f>
        <v>63</v>
      </c>
      <c r="B71" s="14" t="str">
        <f>IF($P71="","",IFERROR(IF(INDEX(MASTER!$C$4:$C$1463,$P71)="","",INDEX(MASTER!$C$4:$C$1463,$P71)),""))</f>
        <v>Nevarith</v>
      </c>
      <c r="C71" s="15" t="str">
        <f>IF($P71="","",IFERROR(IF(INDEX(MASTER!$D$4:$D$1463,$P71)="","",INDEX(MASTER!$D$4:$D$1463,$P71)),""))</f>
        <v/>
      </c>
      <c r="D71" s="15" t="str">
        <f>IF($P71="","",IFERROR(IF(INDEX(MASTER!$E$4:$E$1463,$P71)="","",INDEX(MASTER!$E$4:$E$1463,$P71)),""))</f>
        <v>BARBARIAN</v>
      </c>
      <c r="E71" s="15" t="str">
        <f>IF($P71="","",IFERROR(IF(INDEX(MASTER!$F$4:$F$1463,$P71)="","",INDEX(MASTER!$F$4:$F$1463,$P71)),""))</f>
        <v>Frontline</v>
      </c>
      <c r="F71" s="16">
        <f>IF($P71="","",IFERROR(IF(INDEX(MASTER!$G$4:$G$1463,$P71)="","",INDEX(MASTER!$G$4:$G$1463,$P71)),""))</f>
        <v>61605</v>
      </c>
      <c r="G71" s="15" t="str">
        <f>IF($P71="","",IFERROR(IF(INDEX(MASTER!$H$4:$H$1463,$P71)="","",INDEX(MASTER!$H$4:$H$1463,$P71)),""))</f>
        <v>61,000 - 61,999</v>
      </c>
      <c r="H71" s="16">
        <f>IF($P71="","",IFERROR(IF(INDEX(MASTER!$I$4:$I$1463,$P71)="","",INDEX(MASTER!$I$4:$I$1463,$P71)),""))</f>
        <v>7932</v>
      </c>
      <c r="I71" s="15" t="str">
        <f>IF($P71="","",IFERROR(IF(INDEX(MASTER!$J$4:$J$1463,$P71)="","",INDEX(MASTER!$J$4:$J$1463,$P71)),""))</f>
        <v>VETERAN</v>
      </c>
      <c r="J71" s="17">
        <f>IF($P71="","",IFERROR(IF(INDEX(MASTER!$L$4:$L$1463,$P71)="","",INDEX(MASTER!$L$4:$L$1463,$P71)),""))</f>
        <v>10.55</v>
      </c>
      <c r="K71" s="17">
        <f>IF($P71="","",IFERROR(IF(INDEX(MASTER!$N$4:$N$1463,$P71)="","",INDEX(MASTER!$N$4:$N$1463,$P71)),""))</f>
        <v>69.599999999999994</v>
      </c>
      <c r="L71" s="15" t="str">
        <f>IF($P71="","",IFERROR(IF(INDEX(MASTER!$O$4:$O$1463,$P71)="","",INDEX(MASTER!$O$4:$O$1463,$P71)),""))</f>
        <v>S</v>
      </c>
      <c r="M71" s="15">
        <f>IF($P71="","",IFERROR(IF(INDEX(MASTER!$Q$4:$Q$1463,$P71)="","",INDEX(MASTER!$Q$4:$Q$1463,$P71)),""))</f>
        <v>34</v>
      </c>
      <c r="N71" s="15" t="str">
        <f>IF($P71="","",IFERROR(IF(INDEX(MASTER!$S$4:$S$1463,$P71)="","",INDEX(MASTER!$S$4:$S$1463,$P71)),""))</f>
        <v>Complete</v>
      </c>
      <c r="P71">
        <f>IFERROR(MATCH($Q$1&amp;"@63",MASTER!$AC$4:$AC$1463,0),"")</f>
        <v>815</v>
      </c>
    </row>
    <row r="72" spans="1:16">
      <c r="A72" s="19">
        <f>IF($P72="","",64)</f>
        <v>64</v>
      </c>
      <c r="B72" s="18" t="str">
        <f>IF($P72="","",IFERROR(IF(INDEX(MASTER!$C$4:$C$1463,$P72)="","",INDEX(MASTER!$C$4:$C$1463,$P72)),""))</f>
        <v>NewYaYa</v>
      </c>
      <c r="C72" s="19" t="str">
        <f>IF($P72="","",IFERROR(IF(INDEX(MASTER!$D$4:$D$1463,$P72)="","",INDEX(MASTER!$D$4:$D$1463,$P72)),""))</f>
        <v/>
      </c>
      <c r="D72" s="19" t="str">
        <f>IF($P72="","",IFERROR(IF(INDEX(MASTER!$E$4:$E$1463,$P72)="","",INDEX(MASTER!$E$4:$E$1463,$P72)),""))</f>
        <v>WARLOCK</v>
      </c>
      <c r="E72" s="19" t="str">
        <f>IF($P72="","",IFERROR(IF(INDEX(MASTER!$F$4:$F$1463,$P72)="","",INDEX(MASTER!$F$4:$F$1463,$P72)),""))</f>
        <v>Control</v>
      </c>
      <c r="F72" s="20">
        <f>IF($P72="","",IFERROR(IF(INDEX(MASTER!$G$4:$G$1463,$P72)="","",INDEX(MASTER!$G$4:$G$1463,$P72)),""))</f>
        <v>63182</v>
      </c>
      <c r="G72" s="19" t="str">
        <f>IF($P72="","",IFERROR(IF(INDEX(MASTER!$H$4:$H$1463,$P72)="","",INDEX(MASTER!$H$4:$H$1463,$P72)),""))</f>
        <v>63,000 - 63,999</v>
      </c>
      <c r="H72" s="20">
        <f>IF($P72="","",IFERROR(IF(INDEX(MASTER!$I$4:$I$1463,$P72)="","",INDEX(MASTER!$I$4:$I$1463,$P72)),""))</f>
        <v>6494</v>
      </c>
      <c r="I72" s="19" t="str">
        <f>IF($P72="","",IFERROR(IF(INDEX(MASTER!$J$4:$J$1463,$P72)="","",INDEX(MASTER!$J$4:$J$1463,$P72)),""))</f>
        <v>VETERAN</v>
      </c>
      <c r="J72" s="21">
        <f>IF($P72="","",IFERROR(IF(INDEX(MASTER!$L$4:$L$1463,$P72)="","",INDEX(MASTER!$L$4:$L$1463,$P72)),""))</f>
        <v>4.2</v>
      </c>
      <c r="K72" s="21">
        <f>IF($P72="","",IFERROR(IF(INDEX(MASTER!$N$4:$N$1463,$P72)="","",INDEX(MASTER!$N$4:$N$1463,$P72)),""))</f>
        <v>56.9</v>
      </c>
      <c r="L72" s="19" t="str">
        <f>IF($P72="","",IFERROR(IF(INDEX(MASTER!$O$4:$O$1463,$P72)="","",INDEX(MASTER!$O$4:$O$1463,$P72)),""))</f>
        <v>A</v>
      </c>
      <c r="M72" s="19">
        <f>IF($P72="","",IFERROR(IF(INDEX(MASTER!$Q$4:$Q$1463,$P72)="","",INDEX(MASTER!$Q$4:$Q$1463,$P72)),""))</f>
        <v>49</v>
      </c>
      <c r="N72" s="19" t="str">
        <f>IF($P72="","",IFERROR(IF(INDEX(MASTER!$S$4:$S$1463,$P72)="","",INDEX(MASTER!$S$4:$S$1463,$P72)),""))</f>
        <v>Complete</v>
      </c>
      <c r="P72">
        <f>IFERROR(MATCH($Q$1&amp;"@64",MASTER!$AC$4:$AC$1463,0),"")</f>
        <v>817</v>
      </c>
    </row>
    <row r="73" spans="1:16">
      <c r="A73" s="15">
        <f>IF($P73="","",65)</f>
        <v>65</v>
      </c>
      <c r="B73" s="14" t="str">
        <f>IF($P73="","",IFERROR(IF(INDEX(MASTER!$C$4:$C$1463,$P73)="","",INDEX(MASTER!$C$4:$C$1463,$P73)),""))</f>
        <v>Odin</v>
      </c>
      <c r="C73" s="15" t="str">
        <f>IF($P73="","",IFERROR(IF(INDEX(MASTER!$D$4:$D$1463,$P73)="","",INDEX(MASTER!$D$4:$D$1463,$P73)),""))</f>
        <v/>
      </c>
      <c r="D73" s="15" t="str">
        <f>IF($P73="","",IFERROR(IF(INDEX(MASTER!$E$4:$E$1463,$P73)="","",INDEX(MASTER!$E$4:$E$1463,$P73)),""))</f>
        <v>NECROMANCER</v>
      </c>
      <c r="E73" s="15" t="str">
        <f>IF($P73="","",IFERROR(IF(INDEX(MASTER!$F$4:$F$1463,$P73)="","",INDEX(MASTER!$F$4:$F$1463,$P73)),""))</f>
        <v>Control</v>
      </c>
      <c r="F73" s="16">
        <f>IF($P73="","",IFERROR(IF(INDEX(MASTER!$G$4:$G$1463,$P73)="","",INDEX(MASTER!$G$4:$G$1463,$P73)),""))</f>
        <v>62315</v>
      </c>
      <c r="G73" s="15" t="str">
        <f>IF($P73="","",IFERROR(IF(INDEX(MASTER!$H$4:$H$1463,$P73)="","",INDEX(MASTER!$H$4:$H$1463,$P73)),""))</f>
        <v>62,000 - 62,999</v>
      </c>
      <c r="H73" s="16">
        <f>IF($P73="","",IFERROR(IF(INDEX(MASTER!$I$4:$I$1463,$P73)="","",INDEX(MASTER!$I$4:$I$1463,$P73)),""))</f>
        <v>6220</v>
      </c>
      <c r="I73" s="15" t="str">
        <f>IF($P73="","",IFERROR(IF(INDEX(MASTER!$J$4:$J$1463,$P73)="","",INDEX(MASTER!$J$4:$J$1463,$P73)),""))</f>
        <v>VETERAN</v>
      </c>
      <c r="J73" s="17">
        <f>IF($P73="","",IFERROR(IF(INDEX(MASTER!$L$4:$L$1463,$P73)="","",INDEX(MASTER!$L$4:$L$1463,$P73)),""))</f>
        <v>5.59</v>
      </c>
      <c r="K73" s="17">
        <f>IF($P73="","",IFERROR(IF(INDEX(MASTER!$N$4:$N$1463,$P73)="","",INDEX(MASTER!$N$4:$N$1463,$P73)),""))</f>
        <v>55.7</v>
      </c>
      <c r="L73" s="15" t="str">
        <f>IF($P73="","",IFERROR(IF(INDEX(MASTER!$O$4:$O$1463,$P73)="","",INDEX(MASTER!$O$4:$O$1463,$P73)),""))</f>
        <v>A</v>
      </c>
      <c r="M73" s="15">
        <f>IF($P73="","",IFERROR(IF(INDEX(MASTER!$Q$4:$Q$1463,$P73)="","",INDEX(MASTER!$Q$4:$Q$1463,$P73)),""))</f>
        <v>54</v>
      </c>
      <c r="N73" s="15" t="str">
        <f>IF($P73="","",IFERROR(IF(INDEX(MASTER!$S$4:$S$1463,$P73)="","",INDEX(MASTER!$S$4:$S$1463,$P73)),""))</f>
        <v>Complete</v>
      </c>
      <c r="P73">
        <f>IFERROR(MATCH($Q$1&amp;"@65",MASTER!$AC$4:$AC$1463,0),"")</f>
        <v>839</v>
      </c>
    </row>
    <row r="74" spans="1:16">
      <c r="A74" s="19">
        <f>IF($P74="","",66)</f>
        <v>66</v>
      </c>
      <c r="B74" s="18" t="str">
        <f>IF($P74="","",IFERROR(IF(INDEX(MASTER!$C$4:$C$1463,$P74)="","",INDEX(MASTER!$C$4:$C$1463,$P74)),""))</f>
        <v>OGdarkwingduc</v>
      </c>
      <c r="C74" s="19" t="str">
        <f>IF($P74="","",IFERROR(IF(INDEX(MASTER!$D$4:$D$1463,$P74)="","",INDEX(MASTER!$D$4:$D$1463,$P74)),""))</f>
        <v/>
      </c>
      <c r="D74" s="19" t="str">
        <f>IF($P74="","",IFERROR(IF(INDEX(MASTER!$E$4:$E$1463,$P74)="","",INDEX(MASTER!$E$4:$E$1463,$P74)),""))</f>
        <v>BARBARIAN</v>
      </c>
      <c r="E74" s="19" t="str">
        <f>IF($P74="","",IFERROR(IF(INDEX(MASTER!$F$4:$F$1463,$P74)="","",INDEX(MASTER!$F$4:$F$1463,$P74)),""))</f>
        <v>Frontline</v>
      </c>
      <c r="F74" s="20">
        <f>IF($P74="","",IFERROR(IF(INDEX(MASTER!$G$4:$G$1463,$P74)="","",INDEX(MASTER!$G$4:$G$1463,$P74)),""))</f>
        <v>63917</v>
      </c>
      <c r="G74" s="19" t="str">
        <f>IF($P74="","",IFERROR(IF(INDEX(MASTER!$H$4:$H$1463,$P74)="","",INDEX(MASTER!$H$4:$H$1463,$P74)),""))</f>
        <v>63,000 - 63,999</v>
      </c>
      <c r="H74" s="20">
        <f>IF($P74="","",IFERROR(IF(INDEX(MASTER!$I$4:$I$1463,$P74)="","",INDEX(MASTER!$I$4:$I$1463,$P74)),""))</f>
        <v>8390</v>
      </c>
      <c r="I74" s="19" t="str">
        <f>IF($P74="","",IFERROR(IF(INDEX(MASTER!$J$4:$J$1463,$P74)="","",INDEX(MASTER!$J$4:$J$1463,$P74)),""))</f>
        <v>ELITE</v>
      </c>
      <c r="J74" s="21">
        <f>IF($P74="","",IFERROR(IF(INDEX(MASTER!$L$4:$L$1463,$P74)="","",INDEX(MASTER!$L$4:$L$1463,$P74)),""))</f>
        <v>7.2</v>
      </c>
      <c r="K74" s="21">
        <f>IF($P74="","",IFERROR(IF(INDEX(MASTER!$N$4:$N$1463,$P74)="","",INDEX(MASTER!$N$4:$N$1463,$P74)),""))</f>
        <v>72.099999999999994</v>
      </c>
      <c r="L74" s="19" t="str">
        <f>IF($P74="","",IFERROR(IF(INDEX(MASTER!$O$4:$O$1463,$P74)="","",INDEX(MASTER!$O$4:$O$1463,$P74)),""))</f>
        <v>S</v>
      </c>
      <c r="M74" s="19">
        <f>IF($P74="","",IFERROR(IF(INDEX(MASTER!$Q$4:$Q$1463,$P74)="","",INDEX(MASTER!$Q$4:$Q$1463,$P74)),""))</f>
        <v>27</v>
      </c>
      <c r="N74" s="19" t="str">
        <f>IF($P74="","",IFERROR(IF(INDEX(MASTER!$S$4:$S$1463,$P74)="","",INDEX(MASTER!$S$4:$S$1463,$P74)),""))</f>
        <v>Complete</v>
      </c>
      <c r="P74">
        <f>IFERROR(MATCH($Q$1&amp;"@66",MASTER!$AC$4:$AC$1463,0),"")</f>
        <v>841</v>
      </c>
    </row>
    <row r="75" spans="1:16">
      <c r="A75" s="15">
        <f>IF($P75="","",67)</f>
        <v>67</v>
      </c>
      <c r="B75" s="14" t="str">
        <f>IF($P75="","",IFERROR(IF(INDEX(MASTER!$C$4:$C$1463,$P75)="","",INDEX(MASTER!$C$4:$C$1463,$P75)),""))</f>
        <v>Oñyxxx</v>
      </c>
      <c r="C75" s="15" t="str">
        <f>IF($P75="","",IFERROR(IF(INDEX(MASTER!$D$4:$D$1463,$P75)="","",INDEX(MASTER!$D$4:$D$1463,$P75)),""))</f>
        <v/>
      </c>
      <c r="D75" s="15" t="str">
        <f>IF($P75="","",IFERROR(IF(INDEX(MASTER!$E$4:$E$1463,$P75)="","",INDEX(MASTER!$E$4:$E$1463,$P75)),""))</f>
        <v>BARBARIAN</v>
      </c>
      <c r="E75" s="15" t="str">
        <f>IF($P75="","",IFERROR(IF(INDEX(MASTER!$F$4:$F$1463,$P75)="","",INDEX(MASTER!$F$4:$F$1463,$P75)),""))</f>
        <v>Frontline</v>
      </c>
      <c r="F75" s="16">
        <f>IF($P75="","",IFERROR(IF(INDEX(MASTER!$G$4:$G$1463,$P75)="","",INDEX(MASTER!$G$4:$G$1463,$P75)),""))</f>
        <v>63935</v>
      </c>
      <c r="G75" s="15" t="str">
        <f>IF($P75="","",IFERROR(IF(INDEX(MASTER!$H$4:$H$1463,$P75)="","",INDEX(MASTER!$H$4:$H$1463,$P75)),""))</f>
        <v>63,000 - 63,999</v>
      </c>
      <c r="H75" s="16">
        <f>IF($P75="","",IFERROR(IF(INDEX(MASTER!$I$4:$I$1463,$P75)="","",INDEX(MASTER!$I$4:$I$1463,$P75)),""))</f>
        <v>9093</v>
      </c>
      <c r="I75" s="15" t="str">
        <f>IF($P75="","",IFERROR(IF(INDEX(MASTER!$J$4:$J$1463,$P75)="","",INDEX(MASTER!$J$4:$J$1463,$P75)),""))</f>
        <v>ELITE</v>
      </c>
      <c r="J75" s="17">
        <f>IF($P75="","",IFERROR(IF(INDEX(MASTER!$L$4:$L$1463,$P75)="","",INDEX(MASTER!$L$4:$L$1463,$P75)),""))</f>
        <v>6.3</v>
      </c>
      <c r="K75" s="17">
        <f>IF($P75="","",IFERROR(IF(INDEX(MASTER!$N$4:$N$1463,$P75)="","",INDEX(MASTER!$N$4:$N$1463,$P75)),""))</f>
        <v>73.7</v>
      </c>
      <c r="L75" s="15" t="str">
        <f>IF($P75="","",IFERROR(IF(INDEX(MASTER!$O$4:$O$1463,$P75)="","",INDEX(MASTER!$O$4:$O$1463,$P75)),""))</f>
        <v>S</v>
      </c>
      <c r="M75" s="15">
        <f>IF($P75="","",IFERROR(IF(INDEX(MASTER!$Q$4:$Q$1463,$P75)="","",INDEX(MASTER!$Q$4:$Q$1463,$P75)),""))</f>
        <v>22</v>
      </c>
      <c r="N75" s="15" t="str">
        <f>IF($P75="","",IFERROR(IF(INDEX(MASTER!$S$4:$S$1463,$P75)="","",INDEX(MASTER!$S$4:$S$1463,$P75)),""))</f>
        <v>Complete</v>
      </c>
      <c r="P75">
        <f>IFERROR(MATCH($Q$1&amp;"@67",MASTER!$AC$4:$AC$1463,0),"")</f>
        <v>869</v>
      </c>
    </row>
    <row r="76" spans="1:16">
      <c r="A76" s="19">
        <f>IF($P76="","",68)</f>
        <v>68</v>
      </c>
      <c r="B76" s="18" t="str">
        <f>IF($P76="","",IFERROR(IF(INDEX(MASTER!$C$4:$C$1463,$P76)="","",INDEX(MASTER!$C$4:$C$1463,$P76)),""))</f>
        <v>Orionpax</v>
      </c>
      <c r="C76" s="19" t="str">
        <f>IF($P76="","",IFERROR(IF(INDEX(MASTER!$D$4:$D$1463,$P76)="","",INDEX(MASTER!$D$4:$D$1463,$P76)),""))</f>
        <v/>
      </c>
      <c r="D76" s="19" t="str">
        <f>IF($P76="","",IFERROR(IF(INDEX(MASTER!$E$4:$E$1463,$P76)="","",INDEX(MASTER!$E$4:$E$1463,$P76)),""))</f>
        <v>CRUSADER</v>
      </c>
      <c r="E76" s="19" t="str">
        <f>IF($P76="","",IFERROR(IF(INDEX(MASTER!$F$4:$F$1463,$P76)="","",INDEX(MASTER!$F$4:$F$1463,$P76)),""))</f>
        <v>Frontline</v>
      </c>
      <c r="F76" s="20">
        <f>IF($P76="","",IFERROR(IF(INDEX(MASTER!$G$4:$G$1463,$P76)="","",INDEX(MASTER!$G$4:$G$1463,$P76)),""))</f>
        <v>64224</v>
      </c>
      <c r="G76" s="19" t="str">
        <f>IF($P76="","",IFERROR(IF(INDEX(MASTER!$H$4:$H$1463,$P76)="","",INDEX(MASTER!$H$4:$H$1463,$P76)),""))</f>
        <v>64,000 +</v>
      </c>
      <c r="H76" s="20">
        <f>IF($P76="","",IFERROR(IF(INDEX(MASTER!$I$4:$I$1463,$P76)="","",INDEX(MASTER!$I$4:$I$1463,$P76)),""))</f>
        <v>10905</v>
      </c>
      <c r="I76" s="19" t="str">
        <f>IF($P76="","",IFERROR(IF(INDEX(MASTER!$J$4:$J$1463,$P76)="","",INDEX(MASTER!$J$4:$J$1463,$P76)),""))</f>
        <v>APEX</v>
      </c>
      <c r="J76" s="21">
        <f>IF($P76="","",IFERROR(IF(INDEX(MASTER!$L$4:$L$1463,$P76)="","",INDEX(MASTER!$L$4:$L$1463,$P76)),""))</f>
        <v>6.71</v>
      </c>
      <c r="K76" s="21">
        <f>IF($P76="","",IFERROR(IF(INDEX(MASTER!$N$4:$N$1463,$P76)="","",INDEX(MASTER!$N$4:$N$1463,$P76)),""))</f>
        <v>83.1</v>
      </c>
      <c r="L76" s="19" t="str">
        <f>IF($P76="","",IFERROR(IF(INDEX(MASTER!$O$4:$O$1463,$P76)="","",INDEX(MASTER!$O$4:$O$1463,$P76)),""))</f>
        <v>S+</v>
      </c>
      <c r="M76" s="19">
        <f>IF($P76="","",IFERROR(IF(INDEX(MASTER!$Q$4:$Q$1463,$P76)="","",INDEX(MASTER!$Q$4:$Q$1463,$P76)),""))</f>
        <v>1</v>
      </c>
      <c r="N76" s="19" t="str">
        <f>IF($P76="","",IFERROR(IF(INDEX(MASTER!$S$4:$S$1463,$P76)="","",INDEX(MASTER!$S$4:$S$1463,$P76)),""))</f>
        <v>Complete</v>
      </c>
      <c r="P76">
        <f>IFERROR(MATCH($Q$1&amp;"@68",MASTER!$AC$4:$AC$1463,0),"")</f>
        <v>863</v>
      </c>
    </row>
    <row r="77" spans="1:16">
      <c r="A77" s="15">
        <f>IF($P77="","",69)</f>
        <v>69</v>
      </c>
      <c r="B77" s="14" t="str">
        <f>IF($P77="","",IFERROR(IF(INDEX(MASTER!$C$4:$C$1463,$P77)="","",INDEX(MASTER!$C$4:$C$1463,$P77)),""))</f>
        <v>Quail</v>
      </c>
      <c r="C77" s="15" t="str">
        <f>IF($P77="","",IFERROR(IF(INDEX(MASTER!$D$4:$D$1463,$P77)="","",INDEX(MASTER!$D$4:$D$1463,$P77)),""))</f>
        <v/>
      </c>
      <c r="D77" s="15" t="str">
        <f>IF($P77="","",IFERROR(IF(INDEX(MASTER!$E$4:$E$1463,$P77)="","",INDEX(MASTER!$E$4:$E$1463,$P77)),""))</f>
        <v>WARLOCK</v>
      </c>
      <c r="E77" s="15" t="str">
        <f>IF($P77="","",IFERROR(IF(INDEX(MASTER!$F$4:$F$1463,$P77)="","",INDEX(MASTER!$F$4:$F$1463,$P77)),""))</f>
        <v>Control</v>
      </c>
      <c r="F77" s="16">
        <f>IF($P77="","",IFERROR(IF(INDEX(MASTER!$G$4:$G$1463,$P77)="","",INDEX(MASTER!$G$4:$G$1463,$P77)),""))</f>
        <v>62416</v>
      </c>
      <c r="G77" s="15" t="str">
        <f>IF($P77="","",IFERROR(IF(INDEX(MASTER!$H$4:$H$1463,$P77)="","",INDEX(MASTER!$H$4:$H$1463,$P77)),""))</f>
        <v>62,000 - 62,999</v>
      </c>
      <c r="H77" s="16">
        <f>IF($P77="","",IFERROR(IF(INDEX(MASTER!$I$4:$I$1463,$P77)="","",INDEX(MASTER!$I$4:$I$1463,$P77)),""))</f>
        <v>3801</v>
      </c>
      <c r="I77" s="15" t="str">
        <f>IF($P77="","",IFERROR(IF(INDEX(MASTER!$J$4:$J$1463,$P77)="","",INDEX(MASTER!$J$4:$J$1463,$P77)),""))</f>
        <v>DEVELOPING</v>
      </c>
      <c r="J77" s="17">
        <f>IF($P77="","",IFERROR(IF(INDEX(MASTER!$L$4:$L$1463,$P77)="","",INDEX(MASTER!$L$4:$L$1463,$P77)),""))</f>
        <v>4.95</v>
      </c>
      <c r="K77" s="17">
        <f>IF($P77="","",IFERROR(IF(INDEX(MASTER!$N$4:$N$1463,$P77)="","",INDEX(MASTER!$N$4:$N$1463,$P77)),""))</f>
        <v>44.4</v>
      </c>
      <c r="L77" s="15" t="str">
        <f>IF($P77="","",IFERROR(IF(INDEX(MASTER!$O$4:$O$1463,$P77)="","",INDEX(MASTER!$O$4:$O$1463,$P77)),""))</f>
        <v>B</v>
      </c>
      <c r="M77" s="15">
        <f>IF($P77="","",IFERROR(IF(INDEX(MASTER!$Q$4:$Q$1463,$P77)="","",INDEX(MASTER!$Q$4:$Q$1463,$P77)),""))</f>
        <v>82</v>
      </c>
      <c r="N77" s="15" t="str">
        <f>IF($P77="","",IFERROR(IF(INDEX(MASTER!$S$4:$S$1463,$P77)="","",INDEX(MASTER!$S$4:$S$1463,$P77)),""))</f>
        <v>Complete</v>
      </c>
      <c r="P77">
        <f>IFERROR(MATCH($Q$1&amp;"@69",MASTER!$AC$4:$AC$1463,0),"")</f>
        <v>914</v>
      </c>
    </row>
    <row r="78" spans="1:16">
      <c r="A78" s="19">
        <f>IF($P78="","",70)</f>
        <v>70</v>
      </c>
      <c r="B78" s="18" t="str">
        <f>IF($P78="","",IFERROR(IF(INDEX(MASTER!$C$4:$C$1463,$P78)="","",INDEX(MASTER!$C$4:$C$1463,$P78)),""))</f>
        <v>ROids</v>
      </c>
      <c r="C78" s="19" t="str">
        <f>IF($P78="","",IFERROR(IF(INDEX(MASTER!$D$4:$D$1463,$P78)="","",INDEX(MASTER!$D$4:$D$1463,$P78)),""))</f>
        <v/>
      </c>
      <c r="D78" s="19" t="str">
        <f>IF($P78="","",IFERROR(IF(INDEX(MASTER!$E$4:$E$1463,$P78)="","",INDEX(MASTER!$E$4:$E$1463,$P78)),""))</f>
        <v>BARBARIAN</v>
      </c>
      <c r="E78" s="19" t="str">
        <f>IF($P78="","",IFERROR(IF(INDEX(MASTER!$F$4:$F$1463,$P78)="","",INDEX(MASTER!$F$4:$F$1463,$P78)),""))</f>
        <v>Frontline</v>
      </c>
      <c r="F78" s="20">
        <f>IF($P78="","",IFERROR(IF(INDEX(MASTER!$G$4:$G$1463,$P78)="","",INDEX(MASTER!$G$4:$G$1463,$P78)),""))</f>
        <v>63156</v>
      </c>
      <c r="G78" s="19" t="str">
        <f>IF($P78="","",IFERROR(IF(INDEX(MASTER!$H$4:$H$1463,$P78)="","",INDEX(MASTER!$H$4:$H$1463,$P78)),""))</f>
        <v>63,000 - 63,999</v>
      </c>
      <c r="H78" s="20">
        <f>IF($P78="","",IFERROR(IF(INDEX(MASTER!$I$4:$I$1463,$P78)="","",INDEX(MASTER!$I$4:$I$1463,$P78)),""))</f>
        <v>9953</v>
      </c>
      <c r="I78" s="19" t="str">
        <f>IF($P78="","",IFERROR(IF(INDEX(MASTER!$J$4:$J$1463,$P78)="","",INDEX(MASTER!$J$4:$J$1463,$P78)),""))</f>
        <v>ELITE</v>
      </c>
      <c r="J78" s="21">
        <f>IF($P78="","",IFERROR(IF(INDEX(MASTER!$L$4:$L$1463,$P78)="","",INDEX(MASTER!$L$4:$L$1463,$P78)),""))</f>
        <v>5.24</v>
      </c>
      <c r="K78" s="21">
        <f>IF($P78="","",IFERROR(IF(INDEX(MASTER!$N$4:$N$1463,$P78)="","",INDEX(MASTER!$N$4:$N$1463,$P78)),""))</f>
        <v>73.599999999999994</v>
      </c>
      <c r="L78" s="19" t="str">
        <f>IF($P78="","",IFERROR(IF(INDEX(MASTER!$O$4:$O$1463,$P78)="","",INDEX(MASTER!$O$4:$O$1463,$P78)),""))</f>
        <v>S</v>
      </c>
      <c r="M78" s="19">
        <f>IF($P78="","",IFERROR(IF(INDEX(MASTER!$Q$4:$Q$1463,$P78)="","",INDEX(MASTER!$Q$4:$Q$1463,$P78)),""))</f>
        <v>11</v>
      </c>
      <c r="N78" s="19" t="str">
        <f>IF($P78="","",IFERROR(IF(INDEX(MASTER!$S$4:$S$1463,$P78)="","",INDEX(MASTER!$S$4:$S$1463,$P78)),""))</f>
        <v>Complete</v>
      </c>
      <c r="P78">
        <f>IFERROR(MATCH($Q$1&amp;"@70",MASTER!$AC$4:$AC$1463,0),"")</f>
        <v>959</v>
      </c>
    </row>
    <row r="79" spans="1:16">
      <c r="A79" s="15">
        <f>IF($P79="","",71)</f>
        <v>71</v>
      </c>
      <c r="B79" s="14" t="str">
        <f>IF($P79="","",IFERROR(IF(INDEX(MASTER!$C$4:$C$1463,$P79)="","",INDEX(MASTER!$C$4:$C$1463,$P79)),""))</f>
        <v>RunThatHole</v>
      </c>
      <c r="C79" s="15" t="str">
        <f>IF($P79="","",IFERROR(IF(INDEX(MASTER!$D$4:$D$1463,$P79)="","",INDEX(MASTER!$D$4:$D$1463,$P79)),""))</f>
        <v/>
      </c>
      <c r="D79" s="15" t="str">
        <f>IF($P79="","",IFERROR(IF(INDEX(MASTER!$E$4:$E$1463,$P79)="","",INDEX(MASTER!$E$4:$E$1463,$P79)),""))</f>
        <v>CRUSADER</v>
      </c>
      <c r="E79" s="15" t="str">
        <f>IF($P79="","",IFERROR(IF(INDEX(MASTER!$F$4:$F$1463,$P79)="","",INDEX(MASTER!$F$4:$F$1463,$P79)),""))</f>
        <v>Frontline</v>
      </c>
      <c r="F79" s="16">
        <f>IF($P79="","",IFERROR(IF(INDEX(MASTER!$G$4:$G$1463,$P79)="","",INDEX(MASTER!$G$4:$G$1463,$P79)),""))</f>
        <v>62943</v>
      </c>
      <c r="G79" s="15" t="str">
        <f>IF($P79="","",IFERROR(IF(INDEX(MASTER!$H$4:$H$1463,$P79)="","",INDEX(MASTER!$H$4:$H$1463,$P79)),""))</f>
        <v>62,000 - 62,999</v>
      </c>
      <c r="H79" s="16">
        <f>IF($P79="","",IFERROR(IF(INDEX(MASTER!$I$4:$I$1463,$P79)="","",INDEX(MASTER!$I$4:$I$1463,$P79)),""))</f>
        <v>8028</v>
      </c>
      <c r="I79" s="15" t="str">
        <f>IF($P79="","",IFERROR(IF(INDEX(MASTER!$J$4:$J$1463,$P79)="","",INDEX(MASTER!$J$4:$J$1463,$P79)),""))</f>
        <v>ELITE</v>
      </c>
      <c r="J79" s="17">
        <f>IF($P79="","",IFERROR(IF(INDEX(MASTER!$L$4:$L$1463,$P79)="","",INDEX(MASTER!$L$4:$L$1463,$P79)),""))</f>
        <v>6.4</v>
      </c>
      <c r="K79" s="17">
        <f>IF($P79="","",IFERROR(IF(INDEX(MASTER!$N$4:$N$1463,$P79)="","",INDEX(MASTER!$N$4:$N$1463,$P79)),""))</f>
        <v>66.599999999999994</v>
      </c>
      <c r="L79" s="15" t="str">
        <f>IF($P79="","",IFERROR(IF(INDEX(MASTER!$O$4:$O$1463,$P79)="","",INDEX(MASTER!$O$4:$O$1463,$P79)),""))</f>
        <v>S</v>
      </c>
      <c r="M79" s="15">
        <f>IF($P79="","",IFERROR(IF(INDEX(MASTER!$Q$4:$Q$1463,$P79)="","",INDEX(MASTER!$Q$4:$Q$1463,$P79)),""))</f>
        <v>33</v>
      </c>
      <c r="N79" s="15" t="str">
        <f>IF($P79="","",IFERROR(IF(INDEX(MASTER!$S$4:$S$1463,$P79)="","",INDEX(MASTER!$S$4:$S$1463,$P79)),""))</f>
        <v>Complete</v>
      </c>
      <c r="P79">
        <f>IFERROR(MATCH($Q$1&amp;"@71",MASTER!$AC$4:$AC$1463,0),"")</f>
        <v>974</v>
      </c>
    </row>
    <row r="80" spans="1:16">
      <c r="A80" s="19">
        <f>IF($P80="","",72)</f>
        <v>72</v>
      </c>
      <c r="B80" s="18" t="str">
        <f>IF($P80="","",IFERROR(IF(INDEX(MASTER!$C$4:$C$1463,$P80)="","",INDEX(MASTER!$C$4:$C$1463,$P80)),""))</f>
        <v>S3RIOUSLY</v>
      </c>
      <c r="C80" s="19" t="str">
        <f>IF($P80="","",IFERROR(IF(INDEX(MASTER!$D$4:$D$1463,$P80)="","",INDEX(MASTER!$D$4:$D$1463,$P80)),""))</f>
        <v/>
      </c>
      <c r="D80" s="19" t="str">
        <f>IF($P80="","",IFERROR(IF(INDEX(MASTER!$E$4:$E$1463,$P80)="","",INDEX(MASTER!$E$4:$E$1463,$P80)),""))</f>
        <v>DEMON HUNTER</v>
      </c>
      <c r="E80" s="19" t="str">
        <f>IF($P80="","",IFERROR(IF(INDEX(MASTER!$F$4:$F$1463,$P80)="","",INDEX(MASTER!$F$4:$F$1463,$P80)),""))</f>
        <v>Ranged DPS</v>
      </c>
      <c r="F80" s="20">
        <f>IF($P80="","",IFERROR(IF(INDEX(MASTER!$G$4:$G$1463,$P80)="","",INDEX(MASTER!$G$4:$G$1463,$P80)),""))</f>
        <v>64207</v>
      </c>
      <c r="G80" s="19" t="str">
        <f>IF($P80="","",IFERROR(IF(INDEX(MASTER!$H$4:$H$1463,$P80)="","",INDEX(MASTER!$H$4:$H$1463,$P80)),""))</f>
        <v>64,000 +</v>
      </c>
      <c r="H80" s="20">
        <f>IF($P80="","",IFERROR(IF(INDEX(MASTER!$I$4:$I$1463,$P80)="","",INDEX(MASTER!$I$4:$I$1463,$P80)),""))</f>
        <v>10123</v>
      </c>
      <c r="I80" s="19" t="str">
        <f>IF($P80="","",IFERROR(IF(INDEX(MASTER!$J$4:$J$1463,$P80)="","",INDEX(MASTER!$J$4:$J$1463,$P80)),""))</f>
        <v>APEX</v>
      </c>
      <c r="J80" s="21">
        <f>IF($P80="","",IFERROR(IF(INDEX(MASTER!$L$4:$L$1463,$P80)="","",INDEX(MASTER!$L$4:$L$1463,$P80)),""))</f>
        <v>8.85</v>
      </c>
      <c r="K80" s="21">
        <f>IF($P80="","",IFERROR(IF(INDEX(MASTER!$N$4:$N$1463,$P80)="","",INDEX(MASTER!$N$4:$N$1463,$P80)),""))</f>
        <v>83.2</v>
      </c>
      <c r="L80" s="19" t="str">
        <f>IF($P80="","",IFERROR(IF(INDEX(MASTER!$O$4:$O$1463,$P80)="","",INDEX(MASTER!$O$4:$O$1463,$P80)),""))</f>
        <v>S+</v>
      </c>
      <c r="M80" s="19">
        <f>IF($P80="","",IFERROR(IF(INDEX(MASTER!$Q$4:$Q$1463,$P80)="","",INDEX(MASTER!$Q$4:$Q$1463,$P80)),""))</f>
        <v>8</v>
      </c>
      <c r="N80" s="19" t="str">
        <f>IF($P80="","",IFERROR(IF(INDEX(MASTER!$S$4:$S$1463,$P80)="","",INDEX(MASTER!$S$4:$S$1463,$P80)),""))</f>
        <v>Complete</v>
      </c>
      <c r="P80">
        <f>IFERROR(MATCH($Q$1&amp;"@72",MASTER!$AC$4:$AC$1463,0),"")</f>
        <v>982</v>
      </c>
    </row>
    <row r="81" spans="1:16">
      <c r="A81" s="15">
        <f>IF($P81="","",73)</f>
        <v>73</v>
      </c>
      <c r="B81" s="14" t="str">
        <f>IF($P81="","",IFERROR(IF(INDEX(MASTER!$C$4:$C$1463,$P81)="","",INDEX(MASTER!$C$4:$C$1463,$P81)),""))</f>
        <v>SandonM</v>
      </c>
      <c r="C81" s="15" t="str">
        <f>IF($P81="","",IFERROR(IF(INDEX(MASTER!$D$4:$D$1463,$P81)="","",INDEX(MASTER!$D$4:$D$1463,$P81)),""))</f>
        <v/>
      </c>
      <c r="D81" s="15" t="str">
        <f>IF($P81="","",IFERROR(IF(INDEX(MASTER!$E$4:$E$1463,$P81)="","",INDEX(MASTER!$E$4:$E$1463,$P81)),""))</f>
        <v>NECROMANCER</v>
      </c>
      <c r="E81" s="15" t="str">
        <f>IF($P81="","",IFERROR(IF(INDEX(MASTER!$F$4:$F$1463,$P81)="","",INDEX(MASTER!$F$4:$F$1463,$P81)),""))</f>
        <v>Control</v>
      </c>
      <c r="F81" s="16">
        <f>IF($P81="","",IFERROR(IF(INDEX(MASTER!$G$4:$G$1463,$P81)="","",INDEX(MASTER!$G$4:$G$1463,$P81)),""))</f>
        <v>63540</v>
      </c>
      <c r="G81" s="15" t="str">
        <f>IF($P81="","",IFERROR(IF(INDEX(MASTER!$H$4:$H$1463,$P81)="","",INDEX(MASTER!$H$4:$H$1463,$P81)),""))</f>
        <v>63,000 - 63,999</v>
      </c>
      <c r="H81" s="16">
        <f>IF($P81="","",IFERROR(IF(INDEX(MASTER!$I$4:$I$1463,$P81)="","",INDEX(MASTER!$I$4:$I$1463,$P81)),""))</f>
        <v>5091</v>
      </c>
      <c r="I81" s="15" t="str">
        <f>IF($P81="","",IFERROR(IF(INDEX(MASTER!$J$4:$J$1463,$P81)="","",INDEX(MASTER!$J$4:$J$1463,$P81)),""))</f>
        <v>CORE</v>
      </c>
      <c r="J81" s="17">
        <f>IF($P81="","",IFERROR(IF(INDEX(MASTER!$L$4:$L$1463,$P81)="","",INDEX(MASTER!$L$4:$L$1463,$P81)),""))</f>
        <v>5.16</v>
      </c>
      <c r="K81" s="17">
        <f>IF($P81="","",IFERROR(IF(INDEX(MASTER!$N$4:$N$1463,$P81)="","",INDEX(MASTER!$N$4:$N$1463,$P81)),""))</f>
        <v>53.3</v>
      </c>
      <c r="L81" s="15" t="str">
        <f>IF($P81="","",IFERROR(IF(INDEX(MASTER!$O$4:$O$1463,$P81)="","",INDEX(MASTER!$O$4:$O$1463,$P81)),""))</f>
        <v>A</v>
      </c>
      <c r="M81" s="15">
        <f>IF($P81="","",IFERROR(IF(INDEX(MASTER!$Q$4:$Q$1463,$P81)="","",INDEX(MASTER!$Q$4:$Q$1463,$P81)),""))</f>
        <v>67</v>
      </c>
      <c r="N81" s="15" t="str">
        <f>IF($P81="","",IFERROR(IF(INDEX(MASTER!$S$4:$S$1463,$P81)="","",INDEX(MASTER!$S$4:$S$1463,$P81)),""))</f>
        <v>Complete</v>
      </c>
      <c r="P81">
        <f>IFERROR(MATCH($Q$1&amp;"@73",MASTER!$AC$4:$AC$1463,0),"")</f>
        <v>986</v>
      </c>
    </row>
    <row r="82" spans="1:16">
      <c r="A82" s="19">
        <f>IF($P82="","",74)</f>
        <v>74</v>
      </c>
      <c r="B82" s="18" t="str">
        <f>IF($P82="","",IFERROR(IF(INDEX(MASTER!$C$4:$C$1463,$P82)="","",INDEX(MASTER!$C$4:$C$1463,$P82)),""))</f>
        <v>SheFooBarrNon</v>
      </c>
      <c r="C82" s="19" t="str">
        <f>IF($P82="","",IFERROR(IF(INDEX(MASTER!$D$4:$D$1463,$P82)="","",INDEX(MASTER!$D$4:$D$1463,$P82)),""))</f>
        <v/>
      </c>
      <c r="D82" s="19" t="str">
        <f>IF($P82="","",IFERROR(IF(INDEX(MASTER!$E$4:$E$1463,$P82)="","",INDEX(MASTER!$E$4:$E$1463,$P82)),""))</f>
        <v>WARLOCK</v>
      </c>
      <c r="E82" s="19" t="str">
        <f>IF($P82="","",IFERROR(IF(INDEX(MASTER!$F$4:$F$1463,$P82)="","",INDEX(MASTER!$F$4:$F$1463,$P82)),""))</f>
        <v>Control</v>
      </c>
      <c r="F82" s="20">
        <f>IF($P82="","",IFERROR(IF(INDEX(MASTER!$G$4:$G$1463,$P82)="","",INDEX(MASTER!$G$4:$G$1463,$P82)),""))</f>
        <v>63021</v>
      </c>
      <c r="G82" s="19" t="str">
        <f>IF($P82="","",IFERROR(IF(INDEX(MASTER!$H$4:$H$1463,$P82)="","",INDEX(MASTER!$H$4:$H$1463,$P82)),""))</f>
        <v>63,000 - 63,999</v>
      </c>
      <c r="H82" s="20">
        <f>IF($P82="","",IFERROR(IF(INDEX(MASTER!$I$4:$I$1463,$P82)="","",INDEX(MASTER!$I$4:$I$1463,$P82)),""))</f>
        <v>4522</v>
      </c>
      <c r="I82" s="19" t="str">
        <f>IF($P82="","",IFERROR(IF(INDEX(MASTER!$J$4:$J$1463,$P82)="","",INDEX(MASTER!$J$4:$J$1463,$P82)),""))</f>
        <v>CORE</v>
      </c>
      <c r="J82" s="21">
        <f>IF($P82="","",IFERROR(IF(INDEX(MASTER!$L$4:$L$1463,$P82)="","",INDEX(MASTER!$L$4:$L$1463,$P82)),""))</f>
        <v>6.1</v>
      </c>
      <c r="K82" s="21">
        <f>IF($P82="","",IFERROR(IF(INDEX(MASTER!$N$4:$N$1463,$P82)="","",INDEX(MASTER!$N$4:$N$1463,$P82)),""))</f>
        <v>51</v>
      </c>
      <c r="L82" s="19" t="str">
        <f>IF($P82="","",IFERROR(IF(INDEX(MASTER!$O$4:$O$1463,$P82)="","",INDEX(MASTER!$O$4:$O$1463,$P82)),""))</f>
        <v>A</v>
      </c>
      <c r="M82" s="19">
        <f>IF($P82="","",IFERROR(IF(INDEX(MASTER!$Q$4:$Q$1463,$P82)="","",INDEX(MASTER!$Q$4:$Q$1463,$P82)),""))</f>
        <v>72</v>
      </c>
      <c r="N82" s="19" t="str">
        <f>IF($P82="","",IFERROR(IF(INDEX(MASTER!$S$4:$S$1463,$P82)="","",INDEX(MASTER!$S$4:$S$1463,$P82)),""))</f>
        <v>Complete</v>
      </c>
      <c r="P82">
        <f>IFERROR(MATCH($Q$1&amp;"@74",MASTER!$AC$4:$AC$1463,0),"")</f>
        <v>1007</v>
      </c>
    </row>
    <row r="83" spans="1:16">
      <c r="A83" s="15">
        <f>IF($P83="","",75)</f>
        <v>75</v>
      </c>
      <c r="B83" s="14" t="str">
        <f>IF($P83="","",IFERROR(IF(INDEX(MASTER!$C$4:$C$1463,$P83)="","",INDEX(MASTER!$C$4:$C$1463,$P83)),""))</f>
        <v>SnarkyBits</v>
      </c>
      <c r="C83" s="15" t="str">
        <f>IF($P83="","",IFERROR(IF(INDEX(MASTER!$D$4:$D$1463,$P83)="","",INDEX(MASTER!$D$4:$D$1463,$P83)),""))</f>
        <v/>
      </c>
      <c r="D83" s="15" t="str">
        <f>IF($P83="","",IFERROR(IF(INDEX(MASTER!$E$4:$E$1463,$P83)="","",INDEX(MASTER!$E$4:$E$1463,$P83)),""))</f>
        <v>CRUSADER</v>
      </c>
      <c r="E83" s="15" t="str">
        <f>IF($P83="","",IFERROR(IF(INDEX(MASTER!$F$4:$F$1463,$P83)="","",INDEX(MASTER!$F$4:$F$1463,$P83)),""))</f>
        <v>Frontline</v>
      </c>
      <c r="F83" s="16">
        <f>IF($P83="","",IFERROR(IF(INDEX(MASTER!$G$4:$G$1463,$P83)="","",INDEX(MASTER!$G$4:$G$1463,$P83)),""))</f>
        <v>61569</v>
      </c>
      <c r="G83" s="15" t="str">
        <f>IF($P83="","",IFERROR(IF(INDEX(MASTER!$H$4:$H$1463,$P83)="","",INDEX(MASTER!$H$4:$H$1463,$P83)),""))</f>
        <v>61,000 - 61,999</v>
      </c>
      <c r="H83" s="16">
        <f>IF($P83="","",IFERROR(IF(INDEX(MASTER!$I$4:$I$1463,$P83)="","",INDEX(MASTER!$I$4:$I$1463,$P83)),""))</f>
        <v>3012</v>
      </c>
      <c r="I83" s="15" t="str">
        <f>IF($P83="","",IFERROR(IF(INDEX(MASTER!$J$4:$J$1463,$P83)="","",INDEX(MASTER!$J$4:$J$1463,$P83)),""))</f>
        <v>DEVELOPING</v>
      </c>
      <c r="J83" s="17">
        <f>IF($P83="","",IFERROR(IF(INDEX(MASTER!$L$4:$L$1463,$P83)="","",INDEX(MASTER!$L$4:$L$1463,$P83)),""))</f>
        <v>3.8</v>
      </c>
      <c r="K83" s="17">
        <f>IF($P83="","",IFERROR(IF(INDEX(MASTER!$N$4:$N$1463,$P83)="","",INDEX(MASTER!$N$4:$N$1463,$P83)),""))</f>
        <v>36.799999999999997</v>
      </c>
      <c r="L83" s="15" t="str">
        <f>IF($P83="","",IFERROR(IF(INDEX(MASTER!$O$4:$O$1463,$P83)="","",INDEX(MASTER!$O$4:$O$1463,$P83)),""))</f>
        <v>B</v>
      </c>
      <c r="M83" s="15">
        <f>IF($P83="","",IFERROR(IF(INDEX(MASTER!$Q$4:$Q$1463,$P83)="","",INDEX(MASTER!$Q$4:$Q$1463,$P83)),""))</f>
        <v>90</v>
      </c>
      <c r="N83" s="15" t="str">
        <f>IF($P83="","",IFERROR(IF(INDEX(MASTER!$S$4:$S$1463,$P83)="","",INDEX(MASTER!$S$4:$S$1463,$P83)),""))</f>
        <v>Complete</v>
      </c>
      <c r="P83">
        <f>IFERROR(MATCH($Q$1&amp;"@75",MASTER!$AC$4:$AC$1463,0),"")</f>
        <v>1050</v>
      </c>
    </row>
    <row r="84" spans="1:16">
      <c r="A84" s="19">
        <f>IF($P84="","",76)</f>
        <v>76</v>
      </c>
      <c r="B84" s="18" t="str">
        <f>IF($P84="","",IFERROR(IF(INDEX(MASTER!$C$4:$C$1463,$P84)="","",INDEX(MASTER!$C$4:$C$1463,$P84)),""))</f>
        <v>Soupremacy</v>
      </c>
      <c r="C84" s="19" t="str">
        <f>IF($P84="","",IFERROR(IF(INDEX(MASTER!$D$4:$D$1463,$P84)="","",INDEX(MASTER!$D$4:$D$1463,$P84)),""))</f>
        <v/>
      </c>
      <c r="D84" s="19" t="str">
        <f>IF($P84="","",IFERROR(IF(INDEX(MASTER!$E$4:$E$1463,$P84)="","",INDEX(MASTER!$E$4:$E$1463,$P84)),""))</f>
        <v>BARBARIAN</v>
      </c>
      <c r="E84" s="19" t="str">
        <f>IF($P84="","",IFERROR(IF(INDEX(MASTER!$F$4:$F$1463,$P84)="","",INDEX(MASTER!$F$4:$F$1463,$P84)),""))</f>
        <v>Frontline</v>
      </c>
      <c r="F84" s="20">
        <f>IF($P84="","",IFERROR(IF(INDEX(MASTER!$G$4:$G$1463,$P84)="","",INDEX(MASTER!$G$4:$G$1463,$P84)),""))</f>
        <v>61833</v>
      </c>
      <c r="G84" s="19" t="str">
        <f>IF($P84="","",IFERROR(IF(INDEX(MASTER!$H$4:$H$1463,$P84)="","",INDEX(MASTER!$H$4:$H$1463,$P84)),""))</f>
        <v>61,000 - 61,999</v>
      </c>
      <c r="H84" s="20">
        <f>IF($P84="","",IFERROR(IF(INDEX(MASTER!$I$4:$I$1463,$P84)="","",INDEX(MASTER!$I$4:$I$1463,$P84)),""))</f>
        <v>9097</v>
      </c>
      <c r="I84" s="19" t="str">
        <f>IF($P84="","",IFERROR(IF(INDEX(MASTER!$J$4:$J$1463,$P84)="","",INDEX(MASTER!$J$4:$J$1463,$P84)),""))</f>
        <v>ELITE</v>
      </c>
      <c r="J84" s="21">
        <f>IF($P84="","",IFERROR(IF(INDEX(MASTER!$L$4:$L$1463,$P84)="","",INDEX(MASTER!$L$4:$L$1463,$P84)),""))</f>
        <v>6.7</v>
      </c>
      <c r="K84" s="21">
        <f>IF($P84="","",IFERROR(IF(INDEX(MASTER!$N$4:$N$1463,$P84)="","",INDEX(MASTER!$N$4:$N$1463,$P84)),""))</f>
        <v>68.900000000000006</v>
      </c>
      <c r="L84" s="19" t="str">
        <f>IF($P84="","",IFERROR(IF(INDEX(MASTER!$O$4:$O$1463,$P84)="","",INDEX(MASTER!$O$4:$O$1463,$P84)),""))</f>
        <v>S</v>
      </c>
      <c r="M84" s="19">
        <f>IF($P84="","",IFERROR(IF(INDEX(MASTER!$Q$4:$Q$1463,$P84)="","",INDEX(MASTER!$Q$4:$Q$1463,$P84)),""))</f>
        <v>21</v>
      </c>
      <c r="N84" s="19" t="str">
        <f>IF($P84="","",IFERROR(IF(INDEX(MASTER!$S$4:$S$1463,$P84)="","",INDEX(MASTER!$S$4:$S$1463,$P84)),""))</f>
        <v>Complete</v>
      </c>
      <c r="P84">
        <f>IFERROR(MATCH($Q$1&amp;"@76",MASTER!$AC$4:$AC$1463,0),"")</f>
        <v>1059</v>
      </c>
    </row>
    <row r="85" spans="1:16">
      <c r="A85" s="15">
        <f>IF($P85="","",77)</f>
        <v>77</v>
      </c>
      <c r="B85" s="14" t="str">
        <f>IF($P85="","",IFERROR(IF(INDEX(MASTER!$C$4:$C$1463,$P85)="","",INDEX(MASTER!$C$4:$C$1463,$P85)),""))</f>
        <v>SoUtHbOrDeR12</v>
      </c>
      <c r="C85" s="15" t="str">
        <f>IF($P85="","",IFERROR(IF(INDEX(MASTER!$D$4:$D$1463,$P85)="","",INDEX(MASTER!$D$4:$D$1463,$P85)),""))</f>
        <v/>
      </c>
      <c r="D85" s="15" t="str">
        <f>IF($P85="","",IFERROR(IF(INDEX(MASTER!$E$4:$E$1463,$P85)="","",INDEX(MASTER!$E$4:$E$1463,$P85)),""))</f>
        <v>WARLOCK</v>
      </c>
      <c r="E85" s="15" t="str">
        <f>IF($P85="","",IFERROR(IF(INDEX(MASTER!$F$4:$F$1463,$P85)="","",INDEX(MASTER!$F$4:$F$1463,$P85)),""))</f>
        <v>Control</v>
      </c>
      <c r="F85" s="16">
        <f>IF($P85="","",IFERROR(IF(INDEX(MASTER!$G$4:$G$1463,$P85)="","",INDEX(MASTER!$G$4:$G$1463,$P85)),""))</f>
        <v>63839</v>
      </c>
      <c r="G85" s="15" t="str">
        <f>IF($P85="","",IFERROR(IF(INDEX(MASTER!$H$4:$H$1463,$P85)="","",INDEX(MASTER!$H$4:$H$1463,$P85)),""))</f>
        <v>63,000 - 63,999</v>
      </c>
      <c r="H85" s="16">
        <f>IF($P85="","",IFERROR(IF(INDEX(MASTER!$I$4:$I$1463,$P85)="","",INDEX(MASTER!$I$4:$I$1463,$P85)),""))</f>
        <v>7373</v>
      </c>
      <c r="I85" s="15" t="str">
        <f>IF($P85="","",IFERROR(IF(INDEX(MASTER!$J$4:$J$1463,$P85)="","",INDEX(MASTER!$J$4:$J$1463,$P85)),""))</f>
        <v>VETERAN</v>
      </c>
      <c r="J85" s="17">
        <f>IF($P85="","",IFERROR(IF(INDEX(MASTER!$L$4:$L$1463,$P85)="","",INDEX(MASTER!$L$4:$L$1463,$P85)),""))</f>
        <v>5.77</v>
      </c>
      <c r="K85" s="17">
        <f>IF($P85="","",IFERROR(IF(INDEX(MASTER!$N$4:$N$1463,$P85)="","",INDEX(MASTER!$N$4:$N$1463,$P85)),""))</f>
        <v>65.099999999999994</v>
      </c>
      <c r="L85" s="15" t="str">
        <f>IF($P85="","",IFERROR(IF(INDEX(MASTER!$O$4:$O$1463,$P85)="","",INDEX(MASTER!$O$4:$O$1463,$P85)),""))</f>
        <v>S</v>
      </c>
      <c r="M85" s="15">
        <f>IF($P85="","",IFERROR(IF(INDEX(MASTER!$Q$4:$Q$1463,$P85)="","",INDEX(MASTER!$Q$4:$Q$1463,$P85)),""))</f>
        <v>40</v>
      </c>
      <c r="N85" s="15" t="str">
        <f>IF($P85="","",IFERROR(IF(INDEX(MASTER!$S$4:$S$1463,$P85)="","",INDEX(MASTER!$S$4:$S$1463,$P85)),""))</f>
        <v>Complete</v>
      </c>
      <c r="P85">
        <f>IFERROR(MATCH($Q$1&amp;"@77",MASTER!$AC$4:$AC$1463,0),"")</f>
        <v>1060</v>
      </c>
    </row>
    <row r="86" spans="1:16">
      <c r="A86" s="19">
        <f>IF($P86="","",78)</f>
        <v>78</v>
      </c>
      <c r="B86" s="18" t="str">
        <f>IF($P86="","",IFERROR(IF(INDEX(MASTER!$C$4:$C$1463,$P86)="","",INDEX(MASTER!$C$4:$C$1463,$P86)),""))</f>
        <v>Sruu</v>
      </c>
      <c r="C86" s="19" t="str">
        <f>IF($P86="","",IFERROR(IF(INDEX(MASTER!$D$4:$D$1463,$P86)="","",INDEX(MASTER!$D$4:$D$1463,$P86)),""))</f>
        <v/>
      </c>
      <c r="D86" s="19" t="str">
        <f>IF($P86="","",IFERROR(IF(INDEX(MASTER!$E$4:$E$1463,$P86)="","",INDEX(MASTER!$E$4:$E$1463,$P86)),""))</f>
        <v>WARLOCK</v>
      </c>
      <c r="E86" s="19" t="str">
        <f>IF($P86="","",IFERROR(IF(INDEX(MASTER!$F$4:$F$1463,$P86)="","",INDEX(MASTER!$F$4:$F$1463,$P86)),""))</f>
        <v>Control</v>
      </c>
      <c r="F86" s="20">
        <f>IF($P86="","",IFERROR(IF(INDEX(MASTER!$G$4:$G$1463,$P86)="","",INDEX(MASTER!$G$4:$G$1463,$P86)),""))</f>
        <v>62838</v>
      </c>
      <c r="G86" s="19" t="str">
        <f>IF($P86="","",IFERROR(IF(INDEX(MASTER!$H$4:$H$1463,$P86)="","",INDEX(MASTER!$H$4:$H$1463,$P86)),""))</f>
        <v>62,000 - 62,999</v>
      </c>
      <c r="H86" s="20">
        <f>IF($P86="","",IFERROR(IF(INDEX(MASTER!$I$4:$I$1463,$P86)="","",INDEX(MASTER!$I$4:$I$1463,$P86)),""))</f>
        <v>3768</v>
      </c>
      <c r="I86" s="19" t="str">
        <f>IF($P86="","",IFERROR(IF(INDEX(MASTER!$J$4:$J$1463,$P86)="","",INDEX(MASTER!$J$4:$J$1463,$P86)),""))</f>
        <v>DEVELOPING</v>
      </c>
      <c r="J86" s="21">
        <f>IF($P86="","",IFERROR(IF(INDEX(MASTER!$L$4:$L$1463,$P86)="","",INDEX(MASTER!$L$4:$L$1463,$P86)),""))</f>
        <v>5.5</v>
      </c>
      <c r="K86" s="21">
        <f>IF($P86="","",IFERROR(IF(INDEX(MASTER!$N$4:$N$1463,$P86)="","",INDEX(MASTER!$N$4:$N$1463,$P86)),""))</f>
        <v>46.2</v>
      </c>
      <c r="L86" s="19" t="str">
        <f>IF($P86="","",IFERROR(IF(INDEX(MASTER!$O$4:$O$1463,$P86)="","",INDEX(MASTER!$O$4:$O$1463,$P86)),""))</f>
        <v>B</v>
      </c>
      <c r="M86" s="19">
        <f>IF($P86="","",IFERROR(IF(INDEX(MASTER!$Q$4:$Q$1463,$P86)="","",INDEX(MASTER!$Q$4:$Q$1463,$P86)),""))</f>
        <v>83</v>
      </c>
      <c r="N86" s="19" t="str">
        <f>IF($P86="","",IFERROR(IF(INDEX(MASTER!$S$4:$S$1463,$P86)="","",INDEX(MASTER!$S$4:$S$1463,$P86)),""))</f>
        <v>Complete</v>
      </c>
      <c r="P86">
        <f>IFERROR(MATCH($Q$1&amp;"@78",MASTER!$AC$4:$AC$1463,0),"")</f>
        <v>1070</v>
      </c>
    </row>
    <row r="87" spans="1:16">
      <c r="A87" s="15">
        <f>IF($P87="","",79)</f>
        <v>79</v>
      </c>
      <c r="B87" s="14" t="str">
        <f>IF($P87="","",IFERROR(IF(INDEX(MASTER!$C$4:$C$1463,$P87)="","",INDEX(MASTER!$C$4:$C$1463,$P87)),""))</f>
        <v>Stark</v>
      </c>
      <c r="C87" s="15" t="str">
        <f>IF($P87="","",IFERROR(IF(INDEX(MASTER!$D$4:$D$1463,$P87)="","",INDEX(MASTER!$D$4:$D$1463,$P87)),""))</f>
        <v/>
      </c>
      <c r="D87" s="15" t="str">
        <f>IF($P87="","",IFERROR(IF(INDEX(MASTER!$E$4:$E$1463,$P87)="","",INDEX(MASTER!$E$4:$E$1463,$P87)),""))</f>
        <v>DEMON HUNTER</v>
      </c>
      <c r="E87" s="15" t="str">
        <f>IF($P87="","",IFERROR(IF(INDEX(MASTER!$F$4:$F$1463,$P87)="","",INDEX(MASTER!$F$4:$F$1463,$P87)),""))</f>
        <v>Ranged DPS</v>
      </c>
      <c r="F87" s="16">
        <f>IF($P87="","",IFERROR(IF(INDEX(MASTER!$G$4:$G$1463,$P87)="","",INDEX(MASTER!$G$4:$G$1463,$P87)),""))</f>
        <v>63169</v>
      </c>
      <c r="G87" s="15" t="str">
        <f>IF($P87="","",IFERROR(IF(INDEX(MASTER!$H$4:$H$1463,$P87)="","",INDEX(MASTER!$H$4:$H$1463,$P87)),""))</f>
        <v>63,000 - 63,999</v>
      </c>
      <c r="H87" s="16">
        <f>IF($P87="","",IFERROR(IF(INDEX(MASTER!$I$4:$I$1463,$P87)="","",INDEX(MASTER!$I$4:$I$1463,$P87)),""))</f>
        <v>6009</v>
      </c>
      <c r="I87" s="15" t="str">
        <f>IF($P87="","",IFERROR(IF(INDEX(MASTER!$J$4:$J$1463,$P87)="","",INDEX(MASTER!$J$4:$J$1463,$P87)),""))</f>
        <v>VETERAN</v>
      </c>
      <c r="J87" s="17">
        <f>IF($P87="","",IFERROR(IF(INDEX(MASTER!$L$4:$L$1463,$P87)="","",INDEX(MASTER!$L$4:$L$1463,$P87)),""))</f>
        <v>5.0999999999999996</v>
      </c>
      <c r="K87" s="17">
        <f>IF($P87="","",IFERROR(IF(INDEX(MASTER!$N$4:$N$1463,$P87)="","",INDEX(MASTER!$N$4:$N$1463,$P87)),""))</f>
        <v>56.2</v>
      </c>
      <c r="L87" s="15" t="str">
        <f>IF($P87="","",IFERROR(IF(INDEX(MASTER!$O$4:$O$1463,$P87)="","",INDEX(MASTER!$O$4:$O$1463,$P87)),""))</f>
        <v>A</v>
      </c>
      <c r="M87" s="15">
        <f>IF($P87="","",IFERROR(IF(INDEX(MASTER!$Q$4:$Q$1463,$P87)="","",INDEX(MASTER!$Q$4:$Q$1463,$P87)),""))</f>
        <v>58</v>
      </c>
      <c r="N87" s="15" t="str">
        <f>IF($P87="","",IFERROR(IF(INDEX(MASTER!$S$4:$S$1463,$P87)="","",INDEX(MASTER!$S$4:$S$1463,$P87)),""))</f>
        <v>Complete</v>
      </c>
      <c r="P87">
        <f>IFERROR(MATCH($Q$1&amp;"@79",MASTER!$AC$4:$AC$1463,0),"")</f>
        <v>1073</v>
      </c>
    </row>
    <row r="88" spans="1:16">
      <c r="A88" s="19">
        <f>IF($P88="","",80)</f>
        <v>80</v>
      </c>
      <c r="B88" s="18" t="str">
        <f>IF($P88="","",IFERROR(IF(INDEX(MASTER!$C$4:$C$1463,$P88)="","",INDEX(MASTER!$C$4:$C$1463,$P88)),""))</f>
        <v>Sunfire</v>
      </c>
      <c r="C88" s="19" t="str">
        <f>IF($P88="","",IFERROR(IF(INDEX(MASTER!$D$4:$D$1463,$P88)="","",INDEX(MASTER!$D$4:$D$1463,$P88)),""))</f>
        <v/>
      </c>
      <c r="D88" s="19" t="str">
        <f>IF($P88="","",IFERROR(IF(INDEX(MASTER!$E$4:$E$1463,$P88)="","",INDEX(MASTER!$E$4:$E$1463,$P88)),""))</f>
        <v>WARLOCK</v>
      </c>
      <c r="E88" s="19" t="str">
        <f>IF($P88="","",IFERROR(IF(INDEX(MASTER!$F$4:$F$1463,$P88)="","",INDEX(MASTER!$F$4:$F$1463,$P88)),""))</f>
        <v>Control</v>
      </c>
      <c r="F88" s="20">
        <f>IF($P88="","",IFERROR(IF(INDEX(MASTER!$G$4:$G$1463,$P88)="","",INDEX(MASTER!$G$4:$G$1463,$P88)),""))</f>
        <v>64248</v>
      </c>
      <c r="G88" s="19" t="str">
        <f>IF($P88="","",IFERROR(IF(INDEX(MASTER!$H$4:$H$1463,$P88)="","",INDEX(MASTER!$H$4:$H$1463,$P88)),""))</f>
        <v>64,000 +</v>
      </c>
      <c r="H88" s="20">
        <f>IF($P88="","",IFERROR(IF(INDEX(MASTER!$I$4:$I$1463,$P88)="","",INDEX(MASTER!$I$4:$I$1463,$P88)),""))</f>
        <v>10132</v>
      </c>
      <c r="I88" s="19" t="str">
        <f>IF($P88="","",IFERROR(IF(INDEX(MASTER!$J$4:$J$1463,$P88)="","",INDEX(MASTER!$J$4:$J$1463,$P88)),""))</f>
        <v>APEX</v>
      </c>
      <c r="J88" s="21">
        <f>IF($P88="","",IFERROR(IF(INDEX(MASTER!$L$4:$L$1463,$P88)="","",INDEX(MASTER!$L$4:$L$1463,$P88)),""))</f>
        <v>6.1</v>
      </c>
      <c r="K88" s="21">
        <f>IF($P88="","",IFERROR(IF(INDEX(MASTER!$N$4:$N$1463,$P88)="","",INDEX(MASTER!$N$4:$N$1463,$P88)),""))</f>
        <v>78.7</v>
      </c>
      <c r="L88" s="19" t="str">
        <f>IF($P88="","",IFERROR(IF(INDEX(MASTER!$O$4:$O$1463,$P88)="","",INDEX(MASTER!$O$4:$O$1463,$P88)),""))</f>
        <v>S</v>
      </c>
      <c r="M88" s="19">
        <f>IF($P88="","",IFERROR(IF(INDEX(MASTER!$Q$4:$Q$1463,$P88)="","",INDEX(MASTER!$Q$4:$Q$1463,$P88)),""))</f>
        <v>7</v>
      </c>
      <c r="N88" s="19" t="str">
        <f>IF($P88="","",IFERROR(IF(INDEX(MASTER!$S$4:$S$1463,$P88)="","",INDEX(MASTER!$S$4:$S$1463,$P88)),""))</f>
        <v>Complete</v>
      </c>
      <c r="P88">
        <f>IFERROR(MATCH($Q$1&amp;"@80",MASTER!$AC$4:$AC$1463,0),"")</f>
        <v>1093</v>
      </c>
    </row>
    <row r="89" spans="1:16">
      <c r="A89" s="15">
        <f>IF($P89="","",81)</f>
        <v>81</v>
      </c>
      <c r="B89" s="14" t="str">
        <f>IF($P89="","",IFERROR(IF(INDEX(MASTER!$C$4:$C$1463,$P89)="","",INDEX(MASTER!$C$4:$C$1463,$P89)),""))</f>
        <v>T Y</v>
      </c>
      <c r="C89" s="15" t="str">
        <f>IF($P89="","",IFERROR(IF(INDEX(MASTER!$D$4:$D$1463,$P89)="","",INDEX(MASTER!$D$4:$D$1463,$P89)),""))</f>
        <v/>
      </c>
      <c r="D89" s="15" t="str">
        <f>IF($P89="","",IFERROR(IF(INDEX(MASTER!$E$4:$E$1463,$P89)="","",INDEX(MASTER!$E$4:$E$1463,$P89)),""))</f>
        <v>BARBARIAN</v>
      </c>
      <c r="E89" s="15" t="str">
        <f>IF($P89="","",IFERROR(IF(INDEX(MASTER!$F$4:$F$1463,$P89)="","",INDEX(MASTER!$F$4:$F$1463,$P89)),""))</f>
        <v>Frontline</v>
      </c>
      <c r="F89" s="16">
        <f>IF($P89="","",IFERROR(IF(INDEX(MASTER!$G$4:$G$1463,$P89)="","",INDEX(MASTER!$G$4:$G$1463,$P89)),""))</f>
        <v>64366</v>
      </c>
      <c r="G89" s="15" t="str">
        <f>IF($P89="","",IFERROR(IF(INDEX(MASTER!$H$4:$H$1463,$P89)="","",INDEX(MASTER!$H$4:$H$1463,$P89)),""))</f>
        <v>64,000 +</v>
      </c>
      <c r="H89" s="16">
        <f>IF($P89="","",IFERROR(IF(INDEX(MASTER!$I$4:$I$1463,$P89)="","",INDEX(MASTER!$I$4:$I$1463,$P89)),""))</f>
        <v>10188</v>
      </c>
      <c r="I89" s="15" t="str">
        <f>IF($P89="","",IFERROR(IF(INDEX(MASTER!$J$4:$J$1463,$P89)="","",INDEX(MASTER!$J$4:$J$1463,$P89)),""))</f>
        <v>APEX</v>
      </c>
      <c r="J89" s="17">
        <f>IF($P89="","",IFERROR(IF(INDEX(MASTER!$L$4:$L$1463,$P89)="","",INDEX(MASTER!$L$4:$L$1463,$P89)),""))</f>
        <v>6.85</v>
      </c>
      <c r="K89" s="17">
        <f>IF($P89="","",IFERROR(IF(INDEX(MASTER!$N$4:$N$1463,$P89)="","",INDEX(MASTER!$N$4:$N$1463,$P89)),""))</f>
        <v>80.5</v>
      </c>
      <c r="L89" s="15" t="str">
        <f>IF($P89="","",IFERROR(IF(INDEX(MASTER!$O$4:$O$1463,$P89)="","",INDEX(MASTER!$O$4:$O$1463,$P89)),""))</f>
        <v>S+</v>
      </c>
      <c r="M89" s="15">
        <f>IF($P89="","",IFERROR(IF(INDEX(MASTER!$Q$4:$Q$1463,$P89)="","",INDEX(MASTER!$Q$4:$Q$1463,$P89)),""))</f>
        <v>5</v>
      </c>
      <c r="N89" s="15" t="str">
        <f>IF($P89="","",IFERROR(IF(INDEX(MASTER!$S$4:$S$1463,$P89)="","",INDEX(MASTER!$S$4:$S$1463,$P89)),""))</f>
        <v>Complete</v>
      </c>
      <c r="P89">
        <f>IFERROR(MATCH($Q$1&amp;"@81",MASTER!$AC$4:$AC$1463,0),"")</f>
        <v>1110</v>
      </c>
    </row>
    <row r="90" spans="1:16">
      <c r="A90" s="19">
        <f>IF($P90="","",82)</f>
        <v>82</v>
      </c>
      <c r="B90" s="18" t="str">
        <f>IF($P90="","",IFERROR(IF(INDEX(MASTER!$C$4:$C$1463,$P90)="","",INDEX(MASTER!$C$4:$C$1463,$P90)),""))</f>
        <v>Tapaking</v>
      </c>
      <c r="C90" s="19" t="str">
        <f>IF($P90="","",IFERROR(IF(INDEX(MASTER!$D$4:$D$1463,$P90)="","",INDEX(MASTER!$D$4:$D$1463,$P90)),""))</f>
        <v/>
      </c>
      <c r="D90" s="19" t="str">
        <f>IF($P90="","",IFERROR(IF(INDEX(MASTER!$E$4:$E$1463,$P90)="","",INDEX(MASTER!$E$4:$E$1463,$P90)),""))</f>
        <v>DEMON HUNTER</v>
      </c>
      <c r="E90" s="19" t="str">
        <f>IF($P90="","",IFERROR(IF(INDEX(MASTER!$F$4:$F$1463,$P90)="","",INDEX(MASTER!$F$4:$F$1463,$P90)),""))</f>
        <v>Ranged DPS</v>
      </c>
      <c r="F90" s="20">
        <f>IF($P90="","",IFERROR(IF(INDEX(MASTER!$G$4:$G$1463,$P90)="","",INDEX(MASTER!$G$4:$G$1463,$P90)),""))</f>
        <v>64241</v>
      </c>
      <c r="G90" s="19" t="str">
        <f>IF($P90="","",IFERROR(IF(INDEX(MASTER!$H$4:$H$1463,$P90)="","",INDEX(MASTER!$H$4:$H$1463,$P90)),""))</f>
        <v>64,000 +</v>
      </c>
      <c r="H90" s="20">
        <f>IF($P90="","",IFERROR(IF(INDEX(MASTER!$I$4:$I$1463,$P90)="","",INDEX(MASTER!$I$4:$I$1463,$P90)),""))</f>
        <v>10216</v>
      </c>
      <c r="I90" s="19" t="str">
        <f>IF($P90="","",IFERROR(IF(INDEX(MASTER!$J$4:$J$1463,$P90)="","",INDEX(MASTER!$J$4:$J$1463,$P90)),""))</f>
        <v>APEX</v>
      </c>
      <c r="J90" s="21">
        <f>IF($P90="","",IFERROR(IF(INDEX(MASTER!$L$4:$L$1463,$P90)="","",INDEX(MASTER!$L$4:$L$1463,$P90)),""))</f>
        <v>8.9499999999999993</v>
      </c>
      <c r="K90" s="21">
        <f>IF($P90="","",IFERROR(IF(INDEX(MASTER!$N$4:$N$1463,$P90)="","",INDEX(MASTER!$N$4:$N$1463,$P90)),""))</f>
        <v>83.8</v>
      </c>
      <c r="L90" s="19" t="str">
        <f>IF($P90="","",IFERROR(IF(INDEX(MASTER!$O$4:$O$1463,$P90)="","",INDEX(MASTER!$O$4:$O$1463,$P90)),""))</f>
        <v>S+</v>
      </c>
      <c r="M90" s="19">
        <f>IF($P90="","",IFERROR(IF(INDEX(MASTER!$Q$4:$Q$1463,$P90)="","",INDEX(MASTER!$Q$4:$Q$1463,$P90)),""))</f>
        <v>4</v>
      </c>
      <c r="N90" s="19" t="str">
        <f>IF($P90="","",IFERROR(IF(INDEX(MASTER!$S$4:$S$1463,$P90)="","",INDEX(MASTER!$S$4:$S$1463,$P90)),""))</f>
        <v>Complete</v>
      </c>
      <c r="P90">
        <f>IFERROR(MATCH($Q$1&amp;"@82",MASTER!$AC$4:$AC$1463,0),"")</f>
        <v>1119</v>
      </c>
    </row>
    <row r="91" spans="1:16">
      <c r="A91" s="15">
        <f>IF($P91="","",83)</f>
        <v>83</v>
      </c>
      <c r="B91" s="14" t="str">
        <f>IF($P91="","",IFERROR(IF(INDEX(MASTER!$C$4:$C$1463,$P91)="","",INDEX(MASTER!$C$4:$C$1463,$P91)),""))</f>
        <v>TigerSlim</v>
      </c>
      <c r="C91" s="15" t="str">
        <f>IF($P91="","",IFERROR(IF(INDEX(MASTER!$D$4:$D$1463,$P91)="","",INDEX(MASTER!$D$4:$D$1463,$P91)),""))</f>
        <v/>
      </c>
      <c r="D91" s="15" t="str">
        <f>IF($P91="","",IFERROR(IF(INDEX(MASTER!$E$4:$E$1463,$P91)="","",INDEX(MASTER!$E$4:$E$1463,$P91)),""))</f>
        <v>CRUSADER</v>
      </c>
      <c r="E91" s="15" t="str">
        <f>IF($P91="","",IFERROR(IF(INDEX(MASTER!$F$4:$F$1463,$P91)="","",INDEX(MASTER!$F$4:$F$1463,$P91)),""))</f>
        <v>Frontline</v>
      </c>
      <c r="F91" s="16">
        <f>IF($P91="","",IFERROR(IF(INDEX(MASTER!$G$4:$G$1463,$P91)="","",INDEX(MASTER!$G$4:$G$1463,$P91)),""))</f>
        <v>62898</v>
      </c>
      <c r="G91" s="15" t="str">
        <f>IF($P91="","",IFERROR(IF(INDEX(MASTER!$H$4:$H$1463,$P91)="","",INDEX(MASTER!$H$4:$H$1463,$P91)),""))</f>
        <v>62,000 - 62,999</v>
      </c>
      <c r="H91" s="16">
        <f>IF($P91="","",IFERROR(IF(INDEX(MASTER!$I$4:$I$1463,$P91)="","",INDEX(MASTER!$I$4:$I$1463,$P91)),""))</f>
        <v>7346</v>
      </c>
      <c r="I91" s="15" t="str">
        <f>IF($P91="","",IFERROR(IF(INDEX(MASTER!$J$4:$J$1463,$P91)="","",INDEX(MASTER!$J$4:$J$1463,$P91)),""))</f>
        <v>VETERAN</v>
      </c>
      <c r="J91" s="17">
        <f>IF($P91="","",IFERROR(IF(INDEX(MASTER!$L$4:$L$1463,$P91)="","",INDEX(MASTER!$L$4:$L$1463,$P91)),""))</f>
        <v>6.33</v>
      </c>
      <c r="K91" s="17">
        <f>IF($P91="","",IFERROR(IF(INDEX(MASTER!$N$4:$N$1463,$P91)="","",INDEX(MASTER!$N$4:$N$1463,$P91)),""))</f>
        <v>63.4</v>
      </c>
      <c r="L91" s="15" t="str">
        <f>IF($P91="","",IFERROR(IF(INDEX(MASTER!$O$4:$O$1463,$P91)="","",INDEX(MASTER!$O$4:$O$1463,$P91)),""))</f>
        <v>A</v>
      </c>
      <c r="M91" s="15">
        <f>IF($P91="","",IFERROR(IF(INDEX(MASTER!$Q$4:$Q$1463,$P91)="","",INDEX(MASTER!$Q$4:$Q$1463,$P91)),""))</f>
        <v>41</v>
      </c>
      <c r="N91" s="15" t="str">
        <f>IF($P91="","",IFERROR(IF(INDEX(MASTER!$S$4:$S$1463,$P91)="","",INDEX(MASTER!$S$4:$S$1463,$P91)),""))</f>
        <v>Complete</v>
      </c>
      <c r="P91">
        <f>IFERROR(MATCH($Q$1&amp;"@83",MASTER!$AC$4:$AC$1463,0),"")</f>
        <v>1152</v>
      </c>
    </row>
    <row r="92" spans="1:16">
      <c r="A92" s="19">
        <f>IF($P92="","",84)</f>
        <v>84</v>
      </c>
      <c r="B92" s="18" t="str">
        <f>IF($P92="","",IFERROR(IF(INDEX(MASTER!$C$4:$C$1463,$P92)="","",INDEX(MASTER!$C$4:$C$1463,$P92)),""))</f>
        <v>Tiltohwait</v>
      </c>
      <c r="C92" s="19" t="str">
        <f>IF($P92="","",IFERROR(IF(INDEX(MASTER!$D$4:$D$1463,$P92)="","",INDEX(MASTER!$D$4:$D$1463,$P92)),""))</f>
        <v/>
      </c>
      <c r="D92" s="19" t="str">
        <f>IF($P92="","",IFERROR(IF(INDEX(MASTER!$E$4:$E$1463,$P92)="","",INDEX(MASTER!$E$4:$E$1463,$P92)),""))</f>
        <v>DEMON HUNTER</v>
      </c>
      <c r="E92" s="19" t="str">
        <f>IF($P92="","",IFERROR(IF(INDEX(MASTER!$F$4:$F$1463,$P92)="","",INDEX(MASTER!$F$4:$F$1463,$P92)),""))</f>
        <v>Ranged DPS</v>
      </c>
      <c r="F92" s="20">
        <f>IF($P92="","",IFERROR(IF(INDEX(MASTER!$G$4:$G$1463,$P92)="","",INDEX(MASTER!$G$4:$G$1463,$P92)),""))</f>
        <v>64360</v>
      </c>
      <c r="G92" s="19" t="str">
        <f>IF($P92="","",IFERROR(IF(INDEX(MASTER!$H$4:$H$1463,$P92)="","",INDEX(MASTER!$H$4:$H$1463,$P92)),""))</f>
        <v>64,000 +</v>
      </c>
      <c r="H92" s="20">
        <f>IF($P92="","",IFERROR(IF(INDEX(MASTER!$I$4:$I$1463,$P92)="","",INDEX(MASTER!$I$4:$I$1463,$P92)),""))</f>
        <v>9437</v>
      </c>
      <c r="I92" s="19" t="str">
        <f>IF($P92="","",IFERROR(IF(INDEX(MASTER!$J$4:$J$1463,$P92)="","",INDEX(MASTER!$J$4:$J$1463,$P92)),""))</f>
        <v>ELITE</v>
      </c>
      <c r="J92" s="21">
        <f>IF($P92="","",IFERROR(IF(INDEX(MASTER!$L$4:$L$1463,$P92)="","",INDEX(MASTER!$L$4:$L$1463,$P92)),""))</f>
        <v>5.8</v>
      </c>
      <c r="K92" s="21">
        <f>IF($P92="","",IFERROR(IF(INDEX(MASTER!$N$4:$N$1463,$P92)="","",INDEX(MASTER!$N$4:$N$1463,$P92)),""))</f>
        <v>75.5</v>
      </c>
      <c r="L92" s="19" t="str">
        <f>IF($P92="","",IFERROR(IF(INDEX(MASTER!$O$4:$O$1463,$P92)="","",INDEX(MASTER!$O$4:$O$1463,$P92)),""))</f>
        <v>S</v>
      </c>
      <c r="M92" s="19">
        <f>IF($P92="","",IFERROR(IF(INDEX(MASTER!$Q$4:$Q$1463,$P92)="","",INDEX(MASTER!$Q$4:$Q$1463,$P92)),""))</f>
        <v>17</v>
      </c>
      <c r="N92" s="19" t="str">
        <f>IF($P92="","",IFERROR(IF(INDEX(MASTER!$S$4:$S$1463,$P92)="","",INDEX(MASTER!$S$4:$S$1463,$P92)),""))</f>
        <v>Complete</v>
      </c>
      <c r="P92">
        <f>IFERROR(MATCH($Q$1&amp;"@84",MASTER!$AC$4:$AC$1463,0),"")</f>
        <v>1153</v>
      </c>
    </row>
    <row r="93" spans="1:16">
      <c r="A93" s="15">
        <f>IF($P93="","",85)</f>
        <v>85</v>
      </c>
      <c r="B93" s="14" t="str">
        <f>IF($P93="","",IFERROR(IF(INDEX(MASTER!$C$4:$C$1463,$P93)="","",INDEX(MASTER!$C$4:$C$1463,$P93)),""))</f>
        <v>Toxotai</v>
      </c>
      <c r="C93" s="15" t="str">
        <f>IF($P93="","",IFERROR(IF(INDEX(MASTER!$D$4:$D$1463,$P93)="","",INDEX(MASTER!$D$4:$D$1463,$P93)),""))</f>
        <v/>
      </c>
      <c r="D93" s="15" t="str">
        <f>IF($P93="","",IFERROR(IF(INDEX(MASTER!$E$4:$E$1463,$P93)="","",INDEX(MASTER!$E$4:$E$1463,$P93)),""))</f>
        <v>DEMON HUNTER</v>
      </c>
      <c r="E93" s="15" t="str">
        <f>IF($P93="","",IFERROR(IF(INDEX(MASTER!$F$4:$F$1463,$P93)="","",INDEX(MASTER!$F$4:$F$1463,$P93)),""))</f>
        <v>Ranged DPS</v>
      </c>
      <c r="F93" s="16">
        <f>IF($P93="","",IFERROR(IF(INDEX(MASTER!$G$4:$G$1463,$P93)="","",INDEX(MASTER!$G$4:$G$1463,$P93)),""))</f>
        <v>61620</v>
      </c>
      <c r="G93" s="15" t="str">
        <f>IF($P93="","",IFERROR(IF(INDEX(MASTER!$H$4:$H$1463,$P93)="","",INDEX(MASTER!$H$4:$H$1463,$P93)),""))</f>
        <v>61,000 - 61,999</v>
      </c>
      <c r="H93" s="16">
        <f>IF($P93="","",IFERROR(IF(INDEX(MASTER!$I$4:$I$1463,$P93)="","",INDEX(MASTER!$I$4:$I$1463,$P93)),""))</f>
        <v>4440</v>
      </c>
      <c r="I93" s="15" t="str">
        <f>IF($P93="","",IFERROR(IF(INDEX(MASTER!$J$4:$J$1463,$P93)="","",INDEX(MASTER!$J$4:$J$1463,$P93)),""))</f>
        <v>CORE</v>
      </c>
      <c r="J93" s="17">
        <f>IF($P93="","",IFERROR(IF(INDEX(MASTER!$L$4:$L$1463,$P93)="","",INDEX(MASTER!$L$4:$L$1463,$P93)),""))</f>
        <v>4.8</v>
      </c>
      <c r="K93" s="17">
        <f>IF($P93="","",IFERROR(IF(INDEX(MASTER!$N$4:$N$1463,$P93)="","",INDEX(MASTER!$N$4:$N$1463,$P93)),""))</f>
        <v>44.8</v>
      </c>
      <c r="L93" s="15" t="str">
        <f>IF($P93="","",IFERROR(IF(INDEX(MASTER!$O$4:$O$1463,$P93)="","",INDEX(MASTER!$O$4:$O$1463,$P93)),""))</f>
        <v>B</v>
      </c>
      <c r="M93" s="15">
        <f>IF($P93="","",IFERROR(IF(INDEX(MASTER!$Q$4:$Q$1463,$P93)="","",INDEX(MASTER!$Q$4:$Q$1463,$P93)),""))</f>
        <v>75</v>
      </c>
      <c r="N93" s="15" t="str">
        <f>IF($P93="","",IFERROR(IF(INDEX(MASTER!$S$4:$S$1463,$P93)="","",INDEX(MASTER!$S$4:$S$1463,$P93)),""))</f>
        <v>Complete</v>
      </c>
      <c r="P93">
        <f>IFERROR(MATCH($Q$1&amp;"@85",MASTER!$AC$4:$AC$1463,0),"")</f>
        <v>1166</v>
      </c>
    </row>
    <row r="94" spans="1:16">
      <c r="A94" s="19">
        <f>IF($P94="","",86)</f>
        <v>86</v>
      </c>
      <c r="B94" s="18" t="str">
        <f>IF($P94="","",IFERROR(IF(INDEX(MASTER!$C$4:$C$1463,$P94)="","",INDEX(MASTER!$C$4:$C$1463,$P94)),""))</f>
        <v>Trazellia</v>
      </c>
      <c r="C94" s="19" t="str">
        <f>IF($P94="","",IFERROR(IF(INDEX(MASTER!$D$4:$D$1463,$P94)="","",INDEX(MASTER!$D$4:$D$1463,$P94)),""))</f>
        <v/>
      </c>
      <c r="D94" s="19" t="str">
        <f>IF($P94="","",IFERROR(IF(INDEX(MASTER!$E$4:$E$1463,$P94)="","",INDEX(MASTER!$E$4:$E$1463,$P94)),""))</f>
        <v>DEMON HUNTER</v>
      </c>
      <c r="E94" s="19" t="str">
        <f>IF($P94="","",IFERROR(IF(INDEX(MASTER!$F$4:$F$1463,$P94)="","",INDEX(MASTER!$F$4:$F$1463,$P94)),""))</f>
        <v>Ranged DPS</v>
      </c>
      <c r="F94" s="20">
        <f>IF($P94="","",IFERROR(IF(INDEX(MASTER!$G$4:$G$1463,$P94)="","",INDEX(MASTER!$G$4:$G$1463,$P94)),""))</f>
        <v>62901</v>
      </c>
      <c r="G94" s="19" t="str">
        <f>IF($P94="","",IFERROR(IF(INDEX(MASTER!$H$4:$H$1463,$P94)="","",INDEX(MASTER!$H$4:$H$1463,$P94)),""))</f>
        <v>62,000 - 62,999</v>
      </c>
      <c r="H94" s="20">
        <f>IF($P94="","",IFERROR(IF(INDEX(MASTER!$I$4:$I$1463,$P94)="","",INDEX(MASTER!$I$4:$I$1463,$P94)),""))</f>
        <v>2770</v>
      </c>
      <c r="I94" s="19" t="str">
        <f>IF($P94="","",IFERROR(IF(INDEX(MASTER!$J$4:$J$1463,$P94)="","",INDEX(MASTER!$J$4:$J$1463,$P94)),""))</f>
        <v>DEVELOPING</v>
      </c>
      <c r="J94" s="21">
        <f>IF($P94="","",IFERROR(IF(INDEX(MASTER!$L$4:$L$1463,$P94)="","",INDEX(MASTER!$L$4:$L$1463,$P94)),""))</f>
        <v>4.5999999999999996</v>
      </c>
      <c r="K94" s="21">
        <f>IF($P94="","",IFERROR(IF(INDEX(MASTER!$N$4:$N$1463,$P94)="","",INDEX(MASTER!$N$4:$N$1463,$P94)),""))</f>
        <v>40.6</v>
      </c>
      <c r="L94" s="19" t="str">
        <f>IF($P94="","",IFERROR(IF(INDEX(MASTER!$O$4:$O$1463,$P94)="","",INDEX(MASTER!$O$4:$O$1463,$P94)),""))</f>
        <v>B</v>
      </c>
      <c r="M94" s="19">
        <f>IF($P94="","",IFERROR(IF(INDEX(MASTER!$Q$4:$Q$1463,$P94)="","",INDEX(MASTER!$Q$4:$Q$1463,$P94)),""))</f>
        <v>91</v>
      </c>
      <c r="N94" s="19" t="str">
        <f>IF($P94="","",IFERROR(IF(INDEX(MASTER!$S$4:$S$1463,$P94)="","",INDEX(MASTER!$S$4:$S$1463,$P94)),""))</f>
        <v>Complete</v>
      </c>
      <c r="P94">
        <f>IFERROR(MATCH($Q$1&amp;"@86",MASTER!$AC$4:$AC$1463,0),"")</f>
        <v>1169</v>
      </c>
    </row>
    <row r="95" spans="1:16">
      <c r="A95" s="15">
        <f>IF($P95="","",87)</f>
        <v>87</v>
      </c>
      <c r="B95" s="14" t="str">
        <f>IF($P95="","",IFERROR(IF(INDEX(MASTER!$C$4:$C$1463,$P95)="","",INDEX(MASTER!$C$4:$C$1463,$P95)),""))</f>
        <v>Trykkonn</v>
      </c>
      <c r="C95" s="15" t="str">
        <f>IF($P95="","",IFERROR(IF(INDEX(MASTER!$D$4:$D$1463,$P95)="","",INDEX(MASTER!$D$4:$D$1463,$P95)),""))</f>
        <v/>
      </c>
      <c r="D95" s="15" t="str">
        <f>IF($P95="","",IFERROR(IF(INDEX(MASTER!$E$4:$E$1463,$P95)="","",INDEX(MASTER!$E$4:$E$1463,$P95)),""))</f>
        <v>DEMON HUNTER</v>
      </c>
      <c r="E95" s="15" t="str">
        <f>IF($P95="","",IFERROR(IF(INDEX(MASTER!$F$4:$F$1463,$P95)="","",INDEX(MASTER!$F$4:$F$1463,$P95)),""))</f>
        <v>Ranged DPS</v>
      </c>
      <c r="F95" s="16">
        <f>IF($P95="","",IFERROR(IF(INDEX(MASTER!$G$4:$G$1463,$P95)="","",INDEX(MASTER!$G$4:$G$1463,$P95)),""))</f>
        <v>63168</v>
      </c>
      <c r="G95" s="15" t="str">
        <f>IF($P95="","",IFERROR(IF(INDEX(MASTER!$H$4:$H$1463,$P95)="","",INDEX(MASTER!$H$4:$H$1463,$P95)),""))</f>
        <v>63,000 - 63,999</v>
      </c>
      <c r="H95" s="16">
        <f>IF($P95="","",IFERROR(IF(INDEX(MASTER!$I$4:$I$1463,$P95)="","",INDEX(MASTER!$I$4:$I$1463,$P95)),""))</f>
        <v>3803</v>
      </c>
      <c r="I95" s="15" t="str">
        <f>IF($P95="","",IFERROR(IF(INDEX(MASTER!$J$4:$J$1463,$P95)="","",INDEX(MASTER!$J$4:$J$1463,$P95)),""))</f>
        <v>DEVELOPING</v>
      </c>
      <c r="J95" s="17">
        <f>IF($P95="","",IFERROR(IF(INDEX(MASTER!$L$4:$L$1463,$P95)="","",INDEX(MASTER!$L$4:$L$1463,$P95)),""))</f>
        <v>4.5</v>
      </c>
      <c r="K95" s="17">
        <f>IF($P95="","",IFERROR(IF(INDEX(MASTER!$N$4:$N$1463,$P95)="","",INDEX(MASTER!$N$4:$N$1463,$P95)),""))</f>
        <v>45.6</v>
      </c>
      <c r="L95" s="15" t="str">
        <f>IF($P95="","",IFERROR(IF(INDEX(MASTER!$O$4:$O$1463,$P95)="","",INDEX(MASTER!$O$4:$O$1463,$P95)),""))</f>
        <v>B</v>
      </c>
      <c r="M95" s="15">
        <f>IF($P95="","",IFERROR(IF(INDEX(MASTER!$Q$4:$Q$1463,$P95)="","",INDEX(MASTER!$Q$4:$Q$1463,$P95)),""))</f>
        <v>81</v>
      </c>
      <c r="N95" s="15" t="str">
        <f>IF($P95="","",IFERROR(IF(INDEX(MASTER!$S$4:$S$1463,$P95)="","",INDEX(MASTER!$S$4:$S$1463,$P95)),""))</f>
        <v>Complete</v>
      </c>
      <c r="P95">
        <f>IFERROR(MATCH($Q$1&amp;"@87",MASTER!$AC$4:$AC$1463,0),"")</f>
        <v>1175</v>
      </c>
    </row>
    <row r="96" spans="1:16">
      <c r="A96" s="19">
        <f>IF($P96="","",88)</f>
        <v>88</v>
      </c>
      <c r="B96" s="18" t="str">
        <f>IF($P96="","",IFERROR(IF(INDEX(MASTER!$C$4:$C$1463,$P96)="","",INDEX(MASTER!$C$4:$C$1463,$P96)),""))</f>
        <v>Trynth</v>
      </c>
      <c r="C96" s="19" t="str">
        <f>IF($P96="","",IFERROR(IF(INDEX(MASTER!$D$4:$D$1463,$P96)="","",INDEX(MASTER!$D$4:$D$1463,$P96)),""))</f>
        <v/>
      </c>
      <c r="D96" s="19" t="str">
        <f>IF($P96="","",IFERROR(IF(INDEX(MASTER!$E$4:$E$1463,$P96)="","",INDEX(MASTER!$E$4:$E$1463,$P96)),""))</f>
        <v>TEMPEST</v>
      </c>
      <c r="E96" s="19" t="str">
        <f>IF($P96="","",IFERROR(IF(INDEX(MASTER!$F$4:$F$1463,$P96)="","",INDEX(MASTER!$F$4:$F$1463,$P96)),""))</f>
        <v>Melee DPS</v>
      </c>
      <c r="F96" s="20">
        <f>IF($P96="","",IFERROR(IF(INDEX(MASTER!$G$4:$G$1463,$P96)="","",INDEX(MASTER!$G$4:$G$1463,$P96)),""))</f>
        <v>64003</v>
      </c>
      <c r="G96" s="19" t="str">
        <f>IF($P96="","",IFERROR(IF(INDEX(MASTER!$H$4:$H$1463,$P96)="","",INDEX(MASTER!$H$4:$H$1463,$P96)),""))</f>
        <v>64,000 +</v>
      </c>
      <c r="H96" s="20">
        <f>IF($P96="","",IFERROR(IF(INDEX(MASTER!$I$4:$I$1463,$P96)="","",INDEX(MASTER!$I$4:$I$1463,$P96)),""))</f>
        <v>8068</v>
      </c>
      <c r="I96" s="19" t="str">
        <f>IF($P96="","",IFERROR(IF(INDEX(MASTER!$J$4:$J$1463,$P96)="","",INDEX(MASTER!$J$4:$J$1463,$P96)),""))</f>
        <v>ELITE</v>
      </c>
      <c r="J96" s="21">
        <f>IF($P96="","",IFERROR(IF(INDEX(MASTER!$L$4:$L$1463,$P96)="","",INDEX(MASTER!$L$4:$L$1463,$P96)),""))</f>
        <v>5.55</v>
      </c>
      <c r="K96" s="21">
        <f>IF($P96="","",IFERROR(IF(INDEX(MASTER!$N$4:$N$1463,$P96)="","",INDEX(MASTER!$N$4:$N$1463,$P96)),""))</f>
        <v>68.2</v>
      </c>
      <c r="L96" s="19" t="str">
        <f>IF($P96="","",IFERROR(IF(INDEX(MASTER!$O$4:$O$1463,$P96)="","",INDEX(MASTER!$O$4:$O$1463,$P96)),""))</f>
        <v>S</v>
      </c>
      <c r="M96" s="19">
        <f>IF($P96="","",IFERROR(IF(INDEX(MASTER!$Q$4:$Q$1463,$P96)="","",INDEX(MASTER!$Q$4:$Q$1463,$P96)),""))</f>
        <v>32</v>
      </c>
      <c r="N96" s="19" t="str">
        <f>IF($P96="","",IFERROR(IF(INDEX(MASTER!$S$4:$S$1463,$P96)="","",INDEX(MASTER!$S$4:$S$1463,$P96)),""))</f>
        <v>Complete</v>
      </c>
      <c r="P96">
        <f>IFERROR(MATCH($Q$1&amp;"@88",MASTER!$AC$4:$AC$1463,0),"")</f>
        <v>1176</v>
      </c>
    </row>
    <row r="97" spans="1:16">
      <c r="A97" s="15">
        <f>IF($P97="","",89)</f>
        <v>89</v>
      </c>
      <c r="B97" s="14" t="str">
        <f>IF($P97="","",IFERROR(IF(INDEX(MASTER!$C$4:$C$1463,$P97)="","",INDEX(MASTER!$C$4:$C$1463,$P97)),""))</f>
        <v>VanHELSING</v>
      </c>
      <c r="C97" s="15" t="str">
        <f>IF($P97="","",IFERROR(IF(INDEX(MASTER!$D$4:$D$1463,$P97)="","",INDEX(MASTER!$D$4:$D$1463,$P97)),""))</f>
        <v/>
      </c>
      <c r="D97" s="15" t="str">
        <f>IF($P97="","",IFERROR(IF(INDEX(MASTER!$E$4:$E$1463,$P97)="","",INDEX(MASTER!$E$4:$E$1463,$P97)),""))</f>
        <v>BARBARIAN</v>
      </c>
      <c r="E97" s="15" t="str">
        <f>IF($P97="","",IFERROR(IF(INDEX(MASTER!$F$4:$F$1463,$P97)="","",INDEX(MASTER!$F$4:$F$1463,$P97)),""))</f>
        <v>Frontline</v>
      </c>
      <c r="F97" s="16">
        <f>IF($P97="","",IFERROR(IF(INDEX(MASTER!$G$4:$G$1463,$P97)="","",INDEX(MASTER!$G$4:$G$1463,$P97)),""))</f>
        <v>63655</v>
      </c>
      <c r="G97" s="15" t="str">
        <f>IF($P97="","",IFERROR(IF(INDEX(MASTER!$H$4:$H$1463,$P97)="","",INDEX(MASTER!$H$4:$H$1463,$P97)),""))</f>
        <v>63,000 - 63,999</v>
      </c>
      <c r="H97" s="16">
        <f>IF($P97="","",IFERROR(IF(INDEX(MASTER!$I$4:$I$1463,$P97)="","",INDEX(MASTER!$I$4:$I$1463,$P97)),""))</f>
        <v>5111</v>
      </c>
      <c r="I97" s="15" t="str">
        <f>IF($P97="","",IFERROR(IF(INDEX(MASTER!$J$4:$J$1463,$P97)="","",INDEX(MASTER!$J$4:$J$1463,$P97)),""))</f>
        <v>CORE</v>
      </c>
      <c r="J97" s="17">
        <f>IF($P97="","",IFERROR(IF(INDEX(MASTER!$L$4:$L$1463,$P97)="","",INDEX(MASTER!$L$4:$L$1463,$P97)),""))</f>
        <v>5.03</v>
      </c>
      <c r="K97" s="17">
        <f>IF($P97="","",IFERROR(IF(INDEX(MASTER!$N$4:$N$1463,$P97)="","",INDEX(MASTER!$N$4:$N$1463,$P97)),""))</f>
        <v>53.5</v>
      </c>
      <c r="L97" s="15" t="str">
        <f>IF($P97="","",IFERROR(IF(INDEX(MASTER!$O$4:$O$1463,$P97)="","",INDEX(MASTER!$O$4:$O$1463,$P97)),""))</f>
        <v>A</v>
      </c>
      <c r="M97" s="15">
        <f>IF($P97="","",IFERROR(IF(INDEX(MASTER!$Q$4:$Q$1463,$P97)="","",INDEX(MASTER!$Q$4:$Q$1463,$P97)),""))</f>
        <v>66</v>
      </c>
      <c r="N97" s="15" t="str">
        <f>IF($P97="","",IFERROR(IF(INDEX(MASTER!$S$4:$S$1463,$P97)="","",INDEX(MASTER!$S$4:$S$1463,$P97)),""))</f>
        <v>Complete</v>
      </c>
      <c r="P97">
        <f>IFERROR(MATCH($Q$1&amp;"@89",MASTER!$AC$4:$AC$1463,0),"")</f>
        <v>1208</v>
      </c>
    </row>
    <row r="98" spans="1:16">
      <c r="A98" s="19">
        <f>IF($P98="","",90)</f>
        <v>90</v>
      </c>
      <c r="B98" s="18" t="str">
        <f>IF($P98="","",IFERROR(IF(INDEX(MASTER!$C$4:$C$1463,$P98)="","",INDEX(MASTER!$C$4:$C$1463,$P98)),""))</f>
        <v>varsha</v>
      </c>
      <c r="C98" s="19" t="str">
        <f>IF($P98="","",IFERROR(IF(INDEX(MASTER!$D$4:$D$1463,$P98)="","",INDEX(MASTER!$D$4:$D$1463,$P98)),""))</f>
        <v/>
      </c>
      <c r="D98" s="19" t="str">
        <f>IF($P98="","",IFERROR(IF(INDEX(MASTER!$E$4:$E$1463,$P98)="","",INDEX(MASTER!$E$4:$E$1463,$P98)),""))</f>
        <v>CRUSADER</v>
      </c>
      <c r="E98" s="19" t="str">
        <f>IF($P98="","",IFERROR(IF(INDEX(MASTER!$F$4:$F$1463,$P98)="","",INDEX(MASTER!$F$4:$F$1463,$P98)),""))</f>
        <v>Frontline</v>
      </c>
      <c r="F98" s="20">
        <f>IF($P98="","",IFERROR(IF(INDEX(MASTER!$G$4:$G$1463,$P98)="","",INDEX(MASTER!$G$4:$G$1463,$P98)),""))</f>
        <v>63885</v>
      </c>
      <c r="G98" s="19" t="str">
        <f>IF($P98="","",IFERROR(IF(INDEX(MASTER!$H$4:$H$1463,$P98)="","",INDEX(MASTER!$H$4:$H$1463,$P98)),""))</f>
        <v>63,000 - 63,999</v>
      </c>
      <c r="H98" s="20">
        <f>IF($P98="","",IFERROR(IF(INDEX(MASTER!$I$4:$I$1463,$P98)="","",INDEX(MASTER!$I$4:$I$1463,$P98)),""))</f>
        <v>7105</v>
      </c>
      <c r="I98" s="19" t="str">
        <f>IF($P98="","",IFERROR(IF(INDEX(MASTER!$J$4:$J$1463,$P98)="","",INDEX(MASTER!$J$4:$J$1463,$P98)),""))</f>
        <v>VETERAN</v>
      </c>
      <c r="J98" s="21">
        <f>IF($P98="","",IFERROR(IF(INDEX(MASTER!$L$4:$L$1463,$P98)="","",INDEX(MASTER!$L$4:$L$1463,$P98)),""))</f>
        <v>9.1999999999999993</v>
      </c>
      <c r="K98" s="21">
        <f>IF($P98="","",IFERROR(IF(INDEX(MASTER!$N$4:$N$1463,$P98)="","",INDEX(MASTER!$N$4:$N$1463,$P98)),""))</f>
        <v>69.7</v>
      </c>
      <c r="L98" s="19" t="str">
        <f>IF($P98="","",IFERROR(IF(INDEX(MASTER!$O$4:$O$1463,$P98)="","",INDEX(MASTER!$O$4:$O$1463,$P98)),""))</f>
        <v>S</v>
      </c>
      <c r="M98" s="19">
        <f>IF($P98="","",IFERROR(IF(INDEX(MASTER!$Q$4:$Q$1463,$P98)="","",INDEX(MASTER!$Q$4:$Q$1463,$P98)),""))</f>
        <v>46</v>
      </c>
      <c r="N98" s="19" t="str">
        <f>IF($P98="","",IFERROR(IF(INDEX(MASTER!$S$4:$S$1463,$P98)="","",INDEX(MASTER!$S$4:$S$1463,$P98)),""))</f>
        <v>Complete</v>
      </c>
      <c r="P98">
        <f>IFERROR(MATCH($Q$1&amp;"@90",MASTER!$AC$4:$AC$1463,0),"")</f>
        <v>1211</v>
      </c>
    </row>
    <row r="99" spans="1:16">
      <c r="A99" s="15">
        <f>IF($P99="","",91)</f>
        <v>91</v>
      </c>
      <c r="B99" s="14" t="str">
        <f>IF($P99="","",IFERROR(IF(INDEX(MASTER!$C$4:$C$1463,$P99)="","",INDEX(MASTER!$C$4:$C$1463,$P99)),""))</f>
        <v>Ved</v>
      </c>
      <c r="C99" s="15" t="str">
        <f>IF($P99="","",IFERROR(IF(INDEX(MASTER!$D$4:$D$1463,$P99)="","",INDEX(MASTER!$D$4:$D$1463,$P99)),""))</f>
        <v/>
      </c>
      <c r="D99" s="15" t="str">
        <f>IF($P99="","",IFERROR(IF(INDEX(MASTER!$E$4:$E$1463,$P99)="","",INDEX(MASTER!$E$4:$E$1463,$P99)),""))</f>
        <v>BLOOD KNIGHT</v>
      </c>
      <c r="E99" s="15" t="str">
        <f>IF($P99="","",IFERROR(IF(INDEX(MASTER!$F$4:$F$1463,$P99)="","",INDEX(MASTER!$F$4:$F$1463,$P99)),""))</f>
        <v>Frontline</v>
      </c>
      <c r="F99" s="16">
        <f>IF($P99="","",IFERROR(IF(INDEX(MASTER!$G$4:$G$1463,$P99)="","",INDEX(MASTER!$G$4:$G$1463,$P99)),""))</f>
        <v>63346</v>
      </c>
      <c r="G99" s="15" t="str">
        <f>IF($P99="","",IFERROR(IF(INDEX(MASTER!$H$4:$H$1463,$P99)="","",INDEX(MASTER!$H$4:$H$1463,$P99)),""))</f>
        <v>63,000 - 63,999</v>
      </c>
      <c r="H99" s="16">
        <f>IF($P99="","",IFERROR(IF(INDEX(MASTER!$I$4:$I$1463,$P99)="","",INDEX(MASTER!$I$4:$I$1463,$P99)),""))</f>
        <v>8622</v>
      </c>
      <c r="I99" s="15" t="str">
        <f>IF($P99="","",IFERROR(IF(INDEX(MASTER!$J$4:$J$1463,$P99)="","",INDEX(MASTER!$J$4:$J$1463,$P99)),""))</f>
        <v>ELITE</v>
      </c>
      <c r="J99" s="17">
        <f>IF($P99="","",IFERROR(IF(INDEX(MASTER!$L$4:$L$1463,$P99)="","",INDEX(MASTER!$L$4:$L$1463,$P99)),""))</f>
        <v>6.86</v>
      </c>
      <c r="K99" s="17">
        <f>IF($P99="","",IFERROR(IF(INDEX(MASTER!$N$4:$N$1463,$P99)="","",INDEX(MASTER!$N$4:$N$1463,$P99)),""))</f>
        <v>71</v>
      </c>
      <c r="L99" s="15" t="str">
        <f>IF($P99="","",IFERROR(IF(INDEX(MASTER!$O$4:$O$1463,$P99)="","",INDEX(MASTER!$O$4:$O$1463,$P99)),""))</f>
        <v>S</v>
      </c>
      <c r="M99" s="15">
        <f>IF($P99="","",IFERROR(IF(INDEX(MASTER!$Q$4:$Q$1463,$P99)="","",INDEX(MASTER!$Q$4:$Q$1463,$P99)),""))</f>
        <v>26</v>
      </c>
      <c r="N99" s="15" t="str">
        <f>IF($P99="","",IFERROR(IF(INDEX(MASTER!$S$4:$S$1463,$P99)="","",INDEX(MASTER!$S$4:$S$1463,$P99)),""))</f>
        <v>Complete</v>
      </c>
      <c r="P99">
        <f>IFERROR(MATCH($Q$1&amp;"@91",MASTER!$AC$4:$AC$1463,0),"")</f>
        <v>1212</v>
      </c>
    </row>
    <row r="100" spans="1:16">
      <c r="A100" s="19">
        <f>IF($P100="","",92)</f>
        <v>92</v>
      </c>
      <c r="B100" s="18" t="str">
        <f>IF($P100="","",IFERROR(IF(INDEX(MASTER!$C$4:$C$1463,$P100)="","",INDEX(MASTER!$C$4:$C$1463,$P100)),""))</f>
        <v>WetDreams</v>
      </c>
      <c r="C100" s="19" t="str">
        <f>IF($P100="","",IFERROR(IF(INDEX(MASTER!$D$4:$D$1463,$P100)="","",INDEX(MASTER!$D$4:$D$1463,$P100)),""))</f>
        <v/>
      </c>
      <c r="D100" s="19" t="str">
        <f>IF($P100="","",IFERROR(IF(INDEX(MASTER!$E$4:$E$1463,$P100)="","",INDEX(MASTER!$E$4:$E$1463,$P100)),""))</f>
        <v>WARLOCK</v>
      </c>
      <c r="E100" s="19" t="str">
        <f>IF($P100="","",IFERROR(IF(INDEX(MASTER!$F$4:$F$1463,$P100)="","",INDEX(MASTER!$F$4:$F$1463,$P100)),""))</f>
        <v>Control</v>
      </c>
      <c r="F100" s="20">
        <f>IF($P100="","",IFERROR(IF(INDEX(MASTER!$G$4:$G$1463,$P100)="","",INDEX(MASTER!$G$4:$G$1463,$P100)),""))</f>
        <v>63653</v>
      </c>
      <c r="G100" s="19" t="str">
        <f>IF($P100="","",IFERROR(IF(INDEX(MASTER!$H$4:$H$1463,$P100)="","",INDEX(MASTER!$H$4:$H$1463,$P100)),""))</f>
        <v>63,000 - 63,999</v>
      </c>
      <c r="H100" s="20">
        <f>IF($P100="","",IFERROR(IF(INDEX(MASTER!$I$4:$I$1463,$P100)="","",INDEX(MASTER!$I$4:$I$1463,$P100)),""))</f>
        <v>8365</v>
      </c>
      <c r="I100" s="19" t="str">
        <f>IF($P100="","",IFERROR(IF(INDEX(MASTER!$J$4:$J$1463,$P100)="","",INDEX(MASTER!$J$4:$J$1463,$P100)),""))</f>
        <v>ELITE</v>
      </c>
      <c r="J100" s="21">
        <f>IF($P100="","",IFERROR(IF(INDEX(MASTER!$L$4:$L$1463,$P100)="","",INDEX(MASTER!$L$4:$L$1463,$P100)),""))</f>
        <v>6.15</v>
      </c>
      <c r="K100" s="21">
        <f>IF($P100="","",IFERROR(IF(INDEX(MASTER!$N$4:$N$1463,$P100)="","",INDEX(MASTER!$N$4:$N$1463,$P100)),""))</f>
        <v>69.5</v>
      </c>
      <c r="L100" s="19" t="str">
        <f>IF($P100="","",IFERROR(IF(INDEX(MASTER!$O$4:$O$1463,$P100)="","",INDEX(MASTER!$O$4:$O$1463,$P100)),""))</f>
        <v>S</v>
      </c>
      <c r="M100" s="19">
        <f>IF($P100="","",IFERROR(IF(INDEX(MASTER!$Q$4:$Q$1463,$P100)="","",INDEX(MASTER!$Q$4:$Q$1463,$P100)),""))</f>
        <v>29</v>
      </c>
      <c r="N100" s="19" t="str">
        <f>IF($P100="","",IFERROR(IF(INDEX(MASTER!$S$4:$S$1463,$P100)="","",INDEX(MASTER!$S$4:$S$1463,$P100)),""))</f>
        <v>Complete</v>
      </c>
      <c r="P100">
        <f>IFERROR(MATCH($Q$1&amp;"@92",MASTER!$AC$4:$AC$1463,0),"")</f>
        <v>1245</v>
      </c>
    </row>
    <row r="101" spans="1:16">
      <c r="A101" s="15">
        <f>IF($P101="","",93)</f>
        <v>93</v>
      </c>
      <c r="B101" s="14" t="str">
        <f>IF($P101="","",IFERROR(IF(INDEX(MASTER!$C$4:$C$1463,$P101)="","",INDEX(MASTER!$C$4:$C$1463,$P101)),""))</f>
        <v>Wicka</v>
      </c>
      <c r="C101" s="15" t="str">
        <f>IF($P101="","",IFERROR(IF(INDEX(MASTER!$D$4:$D$1463,$P101)="","",INDEX(MASTER!$D$4:$D$1463,$P101)),""))</f>
        <v/>
      </c>
      <c r="D101" s="15" t="str">
        <f>IF($P101="","",IFERROR(IF(INDEX(MASTER!$E$4:$E$1463,$P101)="","",INDEX(MASTER!$E$4:$E$1463,$P101)),""))</f>
        <v>BARBARIAN</v>
      </c>
      <c r="E101" s="15" t="str">
        <f>IF($P101="","",IFERROR(IF(INDEX(MASTER!$F$4:$F$1463,$P101)="","",INDEX(MASTER!$F$4:$F$1463,$P101)),""))</f>
        <v>Frontline</v>
      </c>
      <c r="F101" s="16">
        <f>IF($P101="","",IFERROR(IF(INDEX(MASTER!$G$4:$G$1463,$P101)="","",INDEX(MASTER!$G$4:$G$1463,$P101)),""))</f>
        <v>59784</v>
      </c>
      <c r="G101" s="15" t="str">
        <f>IF($P101="","",IFERROR(IF(INDEX(MASTER!$H$4:$H$1463,$P101)="","",INDEX(MASTER!$H$4:$H$1463,$P101)),""))</f>
        <v>58,000 - 59,999</v>
      </c>
      <c r="H101" s="16">
        <f>IF($P101="","",IFERROR(IF(INDEX(MASTER!$I$4:$I$1463,$P101)="","",INDEX(MASTER!$I$4:$I$1463,$P101)),""))</f>
        <v>2148</v>
      </c>
      <c r="I101" s="15" t="str">
        <f>IF($P101="","",IFERROR(IF(INDEX(MASTER!$J$4:$J$1463,$P101)="","",INDEX(MASTER!$J$4:$J$1463,$P101)),""))</f>
        <v>DEVELOPING</v>
      </c>
      <c r="J101" s="17">
        <f>IF($P101="","",IFERROR(IF(INDEX(MASTER!$L$4:$L$1463,$P101)="","",INDEX(MASTER!$L$4:$L$1463,$P101)),""))</f>
        <v>4.4000000000000004</v>
      </c>
      <c r="K101" s="17">
        <f>IF($P101="","",IFERROR(IF(INDEX(MASTER!$N$4:$N$1463,$P101)="","",INDEX(MASTER!$N$4:$N$1463,$P101)),""))</f>
        <v>29.3</v>
      </c>
      <c r="L101" s="15" t="str">
        <f>IF($P101="","",IFERROR(IF(INDEX(MASTER!$O$4:$O$1463,$P101)="","",INDEX(MASTER!$O$4:$O$1463,$P101)),""))</f>
        <v>C</v>
      </c>
      <c r="M101" s="15">
        <f>IF($P101="","",IFERROR(IF(INDEX(MASTER!$Q$4:$Q$1463,$P101)="","",INDEX(MASTER!$Q$4:$Q$1463,$P101)),""))</f>
        <v>94</v>
      </c>
      <c r="N101" s="15" t="str">
        <f>IF($P101="","",IFERROR(IF(INDEX(MASTER!$S$4:$S$1463,$P101)="","",INDEX(MASTER!$S$4:$S$1463,$P101)),""))</f>
        <v>Complete</v>
      </c>
      <c r="P101">
        <f>IFERROR(MATCH($Q$1&amp;"@93",MASTER!$AC$4:$AC$1463,0),"")</f>
        <v>1247</v>
      </c>
    </row>
    <row r="102" spans="1:16">
      <c r="A102" s="19">
        <f>IF($P102="","",94)</f>
        <v>94</v>
      </c>
      <c r="B102" s="18" t="str">
        <f>IF($P102="","",IFERROR(IF(INDEX(MASTER!$C$4:$C$1463,$P102)="","",INDEX(MASTER!$C$4:$C$1463,$P102)),""))</f>
        <v>xHxHx</v>
      </c>
      <c r="C102" s="19" t="str">
        <f>IF($P102="","",IFERROR(IF(INDEX(MASTER!$D$4:$D$1463,$P102)="","",INDEX(MASTER!$D$4:$D$1463,$P102)),""))</f>
        <v/>
      </c>
      <c r="D102" s="19" t="str">
        <f>IF($P102="","",IFERROR(IF(INDEX(MASTER!$E$4:$E$1463,$P102)="","",INDEX(MASTER!$E$4:$E$1463,$P102)),""))</f>
        <v>MONK</v>
      </c>
      <c r="E102" s="19" t="str">
        <f>IF($P102="","",IFERROR(IF(INDEX(MASTER!$F$4:$F$1463,$P102)="","",INDEX(MASTER!$F$4:$F$1463,$P102)),""))</f>
        <v>Support</v>
      </c>
      <c r="F102" s="20">
        <f>IF($P102="","",IFERROR(IF(INDEX(MASTER!$G$4:$G$1463,$P102)="","",INDEX(MASTER!$G$4:$G$1463,$P102)),""))</f>
        <v>64282</v>
      </c>
      <c r="G102" s="19" t="str">
        <f>IF($P102="","",IFERROR(IF(INDEX(MASTER!$H$4:$H$1463,$P102)="","",INDEX(MASTER!$H$4:$H$1463,$P102)),""))</f>
        <v>64,000 +</v>
      </c>
      <c r="H102" s="20">
        <f>IF($P102="","",IFERROR(IF(INDEX(MASTER!$I$4:$I$1463,$P102)="","",INDEX(MASTER!$I$4:$I$1463,$P102)),""))</f>
        <v>10023</v>
      </c>
      <c r="I102" s="19" t="str">
        <f>IF($P102="","",IFERROR(IF(INDEX(MASTER!$J$4:$J$1463,$P102)="","",INDEX(MASTER!$J$4:$J$1463,$P102)),""))</f>
        <v>APEX</v>
      </c>
      <c r="J102" s="21">
        <f>IF($P102="","",IFERROR(IF(INDEX(MASTER!$L$4:$L$1463,$P102)="","",INDEX(MASTER!$L$4:$L$1463,$P102)),""))</f>
        <v>9.35</v>
      </c>
      <c r="K102" s="21">
        <f>IF($P102="","",IFERROR(IF(INDEX(MASTER!$N$4:$N$1463,$P102)="","",INDEX(MASTER!$N$4:$N$1463,$P102)),""))</f>
        <v>83.8</v>
      </c>
      <c r="L102" s="19" t="str">
        <f>IF($P102="","",IFERROR(IF(INDEX(MASTER!$O$4:$O$1463,$P102)="","",INDEX(MASTER!$O$4:$O$1463,$P102)),""))</f>
        <v>S+</v>
      </c>
      <c r="M102" s="19">
        <f>IF($P102="","",IFERROR(IF(INDEX(MASTER!$Q$4:$Q$1463,$P102)="","",INDEX(MASTER!$Q$4:$Q$1463,$P102)),""))</f>
        <v>10</v>
      </c>
      <c r="N102" s="19" t="str">
        <f>IF($P102="","",IFERROR(IF(INDEX(MASTER!$S$4:$S$1463,$P102)="","",INDEX(MASTER!$S$4:$S$1463,$P102)),""))</f>
        <v>Complete</v>
      </c>
      <c r="P102">
        <f>IFERROR(MATCH($Q$1&amp;"@94",MASTER!$AC$4:$AC$1463,0),"")</f>
        <v>1279</v>
      </c>
    </row>
    <row r="103" spans="1:16">
      <c r="A103" s="15">
        <f>IF($P103="","",95)</f>
        <v>95</v>
      </c>
      <c r="B103" s="14" t="str">
        <f>IF($P103="","",IFERROR(IF(INDEX(MASTER!$C$4:$C$1463,$P103)="","",INDEX(MASTER!$C$4:$C$1463,$P103)),""))</f>
        <v>Zafeera</v>
      </c>
      <c r="C103" s="15" t="str">
        <f>IF($P103="","",IFERROR(IF(INDEX(MASTER!$D$4:$D$1463,$P103)="","",INDEX(MASTER!$D$4:$D$1463,$P103)),""))</f>
        <v/>
      </c>
      <c r="D103" s="15" t="str">
        <f>IF($P103="","",IFERROR(IF(INDEX(MASTER!$E$4:$E$1463,$P103)="","",INDEX(MASTER!$E$4:$E$1463,$P103)),""))</f>
        <v>WARLOCK</v>
      </c>
      <c r="E103" s="15" t="str">
        <f>IF($P103="","",IFERROR(IF(INDEX(MASTER!$F$4:$F$1463,$P103)="","",INDEX(MASTER!$F$4:$F$1463,$P103)),""))</f>
        <v>Control</v>
      </c>
      <c r="F103" s="16">
        <f>IF($P103="","",IFERROR(IF(INDEX(MASTER!$G$4:$G$1463,$P103)="","",INDEX(MASTER!$G$4:$G$1463,$P103)),""))</f>
        <v>62304</v>
      </c>
      <c r="G103" s="15" t="str">
        <f>IF($P103="","",IFERROR(IF(INDEX(MASTER!$H$4:$H$1463,$P103)="","",INDEX(MASTER!$H$4:$H$1463,$P103)),""))</f>
        <v>62,000 - 62,999</v>
      </c>
      <c r="H103" s="16">
        <f>IF($P103="","",IFERROR(IF(INDEX(MASTER!$I$4:$I$1463,$P103)="","",INDEX(MASTER!$I$4:$I$1463,$P103)),""))</f>
        <v>5371</v>
      </c>
      <c r="I103" s="15" t="str">
        <f>IF($P103="","",IFERROR(IF(INDEX(MASTER!$J$4:$J$1463,$P103)="","",INDEX(MASTER!$J$4:$J$1463,$P103)),""))</f>
        <v>CORE</v>
      </c>
      <c r="J103" s="17">
        <f>IF($P103="","",IFERROR(IF(INDEX(MASTER!$L$4:$L$1463,$P103)="","",INDEX(MASTER!$L$4:$L$1463,$P103)),""))</f>
        <v>4.45</v>
      </c>
      <c r="K103" s="17">
        <f>IF($P103="","",IFERROR(IF(INDEX(MASTER!$N$4:$N$1463,$P103)="","",INDEX(MASTER!$N$4:$N$1463,$P103)),""))</f>
        <v>50.1</v>
      </c>
      <c r="L103" s="15" t="str">
        <f>IF($P103="","",IFERROR(IF(INDEX(MASTER!$O$4:$O$1463,$P103)="","",INDEX(MASTER!$O$4:$O$1463,$P103)),""))</f>
        <v>A</v>
      </c>
      <c r="M103" s="15">
        <f>IF($P103="","",IFERROR(IF(INDEX(MASTER!$Q$4:$Q$1463,$P103)="","",INDEX(MASTER!$Q$4:$Q$1463,$P103)),""))</f>
        <v>62</v>
      </c>
      <c r="N103" s="15" t="str">
        <f>IF($P103="","",IFERROR(IF(INDEX(MASTER!$S$4:$S$1463,$P103)="","",INDEX(MASTER!$S$4:$S$1463,$P103)),""))</f>
        <v>Complete</v>
      </c>
      <c r="P103">
        <f>IFERROR(MATCH($Q$1&amp;"@95",MASTER!$AC$4:$AC$1463,0),"")</f>
        <v>1311</v>
      </c>
    </row>
    <row r="104" spans="1:16">
      <c r="A104" s="19" t="str">
        <f>IF($P104="","",96)</f>
        <v/>
      </c>
      <c r="B104" s="18" t="str">
        <f>IF($P104="","",IFERROR(IF(INDEX(MASTER!$C$4:$C$1463,$P104)="","",INDEX(MASTER!$C$4:$C$1463,$P104)),""))</f>
        <v/>
      </c>
      <c r="C104" s="19" t="str">
        <f>IF($P104="","",IFERROR(IF(INDEX(MASTER!$D$4:$D$1463,$P104)="","",INDEX(MASTER!$D$4:$D$1463,$P104)),""))</f>
        <v/>
      </c>
      <c r="D104" s="19" t="str">
        <f>IF($P104="","",IFERROR(IF(INDEX(MASTER!$E$4:$E$1463,$P104)="","",INDEX(MASTER!$E$4:$E$1463,$P104)),""))</f>
        <v/>
      </c>
      <c r="E104" s="19" t="str">
        <f>IF($P104="","",IFERROR(IF(INDEX(MASTER!$F$4:$F$1463,$P104)="","",INDEX(MASTER!$F$4:$F$1463,$P104)),""))</f>
        <v/>
      </c>
      <c r="F104" s="20" t="str">
        <f>IF($P104="","",IFERROR(IF(INDEX(MASTER!$G$4:$G$1463,$P104)="","",INDEX(MASTER!$G$4:$G$1463,$P104)),""))</f>
        <v/>
      </c>
      <c r="G104" s="19" t="str">
        <f>IF($P104="","",IFERROR(IF(INDEX(MASTER!$H$4:$H$1463,$P104)="","",INDEX(MASTER!$H$4:$H$1463,$P104)),""))</f>
        <v/>
      </c>
      <c r="H104" s="20" t="str">
        <f>IF($P104="","",IFERROR(IF(INDEX(MASTER!$I$4:$I$1463,$P104)="","",INDEX(MASTER!$I$4:$I$1463,$P104)),""))</f>
        <v/>
      </c>
      <c r="I104" s="19" t="str">
        <f>IF($P104="","",IFERROR(IF(INDEX(MASTER!$J$4:$J$1463,$P104)="","",INDEX(MASTER!$J$4:$J$1463,$P104)),""))</f>
        <v/>
      </c>
      <c r="J104" s="21" t="str">
        <f>IF($P104="","",IFERROR(IF(INDEX(MASTER!$L$4:$L$1463,$P104)="","",INDEX(MASTER!$L$4:$L$1463,$P104)),""))</f>
        <v/>
      </c>
      <c r="K104" s="21" t="str">
        <f>IF($P104="","",IFERROR(IF(INDEX(MASTER!$N$4:$N$1463,$P104)="","",INDEX(MASTER!$N$4:$N$1463,$P104)),""))</f>
        <v/>
      </c>
      <c r="L104" s="19" t="str">
        <f>IF($P104="","",IFERROR(IF(INDEX(MASTER!$O$4:$O$1463,$P104)="","",INDEX(MASTER!$O$4:$O$1463,$P104)),""))</f>
        <v/>
      </c>
      <c r="M104" s="19" t="str">
        <f>IF($P104="","",IFERROR(IF(INDEX(MASTER!$Q$4:$Q$1463,$P104)="","",INDEX(MASTER!$Q$4:$Q$1463,$P104)),""))</f>
        <v/>
      </c>
      <c r="N104" s="19" t="str">
        <f>IF($P104="","",IFERROR(IF(INDEX(MASTER!$S$4:$S$1463,$P104)="","",INDEX(MASTER!$S$4:$S$1463,$P104)),""))</f>
        <v/>
      </c>
      <c r="P104" t="str">
        <f>IFERROR(MATCH($Q$1&amp;"@96",MASTER!$AC$4:$AC$1463,0),"")</f>
        <v/>
      </c>
    </row>
    <row r="105" spans="1:16">
      <c r="A105" s="15" t="str">
        <f>IF($P105="","",97)</f>
        <v/>
      </c>
      <c r="B105" s="14" t="str">
        <f>IF($P105="","",IFERROR(IF(INDEX(MASTER!$C$4:$C$1463,$P105)="","",INDEX(MASTER!$C$4:$C$1463,$P105)),""))</f>
        <v/>
      </c>
      <c r="C105" s="15" t="str">
        <f>IF($P105="","",IFERROR(IF(INDEX(MASTER!$D$4:$D$1463,$P105)="","",INDEX(MASTER!$D$4:$D$1463,$P105)),""))</f>
        <v/>
      </c>
      <c r="D105" s="15" t="str">
        <f>IF($P105="","",IFERROR(IF(INDEX(MASTER!$E$4:$E$1463,$P105)="","",INDEX(MASTER!$E$4:$E$1463,$P105)),""))</f>
        <v/>
      </c>
      <c r="E105" s="15" t="str">
        <f>IF($P105="","",IFERROR(IF(INDEX(MASTER!$F$4:$F$1463,$P105)="","",INDEX(MASTER!$F$4:$F$1463,$P105)),""))</f>
        <v/>
      </c>
      <c r="F105" s="16" t="str">
        <f>IF($P105="","",IFERROR(IF(INDEX(MASTER!$G$4:$G$1463,$P105)="","",INDEX(MASTER!$G$4:$G$1463,$P105)),""))</f>
        <v/>
      </c>
      <c r="G105" s="15" t="str">
        <f>IF($P105="","",IFERROR(IF(INDEX(MASTER!$H$4:$H$1463,$P105)="","",INDEX(MASTER!$H$4:$H$1463,$P105)),""))</f>
        <v/>
      </c>
      <c r="H105" s="16" t="str">
        <f>IF($P105="","",IFERROR(IF(INDEX(MASTER!$I$4:$I$1463,$P105)="","",INDEX(MASTER!$I$4:$I$1463,$P105)),""))</f>
        <v/>
      </c>
      <c r="I105" s="15" t="str">
        <f>IF($P105="","",IFERROR(IF(INDEX(MASTER!$J$4:$J$1463,$P105)="","",INDEX(MASTER!$J$4:$J$1463,$P105)),""))</f>
        <v/>
      </c>
      <c r="J105" s="17" t="str">
        <f>IF($P105="","",IFERROR(IF(INDEX(MASTER!$L$4:$L$1463,$P105)="","",INDEX(MASTER!$L$4:$L$1463,$P105)),""))</f>
        <v/>
      </c>
      <c r="K105" s="17" t="str">
        <f>IF($P105="","",IFERROR(IF(INDEX(MASTER!$N$4:$N$1463,$P105)="","",INDEX(MASTER!$N$4:$N$1463,$P105)),""))</f>
        <v/>
      </c>
      <c r="L105" s="15" t="str">
        <f>IF($P105="","",IFERROR(IF(INDEX(MASTER!$O$4:$O$1463,$P105)="","",INDEX(MASTER!$O$4:$O$1463,$P105)),""))</f>
        <v/>
      </c>
      <c r="M105" s="15" t="str">
        <f>IF($P105="","",IFERROR(IF(INDEX(MASTER!$Q$4:$Q$1463,$P105)="","",INDEX(MASTER!$Q$4:$Q$1463,$P105)),""))</f>
        <v/>
      </c>
      <c r="N105" s="15" t="str">
        <f>IF($P105="","",IFERROR(IF(INDEX(MASTER!$S$4:$S$1463,$P105)="","",INDEX(MASTER!$S$4:$S$1463,$P105)),""))</f>
        <v/>
      </c>
      <c r="P105" t="str">
        <f>IFERROR(MATCH($Q$1&amp;"@97",MASTER!$AC$4:$AC$1463,0),"")</f>
        <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1" spans="1:16">
      <c r="A131" s="15" t="str">
        <f>IF($P131="","",123)</f>
        <v/>
      </c>
      <c r="B131" s="14" t="str">
        <f>IF($P131="","",IFERROR(IF(INDEX(MASTER!$C$4:$C$1463,$P131)="","",INDEX(MASTER!$C$4:$C$1463,$P131)),""))</f>
        <v/>
      </c>
      <c r="C131" s="15" t="str">
        <f>IF($P131="","",IFERROR(IF(INDEX(MASTER!$D$4:$D$1463,$P131)="","",INDEX(MASTER!$D$4:$D$1463,$P131)),""))</f>
        <v/>
      </c>
      <c r="D131" s="15" t="str">
        <f>IF($P131="","",IFERROR(IF(INDEX(MASTER!$E$4:$E$1463,$P131)="","",INDEX(MASTER!$E$4:$E$1463,$P131)),""))</f>
        <v/>
      </c>
      <c r="E131" s="15" t="str">
        <f>IF($P131="","",IFERROR(IF(INDEX(MASTER!$F$4:$F$1463,$P131)="","",INDEX(MASTER!$F$4:$F$1463,$P131)),""))</f>
        <v/>
      </c>
      <c r="F131" s="16" t="str">
        <f>IF($P131="","",IFERROR(IF(INDEX(MASTER!$G$4:$G$1463,$P131)="","",INDEX(MASTER!$G$4:$G$1463,$P131)),""))</f>
        <v/>
      </c>
      <c r="G131" s="15" t="str">
        <f>IF($P131="","",IFERROR(IF(INDEX(MASTER!$H$4:$H$1463,$P131)="","",INDEX(MASTER!$H$4:$H$1463,$P131)),""))</f>
        <v/>
      </c>
      <c r="H131" s="16" t="str">
        <f>IF($P131="","",IFERROR(IF(INDEX(MASTER!$I$4:$I$1463,$P131)="","",INDEX(MASTER!$I$4:$I$1463,$P131)),""))</f>
        <v/>
      </c>
      <c r="I131" s="15" t="str">
        <f>IF($P131="","",IFERROR(IF(INDEX(MASTER!$J$4:$J$1463,$P131)="","",INDEX(MASTER!$J$4:$J$1463,$P131)),""))</f>
        <v/>
      </c>
      <c r="J131" s="17" t="str">
        <f>IF($P131="","",IFERROR(IF(INDEX(MASTER!$L$4:$L$1463,$P131)="","",INDEX(MASTER!$L$4:$L$1463,$P131)),""))</f>
        <v/>
      </c>
      <c r="K131" s="17" t="str">
        <f>IF($P131="","",IFERROR(IF(INDEX(MASTER!$N$4:$N$1463,$P131)="","",INDEX(MASTER!$N$4:$N$1463,$P131)),""))</f>
        <v/>
      </c>
      <c r="L131" s="15" t="str">
        <f>IF($P131="","",IFERROR(IF(INDEX(MASTER!$O$4:$O$1463,$P131)="","",INDEX(MASTER!$O$4:$O$1463,$P131)),""))</f>
        <v/>
      </c>
      <c r="M131" s="15" t="str">
        <f>IF($P131="","",IFERROR(IF(INDEX(MASTER!$Q$4:$Q$1463,$P131)="","",INDEX(MASTER!$Q$4:$Q$1463,$P131)),""))</f>
        <v/>
      </c>
      <c r="N131" s="15" t="str">
        <f>IF($P131="","",IFERROR(IF(INDEX(MASTER!$S$4:$S$1463,$P131)="","",INDEX(MASTER!$S$4:$S$1463,$P131)),""))</f>
        <v/>
      </c>
      <c r="P131" t="str">
        <f>IFERROR(MATCH($Q$1&amp;"@123",MASTER!$AC$4:$AC$1463,0),"")</f>
        <v/>
      </c>
    </row>
    <row r="135" spans="1:16" ht="27.75" customHeight="1">
      <c r="B135" s="108" t="s">
        <v>68</v>
      </c>
      <c r="C135" s="108"/>
      <c r="D135" s="13" t="s">
        <v>69</v>
      </c>
      <c r="E135" s="13" t="s">
        <v>64</v>
      </c>
      <c r="F135" s="13" t="s">
        <v>50</v>
      </c>
      <c r="G135" s="13" t="s">
        <v>51</v>
      </c>
    </row>
    <row r="136" spans="1:16">
      <c r="B136" s="105" t="s">
        <v>71</v>
      </c>
      <c r="C136" s="105"/>
      <c r="D136" s="20" t="str">
        <f>IFERROR(INDEX(SETUP!$B$55:$B$64,MATCH($B136,SETUP!$A$55:$A$64,0)),"-")</f>
        <v>Frontline</v>
      </c>
      <c r="E136" s="20">
        <f>COUNTIFS(MASTER!$B:$B,$Q$1,MASTER!$E:$E,$B136)</f>
        <v>18</v>
      </c>
      <c r="F136" s="20">
        <f>IFERROR(ROUND(AVERAGEIFS(MASTER!$I:$I,MASTER!$B:$B,$Q$1,MASTER!$E:$E,$B136),0),"-")</f>
        <v>7289</v>
      </c>
      <c r="G136" s="20">
        <f>IF($E136=0,"-",IFERROR(_xlfn.MAXIFS(MASTER!$I:$I,MASTER!$B:$B,$Q$1,MASTER!$E:$E,$B136),"-"))</f>
        <v>10306</v>
      </c>
    </row>
    <row r="137" spans="1:16">
      <c r="B137" s="106" t="s">
        <v>72</v>
      </c>
      <c r="C137" s="106"/>
      <c r="D137" s="16" t="str">
        <f>IFERROR(INDEX(SETUP!$B$55:$B$64,MATCH($B137,SETUP!$A$55:$A$64,0)),"-")</f>
        <v>Frontline</v>
      </c>
      <c r="E137" s="16">
        <f>COUNTIFS(MASTER!$B:$B,$Q$1,MASTER!$E:$E,$B137)</f>
        <v>5</v>
      </c>
      <c r="F137" s="16">
        <f>IFERROR(ROUND(AVERAGEIFS(MASTER!$I:$I,MASTER!$B:$B,$Q$1,MASTER!$E:$E,$B137),0),"-")</f>
        <v>4944</v>
      </c>
      <c r="G137" s="16">
        <f>IF($E137=0,"-",IFERROR(_xlfn.MAXIFS(MASTER!$I:$I,MASTER!$B:$B,$Q$1,MASTER!$E:$E,$B137),"-"))</f>
        <v>8622</v>
      </c>
    </row>
    <row r="138" spans="1:16">
      <c r="B138" s="105" t="s">
        <v>73</v>
      </c>
      <c r="C138" s="105"/>
      <c r="D138" s="20" t="str">
        <f>IFERROR(INDEX(SETUP!$B$55:$B$64,MATCH($B138,SETUP!$A$55:$A$64,0)),"-")</f>
        <v>Frontline</v>
      </c>
      <c r="E138" s="20">
        <f>COUNTIFS(MASTER!$B:$B,$Q$1,MASTER!$E:$E,$B138)</f>
        <v>11</v>
      </c>
      <c r="F138" s="20">
        <f>IFERROR(ROUND(AVERAGEIFS(MASTER!$I:$I,MASTER!$B:$B,$Q$1,MASTER!$E:$E,$B138),0),"-")</f>
        <v>8127</v>
      </c>
      <c r="G138" s="20">
        <f>IF($E138=0,"-",IFERROR(_xlfn.MAXIFS(MASTER!$I:$I,MASTER!$B:$B,$Q$1,MASTER!$E:$E,$B138),"-"))</f>
        <v>10905</v>
      </c>
    </row>
    <row r="139" spans="1:16">
      <c r="B139" s="106" t="s">
        <v>74</v>
      </c>
      <c r="C139" s="106"/>
      <c r="D139" s="16" t="str">
        <f>IFERROR(INDEX(SETUP!$B$55:$B$64,MATCH($B139,SETUP!$A$55:$A$64,0)),"-")</f>
        <v>Ranged DPS</v>
      </c>
      <c r="E139" s="16">
        <f>COUNTIFS(MASTER!$B:$B,$Q$1,MASTER!$E:$E,$B139)</f>
        <v>19</v>
      </c>
      <c r="F139" s="16">
        <f>IFERROR(ROUND(AVERAGEIFS(MASTER!$I:$I,MASTER!$B:$B,$Q$1,MASTER!$E:$E,$B139),0),"-")</f>
        <v>5917</v>
      </c>
      <c r="G139" s="16">
        <f>IF($E139=0,"-",IFERROR(_xlfn.MAXIFS(MASTER!$I:$I,MASTER!$B:$B,$Q$1,MASTER!$E:$E,$B139),"-"))</f>
        <v>10216</v>
      </c>
    </row>
    <row r="140" spans="1:16">
      <c r="B140" s="105" t="s">
        <v>75</v>
      </c>
      <c r="C140" s="105"/>
      <c r="D140" s="20" t="str">
        <f>IFERROR(INDEX(SETUP!$B$55:$B$64,MATCH($B140,SETUP!$A$55:$A$64,0)),"-")</f>
        <v>Support</v>
      </c>
      <c r="E140" s="20">
        <f>COUNTIFS(MASTER!$B:$B,$Q$1,MASTER!$E:$E,$B140)</f>
        <v>4</v>
      </c>
      <c r="F140" s="20">
        <f>IFERROR(ROUND(AVERAGEIFS(MASTER!$I:$I,MASTER!$B:$B,$Q$1,MASTER!$E:$E,$B140),0),"-")</f>
        <v>7206</v>
      </c>
      <c r="G140" s="20">
        <f>IF($E140=0,"-",IFERROR(_xlfn.MAXIFS(MASTER!$I:$I,MASTER!$B:$B,$Q$1,MASTER!$E:$E,$B140),"-"))</f>
        <v>10084</v>
      </c>
    </row>
    <row r="141" spans="1:16">
      <c r="B141" s="106" t="s">
        <v>76</v>
      </c>
      <c r="C141" s="106"/>
      <c r="D141" s="16" t="str">
        <f>IFERROR(INDEX(SETUP!$B$55:$B$64,MATCH($B141,SETUP!$A$55:$A$64,0)),"-")</f>
        <v>Support</v>
      </c>
      <c r="E141" s="16">
        <f>COUNTIFS(MASTER!$B:$B,$Q$1,MASTER!$E:$E,$B141)</f>
        <v>2</v>
      </c>
      <c r="F141" s="16">
        <f>IFERROR(ROUND(AVERAGEIFS(MASTER!$I:$I,MASTER!$B:$B,$Q$1,MASTER!$E:$E,$B141),0),"-")</f>
        <v>7363</v>
      </c>
      <c r="G141" s="16">
        <f>IF($E141=0,"-",IFERROR(_xlfn.MAXIFS(MASTER!$I:$I,MASTER!$B:$B,$Q$1,MASTER!$E:$E,$B141),"-"))</f>
        <v>10023</v>
      </c>
    </row>
    <row r="142" spans="1:16">
      <c r="B142" s="105" t="s">
        <v>77</v>
      </c>
      <c r="C142" s="105"/>
      <c r="D142" s="20" t="str">
        <f>IFERROR(INDEX(SETUP!$B$55:$B$64,MATCH($B142,SETUP!$A$55:$A$64,0)),"-")</f>
        <v>Control</v>
      </c>
      <c r="E142" s="20">
        <f>COUNTIFS(MASTER!$B:$B,$Q$1,MASTER!$E:$E,$B142)</f>
        <v>4</v>
      </c>
      <c r="F142" s="20">
        <f>IFERROR(ROUND(AVERAGEIFS(MASTER!$I:$I,MASTER!$B:$B,$Q$1,MASTER!$E:$E,$B142),0),"-")</f>
        <v>5639</v>
      </c>
      <c r="G142" s="20">
        <f>IF($E142=0,"-",IFERROR(_xlfn.MAXIFS(MASTER!$I:$I,MASTER!$B:$B,$Q$1,MASTER!$E:$E,$B142),"-"))</f>
        <v>8227</v>
      </c>
    </row>
    <row r="143" spans="1:16">
      <c r="B143" s="106" t="s">
        <v>78</v>
      </c>
      <c r="C143" s="106"/>
      <c r="D143" s="16" t="str">
        <f>IFERROR(INDEX(SETUP!$B$55:$B$64,MATCH($B143,SETUP!$A$55:$A$64,0)),"-")</f>
        <v>Melee DPS</v>
      </c>
      <c r="E143" s="16">
        <f>COUNTIFS(MASTER!$B:$B,$Q$1,MASTER!$E:$E,$B143)</f>
        <v>4</v>
      </c>
      <c r="F143" s="16">
        <f>IFERROR(ROUND(AVERAGEIFS(MASTER!$I:$I,MASTER!$B:$B,$Q$1,MASTER!$E:$E,$B143),0),"-")</f>
        <v>6240</v>
      </c>
      <c r="G143" s="16">
        <f>IF($E143=0,"-",IFERROR(_xlfn.MAXIFS(MASTER!$I:$I,MASTER!$B:$B,$Q$1,MASTER!$E:$E,$B143),"-"))</f>
        <v>8068</v>
      </c>
    </row>
    <row r="144" spans="1:16">
      <c r="B144" s="105" t="s">
        <v>79</v>
      </c>
      <c r="C144" s="105"/>
      <c r="D144" s="20" t="str">
        <f>IFERROR(INDEX(SETUP!$B$55:$B$64,MATCH($B144,SETUP!$A$55:$A$64,0)),"-")</f>
        <v>Control</v>
      </c>
      <c r="E144" s="20">
        <f>COUNTIFS(MASTER!$B:$B,$Q$1,MASTER!$E:$E,$B144)</f>
        <v>23</v>
      </c>
      <c r="F144" s="20">
        <f>IFERROR(ROUND(AVERAGEIFS(MASTER!$I:$I,MASTER!$B:$B,$Q$1,MASTER!$E:$E,$B144),0),"-")</f>
        <v>6561</v>
      </c>
      <c r="G144" s="20">
        <f>IF($E144=0,"-",IFERROR(_xlfn.MAXIFS(MASTER!$I:$I,MASTER!$B:$B,$Q$1,MASTER!$E:$E,$B144),"-"))</f>
        <v>10352</v>
      </c>
    </row>
    <row r="145" spans="2:7">
      <c r="B145" s="106" t="s">
        <v>80</v>
      </c>
      <c r="C145" s="106"/>
      <c r="D145" s="16" t="str">
        <f>IFERROR(INDEX(SETUP!$B$55:$B$64,MATCH($B145,SETUP!$A$55:$A$64,0)),"-")</f>
        <v>Ranged DPS</v>
      </c>
      <c r="E145" s="16">
        <f>COUNTIFS(MASTER!$B:$B,$Q$1,MASTER!$E:$E,$B145)</f>
        <v>5</v>
      </c>
      <c r="F145" s="16">
        <f>IFERROR(ROUND(AVERAGEIFS(MASTER!$I:$I,MASTER!$B:$B,$Q$1,MASTER!$E:$E,$B145),0),"-")</f>
        <v>6719</v>
      </c>
      <c r="G145" s="16">
        <f>IF($E145=0,"-",IFERROR(_xlfn.MAXIFS(MASTER!$I:$I,MASTER!$B:$B,$Q$1,MASTER!$E:$E,$B145),"-"))</f>
        <v>8923</v>
      </c>
    </row>
  </sheetData>
  <autoFilter ref="A8:N131" xr:uid="{00000000-0009-0000-0000-00000B000000}"/>
  <mergeCells count="29">
    <mergeCell ref="A1:N1"/>
    <mergeCell ref="A2:N2"/>
    <mergeCell ref="A4:B4"/>
    <mergeCell ref="C4:D4"/>
    <mergeCell ref="E4:F4"/>
    <mergeCell ref="G4:H4"/>
    <mergeCell ref="I4:J4"/>
    <mergeCell ref="K4:L4"/>
    <mergeCell ref="M4:N4"/>
    <mergeCell ref="K5:L5"/>
    <mergeCell ref="M5:N5"/>
    <mergeCell ref="A7:N7"/>
    <mergeCell ref="B134:G134"/>
    <mergeCell ref="B135:C135"/>
    <mergeCell ref="A5:B5"/>
    <mergeCell ref="C5:D5"/>
    <mergeCell ref="E5:F5"/>
    <mergeCell ref="G5:H5"/>
    <mergeCell ref="I5:J5"/>
    <mergeCell ref="B136:C136"/>
    <mergeCell ref="B137:C137"/>
    <mergeCell ref="B138:C138"/>
    <mergeCell ref="B139:C139"/>
    <mergeCell ref="B140:C140"/>
    <mergeCell ref="B141:C141"/>
    <mergeCell ref="B142:C142"/>
    <mergeCell ref="B143:C143"/>
    <mergeCell ref="B144:C144"/>
    <mergeCell ref="B145:C145"/>
  </mergeCells>
  <conditionalFormatting sqref="H9:H131">
    <cfRule type="colorScale" priority="2">
      <colorScale>
        <cfvo type="num" val="0"/>
        <cfvo type="num" val="5000"/>
        <cfvo type="num" val="12600"/>
        <color rgb="FFF8CBAD"/>
        <color rgb="FFFFE699"/>
        <color rgb="FFA9D08E"/>
      </colorScale>
    </cfRule>
  </conditionalFormatting>
  <conditionalFormatting sqref="N9:N131">
    <cfRule type="cellIs" dxfId="13"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5" evalError="1" twoDigitTextYear="1" numberStoredAsText="1" formula="1" formulaRange="1" unlockedFormula="1" emptyCellReference="1" listDataValidation="1" calculatedColumn="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pageSetUpPr fitToPage="1"/>
  </sheetPr>
  <dimension ref="A1:Q143"/>
  <sheetViews>
    <sheetView showGridLines="0" zoomScaleNormal="100" workbookViewId="0">
      <pane xSplit="1" ySplit="8" topLeftCell="B9" activePane="bottomRight" state="frozen"/>
      <selection pane="topRight" activeCell="B1" sqref="B1"/>
      <selection pane="bottomLeft" activeCell="A9" sqref="A9"/>
      <selection pane="bottomRight" sqref="A1:N1"/>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491</v>
      </c>
      <c r="B1" s="92"/>
      <c r="C1" s="92"/>
      <c r="D1" s="92"/>
      <c r="E1" s="92"/>
      <c r="F1" s="92"/>
      <c r="G1" s="92"/>
      <c r="H1" s="92"/>
      <c r="I1" s="92"/>
      <c r="J1" s="92"/>
      <c r="K1" s="92"/>
      <c r="L1" s="92"/>
      <c r="M1" s="92"/>
      <c r="N1" s="92"/>
      <c r="Q1" t="s">
        <v>107</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96</v>
      </c>
      <c r="B5" s="95"/>
      <c r="C5" s="95">
        <f>COUNTIFS(MASTER!$B:$B,$Q$1,MASTER!$S:$S,"Complete")</f>
        <v>96</v>
      </c>
      <c r="D5" s="95"/>
      <c r="E5" s="95">
        <f>IFERROR(ROUND(AVERAGEIFS(MASTER!$I:$I,MASTER!$B:$B,$Q$1),0),"-")</f>
        <v>4582</v>
      </c>
      <c r="F5" s="95"/>
      <c r="G5" s="95">
        <f>IFERROR(_xlfn.MAXIFS(MASTER!$I:$I,MASTER!$B:$B,$Q$1),"-")</f>
        <v>10023</v>
      </c>
      <c r="H5" s="95"/>
      <c r="I5" s="95">
        <f>COUNTIFS(MASTER!$B:$B,$Q$1,MASTER!$I:$I,"&gt;=10000")</f>
        <v>1</v>
      </c>
      <c r="J5" s="95"/>
      <c r="K5" s="107">
        <f>IFERROR(ROUND(AVERAGEIFS(MASTER!$N:$N,MASTER!$B:$B,$Q$1),1),"-")</f>
        <v>49.1</v>
      </c>
      <c r="L5" s="107"/>
      <c r="M5" s="95">
        <f>IF($Q$1="FUCT","- ours -",IFERROR(ROUND(AVERAGEIFS(MASTER!$I:$I,MASTER!$B:$B,$Q$1)-AVERAGEIF(MASTER!$B:$B,"FUCT",MASTER!$I:$I),0),"-"))</f>
        <v>-632</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3eyedRaven</v>
      </c>
      <c r="C9" s="15" t="str">
        <f>IF($P9="","",IFERROR(IF(INDEX(MASTER!$D$4:$D$1463,$P9)="","",INDEX(MASTER!$D$4:$D$1463,$P9)),""))</f>
        <v/>
      </c>
      <c r="D9" s="15" t="str">
        <f>IF($P9="","",IFERROR(IF(INDEX(MASTER!$E$4:$E$1463,$P9)="","",INDEX(MASTER!$E$4:$E$1463,$P9)),""))</f>
        <v>CRUSADER</v>
      </c>
      <c r="E9" s="15" t="str">
        <f>IF($P9="","",IFERROR(IF(INDEX(MASTER!$F$4:$F$1463,$P9)="","",INDEX(MASTER!$F$4:$F$1463,$P9)),""))</f>
        <v>Frontline</v>
      </c>
      <c r="F9" s="16">
        <f>IF($P9="","",IFERROR(IF(INDEX(MASTER!$G$4:$G$1463,$P9)="","",INDEX(MASTER!$G$4:$G$1463,$P9)),""))</f>
        <v>62145</v>
      </c>
      <c r="G9" s="15" t="str">
        <f>IF($P9="","",IFERROR(IF(INDEX(MASTER!$H$4:$H$1463,$P9)="","",INDEX(MASTER!$H$4:$H$1463,$P9)),""))</f>
        <v>62,000 - 62,999</v>
      </c>
      <c r="H9" s="16">
        <f>IF($P9="","",IFERROR(IF(INDEX(MASTER!$I$4:$I$1463,$P9)="","",INDEX(MASTER!$I$4:$I$1463,$P9)),""))</f>
        <v>4324</v>
      </c>
      <c r="I9" s="15" t="str">
        <f>IF($P9="","",IFERROR(IF(INDEX(MASTER!$J$4:$J$1463,$P9)="","",INDEX(MASTER!$J$4:$J$1463,$P9)),""))</f>
        <v>CORE</v>
      </c>
      <c r="J9" s="17">
        <f>IF($P9="","",IFERROR(IF(INDEX(MASTER!$L$4:$L$1463,$P9)="","",INDEX(MASTER!$L$4:$L$1463,$P9)),""))</f>
        <v>5</v>
      </c>
      <c r="K9" s="17">
        <f>IF($P9="","",IFERROR(IF(INDEX(MASTER!$N$4:$N$1463,$P9)="","",INDEX(MASTER!$N$4:$N$1463,$P9)),""))</f>
        <v>46</v>
      </c>
      <c r="L9" s="15" t="str">
        <f>IF($P9="","",IFERROR(IF(INDEX(MASTER!$O$4:$O$1463,$P9)="","",INDEX(MASTER!$O$4:$O$1463,$P9)),""))</f>
        <v>B</v>
      </c>
      <c r="M9" s="15">
        <f>IF($P9="","",IFERROR(IF(INDEX(MASTER!$Q$4:$Q$1463,$P9)="","",INDEX(MASTER!$Q$4:$Q$1463,$P9)),""))</f>
        <v>41</v>
      </c>
      <c r="N9" s="15" t="str">
        <f>IF($P9="","",IFERROR(IF(INDEX(MASTER!$S$4:$S$1463,$P9)="","",INDEX(MASTER!$S$4:$S$1463,$P9)),""))</f>
        <v>Complete</v>
      </c>
      <c r="P9">
        <f>IFERROR(MATCH($Q$1&amp;"@1",MASTER!$AC$4:$AC$1463,0),"")</f>
        <v>7</v>
      </c>
    </row>
    <row r="10" spans="1:17">
      <c r="A10" s="19">
        <f>IF($P10="","",2)</f>
        <v>2</v>
      </c>
      <c r="B10" s="18" t="str">
        <f>IF($P10="","",IFERROR(IF(INDEX(MASTER!$C$4:$C$1463,$P10)="","",INDEX(MASTER!$C$4:$C$1463,$P10)),""))</f>
        <v>Akena</v>
      </c>
      <c r="C10" s="19" t="str">
        <f>IF($P10="","",IFERROR(IF(INDEX(MASTER!$D$4:$D$1463,$P10)="","",INDEX(MASTER!$D$4:$D$1463,$P10)),""))</f>
        <v/>
      </c>
      <c r="D10" s="19" t="str">
        <f>IF($P10="","",IFERROR(IF(INDEX(MASTER!$E$4:$E$1463,$P10)="","",INDEX(MASTER!$E$4:$E$1463,$P10)),""))</f>
        <v>WARLOCK</v>
      </c>
      <c r="E10" s="19" t="str">
        <f>IF($P10="","",IFERROR(IF(INDEX(MASTER!$F$4:$F$1463,$P10)="","",INDEX(MASTER!$F$4:$F$1463,$P10)),""))</f>
        <v>Control</v>
      </c>
      <c r="F10" s="20">
        <f>IF($P10="","",IFERROR(IF(INDEX(MASTER!$G$4:$G$1463,$P10)="","",INDEX(MASTER!$G$4:$G$1463,$P10)),""))</f>
        <v>62928</v>
      </c>
      <c r="G10" s="19" t="str">
        <f>IF($P10="","",IFERROR(IF(INDEX(MASTER!$H$4:$H$1463,$P10)="","",INDEX(MASTER!$H$4:$H$1463,$P10)),""))</f>
        <v>62,000 - 62,999</v>
      </c>
      <c r="H10" s="20">
        <f>IF($P10="","",IFERROR(IF(INDEX(MASTER!$I$4:$I$1463,$P10)="","",INDEX(MASTER!$I$4:$I$1463,$P10)),""))</f>
        <v>4285</v>
      </c>
      <c r="I10" s="19" t="str">
        <f>IF($P10="","",IFERROR(IF(INDEX(MASTER!$J$4:$J$1463,$P10)="","",INDEX(MASTER!$J$4:$J$1463,$P10)),""))</f>
        <v>CORE</v>
      </c>
      <c r="J10" s="21">
        <f>IF($P10="","",IFERROR(IF(INDEX(MASTER!$L$4:$L$1463,$P10)="","",INDEX(MASTER!$L$4:$L$1463,$P10)),""))</f>
        <v>4.4000000000000004</v>
      </c>
      <c r="K10" s="21">
        <f>IF($P10="","",IFERROR(IF(INDEX(MASTER!$N$4:$N$1463,$P10)="","",INDEX(MASTER!$N$4:$N$1463,$P10)),""))</f>
        <v>46.9</v>
      </c>
      <c r="L10" s="19" t="str">
        <f>IF($P10="","",IFERROR(IF(INDEX(MASTER!$O$4:$O$1463,$P10)="","",INDEX(MASTER!$O$4:$O$1463,$P10)),""))</f>
        <v>B</v>
      </c>
      <c r="M10" s="19">
        <f>IF($P10="","",IFERROR(IF(INDEX(MASTER!$Q$4:$Q$1463,$P10)="","",INDEX(MASTER!$Q$4:$Q$1463,$P10)),""))</f>
        <v>44</v>
      </c>
      <c r="N10" s="19" t="str">
        <f>IF($P10="","",IFERROR(IF(INDEX(MASTER!$S$4:$S$1463,$P10)="","",INDEX(MASTER!$S$4:$S$1463,$P10)),""))</f>
        <v>Complete</v>
      </c>
      <c r="P10">
        <f>IFERROR(MATCH($Q$1&amp;"@2",MASTER!$AC$4:$AC$1463,0),"")</f>
        <v>31</v>
      </c>
    </row>
    <row r="11" spans="1:17">
      <c r="A11" s="15">
        <f>IF($P11="","",3)</f>
        <v>3</v>
      </c>
      <c r="B11" s="14" t="str">
        <f>IF($P11="","",IFERROR(IF(INDEX(MASTER!$C$4:$C$1463,$P11)="","",INDEX(MASTER!$C$4:$C$1463,$P11)),""))</f>
        <v>AleXavier</v>
      </c>
      <c r="C11" s="15" t="str">
        <f>IF($P11="","",IFERROR(IF(INDEX(MASTER!$D$4:$D$1463,$P11)="","",INDEX(MASTER!$D$4:$D$1463,$P11)),""))</f>
        <v/>
      </c>
      <c r="D11" s="15" t="str">
        <f>IF($P11="","",IFERROR(IF(INDEX(MASTER!$E$4:$E$1463,$P11)="","",INDEX(MASTER!$E$4:$E$1463,$P11)),""))</f>
        <v>WARLOCK</v>
      </c>
      <c r="E11" s="15" t="str">
        <f>IF($P11="","",IFERROR(IF(INDEX(MASTER!$F$4:$F$1463,$P11)="","",INDEX(MASTER!$F$4:$F$1463,$P11)),""))</f>
        <v>Control</v>
      </c>
      <c r="F11" s="16">
        <f>IF($P11="","",IFERROR(IF(INDEX(MASTER!$G$4:$G$1463,$P11)="","",INDEX(MASTER!$G$4:$G$1463,$P11)),""))</f>
        <v>63449</v>
      </c>
      <c r="G11" s="15" t="str">
        <f>IF($P11="","",IFERROR(IF(INDEX(MASTER!$H$4:$H$1463,$P11)="","",INDEX(MASTER!$H$4:$H$1463,$P11)),""))</f>
        <v>63,000 - 63,999</v>
      </c>
      <c r="H11" s="16">
        <f>IF($P11="","",IFERROR(IF(INDEX(MASTER!$I$4:$I$1463,$P11)="","",INDEX(MASTER!$I$4:$I$1463,$P11)),""))</f>
        <v>7230</v>
      </c>
      <c r="I11" s="15" t="str">
        <f>IF($P11="","",IFERROR(IF(INDEX(MASTER!$J$4:$J$1463,$P11)="","",INDEX(MASTER!$J$4:$J$1463,$P11)),""))</f>
        <v>VETERAN</v>
      </c>
      <c r="J11" s="17">
        <f>IF($P11="","",IFERROR(IF(INDEX(MASTER!$L$4:$L$1463,$P11)="","",INDEX(MASTER!$L$4:$L$1463,$P11)),""))</f>
        <v>4.5999999999999996</v>
      </c>
      <c r="K11" s="17">
        <f>IF($P11="","",IFERROR(IF(INDEX(MASTER!$N$4:$N$1463,$P11)="","",INDEX(MASTER!$N$4:$N$1463,$P11)),""))</f>
        <v>61.5</v>
      </c>
      <c r="L11" s="15" t="str">
        <f>IF($P11="","",IFERROR(IF(INDEX(MASTER!$O$4:$O$1463,$P11)="","",INDEX(MASTER!$O$4:$O$1463,$P11)),""))</f>
        <v>A</v>
      </c>
      <c r="M11" s="15">
        <f>IF($P11="","",IFERROR(IF(INDEX(MASTER!$Q$4:$Q$1463,$P11)="","",INDEX(MASTER!$Q$4:$Q$1463,$P11)),""))</f>
        <v>12</v>
      </c>
      <c r="N11" s="15" t="str">
        <f>IF($P11="","",IFERROR(IF(INDEX(MASTER!$S$4:$S$1463,$P11)="","",INDEX(MASTER!$S$4:$S$1463,$P11)),""))</f>
        <v>Complete</v>
      </c>
      <c r="P11">
        <f>IFERROR(MATCH($Q$1&amp;"@3",MASTER!$AC$4:$AC$1463,0),"")</f>
        <v>33</v>
      </c>
    </row>
    <row r="12" spans="1:17">
      <c r="A12" s="19">
        <f>IF($P12="","",4)</f>
        <v>4</v>
      </c>
      <c r="B12" s="18" t="str">
        <f>IF($P12="","",IFERROR(IF(INDEX(MASTER!$C$4:$C$1463,$P12)="","",INDEX(MASTER!$C$4:$C$1463,$P12)),""))</f>
        <v>Àmâk</v>
      </c>
      <c r="C12" s="19" t="str">
        <f>IF($P12="","",IFERROR(IF(INDEX(MASTER!$D$4:$D$1463,$P12)="","",INDEX(MASTER!$D$4:$D$1463,$P12)),""))</f>
        <v/>
      </c>
      <c r="D12" s="19" t="str">
        <f>IF($P12="","",IFERROR(IF(INDEX(MASTER!$E$4:$E$1463,$P12)="","",INDEX(MASTER!$E$4:$E$1463,$P12)),""))</f>
        <v>CRUSADER</v>
      </c>
      <c r="E12" s="19" t="str">
        <f>IF($P12="","",IFERROR(IF(INDEX(MASTER!$F$4:$F$1463,$P12)="","",INDEX(MASTER!$F$4:$F$1463,$P12)),""))</f>
        <v>Frontline</v>
      </c>
      <c r="F12" s="20">
        <f>IF($P12="","",IFERROR(IF(INDEX(MASTER!$G$4:$G$1463,$P12)="","",INDEX(MASTER!$G$4:$G$1463,$P12)),""))</f>
        <v>62733</v>
      </c>
      <c r="G12" s="19" t="str">
        <f>IF($P12="","",IFERROR(IF(INDEX(MASTER!$H$4:$H$1463,$P12)="","",INDEX(MASTER!$H$4:$H$1463,$P12)),""))</f>
        <v>62,000 - 62,999</v>
      </c>
      <c r="H12" s="20">
        <f>IF($P12="","",IFERROR(IF(INDEX(MASTER!$I$4:$I$1463,$P12)="","",INDEX(MASTER!$I$4:$I$1463,$P12)),""))</f>
        <v>2626</v>
      </c>
      <c r="I12" s="19" t="str">
        <f>IF($P12="","",IFERROR(IF(INDEX(MASTER!$J$4:$J$1463,$P12)="","",INDEX(MASTER!$J$4:$J$1463,$P12)),""))</f>
        <v>DEVELOPING</v>
      </c>
      <c r="J12" s="21">
        <f>IF($P12="","",IFERROR(IF(INDEX(MASTER!$L$4:$L$1463,$P12)="","",INDEX(MASTER!$L$4:$L$1463,$P12)),""))</f>
        <v>4</v>
      </c>
      <c r="K12" s="21">
        <f>IF($P12="","",IFERROR(IF(INDEX(MASTER!$N$4:$N$1463,$P12)="","",INDEX(MASTER!$N$4:$N$1463,$P12)),""))</f>
        <v>38.5</v>
      </c>
      <c r="L12" s="19" t="str">
        <f>IF($P12="","",IFERROR(IF(INDEX(MASTER!$O$4:$O$1463,$P12)="","",INDEX(MASTER!$O$4:$O$1463,$P12)),""))</f>
        <v>B</v>
      </c>
      <c r="M12" s="19">
        <f>IF($P12="","",IFERROR(IF(INDEX(MASTER!$Q$4:$Q$1463,$P12)="","",INDEX(MASTER!$Q$4:$Q$1463,$P12)),""))</f>
        <v>89</v>
      </c>
      <c r="N12" s="19" t="str">
        <f>IF($P12="","",IFERROR(IF(INDEX(MASTER!$S$4:$S$1463,$P12)="","",INDEX(MASTER!$S$4:$S$1463,$P12)),""))</f>
        <v>Complete</v>
      </c>
      <c r="P12">
        <f>IFERROR(MATCH($Q$1&amp;"@4",MASTER!$AC$4:$AC$1463,0),"")</f>
        <v>1330</v>
      </c>
    </row>
    <row r="13" spans="1:17">
      <c r="A13" s="15">
        <f>IF($P13="","",5)</f>
        <v>5</v>
      </c>
      <c r="B13" s="14" t="str">
        <f>IF($P13="","",IFERROR(IF(INDEX(MASTER!$C$4:$C$1463,$P13)="","",INDEX(MASTER!$C$4:$C$1463,$P13)),""))</f>
        <v>AnîmeKing</v>
      </c>
      <c r="C13" s="15" t="str">
        <f>IF($P13="","",IFERROR(IF(INDEX(MASTER!$D$4:$D$1463,$P13)="","",INDEX(MASTER!$D$4:$D$1463,$P13)),""))</f>
        <v/>
      </c>
      <c r="D13" s="15" t="str">
        <f>IF($P13="","",IFERROR(IF(INDEX(MASTER!$E$4:$E$1463,$P13)="","",INDEX(MASTER!$E$4:$E$1463,$P13)),""))</f>
        <v>NECROMANCER</v>
      </c>
      <c r="E13" s="15" t="str">
        <f>IF($P13="","",IFERROR(IF(INDEX(MASTER!$F$4:$F$1463,$P13)="","",INDEX(MASTER!$F$4:$F$1463,$P13)),""))</f>
        <v>Control</v>
      </c>
      <c r="F13" s="16">
        <f>IF($P13="","",IFERROR(IF(INDEX(MASTER!$G$4:$G$1463,$P13)="","",INDEX(MASTER!$G$4:$G$1463,$P13)),""))</f>
        <v>63229</v>
      </c>
      <c r="G13" s="15" t="str">
        <f>IF($P13="","",IFERROR(IF(INDEX(MASTER!$H$4:$H$1463,$P13)="","",INDEX(MASTER!$H$4:$H$1463,$P13)),""))</f>
        <v>63,000 - 63,999</v>
      </c>
      <c r="H13" s="16">
        <f>IF($P13="","",IFERROR(IF(INDEX(MASTER!$I$4:$I$1463,$P13)="","",INDEX(MASTER!$I$4:$I$1463,$P13)),""))</f>
        <v>7317</v>
      </c>
      <c r="I13" s="15" t="str">
        <f>IF($P13="","",IFERROR(IF(INDEX(MASTER!$J$4:$J$1463,$P13)="","",INDEX(MASTER!$J$4:$J$1463,$P13)),""))</f>
        <v>VETERAN</v>
      </c>
      <c r="J13" s="17">
        <f>IF($P13="","",IFERROR(IF(INDEX(MASTER!$L$4:$L$1463,$P13)="","",INDEX(MASTER!$L$4:$L$1463,$P13)),""))</f>
        <v>6.5</v>
      </c>
      <c r="K13" s="17">
        <f>IF($P13="","",IFERROR(IF(INDEX(MASTER!$N$4:$N$1463,$P13)="","",INDEX(MASTER!$N$4:$N$1463,$P13)),""))</f>
        <v>64.400000000000006</v>
      </c>
      <c r="L13" s="15" t="str">
        <f>IF($P13="","",IFERROR(IF(INDEX(MASTER!$O$4:$O$1463,$P13)="","",INDEX(MASTER!$O$4:$O$1463,$P13)),""))</f>
        <v>A</v>
      </c>
      <c r="M13" s="15">
        <f>IF($P13="","",IFERROR(IF(INDEX(MASTER!$Q$4:$Q$1463,$P13)="","",INDEX(MASTER!$Q$4:$Q$1463,$P13)),""))</f>
        <v>10</v>
      </c>
      <c r="N13" s="15" t="str">
        <f>IF($P13="","",IFERROR(IF(INDEX(MASTER!$S$4:$S$1463,$P13)="","",INDEX(MASTER!$S$4:$S$1463,$P13)),""))</f>
        <v>Complete</v>
      </c>
      <c r="P13">
        <f>IFERROR(MATCH($Q$1&amp;"@5",MASTER!$AC$4:$AC$1463,0),"")</f>
        <v>51</v>
      </c>
    </row>
    <row r="14" spans="1:17">
      <c r="A14" s="19">
        <f>IF($P14="","",6)</f>
        <v>6</v>
      </c>
      <c r="B14" s="18" t="str">
        <f>IF($P14="","",IFERROR(IF(INDEX(MASTER!$C$4:$C$1463,$P14)="","",INDEX(MASTER!$C$4:$C$1463,$P14)),""))</f>
        <v>Armedias</v>
      </c>
      <c r="C14" s="19" t="str">
        <f>IF($P14="","",IFERROR(IF(INDEX(MASTER!$D$4:$D$1463,$P14)="","",INDEX(MASTER!$D$4:$D$1463,$P14)),""))</f>
        <v/>
      </c>
      <c r="D14" s="19" t="str">
        <f>IF($P14="","",IFERROR(IF(INDEX(MASTER!$E$4:$E$1463,$P14)="","",INDEX(MASTER!$E$4:$E$1463,$P14)),""))</f>
        <v>WARLOCK</v>
      </c>
      <c r="E14" s="19" t="str">
        <f>IF($P14="","",IFERROR(IF(INDEX(MASTER!$F$4:$F$1463,$P14)="","",INDEX(MASTER!$F$4:$F$1463,$P14)),""))</f>
        <v>Control</v>
      </c>
      <c r="F14" s="20">
        <f>IF($P14="","",IFERROR(IF(INDEX(MASTER!$G$4:$G$1463,$P14)="","",INDEX(MASTER!$G$4:$G$1463,$P14)),""))</f>
        <v>63263</v>
      </c>
      <c r="G14" s="19" t="str">
        <f>IF($P14="","",IFERROR(IF(INDEX(MASTER!$H$4:$H$1463,$P14)="","",INDEX(MASTER!$H$4:$H$1463,$P14)),""))</f>
        <v>63,000 - 63,999</v>
      </c>
      <c r="H14" s="20">
        <f>IF($P14="","",IFERROR(IF(INDEX(MASTER!$I$4:$I$1463,$P14)="","",INDEX(MASTER!$I$4:$I$1463,$P14)),""))</f>
        <v>3528</v>
      </c>
      <c r="I14" s="19" t="str">
        <f>IF($P14="","",IFERROR(IF(INDEX(MASTER!$J$4:$J$1463,$P14)="","",INDEX(MASTER!$J$4:$J$1463,$P14)),""))</f>
        <v>DEVELOPING</v>
      </c>
      <c r="J14" s="21">
        <f>IF($P14="","",IFERROR(IF(INDEX(MASTER!$L$4:$L$1463,$P14)="","",INDEX(MASTER!$L$4:$L$1463,$P14)),""))</f>
        <v>4.2</v>
      </c>
      <c r="K14" s="21">
        <f>IF($P14="","",IFERROR(IF(INDEX(MASTER!$N$4:$N$1463,$P14)="","",INDEX(MASTER!$N$4:$N$1463,$P14)),""))</f>
        <v>44.1</v>
      </c>
      <c r="L14" s="19" t="str">
        <f>IF($P14="","",IFERROR(IF(INDEX(MASTER!$O$4:$O$1463,$P14)="","",INDEX(MASTER!$O$4:$O$1463,$P14)),""))</f>
        <v>B</v>
      </c>
      <c r="M14" s="19">
        <f>IF($P14="","",IFERROR(IF(INDEX(MASTER!$Q$4:$Q$1463,$P14)="","",INDEX(MASTER!$Q$4:$Q$1463,$P14)),""))</f>
        <v>68</v>
      </c>
      <c r="N14" s="19" t="str">
        <f>IF($P14="","",IFERROR(IF(INDEX(MASTER!$S$4:$S$1463,$P14)="","",INDEX(MASTER!$S$4:$S$1463,$P14)),""))</f>
        <v>Complete</v>
      </c>
      <c r="P14">
        <f>IFERROR(MATCH($Q$1&amp;"@6",MASTER!$AC$4:$AC$1463,0),"")</f>
        <v>57</v>
      </c>
    </row>
    <row r="15" spans="1:17">
      <c r="A15" s="15">
        <f>IF($P15="","",7)</f>
        <v>7</v>
      </c>
      <c r="B15" s="14" t="str">
        <f>IF($P15="","",IFERROR(IF(INDEX(MASTER!$C$4:$C$1463,$P15)="","",INDEX(MASTER!$C$4:$C$1463,$P15)),""))</f>
        <v>AssumemyGender</v>
      </c>
      <c r="C15" s="15" t="str">
        <f>IF($P15="","",IFERROR(IF(INDEX(MASTER!$D$4:$D$1463,$P15)="","",INDEX(MASTER!$D$4:$D$1463,$P15)),""))</f>
        <v/>
      </c>
      <c r="D15" s="15" t="str">
        <f>IF($P15="","",IFERROR(IF(INDEX(MASTER!$E$4:$E$1463,$P15)="","",INDEX(MASTER!$E$4:$E$1463,$P15)),""))</f>
        <v>BLOOD KNIGHT</v>
      </c>
      <c r="E15" s="15" t="str">
        <f>IF($P15="","",IFERROR(IF(INDEX(MASTER!$F$4:$F$1463,$P15)="","",INDEX(MASTER!$F$4:$F$1463,$P15)),""))</f>
        <v>Frontline</v>
      </c>
      <c r="F15" s="16">
        <f>IF($P15="","",IFERROR(IF(INDEX(MASTER!$G$4:$G$1463,$P15)="","",INDEX(MASTER!$G$4:$G$1463,$P15)),""))</f>
        <v>62657</v>
      </c>
      <c r="G15" s="15" t="str">
        <f>IF($P15="","",IFERROR(IF(INDEX(MASTER!$H$4:$H$1463,$P15)="","",INDEX(MASTER!$H$4:$H$1463,$P15)),""))</f>
        <v>62,000 - 62,999</v>
      </c>
      <c r="H15" s="16">
        <f>IF($P15="","",IFERROR(IF(INDEX(MASTER!$I$4:$I$1463,$P15)="","",INDEX(MASTER!$I$4:$I$1463,$P15)),""))</f>
        <v>3747</v>
      </c>
      <c r="I15" s="15" t="str">
        <f>IF($P15="","",IFERROR(IF(INDEX(MASTER!$J$4:$J$1463,$P15)="","",INDEX(MASTER!$J$4:$J$1463,$P15)),""))</f>
        <v>DEVELOPING</v>
      </c>
      <c r="J15" s="17">
        <f>IF($P15="","",IFERROR(IF(INDEX(MASTER!$L$4:$L$1463,$P15)="","",INDEX(MASTER!$L$4:$L$1463,$P15)),""))</f>
        <v>4.5999999999999996</v>
      </c>
      <c r="K15" s="17">
        <f>IF($P15="","",IFERROR(IF(INDEX(MASTER!$N$4:$N$1463,$P15)="","",INDEX(MASTER!$N$4:$N$1463,$P15)),""))</f>
        <v>44.2</v>
      </c>
      <c r="L15" s="15" t="str">
        <f>IF($P15="","",IFERROR(IF(INDEX(MASTER!$O$4:$O$1463,$P15)="","",INDEX(MASTER!$O$4:$O$1463,$P15)),""))</f>
        <v>B</v>
      </c>
      <c r="M15" s="15">
        <f>IF($P15="","",IFERROR(IF(INDEX(MASTER!$Q$4:$Q$1463,$P15)="","",INDEX(MASTER!$Q$4:$Q$1463,$P15)),""))</f>
        <v>58</v>
      </c>
      <c r="N15" s="15" t="str">
        <f>IF($P15="","",IFERROR(IF(INDEX(MASTER!$S$4:$S$1463,$P15)="","",INDEX(MASTER!$S$4:$S$1463,$P15)),""))</f>
        <v>Complete</v>
      </c>
      <c r="P15">
        <f>IFERROR(MATCH($Q$1&amp;"@7",MASTER!$AC$4:$AC$1463,0),"")</f>
        <v>68</v>
      </c>
    </row>
    <row r="16" spans="1:17">
      <c r="A16" s="19">
        <f>IF($P16="","",8)</f>
        <v>8</v>
      </c>
      <c r="B16" s="18" t="str">
        <f>IF($P16="","",IFERROR(IF(INDEX(MASTER!$C$4:$C$1463,$P16)="","",INDEX(MASTER!$C$4:$C$1463,$P16)),""))</f>
        <v>AtulaKB</v>
      </c>
      <c r="C16" s="19" t="str">
        <f>IF($P16="","",IFERROR(IF(INDEX(MASTER!$D$4:$D$1463,$P16)="","",INDEX(MASTER!$D$4:$D$1463,$P16)),""))</f>
        <v/>
      </c>
      <c r="D16" s="19" t="str">
        <f>IF($P16="","",IFERROR(IF(INDEX(MASTER!$E$4:$E$1463,$P16)="","",INDEX(MASTER!$E$4:$E$1463,$P16)),""))</f>
        <v>BLOOD KNIGHT</v>
      </c>
      <c r="E16" s="19" t="str">
        <f>IF($P16="","",IFERROR(IF(INDEX(MASTER!$F$4:$F$1463,$P16)="","",INDEX(MASTER!$F$4:$F$1463,$P16)),""))</f>
        <v>Frontline</v>
      </c>
      <c r="F16" s="20">
        <f>IF($P16="","",IFERROR(IF(INDEX(MASTER!$G$4:$G$1463,$P16)="","",INDEX(MASTER!$G$4:$G$1463,$P16)),""))</f>
        <v>62139</v>
      </c>
      <c r="G16" s="19" t="str">
        <f>IF($P16="","",IFERROR(IF(INDEX(MASTER!$H$4:$H$1463,$P16)="","",INDEX(MASTER!$H$4:$H$1463,$P16)),""))</f>
        <v>62,000 - 62,999</v>
      </c>
      <c r="H16" s="20">
        <f>IF($P16="","",IFERROR(IF(INDEX(MASTER!$I$4:$I$1463,$P16)="","",INDEX(MASTER!$I$4:$I$1463,$P16)),""))</f>
        <v>5223</v>
      </c>
      <c r="I16" s="19" t="str">
        <f>IF($P16="","",IFERROR(IF(INDEX(MASTER!$J$4:$J$1463,$P16)="","",INDEX(MASTER!$J$4:$J$1463,$P16)),""))</f>
        <v>CORE</v>
      </c>
      <c r="J16" s="21">
        <f>IF($P16="","",IFERROR(IF(INDEX(MASTER!$L$4:$L$1463,$P16)="","",INDEX(MASTER!$L$4:$L$1463,$P16)),""))</f>
        <v>7</v>
      </c>
      <c r="K16" s="21">
        <f>IF($P16="","",IFERROR(IF(INDEX(MASTER!$N$4:$N$1463,$P16)="","",INDEX(MASTER!$N$4:$N$1463,$P16)),""))</f>
        <v>53.3</v>
      </c>
      <c r="L16" s="19" t="str">
        <f>IF($P16="","",IFERROR(IF(INDEX(MASTER!$O$4:$O$1463,$P16)="","",INDEX(MASTER!$O$4:$O$1463,$P16)),""))</f>
        <v>A</v>
      </c>
      <c r="M16" s="19">
        <f>IF($P16="","",IFERROR(IF(INDEX(MASTER!$Q$4:$Q$1463,$P16)="","",INDEX(MASTER!$Q$4:$Q$1463,$P16)),""))</f>
        <v>26</v>
      </c>
      <c r="N16" s="19" t="str">
        <f>IF($P16="","",IFERROR(IF(INDEX(MASTER!$S$4:$S$1463,$P16)="","",INDEX(MASTER!$S$4:$S$1463,$P16)),""))</f>
        <v>Complete</v>
      </c>
      <c r="P16">
        <f>IFERROR(MATCH($Q$1&amp;"@8",MASTER!$AC$4:$AC$1463,0),"")</f>
        <v>76</v>
      </c>
    </row>
    <row r="17" spans="1:16">
      <c r="A17" s="15">
        <f>IF($P17="","",9)</f>
        <v>9</v>
      </c>
      <c r="B17" s="14" t="str">
        <f>IF($P17="","",IFERROR(IF(INDEX(MASTER!$C$4:$C$1463,$P17)="","",INDEX(MASTER!$C$4:$C$1463,$P17)),""))</f>
        <v>Azaghãl</v>
      </c>
      <c r="C17" s="15" t="str">
        <f>IF($P17="","",IFERROR(IF(INDEX(MASTER!$D$4:$D$1463,$P17)="","",INDEX(MASTER!$D$4:$D$1463,$P17)),""))</f>
        <v/>
      </c>
      <c r="D17" s="15" t="str">
        <f>IF($P17="","",IFERROR(IF(INDEX(MASTER!$E$4:$E$1463,$P17)="","",INDEX(MASTER!$E$4:$E$1463,$P17)),""))</f>
        <v>BLOOD KNIGHT</v>
      </c>
      <c r="E17" s="15" t="str">
        <f>IF($P17="","",IFERROR(IF(INDEX(MASTER!$F$4:$F$1463,$P17)="","",INDEX(MASTER!$F$4:$F$1463,$P17)),""))</f>
        <v>Frontline</v>
      </c>
      <c r="F17" s="16">
        <f>IF($P17="","",IFERROR(IF(INDEX(MASTER!$G$4:$G$1463,$P17)="","",INDEX(MASTER!$G$4:$G$1463,$P17)),""))</f>
        <v>62820</v>
      </c>
      <c r="G17" s="15" t="str">
        <f>IF($P17="","",IFERROR(IF(INDEX(MASTER!$H$4:$H$1463,$P17)="","",INDEX(MASTER!$H$4:$H$1463,$P17)),""))</f>
        <v>62,000 - 62,999</v>
      </c>
      <c r="H17" s="16">
        <f>IF($P17="","",IFERROR(IF(INDEX(MASTER!$I$4:$I$1463,$P17)="","",INDEX(MASTER!$I$4:$I$1463,$P17)),""))</f>
        <v>2133</v>
      </c>
      <c r="I17" s="15" t="str">
        <f>IF($P17="","",IFERROR(IF(INDEX(MASTER!$J$4:$J$1463,$P17)="","",INDEX(MASTER!$J$4:$J$1463,$P17)),""))</f>
        <v>DEVELOPING</v>
      </c>
      <c r="J17" s="17">
        <f>IF($P17="","",IFERROR(IF(INDEX(MASTER!$L$4:$L$1463,$P17)="","",INDEX(MASTER!$L$4:$L$1463,$P17)),""))</f>
        <v>3.8</v>
      </c>
      <c r="K17" s="17">
        <f>IF($P17="","",IFERROR(IF(INDEX(MASTER!$N$4:$N$1463,$P17)="","",INDEX(MASTER!$N$4:$N$1463,$P17)),""))</f>
        <v>36.200000000000003</v>
      </c>
      <c r="L17" s="15" t="str">
        <f>IF($P17="","",IFERROR(IF(INDEX(MASTER!$O$4:$O$1463,$P17)="","",INDEX(MASTER!$O$4:$O$1463,$P17)),""))</f>
        <v>B</v>
      </c>
      <c r="M17" s="15">
        <f>IF($P17="","",IFERROR(IF(INDEX(MASTER!$Q$4:$Q$1463,$P17)="","",INDEX(MASTER!$Q$4:$Q$1463,$P17)),""))</f>
        <v>95</v>
      </c>
      <c r="N17" s="15" t="str">
        <f>IF($P17="","",IFERROR(IF(INDEX(MASTER!$S$4:$S$1463,$P17)="","",INDEX(MASTER!$S$4:$S$1463,$P17)),""))</f>
        <v>Complete</v>
      </c>
      <c r="P17">
        <f>IFERROR(MATCH($Q$1&amp;"@9",MASTER!$AC$4:$AC$1463,0),"")</f>
        <v>86</v>
      </c>
    </row>
    <row r="18" spans="1:16">
      <c r="A18" s="19">
        <f>IF($P18="","",10)</f>
        <v>10</v>
      </c>
      <c r="B18" s="18" t="str">
        <f>IF($P18="","",IFERROR(IF(INDEX(MASTER!$C$4:$C$1463,$P18)="","",INDEX(MASTER!$C$4:$C$1463,$P18)),""))</f>
        <v>Barbaroh</v>
      </c>
      <c r="C18" s="19" t="str">
        <f>IF($P18="","",IFERROR(IF(INDEX(MASTER!$D$4:$D$1463,$P18)="","",INDEX(MASTER!$D$4:$D$1463,$P18)),""))</f>
        <v/>
      </c>
      <c r="D18" s="19" t="str">
        <f>IF($P18="","",IFERROR(IF(INDEX(MASTER!$E$4:$E$1463,$P18)="","",INDEX(MASTER!$E$4:$E$1463,$P18)),""))</f>
        <v>BARBARIAN</v>
      </c>
      <c r="E18" s="19" t="str">
        <f>IF($P18="","",IFERROR(IF(INDEX(MASTER!$F$4:$F$1463,$P18)="","",INDEX(MASTER!$F$4:$F$1463,$P18)),""))</f>
        <v>Frontline</v>
      </c>
      <c r="F18" s="20">
        <f>IF($P18="","",IFERROR(IF(INDEX(MASTER!$G$4:$G$1463,$P18)="","",INDEX(MASTER!$G$4:$G$1463,$P18)),""))</f>
        <v>63239</v>
      </c>
      <c r="G18" s="19" t="str">
        <f>IF($P18="","",IFERROR(IF(INDEX(MASTER!$H$4:$H$1463,$P18)="","",INDEX(MASTER!$H$4:$H$1463,$P18)),""))</f>
        <v>63,000 - 63,999</v>
      </c>
      <c r="H18" s="20">
        <f>IF($P18="","",IFERROR(IF(INDEX(MASTER!$I$4:$I$1463,$P18)="","",INDEX(MASTER!$I$4:$I$1463,$P18)),""))</f>
        <v>4680</v>
      </c>
      <c r="I18" s="19" t="str">
        <f>IF($P18="","",IFERROR(IF(INDEX(MASTER!$J$4:$J$1463,$P18)="","",INDEX(MASTER!$J$4:$J$1463,$P18)),""))</f>
        <v>CORE</v>
      </c>
      <c r="J18" s="21">
        <f>IF($P18="","",IFERROR(IF(INDEX(MASTER!$L$4:$L$1463,$P18)="","",INDEX(MASTER!$L$4:$L$1463,$P18)),""))</f>
        <v>4.9000000000000004</v>
      </c>
      <c r="K18" s="21">
        <f>IF($P18="","",IFERROR(IF(INDEX(MASTER!$N$4:$N$1463,$P18)="","",INDEX(MASTER!$N$4:$N$1463,$P18)),""))</f>
        <v>50.3</v>
      </c>
      <c r="L18" s="19" t="str">
        <f>IF($P18="","",IFERROR(IF(INDEX(MASTER!$O$4:$O$1463,$P18)="","",INDEX(MASTER!$O$4:$O$1463,$P18)),""))</f>
        <v>A</v>
      </c>
      <c r="M18" s="19">
        <f>IF($P18="","",IFERROR(IF(INDEX(MASTER!$Q$4:$Q$1463,$P18)="","",INDEX(MASTER!$Q$4:$Q$1463,$P18)),""))</f>
        <v>31</v>
      </c>
      <c r="N18" s="19" t="str">
        <f>IF($P18="","",IFERROR(IF(INDEX(MASTER!$S$4:$S$1463,$P18)="","",INDEX(MASTER!$S$4:$S$1463,$P18)),""))</f>
        <v>Complete</v>
      </c>
      <c r="P18">
        <f>IFERROR(MATCH($Q$1&amp;"@10",MASTER!$AC$4:$AC$1463,0),"")</f>
        <v>105</v>
      </c>
    </row>
    <row r="19" spans="1:16">
      <c r="A19" s="15">
        <f>IF($P19="","",11)</f>
        <v>11</v>
      </c>
      <c r="B19" s="14" t="str">
        <f>IF($P19="","",IFERROR(IF(INDEX(MASTER!$C$4:$C$1463,$P19)="","",INDEX(MASTER!$C$4:$C$1463,$P19)),""))</f>
        <v>Beansbaxter</v>
      </c>
      <c r="C19" s="15" t="str">
        <f>IF($P19="","",IFERROR(IF(INDEX(MASTER!$D$4:$D$1463,$P19)="","",INDEX(MASTER!$D$4:$D$1463,$P19)),""))</f>
        <v/>
      </c>
      <c r="D19" s="15" t="str">
        <f>IF($P19="","",IFERROR(IF(INDEX(MASTER!$E$4:$E$1463,$P19)="","",INDEX(MASTER!$E$4:$E$1463,$P19)),""))</f>
        <v>DEMON HUNTER</v>
      </c>
      <c r="E19" s="15" t="str">
        <f>IF($P19="","",IFERROR(IF(INDEX(MASTER!$F$4:$F$1463,$P19)="","",INDEX(MASTER!$F$4:$F$1463,$P19)),""))</f>
        <v>Ranged DPS</v>
      </c>
      <c r="F19" s="16">
        <f>IF($P19="","",IFERROR(IF(INDEX(MASTER!$G$4:$G$1463,$P19)="","",INDEX(MASTER!$G$4:$G$1463,$P19)),""))</f>
        <v>63151</v>
      </c>
      <c r="G19" s="15" t="str">
        <f>IF($P19="","",IFERROR(IF(INDEX(MASTER!$H$4:$H$1463,$P19)="","",INDEX(MASTER!$H$4:$H$1463,$P19)),""))</f>
        <v>63,000 - 63,999</v>
      </c>
      <c r="H19" s="16">
        <f>IF($P19="","",IFERROR(IF(INDEX(MASTER!$I$4:$I$1463,$P19)="","",INDEX(MASTER!$I$4:$I$1463,$P19)),""))</f>
        <v>3309</v>
      </c>
      <c r="I19" s="15" t="str">
        <f>IF($P19="","",IFERROR(IF(INDEX(MASTER!$J$4:$J$1463,$P19)="","",INDEX(MASTER!$J$4:$J$1463,$P19)),""))</f>
        <v>DEVELOPING</v>
      </c>
      <c r="J19" s="17">
        <f>IF($P19="","",IFERROR(IF(INDEX(MASTER!$L$4:$L$1463,$P19)="","",INDEX(MASTER!$L$4:$L$1463,$P19)),""))</f>
        <v>6.7</v>
      </c>
      <c r="K19" s="17">
        <f>IF($P19="","",IFERROR(IF(INDEX(MASTER!$N$4:$N$1463,$P19)="","",INDEX(MASTER!$N$4:$N$1463,$P19)),""))</f>
        <v>47.1</v>
      </c>
      <c r="L19" s="15" t="str">
        <f>IF($P19="","",IFERROR(IF(INDEX(MASTER!$O$4:$O$1463,$P19)="","",INDEX(MASTER!$O$4:$O$1463,$P19)),""))</f>
        <v>B</v>
      </c>
      <c r="M19" s="15">
        <f>IF($P19="","",IFERROR(IF(INDEX(MASTER!$Q$4:$Q$1463,$P19)="","",INDEX(MASTER!$Q$4:$Q$1463,$P19)),""))</f>
        <v>75</v>
      </c>
      <c r="N19" s="15" t="str">
        <f>IF($P19="","",IFERROR(IF(INDEX(MASTER!$S$4:$S$1463,$P19)="","",INDEX(MASTER!$S$4:$S$1463,$P19)),""))</f>
        <v>Complete</v>
      </c>
      <c r="P19">
        <f>IFERROR(MATCH($Q$1&amp;"@11",MASTER!$AC$4:$AC$1463,0),"")</f>
        <v>109</v>
      </c>
    </row>
    <row r="20" spans="1:16">
      <c r="A20" s="19">
        <f>IF($P20="","",12)</f>
        <v>12</v>
      </c>
      <c r="B20" s="18" t="str">
        <f>IF($P20="","",IFERROR(IF(INDEX(MASTER!$C$4:$C$1463,$P20)="","",INDEX(MASTER!$C$4:$C$1463,$P20)),""))</f>
        <v>Bi9DaddyMark</v>
      </c>
      <c r="C20" s="19" t="str">
        <f>IF($P20="","",IFERROR(IF(INDEX(MASTER!$D$4:$D$1463,$P20)="","",INDEX(MASTER!$D$4:$D$1463,$P20)),""))</f>
        <v/>
      </c>
      <c r="D20" s="19" t="str">
        <f>IF($P20="","",IFERROR(IF(INDEX(MASTER!$E$4:$E$1463,$P20)="","",INDEX(MASTER!$E$4:$E$1463,$P20)),""))</f>
        <v>WARLOCK</v>
      </c>
      <c r="E20" s="19" t="str">
        <f>IF($P20="","",IFERROR(IF(INDEX(MASTER!$F$4:$F$1463,$P20)="","",INDEX(MASTER!$F$4:$F$1463,$P20)),""))</f>
        <v>Control</v>
      </c>
      <c r="F20" s="20">
        <f>IF($P20="","",IFERROR(IF(INDEX(MASTER!$G$4:$G$1463,$P20)="","",INDEX(MASTER!$G$4:$G$1463,$P20)),""))</f>
        <v>61489</v>
      </c>
      <c r="G20" s="19" t="str">
        <f>IF($P20="","",IFERROR(IF(INDEX(MASTER!$H$4:$H$1463,$P20)="","",INDEX(MASTER!$H$4:$H$1463,$P20)),""))</f>
        <v>61,000 - 61,999</v>
      </c>
      <c r="H20" s="20">
        <f>IF($P20="","",IFERROR(IF(INDEX(MASTER!$I$4:$I$1463,$P20)="","",INDEX(MASTER!$I$4:$I$1463,$P20)),""))</f>
        <v>4259</v>
      </c>
      <c r="I20" s="19" t="str">
        <f>IF($P20="","",IFERROR(IF(INDEX(MASTER!$J$4:$J$1463,$P20)="","",INDEX(MASTER!$J$4:$J$1463,$P20)),""))</f>
        <v>CORE</v>
      </c>
      <c r="J20" s="21">
        <f>IF($P20="","",IFERROR(IF(INDEX(MASTER!$L$4:$L$1463,$P20)="","",INDEX(MASTER!$L$4:$L$1463,$P20)),""))</f>
        <v>4.5999999999999996</v>
      </c>
      <c r="K20" s="21">
        <f>IF($P20="","",IFERROR(IF(INDEX(MASTER!$N$4:$N$1463,$P20)="","",INDEX(MASTER!$N$4:$N$1463,$P20)),""))</f>
        <v>43.3</v>
      </c>
      <c r="L20" s="19" t="str">
        <f>IF($P20="","",IFERROR(IF(INDEX(MASTER!$O$4:$O$1463,$P20)="","",INDEX(MASTER!$O$4:$O$1463,$P20)),""))</f>
        <v>B</v>
      </c>
      <c r="M20" s="19">
        <f>IF($P20="","",IFERROR(IF(INDEX(MASTER!$Q$4:$Q$1463,$P20)="","",INDEX(MASTER!$Q$4:$Q$1463,$P20)),""))</f>
        <v>45</v>
      </c>
      <c r="N20" s="19" t="str">
        <f>IF($P20="","",IFERROR(IF(INDEX(MASTER!$S$4:$S$1463,$P20)="","",INDEX(MASTER!$S$4:$S$1463,$P20)),""))</f>
        <v>Complete</v>
      </c>
      <c r="P20">
        <f>IFERROR(MATCH($Q$1&amp;"@12",MASTER!$AC$4:$AC$1463,0),"")</f>
        <v>128</v>
      </c>
    </row>
    <row r="21" spans="1:16">
      <c r="A21" s="15">
        <f>IF($P21="","",13)</f>
        <v>13</v>
      </c>
      <c r="B21" s="14" t="str">
        <f>IF($P21="","",IFERROR(IF(INDEX(MASTER!$C$4:$C$1463,$P21)="","",INDEX(MASTER!$C$4:$C$1463,$P21)),""))</f>
        <v>billd</v>
      </c>
      <c r="C21" s="15" t="str">
        <f>IF($P21="","",IFERROR(IF(INDEX(MASTER!$D$4:$D$1463,$P21)="","",INDEX(MASTER!$D$4:$D$1463,$P21)),""))</f>
        <v/>
      </c>
      <c r="D21" s="15" t="str">
        <f>IF($P21="","",IFERROR(IF(INDEX(MASTER!$E$4:$E$1463,$P21)="","",INDEX(MASTER!$E$4:$E$1463,$P21)),""))</f>
        <v>BARBARIAN</v>
      </c>
      <c r="E21" s="15" t="str">
        <f>IF($P21="","",IFERROR(IF(INDEX(MASTER!$F$4:$F$1463,$P21)="","",INDEX(MASTER!$F$4:$F$1463,$P21)),""))</f>
        <v>Frontline</v>
      </c>
      <c r="F21" s="16">
        <f>IF($P21="","",IFERROR(IF(INDEX(MASTER!$G$4:$G$1463,$P21)="","",INDEX(MASTER!$G$4:$G$1463,$P21)),""))</f>
        <v>64079</v>
      </c>
      <c r="G21" s="15" t="str">
        <f>IF($P21="","",IFERROR(IF(INDEX(MASTER!$H$4:$H$1463,$P21)="","",INDEX(MASTER!$H$4:$H$1463,$P21)),""))</f>
        <v>64,000 +</v>
      </c>
      <c r="H21" s="16">
        <f>IF($P21="","",IFERROR(IF(INDEX(MASTER!$I$4:$I$1463,$P21)="","",INDEX(MASTER!$I$4:$I$1463,$P21)),""))</f>
        <v>9637</v>
      </c>
      <c r="I21" s="15" t="str">
        <f>IF($P21="","",IFERROR(IF(INDEX(MASTER!$J$4:$J$1463,$P21)="","",INDEX(MASTER!$J$4:$J$1463,$P21)),""))</f>
        <v>ELITE</v>
      </c>
      <c r="J21" s="17">
        <f>IF($P21="","",IFERROR(IF(INDEX(MASTER!$L$4:$L$1463,$P21)="","",INDEX(MASTER!$L$4:$L$1463,$P21)),""))</f>
        <v>6.5</v>
      </c>
      <c r="K21" s="17">
        <f>IF($P21="","",IFERROR(IF(INDEX(MASTER!$N$4:$N$1463,$P21)="","",INDEX(MASTER!$N$4:$N$1463,$P21)),""))</f>
        <v>76.8</v>
      </c>
      <c r="L21" s="15" t="str">
        <f>IF($P21="","",IFERROR(IF(INDEX(MASTER!$O$4:$O$1463,$P21)="","",INDEX(MASTER!$O$4:$O$1463,$P21)),""))</f>
        <v>S</v>
      </c>
      <c r="M21" s="15">
        <f>IF($P21="","",IFERROR(IF(INDEX(MASTER!$Q$4:$Q$1463,$P21)="","",INDEX(MASTER!$Q$4:$Q$1463,$P21)),""))</f>
        <v>2</v>
      </c>
      <c r="N21" s="15" t="str">
        <f>IF($P21="","",IFERROR(IF(INDEX(MASTER!$S$4:$S$1463,$P21)="","",INDEX(MASTER!$S$4:$S$1463,$P21)),""))</f>
        <v>Complete</v>
      </c>
      <c r="P21">
        <f>IFERROR(MATCH($Q$1&amp;"@13",MASTER!$AC$4:$AC$1463,0),"")</f>
        <v>136</v>
      </c>
    </row>
    <row r="22" spans="1:16">
      <c r="A22" s="19">
        <f>IF($P22="","",14)</f>
        <v>14</v>
      </c>
      <c r="B22" s="18" t="str">
        <f>IF($P22="","",IFERROR(IF(INDEX(MASTER!$C$4:$C$1463,$P22)="","",INDEX(MASTER!$C$4:$C$1463,$P22)),""))</f>
        <v>Blackdot</v>
      </c>
      <c r="C22" s="19" t="str">
        <f>IF($P22="","",IFERROR(IF(INDEX(MASTER!$D$4:$D$1463,$P22)="","",INDEX(MASTER!$D$4:$D$1463,$P22)),""))</f>
        <v/>
      </c>
      <c r="D22" s="19" t="str">
        <f>IF($P22="","",IFERROR(IF(INDEX(MASTER!$E$4:$E$1463,$P22)="","",INDEX(MASTER!$E$4:$E$1463,$P22)),""))</f>
        <v>WIZARD</v>
      </c>
      <c r="E22" s="19" t="str">
        <f>IF($P22="","",IFERROR(IF(INDEX(MASTER!$F$4:$F$1463,$P22)="","",INDEX(MASTER!$F$4:$F$1463,$P22)),""))</f>
        <v>Ranged DPS</v>
      </c>
      <c r="F22" s="20">
        <f>IF($P22="","",IFERROR(IF(INDEX(MASTER!$G$4:$G$1463,$P22)="","",INDEX(MASTER!$G$4:$G$1463,$P22)),""))</f>
        <v>63565</v>
      </c>
      <c r="G22" s="19" t="str">
        <f>IF($P22="","",IFERROR(IF(INDEX(MASTER!$H$4:$H$1463,$P22)="","",INDEX(MASTER!$H$4:$H$1463,$P22)),""))</f>
        <v>63,000 - 63,999</v>
      </c>
      <c r="H22" s="20">
        <f>IF($P22="","",IFERROR(IF(INDEX(MASTER!$I$4:$I$1463,$P22)="","",INDEX(MASTER!$I$4:$I$1463,$P22)),""))</f>
        <v>7171</v>
      </c>
      <c r="I22" s="19" t="str">
        <f>IF($P22="","",IFERROR(IF(INDEX(MASTER!$J$4:$J$1463,$P22)="","",INDEX(MASTER!$J$4:$J$1463,$P22)),""))</f>
        <v>VETERAN</v>
      </c>
      <c r="J22" s="21">
        <f>IF($P22="","",IFERROR(IF(INDEX(MASTER!$L$4:$L$1463,$P22)="","",INDEX(MASTER!$L$4:$L$1463,$P22)),""))</f>
        <v>5.4</v>
      </c>
      <c r="K22" s="21">
        <f>IF($P22="","",IFERROR(IF(INDEX(MASTER!$N$4:$N$1463,$P22)="","",INDEX(MASTER!$N$4:$N$1463,$P22)),""))</f>
        <v>62.8</v>
      </c>
      <c r="L22" s="19" t="str">
        <f>IF($P22="","",IFERROR(IF(INDEX(MASTER!$O$4:$O$1463,$P22)="","",INDEX(MASTER!$O$4:$O$1463,$P22)),""))</f>
        <v>A</v>
      </c>
      <c r="M22" s="19">
        <f>IF($P22="","",IFERROR(IF(INDEX(MASTER!$Q$4:$Q$1463,$P22)="","",INDEX(MASTER!$Q$4:$Q$1463,$P22)),""))</f>
        <v>13</v>
      </c>
      <c r="N22" s="19" t="str">
        <f>IF($P22="","",IFERROR(IF(INDEX(MASTER!$S$4:$S$1463,$P22)="","",INDEX(MASTER!$S$4:$S$1463,$P22)),""))</f>
        <v>Complete</v>
      </c>
      <c r="P22">
        <f>IFERROR(MATCH($Q$1&amp;"@14",MASTER!$AC$4:$AC$1463,0),"")</f>
        <v>139</v>
      </c>
    </row>
    <row r="23" spans="1:16">
      <c r="A23" s="15">
        <f>IF($P23="","",15)</f>
        <v>15</v>
      </c>
      <c r="B23" s="14" t="str">
        <f>IF($P23="","",IFERROR(IF(INDEX(MASTER!$C$4:$C$1463,$P23)="","",INDEX(MASTER!$C$4:$C$1463,$P23)),""))</f>
        <v>Bloody Baron</v>
      </c>
      <c r="C23" s="15" t="str">
        <f>IF($P23="","",IFERROR(IF(INDEX(MASTER!$D$4:$D$1463,$P23)="","",INDEX(MASTER!$D$4:$D$1463,$P23)),""))</f>
        <v/>
      </c>
      <c r="D23" s="15" t="str">
        <f>IF($P23="","",IFERROR(IF(INDEX(MASTER!$E$4:$E$1463,$P23)="","",INDEX(MASTER!$E$4:$E$1463,$P23)),""))</f>
        <v>DEMON HUNTER</v>
      </c>
      <c r="E23" s="15" t="str">
        <f>IF($P23="","",IFERROR(IF(INDEX(MASTER!$F$4:$F$1463,$P23)="","",INDEX(MASTER!$F$4:$F$1463,$P23)),""))</f>
        <v>Ranged DPS</v>
      </c>
      <c r="F23" s="16">
        <f>IF($P23="","",IFERROR(IF(INDEX(MASTER!$G$4:$G$1463,$P23)="","",INDEX(MASTER!$G$4:$G$1463,$P23)),""))</f>
        <v>62110</v>
      </c>
      <c r="G23" s="15" t="str">
        <f>IF($P23="","",IFERROR(IF(INDEX(MASTER!$H$4:$H$1463,$P23)="","",INDEX(MASTER!$H$4:$H$1463,$P23)),""))</f>
        <v>62,000 - 62,999</v>
      </c>
      <c r="H23" s="16">
        <f>IF($P23="","",IFERROR(IF(INDEX(MASTER!$I$4:$I$1463,$P23)="","",INDEX(MASTER!$I$4:$I$1463,$P23)),""))</f>
        <v>4950</v>
      </c>
      <c r="I23" s="15" t="str">
        <f>IF($P23="","",IFERROR(IF(INDEX(MASTER!$J$4:$J$1463,$P23)="","",INDEX(MASTER!$J$4:$J$1463,$P23)),""))</f>
        <v>CORE</v>
      </c>
      <c r="J23" s="17">
        <f>IF($P23="","",IFERROR(IF(INDEX(MASTER!$L$4:$L$1463,$P23)="","",INDEX(MASTER!$L$4:$L$1463,$P23)),""))</f>
        <v>6.3</v>
      </c>
      <c r="K23" s="17">
        <f>IF($P23="","",IFERROR(IF(INDEX(MASTER!$N$4:$N$1463,$P23)="","",INDEX(MASTER!$N$4:$N$1463,$P23)),""))</f>
        <v>50.8</v>
      </c>
      <c r="L23" s="15" t="str">
        <f>IF($P23="","",IFERROR(IF(INDEX(MASTER!$O$4:$O$1463,$P23)="","",INDEX(MASTER!$O$4:$O$1463,$P23)),""))</f>
        <v>A</v>
      </c>
      <c r="M23" s="15">
        <f>IF($P23="","",IFERROR(IF(INDEX(MASTER!$Q$4:$Q$1463,$P23)="","",INDEX(MASTER!$Q$4:$Q$1463,$P23)),""))</f>
        <v>29</v>
      </c>
      <c r="N23" s="15" t="str">
        <f>IF($P23="","",IFERROR(IF(INDEX(MASTER!$S$4:$S$1463,$P23)="","",INDEX(MASTER!$S$4:$S$1463,$P23)),""))</f>
        <v>Complete</v>
      </c>
      <c r="P23">
        <f>IFERROR(MATCH($Q$1&amp;"@15",MASTER!$AC$4:$AC$1463,0),"")</f>
        <v>148</v>
      </c>
    </row>
    <row r="24" spans="1:16">
      <c r="A24" s="19">
        <f>IF($P24="","",16)</f>
        <v>16</v>
      </c>
      <c r="B24" s="18" t="str">
        <f>IF($P24="","",IFERROR(IF(INDEX(MASTER!$C$4:$C$1463,$P24)="","",INDEX(MASTER!$C$4:$C$1463,$P24)),""))</f>
        <v>BOR- Zeroth</v>
      </c>
      <c r="C24" s="19" t="str">
        <f>IF($P24="","",IFERROR(IF(INDEX(MASTER!$D$4:$D$1463,$P24)="","",INDEX(MASTER!$D$4:$D$1463,$P24)),""))</f>
        <v/>
      </c>
      <c r="D24" s="19" t="str">
        <f>IF($P24="","",IFERROR(IF(INDEX(MASTER!$E$4:$E$1463,$P24)="","",INDEX(MASTER!$E$4:$E$1463,$P24)),""))</f>
        <v>DEMON HUNTER</v>
      </c>
      <c r="E24" s="19" t="str">
        <f>IF($P24="","",IFERROR(IF(INDEX(MASTER!$F$4:$F$1463,$P24)="","",INDEX(MASTER!$F$4:$F$1463,$P24)),""))</f>
        <v>Ranged DPS</v>
      </c>
      <c r="F24" s="20">
        <f>IF($P24="","",IFERROR(IF(INDEX(MASTER!$G$4:$G$1463,$P24)="","",INDEX(MASTER!$G$4:$G$1463,$P24)),""))</f>
        <v>63383</v>
      </c>
      <c r="G24" s="19" t="str">
        <f>IF($P24="","",IFERROR(IF(INDEX(MASTER!$H$4:$H$1463,$P24)="","",INDEX(MASTER!$H$4:$H$1463,$P24)),""))</f>
        <v>63,000 - 63,999</v>
      </c>
      <c r="H24" s="20">
        <f>IF($P24="","",IFERROR(IF(INDEX(MASTER!$I$4:$I$1463,$P24)="","",INDEX(MASTER!$I$4:$I$1463,$P24)),""))</f>
        <v>10023</v>
      </c>
      <c r="I24" s="19" t="str">
        <f>IF($P24="","",IFERROR(IF(INDEX(MASTER!$J$4:$J$1463,$P24)="","",INDEX(MASTER!$J$4:$J$1463,$P24)),""))</f>
        <v>APEX</v>
      </c>
      <c r="J24" s="21">
        <f>IF($P24="","",IFERROR(IF(INDEX(MASTER!$L$4:$L$1463,$P24)="","",INDEX(MASTER!$L$4:$L$1463,$P24)),""))</f>
        <v>9.15</v>
      </c>
      <c r="K24" s="21">
        <f>IF($P24="","",IFERROR(IF(INDEX(MASTER!$N$4:$N$1463,$P24)="","",INDEX(MASTER!$N$4:$N$1463,$P24)),""))</f>
        <v>81.099999999999994</v>
      </c>
      <c r="L24" s="19" t="str">
        <f>IF($P24="","",IFERROR(IF(INDEX(MASTER!$O$4:$O$1463,$P24)="","",INDEX(MASTER!$O$4:$O$1463,$P24)),""))</f>
        <v>S+</v>
      </c>
      <c r="M24" s="19">
        <f>IF($P24="","",IFERROR(IF(INDEX(MASTER!$Q$4:$Q$1463,$P24)="","",INDEX(MASTER!$Q$4:$Q$1463,$P24)),""))</f>
        <v>1</v>
      </c>
      <c r="N24" s="19" t="str">
        <f>IF($P24="","",IFERROR(IF(INDEX(MASTER!$S$4:$S$1463,$P24)="","",INDEX(MASTER!$S$4:$S$1463,$P24)),""))</f>
        <v>Complete</v>
      </c>
      <c r="P24">
        <f>IFERROR(MATCH($Q$1&amp;"@16",MASTER!$AC$4:$AC$1463,0),"")</f>
        <v>166</v>
      </c>
    </row>
    <row r="25" spans="1:16">
      <c r="A25" s="15">
        <f>IF($P25="","",17)</f>
        <v>17</v>
      </c>
      <c r="B25" s="14" t="str">
        <f>IF($P25="","",IFERROR(IF(INDEX(MASTER!$C$4:$C$1463,$P25)="","",INDEX(MASTER!$C$4:$C$1463,$P25)),""))</f>
        <v>BunjiKugashira</v>
      </c>
      <c r="C25" s="15" t="str">
        <f>IF($P25="","",IFERROR(IF(INDEX(MASTER!$D$4:$D$1463,$P25)="","",INDEX(MASTER!$D$4:$D$1463,$P25)),""))</f>
        <v/>
      </c>
      <c r="D25" s="15" t="str">
        <f>IF($P25="","",IFERROR(IF(INDEX(MASTER!$E$4:$E$1463,$P25)="","",INDEX(MASTER!$E$4:$E$1463,$P25)),""))</f>
        <v>WARLOCK</v>
      </c>
      <c r="E25" s="15" t="str">
        <f>IF($P25="","",IFERROR(IF(INDEX(MASTER!$F$4:$F$1463,$P25)="","",INDEX(MASTER!$F$4:$F$1463,$P25)),""))</f>
        <v>Control</v>
      </c>
      <c r="F25" s="16">
        <f>IF($P25="","",IFERROR(IF(INDEX(MASTER!$G$4:$G$1463,$P25)="","",INDEX(MASTER!$G$4:$G$1463,$P25)),""))</f>
        <v>63033</v>
      </c>
      <c r="G25" s="15" t="str">
        <f>IF($P25="","",IFERROR(IF(INDEX(MASTER!$H$4:$H$1463,$P25)="","",INDEX(MASTER!$H$4:$H$1463,$P25)),""))</f>
        <v>63,000 - 63,999</v>
      </c>
      <c r="H25" s="16">
        <f>IF($P25="","",IFERROR(IF(INDEX(MASTER!$I$4:$I$1463,$P25)="","",INDEX(MASTER!$I$4:$I$1463,$P25)),""))</f>
        <v>3298</v>
      </c>
      <c r="I25" s="15" t="str">
        <f>IF($P25="","",IFERROR(IF(INDEX(MASTER!$J$4:$J$1463,$P25)="","",INDEX(MASTER!$J$4:$J$1463,$P25)),""))</f>
        <v>DEVELOPING</v>
      </c>
      <c r="J25" s="17">
        <f>IF($P25="","",IFERROR(IF(INDEX(MASTER!$L$4:$L$1463,$P25)="","",INDEX(MASTER!$L$4:$L$1463,$P25)),""))</f>
        <v>3.65</v>
      </c>
      <c r="K25" s="17">
        <f>IF($P25="","",IFERROR(IF(INDEX(MASTER!$N$4:$N$1463,$P25)="","",INDEX(MASTER!$N$4:$N$1463,$P25)),""))</f>
        <v>41.6</v>
      </c>
      <c r="L25" s="15" t="str">
        <f>IF($P25="","",IFERROR(IF(INDEX(MASTER!$O$4:$O$1463,$P25)="","",INDEX(MASTER!$O$4:$O$1463,$P25)),""))</f>
        <v>B</v>
      </c>
      <c r="M25" s="15">
        <f>IF($P25="","",IFERROR(IF(INDEX(MASTER!$Q$4:$Q$1463,$P25)="","",INDEX(MASTER!$Q$4:$Q$1463,$P25)),""))</f>
        <v>76</v>
      </c>
      <c r="N25" s="15" t="str">
        <f>IF($P25="","",IFERROR(IF(INDEX(MASTER!$S$4:$S$1463,$P25)="","",INDEX(MASTER!$S$4:$S$1463,$P25)),""))</f>
        <v>Complete</v>
      </c>
      <c r="P25">
        <f>IFERROR(MATCH($Q$1&amp;"@17",MASTER!$AC$4:$AC$1463,0),"")</f>
        <v>176</v>
      </c>
    </row>
    <row r="26" spans="1:16">
      <c r="A26" s="19">
        <f>IF($P26="","",18)</f>
        <v>18</v>
      </c>
      <c r="B26" s="18" t="str">
        <f>IF($P26="","",IFERROR(IF(INDEX(MASTER!$C$4:$C$1463,$P26)="","",INDEX(MASTER!$C$4:$C$1463,$P26)),""))</f>
        <v>Calandra</v>
      </c>
      <c r="C26" s="19" t="str">
        <f>IF($P26="","",IFERROR(IF(INDEX(MASTER!$D$4:$D$1463,$P26)="","",INDEX(MASTER!$D$4:$D$1463,$P26)),""))</f>
        <v/>
      </c>
      <c r="D26" s="19" t="str">
        <f>IF($P26="","",IFERROR(IF(INDEX(MASTER!$E$4:$E$1463,$P26)="","",INDEX(MASTER!$E$4:$E$1463,$P26)),""))</f>
        <v>DEMON HUNTER</v>
      </c>
      <c r="E26" s="19" t="str">
        <f>IF($P26="","",IFERROR(IF(INDEX(MASTER!$F$4:$F$1463,$P26)="","",INDEX(MASTER!$F$4:$F$1463,$P26)),""))</f>
        <v>Ranged DPS</v>
      </c>
      <c r="F26" s="20">
        <f>IF($P26="","",IFERROR(IF(INDEX(MASTER!$G$4:$G$1463,$P26)="","",INDEX(MASTER!$G$4:$G$1463,$P26)),""))</f>
        <v>63742</v>
      </c>
      <c r="G26" s="19" t="str">
        <f>IF($P26="","",IFERROR(IF(INDEX(MASTER!$H$4:$H$1463,$P26)="","",INDEX(MASTER!$H$4:$H$1463,$P26)),""))</f>
        <v>63,000 - 63,999</v>
      </c>
      <c r="H26" s="20">
        <f>IF($P26="","",IFERROR(IF(INDEX(MASTER!$I$4:$I$1463,$P26)="","",INDEX(MASTER!$I$4:$I$1463,$P26)),""))</f>
        <v>6226</v>
      </c>
      <c r="I26" s="19" t="str">
        <f>IF($P26="","",IFERROR(IF(INDEX(MASTER!$J$4:$J$1463,$P26)="","",INDEX(MASTER!$J$4:$J$1463,$P26)),""))</f>
        <v>VETERAN</v>
      </c>
      <c r="J26" s="21">
        <f>IF($P26="","",IFERROR(IF(INDEX(MASTER!$L$4:$L$1463,$P26)="","",INDEX(MASTER!$L$4:$L$1463,$P26)),""))</f>
        <v>5.9</v>
      </c>
      <c r="K26" s="21">
        <f>IF($P26="","",IFERROR(IF(INDEX(MASTER!$N$4:$N$1463,$P26)="","",INDEX(MASTER!$N$4:$N$1463,$P26)),""))</f>
        <v>60</v>
      </c>
      <c r="L26" s="19" t="str">
        <f>IF($P26="","",IFERROR(IF(INDEX(MASTER!$O$4:$O$1463,$P26)="","",INDEX(MASTER!$O$4:$O$1463,$P26)),""))</f>
        <v>A</v>
      </c>
      <c r="M26" s="19">
        <f>IF($P26="","",IFERROR(IF(INDEX(MASTER!$Q$4:$Q$1463,$P26)="","",INDEX(MASTER!$Q$4:$Q$1463,$P26)),""))</f>
        <v>17</v>
      </c>
      <c r="N26" s="19" t="str">
        <f>IF($P26="","",IFERROR(IF(INDEX(MASTER!$S$4:$S$1463,$P26)="","",INDEX(MASTER!$S$4:$S$1463,$P26)),""))</f>
        <v>Complete</v>
      </c>
      <c r="P26">
        <f>IFERROR(MATCH($Q$1&amp;"@18",MASTER!$AC$4:$AC$1463,0),"")</f>
        <v>188</v>
      </c>
    </row>
    <row r="27" spans="1:16">
      <c r="A27" s="15">
        <f>IF($P27="","",19)</f>
        <v>19</v>
      </c>
      <c r="B27" s="14" t="str">
        <f>IF($P27="","",IFERROR(IF(INDEX(MASTER!$C$4:$C$1463,$P27)="","",INDEX(MASTER!$C$4:$C$1463,$P27)),""))</f>
        <v>Caliswag23</v>
      </c>
      <c r="C27" s="15" t="str">
        <f>IF($P27="","",IFERROR(IF(INDEX(MASTER!$D$4:$D$1463,$P27)="","",INDEX(MASTER!$D$4:$D$1463,$P27)),""))</f>
        <v/>
      </c>
      <c r="D27" s="15" t="str">
        <f>IF($P27="","",IFERROR(IF(INDEX(MASTER!$E$4:$E$1463,$P27)="","",INDEX(MASTER!$E$4:$E$1463,$P27)),""))</f>
        <v>NECROMANCER</v>
      </c>
      <c r="E27" s="15" t="str">
        <f>IF($P27="","",IFERROR(IF(INDEX(MASTER!$F$4:$F$1463,$P27)="","",INDEX(MASTER!$F$4:$F$1463,$P27)),""))</f>
        <v>Control</v>
      </c>
      <c r="F27" s="16">
        <f>IF($P27="","",IFERROR(IF(INDEX(MASTER!$G$4:$G$1463,$P27)="","",INDEX(MASTER!$G$4:$G$1463,$P27)),""))</f>
        <v>60961</v>
      </c>
      <c r="G27" s="15" t="str">
        <f>IF($P27="","",IFERROR(IF(INDEX(MASTER!$H$4:$H$1463,$P27)="","",INDEX(MASTER!$H$4:$H$1463,$P27)),""))</f>
        <v>60,000 - 60,999</v>
      </c>
      <c r="H27" s="16">
        <f>IF($P27="","",IFERROR(IF(INDEX(MASTER!$I$4:$I$1463,$P27)="","",INDEX(MASTER!$I$4:$I$1463,$P27)),""))</f>
        <v>1260</v>
      </c>
      <c r="I27" s="15" t="str">
        <f>IF($P27="","",IFERROR(IF(INDEX(MASTER!$J$4:$J$1463,$P27)="","",INDEX(MASTER!$J$4:$J$1463,$P27)),""))</f>
        <v>ROOKIE</v>
      </c>
      <c r="J27" s="17">
        <f>IF($P27="","",IFERROR(IF(INDEX(MASTER!$L$4:$L$1463,$P27)="","",INDEX(MASTER!$L$4:$L$1463,$P27)),""))</f>
        <v>3.2</v>
      </c>
      <c r="K27" s="17">
        <f>IF($P27="","",IFERROR(IF(INDEX(MASTER!$N$4:$N$1463,$P27)="","",INDEX(MASTER!$N$4:$N$1463,$P27)),""))</f>
        <v>26.5</v>
      </c>
      <c r="L27" s="15" t="str">
        <f>IF($P27="","",IFERROR(IF(INDEX(MASTER!$O$4:$O$1463,$P27)="","",INDEX(MASTER!$O$4:$O$1463,$P27)),""))</f>
        <v>C</v>
      </c>
      <c r="M27" s="15">
        <f>IF($P27="","",IFERROR(IF(INDEX(MASTER!$Q$4:$Q$1463,$P27)="","",INDEX(MASTER!$Q$4:$Q$1463,$P27)),""))</f>
        <v>96</v>
      </c>
      <c r="N27" s="15" t="str">
        <f>IF($P27="","",IFERROR(IF(INDEX(MASTER!$S$4:$S$1463,$P27)="","",INDEX(MASTER!$S$4:$S$1463,$P27)),""))</f>
        <v>Complete</v>
      </c>
      <c r="P27">
        <f>IFERROR(MATCH($Q$1&amp;"@19",MASTER!$AC$4:$AC$1463,0),"")</f>
        <v>190</v>
      </c>
    </row>
    <row r="28" spans="1:16">
      <c r="A28" s="19">
        <f>IF($P28="","",20)</f>
        <v>20</v>
      </c>
      <c r="B28" s="18" t="str">
        <f>IF($P28="","",IFERROR(IF(INDEX(MASTER!$C$4:$C$1463,$P28)="","",INDEX(MASTER!$C$4:$C$1463,$P28)),""))</f>
        <v>Caxx</v>
      </c>
      <c r="C28" s="19" t="str">
        <f>IF($P28="","",IFERROR(IF(INDEX(MASTER!$D$4:$D$1463,$P28)="","",INDEX(MASTER!$D$4:$D$1463,$P28)),""))</f>
        <v/>
      </c>
      <c r="D28" s="19" t="str">
        <f>IF($P28="","",IFERROR(IF(INDEX(MASTER!$E$4:$E$1463,$P28)="","",INDEX(MASTER!$E$4:$E$1463,$P28)),""))</f>
        <v>NECROMANCER</v>
      </c>
      <c r="E28" s="19" t="str">
        <f>IF($P28="","",IFERROR(IF(INDEX(MASTER!$F$4:$F$1463,$P28)="","",INDEX(MASTER!$F$4:$F$1463,$P28)),""))</f>
        <v>Control</v>
      </c>
      <c r="F28" s="20">
        <f>IF($P28="","",IFERROR(IF(INDEX(MASTER!$G$4:$G$1463,$P28)="","",INDEX(MASTER!$G$4:$G$1463,$P28)),""))</f>
        <v>63130</v>
      </c>
      <c r="G28" s="19" t="str">
        <f>IF($P28="","",IFERROR(IF(INDEX(MASTER!$H$4:$H$1463,$P28)="","",INDEX(MASTER!$H$4:$H$1463,$P28)),""))</f>
        <v>63,000 - 63,999</v>
      </c>
      <c r="H28" s="20">
        <f>IF($P28="","",IFERROR(IF(INDEX(MASTER!$I$4:$I$1463,$P28)="","",INDEX(MASTER!$I$4:$I$1463,$P28)),""))</f>
        <v>7122</v>
      </c>
      <c r="I28" s="19" t="str">
        <f>IF($P28="","",IFERROR(IF(INDEX(MASTER!$J$4:$J$1463,$P28)="","",INDEX(MASTER!$J$4:$J$1463,$P28)),""))</f>
        <v>VETERAN</v>
      </c>
      <c r="J28" s="21">
        <f>IF($P28="","",IFERROR(IF(INDEX(MASTER!$L$4:$L$1463,$P28)="","",INDEX(MASTER!$L$4:$L$1463,$P28)),""))</f>
        <v>5.85</v>
      </c>
      <c r="K28" s="21">
        <f>IF($P28="","",IFERROR(IF(INDEX(MASTER!$N$4:$N$1463,$P28)="","",INDEX(MASTER!$N$4:$N$1463,$P28)),""))</f>
        <v>62.2</v>
      </c>
      <c r="L28" s="19" t="str">
        <f>IF($P28="","",IFERROR(IF(INDEX(MASTER!$O$4:$O$1463,$P28)="","",INDEX(MASTER!$O$4:$O$1463,$P28)),""))</f>
        <v>A</v>
      </c>
      <c r="M28" s="19">
        <f>IF($P28="","",IFERROR(IF(INDEX(MASTER!$Q$4:$Q$1463,$P28)="","",INDEX(MASTER!$Q$4:$Q$1463,$P28)),""))</f>
        <v>14</v>
      </c>
      <c r="N28" s="19" t="str">
        <f>IF($P28="","",IFERROR(IF(INDEX(MASTER!$S$4:$S$1463,$P28)="","",INDEX(MASTER!$S$4:$S$1463,$P28)),""))</f>
        <v>Complete</v>
      </c>
      <c r="P28">
        <f>IFERROR(MATCH($Q$1&amp;"@20",MASTER!$AC$4:$AC$1463,0),"")</f>
        <v>198</v>
      </c>
    </row>
    <row r="29" spans="1:16">
      <c r="A29" s="15">
        <f>IF($P29="","",21)</f>
        <v>21</v>
      </c>
      <c r="B29" s="14" t="str">
        <f>IF($P29="","",IFERROR(IF(INDEX(MASTER!$C$4:$C$1463,$P29)="","",INDEX(MASTER!$C$4:$C$1463,$P29)),""))</f>
        <v>Chrollo</v>
      </c>
      <c r="C29" s="15" t="str">
        <f>IF($P29="","",IFERROR(IF(INDEX(MASTER!$D$4:$D$1463,$P29)="","",INDEX(MASTER!$D$4:$D$1463,$P29)),""))</f>
        <v>OP</v>
      </c>
      <c r="D29" s="15" t="str">
        <f>IF($P29="","",IFERROR(IF(INDEX(MASTER!$E$4:$E$1463,$P29)="","",INDEX(MASTER!$E$4:$E$1463,$P29)),""))</f>
        <v>DEMON HUNTER</v>
      </c>
      <c r="E29" s="15" t="str">
        <f>IF($P29="","",IFERROR(IF(INDEX(MASTER!$F$4:$F$1463,$P29)="","",INDEX(MASTER!$F$4:$F$1463,$P29)),""))</f>
        <v>Ranged DPS</v>
      </c>
      <c r="F29" s="16">
        <f>IF($P29="","",IFERROR(IF(INDEX(MASTER!$G$4:$G$1463,$P29)="","",INDEX(MASTER!$G$4:$G$1463,$P29)),""))</f>
        <v>63401</v>
      </c>
      <c r="G29" s="15" t="str">
        <f>IF($P29="","",IFERROR(IF(INDEX(MASTER!$H$4:$H$1463,$P29)="","",INDEX(MASTER!$H$4:$H$1463,$P29)),""))</f>
        <v>63,000 - 63,999</v>
      </c>
      <c r="H29" s="16">
        <f>IF($P29="","",IFERROR(IF(INDEX(MASTER!$I$4:$I$1463,$P29)="","",INDEX(MASTER!$I$4:$I$1463,$P29)),""))</f>
        <v>4531</v>
      </c>
      <c r="I29" s="15" t="str">
        <f>IF($P29="","",IFERROR(IF(INDEX(MASTER!$J$4:$J$1463,$P29)="","",INDEX(MASTER!$J$4:$J$1463,$P29)),""))</f>
        <v>CORE</v>
      </c>
      <c r="J29" s="17">
        <f>IF($P29="","",IFERROR(IF(INDEX(MASTER!$L$4:$L$1463,$P29)="","",INDEX(MASTER!$L$4:$L$1463,$P29)),""))</f>
        <v>8.3000000000000007</v>
      </c>
      <c r="K29" s="17">
        <f>IF($P29="","",IFERROR(IF(INDEX(MASTER!$N$4:$N$1463,$P29)="","",INDEX(MASTER!$N$4:$N$1463,$P29)),""))</f>
        <v>55.7</v>
      </c>
      <c r="L29" s="15" t="str">
        <f>IF($P29="","",IFERROR(IF(INDEX(MASTER!$O$4:$O$1463,$P29)="","",INDEX(MASTER!$O$4:$O$1463,$P29)),""))</f>
        <v>A</v>
      </c>
      <c r="M29" s="15">
        <f>IF($P29="","",IFERROR(IF(INDEX(MASTER!$Q$4:$Q$1463,$P29)="","",INDEX(MASTER!$Q$4:$Q$1463,$P29)),""))</f>
        <v>35</v>
      </c>
      <c r="N29" s="15" t="str">
        <f>IF($P29="","",IFERROR(IF(INDEX(MASTER!$S$4:$S$1463,$P29)="","",INDEX(MASTER!$S$4:$S$1463,$P29)),""))</f>
        <v>Complete</v>
      </c>
      <c r="P29">
        <f>IFERROR(MATCH($Q$1&amp;"@21",MASTER!$AC$4:$AC$1463,0),"")</f>
        <v>210</v>
      </c>
    </row>
    <row r="30" spans="1:16">
      <c r="A30" s="19">
        <f>IF($P30="","",22)</f>
        <v>22</v>
      </c>
      <c r="B30" s="18" t="str">
        <f>IF($P30="","",IFERROR(IF(INDEX(MASTER!$C$4:$C$1463,$P30)="","",INDEX(MASTER!$C$4:$C$1463,$P30)),""))</f>
        <v>Chrysalis</v>
      </c>
      <c r="C30" s="19" t="str">
        <f>IF($P30="","",IFERROR(IF(INDEX(MASTER!$D$4:$D$1463,$P30)="","",INDEX(MASTER!$D$4:$D$1463,$P30)),""))</f>
        <v/>
      </c>
      <c r="D30" s="19" t="str">
        <f>IF($P30="","",IFERROR(IF(INDEX(MASTER!$E$4:$E$1463,$P30)="","",INDEX(MASTER!$E$4:$E$1463,$P30)),""))</f>
        <v>BARBARIAN</v>
      </c>
      <c r="E30" s="19" t="str">
        <f>IF($P30="","",IFERROR(IF(INDEX(MASTER!$F$4:$F$1463,$P30)="","",INDEX(MASTER!$F$4:$F$1463,$P30)),""))</f>
        <v>Frontline</v>
      </c>
      <c r="F30" s="20">
        <f>IF($P30="","",IFERROR(IF(INDEX(MASTER!$G$4:$G$1463,$P30)="","",INDEX(MASTER!$G$4:$G$1463,$P30)),""))</f>
        <v>62323</v>
      </c>
      <c r="G30" s="19" t="str">
        <f>IF($P30="","",IFERROR(IF(INDEX(MASTER!$H$4:$H$1463,$P30)="","",INDEX(MASTER!$H$4:$H$1463,$P30)),""))</f>
        <v>62,000 - 62,999</v>
      </c>
      <c r="H30" s="20">
        <f>IF($P30="","",IFERROR(IF(INDEX(MASTER!$I$4:$I$1463,$P30)="","",INDEX(MASTER!$I$4:$I$1463,$P30)),""))</f>
        <v>3632</v>
      </c>
      <c r="I30" s="19" t="str">
        <f>IF($P30="","",IFERROR(IF(INDEX(MASTER!$J$4:$J$1463,$P30)="","",INDEX(MASTER!$J$4:$J$1463,$P30)),""))</f>
        <v>DEVELOPING</v>
      </c>
      <c r="J30" s="21">
        <f>IF($P30="","",IFERROR(IF(INDEX(MASTER!$L$4:$L$1463,$P30)="","",INDEX(MASTER!$L$4:$L$1463,$P30)),""))</f>
        <v>6.35</v>
      </c>
      <c r="K30" s="21">
        <f>IF($P30="","",IFERROR(IF(INDEX(MASTER!$N$4:$N$1463,$P30)="","",INDEX(MASTER!$N$4:$N$1463,$P30)),""))</f>
        <v>45.7</v>
      </c>
      <c r="L30" s="19" t="str">
        <f>IF($P30="","",IFERROR(IF(INDEX(MASTER!$O$4:$O$1463,$P30)="","",INDEX(MASTER!$O$4:$O$1463,$P30)),""))</f>
        <v>B</v>
      </c>
      <c r="M30" s="19">
        <f>IF($P30="","",IFERROR(IF(INDEX(MASTER!$Q$4:$Q$1463,$P30)="","",INDEX(MASTER!$Q$4:$Q$1463,$P30)),""))</f>
        <v>63</v>
      </c>
      <c r="N30" s="19" t="str">
        <f>IF($P30="","",IFERROR(IF(INDEX(MASTER!$S$4:$S$1463,$P30)="","",INDEX(MASTER!$S$4:$S$1463,$P30)),""))</f>
        <v>Complete</v>
      </c>
      <c r="P30">
        <f>IFERROR(MATCH($Q$1&amp;"@22",MASTER!$AC$4:$AC$1463,0),"")</f>
        <v>211</v>
      </c>
    </row>
    <row r="31" spans="1:16">
      <c r="A31" s="15">
        <f>IF($P31="","",23)</f>
        <v>23</v>
      </c>
      <c r="B31" s="14" t="str">
        <f>IF($P31="","",IFERROR(IF(INDEX(MASTER!$C$4:$C$1463,$P31)="","",INDEX(MASTER!$C$4:$C$1463,$P31)),""))</f>
        <v>Cleapatra23</v>
      </c>
      <c r="C31" s="15" t="str">
        <f>IF($P31="","",IFERROR(IF(INDEX(MASTER!$D$4:$D$1463,$P31)="","",INDEX(MASTER!$D$4:$D$1463,$P31)),""))</f>
        <v/>
      </c>
      <c r="D31" s="15" t="str">
        <f>IF($P31="","",IFERROR(IF(INDEX(MASTER!$E$4:$E$1463,$P31)="","",INDEX(MASTER!$E$4:$E$1463,$P31)),""))</f>
        <v>WIZARD</v>
      </c>
      <c r="E31" s="15" t="str">
        <f>IF($P31="","",IFERROR(IF(INDEX(MASTER!$F$4:$F$1463,$P31)="","",INDEX(MASTER!$F$4:$F$1463,$P31)),""))</f>
        <v>Ranged DPS</v>
      </c>
      <c r="F31" s="16">
        <f>IF($P31="","",IFERROR(IF(INDEX(MASTER!$G$4:$G$1463,$P31)="","",INDEX(MASTER!$G$4:$G$1463,$P31)),""))</f>
        <v>63106</v>
      </c>
      <c r="G31" s="15" t="str">
        <f>IF($P31="","",IFERROR(IF(INDEX(MASTER!$H$4:$H$1463,$P31)="","",INDEX(MASTER!$H$4:$H$1463,$P31)),""))</f>
        <v>63,000 - 63,999</v>
      </c>
      <c r="H31" s="16">
        <f>IF($P31="","",IFERROR(IF(INDEX(MASTER!$I$4:$I$1463,$P31)="","",INDEX(MASTER!$I$4:$I$1463,$P31)),""))</f>
        <v>3847</v>
      </c>
      <c r="I31" s="15" t="str">
        <f>IF($P31="","",IFERROR(IF(INDEX(MASTER!$J$4:$J$1463,$P31)="","",INDEX(MASTER!$J$4:$J$1463,$P31)),""))</f>
        <v>DEVELOPING</v>
      </c>
      <c r="J31" s="17">
        <f>IF($P31="","",IFERROR(IF(INDEX(MASTER!$L$4:$L$1463,$P31)="","",INDEX(MASTER!$L$4:$L$1463,$P31)),""))</f>
        <v>4.8499999999999996</v>
      </c>
      <c r="K31" s="17">
        <f>IF($P31="","",IFERROR(IF(INDEX(MASTER!$N$4:$N$1463,$P31)="","",INDEX(MASTER!$N$4:$N$1463,$P31)),""))</f>
        <v>46.2</v>
      </c>
      <c r="L31" s="15" t="str">
        <f>IF($P31="","",IFERROR(IF(INDEX(MASTER!$O$4:$O$1463,$P31)="","",INDEX(MASTER!$O$4:$O$1463,$P31)),""))</f>
        <v>B</v>
      </c>
      <c r="M31" s="15">
        <f>IF($P31="","",IFERROR(IF(INDEX(MASTER!$Q$4:$Q$1463,$P31)="","",INDEX(MASTER!$Q$4:$Q$1463,$P31)),""))</f>
        <v>55</v>
      </c>
      <c r="N31" s="15" t="str">
        <f>IF($P31="","",IFERROR(IF(INDEX(MASTER!$S$4:$S$1463,$P31)="","",INDEX(MASTER!$S$4:$S$1463,$P31)),""))</f>
        <v>Complete</v>
      </c>
      <c r="P31">
        <f>IFERROR(MATCH($Q$1&amp;"@23",MASTER!$AC$4:$AC$1463,0),"")</f>
        <v>217</v>
      </c>
    </row>
    <row r="32" spans="1:16">
      <c r="A32" s="19">
        <f>IF($P32="","",24)</f>
        <v>24</v>
      </c>
      <c r="B32" s="18" t="str">
        <f>IF($P32="","",IFERROR(IF(INDEX(MASTER!$C$4:$C$1463,$P32)="","",INDEX(MASTER!$C$4:$C$1463,$P32)),""))</f>
        <v>Cycos</v>
      </c>
      <c r="C32" s="19" t="str">
        <f>IF($P32="","",IFERROR(IF(INDEX(MASTER!$D$4:$D$1463,$P32)="","",INDEX(MASTER!$D$4:$D$1463,$P32)),""))</f>
        <v/>
      </c>
      <c r="D32" s="19" t="str">
        <f>IF($P32="","",IFERROR(IF(INDEX(MASTER!$E$4:$E$1463,$P32)="","",INDEX(MASTER!$E$4:$E$1463,$P32)),""))</f>
        <v>BARBARIAN</v>
      </c>
      <c r="E32" s="19" t="str">
        <f>IF($P32="","",IFERROR(IF(INDEX(MASTER!$F$4:$F$1463,$P32)="","",INDEX(MASTER!$F$4:$F$1463,$P32)),""))</f>
        <v>Frontline</v>
      </c>
      <c r="F32" s="20">
        <f>IF($P32="","",IFERROR(IF(INDEX(MASTER!$G$4:$G$1463,$P32)="","",INDEX(MASTER!$G$4:$G$1463,$P32)),""))</f>
        <v>63357</v>
      </c>
      <c r="G32" s="19" t="str">
        <f>IF($P32="","",IFERROR(IF(INDEX(MASTER!$H$4:$H$1463,$P32)="","",INDEX(MASTER!$H$4:$H$1463,$P32)),""))</f>
        <v>63,000 - 63,999</v>
      </c>
      <c r="H32" s="20">
        <f>IF($P32="","",IFERROR(IF(INDEX(MASTER!$I$4:$I$1463,$P32)="","",INDEX(MASTER!$I$4:$I$1463,$P32)),""))</f>
        <v>4202</v>
      </c>
      <c r="I32" s="19" t="str">
        <f>IF($P32="","",IFERROR(IF(INDEX(MASTER!$J$4:$J$1463,$P32)="","",INDEX(MASTER!$J$4:$J$1463,$P32)),""))</f>
        <v>CORE</v>
      </c>
      <c r="J32" s="21">
        <f>IF($P32="","",IFERROR(IF(INDEX(MASTER!$L$4:$L$1463,$P32)="","",INDEX(MASTER!$L$4:$L$1463,$P32)),""))</f>
        <v>4.75</v>
      </c>
      <c r="K32" s="21">
        <f>IF($P32="","",IFERROR(IF(INDEX(MASTER!$N$4:$N$1463,$P32)="","",INDEX(MASTER!$N$4:$N$1463,$P32)),""))</f>
        <v>48.3</v>
      </c>
      <c r="L32" s="19" t="str">
        <f>IF($P32="","",IFERROR(IF(INDEX(MASTER!$O$4:$O$1463,$P32)="","",INDEX(MASTER!$O$4:$O$1463,$P32)),""))</f>
        <v>B</v>
      </c>
      <c r="M32" s="19">
        <f>IF($P32="","",IFERROR(IF(INDEX(MASTER!$Q$4:$Q$1463,$P32)="","",INDEX(MASTER!$Q$4:$Q$1463,$P32)),""))</f>
        <v>49</v>
      </c>
      <c r="N32" s="19" t="str">
        <f>IF($P32="","",IFERROR(IF(INDEX(MASTER!$S$4:$S$1463,$P32)="","",INDEX(MASTER!$S$4:$S$1463,$P32)),""))</f>
        <v>Complete</v>
      </c>
      <c r="P32">
        <f>IFERROR(MATCH($Q$1&amp;"@24",MASTER!$AC$4:$AC$1463,0),"")</f>
        <v>240</v>
      </c>
    </row>
    <row r="33" spans="1:16">
      <c r="A33" s="15">
        <f>IF($P33="","",25)</f>
        <v>25</v>
      </c>
      <c r="B33" s="14" t="str">
        <f>IF($P33="","",IFERROR(IF(INDEX(MASTER!$C$4:$C$1463,$P33)="","",INDEX(MASTER!$C$4:$C$1463,$P33)),""))</f>
        <v>Dablow</v>
      </c>
      <c r="C33" s="15" t="str">
        <f>IF($P33="","",IFERROR(IF(INDEX(MASTER!$D$4:$D$1463,$P33)="","",INDEX(MASTER!$D$4:$D$1463,$P33)),""))</f>
        <v/>
      </c>
      <c r="D33" s="15" t="str">
        <f>IF($P33="","",IFERROR(IF(INDEX(MASTER!$E$4:$E$1463,$P33)="","",INDEX(MASTER!$E$4:$E$1463,$P33)),""))</f>
        <v>CRUSADER</v>
      </c>
      <c r="E33" s="15" t="str">
        <f>IF($P33="","",IFERROR(IF(INDEX(MASTER!$F$4:$F$1463,$P33)="","",INDEX(MASTER!$F$4:$F$1463,$P33)),""))</f>
        <v>Frontline</v>
      </c>
      <c r="F33" s="16">
        <f>IF($P33="","",IFERROR(IF(INDEX(MASTER!$G$4:$G$1463,$P33)="","",INDEX(MASTER!$G$4:$G$1463,$P33)),""))</f>
        <v>63376</v>
      </c>
      <c r="G33" s="15" t="str">
        <f>IF($P33="","",IFERROR(IF(INDEX(MASTER!$H$4:$H$1463,$P33)="","",INDEX(MASTER!$H$4:$H$1463,$P33)),""))</f>
        <v>63,000 - 63,999</v>
      </c>
      <c r="H33" s="16">
        <f>IF($P33="","",IFERROR(IF(INDEX(MASTER!$I$4:$I$1463,$P33)="","",INDEX(MASTER!$I$4:$I$1463,$P33)),""))</f>
        <v>4203</v>
      </c>
      <c r="I33" s="15" t="str">
        <f>IF($P33="","",IFERROR(IF(INDEX(MASTER!$J$4:$J$1463,$P33)="","",INDEX(MASTER!$J$4:$J$1463,$P33)),""))</f>
        <v>CORE</v>
      </c>
      <c r="J33" s="17">
        <f>IF($P33="","",IFERROR(IF(INDEX(MASTER!$L$4:$L$1463,$P33)="","",INDEX(MASTER!$L$4:$L$1463,$P33)),""))</f>
        <v>5.6</v>
      </c>
      <c r="K33" s="17">
        <f>IF($P33="","",IFERROR(IF(INDEX(MASTER!$N$4:$N$1463,$P33)="","",INDEX(MASTER!$N$4:$N$1463,$P33)),""))</f>
        <v>49.7</v>
      </c>
      <c r="L33" s="15" t="str">
        <f>IF($P33="","",IFERROR(IF(INDEX(MASTER!$O$4:$O$1463,$P33)="","",INDEX(MASTER!$O$4:$O$1463,$P33)),""))</f>
        <v>B</v>
      </c>
      <c r="M33" s="15">
        <f>IF($P33="","",IFERROR(IF(INDEX(MASTER!$Q$4:$Q$1463,$P33)="","",INDEX(MASTER!$Q$4:$Q$1463,$P33)),""))</f>
        <v>48</v>
      </c>
      <c r="N33" s="15" t="str">
        <f>IF($P33="","",IFERROR(IF(INDEX(MASTER!$S$4:$S$1463,$P33)="","",INDEX(MASTER!$S$4:$S$1463,$P33)),""))</f>
        <v>Complete</v>
      </c>
      <c r="P33">
        <f>IFERROR(MATCH($Q$1&amp;"@25",MASTER!$AC$4:$AC$1463,0),"")</f>
        <v>245</v>
      </c>
    </row>
    <row r="34" spans="1:16">
      <c r="A34" s="19">
        <f>IF($P34="","",26)</f>
        <v>26</v>
      </c>
      <c r="B34" s="18" t="str">
        <f>IF($P34="","",IFERROR(IF(INDEX(MASTER!$C$4:$C$1463,$P34)="","",INDEX(MASTER!$C$4:$C$1463,$P34)),""))</f>
        <v>Danath</v>
      </c>
      <c r="C34" s="19" t="str">
        <f>IF($P34="","",IFERROR(IF(INDEX(MASTER!$D$4:$D$1463,$P34)="","",INDEX(MASTER!$D$4:$D$1463,$P34)),""))</f>
        <v/>
      </c>
      <c r="D34" s="19" t="str">
        <f>IF($P34="","",IFERROR(IF(INDEX(MASTER!$E$4:$E$1463,$P34)="","",INDEX(MASTER!$E$4:$E$1463,$P34)),""))</f>
        <v>BARBARIAN</v>
      </c>
      <c r="E34" s="19" t="str">
        <f>IF($P34="","",IFERROR(IF(INDEX(MASTER!$F$4:$F$1463,$P34)="","",INDEX(MASTER!$F$4:$F$1463,$P34)),""))</f>
        <v>Frontline</v>
      </c>
      <c r="F34" s="20">
        <f>IF($P34="","",IFERROR(IF(INDEX(MASTER!$G$4:$G$1463,$P34)="","",INDEX(MASTER!$G$4:$G$1463,$P34)),""))</f>
        <v>61343</v>
      </c>
      <c r="G34" s="19" t="str">
        <f>IF($P34="","",IFERROR(IF(INDEX(MASTER!$H$4:$H$1463,$P34)="","",INDEX(MASTER!$H$4:$H$1463,$P34)),""))</f>
        <v>61,000 - 61,999</v>
      </c>
      <c r="H34" s="20">
        <f>IF($P34="","",IFERROR(IF(INDEX(MASTER!$I$4:$I$1463,$P34)="","",INDEX(MASTER!$I$4:$I$1463,$P34)),""))</f>
        <v>7102</v>
      </c>
      <c r="I34" s="19" t="str">
        <f>IF($P34="","",IFERROR(IF(INDEX(MASTER!$J$4:$J$1463,$P34)="","",INDEX(MASTER!$J$4:$J$1463,$P34)),""))</f>
        <v>VETERAN</v>
      </c>
      <c r="J34" s="21">
        <f>IF($P34="","",IFERROR(IF(INDEX(MASTER!$L$4:$L$1463,$P34)="","",INDEX(MASTER!$L$4:$L$1463,$P34)),""))</f>
        <v>5.87</v>
      </c>
      <c r="K34" s="21">
        <f>IF($P34="","",IFERROR(IF(INDEX(MASTER!$N$4:$N$1463,$P34)="","",INDEX(MASTER!$N$4:$N$1463,$P34)),""))</f>
        <v>57.5</v>
      </c>
      <c r="L34" s="19" t="str">
        <f>IF($P34="","",IFERROR(IF(INDEX(MASTER!$O$4:$O$1463,$P34)="","",INDEX(MASTER!$O$4:$O$1463,$P34)),""))</f>
        <v>A</v>
      </c>
      <c r="M34" s="19">
        <f>IF($P34="","",IFERROR(IF(INDEX(MASTER!$Q$4:$Q$1463,$P34)="","",INDEX(MASTER!$Q$4:$Q$1463,$P34)),""))</f>
        <v>15</v>
      </c>
      <c r="N34" s="19" t="str">
        <f>IF($P34="","",IFERROR(IF(INDEX(MASTER!$S$4:$S$1463,$P34)="","",INDEX(MASTER!$S$4:$S$1463,$P34)),""))</f>
        <v>Complete</v>
      </c>
      <c r="P34">
        <f>IFERROR(MATCH($Q$1&amp;"@26",MASTER!$AC$4:$AC$1463,0),"")</f>
        <v>248</v>
      </c>
    </row>
    <row r="35" spans="1:16">
      <c r="A35" s="15">
        <f>IF($P35="","",27)</f>
        <v>27</v>
      </c>
      <c r="B35" s="14" t="str">
        <f>IF($P35="","",IFERROR(IF(INDEX(MASTER!$C$4:$C$1463,$P35)="","",INDEX(MASTER!$C$4:$C$1463,$P35)),""))</f>
        <v>DarthAhsôka</v>
      </c>
      <c r="C35" s="15" t="str">
        <f>IF($P35="","",IFERROR(IF(INDEX(MASTER!$D$4:$D$1463,$P35)="","",INDEX(MASTER!$D$4:$D$1463,$P35)),""))</f>
        <v/>
      </c>
      <c r="D35" s="15" t="str">
        <f>IF($P35="","",IFERROR(IF(INDEX(MASTER!$E$4:$E$1463,$P35)="","",INDEX(MASTER!$E$4:$E$1463,$P35)),""))</f>
        <v>DEMON HUNTER</v>
      </c>
      <c r="E35" s="15" t="str">
        <f>IF($P35="","",IFERROR(IF(INDEX(MASTER!$F$4:$F$1463,$P35)="","",INDEX(MASTER!$F$4:$F$1463,$P35)),""))</f>
        <v>Ranged DPS</v>
      </c>
      <c r="F35" s="16">
        <f>IF($P35="","",IFERROR(IF(INDEX(MASTER!$G$4:$G$1463,$P35)="","",INDEX(MASTER!$G$4:$G$1463,$P35)),""))</f>
        <v>62951</v>
      </c>
      <c r="G35" s="15" t="str">
        <f>IF($P35="","",IFERROR(IF(INDEX(MASTER!$H$4:$H$1463,$P35)="","",INDEX(MASTER!$H$4:$H$1463,$P35)),""))</f>
        <v>62,000 - 62,999</v>
      </c>
      <c r="H35" s="16">
        <f>IF($P35="","",IFERROR(IF(INDEX(MASTER!$I$4:$I$1463,$P35)="","",INDEX(MASTER!$I$4:$I$1463,$P35)),""))</f>
        <v>2794</v>
      </c>
      <c r="I35" s="15" t="str">
        <f>IF($P35="","",IFERROR(IF(INDEX(MASTER!$J$4:$J$1463,$P35)="","",INDEX(MASTER!$J$4:$J$1463,$P35)),""))</f>
        <v>DEVELOPING</v>
      </c>
      <c r="J35" s="17">
        <f>IF($P35="","",IFERROR(IF(INDEX(MASTER!$L$4:$L$1463,$P35)="","",INDEX(MASTER!$L$4:$L$1463,$P35)),""))</f>
        <v>3.85</v>
      </c>
      <c r="K35" s="17">
        <f>IF($P35="","",IFERROR(IF(INDEX(MASTER!$N$4:$N$1463,$P35)="","",INDEX(MASTER!$N$4:$N$1463,$P35)),""))</f>
        <v>39.5</v>
      </c>
      <c r="L35" s="15" t="str">
        <f>IF($P35="","",IFERROR(IF(INDEX(MASTER!$O$4:$O$1463,$P35)="","",INDEX(MASTER!$O$4:$O$1463,$P35)),""))</f>
        <v>B</v>
      </c>
      <c r="M35" s="15">
        <f>IF($P35="","",IFERROR(IF(INDEX(MASTER!$Q$4:$Q$1463,$P35)="","",INDEX(MASTER!$Q$4:$Q$1463,$P35)),""))</f>
        <v>86</v>
      </c>
      <c r="N35" s="15" t="str">
        <f>IF($P35="","",IFERROR(IF(INDEX(MASTER!$S$4:$S$1463,$P35)="","",INDEX(MASTER!$S$4:$S$1463,$P35)),""))</f>
        <v>Complete</v>
      </c>
      <c r="P35">
        <f>IFERROR(MATCH($Q$1&amp;"@27",MASTER!$AC$4:$AC$1463,0),"")</f>
        <v>255</v>
      </c>
    </row>
    <row r="36" spans="1:16">
      <c r="A36" s="19">
        <f>IF($P36="","",28)</f>
        <v>28</v>
      </c>
      <c r="B36" s="18" t="str">
        <f>IF($P36="","",IFERROR(IF(INDEX(MASTER!$C$4:$C$1463,$P36)="","",INDEX(MASTER!$C$4:$C$1463,$P36)),""))</f>
        <v>Dbeezzy</v>
      </c>
      <c r="C36" s="19" t="str">
        <f>IF($P36="","",IFERROR(IF(INDEX(MASTER!$D$4:$D$1463,$P36)="","",INDEX(MASTER!$D$4:$D$1463,$P36)),""))</f>
        <v/>
      </c>
      <c r="D36" s="19" t="str">
        <f>IF($P36="","",IFERROR(IF(INDEX(MASTER!$E$4:$E$1463,$P36)="","",INDEX(MASTER!$E$4:$E$1463,$P36)),""))</f>
        <v>DEMON HUNTER</v>
      </c>
      <c r="E36" s="19" t="str">
        <f>IF($P36="","",IFERROR(IF(INDEX(MASTER!$F$4:$F$1463,$P36)="","",INDEX(MASTER!$F$4:$F$1463,$P36)),""))</f>
        <v>Ranged DPS</v>
      </c>
      <c r="F36" s="20">
        <f>IF($P36="","",IFERROR(IF(INDEX(MASTER!$G$4:$G$1463,$P36)="","",INDEX(MASTER!$G$4:$G$1463,$P36)),""))</f>
        <v>62968</v>
      </c>
      <c r="G36" s="19" t="str">
        <f>IF($P36="","",IFERROR(IF(INDEX(MASTER!$H$4:$H$1463,$P36)="","",INDEX(MASTER!$H$4:$H$1463,$P36)),""))</f>
        <v>62,000 - 62,999</v>
      </c>
      <c r="H36" s="20">
        <f>IF($P36="","",IFERROR(IF(INDEX(MASTER!$I$4:$I$1463,$P36)="","",INDEX(MASTER!$I$4:$I$1463,$P36)),""))</f>
        <v>4389</v>
      </c>
      <c r="I36" s="19" t="str">
        <f>IF($P36="","",IFERROR(IF(INDEX(MASTER!$J$4:$J$1463,$P36)="","",INDEX(MASTER!$J$4:$J$1463,$P36)),""))</f>
        <v>CORE</v>
      </c>
      <c r="J36" s="21">
        <f>IF($P36="","",IFERROR(IF(INDEX(MASTER!$L$4:$L$1463,$P36)="","",INDEX(MASTER!$L$4:$L$1463,$P36)),""))</f>
        <v>3.9</v>
      </c>
      <c r="K36" s="21">
        <f>IF($P36="","",IFERROR(IF(INDEX(MASTER!$N$4:$N$1463,$P36)="","",INDEX(MASTER!$N$4:$N$1463,$P36)),""))</f>
        <v>46.6</v>
      </c>
      <c r="L36" s="19" t="str">
        <f>IF($P36="","",IFERROR(IF(INDEX(MASTER!$O$4:$O$1463,$P36)="","",INDEX(MASTER!$O$4:$O$1463,$P36)),""))</f>
        <v>B</v>
      </c>
      <c r="M36" s="19">
        <f>IF($P36="","",IFERROR(IF(INDEX(MASTER!$Q$4:$Q$1463,$P36)="","",INDEX(MASTER!$Q$4:$Q$1463,$P36)),""))</f>
        <v>39</v>
      </c>
      <c r="N36" s="19" t="str">
        <f>IF($P36="","",IFERROR(IF(INDEX(MASTER!$S$4:$S$1463,$P36)="","",INDEX(MASTER!$S$4:$S$1463,$P36)),""))</f>
        <v>Complete</v>
      </c>
      <c r="P36">
        <f>IFERROR(MATCH($Q$1&amp;"@28",MASTER!$AC$4:$AC$1463,0),"")</f>
        <v>260</v>
      </c>
    </row>
    <row r="37" spans="1:16">
      <c r="A37" s="15">
        <f>IF($P37="","",29)</f>
        <v>29</v>
      </c>
      <c r="B37" s="14" t="str">
        <f>IF($P37="","",IFERROR(IF(INDEX(MASTER!$C$4:$C$1463,$P37)="","",INDEX(MASTER!$C$4:$C$1463,$P37)),""))</f>
        <v>Dealyle</v>
      </c>
      <c r="C37" s="15" t="str">
        <f>IF($P37="","",IFERROR(IF(INDEX(MASTER!$D$4:$D$1463,$P37)="","",INDEX(MASTER!$D$4:$D$1463,$P37)),""))</f>
        <v/>
      </c>
      <c r="D37" s="15" t="str">
        <f>IF($P37="","",IFERROR(IF(INDEX(MASTER!$E$4:$E$1463,$P37)="","",INDEX(MASTER!$E$4:$E$1463,$P37)),""))</f>
        <v>BARBARIAN</v>
      </c>
      <c r="E37" s="15" t="str">
        <f>IF($P37="","",IFERROR(IF(INDEX(MASTER!$F$4:$F$1463,$P37)="","",INDEX(MASTER!$F$4:$F$1463,$P37)),""))</f>
        <v>Frontline</v>
      </c>
      <c r="F37" s="16">
        <f>IF($P37="","",IFERROR(IF(INDEX(MASTER!$G$4:$G$1463,$P37)="","",INDEX(MASTER!$G$4:$G$1463,$P37)),""))</f>
        <v>63286</v>
      </c>
      <c r="G37" s="15" t="str">
        <f>IF($P37="","",IFERROR(IF(INDEX(MASTER!$H$4:$H$1463,$P37)="","",INDEX(MASTER!$H$4:$H$1463,$P37)),""))</f>
        <v>63,000 - 63,999</v>
      </c>
      <c r="H37" s="16">
        <f>IF($P37="","",IFERROR(IF(INDEX(MASTER!$I$4:$I$1463,$P37)="","",INDEX(MASTER!$I$4:$I$1463,$P37)),""))</f>
        <v>7430</v>
      </c>
      <c r="I37" s="15" t="str">
        <f>IF($P37="","",IFERROR(IF(INDEX(MASTER!$J$4:$J$1463,$P37)="","",INDEX(MASTER!$J$4:$J$1463,$P37)),""))</f>
        <v>VETERAN</v>
      </c>
      <c r="J37" s="17">
        <f>IF($P37="","",IFERROR(IF(INDEX(MASTER!$L$4:$L$1463,$P37)="","",INDEX(MASTER!$L$4:$L$1463,$P37)),""))</f>
        <v>6.5</v>
      </c>
      <c r="K37" s="17">
        <f>IF($P37="","",IFERROR(IF(INDEX(MASTER!$N$4:$N$1463,$P37)="","",INDEX(MASTER!$N$4:$N$1463,$P37)),""))</f>
        <v>65.099999999999994</v>
      </c>
      <c r="L37" s="15" t="str">
        <f>IF($P37="","",IFERROR(IF(INDEX(MASTER!$O$4:$O$1463,$P37)="","",INDEX(MASTER!$O$4:$O$1463,$P37)),""))</f>
        <v>S</v>
      </c>
      <c r="M37" s="15">
        <f>IF($P37="","",IFERROR(IF(INDEX(MASTER!$Q$4:$Q$1463,$P37)="","",INDEX(MASTER!$Q$4:$Q$1463,$P37)),""))</f>
        <v>9</v>
      </c>
      <c r="N37" s="15" t="str">
        <f>IF($P37="","",IFERROR(IF(INDEX(MASTER!$S$4:$S$1463,$P37)="","",INDEX(MASTER!$S$4:$S$1463,$P37)),""))</f>
        <v>Complete</v>
      </c>
      <c r="P37">
        <f>IFERROR(MATCH($Q$1&amp;"@29",MASTER!$AC$4:$AC$1463,0),"")</f>
        <v>266</v>
      </c>
    </row>
    <row r="38" spans="1:16">
      <c r="A38" s="19">
        <f>IF($P38="","",30)</f>
        <v>30</v>
      </c>
      <c r="B38" s="18" t="str">
        <f>IF($P38="","",IFERROR(IF(INDEX(MASTER!$C$4:$C$1463,$P38)="","",INDEX(MASTER!$C$4:$C$1463,$P38)),""))</f>
        <v>DEMON</v>
      </c>
      <c r="C38" s="19" t="str">
        <f>IF($P38="","",IFERROR(IF(INDEX(MASTER!$D$4:$D$1463,$P38)="","",INDEX(MASTER!$D$4:$D$1463,$P38)),""))</f>
        <v>OP</v>
      </c>
      <c r="D38" s="19" t="str">
        <f>IF($P38="","",IFERROR(IF(INDEX(MASTER!$E$4:$E$1463,$P38)="","",INDEX(MASTER!$E$4:$E$1463,$P38)),""))</f>
        <v>WARLOCK</v>
      </c>
      <c r="E38" s="19" t="str">
        <f>IF($P38="","",IFERROR(IF(INDEX(MASTER!$F$4:$F$1463,$P38)="","",INDEX(MASTER!$F$4:$F$1463,$P38)),""))</f>
        <v>Control</v>
      </c>
      <c r="F38" s="20">
        <f>IF($P38="","",IFERROR(IF(INDEX(MASTER!$G$4:$G$1463,$P38)="","",INDEX(MASTER!$G$4:$G$1463,$P38)),""))</f>
        <v>61778</v>
      </c>
      <c r="G38" s="19" t="str">
        <f>IF($P38="","",IFERROR(IF(INDEX(MASTER!$H$4:$H$1463,$P38)="","",INDEX(MASTER!$H$4:$H$1463,$P38)),""))</f>
        <v>61,000 - 61,999</v>
      </c>
      <c r="H38" s="20">
        <f>IF($P38="","",IFERROR(IF(INDEX(MASTER!$I$4:$I$1463,$P38)="","",INDEX(MASTER!$I$4:$I$1463,$P38)),""))</f>
        <v>2727</v>
      </c>
      <c r="I38" s="19" t="str">
        <f>IF($P38="","",IFERROR(IF(INDEX(MASTER!$J$4:$J$1463,$P38)="","",INDEX(MASTER!$J$4:$J$1463,$P38)),""))</f>
        <v>DEVELOPING</v>
      </c>
      <c r="J38" s="21">
        <f>IF($P38="","",IFERROR(IF(INDEX(MASTER!$L$4:$L$1463,$P38)="","",INDEX(MASTER!$L$4:$L$1463,$P38)),""))</f>
        <v>3.7</v>
      </c>
      <c r="K38" s="21">
        <f>IF($P38="","",IFERROR(IF(INDEX(MASTER!$N$4:$N$1463,$P38)="","",INDEX(MASTER!$N$4:$N$1463,$P38)),""))</f>
        <v>35.9</v>
      </c>
      <c r="L38" s="19" t="str">
        <f>IF($P38="","",IFERROR(IF(INDEX(MASTER!$O$4:$O$1463,$P38)="","",INDEX(MASTER!$O$4:$O$1463,$P38)),""))</f>
        <v>B</v>
      </c>
      <c r="M38" s="19">
        <f>IF($P38="","",IFERROR(IF(INDEX(MASTER!$Q$4:$Q$1463,$P38)="","",INDEX(MASTER!$Q$4:$Q$1463,$P38)),""))</f>
        <v>87</v>
      </c>
      <c r="N38" s="19" t="str">
        <f>IF($P38="","",IFERROR(IF(INDEX(MASTER!$S$4:$S$1463,$P38)="","",INDEX(MASTER!$S$4:$S$1463,$P38)),""))</f>
        <v>Complete</v>
      </c>
      <c r="P38">
        <f>IFERROR(MATCH($Q$1&amp;"@30",MASTER!$AC$4:$AC$1463,0),"")</f>
        <v>275</v>
      </c>
    </row>
    <row r="39" spans="1:16">
      <c r="A39" s="15">
        <f>IF($P39="","",31)</f>
        <v>31</v>
      </c>
      <c r="B39" s="14" t="str">
        <f>IF($P39="","",IFERROR(IF(INDEX(MASTER!$C$4:$C$1463,$P39)="","",INDEX(MASTER!$C$4:$C$1463,$P39)),""))</f>
        <v>DevineAngel</v>
      </c>
      <c r="C39" s="15" t="str">
        <f>IF($P39="","",IFERROR(IF(INDEX(MASTER!$D$4:$D$1463,$P39)="","",INDEX(MASTER!$D$4:$D$1463,$P39)),""))</f>
        <v/>
      </c>
      <c r="D39" s="15" t="str">
        <f>IF($P39="","",IFERROR(IF(INDEX(MASTER!$E$4:$E$1463,$P39)="","",INDEX(MASTER!$E$4:$E$1463,$P39)),""))</f>
        <v>DEMON HUNTER</v>
      </c>
      <c r="E39" s="15" t="str">
        <f>IF($P39="","",IFERROR(IF(INDEX(MASTER!$F$4:$F$1463,$P39)="","",INDEX(MASTER!$F$4:$F$1463,$P39)),""))</f>
        <v>Ranged DPS</v>
      </c>
      <c r="F39" s="16">
        <f>IF($P39="","",IFERROR(IF(INDEX(MASTER!$G$4:$G$1463,$P39)="","",INDEX(MASTER!$G$4:$G$1463,$P39)),""))</f>
        <v>62896</v>
      </c>
      <c r="G39" s="15" t="str">
        <f>IF($P39="","",IFERROR(IF(INDEX(MASTER!$H$4:$H$1463,$P39)="","",INDEX(MASTER!$H$4:$H$1463,$P39)),""))</f>
        <v>62,000 - 62,999</v>
      </c>
      <c r="H39" s="16">
        <f>IF($P39="","",IFERROR(IF(INDEX(MASTER!$I$4:$I$1463,$P39)="","",INDEX(MASTER!$I$4:$I$1463,$P39)),""))</f>
        <v>3012</v>
      </c>
      <c r="I39" s="15" t="str">
        <f>IF($P39="","",IFERROR(IF(INDEX(MASTER!$J$4:$J$1463,$P39)="","",INDEX(MASTER!$J$4:$J$1463,$P39)),""))</f>
        <v>DEVELOPING</v>
      </c>
      <c r="J39" s="17">
        <f>IF($P39="","",IFERROR(IF(INDEX(MASTER!$L$4:$L$1463,$P39)="","",INDEX(MASTER!$L$4:$L$1463,$P39)),""))</f>
        <v>5.2</v>
      </c>
      <c r="K39" s="17">
        <f>IF($P39="","",IFERROR(IF(INDEX(MASTER!$N$4:$N$1463,$P39)="","",INDEX(MASTER!$N$4:$N$1463,$P39)),""))</f>
        <v>42.6</v>
      </c>
      <c r="L39" s="15" t="str">
        <f>IF($P39="","",IFERROR(IF(INDEX(MASTER!$O$4:$O$1463,$P39)="","",INDEX(MASTER!$O$4:$O$1463,$P39)),""))</f>
        <v>B</v>
      </c>
      <c r="M39" s="15">
        <f>IF($P39="","",IFERROR(IF(INDEX(MASTER!$Q$4:$Q$1463,$P39)="","",INDEX(MASTER!$Q$4:$Q$1463,$P39)),""))</f>
        <v>80</v>
      </c>
      <c r="N39" s="15" t="str">
        <f>IF($P39="","",IFERROR(IF(INDEX(MASTER!$S$4:$S$1463,$P39)="","",INDEX(MASTER!$S$4:$S$1463,$P39)),""))</f>
        <v>Complete</v>
      </c>
      <c r="P39">
        <f>IFERROR(MATCH($Q$1&amp;"@31",MASTER!$AC$4:$AC$1463,0),"")</f>
        <v>282</v>
      </c>
    </row>
    <row r="40" spans="1:16">
      <c r="A40" s="19">
        <f>IF($P40="","",32)</f>
        <v>32</v>
      </c>
      <c r="B40" s="18" t="str">
        <f>IF($P40="","",IFERROR(IF(INDEX(MASTER!$C$4:$C$1463,$P40)="","",INDEX(MASTER!$C$4:$C$1463,$P40)),""))</f>
        <v>DIL- Azlar</v>
      </c>
      <c r="C40" s="19" t="str">
        <f>IF($P40="","",IFERROR(IF(INDEX(MASTER!$D$4:$D$1463,$P40)="","",INDEX(MASTER!$D$4:$D$1463,$P40)),""))</f>
        <v/>
      </c>
      <c r="D40" s="19" t="str">
        <f>IF($P40="","",IFERROR(IF(INDEX(MASTER!$E$4:$E$1463,$P40)="","",INDEX(MASTER!$E$4:$E$1463,$P40)),""))</f>
        <v>WARLOCK</v>
      </c>
      <c r="E40" s="19" t="str">
        <f>IF($P40="","",IFERROR(IF(INDEX(MASTER!$F$4:$F$1463,$P40)="","",INDEX(MASTER!$F$4:$F$1463,$P40)),""))</f>
        <v>Control</v>
      </c>
      <c r="F40" s="20">
        <f>IF($P40="","",IFERROR(IF(INDEX(MASTER!$G$4:$G$1463,$P40)="","",INDEX(MASTER!$G$4:$G$1463,$P40)),""))</f>
        <v>63501</v>
      </c>
      <c r="G40" s="19" t="str">
        <f>IF($P40="","",IFERROR(IF(INDEX(MASTER!$H$4:$H$1463,$P40)="","",INDEX(MASTER!$H$4:$H$1463,$P40)),""))</f>
        <v>63,000 - 63,999</v>
      </c>
      <c r="H40" s="20">
        <f>IF($P40="","",IFERROR(IF(INDEX(MASTER!$I$4:$I$1463,$P40)="","",INDEX(MASTER!$I$4:$I$1463,$P40)),""))</f>
        <v>8226</v>
      </c>
      <c r="I40" s="19" t="str">
        <f>IF($P40="","",IFERROR(IF(INDEX(MASTER!$J$4:$J$1463,$P40)="","",INDEX(MASTER!$J$4:$J$1463,$P40)),""))</f>
        <v>ELITE</v>
      </c>
      <c r="J40" s="21">
        <f>IF($P40="","",IFERROR(IF(INDEX(MASTER!$L$4:$L$1463,$P40)="","",INDEX(MASTER!$L$4:$L$1463,$P40)),""))</f>
        <v>8.1999999999999993</v>
      </c>
      <c r="K40" s="21">
        <f>IF($P40="","",IFERROR(IF(INDEX(MASTER!$N$4:$N$1463,$P40)="","",INDEX(MASTER!$N$4:$N$1463,$P40)),""))</f>
        <v>71.900000000000006</v>
      </c>
      <c r="L40" s="19" t="str">
        <f>IF($P40="","",IFERROR(IF(INDEX(MASTER!$O$4:$O$1463,$P40)="","",INDEX(MASTER!$O$4:$O$1463,$P40)),""))</f>
        <v>S</v>
      </c>
      <c r="M40" s="19">
        <f>IF($P40="","",IFERROR(IF(INDEX(MASTER!$Q$4:$Q$1463,$P40)="","",INDEX(MASTER!$Q$4:$Q$1463,$P40)),""))</f>
        <v>7</v>
      </c>
      <c r="N40" s="19" t="str">
        <f>IF($P40="","",IFERROR(IF(INDEX(MASTER!$S$4:$S$1463,$P40)="","",INDEX(MASTER!$S$4:$S$1463,$P40)),""))</f>
        <v>Complete</v>
      </c>
      <c r="P40">
        <f>IFERROR(MATCH($Q$1&amp;"@32",MASTER!$AC$4:$AC$1463,0),"")</f>
        <v>291</v>
      </c>
    </row>
    <row r="41" spans="1:16">
      <c r="A41" s="15">
        <f>IF($P41="","",33)</f>
        <v>33</v>
      </c>
      <c r="B41" s="14" t="str">
        <f>IF($P41="","",IFERROR(IF(INDEX(MASTER!$C$4:$C$1463,$P41)="","",INDEX(MASTER!$C$4:$C$1463,$P41)),""))</f>
        <v>DuDuBuBu</v>
      </c>
      <c r="C41" s="15" t="str">
        <f>IF($P41="","",IFERROR(IF(INDEX(MASTER!$D$4:$D$1463,$P41)="","",INDEX(MASTER!$D$4:$D$1463,$P41)),""))</f>
        <v>OP</v>
      </c>
      <c r="D41" s="15" t="str">
        <f>IF($P41="","",IFERROR(IF(INDEX(MASTER!$E$4:$E$1463,$P41)="","",INDEX(MASTER!$E$4:$E$1463,$P41)),""))</f>
        <v>DRUID</v>
      </c>
      <c r="E41" s="15" t="str">
        <f>IF($P41="","",IFERROR(IF(INDEX(MASTER!$F$4:$F$1463,$P41)="","",INDEX(MASTER!$F$4:$F$1463,$P41)),""))</f>
        <v>Support</v>
      </c>
      <c r="F41" s="16">
        <f>IF($P41="","",IFERROR(IF(INDEX(MASTER!$G$4:$G$1463,$P41)="","",INDEX(MASTER!$G$4:$G$1463,$P41)),""))</f>
        <v>63447</v>
      </c>
      <c r="G41" s="15" t="str">
        <f>IF($P41="","",IFERROR(IF(INDEX(MASTER!$H$4:$H$1463,$P41)="","",INDEX(MASTER!$H$4:$H$1463,$P41)),""))</f>
        <v>63,000 - 63,999</v>
      </c>
      <c r="H41" s="16">
        <f>IF($P41="","",IFERROR(IF(INDEX(MASTER!$I$4:$I$1463,$P41)="","",INDEX(MASTER!$I$4:$I$1463,$P41)),""))</f>
        <v>5831</v>
      </c>
      <c r="I41" s="15" t="str">
        <f>IF($P41="","",IFERROR(IF(INDEX(MASTER!$J$4:$J$1463,$P41)="","",INDEX(MASTER!$J$4:$J$1463,$P41)),""))</f>
        <v>CORE</v>
      </c>
      <c r="J41" s="17">
        <f>IF($P41="","",IFERROR(IF(INDEX(MASTER!$L$4:$L$1463,$P41)="","",INDEX(MASTER!$L$4:$L$1463,$P41)),""))</f>
        <v>6.14</v>
      </c>
      <c r="K41" s="17">
        <f>IF($P41="","",IFERROR(IF(INDEX(MASTER!$N$4:$N$1463,$P41)="","",INDEX(MASTER!$N$4:$N$1463,$P41)),""))</f>
        <v>57.9</v>
      </c>
      <c r="L41" s="15" t="str">
        <f>IF($P41="","",IFERROR(IF(INDEX(MASTER!$O$4:$O$1463,$P41)="","",INDEX(MASTER!$O$4:$O$1463,$P41)),""))</f>
        <v>A</v>
      </c>
      <c r="M41" s="15">
        <f>IF($P41="","",IFERROR(IF(INDEX(MASTER!$Q$4:$Q$1463,$P41)="","",INDEX(MASTER!$Q$4:$Q$1463,$P41)),""))</f>
        <v>21</v>
      </c>
      <c r="N41" s="15" t="str">
        <f>IF($P41="","",IFERROR(IF(INDEX(MASTER!$S$4:$S$1463,$P41)="","",INDEX(MASTER!$S$4:$S$1463,$P41)),""))</f>
        <v>Complete</v>
      </c>
      <c r="P41">
        <f>IFERROR(MATCH($Q$1&amp;"@33",MASTER!$AC$4:$AC$1463,0),"")</f>
        <v>326</v>
      </c>
    </row>
    <row r="42" spans="1:16">
      <c r="A42" s="19">
        <f>IF($P42="","",34)</f>
        <v>34</v>
      </c>
      <c r="B42" s="18" t="str">
        <f>IF($P42="","",IFERROR(IF(INDEX(MASTER!$C$4:$C$1463,$P42)="","",INDEX(MASTER!$C$4:$C$1463,$P42)),""))</f>
        <v>EighTxUp</v>
      </c>
      <c r="C42" s="19" t="str">
        <f>IF($P42="","",IFERROR(IF(INDEX(MASTER!$D$4:$D$1463,$P42)="","",INDEX(MASTER!$D$4:$D$1463,$P42)),""))</f>
        <v/>
      </c>
      <c r="D42" s="19" t="str">
        <f>IF($P42="","",IFERROR(IF(INDEX(MASTER!$E$4:$E$1463,$P42)="","",INDEX(MASTER!$E$4:$E$1463,$P42)),""))</f>
        <v>WARLOCK</v>
      </c>
      <c r="E42" s="19" t="str">
        <f>IF($P42="","",IFERROR(IF(INDEX(MASTER!$F$4:$F$1463,$P42)="","",INDEX(MASTER!$F$4:$F$1463,$P42)),""))</f>
        <v>Control</v>
      </c>
      <c r="F42" s="20">
        <f>IF($P42="","",IFERROR(IF(INDEX(MASTER!$G$4:$G$1463,$P42)="","",INDEX(MASTER!$G$4:$G$1463,$P42)),""))</f>
        <v>62921</v>
      </c>
      <c r="G42" s="19" t="str">
        <f>IF($P42="","",IFERROR(IF(INDEX(MASTER!$H$4:$H$1463,$P42)="","",INDEX(MASTER!$H$4:$H$1463,$P42)),""))</f>
        <v>62,000 - 62,999</v>
      </c>
      <c r="H42" s="20">
        <f>IF($P42="","",IFERROR(IF(INDEX(MASTER!$I$4:$I$1463,$P42)="","",INDEX(MASTER!$I$4:$I$1463,$P42)),""))</f>
        <v>3342</v>
      </c>
      <c r="I42" s="19" t="str">
        <f>IF($P42="","",IFERROR(IF(INDEX(MASTER!$J$4:$J$1463,$P42)="","",INDEX(MASTER!$J$4:$J$1463,$P42)),""))</f>
        <v>DEVELOPING</v>
      </c>
      <c r="J42" s="21">
        <f>IF($P42="","",IFERROR(IF(INDEX(MASTER!$L$4:$L$1463,$P42)="","",INDEX(MASTER!$L$4:$L$1463,$P42)),""))</f>
        <v>4.5999999999999996</v>
      </c>
      <c r="K42" s="21">
        <f>IF($P42="","",IFERROR(IF(INDEX(MASTER!$N$4:$N$1463,$P42)="","",INDEX(MASTER!$N$4:$N$1463,$P42)),""))</f>
        <v>43.1</v>
      </c>
      <c r="L42" s="19" t="str">
        <f>IF($P42="","",IFERROR(IF(INDEX(MASTER!$O$4:$O$1463,$P42)="","",INDEX(MASTER!$O$4:$O$1463,$P42)),""))</f>
        <v>B</v>
      </c>
      <c r="M42" s="19">
        <f>IF($P42="","",IFERROR(IF(INDEX(MASTER!$Q$4:$Q$1463,$P42)="","",INDEX(MASTER!$Q$4:$Q$1463,$P42)),""))</f>
        <v>73</v>
      </c>
      <c r="N42" s="19" t="str">
        <f>IF($P42="","",IFERROR(IF(INDEX(MASTER!$S$4:$S$1463,$P42)="","",INDEX(MASTER!$S$4:$S$1463,$P42)),""))</f>
        <v>Complete</v>
      </c>
      <c r="P42">
        <f>IFERROR(MATCH($Q$1&amp;"@34",MASTER!$AC$4:$AC$1463,0),"")</f>
        <v>343</v>
      </c>
    </row>
    <row r="43" spans="1:16">
      <c r="A43" s="15">
        <f>IF($P43="","",35)</f>
        <v>35</v>
      </c>
      <c r="B43" s="14" t="str">
        <f>IF($P43="","",IFERROR(IF(INDEX(MASTER!$C$4:$C$1463,$P43)="","",INDEX(MASTER!$C$4:$C$1463,$P43)),""))</f>
        <v>F3nt4nyl</v>
      </c>
      <c r="C43" s="15" t="str">
        <f>IF($P43="","",IFERROR(IF(INDEX(MASTER!$D$4:$D$1463,$P43)="","",INDEX(MASTER!$D$4:$D$1463,$P43)),""))</f>
        <v/>
      </c>
      <c r="D43" s="15" t="str">
        <f>IF($P43="","",IFERROR(IF(INDEX(MASTER!$E$4:$E$1463,$P43)="","",INDEX(MASTER!$E$4:$E$1463,$P43)),""))</f>
        <v>NECROMANCER</v>
      </c>
      <c r="E43" s="15" t="str">
        <f>IF($P43="","",IFERROR(IF(INDEX(MASTER!$F$4:$F$1463,$P43)="","",INDEX(MASTER!$F$4:$F$1463,$P43)),""))</f>
        <v>Control</v>
      </c>
      <c r="F43" s="16">
        <f>IF($P43="","",IFERROR(IF(INDEX(MASTER!$G$4:$G$1463,$P43)="","",INDEX(MASTER!$G$4:$G$1463,$P43)),""))</f>
        <v>63003</v>
      </c>
      <c r="G43" s="15" t="str">
        <f>IF($P43="","",IFERROR(IF(INDEX(MASTER!$H$4:$H$1463,$P43)="","",INDEX(MASTER!$H$4:$H$1463,$P43)),""))</f>
        <v>63,000 - 63,999</v>
      </c>
      <c r="H43" s="16">
        <f>IF($P43="","",IFERROR(IF(INDEX(MASTER!$I$4:$I$1463,$P43)="","",INDEX(MASTER!$I$4:$I$1463,$P43)),""))</f>
        <v>4319</v>
      </c>
      <c r="I43" s="15" t="str">
        <f>IF($P43="","",IFERROR(IF(INDEX(MASTER!$J$4:$J$1463,$P43)="","",INDEX(MASTER!$J$4:$J$1463,$P43)),""))</f>
        <v>CORE</v>
      </c>
      <c r="J43" s="17">
        <f>IF($P43="","",IFERROR(IF(INDEX(MASTER!$L$4:$L$1463,$P43)="","",INDEX(MASTER!$L$4:$L$1463,$P43)),""))</f>
        <v>6.2</v>
      </c>
      <c r="K43" s="17">
        <f>IF($P43="","",IFERROR(IF(INDEX(MASTER!$N$4:$N$1463,$P43)="","",INDEX(MASTER!$N$4:$N$1463,$P43)),""))</f>
        <v>50.2</v>
      </c>
      <c r="L43" s="15" t="str">
        <f>IF($P43="","",IFERROR(IF(INDEX(MASTER!$O$4:$O$1463,$P43)="","",INDEX(MASTER!$O$4:$O$1463,$P43)),""))</f>
        <v>A</v>
      </c>
      <c r="M43" s="15">
        <f>IF($P43="","",IFERROR(IF(INDEX(MASTER!$Q$4:$Q$1463,$P43)="","",INDEX(MASTER!$Q$4:$Q$1463,$P43)),""))</f>
        <v>42</v>
      </c>
      <c r="N43" s="15" t="str">
        <f>IF($P43="","",IFERROR(IF(INDEX(MASTER!$S$4:$S$1463,$P43)="","",INDEX(MASTER!$S$4:$S$1463,$P43)),""))</f>
        <v>Complete</v>
      </c>
      <c r="P43">
        <f>IFERROR(MATCH($Q$1&amp;"@35",MASTER!$AC$4:$AC$1463,0),"")</f>
        <v>378</v>
      </c>
    </row>
    <row r="44" spans="1:16">
      <c r="A44" s="19">
        <f>IF($P44="","",36)</f>
        <v>36</v>
      </c>
      <c r="B44" s="18" t="str">
        <f>IF($P44="","",IFERROR(IF(INDEX(MASTER!$C$4:$C$1463,$P44)="","",INDEX(MASTER!$C$4:$C$1463,$P44)),""))</f>
        <v>FRASS</v>
      </c>
      <c r="C44" s="19" t="str">
        <f>IF($P44="","",IFERROR(IF(INDEX(MASTER!$D$4:$D$1463,$P44)="","",INDEX(MASTER!$D$4:$D$1463,$P44)),""))</f>
        <v/>
      </c>
      <c r="D44" s="19" t="str">
        <f>IF($P44="","",IFERROR(IF(INDEX(MASTER!$E$4:$E$1463,$P44)="","",INDEX(MASTER!$E$4:$E$1463,$P44)),""))</f>
        <v>DEMON HUNTER</v>
      </c>
      <c r="E44" s="19" t="str">
        <f>IF($P44="","",IFERROR(IF(INDEX(MASTER!$F$4:$F$1463,$P44)="","",INDEX(MASTER!$F$4:$F$1463,$P44)),""))</f>
        <v>Ranged DPS</v>
      </c>
      <c r="F44" s="20">
        <f>IF($P44="","",IFERROR(IF(INDEX(MASTER!$G$4:$G$1463,$P44)="","",INDEX(MASTER!$G$4:$G$1463,$P44)),""))</f>
        <v>62670</v>
      </c>
      <c r="G44" s="19" t="str">
        <f>IF($P44="","",IFERROR(IF(INDEX(MASTER!$H$4:$H$1463,$P44)="","",INDEX(MASTER!$H$4:$H$1463,$P44)),""))</f>
        <v>62,000 - 62,999</v>
      </c>
      <c r="H44" s="20">
        <f>IF($P44="","",IFERROR(IF(INDEX(MASTER!$I$4:$I$1463,$P44)="","",INDEX(MASTER!$I$4:$I$1463,$P44)),""))</f>
        <v>2885</v>
      </c>
      <c r="I44" s="19" t="str">
        <f>IF($P44="","",IFERROR(IF(INDEX(MASTER!$J$4:$J$1463,$P44)="","",INDEX(MASTER!$J$4:$J$1463,$P44)),""))</f>
        <v>DEVELOPING</v>
      </c>
      <c r="J44" s="21">
        <f>IF($P44="","",IFERROR(IF(INDEX(MASTER!$L$4:$L$1463,$P44)="","",INDEX(MASTER!$L$4:$L$1463,$P44)),""))</f>
        <v>4.8</v>
      </c>
      <c r="K44" s="21">
        <f>IF($P44="","",IFERROR(IF(INDEX(MASTER!$N$4:$N$1463,$P44)="","",INDEX(MASTER!$N$4:$N$1463,$P44)),""))</f>
        <v>40.799999999999997</v>
      </c>
      <c r="L44" s="19" t="str">
        <f>IF($P44="","",IFERROR(IF(INDEX(MASTER!$O$4:$O$1463,$P44)="","",INDEX(MASTER!$O$4:$O$1463,$P44)),""))</f>
        <v>B</v>
      </c>
      <c r="M44" s="19">
        <f>IF($P44="","",IFERROR(IF(INDEX(MASTER!$Q$4:$Q$1463,$P44)="","",INDEX(MASTER!$Q$4:$Q$1463,$P44)),""))</f>
        <v>84</v>
      </c>
      <c r="N44" s="19" t="str">
        <f>IF($P44="","",IFERROR(IF(INDEX(MASTER!$S$4:$S$1463,$P44)="","",INDEX(MASTER!$S$4:$S$1463,$P44)),""))</f>
        <v>Complete</v>
      </c>
      <c r="P44">
        <f>IFERROR(MATCH($Q$1&amp;"@36",MASTER!$AC$4:$AC$1463,0),"")</f>
        <v>399</v>
      </c>
    </row>
    <row r="45" spans="1:16">
      <c r="A45" s="15">
        <f>IF($P45="","",37)</f>
        <v>37</v>
      </c>
      <c r="B45" s="14" t="str">
        <f>IF($P45="","",IFERROR(IF(INDEX(MASTER!$C$4:$C$1463,$P45)="","",INDEX(MASTER!$C$4:$C$1463,$P45)),""))</f>
        <v>Gerac0t</v>
      </c>
      <c r="C45" s="15" t="str">
        <f>IF($P45="","",IFERROR(IF(INDEX(MASTER!$D$4:$D$1463,$P45)="","",INDEX(MASTER!$D$4:$D$1463,$P45)),""))</f>
        <v/>
      </c>
      <c r="D45" s="15" t="str">
        <f>IF($P45="","",IFERROR(IF(INDEX(MASTER!$E$4:$E$1463,$P45)="","",INDEX(MASTER!$E$4:$E$1463,$P45)),""))</f>
        <v>NECROMANCER</v>
      </c>
      <c r="E45" s="15" t="str">
        <f>IF($P45="","",IFERROR(IF(INDEX(MASTER!$F$4:$F$1463,$P45)="","",INDEX(MASTER!$F$4:$F$1463,$P45)),""))</f>
        <v>Control</v>
      </c>
      <c r="F45" s="16">
        <f>IF($P45="","",IFERROR(IF(INDEX(MASTER!$G$4:$G$1463,$P45)="","",INDEX(MASTER!$G$4:$G$1463,$P45)),""))</f>
        <v>62638</v>
      </c>
      <c r="G45" s="15" t="str">
        <f>IF($P45="","",IFERROR(IF(INDEX(MASTER!$H$4:$H$1463,$P45)="","",INDEX(MASTER!$H$4:$H$1463,$P45)),""))</f>
        <v>62,000 - 62,999</v>
      </c>
      <c r="H45" s="16">
        <f>IF($P45="","",IFERROR(IF(INDEX(MASTER!$I$4:$I$1463,$P45)="","",INDEX(MASTER!$I$4:$I$1463,$P45)),""))</f>
        <v>3611</v>
      </c>
      <c r="I45" s="15" t="str">
        <f>IF($P45="","",IFERROR(IF(INDEX(MASTER!$J$4:$J$1463,$P45)="","",INDEX(MASTER!$J$4:$J$1463,$P45)),""))</f>
        <v>DEVELOPING</v>
      </c>
      <c r="J45" s="17">
        <f>IF($P45="","",IFERROR(IF(INDEX(MASTER!$L$4:$L$1463,$P45)="","",INDEX(MASTER!$L$4:$L$1463,$P45)),""))</f>
        <v>4.2</v>
      </c>
      <c r="K45" s="17">
        <f>IF($P45="","",IFERROR(IF(INDEX(MASTER!$N$4:$N$1463,$P45)="","",INDEX(MASTER!$N$4:$N$1463,$P45)),""))</f>
        <v>42.9</v>
      </c>
      <c r="L45" s="15" t="str">
        <f>IF($P45="","",IFERROR(IF(INDEX(MASTER!$O$4:$O$1463,$P45)="","",INDEX(MASTER!$O$4:$O$1463,$P45)),""))</f>
        <v>B</v>
      </c>
      <c r="M45" s="15">
        <f>IF($P45="","",IFERROR(IF(INDEX(MASTER!$Q$4:$Q$1463,$P45)="","",INDEX(MASTER!$Q$4:$Q$1463,$P45)),""))</f>
        <v>64</v>
      </c>
      <c r="N45" s="15" t="str">
        <f>IF($P45="","",IFERROR(IF(INDEX(MASTER!$S$4:$S$1463,$P45)="","",INDEX(MASTER!$S$4:$S$1463,$P45)),""))</f>
        <v>Complete</v>
      </c>
      <c r="P45">
        <f>IFERROR(MATCH($Q$1&amp;"@37",MASTER!$AC$4:$AC$1463,0),"")</f>
        <v>420</v>
      </c>
    </row>
    <row r="46" spans="1:16">
      <c r="A46" s="19">
        <f>IF($P46="","",38)</f>
        <v>38</v>
      </c>
      <c r="B46" s="18" t="str">
        <f>IF($P46="","",IFERROR(IF(INDEX(MASTER!$C$4:$C$1463,$P46)="","",INDEX(MASTER!$C$4:$C$1463,$P46)),""))</f>
        <v>GiantDwarf20</v>
      </c>
      <c r="C46" s="19" t="str">
        <f>IF($P46="","",IFERROR(IF(INDEX(MASTER!$D$4:$D$1463,$P46)="","",INDEX(MASTER!$D$4:$D$1463,$P46)),""))</f>
        <v/>
      </c>
      <c r="D46" s="19" t="str">
        <f>IF($P46="","",IFERROR(IF(INDEX(MASTER!$E$4:$E$1463,$P46)="","",INDEX(MASTER!$E$4:$E$1463,$P46)),""))</f>
        <v>TEMPEST</v>
      </c>
      <c r="E46" s="19" t="str">
        <f>IF($P46="","",IFERROR(IF(INDEX(MASTER!$F$4:$F$1463,$P46)="","",INDEX(MASTER!$F$4:$F$1463,$P46)),""))</f>
        <v>Melee DPS</v>
      </c>
      <c r="F46" s="20">
        <f>IF($P46="","",IFERROR(IF(INDEX(MASTER!$G$4:$G$1463,$P46)="","",INDEX(MASTER!$G$4:$G$1463,$P46)),""))</f>
        <v>62791</v>
      </c>
      <c r="G46" s="19" t="str">
        <f>IF($P46="","",IFERROR(IF(INDEX(MASTER!$H$4:$H$1463,$P46)="","",INDEX(MASTER!$H$4:$H$1463,$P46)),""))</f>
        <v>62,000 - 62,999</v>
      </c>
      <c r="H46" s="20">
        <f>IF($P46="","",IFERROR(IF(INDEX(MASTER!$I$4:$I$1463,$P46)="","",INDEX(MASTER!$I$4:$I$1463,$P46)),""))</f>
        <v>3794</v>
      </c>
      <c r="I46" s="19" t="str">
        <f>IF($P46="","",IFERROR(IF(INDEX(MASTER!$J$4:$J$1463,$P46)="","",INDEX(MASTER!$J$4:$J$1463,$P46)),""))</f>
        <v>DEVELOPING</v>
      </c>
      <c r="J46" s="21">
        <f>IF($P46="","",IFERROR(IF(INDEX(MASTER!$L$4:$L$1463,$P46)="","",INDEX(MASTER!$L$4:$L$1463,$P46)),""))</f>
        <v>4.5999999999999996</v>
      </c>
      <c r="K46" s="21">
        <f>IF($P46="","",IFERROR(IF(INDEX(MASTER!$N$4:$N$1463,$P46)="","",INDEX(MASTER!$N$4:$N$1463,$P46)),""))</f>
        <v>44.7</v>
      </c>
      <c r="L46" s="19" t="str">
        <f>IF($P46="","",IFERROR(IF(INDEX(MASTER!$O$4:$O$1463,$P46)="","",INDEX(MASTER!$O$4:$O$1463,$P46)),""))</f>
        <v>B</v>
      </c>
      <c r="M46" s="19">
        <f>IF($P46="","",IFERROR(IF(INDEX(MASTER!$Q$4:$Q$1463,$P46)="","",INDEX(MASTER!$Q$4:$Q$1463,$P46)),""))</f>
        <v>56</v>
      </c>
      <c r="N46" s="19" t="str">
        <f>IF($P46="","",IFERROR(IF(INDEX(MASTER!$S$4:$S$1463,$P46)="","",INDEX(MASTER!$S$4:$S$1463,$P46)),""))</f>
        <v>Complete</v>
      </c>
      <c r="P46">
        <f>IFERROR(MATCH($Q$1&amp;"@38",MASTER!$AC$4:$AC$1463,0),"")</f>
        <v>429</v>
      </c>
    </row>
    <row r="47" spans="1:16">
      <c r="A47" s="15">
        <f>IF($P47="","",39)</f>
        <v>39</v>
      </c>
      <c r="B47" s="14" t="str">
        <f>IF($P47="","",IFERROR(IF(INDEX(MASTER!$C$4:$C$1463,$P47)="","",INDEX(MASTER!$C$4:$C$1463,$P47)),""))</f>
        <v>GingerBreadMan74</v>
      </c>
      <c r="C47" s="15" t="str">
        <f>IF($P47="","",IFERROR(IF(INDEX(MASTER!$D$4:$D$1463,$P47)="","",INDEX(MASTER!$D$4:$D$1463,$P47)),""))</f>
        <v/>
      </c>
      <c r="D47" s="15" t="str">
        <f>IF($P47="","",IFERROR(IF(INDEX(MASTER!$E$4:$E$1463,$P47)="","",INDEX(MASTER!$E$4:$E$1463,$P47)),""))</f>
        <v>DRUID</v>
      </c>
      <c r="E47" s="15" t="str">
        <f>IF($P47="","",IFERROR(IF(INDEX(MASTER!$F$4:$F$1463,$P47)="","",INDEX(MASTER!$F$4:$F$1463,$P47)),""))</f>
        <v>Support</v>
      </c>
      <c r="F47" s="16">
        <f>IF($P47="","",IFERROR(IF(INDEX(MASTER!$G$4:$G$1463,$P47)="","",INDEX(MASTER!$G$4:$G$1463,$P47)),""))</f>
        <v>61369</v>
      </c>
      <c r="G47" s="15" t="str">
        <f>IF($P47="","",IFERROR(IF(INDEX(MASTER!$H$4:$H$1463,$P47)="","",INDEX(MASTER!$H$4:$H$1463,$P47)),""))</f>
        <v>61,000 - 61,999</v>
      </c>
      <c r="H47" s="16">
        <f>IF($P47="","",IFERROR(IF(INDEX(MASTER!$I$4:$I$1463,$P47)="","",INDEX(MASTER!$I$4:$I$1463,$P47)),""))</f>
        <v>5400</v>
      </c>
      <c r="I47" s="15" t="str">
        <f>IF($P47="","",IFERROR(IF(INDEX(MASTER!$J$4:$J$1463,$P47)="","",INDEX(MASTER!$J$4:$J$1463,$P47)),""))</f>
        <v>CORE</v>
      </c>
      <c r="J47" s="17">
        <f>IF($P47="","",IFERROR(IF(INDEX(MASTER!$L$4:$L$1463,$P47)="","",INDEX(MASTER!$L$4:$L$1463,$P47)),""))</f>
        <v>4.8499999999999996</v>
      </c>
      <c r="K47" s="17">
        <f>IF($P47="","",IFERROR(IF(INDEX(MASTER!$N$4:$N$1463,$P47)="","",INDEX(MASTER!$N$4:$N$1463,$P47)),""))</f>
        <v>48.4</v>
      </c>
      <c r="L47" s="15" t="str">
        <f>IF($P47="","",IFERROR(IF(INDEX(MASTER!$O$4:$O$1463,$P47)="","",INDEX(MASTER!$O$4:$O$1463,$P47)),""))</f>
        <v>B</v>
      </c>
      <c r="M47" s="15">
        <f>IF($P47="","",IFERROR(IF(INDEX(MASTER!$Q$4:$Q$1463,$P47)="","",INDEX(MASTER!$Q$4:$Q$1463,$P47)),""))</f>
        <v>24</v>
      </c>
      <c r="N47" s="15" t="str">
        <f>IF($P47="","",IFERROR(IF(INDEX(MASTER!$S$4:$S$1463,$P47)="","",INDEX(MASTER!$S$4:$S$1463,$P47)),""))</f>
        <v>Complete</v>
      </c>
      <c r="P47">
        <f>IFERROR(MATCH($Q$1&amp;"@39",MASTER!$AC$4:$AC$1463,0),"")</f>
        <v>432</v>
      </c>
    </row>
    <row r="48" spans="1:16">
      <c r="A48" s="19">
        <f>IF($P48="","",40)</f>
        <v>40</v>
      </c>
      <c r="B48" s="18" t="str">
        <f>IF($P48="","",IFERROR(IF(INDEX(MASTER!$C$4:$C$1463,$P48)="","",INDEX(MASTER!$C$4:$C$1463,$P48)),""))</f>
        <v>Hellsblood</v>
      </c>
      <c r="C48" s="19" t="str">
        <f>IF($P48="","",IFERROR(IF(INDEX(MASTER!$D$4:$D$1463,$P48)="","",INDEX(MASTER!$D$4:$D$1463,$P48)),""))</f>
        <v/>
      </c>
      <c r="D48" s="19" t="str">
        <f>IF($P48="","",IFERROR(IF(INDEX(MASTER!$E$4:$E$1463,$P48)="","",INDEX(MASTER!$E$4:$E$1463,$P48)),""))</f>
        <v>BLOOD KNIGHT</v>
      </c>
      <c r="E48" s="19" t="str">
        <f>IF($P48="","",IFERROR(IF(INDEX(MASTER!$F$4:$F$1463,$P48)="","",INDEX(MASTER!$F$4:$F$1463,$P48)),""))</f>
        <v>Frontline</v>
      </c>
      <c r="F48" s="20">
        <f>IF($P48="","",IFERROR(IF(INDEX(MASTER!$G$4:$G$1463,$P48)="","",INDEX(MASTER!$G$4:$G$1463,$P48)),""))</f>
        <v>62277</v>
      </c>
      <c r="G48" s="19" t="str">
        <f>IF($P48="","",IFERROR(IF(INDEX(MASTER!$H$4:$H$1463,$P48)="","",INDEX(MASTER!$H$4:$H$1463,$P48)),""))</f>
        <v>62,000 - 62,999</v>
      </c>
      <c r="H48" s="20">
        <f>IF($P48="","",IFERROR(IF(INDEX(MASTER!$I$4:$I$1463,$P48)="","",INDEX(MASTER!$I$4:$I$1463,$P48)),""))</f>
        <v>2230</v>
      </c>
      <c r="I48" s="19" t="str">
        <f>IF($P48="","",IFERROR(IF(INDEX(MASTER!$J$4:$J$1463,$P48)="","",INDEX(MASTER!$J$4:$J$1463,$P48)),""))</f>
        <v>DEVELOPING</v>
      </c>
      <c r="J48" s="21">
        <f>IF($P48="","",IFERROR(IF(INDEX(MASTER!$L$4:$L$1463,$P48)="","",INDEX(MASTER!$L$4:$L$1463,$P48)),""))</f>
        <v>4.5999999999999996</v>
      </c>
      <c r="K48" s="21">
        <f>IF($P48="","",IFERROR(IF(INDEX(MASTER!$N$4:$N$1463,$P48)="","",INDEX(MASTER!$N$4:$N$1463,$P48)),""))</f>
        <v>36.6</v>
      </c>
      <c r="L48" s="19" t="str">
        <f>IF($P48="","",IFERROR(IF(INDEX(MASTER!$O$4:$O$1463,$P48)="","",INDEX(MASTER!$O$4:$O$1463,$P48)),""))</f>
        <v>B</v>
      </c>
      <c r="M48" s="19">
        <f>IF($P48="","",IFERROR(IF(INDEX(MASTER!$Q$4:$Q$1463,$P48)="","",INDEX(MASTER!$Q$4:$Q$1463,$P48)),""))</f>
        <v>93</v>
      </c>
      <c r="N48" s="19" t="str">
        <f>IF($P48="","",IFERROR(IF(INDEX(MASTER!$S$4:$S$1463,$P48)="","",INDEX(MASTER!$S$4:$S$1463,$P48)),""))</f>
        <v>Complete</v>
      </c>
      <c r="P48">
        <f>IFERROR(MATCH($Q$1&amp;"@40",MASTER!$AC$4:$AC$1463,0),"")</f>
        <v>488</v>
      </c>
    </row>
    <row r="49" spans="1:16">
      <c r="A49" s="15">
        <f>IF($P49="","",41)</f>
        <v>41</v>
      </c>
      <c r="B49" s="14" t="str">
        <f>IF($P49="","",IFERROR(IF(INDEX(MASTER!$C$4:$C$1463,$P49)="","",INDEX(MASTER!$C$4:$C$1463,$P49)),""))</f>
        <v>HellsMells</v>
      </c>
      <c r="C49" s="15" t="str">
        <f>IF($P49="","",IFERROR(IF(INDEX(MASTER!$D$4:$D$1463,$P49)="","",INDEX(MASTER!$D$4:$D$1463,$P49)),""))</f>
        <v/>
      </c>
      <c r="D49" s="15" t="str">
        <f>IF($P49="","",IFERROR(IF(INDEX(MASTER!$E$4:$E$1463,$P49)="","",INDEX(MASTER!$E$4:$E$1463,$P49)),""))</f>
        <v>DEMON HUNTER</v>
      </c>
      <c r="E49" s="15" t="str">
        <f>IF($P49="","",IFERROR(IF(INDEX(MASTER!$F$4:$F$1463,$P49)="","",INDEX(MASTER!$F$4:$F$1463,$P49)),""))</f>
        <v>Ranged DPS</v>
      </c>
      <c r="F49" s="16">
        <f>IF($P49="","",IFERROR(IF(INDEX(MASTER!$G$4:$G$1463,$P49)="","",INDEX(MASTER!$G$4:$G$1463,$P49)),""))</f>
        <v>63188</v>
      </c>
      <c r="G49" s="15" t="str">
        <f>IF($P49="","",IFERROR(IF(INDEX(MASTER!$H$4:$H$1463,$P49)="","",INDEX(MASTER!$H$4:$H$1463,$P49)),""))</f>
        <v>63,000 - 63,999</v>
      </c>
      <c r="H49" s="16">
        <f>IF($P49="","",IFERROR(IF(INDEX(MASTER!$I$4:$I$1463,$P49)="","",INDEX(MASTER!$I$4:$I$1463,$P49)),""))</f>
        <v>4635</v>
      </c>
      <c r="I49" s="15" t="str">
        <f>IF($P49="","",IFERROR(IF(INDEX(MASTER!$J$4:$J$1463,$P49)="","",INDEX(MASTER!$J$4:$J$1463,$P49)),""))</f>
        <v>CORE</v>
      </c>
      <c r="J49" s="17">
        <f>IF($P49="","",IFERROR(IF(INDEX(MASTER!$L$4:$L$1463,$P49)="","",INDEX(MASTER!$L$4:$L$1463,$P49)),""))</f>
        <v>4.4000000000000004</v>
      </c>
      <c r="K49" s="17">
        <f>IF($P49="","",IFERROR(IF(INDEX(MASTER!$N$4:$N$1463,$P49)="","",INDEX(MASTER!$N$4:$N$1463,$P49)),""))</f>
        <v>49.1</v>
      </c>
      <c r="L49" s="15" t="str">
        <f>IF($P49="","",IFERROR(IF(INDEX(MASTER!$O$4:$O$1463,$P49)="","",INDEX(MASTER!$O$4:$O$1463,$P49)),""))</f>
        <v>B</v>
      </c>
      <c r="M49" s="15">
        <f>IF($P49="","",IFERROR(IF(INDEX(MASTER!$Q$4:$Q$1463,$P49)="","",INDEX(MASTER!$Q$4:$Q$1463,$P49)),""))</f>
        <v>33</v>
      </c>
      <c r="N49" s="15" t="str">
        <f>IF($P49="","",IFERROR(IF(INDEX(MASTER!$S$4:$S$1463,$P49)="","",INDEX(MASTER!$S$4:$S$1463,$P49)),""))</f>
        <v>Complete</v>
      </c>
      <c r="P49">
        <f>IFERROR(MATCH($Q$1&amp;"@41",MASTER!$AC$4:$AC$1463,0),"")</f>
        <v>489</v>
      </c>
    </row>
    <row r="50" spans="1:16">
      <c r="A50" s="19">
        <f>IF($P50="","",42)</f>
        <v>42</v>
      </c>
      <c r="B50" s="18" t="str">
        <f>IF($P50="","",IFERROR(IF(INDEX(MASTER!$C$4:$C$1463,$P50)="","",INDEX(MASTER!$C$4:$C$1463,$P50)),""))</f>
        <v>Hyperion</v>
      </c>
      <c r="C50" s="19" t="str">
        <f>IF($P50="","",IFERROR(IF(INDEX(MASTER!$D$4:$D$1463,$P50)="","",INDEX(MASTER!$D$4:$D$1463,$P50)),""))</f>
        <v>OP</v>
      </c>
      <c r="D50" s="19" t="str">
        <f>IF($P50="","",IFERROR(IF(INDEX(MASTER!$E$4:$E$1463,$P50)="","",INDEX(MASTER!$E$4:$E$1463,$P50)),""))</f>
        <v>CRUSADER</v>
      </c>
      <c r="E50" s="19" t="str">
        <f>IF($P50="","",IFERROR(IF(INDEX(MASTER!$F$4:$F$1463,$P50)="","",INDEX(MASTER!$F$4:$F$1463,$P50)),""))</f>
        <v>Frontline</v>
      </c>
      <c r="F50" s="20">
        <f>IF($P50="","",IFERROR(IF(INDEX(MASTER!$G$4:$G$1463,$P50)="","",INDEX(MASTER!$G$4:$G$1463,$P50)),""))</f>
        <v>63389</v>
      </c>
      <c r="G50" s="19" t="str">
        <f>IF($P50="","",IFERROR(IF(INDEX(MASTER!$H$4:$H$1463,$P50)="","",INDEX(MASTER!$H$4:$H$1463,$P50)),""))</f>
        <v>63,000 - 63,999</v>
      </c>
      <c r="H50" s="20">
        <f>IF($P50="","",IFERROR(IF(INDEX(MASTER!$I$4:$I$1463,$P50)="","",INDEX(MASTER!$I$4:$I$1463,$P50)),""))</f>
        <v>5030</v>
      </c>
      <c r="I50" s="19" t="str">
        <f>IF($P50="","",IFERROR(IF(INDEX(MASTER!$J$4:$J$1463,$P50)="","",INDEX(MASTER!$J$4:$J$1463,$P50)),""))</f>
        <v>CORE</v>
      </c>
      <c r="J50" s="21">
        <f>IF($P50="","",IFERROR(IF(INDEX(MASTER!$L$4:$L$1463,$P50)="","",INDEX(MASTER!$L$4:$L$1463,$P50)),""))</f>
        <v>8</v>
      </c>
      <c r="K50" s="21">
        <f>IF($P50="","",IFERROR(IF(INDEX(MASTER!$N$4:$N$1463,$P50)="","",INDEX(MASTER!$N$4:$N$1463,$P50)),""))</f>
        <v>57.4</v>
      </c>
      <c r="L50" s="19" t="str">
        <f>IF($P50="","",IFERROR(IF(INDEX(MASTER!$O$4:$O$1463,$P50)="","",INDEX(MASTER!$O$4:$O$1463,$P50)),""))</f>
        <v>A</v>
      </c>
      <c r="M50" s="19">
        <f>IF($P50="","",IFERROR(IF(INDEX(MASTER!$Q$4:$Q$1463,$P50)="","",INDEX(MASTER!$Q$4:$Q$1463,$P50)),""))</f>
        <v>28</v>
      </c>
      <c r="N50" s="19" t="str">
        <f>IF($P50="","",IFERROR(IF(INDEX(MASTER!$S$4:$S$1463,$P50)="","",INDEX(MASTER!$S$4:$S$1463,$P50)),""))</f>
        <v>Complete</v>
      </c>
      <c r="P50">
        <f>IFERROR(MATCH($Q$1&amp;"@42",MASTER!$AC$4:$AC$1463,0),"")</f>
        <v>521</v>
      </c>
    </row>
    <row r="51" spans="1:16">
      <c r="A51" s="15">
        <f>IF($P51="","",43)</f>
        <v>43</v>
      </c>
      <c r="B51" s="14" t="str">
        <f>IF($P51="","",IFERROR(IF(INDEX(MASTER!$C$4:$C$1463,$P51)="","",INDEX(MASTER!$C$4:$C$1463,$P51)),""))</f>
        <v>ifHell</v>
      </c>
      <c r="C51" s="15" t="str">
        <f>IF($P51="","",IFERROR(IF(INDEX(MASTER!$D$4:$D$1463,$P51)="","",INDEX(MASTER!$D$4:$D$1463,$P51)),""))</f>
        <v/>
      </c>
      <c r="D51" s="15" t="str">
        <f>IF($P51="","",IFERROR(IF(INDEX(MASTER!$E$4:$E$1463,$P51)="","",INDEX(MASTER!$E$4:$E$1463,$P51)),""))</f>
        <v>WIZARD</v>
      </c>
      <c r="E51" s="15" t="str">
        <f>IF($P51="","",IFERROR(IF(INDEX(MASTER!$F$4:$F$1463,$P51)="","",INDEX(MASTER!$F$4:$F$1463,$P51)),""))</f>
        <v>Ranged DPS</v>
      </c>
      <c r="F51" s="16">
        <f>IF($P51="","",IFERROR(IF(INDEX(MASTER!$G$4:$G$1463,$P51)="","",INDEX(MASTER!$G$4:$G$1463,$P51)),""))</f>
        <v>62108</v>
      </c>
      <c r="G51" s="15" t="str">
        <f>IF($P51="","",IFERROR(IF(INDEX(MASTER!$H$4:$H$1463,$P51)="","",INDEX(MASTER!$H$4:$H$1463,$P51)),""))</f>
        <v>62,000 - 62,999</v>
      </c>
      <c r="H51" s="16">
        <f>IF($P51="","",IFERROR(IF(INDEX(MASTER!$I$4:$I$1463,$P51)="","",INDEX(MASTER!$I$4:$I$1463,$P51)),""))</f>
        <v>3528</v>
      </c>
      <c r="I51" s="15" t="str">
        <f>IF($P51="","",IFERROR(IF(INDEX(MASTER!$J$4:$J$1463,$P51)="","",INDEX(MASTER!$J$4:$J$1463,$P51)),""))</f>
        <v>DEVELOPING</v>
      </c>
      <c r="J51" s="17">
        <f>IF($P51="","",IFERROR(IF(INDEX(MASTER!$L$4:$L$1463,$P51)="","",INDEX(MASTER!$L$4:$L$1463,$P51)),""))</f>
        <v>6.2</v>
      </c>
      <c r="K51" s="17">
        <f>IF($P51="","",IFERROR(IF(INDEX(MASTER!$N$4:$N$1463,$P51)="","",INDEX(MASTER!$N$4:$N$1463,$P51)),""))</f>
        <v>44.4</v>
      </c>
      <c r="L51" s="15" t="str">
        <f>IF($P51="","",IFERROR(IF(INDEX(MASTER!$O$4:$O$1463,$P51)="","",INDEX(MASTER!$O$4:$O$1463,$P51)),""))</f>
        <v>B</v>
      </c>
      <c r="M51" s="15">
        <f>IF($P51="","",IFERROR(IF(INDEX(MASTER!$Q$4:$Q$1463,$P51)="","",INDEX(MASTER!$Q$4:$Q$1463,$P51)),""))</f>
        <v>69</v>
      </c>
      <c r="N51" s="15" t="str">
        <f>IF($P51="","",IFERROR(IF(INDEX(MASTER!$S$4:$S$1463,$P51)="","",INDEX(MASTER!$S$4:$S$1463,$P51)),""))</f>
        <v>Complete</v>
      </c>
      <c r="P51">
        <f>IFERROR(MATCH($Q$1&amp;"@43",MASTER!$AC$4:$AC$1463,0),"")</f>
        <v>527</v>
      </c>
    </row>
    <row r="52" spans="1:16">
      <c r="A52" s="19">
        <f>IF($P52="","",44)</f>
        <v>44</v>
      </c>
      <c r="B52" s="18" t="str">
        <f>IF($P52="","",IFERROR(IF(INDEX(MASTER!$C$4:$C$1463,$P52)="","",INDEX(MASTER!$C$4:$C$1463,$P52)),""))</f>
        <v>Itzi</v>
      </c>
      <c r="C52" s="19" t="str">
        <f>IF($P52="","",IFERROR(IF(INDEX(MASTER!$D$4:$D$1463,$P52)="","",INDEX(MASTER!$D$4:$D$1463,$P52)),""))</f>
        <v/>
      </c>
      <c r="D52" s="19" t="str">
        <f>IF($P52="","",IFERROR(IF(INDEX(MASTER!$E$4:$E$1463,$P52)="","",INDEX(MASTER!$E$4:$E$1463,$P52)),""))</f>
        <v>NECROMANCER</v>
      </c>
      <c r="E52" s="19" t="str">
        <f>IF($P52="","",IFERROR(IF(INDEX(MASTER!$F$4:$F$1463,$P52)="","",INDEX(MASTER!$F$4:$F$1463,$P52)),""))</f>
        <v>Control</v>
      </c>
      <c r="F52" s="20">
        <f>IF($P52="","",IFERROR(IF(INDEX(MASTER!$G$4:$G$1463,$P52)="","",INDEX(MASTER!$G$4:$G$1463,$P52)),""))</f>
        <v>62081</v>
      </c>
      <c r="G52" s="19" t="str">
        <f>IF($P52="","",IFERROR(IF(INDEX(MASTER!$H$4:$H$1463,$P52)="","",INDEX(MASTER!$H$4:$H$1463,$P52)),""))</f>
        <v>62,000 - 62,999</v>
      </c>
      <c r="H52" s="20">
        <f>IF($P52="","",IFERROR(IF(INDEX(MASTER!$I$4:$I$1463,$P52)="","",INDEX(MASTER!$I$4:$I$1463,$P52)),""))</f>
        <v>3514</v>
      </c>
      <c r="I52" s="19" t="str">
        <f>IF($P52="","",IFERROR(IF(INDEX(MASTER!$J$4:$J$1463,$P52)="","",INDEX(MASTER!$J$4:$J$1463,$P52)),""))</f>
        <v>DEVELOPING</v>
      </c>
      <c r="J52" s="21">
        <f>IF($P52="","",IFERROR(IF(INDEX(MASTER!$L$4:$L$1463,$P52)="","",INDEX(MASTER!$L$4:$L$1463,$P52)),""))</f>
        <v>6.1</v>
      </c>
      <c r="K52" s="21">
        <f>IF($P52="","",IFERROR(IF(INDEX(MASTER!$N$4:$N$1463,$P52)="","",INDEX(MASTER!$N$4:$N$1463,$P52)),""))</f>
        <v>44.1</v>
      </c>
      <c r="L52" s="19" t="str">
        <f>IF($P52="","",IFERROR(IF(INDEX(MASTER!$O$4:$O$1463,$P52)="","",INDEX(MASTER!$O$4:$O$1463,$P52)),""))</f>
        <v>B</v>
      </c>
      <c r="M52" s="19">
        <f>IF($P52="","",IFERROR(IF(INDEX(MASTER!$Q$4:$Q$1463,$P52)="","",INDEX(MASTER!$Q$4:$Q$1463,$P52)),""))</f>
        <v>70</v>
      </c>
      <c r="N52" s="19" t="str">
        <f>IF($P52="","",IFERROR(IF(INDEX(MASTER!$S$4:$S$1463,$P52)="","",INDEX(MASTER!$S$4:$S$1463,$P52)),""))</f>
        <v>Complete</v>
      </c>
      <c r="P52">
        <f>IFERROR(MATCH($Q$1&amp;"@44",MASTER!$AC$4:$AC$1463,0),"")</f>
        <v>541</v>
      </c>
    </row>
    <row r="53" spans="1:16">
      <c r="A53" s="15">
        <f>IF($P53="","",45)</f>
        <v>45</v>
      </c>
      <c r="B53" s="14" t="str">
        <f>IF($P53="","",IFERROR(IF(INDEX(MASTER!$C$4:$C$1463,$P53)="","",INDEX(MASTER!$C$4:$C$1463,$P53)),""))</f>
        <v>JæKing</v>
      </c>
      <c r="C53" s="15" t="str">
        <f>IF($P53="","",IFERROR(IF(INDEX(MASTER!$D$4:$D$1463,$P53)="","",INDEX(MASTER!$D$4:$D$1463,$P53)),""))</f>
        <v>Pogi</v>
      </c>
      <c r="D53" s="15" t="str">
        <f>IF($P53="","",IFERROR(IF(INDEX(MASTER!$E$4:$E$1463,$P53)="","",INDEX(MASTER!$E$4:$E$1463,$P53)),""))</f>
        <v>WIZARD</v>
      </c>
      <c r="E53" s="15" t="str">
        <f>IF($P53="","",IFERROR(IF(INDEX(MASTER!$F$4:$F$1463,$P53)="","",INDEX(MASTER!$F$4:$F$1463,$P53)),""))</f>
        <v>Ranged DPS</v>
      </c>
      <c r="F53" s="16">
        <f>IF($P53="","",IFERROR(IF(INDEX(MASTER!$G$4:$G$1463,$P53)="","",INDEX(MASTER!$G$4:$G$1463,$P53)),""))</f>
        <v>62398</v>
      </c>
      <c r="G53" s="15" t="str">
        <f>IF($P53="","",IFERROR(IF(INDEX(MASTER!$H$4:$H$1463,$P53)="","",INDEX(MASTER!$H$4:$H$1463,$P53)),""))</f>
        <v>62,000 - 62,999</v>
      </c>
      <c r="H53" s="16">
        <f>IF($P53="","",IFERROR(IF(INDEX(MASTER!$I$4:$I$1463,$P53)="","",INDEX(MASTER!$I$4:$I$1463,$P53)),""))</f>
        <v>4448</v>
      </c>
      <c r="I53" s="15" t="str">
        <f>IF($P53="","",IFERROR(IF(INDEX(MASTER!$J$4:$J$1463,$P53)="","",INDEX(MASTER!$J$4:$J$1463,$P53)),""))</f>
        <v>CORE</v>
      </c>
      <c r="J53" s="17">
        <f>IF($P53="","",IFERROR(IF(INDEX(MASTER!$L$4:$L$1463,$P53)="","",INDEX(MASTER!$L$4:$L$1463,$P53)),""))</f>
        <v>6.2</v>
      </c>
      <c r="K53" s="17">
        <f>IF($P53="","",IFERROR(IF(INDEX(MASTER!$N$4:$N$1463,$P53)="","",INDEX(MASTER!$N$4:$N$1463,$P53)),""))</f>
        <v>49.2</v>
      </c>
      <c r="L53" s="15" t="str">
        <f>IF($P53="","",IFERROR(IF(INDEX(MASTER!$O$4:$O$1463,$P53)="","",INDEX(MASTER!$O$4:$O$1463,$P53)),""))</f>
        <v>B</v>
      </c>
      <c r="M53" s="15">
        <f>IF($P53="","",IFERROR(IF(INDEX(MASTER!$Q$4:$Q$1463,$P53)="","",INDEX(MASTER!$Q$4:$Q$1463,$P53)),""))</f>
        <v>38</v>
      </c>
      <c r="N53" s="15" t="str">
        <f>IF($P53="","",IFERROR(IF(INDEX(MASTER!$S$4:$S$1463,$P53)="","",INDEX(MASTER!$S$4:$S$1463,$P53)),""))</f>
        <v>Complete</v>
      </c>
      <c r="P53">
        <f>IFERROR(MATCH($Q$1&amp;"@45",MASTER!$AC$4:$AC$1463,0),"")</f>
        <v>578</v>
      </c>
    </row>
    <row r="54" spans="1:16">
      <c r="A54" s="19">
        <f>IF($P54="","",46)</f>
        <v>46</v>
      </c>
      <c r="B54" s="18" t="str">
        <f>IF($P54="","",IFERROR(IF(INDEX(MASTER!$C$4:$C$1463,$P54)="","",INDEX(MASTER!$C$4:$C$1463,$P54)),""))</f>
        <v>Jäger109</v>
      </c>
      <c r="C54" s="19" t="str">
        <f>IF($P54="","",IFERROR(IF(INDEX(MASTER!$D$4:$D$1463,$P54)="","",INDEX(MASTER!$D$4:$D$1463,$P54)),""))</f>
        <v/>
      </c>
      <c r="D54" s="19" t="str">
        <f>IF($P54="","",IFERROR(IF(INDEX(MASTER!$E$4:$E$1463,$P54)="","",INDEX(MASTER!$E$4:$E$1463,$P54)),""))</f>
        <v>WARLOCK</v>
      </c>
      <c r="E54" s="19" t="str">
        <f>IF($P54="","",IFERROR(IF(INDEX(MASTER!$F$4:$F$1463,$P54)="","",INDEX(MASTER!$F$4:$F$1463,$P54)),""))</f>
        <v>Control</v>
      </c>
      <c r="F54" s="20">
        <f>IF($P54="","",IFERROR(IF(INDEX(MASTER!$G$4:$G$1463,$P54)="","",INDEX(MASTER!$G$4:$G$1463,$P54)),""))</f>
        <v>62575</v>
      </c>
      <c r="G54" s="19" t="str">
        <f>IF($P54="","",IFERROR(IF(INDEX(MASTER!$H$4:$H$1463,$P54)="","",INDEX(MASTER!$H$4:$H$1463,$P54)),""))</f>
        <v>62,000 - 62,999</v>
      </c>
      <c r="H54" s="20">
        <f>IF($P54="","",IFERROR(IF(INDEX(MASTER!$I$4:$I$1463,$P54)="","",INDEX(MASTER!$I$4:$I$1463,$P54)),""))</f>
        <v>5393</v>
      </c>
      <c r="I54" s="19" t="str">
        <f>IF($P54="","",IFERROR(IF(INDEX(MASTER!$J$4:$J$1463,$P54)="","",INDEX(MASTER!$J$4:$J$1463,$P54)),""))</f>
        <v>CORE</v>
      </c>
      <c r="J54" s="21">
        <f>IF($P54="","",IFERROR(IF(INDEX(MASTER!$L$4:$L$1463,$P54)="","",INDEX(MASTER!$L$4:$L$1463,$P54)),""))</f>
        <v>5.99</v>
      </c>
      <c r="K54" s="21">
        <f>IF($P54="","",IFERROR(IF(INDEX(MASTER!$N$4:$N$1463,$P54)="","",INDEX(MASTER!$N$4:$N$1463,$P54)),""))</f>
        <v>53.5</v>
      </c>
      <c r="L54" s="19" t="str">
        <f>IF($P54="","",IFERROR(IF(INDEX(MASTER!$O$4:$O$1463,$P54)="","",INDEX(MASTER!$O$4:$O$1463,$P54)),""))</f>
        <v>A</v>
      </c>
      <c r="M54" s="19">
        <f>IF($P54="","",IFERROR(IF(INDEX(MASTER!$Q$4:$Q$1463,$P54)="","",INDEX(MASTER!$Q$4:$Q$1463,$P54)),""))</f>
        <v>25</v>
      </c>
      <c r="N54" s="19" t="str">
        <f>IF($P54="","",IFERROR(IF(INDEX(MASTER!$S$4:$S$1463,$P54)="","",INDEX(MASTER!$S$4:$S$1463,$P54)),""))</f>
        <v>Complete</v>
      </c>
      <c r="P54">
        <f>IFERROR(MATCH($Q$1&amp;"@46",MASTER!$AC$4:$AC$1463,0),"")</f>
        <v>577</v>
      </c>
    </row>
    <row r="55" spans="1:16">
      <c r="A55" s="15">
        <f>IF($P55="","",47)</f>
        <v>47</v>
      </c>
      <c r="B55" s="14" t="str">
        <f>IF($P55="","",IFERROR(IF(INDEX(MASTER!$C$4:$C$1463,$P55)="","",INDEX(MASTER!$C$4:$C$1463,$P55)),""))</f>
        <v>Jalaredous</v>
      </c>
      <c r="C55" s="15" t="str">
        <f>IF($P55="","",IFERROR(IF(INDEX(MASTER!$D$4:$D$1463,$P55)="","",INDEX(MASTER!$D$4:$D$1463,$P55)),""))</f>
        <v/>
      </c>
      <c r="D55" s="15" t="str">
        <f>IF($P55="","",IFERROR(IF(INDEX(MASTER!$E$4:$E$1463,$P55)="","",INDEX(MASTER!$E$4:$E$1463,$P55)),""))</f>
        <v>WARLOCK</v>
      </c>
      <c r="E55" s="15" t="str">
        <f>IF($P55="","",IFERROR(IF(INDEX(MASTER!$F$4:$F$1463,$P55)="","",INDEX(MASTER!$F$4:$F$1463,$P55)),""))</f>
        <v>Control</v>
      </c>
      <c r="F55" s="16">
        <f>IF($P55="","",IFERROR(IF(INDEX(MASTER!$G$4:$G$1463,$P55)="","",INDEX(MASTER!$G$4:$G$1463,$P55)),""))</f>
        <v>62455</v>
      </c>
      <c r="G55" s="15" t="str">
        <f>IF($P55="","",IFERROR(IF(INDEX(MASTER!$H$4:$H$1463,$P55)="","",INDEX(MASTER!$H$4:$H$1463,$P55)),""))</f>
        <v>62,000 - 62,999</v>
      </c>
      <c r="H55" s="16">
        <f>IF($P55="","",IFERROR(IF(INDEX(MASTER!$I$4:$I$1463,$P55)="","",INDEX(MASTER!$I$4:$I$1463,$P55)),""))</f>
        <v>6930</v>
      </c>
      <c r="I55" s="15" t="str">
        <f>IF($P55="","",IFERROR(IF(INDEX(MASTER!$J$4:$J$1463,$P55)="","",INDEX(MASTER!$J$4:$J$1463,$P55)),""))</f>
        <v>VETERAN</v>
      </c>
      <c r="J55" s="17">
        <f>IF($P55="","",IFERROR(IF(INDEX(MASTER!$L$4:$L$1463,$P55)="","",INDEX(MASTER!$L$4:$L$1463,$P55)),""))</f>
        <v>8.5</v>
      </c>
      <c r="K55" s="17">
        <f>IF($P55="","",IFERROR(IF(INDEX(MASTER!$N$4:$N$1463,$P55)="","",INDEX(MASTER!$N$4:$N$1463,$P55)),""))</f>
        <v>64</v>
      </c>
      <c r="L55" s="15" t="str">
        <f>IF($P55="","",IFERROR(IF(INDEX(MASTER!$O$4:$O$1463,$P55)="","",INDEX(MASTER!$O$4:$O$1463,$P55)),""))</f>
        <v>A</v>
      </c>
      <c r="M55" s="15">
        <f>IF($P55="","",IFERROR(IF(INDEX(MASTER!$Q$4:$Q$1463,$P55)="","",INDEX(MASTER!$Q$4:$Q$1463,$P55)),""))</f>
        <v>16</v>
      </c>
      <c r="N55" s="15" t="str">
        <f>IF($P55="","",IFERROR(IF(INDEX(MASTER!$S$4:$S$1463,$P55)="","",INDEX(MASTER!$S$4:$S$1463,$P55)),""))</f>
        <v>Complete</v>
      </c>
      <c r="P55">
        <f>IFERROR(MATCH($Q$1&amp;"@47",MASTER!$AC$4:$AC$1463,0),"")</f>
        <v>548</v>
      </c>
    </row>
    <row r="56" spans="1:16">
      <c r="A56" s="19">
        <f>IF($P56="","",48)</f>
        <v>48</v>
      </c>
      <c r="B56" s="18" t="str">
        <f>IF($P56="","",IFERROR(IF(INDEX(MASTER!$C$4:$C$1463,$P56)="","",INDEX(MASTER!$C$4:$C$1463,$P56)),""))</f>
        <v>Jixer</v>
      </c>
      <c r="C56" s="19" t="str">
        <f>IF($P56="","",IFERROR(IF(INDEX(MASTER!$D$4:$D$1463,$P56)="","",INDEX(MASTER!$D$4:$D$1463,$P56)),""))</f>
        <v/>
      </c>
      <c r="D56" s="19" t="str">
        <f>IF($P56="","",IFERROR(IF(INDEX(MASTER!$E$4:$E$1463,$P56)="","",INDEX(MASTER!$E$4:$E$1463,$P56)),""))</f>
        <v>BARBARIAN</v>
      </c>
      <c r="E56" s="19" t="str">
        <f>IF($P56="","",IFERROR(IF(INDEX(MASTER!$F$4:$F$1463,$P56)="","",INDEX(MASTER!$F$4:$F$1463,$P56)),""))</f>
        <v>Frontline</v>
      </c>
      <c r="F56" s="20">
        <f>IF($P56="","",IFERROR(IF(INDEX(MASTER!$G$4:$G$1463,$P56)="","",INDEX(MASTER!$G$4:$G$1463,$P56)),""))</f>
        <v>62086</v>
      </c>
      <c r="G56" s="19" t="str">
        <f>IF($P56="","",IFERROR(IF(INDEX(MASTER!$H$4:$H$1463,$P56)="","",INDEX(MASTER!$H$4:$H$1463,$P56)),""))</f>
        <v>62,000 - 62,999</v>
      </c>
      <c r="H56" s="20">
        <f>IF($P56="","",IFERROR(IF(INDEX(MASTER!$I$4:$I$1463,$P56)="","",INDEX(MASTER!$I$4:$I$1463,$P56)),""))</f>
        <v>6226</v>
      </c>
      <c r="I56" s="19" t="str">
        <f>IF($P56="","",IFERROR(IF(INDEX(MASTER!$J$4:$J$1463,$P56)="","",INDEX(MASTER!$J$4:$J$1463,$P56)),""))</f>
        <v>VETERAN</v>
      </c>
      <c r="J56" s="21">
        <f>IF($P56="","",IFERROR(IF(INDEX(MASTER!$L$4:$L$1463,$P56)="","",INDEX(MASTER!$L$4:$L$1463,$P56)),""))</f>
        <v>5.65</v>
      </c>
      <c r="K56" s="21">
        <f>IF($P56="","",IFERROR(IF(INDEX(MASTER!$N$4:$N$1463,$P56)="","",INDEX(MASTER!$N$4:$N$1463,$P56)),""))</f>
        <v>55.2</v>
      </c>
      <c r="L56" s="19" t="str">
        <f>IF($P56="","",IFERROR(IF(INDEX(MASTER!$O$4:$O$1463,$P56)="","",INDEX(MASTER!$O$4:$O$1463,$P56)),""))</f>
        <v>A</v>
      </c>
      <c r="M56" s="19">
        <f>IF($P56="","",IFERROR(IF(INDEX(MASTER!$Q$4:$Q$1463,$P56)="","",INDEX(MASTER!$Q$4:$Q$1463,$P56)),""))</f>
        <v>18</v>
      </c>
      <c r="N56" s="19" t="str">
        <f>IF($P56="","",IFERROR(IF(INDEX(MASTER!$S$4:$S$1463,$P56)="","",INDEX(MASTER!$S$4:$S$1463,$P56)),""))</f>
        <v>Complete</v>
      </c>
      <c r="P56">
        <f>IFERROR(MATCH($Q$1&amp;"@48",MASTER!$AC$4:$AC$1463,0),"")</f>
        <v>565</v>
      </c>
    </row>
    <row r="57" spans="1:16">
      <c r="A57" s="15">
        <f>IF($P57="","",49)</f>
        <v>49</v>
      </c>
      <c r="B57" s="14" t="str">
        <f>IF($P57="","",IFERROR(IF(INDEX(MASTER!$C$4:$C$1463,$P57)="","",INDEX(MASTER!$C$4:$C$1463,$P57)),""))</f>
        <v>KALON2</v>
      </c>
      <c r="C57" s="15" t="str">
        <f>IF($P57="","",IFERROR(IF(INDEX(MASTER!$D$4:$D$1463,$P57)="","",INDEX(MASTER!$D$4:$D$1463,$P57)),""))</f>
        <v/>
      </c>
      <c r="D57" s="15" t="str">
        <f>IF($P57="","",IFERROR(IF(INDEX(MASTER!$E$4:$E$1463,$P57)="","",INDEX(MASTER!$E$4:$E$1463,$P57)),""))</f>
        <v>CRUSADER</v>
      </c>
      <c r="E57" s="15" t="str">
        <f>IF($P57="","",IFERROR(IF(INDEX(MASTER!$F$4:$F$1463,$P57)="","",INDEX(MASTER!$F$4:$F$1463,$P57)),""))</f>
        <v>Frontline</v>
      </c>
      <c r="F57" s="16">
        <f>IF($P57="","",IFERROR(IF(INDEX(MASTER!$G$4:$G$1463,$P57)="","",INDEX(MASTER!$G$4:$G$1463,$P57)),""))</f>
        <v>63276</v>
      </c>
      <c r="G57" s="15" t="str">
        <f>IF($P57="","",IFERROR(IF(INDEX(MASTER!$H$4:$H$1463,$P57)="","",INDEX(MASTER!$H$4:$H$1463,$P57)),""))</f>
        <v>63,000 - 63,999</v>
      </c>
      <c r="H57" s="16">
        <f>IF($P57="","",IFERROR(IF(INDEX(MASTER!$I$4:$I$1463,$P57)="","",INDEX(MASTER!$I$4:$I$1463,$P57)),""))</f>
        <v>4037</v>
      </c>
      <c r="I57" s="15" t="str">
        <f>IF($P57="","",IFERROR(IF(INDEX(MASTER!$J$4:$J$1463,$P57)="","",INDEX(MASTER!$J$4:$J$1463,$P57)),""))</f>
        <v>CORE</v>
      </c>
      <c r="J57" s="17">
        <f>IF($P57="","",IFERROR(IF(INDEX(MASTER!$L$4:$L$1463,$P57)="","",INDEX(MASTER!$L$4:$L$1463,$P57)),""))</f>
        <v>4.8</v>
      </c>
      <c r="K57" s="17">
        <f>IF($P57="","",IFERROR(IF(INDEX(MASTER!$N$4:$N$1463,$P57)="","",INDEX(MASTER!$N$4:$N$1463,$P57)),""))</f>
        <v>47.4</v>
      </c>
      <c r="L57" s="15" t="str">
        <f>IF($P57="","",IFERROR(IF(INDEX(MASTER!$O$4:$O$1463,$P57)="","",INDEX(MASTER!$O$4:$O$1463,$P57)),""))</f>
        <v>B</v>
      </c>
      <c r="M57" s="15">
        <f>IF($P57="","",IFERROR(IF(INDEX(MASTER!$Q$4:$Q$1463,$P57)="","",INDEX(MASTER!$Q$4:$Q$1463,$P57)),""))</f>
        <v>51</v>
      </c>
      <c r="N57" s="15" t="str">
        <f>IF($P57="","",IFERROR(IF(INDEX(MASTER!$S$4:$S$1463,$P57)="","",INDEX(MASTER!$S$4:$S$1463,$P57)),""))</f>
        <v>Complete</v>
      </c>
      <c r="P57">
        <f>IFERROR(MATCH($Q$1&amp;"@49",MASTER!$AC$4:$AC$1463,0),"")</f>
        <v>585</v>
      </c>
    </row>
    <row r="58" spans="1:16">
      <c r="A58" s="19">
        <f>IF($P58="","",50)</f>
        <v>50</v>
      </c>
      <c r="B58" s="18" t="str">
        <f>IF($P58="","",IFERROR(IF(INDEX(MASTER!$C$4:$C$1463,$P58)="","",INDEX(MASTER!$C$4:$C$1463,$P58)),""))</f>
        <v>Kele§_0</v>
      </c>
      <c r="C58" s="19" t="str">
        <f>IF($P58="","",IFERROR(IF(INDEX(MASTER!$D$4:$D$1463,$P58)="","",INDEX(MASTER!$D$4:$D$1463,$P58)),""))</f>
        <v/>
      </c>
      <c r="D58" s="19" t="str">
        <f>IF($P58="","",IFERROR(IF(INDEX(MASTER!$E$4:$E$1463,$P58)="","",INDEX(MASTER!$E$4:$E$1463,$P58)),""))</f>
        <v>BARBARIAN</v>
      </c>
      <c r="E58" s="19" t="str">
        <f>IF($P58="","",IFERROR(IF(INDEX(MASTER!$F$4:$F$1463,$P58)="","",INDEX(MASTER!$F$4:$F$1463,$P58)),""))</f>
        <v>Frontline</v>
      </c>
      <c r="F58" s="20">
        <f>IF($P58="","",IFERROR(IF(INDEX(MASTER!$G$4:$G$1463,$P58)="","",INDEX(MASTER!$G$4:$G$1463,$P58)),""))</f>
        <v>63315</v>
      </c>
      <c r="G58" s="19" t="str">
        <f>IF($P58="","",IFERROR(IF(INDEX(MASTER!$H$4:$H$1463,$P58)="","",INDEX(MASTER!$H$4:$H$1463,$P58)),""))</f>
        <v>63,000 - 63,999</v>
      </c>
      <c r="H58" s="20">
        <f>IF($P58="","",IFERROR(IF(INDEX(MASTER!$I$4:$I$1463,$P58)="","",INDEX(MASTER!$I$4:$I$1463,$P58)),""))</f>
        <v>4763</v>
      </c>
      <c r="I58" s="19" t="str">
        <f>IF($P58="","",IFERROR(IF(INDEX(MASTER!$J$4:$J$1463,$P58)="","",INDEX(MASTER!$J$4:$J$1463,$P58)),""))</f>
        <v>CORE</v>
      </c>
      <c r="J58" s="21">
        <f>IF($P58="","",IFERROR(IF(INDEX(MASTER!$L$4:$L$1463,$P58)="","",INDEX(MASTER!$L$4:$L$1463,$P58)),""))</f>
        <v>5.0999999999999996</v>
      </c>
      <c r="K58" s="21">
        <f>IF($P58="","",IFERROR(IF(INDEX(MASTER!$N$4:$N$1463,$P58)="","",INDEX(MASTER!$N$4:$N$1463,$P58)),""))</f>
        <v>51.2</v>
      </c>
      <c r="L58" s="19" t="str">
        <f>IF($P58="","",IFERROR(IF(INDEX(MASTER!$O$4:$O$1463,$P58)="","",INDEX(MASTER!$O$4:$O$1463,$P58)),""))</f>
        <v>A</v>
      </c>
      <c r="M58" s="19">
        <f>IF($P58="","",IFERROR(IF(INDEX(MASTER!$Q$4:$Q$1463,$P58)="","",INDEX(MASTER!$Q$4:$Q$1463,$P58)),""))</f>
        <v>30</v>
      </c>
      <c r="N58" s="19" t="str">
        <f>IF($P58="","",IFERROR(IF(INDEX(MASTER!$S$4:$S$1463,$P58)="","",INDEX(MASTER!$S$4:$S$1463,$P58)),""))</f>
        <v>Complete</v>
      </c>
      <c r="P58">
        <f>IFERROR(MATCH($Q$1&amp;"@50",MASTER!$AC$4:$AC$1463,0),"")</f>
        <v>597</v>
      </c>
    </row>
    <row r="59" spans="1:16">
      <c r="A59" s="15">
        <f>IF($P59="","",51)</f>
        <v>51</v>
      </c>
      <c r="B59" s="14" t="str">
        <f>IF($P59="","",IFERROR(IF(INDEX(MASTER!$C$4:$C$1463,$P59)="","",INDEX(MASTER!$C$4:$C$1463,$P59)),""))</f>
        <v>KeynnyC</v>
      </c>
      <c r="C59" s="15" t="str">
        <f>IF($P59="","",IFERROR(IF(INDEX(MASTER!$D$4:$D$1463,$P59)="","",INDEX(MASTER!$D$4:$D$1463,$P59)),""))</f>
        <v/>
      </c>
      <c r="D59" s="15" t="str">
        <f>IF($P59="","",IFERROR(IF(INDEX(MASTER!$E$4:$E$1463,$P59)="","",INDEX(MASTER!$E$4:$E$1463,$P59)),""))</f>
        <v>CRUSADER</v>
      </c>
      <c r="E59" s="15" t="str">
        <f>IF($P59="","",IFERROR(IF(INDEX(MASTER!$F$4:$F$1463,$P59)="","",INDEX(MASTER!$F$4:$F$1463,$P59)),""))</f>
        <v>Frontline</v>
      </c>
      <c r="F59" s="16">
        <f>IF($P59="","",IFERROR(IF(INDEX(MASTER!$G$4:$G$1463,$P59)="","",INDEX(MASTER!$G$4:$G$1463,$P59)),""))</f>
        <v>63304</v>
      </c>
      <c r="G59" s="15" t="str">
        <f>IF($P59="","",IFERROR(IF(INDEX(MASTER!$H$4:$H$1463,$P59)="","",INDEX(MASTER!$H$4:$H$1463,$P59)),""))</f>
        <v>63,000 - 63,999</v>
      </c>
      <c r="H59" s="16">
        <f>IF($P59="","",IFERROR(IF(INDEX(MASTER!$I$4:$I$1463,$P59)="","",INDEX(MASTER!$I$4:$I$1463,$P59)),""))</f>
        <v>8843</v>
      </c>
      <c r="I59" s="15" t="str">
        <f>IF($P59="","",IFERROR(IF(INDEX(MASTER!$J$4:$J$1463,$P59)="","",INDEX(MASTER!$J$4:$J$1463,$P59)),""))</f>
        <v>ELITE</v>
      </c>
      <c r="J59" s="17">
        <f>IF($P59="","",IFERROR(IF(INDEX(MASTER!$L$4:$L$1463,$P59)="","",INDEX(MASTER!$L$4:$L$1463,$P59)),""))</f>
        <v>6.7</v>
      </c>
      <c r="K59" s="17">
        <f>IF($P59="","",IFERROR(IF(INDEX(MASTER!$N$4:$N$1463,$P59)="","",INDEX(MASTER!$N$4:$N$1463,$P59)),""))</f>
        <v>71.599999999999994</v>
      </c>
      <c r="L59" s="15" t="str">
        <f>IF($P59="","",IFERROR(IF(INDEX(MASTER!$O$4:$O$1463,$P59)="","",INDEX(MASTER!$O$4:$O$1463,$P59)),""))</f>
        <v>S</v>
      </c>
      <c r="M59" s="15">
        <f>IF($P59="","",IFERROR(IF(INDEX(MASTER!$Q$4:$Q$1463,$P59)="","",INDEX(MASTER!$Q$4:$Q$1463,$P59)),""))</f>
        <v>3</v>
      </c>
      <c r="N59" s="15" t="str">
        <f>IF($P59="","",IFERROR(IF(INDEX(MASTER!$S$4:$S$1463,$P59)="","",INDEX(MASTER!$S$4:$S$1463,$P59)),""))</f>
        <v>Complete</v>
      </c>
      <c r="P59">
        <f>IFERROR(MATCH($Q$1&amp;"@51",MASTER!$AC$4:$AC$1463,0),"")</f>
        <v>601</v>
      </c>
    </row>
    <row r="60" spans="1:16">
      <c r="A60" s="19">
        <f>IF($P60="","",52)</f>
        <v>52</v>
      </c>
      <c r="B60" s="18" t="str">
        <f>IF($P60="","",IFERROR(IF(INDEX(MASTER!$C$4:$C$1463,$P60)="","",INDEX(MASTER!$C$4:$C$1463,$P60)),""))</f>
        <v>KhaLLDrago</v>
      </c>
      <c r="C60" s="19" t="str">
        <f>IF($P60="","",IFERROR(IF(INDEX(MASTER!$D$4:$D$1463,$P60)="","",INDEX(MASTER!$D$4:$D$1463,$P60)),""))</f>
        <v/>
      </c>
      <c r="D60" s="19" t="str">
        <f>IF($P60="","",IFERROR(IF(INDEX(MASTER!$E$4:$E$1463,$P60)="","",INDEX(MASTER!$E$4:$E$1463,$P60)),""))</f>
        <v>BARBARIAN</v>
      </c>
      <c r="E60" s="19" t="str">
        <f>IF($P60="","",IFERROR(IF(INDEX(MASTER!$F$4:$F$1463,$P60)="","",INDEX(MASTER!$F$4:$F$1463,$P60)),""))</f>
        <v>Frontline</v>
      </c>
      <c r="F60" s="20">
        <f>IF($P60="","",IFERROR(IF(INDEX(MASTER!$G$4:$G$1463,$P60)="","",INDEX(MASTER!$G$4:$G$1463,$P60)),""))</f>
        <v>62722</v>
      </c>
      <c r="G60" s="19" t="str">
        <f>IF($P60="","",IFERROR(IF(INDEX(MASTER!$H$4:$H$1463,$P60)="","",INDEX(MASTER!$H$4:$H$1463,$P60)),""))</f>
        <v>62,000 - 62,999</v>
      </c>
      <c r="H60" s="20">
        <f>IF($P60="","",IFERROR(IF(INDEX(MASTER!$I$4:$I$1463,$P60)="","",INDEX(MASTER!$I$4:$I$1463,$P60)),""))</f>
        <v>2134</v>
      </c>
      <c r="I60" s="19" t="str">
        <f>IF($P60="","",IFERROR(IF(INDEX(MASTER!$J$4:$J$1463,$P60)="","",INDEX(MASTER!$J$4:$J$1463,$P60)),""))</f>
        <v>DEVELOPING</v>
      </c>
      <c r="J60" s="21">
        <f>IF($P60="","",IFERROR(IF(INDEX(MASTER!$L$4:$L$1463,$P60)="","",INDEX(MASTER!$L$4:$L$1463,$P60)),""))</f>
        <v>3.65</v>
      </c>
      <c r="K60" s="21">
        <f>IF($P60="","",IFERROR(IF(INDEX(MASTER!$N$4:$N$1463,$P60)="","",INDEX(MASTER!$N$4:$N$1463,$P60)),""))</f>
        <v>35.700000000000003</v>
      </c>
      <c r="L60" s="19" t="str">
        <f>IF($P60="","",IFERROR(IF(INDEX(MASTER!$O$4:$O$1463,$P60)="","",INDEX(MASTER!$O$4:$O$1463,$P60)),""))</f>
        <v>B</v>
      </c>
      <c r="M60" s="19">
        <f>IF($P60="","",IFERROR(IF(INDEX(MASTER!$Q$4:$Q$1463,$P60)="","",INDEX(MASTER!$Q$4:$Q$1463,$P60)),""))</f>
        <v>94</v>
      </c>
      <c r="N60" s="19" t="str">
        <f>IF($P60="","",IFERROR(IF(INDEX(MASTER!$S$4:$S$1463,$P60)="","",INDEX(MASTER!$S$4:$S$1463,$P60)),""))</f>
        <v>Complete</v>
      </c>
      <c r="P60">
        <f>IFERROR(MATCH($Q$1&amp;"@52",MASTER!$AC$4:$AC$1463,0),"")</f>
        <v>602</v>
      </c>
    </row>
    <row r="61" spans="1:16">
      <c r="A61" s="15">
        <f>IF($P61="","",53)</f>
        <v>53</v>
      </c>
      <c r="B61" s="14" t="str">
        <f>IF($P61="","",IFERROR(IF(INDEX(MASTER!$C$4:$C$1463,$P61)="","",INDEX(MASTER!$C$4:$C$1463,$P61)),""))</f>
        <v>KillahEmily</v>
      </c>
      <c r="C61" s="15" t="str">
        <f>IF($P61="","",IFERROR(IF(INDEX(MASTER!$D$4:$D$1463,$P61)="","",INDEX(MASTER!$D$4:$D$1463,$P61)),""))</f>
        <v/>
      </c>
      <c r="D61" s="15" t="str">
        <f>IF($P61="","",IFERROR(IF(INDEX(MASTER!$E$4:$E$1463,$P61)="","",INDEX(MASTER!$E$4:$E$1463,$P61)),""))</f>
        <v>DRUID</v>
      </c>
      <c r="E61" s="15" t="str">
        <f>IF($P61="","",IFERROR(IF(INDEX(MASTER!$F$4:$F$1463,$P61)="","",INDEX(MASTER!$F$4:$F$1463,$P61)),""))</f>
        <v>Support</v>
      </c>
      <c r="F61" s="16">
        <f>IF($P61="","",IFERROR(IF(INDEX(MASTER!$G$4:$G$1463,$P61)="","",INDEX(MASTER!$G$4:$G$1463,$P61)),""))</f>
        <v>62611</v>
      </c>
      <c r="G61" s="15" t="str">
        <f>IF($P61="","",IFERROR(IF(INDEX(MASTER!$H$4:$H$1463,$P61)="","",INDEX(MASTER!$H$4:$H$1463,$P61)),""))</f>
        <v>62,000 - 62,999</v>
      </c>
      <c r="H61" s="16">
        <f>IF($P61="","",IFERROR(IF(INDEX(MASTER!$I$4:$I$1463,$P61)="","",INDEX(MASTER!$I$4:$I$1463,$P61)),""))</f>
        <v>2506</v>
      </c>
      <c r="I61" s="15" t="str">
        <f>IF($P61="","",IFERROR(IF(INDEX(MASTER!$J$4:$J$1463,$P61)="","",INDEX(MASTER!$J$4:$J$1463,$P61)),""))</f>
        <v>DEVELOPING</v>
      </c>
      <c r="J61" s="17">
        <f>IF($P61="","",IFERROR(IF(INDEX(MASTER!$L$4:$L$1463,$P61)="","",INDEX(MASTER!$L$4:$L$1463,$P61)),""))</f>
        <v>3.65</v>
      </c>
      <c r="K61" s="17">
        <f>IF($P61="","",IFERROR(IF(INDEX(MASTER!$N$4:$N$1463,$P61)="","",INDEX(MASTER!$N$4:$N$1463,$P61)),""))</f>
        <v>37.1</v>
      </c>
      <c r="L61" s="15" t="str">
        <f>IF($P61="","",IFERROR(IF(INDEX(MASTER!$O$4:$O$1463,$P61)="","",INDEX(MASTER!$O$4:$O$1463,$P61)),""))</f>
        <v>B</v>
      </c>
      <c r="M61" s="15">
        <f>IF($P61="","",IFERROR(IF(INDEX(MASTER!$Q$4:$Q$1463,$P61)="","",INDEX(MASTER!$Q$4:$Q$1463,$P61)),""))</f>
        <v>90</v>
      </c>
      <c r="N61" s="15" t="str">
        <f>IF($P61="","",IFERROR(IF(INDEX(MASTER!$S$4:$S$1463,$P61)="","",INDEX(MASTER!$S$4:$S$1463,$P61)),""))</f>
        <v>Complete</v>
      </c>
      <c r="P61">
        <f>IFERROR(MATCH($Q$1&amp;"@53",MASTER!$AC$4:$AC$1463,0),"")</f>
        <v>604</v>
      </c>
    </row>
    <row r="62" spans="1:16">
      <c r="A62" s="19">
        <f>IF($P62="","",54)</f>
        <v>54</v>
      </c>
      <c r="B62" s="18" t="str">
        <f>IF($P62="","",IFERROR(IF(INDEX(MASTER!$C$4:$C$1463,$P62)="","",INDEX(MASTER!$C$4:$C$1463,$P62)),""))</f>
        <v>Kingotch</v>
      </c>
      <c r="C62" s="19" t="str">
        <f>IF($P62="","",IFERROR(IF(INDEX(MASTER!$D$4:$D$1463,$P62)="","",INDEX(MASTER!$D$4:$D$1463,$P62)),""))</f>
        <v/>
      </c>
      <c r="D62" s="19" t="str">
        <f>IF($P62="","",IFERROR(IF(INDEX(MASTER!$E$4:$E$1463,$P62)="","",INDEX(MASTER!$E$4:$E$1463,$P62)),""))</f>
        <v>CRUSADER</v>
      </c>
      <c r="E62" s="19" t="str">
        <f>IF($P62="","",IFERROR(IF(INDEX(MASTER!$F$4:$F$1463,$P62)="","",INDEX(MASTER!$F$4:$F$1463,$P62)),""))</f>
        <v>Frontline</v>
      </c>
      <c r="F62" s="20">
        <f>IF($P62="","",IFERROR(IF(INDEX(MASTER!$G$4:$G$1463,$P62)="","",INDEX(MASTER!$G$4:$G$1463,$P62)),""))</f>
        <v>61863</v>
      </c>
      <c r="G62" s="19" t="str">
        <f>IF($P62="","",IFERROR(IF(INDEX(MASTER!$H$4:$H$1463,$P62)="","",INDEX(MASTER!$H$4:$H$1463,$P62)),""))</f>
        <v>61,000 - 61,999</v>
      </c>
      <c r="H62" s="20">
        <f>IF($P62="","",IFERROR(IF(INDEX(MASTER!$I$4:$I$1463,$P62)="","",INDEX(MASTER!$I$4:$I$1463,$P62)),""))</f>
        <v>4358</v>
      </c>
      <c r="I62" s="19" t="str">
        <f>IF($P62="","",IFERROR(IF(INDEX(MASTER!$J$4:$J$1463,$P62)="","",INDEX(MASTER!$J$4:$J$1463,$P62)),""))</f>
        <v>CORE</v>
      </c>
      <c r="J62" s="21">
        <f>IF($P62="","",IFERROR(IF(INDEX(MASTER!$L$4:$L$1463,$P62)="","",INDEX(MASTER!$L$4:$L$1463,$P62)),""))</f>
        <v>3.9</v>
      </c>
      <c r="K62" s="21">
        <f>IF($P62="","",IFERROR(IF(INDEX(MASTER!$N$4:$N$1463,$P62)="","",INDEX(MASTER!$N$4:$N$1463,$P62)),""))</f>
        <v>43.6</v>
      </c>
      <c r="L62" s="19" t="str">
        <f>IF($P62="","",IFERROR(IF(INDEX(MASTER!$O$4:$O$1463,$P62)="","",INDEX(MASTER!$O$4:$O$1463,$P62)),""))</f>
        <v>B</v>
      </c>
      <c r="M62" s="19">
        <f>IF($P62="","",IFERROR(IF(INDEX(MASTER!$Q$4:$Q$1463,$P62)="","",INDEX(MASTER!$Q$4:$Q$1463,$P62)),""))</f>
        <v>40</v>
      </c>
      <c r="N62" s="19" t="str">
        <f>IF($P62="","",IFERROR(IF(INDEX(MASTER!$S$4:$S$1463,$P62)="","",INDEX(MASTER!$S$4:$S$1463,$P62)),""))</f>
        <v>Complete</v>
      </c>
      <c r="P62">
        <f>IFERROR(MATCH($Q$1&amp;"@54",MASTER!$AC$4:$AC$1463,0),"")</f>
        <v>614</v>
      </c>
    </row>
    <row r="63" spans="1:16">
      <c r="A63" s="15">
        <f>IF($P63="","",55)</f>
        <v>55</v>
      </c>
      <c r="B63" s="14" t="str">
        <f>IF($P63="","",IFERROR(IF(INDEX(MASTER!$C$4:$C$1463,$P63)="","",INDEX(MASTER!$C$4:$C$1463,$P63)),""))</f>
        <v>Korvathx</v>
      </c>
      <c r="C63" s="15" t="str">
        <f>IF($P63="","",IFERROR(IF(INDEX(MASTER!$D$4:$D$1463,$P63)="","",INDEX(MASTER!$D$4:$D$1463,$P63)),""))</f>
        <v/>
      </c>
      <c r="D63" s="15" t="str">
        <f>IF($P63="","",IFERROR(IF(INDEX(MASTER!$E$4:$E$1463,$P63)="","",INDEX(MASTER!$E$4:$E$1463,$P63)),""))</f>
        <v>BLOOD KNIGHT</v>
      </c>
      <c r="E63" s="15" t="str">
        <f>IF($P63="","",IFERROR(IF(INDEX(MASTER!$F$4:$F$1463,$P63)="","",INDEX(MASTER!$F$4:$F$1463,$P63)),""))</f>
        <v>Frontline</v>
      </c>
      <c r="F63" s="16">
        <f>IF($P63="","",IFERROR(IF(INDEX(MASTER!$G$4:$G$1463,$P63)="","",INDEX(MASTER!$G$4:$G$1463,$P63)),""))</f>
        <v>62840</v>
      </c>
      <c r="G63" s="15" t="str">
        <f>IF($P63="","",IFERROR(IF(INDEX(MASTER!$H$4:$H$1463,$P63)="","",INDEX(MASTER!$H$4:$H$1463,$P63)),""))</f>
        <v>62,000 - 62,999</v>
      </c>
      <c r="H63" s="16">
        <f>IF($P63="","",IFERROR(IF(INDEX(MASTER!$I$4:$I$1463,$P63)="","",INDEX(MASTER!$I$4:$I$1463,$P63)),""))</f>
        <v>3563</v>
      </c>
      <c r="I63" s="15" t="str">
        <f>IF($P63="","",IFERROR(IF(INDEX(MASTER!$J$4:$J$1463,$P63)="","",INDEX(MASTER!$J$4:$J$1463,$P63)),""))</f>
        <v>DEVELOPING</v>
      </c>
      <c r="J63" s="17">
        <f>IF($P63="","",IFERROR(IF(INDEX(MASTER!$L$4:$L$1463,$P63)="","",INDEX(MASTER!$L$4:$L$1463,$P63)),""))</f>
        <v>5.2</v>
      </c>
      <c r="K63" s="17">
        <f>IF($P63="","",IFERROR(IF(INDEX(MASTER!$N$4:$N$1463,$P63)="","",INDEX(MASTER!$N$4:$N$1463,$P63)),""))</f>
        <v>44.9</v>
      </c>
      <c r="L63" s="15" t="str">
        <f>IF($P63="","",IFERROR(IF(INDEX(MASTER!$O$4:$O$1463,$P63)="","",INDEX(MASTER!$O$4:$O$1463,$P63)),""))</f>
        <v>B</v>
      </c>
      <c r="M63" s="15">
        <f>IF($P63="","",IFERROR(IF(INDEX(MASTER!$Q$4:$Q$1463,$P63)="","",INDEX(MASTER!$Q$4:$Q$1463,$P63)),""))</f>
        <v>66</v>
      </c>
      <c r="N63" s="15" t="str">
        <f>IF($P63="","",IFERROR(IF(INDEX(MASTER!$S$4:$S$1463,$P63)="","",INDEX(MASTER!$S$4:$S$1463,$P63)),""))</f>
        <v>Complete</v>
      </c>
      <c r="P63">
        <f>IFERROR(MATCH($Q$1&amp;"@55",MASTER!$AC$4:$AC$1463,0),"")</f>
        <v>623</v>
      </c>
    </row>
    <row r="64" spans="1:16">
      <c r="A64" s="19">
        <f>IF($P64="","",56)</f>
        <v>56</v>
      </c>
      <c r="B64" s="18" t="str">
        <f>IF($P64="","",IFERROR(IF(INDEX(MASTER!$C$4:$C$1463,$P64)="","",INDEX(MASTER!$C$4:$C$1463,$P64)),""))</f>
        <v>Kronnik</v>
      </c>
      <c r="C64" s="19" t="str">
        <f>IF($P64="","",IFERROR(IF(INDEX(MASTER!$D$4:$D$1463,$P64)="","",INDEX(MASTER!$D$4:$D$1463,$P64)),""))</f>
        <v/>
      </c>
      <c r="D64" s="19" t="str">
        <f>IF($P64="","",IFERROR(IF(INDEX(MASTER!$E$4:$E$1463,$P64)="","",INDEX(MASTER!$E$4:$E$1463,$P64)),""))</f>
        <v>BLOOD KNIGHT</v>
      </c>
      <c r="E64" s="19" t="str">
        <f>IF($P64="","",IFERROR(IF(INDEX(MASTER!$F$4:$F$1463,$P64)="","",INDEX(MASTER!$F$4:$F$1463,$P64)),""))</f>
        <v>Frontline</v>
      </c>
      <c r="F64" s="20">
        <f>IF($P64="","",IFERROR(IF(INDEX(MASTER!$G$4:$G$1463,$P64)="","",INDEX(MASTER!$G$4:$G$1463,$P64)),""))</f>
        <v>64189</v>
      </c>
      <c r="G64" s="19" t="str">
        <f>IF($P64="","",IFERROR(IF(INDEX(MASTER!$H$4:$H$1463,$P64)="","",INDEX(MASTER!$H$4:$H$1463,$P64)),""))</f>
        <v>64,000 +</v>
      </c>
      <c r="H64" s="20">
        <f>IF($P64="","",IFERROR(IF(INDEX(MASTER!$I$4:$I$1463,$P64)="","",INDEX(MASTER!$I$4:$I$1463,$P64)),""))</f>
        <v>8045</v>
      </c>
      <c r="I64" s="19" t="str">
        <f>IF($P64="","",IFERROR(IF(INDEX(MASTER!$J$4:$J$1463,$P64)="","",INDEX(MASTER!$J$4:$J$1463,$P64)),""))</f>
        <v>ELITE</v>
      </c>
      <c r="J64" s="21">
        <f>IF($P64="","",IFERROR(IF(INDEX(MASTER!$L$4:$L$1463,$P64)="","",INDEX(MASTER!$L$4:$L$1463,$P64)),""))</f>
        <v>5</v>
      </c>
      <c r="K64" s="21">
        <f>IF($P64="","",IFERROR(IF(INDEX(MASTER!$N$4:$N$1463,$P64)="","",INDEX(MASTER!$N$4:$N$1463,$P64)),""))</f>
        <v>67.599999999999994</v>
      </c>
      <c r="L64" s="19" t="str">
        <f>IF($P64="","",IFERROR(IF(INDEX(MASTER!$O$4:$O$1463,$P64)="","",INDEX(MASTER!$O$4:$O$1463,$P64)),""))</f>
        <v>S</v>
      </c>
      <c r="M64" s="19">
        <f>IF($P64="","",IFERROR(IF(INDEX(MASTER!$Q$4:$Q$1463,$P64)="","",INDEX(MASTER!$Q$4:$Q$1463,$P64)),""))</f>
        <v>8</v>
      </c>
      <c r="N64" s="19" t="str">
        <f>IF($P64="","",IFERROR(IF(INDEX(MASTER!$S$4:$S$1463,$P64)="","",INDEX(MASTER!$S$4:$S$1463,$P64)),""))</f>
        <v>Complete</v>
      </c>
      <c r="P64">
        <f>IFERROR(MATCH($Q$1&amp;"@56",MASTER!$AC$4:$AC$1463,0),"")</f>
        <v>631</v>
      </c>
    </row>
    <row r="65" spans="1:16">
      <c r="A65" s="15">
        <f>IF($P65="","",57)</f>
        <v>57</v>
      </c>
      <c r="B65" s="14" t="str">
        <f>IF($P65="","",IFERROR(IF(INDEX(MASTER!$C$4:$C$1463,$P65)="","",INDEX(MASTER!$C$4:$C$1463,$P65)),""))</f>
        <v>kupalGAMING</v>
      </c>
      <c r="C65" s="15" t="str">
        <f>IF($P65="","",IFERROR(IF(INDEX(MASTER!$D$4:$D$1463,$P65)="","",INDEX(MASTER!$D$4:$D$1463,$P65)),""))</f>
        <v/>
      </c>
      <c r="D65" s="15" t="str">
        <f>IF($P65="","",IFERROR(IF(INDEX(MASTER!$E$4:$E$1463,$P65)="","",INDEX(MASTER!$E$4:$E$1463,$P65)),""))</f>
        <v>DEMON HUNTER</v>
      </c>
      <c r="E65" s="15" t="str">
        <f>IF($P65="","",IFERROR(IF(INDEX(MASTER!$F$4:$F$1463,$P65)="","",INDEX(MASTER!$F$4:$F$1463,$P65)),""))</f>
        <v>Ranged DPS</v>
      </c>
      <c r="F65" s="16">
        <f>IF($P65="","",IFERROR(IF(INDEX(MASTER!$G$4:$G$1463,$P65)="","",INDEX(MASTER!$G$4:$G$1463,$P65)),""))</f>
        <v>60879</v>
      </c>
      <c r="G65" s="15" t="str">
        <f>IF($P65="","",IFERROR(IF(INDEX(MASTER!$H$4:$H$1463,$P65)="","",INDEX(MASTER!$H$4:$H$1463,$P65)),""))</f>
        <v>60,000 - 60,999</v>
      </c>
      <c r="H65" s="16">
        <f>IF($P65="","",IFERROR(IF(INDEX(MASTER!$I$4:$I$1463,$P65)="","",INDEX(MASTER!$I$4:$I$1463,$P65)),""))</f>
        <v>2928</v>
      </c>
      <c r="I65" s="15" t="str">
        <f>IF($P65="","",IFERROR(IF(INDEX(MASTER!$J$4:$J$1463,$P65)="","",INDEX(MASTER!$J$4:$J$1463,$P65)),""))</f>
        <v>DEVELOPING</v>
      </c>
      <c r="J65" s="17">
        <f>IF($P65="","",IFERROR(IF(INDEX(MASTER!$L$4:$L$1463,$P65)="","",INDEX(MASTER!$L$4:$L$1463,$P65)),""))</f>
        <v>3.1</v>
      </c>
      <c r="K65" s="17">
        <f>IF($P65="","",IFERROR(IF(INDEX(MASTER!$N$4:$N$1463,$P65)="","",INDEX(MASTER!$N$4:$N$1463,$P65)),""))</f>
        <v>33.4</v>
      </c>
      <c r="L65" s="15" t="str">
        <f>IF($P65="","",IFERROR(IF(INDEX(MASTER!$O$4:$O$1463,$P65)="","",INDEX(MASTER!$O$4:$O$1463,$P65)),""))</f>
        <v>C</v>
      </c>
      <c r="M65" s="15">
        <f>IF($P65="","",IFERROR(IF(INDEX(MASTER!$Q$4:$Q$1463,$P65)="","",INDEX(MASTER!$Q$4:$Q$1463,$P65)),""))</f>
        <v>83</v>
      </c>
      <c r="N65" s="15" t="str">
        <f>IF($P65="","",IFERROR(IF(INDEX(MASTER!$S$4:$S$1463,$P65)="","",INDEX(MASTER!$S$4:$S$1463,$P65)),""))</f>
        <v>Complete</v>
      </c>
      <c r="P65">
        <f>IFERROR(MATCH($Q$1&amp;"@57",MASTER!$AC$4:$AC$1463,0),"")</f>
        <v>636</v>
      </c>
    </row>
    <row r="66" spans="1:16">
      <c r="A66" s="19">
        <f>IF($P66="","",58)</f>
        <v>58</v>
      </c>
      <c r="B66" s="18" t="str">
        <f>IF($P66="","",IFERROR(IF(INDEX(MASTER!$C$4:$C$1463,$P66)="","",INDEX(MASTER!$C$4:$C$1463,$P66)),""))</f>
        <v>LadyDemitri</v>
      </c>
      <c r="C66" s="19" t="str">
        <f>IF($P66="","",IFERROR(IF(INDEX(MASTER!$D$4:$D$1463,$P66)="","",INDEX(MASTER!$D$4:$D$1463,$P66)),""))</f>
        <v/>
      </c>
      <c r="D66" s="19" t="str">
        <f>IF($P66="","",IFERROR(IF(INDEX(MASTER!$E$4:$E$1463,$P66)="","",INDEX(MASTER!$E$4:$E$1463,$P66)),""))</f>
        <v>WARLOCK</v>
      </c>
      <c r="E66" s="19" t="str">
        <f>IF($P66="","",IFERROR(IF(INDEX(MASTER!$F$4:$F$1463,$P66)="","",INDEX(MASTER!$F$4:$F$1463,$P66)),""))</f>
        <v>Control</v>
      </c>
      <c r="F66" s="20">
        <f>IF($P66="","",IFERROR(IF(INDEX(MASTER!$G$4:$G$1463,$P66)="","",INDEX(MASTER!$G$4:$G$1463,$P66)),""))</f>
        <v>62687</v>
      </c>
      <c r="G66" s="19" t="str">
        <f>IF($P66="","",IFERROR(IF(INDEX(MASTER!$H$4:$H$1463,$P66)="","",INDEX(MASTER!$H$4:$H$1463,$P66)),""))</f>
        <v>62,000 - 62,999</v>
      </c>
      <c r="H66" s="20">
        <f>IF($P66="","",IFERROR(IF(INDEX(MASTER!$I$4:$I$1463,$P66)="","",INDEX(MASTER!$I$4:$I$1463,$P66)),""))</f>
        <v>3670</v>
      </c>
      <c r="I66" s="19" t="str">
        <f>IF($P66="","",IFERROR(IF(INDEX(MASTER!$J$4:$J$1463,$P66)="","",INDEX(MASTER!$J$4:$J$1463,$P66)),""))</f>
        <v>DEVELOPING</v>
      </c>
      <c r="J66" s="21">
        <f>IF($P66="","",IFERROR(IF(INDEX(MASTER!$L$4:$L$1463,$P66)="","",INDEX(MASTER!$L$4:$L$1463,$P66)),""))</f>
        <v>5.2</v>
      </c>
      <c r="K66" s="21">
        <f>IF($P66="","",IFERROR(IF(INDEX(MASTER!$N$4:$N$1463,$P66)="","",INDEX(MASTER!$N$4:$N$1463,$P66)),""))</f>
        <v>44.9</v>
      </c>
      <c r="L66" s="19" t="str">
        <f>IF($P66="","",IFERROR(IF(INDEX(MASTER!$O$4:$O$1463,$P66)="","",INDEX(MASTER!$O$4:$O$1463,$P66)),""))</f>
        <v>B</v>
      </c>
      <c r="M66" s="19">
        <f>IF($P66="","",IFERROR(IF(INDEX(MASTER!$Q$4:$Q$1463,$P66)="","",INDEX(MASTER!$Q$4:$Q$1463,$P66)),""))</f>
        <v>61</v>
      </c>
      <c r="N66" s="19" t="str">
        <f>IF($P66="","",IFERROR(IF(INDEX(MASTER!$S$4:$S$1463,$P66)="","",INDEX(MASTER!$S$4:$S$1463,$P66)),""))</f>
        <v>Complete</v>
      </c>
      <c r="P66">
        <f>IFERROR(MATCH($Q$1&amp;"@58",MASTER!$AC$4:$AC$1463,0),"")</f>
        <v>644</v>
      </c>
    </row>
    <row r="67" spans="1:16">
      <c r="A67" s="15">
        <f>IF($P67="","",59)</f>
        <v>59</v>
      </c>
      <c r="B67" s="14" t="str">
        <f>IF($P67="","",IFERROR(IF(INDEX(MASTER!$C$4:$C$1463,$P67)="","",INDEX(MASTER!$C$4:$C$1463,$P67)),""))</f>
        <v>Loksieuphung</v>
      </c>
      <c r="C67" s="15" t="str">
        <f>IF($P67="","",IFERROR(IF(INDEX(MASTER!$D$4:$D$1463,$P67)="","",INDEX(MASTER!$D$4:$D$1463,$P67)),""))</f>
        <v/>
      </c>
      <c r="D67" s="15" t="str">
        <f>IF($P67="","",IFERROR(IF(INDEX(MASTER!$E$4:$E$1463,$P67)="","",INDEX(MASTER!$E$4:$E$1463,$P67)),""))</f>
        <v>WIZARD</v>
      </c>
      <c r="E67" s="15" t="str">
        <f>IF($P67="","",IFERROR(IF(INDEX(MASTER!$F$4:$F$1463,$P67)="","",INDEX(MASTER!$F$4:$F$1463,$P67)),""))</f>
        <v>Ranged DPS</v>
      </c>
      <c r="F67" s="16">
        <f>IF($P67="","",IFERROR(IF(INDEX(MASTER!$G$4:$G$1463,$P67)="","",INDEX(MASTER!$G$4:$G$1463,$P67)),""))</f>
        <v>63230</v>
      </c>
      <c r="G67" s="15" t="str">
        <f>IF($P67="","",IFERROR(IF(INDEX(MASTER!$H$4:$H$1463,$P67)="","",INDEX(MASTER!$H$4:$H$1463,$P67)),""))</f>
        <v>63,000 - 63,999</v>
      </c>
      <c r="H67" s="16">
        <f>IF($P67="","",IFERROR(IF(INDEX(MASTER!$I$4:$I$1463,$P67)="","",INDEX(MASTER!$I$4:$I$1463,$P67)),""))</f>
        <v>4494</v>
      </c>
      <c r="I67" s="15" t="str">
        <f>IF($P67="","",IFERROR(IF(INDEX(MASTER!$J$4:$J$1463,$P67)="","",INDEX(MASTER!$J$4:$J$1463,$P67)),""))</f>
        <v>CORE</v>
      </c>
      <c r="J67" s="17">
        <f>IF($P67="","",IFERROR(IF(INDEX(MASTER!$L$4:$L$1463,$P67)="","",INDEX(MASTER!$L$4:$L$1463,$P67)),""))</f>
        <v>5.6</v>
      </c>
      <c r="K67" s="17">
        <f>IF($P67="","",IFERROR(IF(INDEX(MASTER!$N$4:$N$1463,$P67)="","",INDEX(MASTER!$N$4:$N$1463,$P67)),""))</f>
        <v>50.6</v>
      </c>
      <c r="L67" s="15" t="str">
        <f>IF($P67="","",IFERROR(IF(INDEX(MASTER!$O$4:$O$1463,$P67)="","",INDEX(MASTER!$O$4:$O$1463,$P67)),""))</f>
        <v>A</v>
      </c>
      <c r="M67" s="15">
        <f>IF($P67="","",IFERROR(IF(INDEX(MASTER!$Q$4:$Q$1463,$P67)="","",INDEX(MASTER!$Q$4:$Q$1463,$P67)),""))</f>
        <v>36</v>
      </c>
      <c r="N67" s="15" t="str">
        <f>IF($P67="","",IFERROR(IF(INDEX(MASTER!$S$4:$S$1463,$P67)="","",INDEX(MASTER!$S$4:$S$1463,$P67)),""))</f>
        <v>Complete</v>
      </c>
      <c r="P67">
        <f>IFERROR(MATCH($Q$1&amp;"@59",MASTER!$AC$4:$AC$1463,0),"")</f>
        <v>676</v>
      </c>
    </row>
    <row r="68" spans="1:16">
      <c r="A68" s="19">
        <f>IF($P68="","",60)</f>
        <v>60</v>
      </c>
      <c r="B68" s="18" t="str">
        <f>IF($P68="","",IFERROR(IF(INDEX(MASTER!$C$4:$C$1463,$P68)="","",INDEX(MASTER!$C$4:$C$1463,$P68)),""))</f>
        <v>LonexxWolf</v>
      </c>
      <c r="C68" s="19" t="str">
        <f>IF($P68="","",IFERROR(IF(INDEX(MASTER!$D$4:$D$1463,$P68)="","",INDEX(MASTER!$D$4:$D$1463,$P68)),""))</f>
        <v/>
      </c>
      <c r="D68" s="19" t="str">
        <f>IF($P68="","",IFERROR(IF(INDEX(MASTER!$E$4:$E$1463,$P68)="","",INDEX(MASTER!$E$4:$E$1463,$P68)),""))</f>
        <v>BARBARIAN</v>
      </c>
      <c r="E68" s="19" t="str">
        <f>IF($P68="","",IFERROR(IF(INDEX(MASTER!$F$4:$F$1463,$P68)="","",INDEX(MASTER!$F$4:$F$1463,$P68)),""))</f>
        <v>Frontline</v>
      </c>
      <c r="F68" s="20">
        <f>IF($P68="","",IFERROR(IF(INDEX(MASTER!$G$4:$G$1463,$P68)="","",INDEX(MASTER!$G$4:$G$1463,$P68)),""))</f>
        <v>63243</v>
      </c>
      <c r="G68" s="19" t="str">
        <f>IF($P68="","",IFERROR(IF(INDEX(MASTER!$H$4:$H$1463,$P68)="","",INDEX(MASTER!$H$4:$H$1463,$P68)),""))</f>
        <v>63,000 - 63,999</v>
      </c>
      <c r="H68" s="20">
        <f>IF($P68="","",IFERROR(IF(INDEX(MASTER!$I$4:$I$1463,$P68)="","",INDEX(MASTER!$I$4:$I$1463,$P68)),""))</f>
        <v>8610</v>
      </c>
      <c r="I68" s="19" t="str">
        <f>IF($P68="","",IFERROR(IF(INDEX(MASTER!$J$4:$J$1463,$P68)="","",INDEX(MASTER!$J$4:$J$1463,$P68)),""))</f>
        <v>ELITE</v>
      </c>
      <c r="J68" s="21">
        <f>IF($P68="","",IFERROR(IF(INDEX(MASTER!$L$4:$L$1463,$P68)="","",INDEX(MASTER!$L$4:$L$1463,$P68)),""))</f>
        <v>5.7</v>
      </c>
      <c r="K68" s="21">
        <f>IF($P68="","",IFERROR(IF(INDEX(MASTER!$N$4:$N$1463,$P68)="","",INDEX(MASTER!$N$4:$N$1463,$P68)),""))</f>
        <v>68.8</v>
      </c>
      <c r="L68" s="19" t="str">
        <f>IF($P68="","",IFERROR(IF(INDEX(MASTER!$O$4:$O$1463,$P68)="","",INDEX(MASTER!$O$4:$O$1463,$P68)),""))</f>
        <v>S</v>
      </c>
      <c r="M68" s="19">
        <f>IF($P68="","",IFERROR(IF(INDEX(MASTER!$Q$4:$Q$1463,$P68)="","",INDEX(MASTER!$Q$4:$Q$1463,$P68)),""))</f>
        <v>4</v>
      </c>
      <c r="N68" s="19" t="str">
        <f>IF($P68="","",IFERROR(IF(INDEX(MASTER!$S$4:$S$1463,$P68)="","",INDEX(MASTER!$S$4:$S$1463,$P68)),""))</f>
        <v>Complete</v>
      </c>
      <c r="P68">
        <f>IFERROR(MATCH($Q$1&amp;"@60",MASTER!$AC$4:$AC$1463,0),"")</f>
        <v>677</v>
      </c>
    </row>
    <row r="69" spans="1:16">
      <c r="A69" s="15">
        <f>IF($P69="","",61)</f>
        <v>61</v>
      </c>
      <c r="B69" s="14" t="str">
        <f>IF($P69="","",IFERROR(IF(INDEX(MASTER!$C$4:$C$1463,$P69)="","",INDEX(MASTER!$C$4:$C$1463,$P69)),""))</f>
        <v>Luxifer</v>
      </c>
      <c r="C69" s="15" t="str">
        <f>IF($P69="","",IFERROR(IF(INDEX(MASTER!$D$4:$D$1463,$P69)="","",INDEX(MASTER!$D$4:$D$1463,$P69)),""))</f>
        <v/>
      </c>
      <c r="D69" s="15" t="str">
        <f>IF($P69="","",IFERROR(IF(INDEX(MASTER!$E$4:$E$1463,$P69)="","",INDEX(MASTER!$E$4:$E$1463,$P69)),""))</f>
        <v>BARBARIAN</v>
      </c>
      <c r="E69" s="15" t="str">
        <f>IF($P69="","",IFERROR(IF(INDEX(MASTER!$F$4:$F$1463,$P69)="","",INDEX(MASTER!$F$4:$F$1463,$P69)),""))</f>
        <v>Frontline</v>
      </c>
      <c r="F69" s="16">
        <f>IF($P69="","",IFERROR(IF(INDEX(MASTER!$G$4:$G$1463,$P69)="","",INDEX(MASTER!$G$4:$G$1463,$P69)),""))</f>
        <v>61671</v>
      </c>
      <c r="G69" s="15" t="str">
        <f>IF($P69="","",IFERROR(IF(INDEX(MASTER!$H$4:$H$1463,$P69)="","",INDEX(MASTER!$H$4:$H$1463,$P69)),""))</f>
        <v>61,000 - 61,999</v>
      </c>
      <c r="H69" s="16">
        <f>IF($P69="","",IFERROR(IF(INDEX(MASTER!$I$4:$I$1463,$P69)="","",INDEX(MASTER!$I$4:$I$1463,$P69)),""))</f>
        <v>3002</v>
      </c>
      <c r="I69" s="15" t="str">
        <f>IF($P69="","",IFERROR(IF(INDEX(MASTER!$J$4:$J$1463,$P69)="","",INDEX(MASTER!$J$4:$J$1463,$P69)),""))</f>
        <v>DEVELOPING</v>
      </c>
      <c r="J69" s="17">
        <f>IF($P69="","",IFERROR(IF(INDEX(MASTER!$L$4:$L$1463,$P69)="","",INDEX(MASTER!$L$4:$L$1463,$P69)),""))</f>
        <v>3.85</v>
      </c>
      <c r="K69" s="17">
        <f>IF($P69="","",IFERROR(IF(INDEX(MASTER!$N$4:$N$1463,$P69)="","",INDEX(MASTER!$N$4:$N$1463,$P69)),""))</f>
        <v>37.1</v>
      </c>
      <c r="L69" s="15" t="str">
        <f>IF($P69="","",IFERROR(IF(INDEX(MASTER!$O$4:$O$1463,$P69)="","",INDEX(MASTER!$O$4:$O$1463,$P69)),""))</f>
        <v>B</v>
      </c>
      <c r="M69" s="15">
        <f>IF($P69="","",IFERROR(IF(INDEX(MASTER!$Q$4:$Q$1463,$P69)="","",INDEX(MASTER!$Q$4:$Q$1463,$P69)),""))</f>
        <v>81</v>
      </c>
      <c r="N69" s="15" t="str">
        <f>IF($P69="","",IFERROR(IF(INDEX(MASTER!$S$4:$S$1463,$P69)="","",INDEX(MASTER!$S$4:$S$1463,$P69)),""))</f>
        <v>Complete</v>
      </c>
      <c r="P69">
        <f>IFERROR(MATCH($Q$1&amp;"@61",MASTER!$AC$4:$AC$1463,0),"")</f>
        <v>699</v>
      </c>
    </row>
    <row r="70" spans="1:16">
      <c r="A70" s="19">
        <f>IF($P70="","",62)</f>
        <v>62</v>
      </c>
      <c r="B70" s="18" t="str">
        <f>IF($P70="","",IFERROR(IF(INDEX(MASTER!$C$4:$C$1463,$P70)="","",INDEX(MASTER!$C$4:$C$1463,$P70)),""))</f>
        <v>M4JEST1</v>
      </c>
      <c r="C70" s="19" t="str">
        <f>IF($P70="","",IFERROR(IF(INDEX(MASTER!$D$4:$D$1463,$P70)="","",INDEX(MASTER!$D$4:$D$1463,$P70)),""))</f>
        <v/>
      </c>
      <c r="D70" s="19" t="str">
        <f>IF($P70="","",IFERROR(IF(INDEX(MASTER!$E$4:$E$1463,$P70)="","",INDEX(MASTER!$E$4:$E$1463,$P70)),""))</f>
        <v>TEMPEST</v>
      </c>
      <c r="E70" s="19" t="str">
        <f>IF($P70="","",IFERROR(IF(INDEX(MASTER!$F$4:$F$1463,$P70)="","",INDEX(MASTER!$F$4:$F$1463,$P70)),""))</f>
        <v>Melee DPS</v>
      </c>
      <c r="F70" s="20">
        <f>IF($P70="","",IFERROR(IF(INDEX(MASTER!$G$4:$G$1463,$P70)="","",INDEX(MASTER!$G$4:$G$1463,$P70)),""))</f>
        <v>62047</v>
      </c>
      <c r="G70" s="19" t="str">
        <f>IF($P70="","",IFERROR(IF(INDEX(MASTER!$H$4:$H$1463,$P70)="","",INDEX(MASTER!$H$4:$H$1463,$P70)),""))</f>
        <v>62,000 - 62,999</v>
      </c>
      <c r="H70" s="20">
        <f>IF($P70="","",IFERROR(IF(INDEX(MASTER!$I$4:$I$1463,$P70)="","",INDEX(MASTER!$I$4:$I$1463,$P70)),""))</f>
        <v>2840</v>
      </c>
      <c r="I70" s="19" t="str">
        <f>IF($P70="","",IFERROR(IF(INDEX(MASTER!$J$4:$J$1463,$P70)="","",INDEX(MASTER!$J$4:$J$1463,$P70)),""))</f>
        <v>DEVELOPING</v>
      </c>
      <c r="J70" s="21">
        <f>IF($P70="","",IFERROR(IF(INDEX(MASTER!$L$4:$L$1463,$P70)="","",INDEX(MASTER!$L$4:$L$1463,$P70)),""))</f>
        <v>5.45</v>
      </c>
      <c r="K70" s="21">
        <f>IF($P70="","",IFERROR(IF(INDEX(MASTER!$N$4:$N$1463,$P70)="","",INDEX(MASTER!$N$4:$N$1463,$P70)),""))</f>
        <v>40</v>
      </c>
      <c r="L70" s="19" t="str">
        <f>IF($P70="","",IFERROR(IF(INDEX(MASTER!$O$4:$O$1463,$P70)="","",INDEX(MASTER!$O$4:$O$1463,$P70)),""))</f>
        <v>B</v>
      </c>
      <c r="M70" s="19">
        <f>IF($P70="","",IFERROR(IF(INDEX(MASTER!$Q$4:$Q$1463,$P70)="","",INDEX(MASTER!$Q$4:$Q$1463,$P70)),""))</f>
        <v>85</v>
      </c>
      <c r="N70" s="19" t="str">
        <f>IF($P70="","",IFERROR(IF(INDEX(MASTER!$S$4:$S$1463,$P70)="","",INDEX(MASTER!$S$4:$S$1463,$P70)),""))</f>
        <v>Complete</v>
      </c>
      <c r="P70">
        <f>IFERROR(MATCH($Q$1&amp;"@62",MASTER!$AC$4:$AC$1463,0),"")</f>
        <v>709</v>
      </c>
    </row>
    <row r="71" spans="1:16">
      <c r="A71" s="15">
        <f>IF($P71="","",63)</f>
        <v>63</v>
      </c>
      <c r="B71" s="14" t="str">
        <f>IF($P71="","",IFERROR(IF(INDEX(MASTER!$C$4:$C$1463,$P71)="","",INDEX(MASTER!$C$4:$C$1463,$P71)),""))</f>
        <v>Maldus</v>
      </c>
      <c r="C71" s="15" t="str">
        <f>IF($P71="","",IFERROR(IF(INDEX(MASTER!$D$4:$D$1463,$P71)="","",INDEX(MASTER!$D$4:$D$1463,$P71)),""))</f>
        <v/>
      </c>
      <c r="D71" s="15" t="str">
        <f>IF($P71="","",IFERROR(IF(INDEX(MASTER!$E$4:$E$1463,$P71)="","",INDEX(MASTER!$E$4:$E$1463,$P71)),""))</f>
        <v>BLOOD KNIGHT</v>
      </c>
      <c r="E71" s="15" t="str">
        <f>IF($P71="","",IFERROR(IF(INDEX(MASTER!$F$4:$F$1463,$P71)="","",INDEX(MASTER!$F$4:$F$1463,$P71)),""))</f>
        <v>Frontline</v>
      </c>
      <c r="F71" s="16">
        <f>IF($P71="","",IFERROR(IF(INDEX(MASTER!$G$4:$G$1463,$P71)="","",INDEX(MASTER!$G$4:$G$1463,$P71)),""))</f>
        <v>63099</v>
      </c>
      <c r="G71" s="15" t="str">
        <f>IF($P71="","",IFERROR(IF(INDEX(MASTER!$H$4:$H$1463,$P71)="","",INDEX(MASTER!$H$4:$H$1463,$P71)),""))</f>
        <v>63,000 - 63,999</v>
      </c>
      <c r="H71" s="16">
        <f>IF($P71="","",IFERROR(IF(INDEX(MASTER!$I$4:$I$1463,$P71)="","",INDEX(MASTER!$I$4:$I$1463,$P71)),""))</f>
        <v>3430</v>
      </c>
      <c r="I71" s="15" t="str">
        <f>IF($P71="","",IFERROR(IF(INDEX(MASTER!$J$4:$J$1463,$P71)="","",INDEX(MASTER!$J$4:$J$1463,$P71)),""))</f>
        <v>DEVELOPING</v>
      </c>
      <c r="J71" s="17">
        <f>IF($P71="","",IFERROR(IF(INDEX(MASTER!$L$4:$L$1463,$P71)="","",INDEX(MASTER!$L$4:$L$1463,$P71)),""))</f>
        <v>5.5</v>
      </c>
      <c r="K71" s="17">
        <f>IF($P71="","",IFERROR(IF(INDEX(MASTER!$N$4:$N$1463,$P71)="","",INDEX(MASTER!$N$4:$N$1463,$P71)),""))</f>
        <v>45.5</v>
      </c>
      <c r="L71" s="15" t="str">
        <f>IF($P71="","",IFERROR(IF(INDEX(MASTER!$O$4:$O$1463,$P71)="","",INDEX(MASTER!$O$4:$O$1463,$P71)),""))</f>
        <v>B</v>
      </c>
      <c r="M71" s="15">
        <f>IF($P71="","",IFERROR(IF(INDEX(MASTER!$Q$4:$Q$1463,$P71)="","",INDEX(MASTER!$Q$4:$Q$1463,$P71)),""))</f>
        <v>71</v>
      </c>
      <c r="N71" s="15" t="str">
        <f>IF($P71="","",IFERROR(IF(INDEX(MASTER!$S$4:$S$1463,$P71)="","",INDEX(MASTER!$S$4:$S$1463,$P71)),""))</f>
        <v>Complete</v>
      </c>
      <c r="P71">
        <f>IFERROR(MATCH($Q$1&amp;"@63",MASTER!$AC$4:$AC$1463,0),"")</f>
        <v>723</v>
      </c>
    </row>
    <row r="72" spans="1:16">
      <c r="A72" s="19">
        <f>IF($P72="","",64)</f>
        <v>64</v>
      </c>
      <c r="B72" s="18" t="str">
        <f>IF($P72="","",IFERROR(IF(INDEX(MASTER!$C$4:$C$1463,$P72)="","",INDEX(MASTER!$C$4:$C$1463,$P72)),""))</f>
        <v>Maligalig</v>
      </c>
      <c r="C72" s="19" t="str">
        <f>IF($P72="","",IFERROR(IF(INDEX(MASTER!$D$4:$D$1463,$P72)="","",INDEX(MASTER!$D$4:$D$1463,$P72)),""))</f>
        <v/>
      </c>
      <c r="D72" s="19" t="str">
        <f>IF($P72="","",IFERROR(IF(INDEX(MASTER!$E$4:$E$1463,$P72)="","",INDEX(MASTER!$E$4:$E$1463,$P72)),""))</f>
        <v>WARLOCK</v>
      </c>
      <c r="E72" s="19" t="str">
        <f>IF($P72="","",IFERROR(IF(INDEX(MASTER!$F$4:$F$1463,$P72)="","",INDEX(MASTER!$F$4:$F$1463,$P72)),""))</f>
        <v>Control</v>
      </c>
      <c r="F72" s="20">
        <f>IF($P72="","",IFERROR(IF(INDEX(MASTER!$G$4:$G$1463,$P72)="","",INDEX(MASTER!$G$4:$G$1463,$P72)),""))</f>
        <v>62771</v>
      </c>
      <c r="G72" s="19" t="str">
        <f>IF($P72="","",IFERROR(IF(INDEX(MASTER!$H$4:$H$1463,$P72)="","",INDEX(MASTER!$H$4:$H$1463,$P72)),""))</f>
        <v>62,000 - 62,999</v>
      </c>
      <c r="H72" s="20">
        <f>IF($P72="","",IFERROR(IF(INDEX(MASTER!$I$4:$I$1463,$P72)="","",INDEX(MASTER!$I$4:$I$1463,$P72)),""))</f>
        <v>3678</v>
      </c>
      <c r="I72" s="19" t="str">
        <f>IF($P72="","",IFERROR(IF(INDEX(MASTER!$J$4:$J$1463,$P72)="","",INDEX(MASTER!$J$4:$J$1463,$P72)),""))</f>
        <v>DEVELOPING</v>
      </c>
      <c r="J72" s="21">
        <f>IF($P72="","",IFERROR(IF(INDEX(MASTER!$L$4:$L$1463,$P72)="","",INDEX(MASTER!$L$4:$L$1463,$P72)),""))</f>
        <v>4.95</v>
      </c>
      <c r="K72" s="21">
        <f>IF($P72="","",IFERROR(IF(INDEX(MASTER!$N$4:$N$1463,$P72)="","",INDEX(MASTER!$N$4:$N$1463,$P72)),""))</f>
        <v>44.8</v>
      </c>
      <c r="L72" s="19" t="str">
        <f>IF($P72="","",IFERROR(IF(INDEX(MASTER!$O$4:$O$1463,$P72)="","",INDEX(MASTER!$O$4:$O$1463,$P72)),""))</f>
        <v>B</v>
      </c>
      <c r="M72" s="19">
        <f>IF($P72="","",IFERROR(IF(INDEX(MASTER!$Q$4:$Q$1463,$P72)="","",INDEX(MASTER!$Q$4:$Q$1463,$P72)),""))</f>
        <v>60</v>
      </c>
      <c r="N72" s="19" t="str">
        <f>IF($P72="","",IFERROR(IF(INDEX(MASTER!$S$4:$S$1463,$P72)="","",INDEX(MASTER!$S$4:$S$1463,$P72)),""))</f>
        <v>Complete</v>
      </c>
      <c r="P72">
        <f>IFERROR(MATCH($Q$1&amp;"@64",MASTER!$AC$4:$AC$1463,0),"")</f>
        <v>725</v>
      </c>
    </row>
    <row r="73" spans="1:16">
      <c r="A73" s="15">
        <f>IF($P73="","",65)</f>
        <v>65</v>
      </c>
      <c r="B73" s="14" t="str">
        <f>IF($P73="","",IFERROR(IF(INDEX(MASTER!$C$4:$C$1463,$P73)="","",INDEX(MASTER!$C$4:$C$1463,$P73)),""))</f>
        <v>Manuu \ 2k</v>
      </c>
      <c r="C73" s="15" t="str">
        <f>IF($P73="","",IFERROR(IF(INDEX(MASTER!$D$4:$D$1463,$P73)="","",INDEX(MASTER!$D$4:$D$1463,$P73)),""))</f>
        <v>OP</v>
      </c>
      <c r="D73" s="15" t="str">
        <f>IF($P73="","",IFERROR(IF(INDEX(MASTER!$E$4:$E$1463,$P73)="","",INDEX(MASTER!$E$4:$E$1463,$P73)),""))</f>
        <v>WARLOCK</v>
      </c>
      <c r="E73" s="15" t="str">
        <f>IF($P73="","",IFERROR(IF(INDEX(MASTER!$F$4:$F$1463,$P73)="","",INDEX(MASTER!$F$4:$F$1463,$P73)),""))</f>
        <v>Control</v>
      </c>
      <c r="F73" s="16">
        <f>IF($P73="","",IFERROR(IF(INDEX(MASTER!$G$4:$G$1463,$P73)="","",INDEX(MASTER!$G$4:$G$1463,$P73)),""))</f>
        <v>61195</v>
      </c>
      <c r="G73" s="15" t="str">
        <f>IF($P73="","",IFERROR(IF(INDEX(MASTER!$H$4:$H$1463,$P73)="","",INDEX(MASTER!$H$4:$H$1463,$P73)),""))</f>
        <v>61,000 - 61,999</v>
      </c>
      <c r="H73" s="16">
        <f>IF($P73="","",IFERROR(IF(INDEX(MASTER!$I$4:$I$1463,$P73)="","",INDEX(MASTER!$I$4:$I$1463,$P73)),""))</f>
        <v>3140</v>
      </c>
      <c r="I73" s="15" t="str">
        <f>IF($P73="","",IFERROR(IF(INDEX(MASTER!$J$4:$J$1463,$P73)="","",INDEX(MASTER!$J$4:$J$1463,$P73)),""))</f>
        <v>DEVELOPING</v>
      </c>
      <c r="J73" s="17">
        <f>IF($P73="","",IFERROR(IF(INDEX(MASTER!$L$4:$L$1463,$P73)="","",INDEX(MASTER!$L$4:$L$1463,$P73)),""))</f>
        <v>3.2</v>
      </c>
      <c r="K73" s="17">
        <f>IF($P73="","",IFERROR(IF(INDEX(MASTER!$N$4:$N$1463,$P73)="","",INDEX(MASTER!$N$4:$N$1463,$P73)),""))</f>
        <v>35.299999999999997</v>
      </c>
      <c r="L73" s="15" t="str">
        <f>IF($P73="","",IFERROR(IF(INDEX(MASTER!$O$4:$O$1463,$P73)="","",INDEX(MASTER!$O$4:$O$1463,$P73)),""))</f>
        <v>B</v>
      </c>
      <c r="M73" s="15">
        <f>IF($P73="","",IFERROR(IF(INDEX(MASTER!$Q$4:$Q$1463,$P73)="","",INDEX(MASTER!$Q$4:$Q$1463,$P73)),""))</f>
        <v>78</v>
      </c>
      <c r="N73" s="15" t="str">
        <f>IF($P73="","",IFERROR(IF(INDEX(MASTER!$S$4:$S$1463,$P73)="","",INDEX(MASTER!$S$4:$S$1463,$P73)),""))</f>
        <v>Complete</v>
      </c>
      <c r="P73">
        <f>IFERROR(MATCH($Q$1&amp;"@65",MASTER!$AC$4:$AC$1463,0),"")</f>
        <v>731</v>
      </c>
    </row>
    <row r="74" spans="1:16">
      <c r="A74" s="19">
        <f>IF($P74="","",66)</f>
        <v>66</v>
      </c>
      <c r="B74" s="18" t="str">
        <f>IF($P74="","",IFERROR(IF(INDEX(MASTER!$C$4:$C$1463,$P74)="","",INDEX(MASTER!$C$4:$C$1463,$P74)),""))</f>
        <v>MASSACRE</v>
      </c>
      <c r="C74" s="19" t="str">
        <f>IF($P74="","",IFERROR(IF(INDEX(MASTER!$D$4:$D$1463,$P74)="","",INDEX(MASTER!$D$4:$D$1463,$P74)),""))</f>
        <v/>
      </c>
      <c r="D74" s="19" t="str">
        <f>IF($P74="","",IFERROR(IF(INDEX(MASTER!$E$4:$E$1463,$P74)="","",INDEX(MASTER!$E$4:$E$1463,$P74)),""))</f>
        <v>DRUID</v>
      </c>
      <c r="E74" s="19" t="str">
        <f>IF($P74="","",IFERROR(IF(INDEX(MASTER!$F$4:$F$1463,$P74)="","",INDEX(MASTER!$F$4:$F$1463,$P74)),""))</f>
        <v>Support</v>
      </c>
      <c r="F74" s="20">
        <f>IF($P74="","",IFERROR(IF(INDEX(MASTER!$G$4:$G$1463,$P74)="","",INDEX(MASTER!$G$4:$G$1463,$P74)),""))</f>
        <v>62430</v>
      </c>
      <c r="G74" s="19" t="str">
        <f>IF($P74="","",IFERROR(IF(INDEX(MASTER!$H$4:$H$1463,$P74)="","",INDEX(MASTER!$H$4:$H$1463,$P74)),""))</f>
        <v>62,000 - 62,999</v>
      </c>
      <c r="H74" s="20">
        <f>IF($P74="","",IFERROR(IF(INDEX(MASTER!$I$4:$I$1463,$P74)="","",INDEX(MASTER!$I$4:$I$1463,$P74)),""))</f>
        <v>3136</v>
      </c>
      <c r="I74" s="19" t="str">
        <f>IF($P74="","",IFERROR(IF(INDEX(MASTER!$J$4:$J$1463,$P74)="","",INDEX(MASTER!$J$4:$J$1463,$P74)),""))</f>
        <v>DEVELOPING</v>
      </c>
      <c r="J74" s="21">
        <f>IF($P74="","",IFERROR(IF(INDEX(MASTER!$L$4:$L$1463,$P74)="","",INDEX(MASTER!$L$4:$L$1463,$P74)),""))</f>
        <v>5.69</v>
      </c>
      <c r="K74" s="21">
        <f>IF($P74="","",IFERROR(IF(INDEX(MASTER!$N$4:$N$1463,$P74)="","",INDEX(MASTER!$N$4:$N$1463,$P74)),""))</f>
        <v>42.7</v>
      </c>
      <c r="L74" s="19" t="str">
        <f>IF($P74="","",IFERROR(IF(INDEX(MASTER!$O$4:$O$1463,$P74)="","",INDEX(MASTER!$O$4:$O$1463,$P74)),""))</f>
        <v>B</v>
      </c>
      <c r="M74" s="19">
        <f>IF($P74="","",IFERROR(IF(INDEX(MASTER!$Q$4:$Q$1463,$P74)="","",INDEX(MASTER!$Q$4:$Q$1463,$P74)),""))</f>
        <v>79</v>
      </c>
      <c r="N74" s="19" t="str">
        <f>IF($P74="","",IFERROR(IF(INDEX(MASTER!$S$4:$S$1463,$P74)="","",INDEX(MASTER!$S$4:$S$1463,$P74)),""))</f>
        <v>Complete</v>
      </c>
      <c r="P74">
        <f>IFERROR(MATCH($Q$1&amp;"@66",MASTER!$AC$4:$AC$1463,0),"")</f>
        <v>734</v>
      </c>
    </row>
    <row r="75" spans="1:16">
      <c r="A75" s="15">
        <f>IF($P75="","",67)</f>
        <v>67</v>
      </c>
      <c r="B75" s="14" t="str">
        <f>IF($P75="","",IFERROR(IF(INDEX(MASTER!$C$4:$C$1463,$P75)="","",INDEX(MASTER!$C$4:$C$1463,$P75)),""))</f>
        <v>MaVimusPrime</v>
      </c>
      <c r="C75" s="15" t="str">
        <f>IF($P75="","",IFERROR(IF(INDEX(MASTER!$D$4:$D$1463,$P75)="","",INDEX(MASTER!$D$4:$D$1463,$P75)),""))</f>
        <v/>
      </c>
      <c r="D75" s="15" t="str">
        <f>IF($P75="","",IFERROR(IF(INDEX(MASTER!$E$4:$E$1463,$P75)="","",INDEX(MASTER!$E$4:$E$1463,$P75)),""))</f>
        <v>CRUSADER</v>
      </c>
      <c r="E75" s="15" t="str">
        <f>IF($P75="","",IFERROR(IF(INDEX(MASTER!$F$4:$F$1463,$P75)="","",INDEX(MASTER!$F$4:$F$1463,$P75)),""))</f>
        <v>Frontline</v>
      </c>
      <c r="F75" s="16">
        <f>IF($P75="","",IFERROR(IF(INDEX(MASTER!$G$4:$G$1463,$P75)="","",INDEX(MASTER!$G$4:$G$1463,$P75)),""))</f>
        <v>63267</v>
      </c>
      <c r="G75" s="15" t="str">
        <f>IF($P75="","",IFERROR(IF(INDEX(MASTER!$H$4:$H$1463,$P75)="","",INDEX(MASTER!$H$4:$H$1463,$P75)),""))</f>
        <v>63,000 - 63,999</v>
      </c>
      <c r="H75" s="16">
        <f>IF($P75="","",IFERROR(IF(INDEX(MASTER!$I$4:$I$1463,$P75)="","",INDEX(MASTER!$I$4:$I$1463,$P75)),""))</f>
        <v>5519</v>
      </c>
      <c r="I75" s="15" t="str">
        <f>IF($P75="","",IFERROR(IF(INDEX(MASTER!$J$4:$J$1463,$P75)="","",INDEX(MASTER!$J$4:$J$1463,$P75)),""))</f>
        <v>CORE</v>
      </c>
      <c r="J75" s="17">
        <f>IF($P75="","",IFERROR(IF(INDEX(MASTER!$L$4:$L$1463,$P75)="","",INDEX(MASTER!$L$4:$L$1463,$P75)),""))</f>
        <v>5.95</v>
      </c>
      <c r="K75" s="17">
        <f>IF($P75="","",IFERROR(IF(INDEX(MASTER!$N$4:$N$1463,$P75)="","",INDEX(MASTER!$N$4:$N$1463,$P75)),""))</f>
        <v>55.8</v>
      </c>
      <c r="L75" s="15" t="str">
        <f>IF($P75="","",IFERROR(IF(INDEX(MASTER!$O$4:$O$1463,$P75)="","",INDEX(MASTER!$O$4:$O$1463,$P75)),""))</f>
        <v>A</v>
      </c>
      <c r="M75" s="15">
        <f>IF($P75="","",IFERROR(IF(INDEX(MASTER!$Q$4:$Q$1463,$P75)="","",INDEX(MASTER!$Q$4:$Q$1463,$P75)),""))</f>
        <v>23</v>
      </c>
      <c r="N75" s="15" t="str">
        <f>IF($P75="","",IFERROR(IF(INDEX(MASTER!$S$4:$S$1463,$P75)="","",INDEX(MASTER!$S$4:$S$1463,$P75)),""))</f>
        <v>Complete</v>
      </c>
      <c r="P75">
        <f>IFERROR(MATCH($Q$1&amp;"@67",MASTER!$AC$4:$AC$1463,0),"")</f>
        <v>736</v>
      </c>
    </row>
    <row r="76" spans="1:16">
      <c r="A76" s="19">
        <f>IF($P76="","",68)</f>
        <v>68</v>
      </c>
      <c r="B76" s="18" t="str">
        <f>IF($P76="","",IFERROR(IF(INDEX(MASTER!$C$4:$C$1463,$P76)="","",INDEX(MASTER!$C$4:$C$1463,$P76)),""))</f>
        <v>MercenaryMx</v>
      </c>
      <c r="C76" s="19" t="str">
        <f>IF($P76="","",IFERROR(IF(INDEX(MASTER!$D$4:$D$1463,$P76)="","",INDEX(MASTER!$D$4:$D$1463,$P76)),""))</f>
        <v/>
      </c>
      <c r="D76" s="19" t="str">
        <f>IF($P76="","",IFERROR(IF(INDEX(MASTER!$E$4:$E$1463,$P76)="","",INDEX(MASTER!$E$4:$E$1463,$P76)),""))</f>
        <v>DRUID</v>
      </c>
      <c r="E76" s="19" t="str">
        <f>IF($P76="","",IFERROR(IF(INDEX(MASTER!$F$4:$F$1463,$P76)="","",INDEX(MASTER!$F$4:$F$1463,$P76)),""))</f>
        <v>Support</v>
      </c>
      <c r="F76" s="20">
        <f>IF($P76="","",IFERROR(IF(INDEX(MASTER!$G$4:$G$1463,$P76)="","",INDEX(MASTER!$G$4:$G$1463,$P76)),""))</f>
        <v>60820</v>
      </c>
      <c r="G76" s="19" t="str">
        <f>IF($P76="","",IFERROR(IF(INDEX(MASTER!$H$4:$H$1463,$P76)="","",INDEX(MASTER!$H$4:$H$1463,$P76)),""))</f>
        <v>60,000 - 60,999</v>
      </c>
      <c r="H76" s="20">
        <f>IF($P76="","",IFERROR(IF(INDEX(MASTER!$I$4:$I$1463,$P76)="","",INDEX(MASTER!$I$4:$I$1463,$P76)),""))</f>
        <v>3767</v>
      </c>
      <c r="I76" s="19" t="str">
        <f>IF($P76="","",IFERROR(IF(INDEX(MASTER!$J$4:$J$1463,$P76)="","",INDEX(MASTER!$J$4:$J$1463,$P76)),""))</f>
        <v>DEVELOPING</v>
      </c>
      <c r="J76" s="21">
        <f>IF($P76="","",IFERROR(IF(INDEX(MASTER!$L$4:$L$1463,$P76)="","",INDEX(MASTER!$L$4:$L$1463,$P76)),""))</f>
        <v>4.6500000000000004</v>
      </c>
      <c r="K76" s="21">
        <f>IF($P76="","",IFERROR(IF(INDEX(MASTER!$N$4:$N$1463,$P76)="","",INDEX(MASTER!$N$4:$N$1463,$P76)),""))</f>
        <v>39.5</v>
      </c>
      <c r="L76" s="19" t="str">
        <f>IF($P76="","",IFERROR(IF(INDEX(MASTER!$O$4:$O$1463,$P76)="","",INDEX(MASTER!$O$4:$O$1463,$P76)),""))</f>
        <v>B</v>
      </c>
      <c r="M76" s="19">
        <f>IF($P76="","",IFERROR(IF(INDEX(MASTER!$Q$4:$Q$1463,$P76)="","",INDEX(MASTER!$Q$4:$Q$1463,$P76)),""))</f>
        <v>57</v>
      </c>
      <c r="N76" s="19" t="str">
        <f>IF($P76="","",IFERROR(IF(INDEX(MASTER!$S$4:$S$1463,$P76)="","",INDEX(MASTER!$S$4:$S$1463,$P76)),""))</f>
        <v>Complete</v>
      </c>
      <c r="P76">
        <f>IFERROR(MATCH($Q$1&amp;"@68",MASTER!$AC$4:$AC$1463,0),"")</f>
        <v>757</v>
      </c>
    </row>
    <row r="77" spans="1:16">
      <c r="A77" s="15">
        <f>IF($P77="","",69)</f>
        <v>69</v>
      </c>
      <c r="B77" s="14" t="str">
        <f>IF($P77="","",IFERROR(IF(INDEX(MASTER!$C$4:$C$1463,$P77)="","",INDEX(MASTER!$C$4:$C$1463,$P77)),""))</f>
        <v>Morgrette</v>
      </c>
      <c r="C77" s="15" t="str">
        <f>IF($P77="","",IFERROR(IF(INDEX(MASTER!$D$4:$D$1463,$P77)="","",INDEX(MASTER!$D$4:$D$1463,$P77)),""))</f>
        <v/>
      </c>
      <c r="D77" s="15" t="str">
        <f>IF($P77="","",IFERROR(IF(INDEX(MASTER!$E$4:$E$1463,$P77)="","",INDEX(MASTER!$E$4:$E$1463,$P77)),""))</f>
        <v>WIZARD</v>
      </c>
      <c r="E77" s="15" t="str">
        <f>IF($P77="","",IFERROR(IF(INDEX(MASTER!$F$4:$F$1463,$P77)="","",INDEX(MASTER!$F$4:$F$1463,$P77)),""))</f>
        <v>Ranged DPS</v>
      </c>
      <c r="F77" s="16">
        <f>IF($P77="","",IFERROR(IF(INDEX(MASTER!$G$4:$G$1463,$P77)="","",INDEX(MASTER!$G$4:$G$1463,$P77)),""))</f>
        <v>62626</v>
      </c>
      <c r="G77" s="15" t="str">
        <f>IF($P77="","",IFERROR(IF(INDEX(MASTER!$H$4:$H$1463,$P77)="","",INDEX(MASTER!$H$4:$H$1463,$P77)),""))</f>
        <v>62,000 - 62,999</v>
      </c>
      <c r="H77" s="16">
        <f>IF($P77="","",IFERROR(IF(INDEX(MASTER!$I$4:$I$1463,$P77)="","",INDEX(MASTER!$I$4:$I$1463,$P77)),""))</f>
        <v>2280</v>
      </c>
      <c r="I77" s="15" t="str">
        <f>IF($P77="","",IFERROR(IF(INDEX(MASTER!$J$4:$J$1463,$P77)="","",INDEX(MASTER!$J$4:$J$1463,$P77)),""))</f>
        <v>DEVELOPING</v>
      </c>
      <c r="J77" s="17">
        <f>IF($P77="","",IFERROR(IF(INDEX(MASTER!$L$4:$L$1463,$P77)="","",INDEX(MASTER!$L$4:$L$1463,$P77)),""))</f>
        <v>4.1500000000000004</v>
      </c>
      <c r="K77" s="17">
        <f>IF($P77="","",IFERROR(IF(INDEX(MASTER!$N$4:$N$1463,$P77)="","",INDEX(MASTER!$N$4:$N$1463,$P77)),""))</f>
        <v>36.9</v>
      </c>
      <c r="L77" s="15" t="str">
        <f>IF($P77="","",IFERROR(IF(INDEX(MASTER!$O$4:$O$1463,$P77)="","",INDEX(MASTER!$O$4:$O$1463,$P77)),""))</f>
        <v>B</v>
      </c>
      <c r="M77" s="15">
        <f>IF($P77="","",IFERROR(IF(INDEX(MASTER!$Q$4:$Q$1463,$P77)="","",INDEX(MASTER!$Q$4:$Q$1463,$P77)),""))</f>
        <v>92</v>
      </c>
      <c r="N77" s="15" t="str">
        <f>IF($P77="","",IFERROR(IF(INDEX(MASTER!$S$4:$S$1463,$P77)="","",INDEX(MASTER!$S$4:$S$1463,$P77)),""))</f>
        <v>Complete</v>
      </c>
      <c r="P77">
        <f>IFERROR(MATCH($Q$1&amp;"@69",MASTER!$AC$4:$AC$1463,0),"")</f>
        <v>788</v>
      </c>
    </row>
    <row r="78" spans="1:16">
      <c r="A78" s="19">
        <f>IF($P78="","",70)</f>
        <v>70</v>
      </c>
      <c r="B78" s="18" t="str">
        <f>IF($P78="","",IFERROR(IF(INDEX(MASTER!$C$4:$C$1463,$P78)="","",INDEX(MASTER!$C$4:$C$1463,$P78)),""))</f>
        <v>Negritass</v>
      </c>
      <c r="C78" s="19" t="str">
        <f>IF($P78="","",IFERROR(IF(INDEX(MASTER!$D$4:$D$1463,$P78)="","",INDEX(MASTER!$D$4:$D$1463,$P78)),""))</f>
        <v/>
      </c>
      <c r="D78" s="19" t="str">
        <f>IF($P78="","",IFERROR(IF(INDEX(MASTER!$E$4:$E$1463,$P78)="","",INDEX(MASTER!$E$4:$E$1463,$P78)),""))</f>
        <v>DEMON HUNTER</v>
      </c>
      <c r="E78" s="19" t="str">
        <f>IF($P78="","",IFERROR(IF(INDEX(MASTER!$F$4:$F$1463,$P78)="","",INDEX(MASTER!$F$4:$F$1463,$P78)),""))</f>
        <v>Ranged DPS</v>
      </c>
      <c r="F78" s="20">
        <f>IF($P78="","",IFERROR(IF(INDEX(MASTER!$G$4:$G$1463,$P78)="","",INDEX(MASTER!$G$4:$G$1463,$P78)),""))</f>
        <v>63530</v>
      </c>
      <c r="G78" s="19" t="str">
        <f>IF($P78="","",IFERROR(IF(INDEX(MASTER!$H$4:$H$1463,$P78)="","",INDEX(MASTER!$H$4:$H$1463,$P78)),""))</f>
        <v>63,000 - 63,999</v>
      </c>
      <c r="H78" s="20">
        <f>IF($P78="","",IFERROR(IF(INDEX(MASTER!$I$4:$I$1463,$P78)="","",INDEX(MASTER!$I$4:$I$1463,$P78)),""))</f>
        <v>4639</v>
      </c>
      <c r="I78" s="19" t="str">
        <f>IF($P78="","",IFERROR(IF(INDEX(MASTER!$J$4:$J$1463,$P78)="","",INDEX(MASTER!$J$4:$J$1463,$P78)),""))</f>
        <v>CORE</v>
      </c>
      <c r="J78" s="21">
        <f>IF($P78="","",IFERROR(IF(INDEX(MASTER!$L$4:$L$1463,$P78)="","",INDEX(MASTER!$L$4:$L$1463,$P78)),""))</f>
        <v>5.6</v>
      </c>
      <c r="K78" s="21">
        <f>IF($P78="","",IFERROR(IF(INDEX(MASTER!$N$4:$N$1463,$P78)="","",INDEX(MASTER!$N$4:$N$1463,$P78)),""))</f>
        <v>52</v>
      </c>
      <c r="L78" s="19" t="str">
        <f>IF($P78="","",IFERROR(IF(INDEX(MASTER!$O$4:$O$1463,$P78)="","",INDEX(MASTER!$O$4:$O$1463,$P78)),""))</f>
        <v>A</v>
      </c>
      <c r="M78" s="19">
        <f>IF($P78="","",IFERROR(IF(INDEX(MASTER!$Q$4:$Q$1463,$P78)="","",INDEX(MASTER!$Q$4:$Q$1463,$P78)),""))</f>
        <v>32</v>
      </c>
      <c r="N78" s="19" t="str">
        <f>IF($P78="","",IFERROR(IF(INDEX(MASTER!$S$4:$S$1463,$P78)="","",INDEX(MASTER!$S$4:$S$1463,$P78)),""))</f>
        <v>Complete</v>
      </c>
      <c r="P78">
        <f>IFERROR(MATCH($Q$1&amp;"@70",MASTER!$AC$4:$AC$1463,0),"")</f>
        <v>812</v>
      </c>
    </row>
    <row r="79" spans="1:16">
      <c r="A79" s="15">
        <f>IF($P79="","",71)</f>
        <v>71</v>
      </c>
      <c r="B79" s="14" t="str">
        <f>IF($P79="","",IFERROR(IF(INDEX(MASTER!$C$4:$C$1463,$P79)="","",INDEX(MASTER!$C$4:$C$1463,$P79)),""))</f>
        <v>Nelmswinch</v>
      </c>
      <c r="C79" s="15" t="str">
        <f>IF($P79="","",IFERROR(IF(INDEX(MASTER!$D$4:$D$1463,$P79)="","",INDEX(MASTER!$D$4:$D$1463,$P79)),""))</f>
        <v/>
      </c>
      <c r="D79" s="15" t="str">
        <f>IF($P79="","",IFERROR(IF(INDEX(MASTER!$E$4:$E$1463,$P79)="","",INDEX(MASTER!$E$4:$E$1463,$P79)),""))</f>
        <v>NECROMANCER</v>
      </c>
      <c r="E79" s="15" t="str">
        <f>IF($P79="","",IFERROR(IF(INDEX(MASTER!$F$4:$F$1463,$P79)="","",INDEX(MASTER!$F$4:$F$1463,$P79)),""))</f>
        <v>Control</v>
      </c>
      <c r="F79" s="16">
        <f>IF($P79="","",IFERROR(IF(INDEX(MASTER!$G$4:$G$1463,$P79)="","",INDEX(MASTER!$G$4:$G$1463,$P79)),""))</f>
        <v>61495</v>
      </c>
      <c r="G79" s="15" t="str">
        <f>IF($P79="","",IFERROR(IF(INDEX(MASTER!$H$4:$H$1463,$P79)="","",INDEX(MASTER!$H$4:$H$1463,$P79)),""))</f>
        <v>61,000 - 61,999</v>
      </c>
      <c r="H79" s="16">
        <f>IF($P79="","",IFERROR(IF(INDEX(MASTER!$I$4:$I$1463,$P79)="","",INDEX(MASTER!$I$4:$I$1463,$P79)),""))</f>
        <v>2314</v>
      </c>
      <c r="I79" s="15" t="str">
        <f>IF($P79="","",IFERROR(IF(INDEX(MASTER!$J$4:$J$1463,$P79)="","",INDEX(MASTER!$J$4:$J$1463,$P79)),""))</f>
        <v>DEVELOPING</v>
      </c>
      <c r="J79" s="17">
        <f>IF($P79="","",IFERROR(IF(INDEX(MASTER!$L$4:$L$1463,$P79)="","",INDEX(MASTER!$L$4:$L$1463,$P79)),""))</f>
        <v>3.5</v>
      </c>
      <c r="K79" s="17">
        <f>IF($P79="","",IFERROR(IF(INDEX(MASTER!$N$4:$N$1463,$P79)="","",INDEX(MASTER!$N$4:$N$1463,$P79)),""))</f>
        <v>33</v>
      </c>
      <c r="L79" s="15" t="str">
        <f>IF($P79="","",IFERROR(IF(INDEX(MASTER!$O$4:$O$1463,$P79)="","",INDEX(MASTER!$O$4:$O$1463,$P79)),""))</f>
        <v>C</v>
      </c>
      <c r="M79" s="15">
        <f>IF($P79="","",IFERROR(IF(INDEX(MASTER!$Q$4:$Q$1463,$P79)="","",INDEX(MASTER!$Q$4:$Q$1463,$P79)),""))</f>
        <v>91</v>
      </c>
      <c r="N79" s="15" t="str">
        <f>IF($P79="","",IFERROR(IF(INDEX(MASTER!$S$4:$S$1463,$P79)="","",INDEX(MASTER!$S$4:$S$1463,$P79)),""))</f>
        <v>Complete</v>
      </c>
      <c r="P79">
        <f>IFERROR(MATCH($Q$1&amp;"@71",MASTER!$AC$4:$AC$1463,0),"")</f>
        <v>813</v>
      </c>
    </row>
    <row r="80" spans="1:16">
      <c r="A80" s="19">
        <f>IF($P80="","",72)</f>
        <v>72</v>
      </c>
      <c r="B80" s="18" t="str">
        <f>IF($P80="","",IFERROR(IF(INDEX(MASTER!$C$4:$C$1463,$P80)="","",INDEX(MASTER!$C$4:$C$1463,$P80)),""))</f>
        <v>NoNameNoBody</v>
      </c>
      <c r="C80" s="19" t="str">
        <f>IF($P80="","",IFERROR(IF(INDEX(MASTER!$D$4:$D$1463,$P80)="","",INDEX(MASTER!$D$4:$D$1463,$P80)),""))</f>
        <v/>
      </c>
      <c r="D80" s="19" t="str">
        <f>IF($P80="","",IFERROR(IF(INDEX(MASTER!$E$4:$E$1463,$P80)="","",INDEX(MASTER!$E$4:$E$1463,$P80)),""))</f>
        <v>BLOOD KNIGHT</v>
      </c>
      <c r="E80" s="19" t="str">
        <f>IF($P80="","",IFERROR(IF(INDEX(MASTER!$F$4:$F$1463,$P80)="","",INDEX(MASTER!$F$4:$F$1463,$P80)),""))</f>
        <v>Frontline</v>
      </c>
      <c r="F80" s="20">
        <f>IF($P80="","",IFERROR(IF(INDEX(MASTER!$G$4:$G$1463,$P80)="","",INDEX(MASTER!$G$4:$G$1463,$P80)),""))</f>
        <v>63752</v>
      </c>
      <c r="G80" s="19" t="str">
        <f>IF($P80="","",IFERROR(IF(INDEX(MASTER!$H$4:$H$1463,$P80)="","",INDEX(MASTER!$H$4:$H$1463,$P80)),""))</f>
        <v>63,000 - 63,999</v>
      </c>
      <c r="H80" s="20">
        <f>IF($P80="","",IFERROR(IF(INDEX(MASTER!$I$4:$I$1463,$P80)="","",INDEX(MASTER!$I$4:$I$1463,$P80)),""))</f>
        <v>6165</v>
      </c>
      <c r="I80" s="19" t="str">
        <f>IF($P80="","",IFERROR(IF(INDEX(MASTER!$J$4:$J$1463,$P80)="","",INDEX(MASTER!$J$4:$J$1463,$P80)),""))</f>
        <v>VETERAN</v>
      </c>
      <c r="J80" s="21">
        <f>IF($P80="","",IFERROR(IF(INDEX(MASTER!$L$4:$L$1463,$P80)="","",INDEX(MASTER!$L$4:$L$1463,$P80)),""))</f>
        <v>6.3</v>
      </c>
      <c r="K80" s="21">
        <f>IF($P80="","",IFERROR(IF(INDEX(MASTER!$N$4:$N$1463,$P80)="","",INDEX(MASTER!$N$4:$N$1463,$P80)),""))</f>
        <v>60.4</v>
      </c>
      <c r="L80" s="19" t="str">
        <f>IF($P80="","",IFERROR(IF(INDEX(MASTER!$O$4:$O$1463,$P80)="","",INDEX(MASTER!$O$4:$O$1463,$P80)),""))</f>
        <v>A</v>
      </c>
      <c r="M80" s="19">
        <f>IF($P80="","",IFERROR(IF(INDEX(MASTER!$Q$4:$Q$1463,$P80)="","",INDEX(MASTER!$Q$4:$Q$1463,$P80)),""))</f>
        <v>19</v>
      </c>
      <c r="N80" s="19" t="str">
        <f>IF($P80="","",IFERROR(IF(INDEX(MASTER!$S$4:$S$1463,$P80)="","",INDEX(MASTER!$S$4:$S$1463,$P80)),""))</f>
        <v>Complete</v>
      </c>
      <c r="P80">
        <f>IFERROR(MATCH($Q$1&amp;"@72",MASTER!$AC$4:$AC$1463,0),"")</f>
        <v>825</v>
      </c>
    </row>
    <row r="81" spans="1:16">
      <c r="A81" s="15">
        <f>IF($P81="","",73)</f>
        <v>73</v>
      </c>
      <c r="B81" s="14" t="str">
        <f>IF($P81="","",IFERROR(IF(INDEX(MASTER!$C$4:$C$1463,$P81)="","",INDEX(MASTER!$C$4:$C$1463,$P81)),""))</f>
        <v>oOJFeddOo</v>
      </c>
      <c r="C81" s="15" t="str">
        <f>IF($P81="","",IFERROR(IF(INDEX(MASTER!$D$4:$D$1463,$P81)="","",INDEX(MASTER!$D$4:$D$1463,$P81)),""))</f>
        <v/>
      </c>
      <c r="D81" s="15" t="str">
        <f>IF($P81="","",IFERROR(IF(INDEX(MASTER!$E$4:$E$1463,$P81)="","",INDEX(MASTER!$E$4:$E$1463,$P81)),""))</f>
        <v>WARLOCK</v>
      </c>
      <c r="E81" s="15" t="str">
        <f>IF($P81="","",IFERROR(IF(INDEX(MASTER!$F$4:$F$1463,$P81)="","",INDEX(MASTER!$F$4:$F$1463,$P81)),""))</f>
        <v>Control</v>
      </c>
      <c r="F81" s="16">
        <f>IF($P81="","",IFERROR(IF(INDEX(MASTER!$G$4:$G$1463,$P81)="","",INDEX(MASTER!$G$4:$G$1463,$P81)),""))</f>
        <v>62941</v>
      </c>
      <c r="G81" s="15" t="str">
        <f>IF($P81="","",IFERROR(IF(INDEX(MASTER!$H$4:$H$1463,$P81)="","",INDEX(MASTER!$H$4:$H$1463,$P81)),""))</f>
        <v>62,000 - 62,999</v>
      </c>
      <c r="H81" s="16">
        <f>IF($P81="","",IFERROR(IF(INDEX(MASTER!$I$4:$I$1463,$P81)="","",INDEX(MASTER!$I$4:$I$1463,$P81)),""))</f>
        <v>3574</v>
      </c>
      <c r="I81" s="15" t="str">
        <f>IF($P81="","",IFERROR(IF(INDEX(MASTER!$J$4:$J$1463,$P81)="","",INDEX(MASTER!$J$4:$J$1463,$P81)),""))</f>
        <v>DEVELOPING</v>
      </c>
      <c r="J81" s="17">
        <f>IF($P81="","",IFERROR(IF(INDEX(MASTER!$L$4:$L$1463,$P81)="","",INDEX(MASTER!$L$4:$L$1463,$P81)),""))</f>
        <v>4.5999999999999996</v>
      </c>
      <c r="K81" s="17">
        <f>IF($P81="","",IFERROR(IF(INDEX(MASTER!$N$4:$N$1463,$P81)="","",INDEX(MASTER!$N$4:$N$1463,$P81)),""))</f>
        <v>44.2</v>
      </c>
      <c r="L81" s="15" t="str">
        <f>IF($P81="","",IFERROR(IF(INDEX(MASTER!$O$4:$O$1463,$P81)="","",INDEX(MASTER!$O$4:$O$1463,$P81)),""))</f>
        <v>B</v>
      </c>
      <c r="M81" s="15">
        <f>IF($P81="","",IFERROR(IF(INDEX(MASTER!$Q$4:$Q$1463,$P81)="","",INDEX(MASTER!$Q$4:$Q$1463,$P81)),""))</f>
        <v>65</v>
      </c>
      <c r="N81" s="15" t="str">
        <f>IF($P81="","",IFERROR(IF(INDEX(MASTER!$S$4:$S$1463,$P81)="","",INDEX(MASTER!$S$4:$S$1463,$P81)),""))</f>
        <v>Complete</v>
      </c>
      <c r="P81">
        <f>IFERROR(MATCH($Q$1&amp;"@73",MASTER!$AC$4:$AC$1463,0),"")</f>
        <v>855</v>
      </c>
    </row>
    <row r="82" spans="1:16">
      <c r="A82" s="19">
        <f>IF($P82="","",74)</f>
        <v>74</v>
      </c>
      <c r="B82" s="18" t="str">
        <f>IF($P82="","",IFERROR(IF(INDEX(MASTER!$C$4:$C$1463,$P82)="","",INDEX(MASTER!$C$4:$C$1463,$P82)),""))</f>
        <v>Oops2</v>
      </c>
      <c r="C82" s="19" t="str">
        <f>IF($P82="","",IFERROR(IF(INDEX(MASTER!$D$4:$D$1463,$P82)="","",INDEX(MASTER!$D$4:$D$1463,$P82)),""))</f>
        <v/>
      </c>
      <c r="D82" s="19" t="str">
        <f>IF($P82="","",IFERROR(IF(INDEX(MASTER!$E$4:$E$1463,$P82)="","",INDEX(MASTER!$E$4:$E$1463,$P82)),""))</f>
        <v>BARBARIAN</v>
      </c>
      <c r="E82" s="19" t="str">
        <f>IF($P82="","",IFERROR(IF(INDEX(MASTER!$F$4:$F$1463,$P82)="","",INDEX(MASTER!$F$4:$F$1463,$P82)),""))</f>
        <v>Frontline</v>
      </c>
      <c r="F82" s="20">
        <f>IF($P82="","",IFERROR(IF(INDEX(MASTER!$G$4:$G$1463,$P82)="","",INDEX(MASTER!$G$4:$G$1463,$P82)),""))</f>
        <v>63610</v>
      </c>
      <c r="G82" s="19" t="str">
        <f>IF($P82="","",IFERROR(IF(INDEX(MASTER!$H$4:$H$1463,$P82)="","",INDEX(MASTER!$H$4:$H$1463,$P82)),""))</f>
        <v>63,000 - 63,999</v>
      </c>
      <c r="H82" s="20">
        <f>IF($P82="","",IFERROR(IF(INDEX(MASTER!$I$4:$I$1463,$P82)="","",INDEX(MASTER!$I$4:$I$1463,$P82)),""))</f>
        <v>6048</v>
      </c>
      <c r="I82" s="19" t="str">
        <f>IF($P82="","",IFERROR(IF(INDEX(MASTER!$J$4:$J$1463,$P82)="","",INDEX(MASTER!$J$4:$J$1463,$P82)),""))</f>
        <v>VETERAN</v>
      </c>
      <c r="J82" s="21">
        <f>IF($P82="","",IFERROR(IF(INDEX(MASTER!$L$4:$L$1463,$P82)="","",INDEX(MASTER!$L$4:$L$1463,$P82)),""))</f>
        <v>3.5</v>
      </c>
      <c r="K82" s="21">
        <f>IF($P82="","",IFERROR(IF(INDEX(MASTER!$N$4:$N$1463,$P82)="","",INDEX(MASTER!$N$4:$N$1463,$P82)),""))</f>
        <v>54.9</v>
      </c>
      <c r="L82" s="19" t="str">
        <f>IF($P82="","",IFERROR(IF(INDEX(MASTER!$O$4:$O$1463,$P82)="","",INDEX(MASTER!$O$4:$O$1463,$P82)),""))</f>
        <v>A</v>
      </c>
      <c r="M82" s="19">
        <f>IF($P82="","",IFERROR(IF(INDEX(MASTER!$Q$4:$Q$1463,$P82)="","",INDEX(MASTER!$Q$4:$Q$1463,$P82)),""))</f>
        <v>20</v>
      </c>
      <c r="N82" s="19" t="str">
        <f>IF($P82="","",IFERROR(IF(INDEX(MASTER!$S$4:$S$1463,$P82)="","",INDEX(MASTER!$S$4:$S$1463,$P82)),""))</f>
        <v>Complete</v>
      </c>
      <c r="P82">
        <f>IFERROR(MATCH($Q$1&amp;"@74",MASTER!$AC$4:$AC$1463,0),"")</f>
        <v>858</v>
      </c>
    </row>
    <row r="83" spans="1:16">
      <c r="A83" s="15">
        <f>IF($P83="","",75)</f>
        <v>75</v>
      </c>
      <c r="B83" s="14" t="str">
        <f>IF($P83="","",IFERROR(IF(INDEX(MASTER!$C$4:$C$1463,$P83)="","",INDEX(MASTER!$C$4:$C$1463,$P83)),""))</f>
        <v>Opentriad</v>
      </c>
      <c r="C83" s="15" t="str">
        <f>IF($P83="","",IFERROR(IF(INDEX(MASTER!$D$4:$D$1463,$P83)="","",INDEX(MASTER!$D$4:$D$1463,$P83)),""))</f>
        <v/>
      </c>
      <c r="D83" s="15" t="str">
        <f>IF($P83="","",IFERROR(IF(INDEX(MASTER!$E$4:$E$1463,$P83)="","",INDEX(MASTER!$E$4:$E$1463,$P83)),""))</f>
        <v>BARBARIAN</v>
      </c>
      <c r="E83" s="15" t="str">
        <f>IF($P83="","",IFERROR(IF(INDEX(MASTER!$F$4:$F$1463,$P83)="","",INDEX(MASTER!$F$4:$F$1463,$P83)),""))</f>
        <v>Frontline</v>
      </c>
      <c r="F83" s="16">
        <f>IF($P83="","",IFERROR(IF(INDEX(MASTER!$G$4:$G$1463,$P83)="","",INDEX(MASTER!$G$4:$G$1463,$P83)),""))</f>
        <v>63082</v>
      </c>
      <c r="G83" s="15" t="str">
        <f>IF($P83="","",IFERROR(IF(INDEX(MASTER!$H$4:$H$1463,$P83)="","",INDEX(MASTER!$H$4:$H$1463,$P83)),""))</f>
        <v>63,000 - 63,999</v>
      </c>
      <c r="H83" s="16">
        <f>IF($P83="","",IFERROR(IF(INDEX(MASTER!$I$4:$I$1463,$P83)="","",INDEX(MASTER!$I$4:$I$1463,$P83)),""))</f>
        <v>3401</v>
      </c>
      <c r="I83" s="15" t="str">
        <f>IF($P83="","",IFERROR(IF(INDEX(MASTER!$J$4:$J$1463,$P83)="","",INDEX(MASTER!$J$4:$J$1463,$P83)),""))</f>
        <v>DEVELOPING</v>
      </c>
      <c r="J83" s="17">
        <f>IF($P83="","",IFERROR(IF(INDEX(MASTER!$L$4:$L$1463,$P83)="","",INDEX(MASTER!$L$4:$L$1463,$P83)),""))</f>
        <v>4.0999999999999996</v>
      </c>
      <c r="K83" s="17">
        <f>IF($P83="","",IFERROR(IF(INDEX(MASTER!$N$4:$N$1463,$P83)="","",INDEX(MASTER!$N$4:$N$1463,$P83)),""))</f>
        <v>42.9</v>
      </c>
      <c r="L83" s="15" t="str">
        <f>IF($P83="","",IFERROR(IF(INDEX(MASTER!$O$4:$O$1463,$P83)="","",INDEX(MASTER!$O$4:$O$1463,$P83)),""))</f>
        <v>B</v>
      </c>
      <c r="M83" s="15">
        <f>IF($P83="","",IFERROR(IF(INDEX(MASTER!$Q$4:$Q$1463,$P83)="","",INDEX(MASTER!$Q$4:$Q$1463,$P83)),""))</f>
        <v>72</v>
      </c>
      <c r="N83" s="15" t="str">
        <f>IF($P83="","",IFERROR(IF(INDEX(MASTER!$S$4:$S$1463,$P83)="","",INDEX(MASTER!$S$4:$S$1463,$P83)),""))</f>
        <v>Complete</v>
      </c>
      <c r="P83">
        <f>IFERROR(MATCH($Q$1&amp;"@75",MASTER!$AC$4:$AC$1463,0),"")</f>
        <v>860</v>
      </c>
    </row>
    <row r="84" spans="1:16">
      <c r="A84" s="19">
        <f>IF($P84="","",76)</f>
        <v>76</v>
      </c>
      <c r="B84" s="18" t="str">
        <f>IF($P84="","",IFERROR(IF(INDEX(MASTER!$C$4:$C$1463,$P84)="","",INDEX(MASTER!$C$4:$C$1463,$P84)),""))</f>
        <v>PapiChaewon</v>
      </c>
      <c r="C84" s="19" t="str">
        <f>IF($P84="","",IFERROR(IF(INDEX(MASTER!$D$4:$D$1463,$P84)="","",INDEX(MASTER!$D$4:$D$1463,$P84)),""))</f>
        <v>POO</v>
      </c>
      <c r="D84" s="19" t="str">
        <f>IF($P84="","",IFERROR(IF(INDEX(MASTER!$E$4:$E$1463,$P84)="","",INDEX(MASTER!$E$4:$E$1463,$P84)),""))</f>
        <v>WARLOCK</v>
      </c>
      <c r="E84" s="19" t="str">
        <f>IF($P84="","",IFERROR(IF(INDEX(MASTER!$F$4:$F$1463,$P84)="","",INDEX(MASTER!$F$4:$F$1463,$P84)),""))</f>
        <v>Control</v>
      </c>
      <c r="F84" s="20">
        <f>IF($P84="","",IFERROR(IF(INDEX(MASTER!$G$4:$G$1463,$P84)="","",INDEX(MASTER!$G$4:$G$1463,$P84)),""))</f>
        <v>61460</v>
      </c>
      <c r="G84" s="19" t="str">
        <f>IF($P84="","",IFERROR(IF(INDEX(MASTER!$H$4:$H$1463,$P84)="","",INDEX(MASTER!$H$4:$H$1463,$P84)),""))</f>
        <v>61,000 - 61,999</v>
      </c>
      <c r="H84" s="20">
        <f>IF($P84="","",IFERROR(IF(INDEX(MASTER!$I$4:$I$1463,$P84)="","",INDEX(MASTER!$I$4:$I$1463,$P84)),""))</f>
        <v>3723</v>
      </c>
      <c r="I84" s="19" t="str">
        <f>IF($P84="","",IFERROR(IF(INDEX(MASTER!$J$4:$J$1463,$P84)="","",INDEX(MASTER!$J$4:$J$1463,$P84)),""))</f>
        <v>DEVELOPING</v>
      </c>
      <c r="J84" s="21">
        <f>IF($P84="","",IFERROR(IF(INDEX(MASTER!$L$4:$L$1463,$P84)="","",INDEX(MASTER!$L$4:$L$1463,$P84)),""))</f>
        <v>4.4000000000000004</v>
      </c>
      <c r="K84" s="21">
        <f>IF($P84="","",IFERROR(IF(INDEX(MASTER!$N$4:$N$1463,$P84)="","",INDEX(MASTER!$N$4:$N$1463,$P84)),""))</f>
        <v>40.6</v>
      </c>
      <c r="L84" s="19" t="str">
        <f>IF($P84="","",IFERROR(IF(INDEX(MASTER!$O$4:$O$1463,$P84)="","",INDEX(MASTER!$O$4:$O$1463,$P84)),""))</f>
        <v>B</v>
      </c>
      <c r="M84" s="19">
        <f>IF($P84="","",IFERROR(IF(INDEX(MASTER!$Q$4:$Q$1463,$P84)="","",INDEX(MASTER!$Q$4:$Q$1463,$P84)),""))</f>
        <v>59</v>
      </c>
      <c r="N84" s="19" t="str">
        <f>IF($P84="","",IFERROR(IF(INDEX(MASTER!$S$4:$S$1463,$P84)="","",INDEX(MASTER!$S$4:$S$1463,$P84)),""))</f>
        <v>Complete</v>
      </c>
      <c r="P84">
        <f>IFERROR(MATCH($Q$1&amp;"@76",MASTER!$AC$4:$AC$1463,0),"")</f>
        <v>878</v>
      </c>
    </row>
    <row r="85" spans="1:16">
      <c r="A85" s="15">
        <f>IF($P85="","",77)</f>
        <v>77</v>
      </c>
      <c r="B85" s="14" t="str">
        <f>IF($P85="","",IFERROR(IF(INDEX(MASTER!$C$4:$C$1463,$P85)="","",INDEX(MASTER!$C$4:$C$1463,$P85)),""))</f>
        <v>PAPPS</v>
      </c>
      <c r="C85" s="15" t="str">
        <f>IF($P85="","",IFERROR(IF(INDEX(MASTER!$D$4:$D$1463,$P85)="","",INDEX(MASTER!$D$4:$D$1463,$P85)),""))</f>
        <v/>
      </c>
      <c r="D85" s="15" t="str">
        <f>IF($P85="","",IFERROR(IF(INDEX(MASTER!$E$4:$E$1463,$P85)="","",INDEX(MASTER!$E$4:$E$1463,$P85)),""))</f>
        <v>NECROMANCER</v>
      </c>
      <c r="E85" s="15" t="str">
        <f>IF($P85="","",IFERROR(IF(INDEX(MASTER!$F$4:$F$1463,$P85)="","",INDEX(MASTER!$F$4:$F$1463,$P85)),""))</f>
        <v>Control</v>
      </c>
      <c r="F85" s="16">
        <f>IF($P85="","",IFERROR(IF(INDEX(MASTER!$G$4:$G$1463,$P85)="","",INDEX(MASTER!$G$4:$G$1463,$P85)),""))</f>
        <v>63931</v>
      </c>
      <c r="G85" s="15" t="str">
        <f>IF($P85="","",IFERROR(IF(INDEX(MASTER!$H$4:$H$1463,$P85)="","",INDEX(MASTER!$H$4:$H$1463,$P85)),""))</f>
        <v>63,000 - 63,999</v>
      </c>
      <c r="H85" s="16">
        <f>IF($P85="","",IFERROR(IF(INDEX(MASTER!$I$4:$I$1463,$P85)="","",INDEX(MASTER!$I$4:$I$1463,$P85)),""))</f>
        <v>7258</v>
      </c>
      <c r="I85" s="15" t="str">
        <f>IF($P85="","",IFERROR(IF(INDEX(MASTER!$J$4:$J$1463,$P85)="","",INDEX(MASTER!$J$4:$J$1463,$P85)),""))</f>
        <v>VETERAN</v>
      </c>
      <c r="J85" s="17">
        <f>IF($P85="","",IFERROR(IF(INDEX(MASTER!$L$4:$L$1463,$P85)="","",INDEX(MASTER!$L$4:$L$1463,$P85)),""))</f>
        <v>5.15</v>
      </c>
      <c r="K85" s="17">
        <f>IF($P85="","",IFERROR(IF(INDEX(MASTER!$N$4:$N$1463,$P85)="","",INDEX(MASTER!$N$4:$N$1463,$P85)),""))</f>
        <v>63.8</v>
      </c>
      <c r="L85" s="15" t="str">
        <f>IF($P85="","",IFERROR(IF(INDEX(MASTER!$O$4:$O$1463,$P85)="","",INDEX(MASTER!$O$4:$O$1463,$P85)),""))</f>
        <v>A</v>
      </c>
      <c r="M85" s="15">
        <f>IF($P85="","",IFERROR(IF(INDEX(MASTER!$Q$4:$Q$1463,$P85)="","",INDEX(MASTER!$Q$4:$Q$1463,$P85)),""))</f>
        <v>11</v>
      </c>
      <c r="N85" s="15" t="str">
        <f>IF($P85="","",IFERROR(IF(INDEX(MASTER!$S$4:$S$1463,$P85)="","",INDEX(MASTER!$S$4:$S$1463,$P85)),""))</f>
        <v>Complete</v>
      </c>
      <c r="P85">
        <f>IFERROR(MATCH($Q$1&amp;"@77",MASTER!$AC$4:$AC$1463,0),"")</f>
        <v>880</v>
      </c>
    </row>
    <row r="86" spans="1:16">
      <c r="A86" s="19">
        <f>IF($P86="","",78)</f>
        <v>78</v>
      </c>
      <c r="B86" s="18" t="str">
        <f>IF($P86="","",IFERROR(IF(INDEX(MASTER!$C$4:$C$1463,$P86)="","",INDEX(MASTER!$C$4:$C$1463,$P86)),""))</f>
        <v>Pokee</v>
      </c>
      <c r="C86" s="19" t="str">
        <f>IF($P86="","",IFERROR(IF(INDEX(MASTER!$D$4:$D$1463,$P86)="","",INDEX(MASTER!$D$4:$D$1463,$P86)),""))</f>
        <v/>
      </c>
      <c r="D86" s="19" t="str">
        <f>IF($P86="","",IFERROR(IF(INDEX(MASTER!$E$4:$E$1463,$P86)="","",INDEX(MASTER!$E$4:$E$1463,$P86)),""))</f>
        <v>DEMON HUNTER</v>
      </c>
      <c r="E86" s="19" t="str">
        <f>IF($P86="","",IFERROR(IF(INDEX(MASTER!$F$4:$F$1463,$P86)="","",INDEX(MASTER!$F$4:$F$1463,$P86)),""))</f>
        <v>Ranged DPS</v>
      </c>
      <c r="F86" s="20">
        <f>IF($P86="","",IFERROR(IF(INDEX(MASTER!$G$4:$G$1463,$P86)="","",INDEX(MASTER!$G$4:$G$1463,$P86)),""))</f>
        <v>62509</v>
      </c>
      <c r="G86" s="19" t="str">
        <f>IF($P86="","",IFERROR(IF(INDEX(MASTER!$H$4:$H$1463,$P86)="","",INDEX(MASTER!$H$4:$H$1463,$P86)),""))</f>
        <v>62,000 - 62,999</v>
      </c>
      <c r="H86" s="20">
        <f>IF($P86="","",IFERROR(IF(INDEX(MASTER!$I$4:$I$1463,$P86)="","",INDEX(MASTER!$I$4:$I$1463,$P86)),""))</f>
        <v>3314</v>
      </c>
      <c r="I86" s="19" t="str">
        <f>IF($P86="","",IFERROR(IF(INDEX(MASTER!$J$4:$J$1463,$P86)="","",INDEX(MASTER!$J$4:$J$1463,$P86)),""))</f>
        <v>DEVELOPING</v>
      </c>
      <c r="J86" s="21">
        <f>IF($P86="","",IFERROR(IF(INDEX(MASTER!$L$4:$L$1463,$P86)="","",INDEX(MASTER!$L$4:$L$1463,$P86)),""))</f>
        <v>5</v>
      </c>
      <c r="K86" s="21">
        <f>IF($P86="","",IFERROR(IF(INDEX(MASTER!$N$4:$N$1463,$P86)="","",INDEX(MASTER!$N$4:$N$1463,$P86)),""))</f>
        <v>42.6</v>
      </c>
      <c r="L86" s="19" t="str">
        <f>IF($P86="","",IFERROR(IF(INDEX(MASTER!$O$4:$O$1463,$P86)="","",INDEX(MASTER!$O$4:$O$1463,$P86)),""))</f>
        <v>B</v>
      </c>
      <c r="M86" s="19">
        <f>IF($P86="","",IFERROR(IF(INDEX(MASTER!$Q$4:$Q$1463,$P86)="","",INDEX(MASTER!$Q$4:$Q$1463,$P86)),""))</f>
        <v>74</v>
      </c>
      <c r="N86" s="19" t="str">
        <f>IF($P86="","",IFERROR(IF(INDEX(MASTER!$S$4:$S$1463,$P86)="","",INDEX(MASTER!$S$4:$S$1463,$P86)),""))</f>
        <v>Complete</v>
      </c>
      <c r="P86">
        <f>IFERROR(MATCH($Q$1&amp;"@78",MASTER!$AC$4:$AC$1463,0),"")</f>
        <v>898</v>
      </c>
    </row>
    <row r="87" spans="1:16">
      <c r="A87" s="15">
        <f>IF($P87="","",79)</f>
        <v>79</v>
      </c>
      <c r="B87" s="14" t="str">
        <f>IF($P87="","",IFERROR(IF(INDEX(MASTER!$C$4:$C$1463,$P87)="","",INDEX(MASTER!$C$4:$C$1463,$P87)),""))</f>
        <v>ReAnime</v>
      </c>
      <c r="C87" s="15" t="str">
        <f>IF($P87="","",IFERROR(IF(INDEX(MASTER!$D$4:$D$1463,$P87)="","",INDEX(MASTER!$D$4:$D$1463,$P87)),""))</f>
        <v/>
      </c>
      <c r="D87" s="15" t="str">
        <f>IF($P87="","",IFERROR(IF(INDEX(MASTER!$E$4:$E$1463,$P87)="","",INDEX(MASTER!$E$4:$E$1463,$P87)),""))</f>
        <v>NECROMANCER</v>
      </c>
      <c r="E87" s="15" t="str">
        <f>IF($P87="","",IFERROR(IF(INDEX(MASTER!$F$4:$F$1463,$P87)="","",INDEX(MASTER!$F$4:$F$1463,$P87)),""))</f>
        <v>Control</v>
      </c>
      <c r="F87" s="16">
        <f>IF($P87="","",IFERROR(IF(INDEX(MASTER!$G$4:$G$1463,$P87)="","",INDEX(MASTER!$G$4:$G$1463,$P87)),""))</f>
        <v>61923</v>
      </c>
      <c r="G87" s="15" t="str">
        <f>IF($P87="","",IFERROR(IF(INDEX(MASTER!$H$4:$H$1463,$P87)="","",INDEX(MASTER!$H$4:$H$1463,$P87)),""))</f>
        <v>61,000 - 61,999</v>
      </c>
      <c r="H87" s="16">
        <f>IF($P87="","",IFERROR(IF(INDEX(MASTER!$I$4:$I$1463,$P87)="","",INDEX(MASTER!$I$4:$I$1463,$P87)),""))</f>
        <v>2950</v>
      </c>
      <c r="I87" s="15" t="str">
        <f>IF($P87="","",IFERROR(IF(INDEX(MASTER!$J$4:$J$1463,$P87)="","",INDEX(MASTER!$J$4:$J$1463,$P87)),""))</f>
        <v>DEVELOPING</v>
      </c>
      <c r="J87" s="17">
        <f>IF($P87="","",IFERROR(IF(INDEX(MASTER!$L$4:$L$1463,$P87)="","",INDEX(MASTER!$L$4:$L$1463,$P87)),""))</f>
        <v>5.0999999999999996</v>
      </c>
      <c r="K87" s="17">
        <f>IF($P87="","",IFERROR(IF(INDEX(MASTER!$N$4:$N$1463,$P87)="","",INDEX(MASTER!$N$4:$N$1463,$P87)),""))</f>
        <v>39.6</v>
      </c>
      <c r="L87" s="15" t="str">
        <f>IF($P87="","",IFERROR(IF(INDEX(MASTER!$O$4:$O$1463,$P87)="","",INDEX(MASTER!$O$4:$O$1463,$P87)),""))</f>
        <v>B</v>
      </c>
      <c r="M87" s="15">
        <f>IF($P87="","",IFERROR(IF(INDEX(MASTER!$Q$4:$Q$1463,$P87)="","",INDEX(MASTER!$Q$4:$Q$1463,$P87)),""))</f>
        <v>82</v>
      </c>
      <c r="N87" s="15" t="str">
        <f>IF($P87="","",IFERROR(IF(INDEX(MASTER!$S$4:$S$1463,$P87)="","",INDEX(MASTER!$S$4:$S$1463,$P87)),""))</f>
        <v>Complete</v>
      </c>
      <c r="P87">
        <f>IFERROR(MATCH($Q$1&amp;"@79",MASTER!$AC$4:$AC$1463,0),"")</f>
        <v>936</v>
      </c>
    </row>
    <row r="88" spans="1:16">
      <c r="A88" s="19">
        <f>IF($P88="","",80)</f>
        <v>80</v>
      </c>
      <c r="B88" s="18" t="str">
        <f>IF($P88="","",IFERROR(IF(INDEX(MASTER!$C$4:$C$1463,$P88)="","",INDEX(MASTER!$C$4:$C$1463,$P88)),""))</f>
        <v>Red</v>
      </c>
      <c r="C88" s="19" t="str">
        <f>IF($P88="","",IFERROR(IF(INDEX(MASTER!$D$4:$D$1463,$P88)="","",INDEX(MASTER!$D$4:$D$1463,$P88)),""))</f>
        <v/>
      </c>
      <c r="D88" s="19" t="str">
        <f>IF($P88="","",IFERROR(IF(INDEX(MASTER!$E$4:$E$1463,$P88)="","",INDEX(MASTER!$E$4:$E$1463,$P88)),""))</f>
        <v>DEMON HUNTER</v>
      </c>
      <c r="E88" s="19" t="str">
        <f>IF($P88="","",IFERROR(IF(INDEX(MASTER!$F$4:$F$1463,$P88)="","",INDEX(MASTER!$F$4:$F$1463,$P88)),""))</f>
        <v>Ranged DPS</v>
      </c>
      <c r="F88" s="20">
        <f>IF($P88="","",IFERROR(IF(INDEX(MASTER!$G$4:$G$1463,$P88)="","",INDEX(MASTER!$G$4:$G$1463,$P88)),""))</f>
        <v>62229</v>
      </c>
      <c r="G88" s="19" t="str">
        <f>IF($P88="","",IFERROR(IF(INDEX(MASTER!$H$4:$H$1463,$P88)="","",INDEX(MASTER!$H$4:$H$1463,$P88)),""))</f>
        <v>62,000 - 62,999</v>
      </c>
      <c r="H88" s="20">
        <f>IF($P88="","",IFERROR(IF(INDEX(MASTER!$I$4:$I$1463,$P88)="","",INDEX(MASTER!$I$4:$I$1463,$P88)),""))</f>
        <v>3905</v>
      </c>
      <c r="I88" s="19" t="str">
        <f>IF($P88="","",IFERROR(IF(INDEX(MASTER!$J$4:$J$1463,$P88)="","",INDEX(MASTER!$J$4:$J$1463,$P88)),""))</f>
        <v>DEVELOPING</v>
      </c>
      <c r="J88" s="21">
        <f>IF($P88="","",IFERROR(IF(INDEX(MASTER!$L$4:$L$1463,$P88)="","",INDEX(MASTER!$L$4:$L$1463,$P88)),""))</f>
        <v>5.5</v>
      </c>
      <c r="K88" s="21">
        <f>IF($P88="","",IFERROR(IF(INDEX(MASTER!$N$4:$N$1463,$P88)="","",INDEX(MASTER!$N$4:$N$1463,$P88)),""))</f>
        <v>45.2</v>
      </c>
      <c r="L88" s="19" t="str">
        <f>IF($P88="","",IFERROR(IF(INDEX(MASTER!$O$4:$O$1463,$P88)="","",INDEX(MASTER!$O$4:$O$1463,$P88)),""))</f>
        <v>B</v>
      </c>
      <c r="M88" s="19">
        <f>IF($P88="","",IFERROR(IF(INDEX(MASTER!$Q$4:$Q$1463,$P88)="","",INDEX(MASTER!$Q$4:$Q$1463,$P88)),""))</f>
        <v>54</v>
      </c>
      <c r="N88" s="19" t="str">
        <f>IF($P88="","",IFERROR(IF(INDEX(MASTER!$S$4:$S$1463,$P88)="","",INDEX(MASTER!$S$4:$S$1463,$P88)),""))</f>
        <v>Complete</v>
      </c>
      <c r="P88">
        <f>IFERROR(MATCH($Q$1&amp;"@80",MASTER!$AC$4:$AC$1463,0),"")</f>
        <v>939</v>
      </c>
    </row>
    <row r="89" spans="1:16">
      <c r="A89" s="15">
        <f>IF($P89="","",81)</f>
        <v>81</v>
      </c>
      <c r="B89" s="14" t="str">
        <f>IF($P89="","",IFERROR(IF(INDEX(MASTER!$C$4:$C$1463,$P89)="","",INDEX(MASTER!$C$4:$C$1463,$P89)),""))</f>
        <v>Remington700</v>
      </c>
      <c r="C89" s="15" t="str">
        <f>IF($P89="","",IFERROR(IF(INDEX(MASTER!$D$4:$D$1463,$P89)="","",INDEX(MASTER!$D$4:$D$1463,$P89)),""))</f>
        <v/>
      </c>
      <c r="D89" s="15" t="str">
        <f>IF($P89="","",IFERROR(IF(INDEX(MASTER!$E$4:$E$1463,$P89)="","",INDEX(MASTER!$E$4:$E$1463,$P89)),""))</f>
        <v>BARBARIAN</v>
      </c>
      <c r="E89" s="15" t="str">
        <f>IF($P89="","",IFERROR(IF(INDEX(MASTER!$F$4:$F$1463,$P89)="","",INDEX(MASTER!$F$4:$F$1463,$P89)),""))</f>
        <v>Frontline</v>
      </c>
      <c r="F89" s="16">
        <f>IF($P89="","",IFERROR(IF(INDEX(MASTER!$G$4:$G$1463,$P89)="","",INDEX(MASTER!$G$4:$G$1463,$P89)),""))</f>
        <v>63227</v>
      </c>
      <c r="G89" s="15" t="str">
        <f>IF($P89="","",IFERROR(IF(INDEX(MASTER!$H$4:$H$1463,$P89)="","",INDEX(MASTER!$H$4:$H$1463,$P89)),""))</f>
        <v>63,000 - 63,999</v>
      </c>
      <c r="H89" s="16">
        <f>IF($P89="","",IFERROR(IF(INDEX(MASTER!$I$4:$I$1463,$P89)="","",INDEX(MASTER!$I$4:$I$1463,$P89)),""))</f>
        <v>8316</v>
      </c>
      <c r="I89" s="15" t="str">
        <f>IF($P89="","",IFERROR(IF(INDEX(MASTER!$J$4:$J$1463,$P89)="","",INDEX(MASTER!$J$4:$J$1463,$P89)),""))</f>
        <v>ELITE</v>
      </c>
      <c r="J89" s="17">
        <f>IF($P89="","",IFERROR(IF(INDEX(MASTER!$L$4:$L$1463,$P89)="","",INDEX(MASTER!$L$4:$L$1463,$P89)),""))</f>
        <v>8.1</v>
      </c>
      <c r="K89" s="17">
        <f>IF($P89="","",IFERROR(IF(INDEX(MASTER!$N$4:$N$1463,$P89)="","",INDEX(MASTER!$N$4:$N$1463,$P89)),""))</f>
        <v>71.5</v>
      </c>
      <c r="L89" s="15" t="str">
        <f>IF($P89="","",IFERROR(IF(INDEX(MASTER!$O$4:$O$1463,$P89)="","",INDEX(MASTER!$O$4:$O$1463,$P89)),""))</f>
        <v>S</v>
      </c>
      <c r="M89" s="15">
        <f>IF($P89="","",IFERROR(IF(INDEX(MASTER!$Q$4:$Q$1463,$P89)="","",INDEX(MASTER!$Q$4:$Q$1463,$P89)),""))</f>
        <v>5</v>
      </c>
      <c r="N89" s="15" t="str">
        <f>IF($P89="","",IFERROR(IF(INDEX(MASTER!$S$4:$S$1463,$P89)="","",INDEX(MASTER!$S$4:$S$1463,$P89)),""))</f>
        <v>Complete</v>
      </c>
      <c r="P89">
        <f>IFERROR(MATCH($Q$1&amp;"@81",MASTER!$AC$4:$AC$1463,0),"")</f>
        <v>943</v>
      </c>
    </row>
    <row r="90" spans="1:16">
      <c r="A90" s="19">
        <f>IF($P90="","",82)</f>
        <v>82</v>
      </c>
      <c r="B90" s="18" t="str">
        <f>IF($P90="","",IFERROR(IF(INDEX(MASTER!$C$4:$C$1463,$P90)="","",INDEX(MASTER!$C$4:$C$1463,$P90)),""))</f>
        <v>Run</v>
      </c>
      <c r="C90" s="19" t="str">
        <f>IF($P90="","",IFERROR(IF(INDEX(MASTER!$D$4:$D$1463,$P90)="","",INDEX(MASTER!$D$4:$D$1463,$P90)),""))</f>
        <v/>
      </c>
      <c r="D90" s="19" t="str">
        <f>IF($P90="","",IFERROR(IF(INDEX(MASTER!$E$4:$E$1463,$P90)="","",INDEX(MASTER!$E$4:$E$1463,$P90)),""))</f>
        <v>DEMON HUNTER</v>
      </c>
      <c r="E90" s="19" t="str">
        <f>IF($P90="","",IFERROR(IF(INDEX(MASTER!$F$4:$F$1463,$P90)="","",INDEX(MASTER!$F$4:$F$1463,$P90)),""))</f>
        <v>Ranged DPS</v>
      </c>
      <c r="F90" s="20">
        <f>IF($P90="","",IFERROR(IF(INDEX(MASTER!$G$4:$G$1463,$P90)="","",INDEX(MASTER!$G$4:$G$1463,$P90)),""))</f>
        <v>63144</v>
      </c>
      <c r="G90" s="19" t="str">
        <f>IF($P90="","",IFERROR(IF(INDEX(MASTER!$H$4:$H$1463,$P90)="","",INDEX(MASTER!$H$4:$H$1463,$P90)),""))</f>
        <v>63,000 - 63,999</v>
      </c>
      <c r="H90" s="20">
        <f>IF($P90="","",IFERROR(IF(INDEX(MASTER!$I$4:$I$1463,$P90)="","",INDEX(MASTER!$I$4:$I$1463,$P90)),""))</f>
        <v>4297</v>
      </c>
      <c r="I90" s="19" t="str">
        <f>IF($P90="","",IFERROR(IF(INDEX(MASTER!$J$4:$J$1463,$P90)="","",INDEX(MASTER!$J$4:$J$1463,$P90)),""))</f>
        <v>CORE</v>
      </c>
      <c r="J90" s="21">
        <f>IF($P90="","",IFERROR(IF(INDEX(MASTER!$L$4:$L$1463,$P90)="","",INDEX(MASTER!$L$4:$L$1463,$P90)),""))</f>
        <v>3.9</v>
      </c>
      <c r="K90" s="21">
        <f>IF($P90="","",IFERROR(IF(INDEX(MASTER!$N$4:$N$1463,$P90)="","",INDEX(MASTER!$N$4:$N$1463,$P90)),""))</f>
        <v>46.7</v>
      </c>
      <c r="L90" s="19" t="str">
        <f>IF($P90="","",IFERROR(IF(INDEX(MASTER!$O$4:$O$1463,$P90)="","",INDEX(MASTER!$O$4:$O$1463,$P90)),""))</f>
        <v>B</v>
      </c>
      <c r="M90" s="19">
        <f>IF($P90="","",IFERROR(IF(INDEX(MASTER!$Q$4:$Q$1463,$P90)="","",INDEX(MASTER!$Q$4:$Q$1463,$P90)),""))</f>
        <v>43</v>
      </c>
      <c r="N90" s="19" t="str">
        <f>IF($P90="","",IFERROR(IF(INDEX(MASTER!$S$4:$S$1463,$P90)="","",INDEX(MASTER!$S$4:$S$1463,$P90)),""))</f>
        <v>Complete</v>
      </c>
      <c r="P90">
        <f>IFERROR(MATCH($Q$1&amp;"@82",MASTER!$AC$4:$AC$1463,0),"")</f>
        <v>973</v>
      </c>
    </row>
    <row r="91" spans="1:16">
      <c r="A91" s="15">
        <f>IF($P91="","",83)</f>
        <v>83</v>
      </c>
      <c r="B91" s="14" t="str">
        <f>IF($P91="","",IFERROR(IF(INDEX(MASTER!$C$4:$C$1463,$P91)="","",INDEX(MASTER!$C$4:$C$1463,$P91)),""))</f>
        <v>SadrAide</v>
      </c>
      <c r="C91" s="15" t="str">
        <f>IF($P91="","",IFERROR(IF(INDEX(MASTER!$D$4:$D$1463,$P91)="","",INDEX(MASTER!$D$4:$D$1463,$P91)),""))</f>
        <v/>
      </c>
      <c r="D91" s="15" t="str">
        <f>IF($P91="","",IFERROR(IF(INDEX(MASTER!$E$4:$E$1463,$P91)="","",INDEX(MASTER!$E$4:$E$1463,$P91)),""))</f>
        <v>WARLOCK</v>
      </c>
      <c r="E91" s="15" t="str">
        <f>IF($P91="","",IFERROR(IF(INDEX(MASTER!$F$4:$F$1463,$P91)="","",INDEX(MASTER!$F$4:$F$1463,$P91)),""))</f>
        <v>Control</v>
      </c>
      <c r="F91" s="16">
        <f>IF($P91="","",IFERROR(IF(INDEX(MASTER!$G$4:$G$1463,$P91)="","",INDEX(MASTER!$G$4:$G$1463,$P91)),""))</f>
        <v>61465</v>
      </c>
      <c r="G91" s="15" t="str">
        <f>IF($P91="","",IFERROR(IF(INDEX(MASTER!$H$4:$H$1463,$P91)="","",INDEX(MASTER!$H$4:$H$1463,$P91)),""))</f>
        <v>61,000 - 61,999</v>
      </c>
      <c r="H91" s="16">
        <f>IF($P91="","",IFERROR(IF(INDEX(MASTER!$I$4:$I$1463,$P91)="","",INDEX(MASTER!$I$4:$I$1463,$P91)),""))</f>
        <v>4009</v>
      </c>
      <c r="I91" s="15" t="str">
        <f>IF($P91="","",IFERROR(IF(INDEX(MASTER!$J$4:$J$1463,$P91)="","",INDEX(MASTER!$J$4:$J$1463,$P91)),""))</f>
        <v>CORE</v>
      </c>
      <c r="J91" s="17">
        <f>IF($P91="","",IFERROR(IF(INDEX(MASTER!$L$4:$L$1463,$P91)="","",INDEX(MASTER!$L$4:$L$1463,$P91)),""))</f>
        <v>5.3</v>
      </c>
      <c r="K91" s="17">
        <f>IF($P91="","",IFERROR(IF(INDEX(MASTER!$N$4:$N$1463,$P91)="","",INDEX(MASTER!$N$4:$N$1463,$P91)),""))</f>
        <v>43.3</v>
      </c>
      <c r="L91" s="15" t="str">
        <f>IF($P91="","",IFERROR(IF(INDEX(MASTER!$O$4:$O$1463,$P91)="","",INDEX(MASTER!$O$4:$O$1463,$P91)),""))</f>
        <v>B</v>
      </c>
      <c r="M91" s="15">
        <f>IF($P91="","",IFERROR(IF(INDEX(MASTER!$Q$4:$Q$1463,$P91)="","",INDEX(MASTER!$Q$4:$Q$1463,$P91)),""))</f>
        <v>52</v>
      </c>
      <c r="N91" s="15" t="str">
        <f>IF($P91="","",IFERROR(IF(INDEX(MASTER!$S$4:$S$1463,$P91)="","",INDEX(MASTER!$S$4:$S$1463,$P91)),""))</f>
        <v>Complete</v>
      </c>
      <c r="P91">
        <f>IFERROR(MATCH($Q$1&amp;"@83",MASTER!$AC$4:$AC$1463,0),"")</f>
        <v>983</v>
      </c>
    </row>
    <row r="92" spans="1:16">
      <c r="A92" s="19">
        <f>IF($P92="","",84)</f>
        <v>84</v>
      </c>
      <c r="B92" s="18" t="str">
        <f>IF($P92="","",IFERROR(IF(INDEX(MASTER!$C$4:$C$1463,$P92)="","",INDEX(MASTER!$C$4:$C$1463,$P92)),""))</f>
        <v>Sèraya</v>
      </c>
      <c r="C92" s="19" t="str">
        <f>IF($P92="","",IFERROR(IF(INDEX(MASTER!$D$4:$D$1463,$P92)="","",INDEX(MASTER!$D$4:$D$1463,$P92)),""))</f>
        <v/>
      </c>
      <c r="D92" s="19" t="str">
        <f>IF($P92="","",IFERROR(IF(INDEX(MASTER!$E$4:$E$1463,$P92)="","",INDEX(MASTER!$E$4:$E$1463,$P92)),""))</f>
        <v>WARLOCK</v>
      </c>
      <c r="E92" s="19" t="str">
        <f>IF($P92="","",IFERROR(IF(INDEX(MASTER!$F$4:$F$1463,$P92)="","",INDEX(MASTER!$F$4:$F$1463,$P92)),""))</f>
        <v>Control</v>
      </c>
      <c r="F92" s="20">
        <f>IF($P92="","",IFERROR(IF(INDEX(MASTER!$G$4:$G$1463,$P92)="","",INDEX(MASTER!$G$4:$G$1463,$P92)),""))</f>
        <v>62414</v>
      </c>
      <c r="G92" s="19" t="str">
        <f>IF($P92="","",IFERROR(IF(INDEX(MASTER!$H$4:$H$1463,$P92)="","",INDEX(MASTER!$H$4:$H$1463,$P92)),""))</f>
        <v>62,000 - 62,999</v>
      </c>
      <c r="H92" s="20">
        <f>IF($P92="","",IFERROR(IF(INDEX(MASTER!$I$4:$I$1463,$P92)="","",INDEX(MASTER!$I$4:$I$1463,$P92)),""))</f>
        <v>5620</v>
      </c>
      <c r="I92" s="19" t="str">
        <f>IF($P92="","",IFERROR(IF(INDEX(MASTER!$J$4:$J$1463,$P92)="","",INDEX(MASTER!$J$4:$J$1463,$P92)),""))</f>
        <v>CORE</v>
      </c>
      <c r="J92" s="21">
        <f>IF($P92="","",IFERROR(IF(INDEX(MASTER!$L$4:$L$1463,$P92)="","",INDEX(MASTER!$L$4:$L$1463,$P92)),""))</f>
        <v>6.8</v>
      </c>
      <c r="K92" s="21">
        <f>IF($P92="","",IFERROR(IF(INDEX(MASTER!$N$4:$N$1463,$P92)="","",INDEX(MASTER!$N$4:$N$1463,$P92)),""))</f>
        <v>55.4</v>
      </c>
      <c r="L92" s="19" t="str">
        <f>IF($P92="","",IFERROR(IF(INDEX(MASTER!$O$4:$O$1463,$P92)="","",INDEX(MASTER!$O$4:$O$1463,$P92)),""))</f>
        <v>A</v>
      </c>
      <c r="M92" s="19">
        <f>IF($P92="","",IFERROR(IF(INDEX(MASTER!$Q$4:$Q$1463,$P92)="","",INDEX(MASTER!$Q$4:$Q$1463,$P92)),""))</f>
        <v>22</v>
      </c>
      <c r="N92" s="19" t="str">
        <f>IF($P92="","",IFERROR(IF(INDEX(MASTER!$S$4:$S$1463,$P92)="","",INDEX(MASTER!$S$4:$S$1463,$P92)),""))</f>
        <v>Complete</v>
      </c>
      <c r="P92">
        <f>IFERROR(MATCH($Q$1&amp;"@84",MASTER!$AC$4:$AC$1463,0),"")</f>
        <v>1106</v>
      </c>
    </row>
    <row r="93" spans="1:16">
      <c r="A93" s="15">
        <f>IF($P93="","",85)</f>
        <v>85</v>
      </c>
      <c r="B93" s="14" t="str">
        <f>IF($P93="","",IFERROR(IF(INDEX(MASTER!$C$4:$C$1463,$P93)="","",INDEX(MASTER!$C$4:$C$1463,$P93)),""))</f>
        <v>Shredapart</v>
      </c>
      <c r="C93" s="15" t="str">
        <f>IF($P93="","",IFERROR(IF(INDEX(MASTER!$D$4:$D$1463,$P93)="","",INDEX(MASTER!$D$4:$D$1463,$P93)),""))</f>
        <v/>
      </c>
      <c r="D93" s="15" t="str">
        <f>IF($P93="","",IFERROR(IF(INDEX(MASTER!$E$4:$E$1463,$P93)="","",INDEX(MASTER!$E$4:$E$1463,$P93)),""))</f>
        <v>DEMON HUNTER</v>
      </c>
      <c r="E93" s="15" t="str">
        <f>IF($P93="","",IFERROR(IF(INDEX(MASTER!$F$4:$F$1463,$P93)="","",INDEX(MASTER!$F$4:$F$1463,$P93)),""))</f>
        <v>Ranged DPS</v>
      </c>
      <c r="F93" s="16">
        <f>IF($P93="","",IFERROR(IF(INDEX(MASTER!$G$4:$G$1463,$P93)="","",INDEX(MASTER!$G$4:$G$1463,$P93)),""))</f>
        <v>63261</v>
      </c>
      <c r="G93" s="15" t="str">
        <f>IF($P93="","",IFERROR(IF(INDEX(MASTER!$H$4:$H$1463,$P93)="","",INDEX(MASTER!$H$4:$H$1463,$P93)),""))</f>
        <v>63,000 - 63,999</v>
      </c>
      <c r="H93" s="16">
        <f>IF($P93="","",IFERROR(IF(INDEX(MASTER!$I$4:$I$1463,$P93)="","",INDEX(MASTER!$I$4:$I$1463,$P93)),""))</f>
        <v>4462</v>
      </c>
      <c r="I93" s="15" t="str">
        <f>IF($P93="","",IFERROR(IF(INDEX(MASTER!$J$4:$J$1463,$P93)="","",INDEX(MASTER!$J$4:$J$1463,$P93)),""))</f>
        <v>CORE</v>
      </c>
      <c r="J93" s="17">
        <f>IF($P93="","",IFERROR(IF(INDEX(MASTER!$L$4:$L$1463,$P93)="","",INDEX(MASTER!$L$4:$L$1463,$P93)),""))</f>
        <v>5.5</v>
      </c>
      <c r="K93" s="17">
        <f>IF($P93="","",IFERROR(IF(INDEX(MASTER!$N$4:$N$1463,$P93)="","",INDEX(MASTER!$N$4:$N$1463,$P93)),""))</f>
        <v>50.4</v>
      </c>
      <c r="L93" s="15" t="str">
        <f>IF($P93="","",IFERROR(IF(INDEX(MASTER!$O$4:$O$1463,$P93)="","",INDEX(MASTER!$O$4:$O$1463,$P93)),""))</f>
        <v>A</v>
      </c>
      <c r="M93" s="15">
        <f>IF($P93="","",IFERROR(IF(INDEX(MASTER!$Q$4:$Q$1463,$P93)="","",INDEX(MASTER!$Q$4:$Q$1463,$P93)),""))</f>
        <v>37</v>
      </c>
      <c r="N93" s="15" t="str">
        <f>IF($P93="","",IFERROR(IF(INDEX(MASTER!$S$4:$S$1463,$P93)="","",INDEX(MASTER!$S$4:$S$1463,$P93)),""))</f>
        <v>Complete</v>
      </c>
      <c r="P93">
        <f>IFERROR(MATCH($Q$1&amp;"@85",MASTER!$AC$4:$AC$1463,0),"")</f>
        <v>1013</v>
      </c>
    </row>
    <row r="94" spans="1:16">
      <c r="A94" s="19">
        <f>IF($P94="","",86)</f>
        <v>86</v>
      </c>
      <c r="B94" s="18" t="str">
        <f>IF($P94="","",IFERROR(IF(INDEX(MASTER!$C$4:$C$1463,$P94)="","",INDEX(MASTER!$C$4:$C$1463,$P94)),""))</f>
        <v>Sicc</v>
      </c>
      <c r="C94" s="19" t="str">
        <f>IF($P94="","",IFERROR(IF(INDEX(MASTER!$D$4:$D$1463,$P94)="","",INDEX(MASTER!$D$4:$D$1463,$P94)),""))</f>
        <v/>
      </c>
      <c r="D94" s="19" t="str">
        <f>IF($P94="","",IFERROR(IF(INDEX(MASTER!$E$4:$E$1463,$P94)="","",INDEX(MASTER!$E$4:$E$1463,$P94)),""))</f>
        <v>BARBARIAN</v>
      </c>
      <c r="E94" s="19" t="str">
        <f>IF($P94="","",IFERROR(IF(INDEX(MASTER!$F$4:$F$1463,$P94)="","",INDEX(MASTER!$F$4:$F$1463,$P94)),""))</f>
        <v>Frontline</v>
      </c>
      <c r="F94" s="20">
        <f>IF($P94="","",IFERROR(IF(INDEX(MASTER!$G$4:$G$1463,$P94)="","",INDEX(MASTER!$G$4:$G$1463,$P94)),""))</f>
        <v>61556</v>
      </c>
      <c r="G94" s="19" t="str">
        <f>IF($P94="","",IFERROR(IF(INDEX(MASTER!$H$4:$H$1463,$P94)="","",INDEX(MASTER!$H$4:$H$1463,$P94)),""))</f>
        <v>61,000 - 61,999</v>
      </c>
      <c r="H94" s="20">
        <f>IF($P94="","",IFERROR(IF(INDEX(MASTER!$I$4:$I$1463,$P94)="","",INDEX(MASTER!$I$4:$I$1463,$P94)),""))</f>
        <v>3547</v>
      </c>
      <c r="I94" s="19" t="str">
        <f>IF($P94="","",IFERROR(IF(INDEX(MASTER!$J$4:$J$1463,$P94)="","",INDEX(MASTER!$J$4:$J$1463,$P94)),""))</f>
        <v>DEVELOPING</v>
      </c>
      <c r="J94" s="21">
        <f>IF($P94="","",IFERROR(IF(INDEX(MASTER!$L$4:$L$1463,$P94)="","",INDEX(MASTER!$L$4:$L$1463,$P94)),""))</f>
        <v>5.8</v>
      </c>
      <c r="K94" s="21">
        <f>IF($P94="","",IFERROR(IF(INDEX(MASTER!$N$4:$N$1463,$P94)="","",INDEX(MASTER!$N$4:$N$1463,$P94)),""))</f>
        <v>42.4</v>
      </c>
      <c r="L94" s="19" t="str">
        <f>IF($P94="","",IFERROR(IF(INDEX(MASTER!$O$4:$O$1463,$P94)="","",INDEX(MASTER!$O$4:$O$1463,$P94)),""))</f>
        <v>B</v>
      </c>
      <c r="M94" s="19">
        <f>IF($P94="","",IFERROR(IF(INDEX(MASTER!$Q$4:$Q$1463,$P94)="","",INDEX(MASTER!$Q$4:$Q$1463,$P94)),""))</f>
        <v>67</v>
      </c>
      <c r="N94" s="19" t="str">
        <f>IF($P94="","",IFERROR(IF(INDEX(MASTER!$S$4:$S$1463,$P94)="","",INDEX(MASTER!$S$4:$S$1463,$P94)),""))</f>
        <v>Complete</v>
      </c>
      <c r="P94">
        <f>IFERROR(MATCH($Q$1&amp;"@86",MASTER!$AC$4:$AC$1463,0),"")</f>
        <v>1015</v>
      </c>
    </row>
    <row r="95" spans="1:16">
      <c r="A95" s="15">
        <f>IF($P95="","",87)</f>
        <v>87</v>
      </c>
      <c r="B95" s="14" t="str">
        <f>IF($P95="","",IFERROR(IF(INDEX(MASTER!$C$4:$C$1463,$P95)="","",INDEX(MASTER!$C$4:$C$1463,$P95)),""))</f>
        <v>Soterios_0</v>
      </c>
      <c r="C95" s="15" t="str">
        <f>IF($P95="","",IFERROR(IF(INDEX(MASTER!$D$4:$D$1463,$P95)="","",INDEX(MASTER!$D$4:$D$1463,$P95)),""))</f>
        <v/>
      </c>
      <c r="D95" s="15" t="str">
        <f>IF($P95="","",IFERROR(IF(INDEX(MASTER!$E$4:$E$1463,$P95)="","",INDEX(MASTER!$E$4:$E$1463,$P95)),""))</f>
        <v>DRUID</v>
      </c>
      <c r="E95" s="15" t="str">
        <f>IF($P95="","",IFERROR(IF(INDEX(MASTER!$F$4:$F$1463,$P95)="","",INDEX(MASTER!$F$4:$F$1463,$P95)),""))</f>
        <v>Support</v>
      </c>
      <c r="F95" s="16">
        <f>IF($P95="","",IFERROR(IF(INDEX(MASTER!$G$4:$G$1463,$P95)="","",INDEX(MASTER!$G$4:$G$1463,$P95)),""))</f>
        <v>62417</v>
      </c>
      <c r="G95" s="15" t="str">
        <f>IF($P95="","",IFERROR(IF(INDEX(MASTER!$H$4:$H$1463,$P95)="","",INDEX(MASTER!$H$4:$H$1463,$P95)),""))</f>
        <v>62,000 - 62,999</v>
      </c>
      <c r="H95" s="16">
        <f>IF($P95="","",IFERROR(IF(INDEX(MASTER!$I$4:$I$1463,$P95)="","",INDEX(MASTER!$I$4:$I$1463,$P95)),""))</f>
        <v>4230</v>
      </c>
      <c r="I95" s="15" t="str">
        <f>IF($P95="","",IFERROR(IF(INDEX(MASTER!$J$4:$J$1463,$P95)="","",INDEX(MASTER!$J$4:$J$1463,$P95)),""))</f>
        <v>CORE</v>
      </c>
      <c r="J95" s="17">
        <f>IF($P95="","",IFERROR(IF(INDEX(MASTER!$L$4:$L$1463,$P95)="","",INDEX(MASTER!$L$4:$L$1463,$P95)),""))</f>
        <v>3.5</v>
      </c>
      <c r="K95" s="17">
        <f>IF($P95="","",IFERROR(IF(INDEX(MASTER!$N$4:$N$1463,$P95)="","",INDEX(MASTER!$N$4:$N$1463,$P95)),""))</f>
        <v>43.8</v>
      </c>
      <c r="L95" s="15" t="str">
        <f>IF($P95="","",IFERROR(IF(INDEX(MASTER!$O$4:$O$1463,$P95)="","",INDEX(MASTER!$O$4:$O$1463,$P95)),""))</f>
        <v>B</v>
      </c>
      <c r="M95" s="15">
        <f>IF($P95="","",IFERROR(IF(INDEX(MASTER!$Q$4:$Q$1463,$P95)="","",INDEX(MASTER!$Q$4:$Q$1463,$P95)),""))</f>
        <v>47</v>
      </c>
      <c r="N95" s="15" t="str">
        <f>IF($P95="","",IFERROR(IF(INDEX(MASTER!$S$4:$S$1463,$P95)="","",INDEX(MASTER!$S$4:$S$1463,$P95)),""))</f>
        <v>Complete</v>
      </c>
      <c r="P95">
        <f>IFERROR(MATCH($Q$1&amp;"@87",MASTER!$AC$4:$AC$1463,0),"")</f>
        <v>1056</v>
      </c>
    </row>
    <row r="96" spans="1:16">
      <c r="A96" s="19">
        <f>IF($P96="","",88)</f>
        <v>88</v>
      </c>
      <c r="B96" s="18" t="str">
        <f>IF($P96="","",IFERROR(IF(INDEX(MASTER!$C$4:$C$1463,$P96)="","",INDEX(MASTER!$C$4:$C$1463,$P96)),""))</f>
        <v>TEXAS</v>
      </c>
      <c r="C96" s="19" t="str">
        <f>IF($P96="","",IFERROR(IF(INDEX(MASTER!$D$4:$D$1463,$P96)="","",INDEX(MASTER!$D$4:$D$1463,$P96)),""))</f>
        <v/>
      </c>
      <c r="D96" s="19" t="str">
        <f>IF($P96="","",IFERROR(IF(INDEX(MASTER!$E$4:$E$1463,$P96)="","",INDEX(MASTER!$E$4:$E$1463,$P96)),""))</f>
        <v>WARLOCK</v>
      </c>
      <c r="E96" s="19" t="str">
        <f>IF($P96="","",IFERROR(IF(INDEX(MASTER!$F$4:$F$1463,$P96)="","",INDEX(MASTER!$F$4:$F$1463,$P96)),""))</f>
        <v>Control</v>
      </c>
      <c r="F96" s="20">
        <f>IF($P96="","",IFERROR(IF(INDEX(MASTER!$G$4:$G$1463,$P96)="","",INDEX(MASTER!$G$4:$G$1463,$P96)),""))</f>
        <v>63927</v>
      </c>
      <c r="G96" s="19" t="str">
        <f>IF($P96="","",IFERROR(IF(INDEX(MASTER!$H$4:$H$1463,$P96)="","",INDEX(MASTER!$H$4:$H$1463,$P96)),""))</f>
        <v>63,000 - 63,999</v>
      </c>
      <c r="H96" s="20">
        <f>IF($P96="","",IFERROR(IF(INDEX(MASTER!$I$4:$I$1463,$P96)="","",INDEX(MASTER!$I$4:$I$1463,$P96)),""))</f>
        <v>8315</v>
      </c>
      <c r="I96" s="19" t="str">
        <f>IF($P96="","",IFERROR(IF(INDEX(MASTER!$J$4:$J$1463,$P96)="","",INDEX(MASTER!$J$4:$J$1463,$P96)),""))</f>
        <v>ELITE</v>
      </c>
      <c r="J96" s="21">
        <f>IF($P96="","",IFERROR(IF(INDEX(MASTER!$L$4:$L$1463,$P96)="","",INDEX(MASTER!$L$4:$L$1463,$P96)),""))</f>
        <v>9.1999999999999993</v>
      </c>
      <c r="K96" s="21">
        <f>IF($P96="","",IFERROR(IF(INDEX(MASTER!$N$4:$N$1463,$P96)="","",INDEX(MASTER!$N$4:$N$1463,$P96)),""))</f>
        <v>75.099999999999994</v>
      </c>
      <c r="L96" s="19" t="str">
        <f>IF($P96="","",IFERROR(IF(INDEX(MASTER!$O$4:$O$1463,$P96)="","",INDEX(MASTER!$O$4:$O$1463,$P96)),""))</f>
        <v>S</v>
      </c>
      <c r="M96" s="19">
        <f>IF($P96="","",IFERROR(IF(INDEX(MASTER!$Q$4:$Q$1463,$P96)="","",INDEX(MASTER!$Q$4:$Q$1463,$P96)),""))</f>
        <v>6</v>
      </c>
      <c r="N96" s="19" t="str">
        <f>IF($P96="","",IFERROR(IF(INDEX(MASTER!$S$4:$S$1463,$P96)="","",INDEX(MASTER!$S$4:$S$1463,$P96)),""))</f>
        <v>Complete</v>
      </c>
      <c r="P96">
        <f>IFERROR(MATCH($Q$1&amp;"@88",MASTER!$AC$4:$AC$1463,0),"")</f>
        <v>1132</v>
      </c>
    </row>
    <row r="97" spans="1:16">
      <c r="A97" s="15">
        <f>IF($P97="","",89)</f>
        <v>89</v>
      </c>
      <c r="B97" s="14" t="str">
        <f>IF($P97="","",IFERROR(IF(INDEX(MASTER!$C$4:$C$1463,$P97)="","",INDEX(MASTER!$C$4:$C$1463,$P97)),""))</f>
        <v>TheHero1</v>
      </c>
      <c r="C97" s="15" t="str">
        <f>IF($P97="","",IFERROR(IF(INDEX(MASTER!$D$4:$D$1463,$P97)="","",INDEX(MASTER!$D$4:$D$1463,$P97)),""))</f>
        <v/>
      </c>
      <c r="D97" s="15" t="str">
        <f>IF($P97="","",IFERROR(IF(INDEX(MASTER!$E$4:$E$1463,$P97)="","",INDEX(MASTER!$E$4:$E$1463,$P97)),""))</f>
        <v>DRUID</v>
      </c>
      <c r="E97" s="15" t="str">
        <f>IF($P97="","",IFERROR(IF(INDEX(MASTER!$F$4:$F$1463,$P97)="","",INDEX(MASTER!$F$4:$F$1463,$P97)),""))</f>
        <v>Support</v>
      </c>
      <c r="F97" s="16">
        <f>IF($P97="","",IFERROR(IF(INDEX(MASTER!$G$4:$G$1463,$P97)="","",INDEX(MASTER!$G$4:$G$1463,$P97)),""))</f>
        <v>63164</v>
      </c>
      <c r="G97" s="15" t="str">
        <f>IF($P97="","",IFERROR(IF(INDEX(MASTER!$H$4:$H$1463,$P97)="","",INDEX(MASTER!$H$4:$H$1463,$P97)),""))</f>
        <v>63,000 - 63,999</v>
      </c>
      <c r="H97" s="16">
        <f>IF($P97="","",IFERROR(IF(INDEX(MASTER!$I$4:$I$1463,$P97)="","",INDEX(MASTER!$I$4:$I$1463,$P97)),""))</f>
        <v>4238</v>
      </c>
      <c r="I97" s="15" t="str">
        <f>IF($P97="","",IFERROR(IF(INDEX(MASTER!$J$4:$J$1463,$P97)="","",INDEX(MASTER!$J$4:$J$1463,$P97)),""))</f>
        <v>CORE</v>
      </c>
      <c r="J97" s="17">
        <f>IF($P97="","",IFERROR(IF(INDEX(MASTER!$L$4:$L$1463,$P97)="","",INDEX(MASTER!$L$4:$L$1463,$P97)),""))</f>
        <v>4.5</v>
      </c>
      <c r="K97" s="17">
        <f>IF($P97="","",IFERROR(IF(INDEX(MASTER!$N$4:$N$1463,$P97)="","",INDEX(MASTER!$N$4:$N$1463,$P97)),""))</f>
        <v>47.5</v>
      </c>
      <c r="L97" s="15" t="str">
        <f>IF($P97="","",IFERROR(IF(INDEX(MASTER!$O$4:$O$1463,$P97)="","",INDEX(MASTER!$O$4:$O$1463,$P97)),""))</f>
        <v>B</v>
      </c>
      <c r="M97" s="15">
        <f>IF($P97="","",IFERROR(IF(INDEX(MASTER!$Q$4:$Q$1463,$P97)="","",INDEX(MASTER!$Q$4:$Q$1463,$P97)),""))</f>
        <v>46</v>
      </c>
      <c r="N97" s="15" t="str">
        <f>IF($P97="","",IFERROR(IF(INDEX(MASTER!$S$4:$S$1463,$P97)="","",INDEX(MASTER!$S$4:$S$1463,$P97)),""))</f>
        <v>Complete</v>
      </c>
      <c r="P97">
        <f>IFERROR(MATCH($Q$1&amp;"@89",MASTER!$AC$4:$AC$1463,0),"")</f>
        <v>1137</v>
      </c>
    </row>
    <row r="98" spans="1:16">
      <c r="A98" s="19">
        <f>IF($P98="","",90)</f>
        <v>90</v>
      </c>
      <c r="B98" s="18" t="str">
        <f>IF($P98="","",IFERROR(IF(INDEX(MASTER!$C$4:$C$1463,$P98)="","",INDEX(MASTER!$C$4:$C$1463,$P98)),""))</f>
        <v>TheVandalist</v>
      </c>
      <c r="C98" s="19" t="str">
        <f>IF($P98="","",IFERROR(IF(INDEX(MASTER!$D$4:$D$1463,$P98)="","",INDEX(MASTER!$D$4:$D$1463,$P98)),""))</f>
        <v/>
      </c>
      <c r="D98" s="19" t="str">
        <f>IF($P98="","",IFERROR(IF(INDEX(MASTER!$E$4:$E$1463,$P98)="","",INDEX(MASTER!$E$4:$E$1463,$P98)),""))</f>
        <v>DEMON HUNTER</v>
      </c>
      <c r="E98" s="19" t="str">
        <f>IF($P98="","",IFERROR(IF(INDEX(MASTER!$F$4:$F$1463,$P98)="","",INDEX(MASTER!$F$4:$F$1463,$P98)),""))</f>
        <v>Ranged DPS</v>
      </c>
      <c r="F98" s="20">
        <f>IF($P98="","",IFERROR(IF(INDEX(MASTER!$G$4:$G$1463,$P98)="","",INDEX(MASTER!$G$4:$G$1463,$P98)),""))</f>
        <v>62205</v>
      </c>
      <c r="G98" s="19" t="str">
        <f>IF($P98="","",IFERROR(IF(INDEX(MASTER!$H$4:$H$1463,$P98)="","",INDEX(MASTER!$H$4:$H$1463,$P98)),""))</f>
        <v>62,000 - 62,999</v>
      </c>
      <c r="H98" s="20">
        <f>IF($P98="","",IFERROR(IF(INDEX(MASTER!$I$4:$I$1463,$P98)="","",INDEX(MASTER!$I$4:$I$1463,$P98)),""))</f>
        <v>4086</v>
      </c>
      <c r="I98" s="19" t="str">
        <f>IF($P98="","",IFERROR(IF(INDEX(MASTER!$J$4:$J$1463,$P98)="","",INDEX(MASTER!$J$4:$J$1463,$P98)),""))</f>
        <v>CORE</v>
      </c>
      <c r="J98" s="21">
        <f>IF($P98="","",IFERROR(IF(INDEX(MASTER!$L$4:$L$1463,$P98)="","",INDEX(MASTER!$L$4:$L$1463,$P98)),""))</f>
        <v>5.3</v>
      </c>
      <c r="K98" s="21">
        <f>IF($P98="","",IFERROR(IF(INDEX(MASTER!$N$4:$N$1463,$P98)="","",INDEX(MASTER!$N$4:$N$1463,$P98)),""))</f>
        <v>45.6</v>
      </c>
      <c r="L98" s="19" t="str">
        <f>IF($P98="","",IFERROR(IF(INDEX(MASTER!$O$4:$O$1463,$P98)="","",INDEX(MASTER!$O$4:$O$1463,$P98)),""))</f>
        <v>B</v>
      </c>
      <c r="M98" s="19">
        <f>IF($P98="","",IFERROR(IF(INDEX(MASTER!$Q$4:$Q$1463,$P98)="","",INDEX(MASTER!$Q$4:$Q$1463,$P98)),""))</f>
        <v>50</v>
      </c>
      <c r="N98" s="19" t="str">
        <f>IF($P98="","",IFERROR(IF(INDEX(MASTER!$S$4:$S$1463,$P98)="","",INDEX(MASTER!$S$4:$S$1463,$P98)),""))</f>
        <v>Complete</v>
      </c>
      <c r="P98">
        <f>IFERROR(MATCH($Q$1&amp;"@90",MASTER!$AC$4:$AC$1463,0),"")</f>
        <v>1146</v>
      </c>
    </row>
    <row r="99" spans="1:16">
      <c r="A99" s="15">
        <f>IF($P99="","",91)</f>
        <v>91</v>
      </c>
      <c r="B99" s="14" t="str">
        <f>IF($P99="","",IFERROR(IF(INDEX(MASTER!$C$4:$C$1463,$P99)="","",INDEX(MASTER!$C$4:$C$1463,$P99)),""))</f>
        <v>Tipstaz</v>
      </c>
      <c r="C99" s="15" t="str">
        <f>IF($P99="","",IFERROR(IF(INDEX(MASTER!$D$4:$D$1463,$P99)="","",INDEX(MASTER!$D$4:$D$1463,$P99)),""))</f>
        <v/>
      </c>
      <c r="D99" s="15" t="str">
        <f>IF($P99="","",IFERROR(IF(INDEX(MASTER!$E$4:$E$1463,$P99)="","",INDEX(MASTER!$E$4:$E$1463,$P99)),""))</f>
        <v>WARLOCK</v>
      </c>
      <c r="E99" s="15" t="str">
        <f>IF($P99="","",IFERROR(IF(INDEX(MASTER!$F$4:$F$1463,$P99)="","",INDEX(MASTER!$F$4:$F$1463,$P99)),""))</f>
        <v>Control</v>
      </c>
      <c r="F99" s="16">
        <f>IF($P99="","",IFERROR(IF(INDEX(MASTER!$G$4:$G$1463,$P99)="","",INDEX(MASTER!$G$4:$G$1463,$P99)),""))</f>
        <v>62675</v>
      </c>
      <c r="G99" s="15" t="str">
        <f>IF($P99="","",IFERROR(IF(INDEX(MASTER!$H$4:$H$1463,$P99)="","",INDEX(MASTER!$H$4:$H$1463,$P99)),""))</f>
        <v>62,000 - 62,999</v>
      </c>
      <c r="H99" s="16">
        <f>IF($P99="","",IFERROR(IF(INDEX(MASTER!$I$4:$I$1463,$P99)="","",INDEX(MASTER!$I$4:$I$1463,$P99)),""))</f>
        <v>2670</v>
      </c>
      <c r="I99" s="15" t="str">
        <f>IF($P99="","",IFERROR(IF(INDEX(MASTER!$J$4:$J$1463,$P99)="","",INDEX(MASTER!$J$4:$J$1463,$P99)),""))</f>
        <v>DEVELOPING</v>
      </c>
      <c r="J99" s="17">
        <f>IF($P99="","",IFERROR(IF(INDEX(MASTER!$L$4:$L$1463,$P99)="","",INDEX(MASTER!$L$4:$L$1463,$P99)),""))</f>
        <v>4</v>
      </c>
      <c r="K99" s="17">
        <f>IF($P99="","",IFERROR(IF(INDEX(MASTER!$N$4:$N$1463,$P99)="","",INDEX(MASTER!$N$4:$N$1463,$P99)),""))</f>
        <v>38.5</v>
      </c>
      <c r="L99" s="15" t="str">
        <f>IF($P99="","",IFERROR(IF(INDEX(MASTER!$O$4:$O$1463,$P99)="","",INDEX(MASTER!$O$4:$O$1463,$P99)),""))</f>
        <v>B</v>
      </c>
      <c r="M99" s="15">
        <f>IF($P99="","",IFERROR(IF(INDEX(MASTER!$Q$4:$Q$1463,$P99)="","",INDEX(MASTER!$Q$4:$Q$1463,$P99)),""))</f>
        <v>88</v>
      </c>
      <c r="N99" s="15" t="str">
        <f>IF($P99="","",IFERROR(IF(INDEX(MASTER!$S$4:$S$1463,$P99)="","",INDEX(MASTER!$S$4:$S$1463,$P99)),""))</f>
        <v>Complete</v>
      </c>
      <c r="P99">
        <f>IFERROR(MATCH($Q$1&amp;"@91",MASTER!$AC$4:$AC$1463,0),"")</f>
        <v>1155</v>
      </c>
    </row>
    <row r="100" spans="1:16">
      <c r="A100" s="19">
        <f>IF($P100="","",92)</f>
        <v>92</v>
      </c>
      <c r="B100" s="18" t="str">
        <f>IF($P100="","",IFERROR(IF(INDEX(MASTER!$C$4:$C$1463,$P100)="","",INDEX(MASTER!$C$4:$C$1463,$P100)),""))</f>
        <v>Wäe</v>
      </c>
      <c r="C100" s="19" t="str">
        <f>IF($P100="","",IFERROR(IF(INDEX(MASTER!$D$4:$D$1463,$P100)="","",INDEX(MASTER!$D$4:$D$1463,$P100)),""))</f>
        <v/>
      </c>
      <c r="D100" s="19" t="str">
        <f>IF($P100="","",IFERROR(IF(INDEX(MASTER!$E$4:$E$1463,$P100)="","",INDEX(MASTER!$E$4:$E$1463,$P100)),""))</f>
        <v>NECROMANCER</v>
      </c>
      <c r="E100" s="19" t="str">
        <f>IF($P100="","",IFERROR(IF(INDEX(MASTER!$F$4:$F$1463,$P100)="","",INDEX(MASTER!$F$4:$F$1463,$P100)),""))</f>
        <v>Control</v>
      </c>
      <c r="F100" s="20">
        <f>IF($P100="","",IFERROR(IF(INDEX(MASTER!$G$4:$G$1463,$P100)="","",INDEX(MASTER!$G$4:$G$1463,$P100)),""))</f>
        <v>63317</v>
      </c>
      <c r="G100" s="19" t="str">
        <f>IF($P100="","",IFERROR(IF(INDEX(MASTER!$H$4:$H$1463,$P100)="","",INDEX(MASTER!$H$4:$H$1463,$P100)),""))</f>
        <v>63,000 - 63,999</v>
      </c>
      <c r="H100" s="20">
        <f>IF($P100="","",IFERROR(IF(INDEX(MASTER!$I$4:$I$1463,$P100)="","",INDEX(MASTER!$I$4:$I$1463,$P100)),""))</f>
        <v>4549</v>
      </c>
      <c r="I100" s="19" t="str">
        <f>IF($P100="","",IFERROR(IF(INDEX(MASTER!$J$4:$J$1463,$P100)="","",INDEX(MASTER!$J$4:$J$1463,$P100)),""))</f>
        <v>CORE</v>
      </c>
      <c r="J100" s="21">
        <f>IF($P100="","",IFERROR(IF(INDEX(MASTER!$L$4:$L$1463,$P100)="","",INDEX(MASTER!$L$4:$L$1463,$P100)),""))</f>
        <v>6.3</v>
      </c>
      <c r="K100" s="21">
        <f>IF($P100="","",IFERROR(IF(INDEX(MASTER!$N$4:$N$1463,$P100)="","",INDEX(MASTER!$N$4:$N$1463,$P100)),""))</f>
        <v>52.2</v>
      </c>
      <c r="L100" s="19" t="str">
        <f>IF($P100="","",IFERROR(IF(INDEX(MASTER!$O$4:$O$1463,$P100)="","",INDEX(MASTER!$O$4:$O$1463,$P100)),""))</f>
        <v>A</v>
      </c>
      <c r="M100" s="19">
        <f>IF($P100="","",IFERROR(IF(INDEX(MASTER!$Q$4:$Q$1463,$P100)="","",INDEX(MASTER!$Q$4:$Q$1463,$P100)),""))</f>
        <v>34</v>
      </c>
      <c r="N100" s="19" t="str">
        <f>IF($P100="","",IFERROR(IF(INDEX(MASTER!$S$4:$S$1463,$P100)="","",INDEX(MASTER!$S$4:$S$1463,$P100)),""))</f>
        <v>Complete</v>
      </c>
      <c r="P100">
        <f>IFERROR(MATCH($Q$1&amp;"@92",MASTER!$AC$4:$AC$1463,0),"")</f>
        <v>1272</v>
      </c>
    </row>
    <row r="101" spans="1:16">
      <c r="A101" s="15">
        <f>IF($P101="","",93)</f>
        <v>93</v>
      </c>
      <c r="B101" s="14" t="str">
        <f>IF($P101="","",IFERROR(IF(INDEX(MASTER!$C$4:$C$1463,$P101)="","",INDEX(MASTER!$C$4:$C$1463,$P101)),""))</f>
        <v>WastedAK</v>
      </c>
      <c r="C101" s="15" t="str">
        <f>IF($P101="","",IFERROR(IF(INDEX(MASTER!$D$4:$D$1463,$P101)="","",INDEX(MASTER!$D$4:$D$1463,$P101)),""))</f>
        <v/>
      </c>
      <c r="D101" s="15" t="str">
        <f>IF($P101="","",IFERROR(IF(INDEX(MASTER!$E$4:$E$1463,$P101)="","",INDEX(MASTER!$E$4:$E$1463,$P101)),""))</f>
        <v>NECROMANCER</v>
      </c>
      <c r="E101" s="15" t="str">
        <f>IF($P101="","",IFERROR(IF(INDEX(MASTER!$F$4:$F$1463,$P101)="","",INDEX(MASTER!$F$4:$F$1463,$P101)),""))</f>
        <v>Control</v>
      </c>
      <c r="F101" s="16">
        <f>IF($P101="","",IFERROR(IF(INDEX(MASTER!$G$4:$G$1463,$P101)="","",INDEX(MASTER!$G$4:$G$1463,$P101)),""))</f>
        <v>63351</v>
      </c>
      <c r="G101" s="15" t="str">
        <f>IF($P101="","",IFERROR(IF(INDEX(MASTER!$H$4:$H$1463,$P101)="","",INDEX(MASTER!$H$4:$H$1463,$P101)),""))</f>
        <v>63,000 - 63,999</v>
      </c>
      <c r="H101" s="16">
        <f>IF($P101="","",IFERROR(IF(INDEX(MASTER!$I$4:$I$1463,$P101)="","",INDEX(MASTER!$I$4:$I$1463,$P101)),""))</f>
        <v>3990</v>
      </c>
      <c r="I101" s="15" t="str">
        <f>IF($P101="","",IFERROR(IF(INDEX(MASTER!$J$4:$J$1463,$P101)="","",INDEX(MASTER!$J$4:$J$1463,$P101)),""))</f>
        <v>DEVELOPING</v>
      </c>
      <c r="J101" s="17">
        <f>IF($P101="","",IFERROR(IF(INDEX(MASTER!$L$4:$L$1463,$P101)="","",INDEX(MASTER!$L$4:$L$1463,$P101)),""))</f>
        <v>6.3</v>
      </c>
      <c r="K101" s="17">
        <f>IF($P101="","",IFERROR(IF(INDEX(MASTER!$N$4:$N$1463,$P101)="","",INDEX(MASTER!$N$4:$N$1463,$P101)),""))</f>
        <v>49.9</v>
      </c>
      <c r="L101" s="15" t="str">
        <f>IF($P101="","",IFERROR(IF(INDEX(MASTER!$O$4:$O$1463,$P101)="","",INDEX(MASTER!$O$4:$O$1463,$P101)),""))</f>
        <v>B</v>
      </c>
      <c r="M101" s="15">
        <f>IF($P101="","",IFERROR(IF(INDEX(MASTER!$Q$4:$Q$1463,$P101)="","",INDEX(MASTER!$Q$4:$Q$1463,$P101)),""))</f>
        <v>53</v>
      </c>
      <c r="N101" s="15" t="str">
        <f>IF($P101="","",IFERROR(IF(INDEX(MASTER!$S$4:$S$1463,$P101)="","",INDEX(MASTER!$S$4:$S$1463,$P101)),""))</f>
        <v>Complete</v>
      </c>
      <c r="P101">
        <f>IFERROR(MATCH($Q$1&amp;"@93",MASTER!$AC$4:$AC$1463,0),"")</f>
        <v>1244</v>
      </c>
    </row>
    <row r="102" spans="1:16">
      <c r="A102" s="19">
        <f>IF($P102="","",94)</f>
        <v>94</v>
      </c>
      <c r="B102" s="18" t="str">
        <f>IF($P102="","",IFERROR(IF(INDEX(MASTER!$C$4:$C$1463,$P102)="","",INDEX(MASTER!$C$4:$C$1463,$P102)),""))</f>
        <v>Wiseoracle</v>
      </c>
      <c r="C102" s="19" t="str">
        <f>IF($P102="","",IFERROR(IF(INDEX(MASTER!$D$4:$D$1463,$P102)="","",INDEX(MASTER!$D$4:$D$1463,$P102)),""))</f>
        <v/>
      </c>
      <c r="D102" s="19" t="str">
        <f>IF($P102="","",IFERROR(IF(INDEX(MASTER!$E$4:$E$1463,$P102)="","",INDEX(MASTER!$E$4:$E$1463,$P102)),""))</f>
        <v>DEMON HUNTER</v>
      </c>
      <c r="E102" s="19" t="str">
        <f>IF($P102="","",IFERROR(IF(INDEX(MASTER!$F$4:$F$1463,$P102)="","",INDEX(MASTER!$F$4:$F$1463,$P102)),""))</f>
        <v>Ranged DPS</v>
      </c>
      <c r="F102" s="20">
        <f>IF($P102="","",IFERROR(IF(INDEX(MASTER!$G$4:$G$1463,$P102)="","",INDEX(MASTER!$G$4:$G$1463,$P102)),""))</f>
        <v>63280</v>
      </c>
      <c r="G102" s="19" t="str">
        <f>IF($P102="","",IFERROR(IF(INDEX(MASTER!$H$4:$H$1463,$P102)="","",INDEX(MASTER!$H$4:$H$1463,$P102)),""))</f>
        <v>63,000 - 63,999</v>
      </c>
      <c r="H102" s="20">
        <f>IF($P102="","",IFERROR(IF(INDEX(MASTER!$I$4:$I$1463,$P102)="","",INDEX(MASTER!$I$4:$I$1463,$P102)),""))</f>
        <v>3649</v>
      </c>
      <c r="I102" s="19" t="str">
        <f>IF($P102="","",IFERROR(IF(INDEX(MASTER!$J$4:$J$1463,$P102)="","",INDEX(MASTER!$J$4:$J$1463,$P102)),""))</f>
        <v>DEVELOPING</v>
      </c>
      <c r="J102" s="21">
        <f>IF($P102="","",IFERROR(IF(INDEX(MASTER!$L$4:$L$1463,$P102)="","",INDEX(MASTER!$L$4:$L$1463,$P102)),""))</f>
        <v>4.75</v>
      </c>
      <c r="K102" s="21">
        <f>IF($P102="","",IFERROR(IF(INDEX(MASTER!$N$4:$N$1463,$P102)="","",INDEX(MASTER!$N$4:$N$1463,$P102)),""))</f>
        <v>45.6</v>
      </c>
      <c r="L102" s="19" t="str">
        <f>IF($P102="","",IFERROR(IF(INDEX(MASTER!$O$4:$O$1463,$P102)="","",INDEX(MASTER!$O$4:$O$1463,$P102)),""))</f>
        <v>B</v>
      </c>
      <c r="M102" s="19">
        <f>IF($P102="","",IFERROR(IF(INDEX(MASTER!$Q$4:$Q$1463,$P102)="","",INDEX(MASTER!$Q$4:$Q$1463,$P102)),""))</f>
        <v>62</v>
      </c>
      <c r="N102" s="19" t="str">
        <f>IF($P102="","",IFERROR(IF(INDEX(MASTER!$S$4:$S$1463,$P102)="","",INDEX(MASTER!$S$4:$S$1463,$P102)),""))</f>
        <v>Complete</v>
      </c>
      <c r="P102">
        <f>IFERROR(MATCH($Q$1&amp;"@94",MASTER!$AC$4:$AC$1463,0),"")</f>
        <v>1257</v>
      </c>
    </row>
    <row r="103" spans="1:16">
      <c r="A103" s="15">
        <f>IF($P103="","",95)</f>
        <v>95</v>
      </c>
      <c r="B103" s="14" t="str">
        <f>IF($P103="","",IFERROR(IF(INDEX(MASTER!$C$4:$C$1463,$P103)="","",INDEX(MASTER!$C$4:$C$1463,$P103)),""))</f>
        <v>witch</v>
      </c>
      <c r="C103" s="15" t="str">
        <f>IF($P103="","",IFERROR(IF(INDEX(MASTER!$D$4:$D$1463,$P103)="","",INDEX(MASTER!$D$4:$D$1463,$P103)),""))</f>
        <v/>
      </c>
      <c r="D103" s="15" t="str">
        <f>IF($P103="","",IFERROR(IF(INDEX(MASTER!$E$4:$E$1463,$P103)="","",INDEX(MASTER!$E$4:$E$1463,$P103)),""))</f>
        <v>WARLOCK</v>
      </c>
      <c r="E103" s="15" t="str">
        <f>IF($P103="","",IFERROR(IF(INDEX(MASTER!$F$4:$F$1463,$P103)="","",INDEX(MASTER!$F$4:$F$1463,$P103)),""))</f>
        <v>Control</v>
      </c>
      <c r="F103" s="16">
        <f>IF($P103="","",IFERROR(IF(INDEX(MASTER!$G$4:$G$1463,$P103)="","",INDEX(MASTER!$G$4:$G$1463,$P103)),""))</f>
        <v>61756</v>
      </c>
      <c r="G103" s="15" t="str">
        <f>IF($P103="","",IFERROR(IF(INDEX(MASTER!$H$4:$H$1463,$P103)="","",INDEX(MASTER!$H$4:$H$1463,$P103)),""))</f>
        <v>61,000 - 61,999</v>
      </c>
      <c r="H103" s="16">
        <f>IF($P103="","",IFERROR(IF(INDEX(MASTER!$I$4:$I$1463,$P103)="","",INDEX(MASTER!$I$4:$I$1463,$P103)),""))</f>
        <v>3147</v>
      </c>
      <c r="I103" s="15" t="str">
        <f>IF($P103="","",IFERROR(IF(INDEX(MASTER!$J$4:$J$1463,$P103)="","",INDEX(MASTER!$J$4:$J$1463,$P103)),""))</f>
        <v>DEVELOPING</v>
      </c>
      <c r="J103" s="17">
        <f>IF($P103="","",IFERROR(IF(INDEX(MASTER!$L$4:$L$1463,$P103)="","",INDEX(MASTER!$L$4:$L$1463,$P103)),""))</f>
        <v>4.3</v>
      </c>
      <c r="K103" s="17">
        <f>IF($P103="","",IFERROR(IF(INDEX(MASTER!$N$4:$N$1463,$P103)="","",INDEX(MASTER!$N$4:$N$1463,$P103)),""))</f>
        <v>38.700000000000003</v>
      </c>
      <c r="L103" s="15" t="str">
        <f>IF($P103="","",IFERROR(IF(INDEX(MASTER!$O$4:$O$1463,$P103)="","",INDEX(MASTER!$O$4:$O$1463,$P103)),""))</f>
        <v>B</v>
      </c>
      <c r="M103" s="15">
        <f>IF($P103="","",IFERROR(IF(INDEX(MASTER!$Q$4:$Q$1463,$P103)="","",INDEX(MASTER!$Q$4:$Q$1463,$P103)),""))</f>
        <v>77</v>
      </c>
      <c r="N103" s="15" t="str">
        <f>IF($P103="","",IFERROR(IF(INDEX(MASTER!$S$4:$S$1463,$P103)="","",INDEX(MASTER!$S$4:$S$1463,$P103)),""))</f>
        <v>Complete</v>
      </c>
      <c r="P103">
        <f>IFERROR(MATCH($Q$1&amp;"@95",MASTER!$AC$4:$AC$1463,0),"")</f>
        <v>1259</v>
      </c>
    </row>
    <row r="104" spans="1:16">
      <c r="A104" s="19">
        <f>IF($P104="","",96)</f>
        <v>96</v>
      </c>
      <c r="B104" s="18" t="str">
        <f>IF($P104="","",IFERROR(IF(INDEX(MASTER!$C$4:$C$1463,$P104)="","",INDEX(MASTER!$C$4:$C$1463,$P104)),""))</f>
        <v>Zedrick</v>
      </c>
      <c r="C104" s="19" t="str">
        <f>IF($P104="","",IFERROR(IF(INDEX(MASTER!$D$4:$D$1463,$P104)="","",INDEX(MASTER!$D$4:$D$1463,$P104)),""))</f>
        <v/>
      </c>
      <c r="D104" s="19" t="str">
        <f>IF($P104="","",IFERROR(IF(INDEX(MASTER!$E$4:$E$1463,$P104)="","",INDEX(MASTER!$E$4:$E$1463,$P104)),""))</f>
        <v>MONK</v>
      </c>
      <c r="E104" s="19" t="str">
        <f>IF($P104="","",IFERROR(IF(INDEX(MASTER!$F$4:$F$1463,$P104)="","",INDEX(MASTER!$F$4:$F$1463,$P104)),""))</f>
        <v>Support</v>
      </c>
      <c r="F104" s="20">
        <f>IF($P104="","",IFERROR(IF(INDEX(MASTER!$G$4:$G$1463,$P104)="","",INDEX(MASTER!$G$4:$G$1463,$P104)),""))</f>
        <v>62723</v>
      </c>
      <c r="G104" s="19" t="str">
        <f>IF($P104="","",IFERROR(IF(INDEX(MASTER!$H$4:$H$1463,$P104)="","",INDEX(MASTER!$H$4:$H$1463,$P104)),""))</f>
        <v>62,000 - 62,999</v>
      </c>
      <c r="H104" s="20">
        <f>IF($P104="","",IFERROR(IF(INDEX(MASTER!$I$4:$I$1463,$P104)="","",INDEX(MASTER!$I$4:$I$1463,$P104)),""))</f>
        <v>5154</v>
      </c>
      <c r="I104" s="19" t="str">
        <f>IF($P104="","",IFERROR(IF(INDEX(MASTER!$J$4:$J$1463,$P104)="","",INDEX(MASTER!$J$4:$J$1463,$P104)),""))</f>
        <v>CORE</v>
      </c>
      <c r="J104" s="21">
        <f>IF($P104="","",IFERROR(IF(INDEX(MASTER!$L$4:$L$1463,$P104)="","",INDEX(MASTER!$L$4:$L$1463,$P104)),""))</f>
        <v>5.0999999999999996</v>
      </c>
      <c r="K104" s="21">
        <f>IF($P104="","",IFERROR(IF(INDEX(MASTER!$N$4:$N$1463,$P104)="","",INDEX(MASTER!$N$4:$N$1463,$P104)),""))</f>
        <v>51.3</v>
      </c>
      <c r="L104" s="19" t="str">
        <f>IF($P104="","",IFERROR(IF(INDEX(MASTER!$O$4:$O$1463,$P104)="","",INDEX(MASTER!$O$4:$O$1463,$P104)),""))</f>
        <v>A</v>
      </c>
      <c r="M104" s="19">
        <f>IF($P104="","",IFERROR(IF(INDEX(MASTER!$Q$4:$Q$1463,$P104)="","",INDEX(MASTER!$Q$4:$Q$1463,$P104)),""))</f>
        <v>27</v>
      </c>
      <c r="N104" s="19" t="str">
        <f>IF($P104="","",IFERROR(IF(INDEX(MASTER!$S$4:$S$1463,$P104)="","",INDEX(MASTER!$S$4:$S$1463,$P104)),""))</f>
        <v>Complete</v>
      </c>
      <c r="P104">
        <f>IFERROR(MATCH($Q$1&amp;"@96",MASTER!$AC$4:$AC$1463,0),"")</f>
        <v>1314</v>
      </c>
    </row>
    <row r="105" spans="1:16">
      <c r="A105" s="15" t="str">
        <f>IF($P105="","",97)</f>
        <v/>
      </c>
      <c r="B105" s="14" t="str">
        <f>IF($P105="","",IFERROR(IF(INDEX(MASTER!$C$4:$C$1463,$P105)="","",INDEX(MASTER!$C$4:$C$1463,$P105)),""))</f>
        <v/>
      </c>
      <c r="C105" s="15" t="str">
        <f>IF($P105="","",IFERROR(IF(INDEX(MASTER!$D$4:$D$1463,$P105)="","",INDEX(MASTER!$D$4:$D$1463,$P105)),""))</f>
        <v/>
      </c>
      <c r="D105" s="15" t="str">
        <f>IF($P105="","",IFERROR(IF(INDEX(MASTER!$E$4:$E$1463,$P105)="","",INDEX(MASTER!$E$4:$E$1463,$P105)),""))</f>
        <v/>
      </c>
      <c r="E105" s="15" t="str">
        <f>IF($P105="","",IFERROR(IF(INDEX(MASTER!$F$4:$F$1463,$P105)="","",INDEX(MASTER!$F$4:$F$1463,$P105)),""))</f>
        <v/>
      </c>
      <c r="F105" s="16" t="str">
        <f>IF($P105="","",IFERROR(IF(INDEX(MASTER!$G$4:$G$1463,$P105)="","",INDEX(MASTER!$G$4:$G$1463,$P105)),""))</f>
        <v/>
      </c>
      <c r="G105" s="15" t="str">
        <f>IF($P105="","",IFERROR(IF(INDEX(MASTER!$H$4:$H$1463,$P105)="","",INDEX(MASTER!$H$4:$H$1463,$P105)),""))</f>
        <v/>
      </c>
      <c r="H105" s="16" t="str">
        <f>IF($P105="","",IFERROR(IF(INDEX(MASTER!$I$4:$I$1463,$P105)="","",INDEX(MASTER!$I$4:$I$1463,$P105)),""))</f>
        <v/>
      </c>
      <c r="I105" s="15" t="str">
        <f>IF($P105="","",IFERROR(IF(INDEX(MASTER!$J$4:$J$1463,$P105)="","",INDEX(MASTER!$J$4:$J$1463,$P105)),""))</f>
        <v/>
      </c>
      <c r="J105" s="17" t="str">
        <f>IF($P105="","",IFERROR(IF(INDEX(MASTER!$L$4:$L$1463,$P105)="","",INDEX(MASTER!$L$4:$L$1463,$P105)),""))</f>
        <v/>
      </c>
      <c r="K105" s="17" t="str">
        <f>IF($P105="","",IFERROR(IF(INDEX(MASTER!$N$4:$N$1463,$P105)="","",INDEX(MASTER!$N$4:$N$1463,$P105)),""))</f>
        <v/>
      </c>
      <c r="L105" s="15" t="str">
        <f>IF($P105="","",IFERROR(IF(INDEX(MASTER!$O$4:$O$1463,$P105)="","",INDEX(MASTER!$O$4:$O$1463,$P105)),""))</f>
        <v/>
      </c>
      <c r="M105" s="15" t="str">
        <f>IF($P105="","",IFERROR(IF(INDEX(MASTER!$Q$4:$Q$1463,$P105)="","",INDEX(MASTER!$Q$4:$Q$1463,$P105)),""))</f>
        <v/>
      </c>
      <c r="N105" s="15" t="str">
        <f>IF($P105="","",IFERROR(IF(INDEX(MASTER!$S$4:$S$1463,$P105)="","",INDEX(MASTER!$S$4:$S$1463,$P105)),""))</f>
        <v/>
      </c>
      <c r="P105" t="str">
        <f>IFERROR(MATCH($Q$1&amp;"@97",MASTER!$AC$4:$AC$1463,0),"")</f>
        <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2" spans="1:16" ht="19.5" customHeight="1">
      <c r="B132" s="91" t="s">
        <v>488</v>
      </c>
      <c r="C132" s="91"/>
      <c r="D132" s="91"/>
      <c r="E132" s="91"/>
      <c r="F132" s="91"/>
      <c r="G132" s="91"/>
    </row>
    <row r="133" spans="1:16" ht="27.75" customHeight="1">
      <c r="B133" s="108" t="s">
        <v>68</v>
      </c>
      <c r="C133" s="108"/>
      <c r="D133" s="13" t="s">
        <v>69</v>
      </c>
      <c r="E133" s="13" t="s">
        <v>64</v>
      </c>
      <c r="F133" s="13" t="s">
        <v>50</v>
      </c>
      <c r="G133" s="13" t="s">
        <v>51</v>
      </c>
    </row>
    <row r="134" spans="1:16">
      <c r="B134" s="105" t="s">
        <v>71</v>
      </c>
      <c r="C134" s="105"/>
      <c r="D134" s="20" t="str">
        <f>IFERROR(INDEX(SETUP!$B$55:$B$64,MATCH($B134,SETUP!$A$55:$A$64,0)),"-")</f>
        <v>Frontline</v>
      </c>
      <c r="E134" s="20">
        <f>COUNTIFS(MASTER!$B:$B,$Q$1,MASTER!$E:$E,$B134)</f>
        <v>15</v>
      </c>
      <c r="F134" s="20">
        <f>IFERROR(ROUND(AVERAGEIFS(MASTER!$I:$I,MASTER!$B:$B,$Q$1,MASTER!$E:$E,$B134),0),"-")</f>
        <v>5515</v>
      </c>
      <c r="G134" s="20">
        <f>IF($E134=0,"-",IFERROR(_xlfn.MAXIFS(MASTER!$I:$I,MASTER!$B:$B,$Q$1,MASTER!$E:$E,$B134),"-"))</f>
        <v>9637</v>
      </c>
    </row>
    <row r="135" spans="1:16">
      <c r="B135" s="106" t="s">
        <v>72</v>
      </c>
      <c r="C135" s="106"/>
      <c r="D135" s="16" t="str">
        <f>IFERROR(INDEX(SETUP!$B$55:$B$64,MATCH($B135,SETUP!$A$55:$A$64,0)),"-")</f>
        <v>Frontline</v>
      </c>
      <c r="E135" s="16">
        <f>COUNTIFS(MASTER!$B:$B,$Q$1,MASTER!$E:$E,$B135)</f>
        <v>8</v>
      </c>
      <c r="F135" s="16">
        <f>IFERROR(ROUND(AVERAGEIFS(MASTER!$I:$I,MASTER!$B:$B,$Q$1,MASTER!$E:$E,$B135),0),"-")</f>
        <v>4317</v>
      </c>
      <c r="G135" s="16">
        <f>IF($E135=0,"-",IFERROR(_xlfn.MAXIFS(MASTER!$I:$I,MASTER!$B:$B,$Q$1,MASTER!$E:$E,$B135),"-"))</f>
        <v>8045</v>
      </c>
    </row>
    <row r="136" spans="1:16">
      <c r="B136" s="105" t="s">
        <v>73</v>
      </c>
      <c r="C136" s="105"/>
      <c r="D136" s="20" t="str">
        <f>IFERROR(INDEX(SETUP!$B$55:$B$64,MATCH($B136,SETUP!$A$55:$A$64,0)),"-")</f>
        <v>Frontline</v>
      </c>
      <c r="E136" s="20">
        <f>COUNTIFS(MASTER!$B:$B,$Q$1,MASTER!$E:$E,$B136)</f>
        <v>8</v>
      </c>
      <c r="F136" s="20">
        <f>IFERROR(ROUND(AVERAGEIFS(MASTER!$I:$I,MASTER!$B:$B,$Q$1,MASTER!$E:$E,$B136),0),"-")</f>
        <v>4868</v>
      </c>
      <c r="G136" s="20">
        <f>IF($E136=0,"-",IFERROR(_xlfn.MAXIFS(MASTER!$I:$I,MASTER!$B:$B,$Q$1,MASTER!$E:$E,$B136),"-"))</f>
        <v>8843</v>
      </c>
    </row>
    <row r="137" spans="1:16">
      <c r="B137" s="106" t="s">
        <v>74</v>
      </c>
      <c r="C137" s="106"/>
      <c r="D137" s="16" t="str">
        <f>IFERROR(INDEX(SETUP!$B$55:$B$64,MATCH($B137,SETUP!$A$55:$A$64,0)),"-")</f>
        <v>Ranged DPS</v>
      </c>
      <c r="E137" s="16">
        <f>COUNTIFS(MASTER!$B:$B,$Q$1,MASTER!$E:$E,$B137)</f>
        <v>18</v>
      </c>
      <c r="F137" s="16">
        <f>IFERROR(ROUND(AVERAGEIFS(MASTER!$I:$I,MASTER!$B:$B,$Q$1,MASTER!$E:$E,$B137),0),"-")</f>
        <v>4335</v>
      </c>
      <c r="G137" s="16">
        <f>IF($E137=0,"-",IFERROR(_xlfn.MAXIFS(MASTER!$I:$I,MASTER!$B:$B,$Q$1,MASTER!$E:$E,$B137),"-"))</f>
        <v>10023</v>
      </c>
    </row>
    <row r="138" spans="1:16">
      <c r="B138" s="105" t="s">
        <v>75</v>
      </c>
      <c r="C138" s="105"/>
      <c r="D138" s="20" t="str">
        <f>IFERROR(INDEX(SETUP!$B$55:$B$64,MATCH($B138,SETUP!$A$55:$A$64,0)),"-")</f>
        <v>Support</v>
      </c>
      <c r="E138" s="20">
        <f>COUNTIFS(MASTER!$B:$B,$Q$1,MASTER!$E:$E,$B138)</f>
        <v>7</v>
      </c>
      <c r="F138" s="20">
        <f>IFERROR(ROUND(AVERAGEIFS(MASTER!$I:$I,MASTER!$B:$B,$Q$1,MASTER!$E:$E,$B138),0),"-")</f>
        <v>4158</v>
      </c>
      <c r="G138" s="20">
        <f>IF($E138=0,"-",IFERROR(_xlfn.MAXIFS(MASTER!$I:$I,MASTER!$B:$B,$Q$1,MASTER!$E:$E,$B138),"-"))</f>
        <v>5831</v>
      </c>
    </row>
    <row r="139" spans="1:16">
      <c r="B139" s="106" t="s">
        <v>76</v>
      </c>
      <c r="C139" s="106"/>
      <c r="D139" s="16" t="str">
        <f>IFERROR(INDEX(SETUP!$B$55:$B$64,MATCH($B139,SETUP!$A$55:$A$64,0)),"-")</f>
        <v>Support</v>
      </c>
      <c r="E139" s="16">
        <f>COUNTIFS(MASTER!$B:$B,$Q$1,MASTER!$E:$E,$B139)</f>
        <v>1</v>
      </c>
      <c r="F139" s="16">
        <f>IFERROR(ROUND(AVERAGEIFS(MASTER!$I:$I,MASTER!$B:$B,$Q$1,MASTER!$E:$E,$B139),0),"-")</f>
        <v>5154</v>
      </c>
      <c r="G139" s="16">
        <f>IF($E139=0,"-",IFERROR(_xlfn.MAXIFS(MASTER!$I:$I,MASTER!$B:$B,$Q$1,MASTER!$E:$E,$B139),"-"))</f>
        <v>5154</v>
      </c>
    </row>
    <row r="140" spans="1:16">
      <c r="B140" s="105" t="s">
        <v>77</v>
      </c>
      <c r="C140" s="105"/>
      <c r="D140" s="20" t="str">
        <f>IFERROR(INDEX(SETUP!$B$55:$B$64,MATCH($B140,SETUP!$A$55:$A$64,0)),"-")</f>
        <v>Control</v>
      </c>
      <c r="E140" s="20">
        <f>COUNTIFS(MASTER!$B:$B,$Q$1,MASTER!$E:$E,$B140)</f>
        <v>11</v>
      </c>
      <c r="F140" s="20">
        <f>IFERROR(ROUND(AVERAGEIFS(MASTER!$I:$I,MASTER!$B:$B,$Q$1,MASTER!$E:$E,$B140),0),"-")</f>
        <v>4382</v>
      </c>
      <c r="G140" s="20">
        <f>IF($E140=0,"-",IFERROR(_xlfn.MAXIFS(MASTER!$I:$I,MASTER!$B:$B,$Q$1,MASTER!$E:$E,$B140),"-"))</f>
        <v>7317</v>
      </c>
    </row>
    <row r="141" spans="1:16">
      <c r="B141" s="106" t="s">
        <v>78</v>
      </c>
      <c r="C141" s="106"/>
      <c r="D141" s="16" t="str">
        <f>IFERROR(INDEX(SETUP!$B$55:$B$64,MATCH($B141,SETUP!$A$55:$A$64,0)),"-")</f>
        <v>Melee DPS</v>
      </c>
      <c r="E141" s="16">
        <f>COUNTIFS(MASTER!$B:$B,$Q$1,MASTER!$E:$E,$B141)</f>
        <v>2</v>
      </c>
      <c r="F141" s="16">
        <f>IFERROR(ROUND(AVERAGEIFS(MASTER!$I:$I,MASTER!$B:$B,$Q$1,MASTER!$E:$E,$B141),0),"-")</f>
        <v>3317</v>
      </c>
      <c r="G141" s="16">
        <f>IF($E141=0,"-",IFERROR(_xlfn.MAXIFS(MASTER!$I:$I,MASTER!$B:$B,$Q$1,MASTER!$E:$E,$B141),"-"))</f>
        <v>3794</v>
      </c>
    </row>
    <row r="142" spans="1:16">
      <c r="B142" s="105" t="s">
        <v>79</v>
      </c>
      <c r="C142" s="105"/>
      <c r="D142" s="20" t="str">
        <f>IFERROR(INDEX(SETUP!$B$55:$B$64,MATCH($B142,SETUP!$A$55:$A$64,0)),"-")</f>
        <v>Control</v>
      </c>
      <c r="E142" s="20">
        <f>COUNTIFS(MASTER!$B:$B,$Q$1,MASTER!$E:$E,$B142)</f>
        <v>20</v>
      </c>
      <c r="F142" s="20">
        <f>IFERROR(ROUND(AVERAGEIFS(MASTER!$I:$I,MASTER!$B:$B,$Q$1,MASTER!$E:$E,$B142),0),"-")</f>
        <v>4538</v>
      </c>
      <c r="G142" s="20">
        <f>IF($E142=0,"-",IFERROR(_xlfn.MAXIFS(MASTER!$I:$I,MASTER!$B:$B,$Q$1,MASTER!$E:$E,$B142),"-"))</f>
        <v>8315</v>
      </c>
    </row>
    <row r="143" spans="1:16">
      <c r="B143" s="106" t="s">
        <v>80</v>
      </c>
      <c r="C143" s="106"/>
      <c r="D143" s="16" t="str">
        <f>IFERROR(INDEX(SETUP!$B$55:$B$64,MATCH($B143,SETUP!$A$55:$A$64,0)),"-")</f>
        <v>Ranged DPS</v>
      </c>
      <c r="E143" s="16">
        <f>COUNTIFS(MASTER!$B:$B,$Q$1,MASTER!$E:$E,$B143)</f>
        <v>6</v>
      </c>
      <c r="F143" s="16">
        <f>IFERROR(ROUND(AVERAGEIFS(MASTER!$I:$I,MASTER!$B:$B,$Q$1,MASTER!$E:$E,$B143),0),"-")</f>
        <v>4295</v>
      </c>
      <c r="G143" s="16">
        <f>IF($E143=0,"-",IFERROR(_xlfn.MAXIFS(MASTER!$I:$I,MASTER!$B:$B,$Q$1,MASTER!$E:$E,$B143),"-"))</f>
        <v>7171</v>
      </c>
    </row>
  </sheetData>
  <autoFilter ref="A8:N129" xr:uid="{00000000-0009-0000-0000-00000C000000}"/>
  <mergeCells count="29">
    <mergeCell ref="A1:N1"/>
    <mergeCell ref="A2:N2"/>
    <mergeCell ref="A4:B4"/>
    <mergeCell ref="C4:D4"/>
    <mergeCell ref="E4:F4"/>
    <mergeCell ref="G4:H4"/>
    <mergeCell ref="I4:J4"/>
    <mergeCell ref="K4:L4"/>
    <mergeCell ref="M4:N4"/>
    <mergeCell ref="K5:L5"/>
    <mergeCell ref="M5:N5"/>
    <mergeCell ref="A7:N7"/>
    <mergeCell ref="B132:G132"/>
    <mergeCell ref="B133:C133"/>
    <mergeCell ref="A5:B5"/>
    <mergeCell ref="C5:D5"/>
    <mergeCell ref="E5:F5"/>
    <mergeCell ref="G5:H5"/>
    <mergeCell ref="I5:J5"/>
    <mergeCell ref="B134:C134"/>
    <mergeCell ref="B135:C135"/>
    <mergeCell ref="B136:C136"/>
    <mergeCell ref="B137:C137"/>
    <mergeCell ref="B138:C138"/>
    <mergeCell ref="B139:C139"/>
    <mergeCell ref="B140:C140"/>
    <mergeCell ref="B141:C141"/>
    <mergeCell ref="B142:C142"/>
    <mergeCell ref="B143:C143"/>
  </mergeCells>
  <conditionalFormatting sqref="H9:H129">
    <cfRule type="colorScale" priority="2">
      <colorScale>
        <cfvo type="num" val="0"/>
        <cfvo type="num" val="5000"/>
        <cfvo type="num" val="12600"/>
        <color rgb="FFF8CBAD"/>
        <color rgb="FFFFE699"/>
        <color rgb="FFA9D08E"/>
      </colorScale>
    </cfRule>
  </conditionalFormatting>
  <conditionalFormatting sqref="N9:N129">
    <cfRule type="cellIs" dxfId="12"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3" evalError="1" twoDigitTextYear="1" numberStoredAsText="1" formula="1" formulaRange="1" unlockedFormula="1" emptyCellReference="1" listDataValidation="1" calculatedColumn="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pageSetUpPr fitToPage="1"/>
  </sheetPr>
  <dimension ref="A1:Q144"/>
  <sheetViews>
    <sheetView showGridLines="0" zoomScaleNormal="100" workbookViewId="0">
      <pane xSplit="1" ySplit="8" topLeftCell="B9" activePane="bottomRight" state="frozen"/>
      <selection pane="topRight" activeCell="B1" sqref="B1"/>
      <selection pane="bottomLeft" activeCell="A9" sqref="A9"/>
      <selection pane="bottomRight" sqref="A1:N1"/>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492</v>
      </c>
      <c r="B1" s="92"/>
      <c r="C1" s="92"/>
      <c r="D1" s="92"/>
      <c r="E1" s="92"/>
      <c r="F1" s="92"/>
      <c r="G1" s="92"/>
      <c r="H1" s="92"/>
      <c r="I1" s="92"/>
      <c r="J1" s="92"/>
      <c r="K1" s="92"/>
      <c r="L1" s="92"/>
      <c r="M1" s="92"/>
      <c r="N1" s="92"/>
      <c r="Q1" t="s">
        <v>108</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97</v>
      </c>
      <c r="B5" s="95"/>
      <c r="C5" s="95">
        <f>COUNTIFS(MASTER!$B:$B,$Q$1,MASTER!$S:$S,"Complete")</f>
        <v>97</v>
      </c>
      <c r="D5" s="95"/>
      <c r="E5" s="95">
        <f>IFERROR(ROUND(AVERAGEIFS(MASTER!$I:$I,MASTER!$B:$B,$Q$1),0),"-")</f>
        <v>6056</v>
      </c>
      <c r="F5" s="95"/>
      <c r="G5" s="95">
        <f>IFERROR(_xlfn.MAXIFS(MASTER!$I:$I,MASTER!$B:$B,$Q$1),"-")</f>
        <v>12383</v>
      </c>
      <c r="H5" s="95"/>
      <c r="I5" s="95">
        <f>COUNTIFS(MASTER!$B:$B,$Q$1,MASTER!$I:$I,"&gt;=10000")</f>
        <v>9</v>
      </c>
      <c r="J5" s="95"/>
      <c r="K5" s="107">
        <f>IFERROR(ROUND(AVERAGEIFS(MASTER!$N:$N,MASTER!$B:$B,$Q$1),1),"-")</f>
        <v>56.7</v>
      </c>
      <c r="L5" s="107"/>
      <c r="M5" s="95">
        <f>IF($Q$1="FUCT","- ours -",IFERROR(ROUND(AVERAGEIFS(MASTER!$I:$I,MASTER!$B:$B,$Q$1)-AVERAGEIF(MASTER!$B:$B,"FUCT",MASTER!$I:$I),0),"-"))</f>
        <v>843</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321banned123back</v>
      </c>
      <c r="C9" s="15" t="str">
        <f>IF($P9="","",IFERROR(IF(INDEX(MASTER!$D$4:$D$1463,$P9)="","",INDEX(MASTER!$D$4:$D$1463,$P9)),""))</f>
        <v/>
      </c>
      <c r="D9" s="15" t="str">
        <f>IF($P9="","",IFERROR(IF(INDEX(MASTER!$E$4:$E$1463,$P9)="","",INDEX(MASTER!$E$4:$E$1463,$P9)),""))</f>
        <v>WARLOCK</v>
      </c>
      <c r="E9" s="15" t="str">
        <f>IF($P9="","",IFERROR(IF(INDEX(MASTER!$F$4:$F$1463,$P9)="","",INDEX(MASTER!$F$4:$F$1463,$P9)),""))</f>
        <v>Control</v>
      </c>
      <c r="F9" s="16">
        <f>IF($P9="","",IFERROR(IF(INDEX(MASTER!$G$4:$G$1463,$P9)="","",INDEX(MASTER!$G$4:$G$1463,$P9)),""))</f>
        <v>62214</v>
      </c>
      <c r="G9" s="15" t="str">
        <f>IF($P9="","",IFERROR(IF(INDEX(MASTER!$H$4:$H$1463,$P9)="","",INDEX(MASTER!$H$4:$H$1463,$P9)),""))</f>
        <v>62,000 - 62,999</v>
      </c>
      <c r="H9" s="16">
        <f>IF($P9="","",IFERROR(IF(INDEX(MASTER!$I$4:$I$1463,$P9)="","",INDEX(MASTER!$I$4:$I$1463,$P9)),""))</f>
        <v>4411</v>
      </c>
      <c r="I9" s="15" t="str">
        <f>IF($P9="","",IFERROR(IF(INDEX(MASTER!$J$4:$J$1463,$P9)="","",INDEX(MASTER!$J$4:$J$1463,$P9)),""))</f>
        <v>CORE</v>
      </c>
      <c r="J9" s="17">
        <f>IF($P9="","",IFERROR(IF(INDEX(MASTER!$L$4:$L$1463,$P9)="","",INDEX(MASTER!$L$4:$L$1463,$P9)),""))</f>
        <v>4.2</v>
      </c>
      <c r="K9" s="17">
        <f>IF($P9="","",IFERROR(IF(INDEX(MASTER!$N$4:$N$1463,$P9)="","",INDEX(MASTER!$N$4:$N$1463,$P9)),""))</f>
        <v>45.2</v>
      </c>
      <c r="L9" s="15" t="str">
        <f>IF($P9="","",IFERROR(IF(INDEX(MASTER!$O$4:$O$1463,$P9)="","",INDEX(MASTER!$O$4:$O$1463,$P9)),""))</f>
        <v>B</v>
      </c>
      <c r="M9" s="15">
        <f>IF($P9="","",IFERROR(IF(INDEX(MASTER!$Q$4:$Q$1463,$P9)="","",INDEX(MASTER!$Q$4:$Q$1463,$P9)),""))</f>
        <v>63</v>
      </c>
      <c r="N9" s="15" t="str">
        <f>IF($P9="","",IFERROR(IF(INDEX(MASTER!$S$4:$S$1463,$P9)="","",INDEX(MASTER!$S$4:$S$1463,$P9)),""))</f>
        <v>Complete</v>
      </c>
      <c r="P9">
        <f>IFERROR(MATCH($Q$1&amp;"@1",MASTER!$AC$4:$AC$1463,0),"")</f>
        <v>6</v>
      </c>
    </row>
    <row r="10" spans="1:17">
      <c r="A10" s="19">
        <f>IF($P10="","",2)</f>
        <v>2</v>
      </c>
      <c r="B10" s="18" t="str">
        <f>IF($P10="","",IFERROR(IF(INDEX(MASTER!$C$4:$C$1463,$P10)="","",INDEX(MASTER!$C$4:$C$1463,$P10)),""))</f>
        <v>Asbury702</v>
      </c>
      <c r="C10" s="19" t="str">
        <f>IF($P10="","",IFERROR(IF(INDEX(MASTER!$D$4:$D$1463,$P10)="","",INDEX(MASTER!$D$4:$D$1463,$P10)),""))</f>
        <v/>
      </c>
      <c r="D10" s="19" t="str">
        <f>IF($P10="","",IFERROR(IF(INDEX(MASTER!$E$4:$E$1463,$P10)="","",INDEX(MASTER!$E$4:$E$1463,$P10)),""))</f>
        <v>CRUSADER</v>
      </c>
      <c r="E10" s="19" t="str">
        <f>IF($P10="","",IFERROR(IF(INDEX(MASTER!$F$4:$F$1463,$P10)="","",INDEX(MASTER!$F$4:$F$1463,$P10)),""))</f>
        <v>Frontline</v>
      </c>
      <c r="F10" s="20">
        <f>IF($P10="","",IFERROR(IF(INDEX(MASTER!$G$4:$G$1463,$P10)="","",INDEX(MASTER!$G$4:$G$1463,$P10)),""))</f>
        <v>63481</v>
      </c>
      <c r="G10" s="19" t="str">
        <f>IF($P10="","",IFERROR(IF(INDEX(MASTER!$H$4:$H$1463,$P10)="","",INDEX(MASTER!$H$4:$H$1463,$P10)),""))</f>
        <v>63,000 - 63,999</v>
      </c>
      <c r="H10" s="20">
        <f>IF($P10="","",IFERROR(IF(INDEX(MASTER!$I$4:$I$1463,$P10)="","",INDEX(MASTER!$I$4:$I$1463,$P10)),""))</f>
        <v>5977</v>
      </c>
      <c r="I10" s="19" t="str">
        <f>IF($P10="","",IFERROR(IF(INDEX(MASTER!$J$4:$J$1463,$P10)="","",INDEX(MASTER!$J$4:$J$1463,$P10)),""))</f>
        <v>CORE</v>
      </c>
      <c r="J10" s="21">
        <f>IF($P10="","",IFERROR(IF(INDEX(MASTER!$L$4:$L$1463,$P10)="","",INDEX(MASTER!$L$4:$L$1463,$P10)),""))</f>
        <v>7.5</v>
      </c>
      <c r="K10" s="21">
        <f>IF($P10="","",IFERROR(IF(INDEX(MASTER!$N$4:$N$1463,$P10)="","",INDEX(MASTER!$N$4:$N$1463,$P10)),""))</f>
        <v>60.9</v>
      </c>
      <c r="L10" s="19" t="str">
        <f>IF($P10="","",IFERROR(IF(INDEX(MASTER!$O$4:$O$1463,$P10)="","",INDEX(MASTER!$O$4:$O$1463,$P10)),""))</f>
        <v>A</v>
      </c>
      <c r="M10" s="19">
        <f>IF($P10="","",IFERROR(IF(INDEX(MASTER!$Q$4:$Q$1463,$P10)="","",INDEX(MASTER!$Q$4:$Q$1463,$P10)),""))</f>
        <v>46</v>
      </c>
      <c r="N10" s="19" t="str">
        <f>IF($P10="","",IFERROR(IF(INDEX(MASTER!$S$4:$S$1463,$P10)="","",INDEX(MASTER!$S$4:$S$1463,$P10)),""))</f>
        <v>Complete</v>
      </c>
      <c r="P10">
        <f>IFERROR(MATCH($Q$1&amp;"@2",MASTER!$AC$4:$AC$1463,0),"")</f>
        <v>63</v>
      </c>
    </row>
    <row r="11" spans="1:17">
      <c r="A11" s="15">
        <f>IF($P11="","",3)</f>
        <v>3</v>
      </c>
      <c r="B11" s="14" t="str">
        <f>IF($P11="","",IFERROR(IF(INDEX(MASTER!$C$4:$C$1463,$P11)="","",INDEX(MASTER!$C$4:$C$1463,$P11)),""))</f>
        <v>ashlol</v>
      </c>
      <c r="C11" s="15" t="str">
        <f>IF($P11="","",IFERROR(IF(INDEX(MASTER!$D$4:$D$1463,$P11)="","",INDEX(MASTER!$D$4:$D$1463,$P11)),""))</f>
        <v/>
      </c>
      <c r="D11" s="15" t="str">
        <f>IF($P11="","",IFERROR(IF(INDEX(MASTER!$E$4:$E$1463,$P11)="","",INDEX(MASTER!$E$4:$E$1463,$P11)),""))</f>
        <v>CRUSADER</v>
      </c>
      <c r="E11" s="15" t="str">
        <f>IF($P11="","",IFERROR(IF(INDEX(MASTER!$F$4:$F$1463,$P11)="","",INDEX(MASTER!$F$4:$F$1463,$P11)),""))</f>
        <v>Frontline</v>
      </c>
      <c r="F11" s="16">
        <f>IF($P11="","",IFERROR(IF(INDEX(MASTER!$G$4:$G$1463,$P11)="","",INDEX(MASTER!$G$4:$G$1463,$P11)),""))</f>
        <v>63880</v>
      </c>
      <c r="G11" s="15" t="str">
        <f>IF($P11="","",IFERROR(IF(INDEX(MASTER!$H$4:$H$1463,$P11)="","",INDEX(MASTER!$H$4:$H$1463,$P11)),""))</f>
        <v>63,000 - 63,999</v>
      </c>
      <c r="H11" s="16">
        <f>IF($P11="","",IFERROR(IF(INDEX(MASTER!$I$4:$I$1463,$P11)="","",INDEX(MASTER!$I$4:$I$1463,$P11)),""))</f>
        <v>8144</v>
      </c>
      <c r="I11" s="15" t="str">
        <f>IF($P11="","",IFERROR(IF(INDEX(MASTER!$J$4:$J$1463,$P11)="","",INDEX(MASTER!$J$4:$J$1463,$P11)),""))</f>
        <v>ELITE</v>
      </c>
      <c r="J11" s="17">
        <f>IF($P11="","",IFERROR(IF(INDEX(MASTER!$L$4:$L$1463,$P11)="","",INDEX(MASTER!$L$4:$L$1463,$P11)),""))</f>
        <v>6</v>
      </c>
      <c r="K11" s="17">
        <f>IF($P11="","",IFERROR(IF(INDEX(MASTER!$N$4:$N$1463,$P11)="","",INDEX(MASTER!$N$4:$N$1463,$P11)),""))</f>
        <v>68.900000000000006</v>
      </c>
      <c r="L11" s="15" t="str">
        <f>IF($P11="","",IFERROR(IF(INDEX(MASTER!$O$4:$O$1463,$P11)="","",INDEX(MASTER!$O$4:$O$1463,$P11)),""))</f>
        <v>S</v>
      </c>
      <c r="M11" s="15">
        <f>IF($P11="","",IFERROR(IF(INDEX(MASTER!$Q$4:$Q$1463,$P11)="","",INDEX(MASTER!$Q$4:$Q$1463,$P11)),""))</f>
        <v>22</v>
      </c>
      <c r="N11" s="15" t="str">
        <f>IF($P11="","",IFERROR(IF(INDEX(MASTER!$S$4:$S$1463,$P11)="","",INDEX(MASTER!$S$4:$S$1463,$P11)),""))</f>
        <v>Complete</v>
      </c>
      <c r="P11">
        <f>IFERROR(MATCH($Q$1&amp;"@3",MASTER!$AC$4:$AC$1463,0),"")</f>
        <v>66</v>
      </c>
    </row>
    <row r="12" spans="1:17">
      <c r="A12" s="19">
        <f>IF($P12="","",4)</f>
        <v>4</v>
      </c>
      <c r="B12" s="18" t="str">
        <f>IF($P12="","",IFERROR(IF(INDEX(MASTER!$C$4:$C$1463,$P12)="","",INDEX(MASTER!$C$4:$C$1463,$P12)),""))</f>
        <v>BabyDave</v>
      </c>
      <c r="C12" s="19" t="str">
        <f>IF($P12="","",IFERROR(IF(INDEX(MASTER!$D$4:$D$1463,$P12)="","",INDEX(MASTER!$D$4:$D$1463,$P12)),""))</f>
        <v/>
      </c>
      <c r="D12" s="19" t="str">
        <f>IF($P12="","",IFERROR(IF(INDEX(MASTER!$E$4:$E$1463,$P12)="","",INDEX(MASTER!$E$4:$E$1463,$P12)),""))</f>
        <v>WARLOCK</v>
      </c>
      <c r="E12" s="19" t="str">
        <f>IF($P12="","",IFERROR(IF(INDEX(MASTER!$F$4:$F$1463,$P12)="","",INDEX(MASTER!$F$4:$F$1463,$P12)),""))</f>
        <v>Control</v>
      </c>
      <c r="F12" s="20">
        <f>IF($P12="","",IFERROR(IF(INDEX(MASTER!$G$4:$G$1463,$P12)="","",INDEX(MASTER!$G$4:$G$1463,$P12)),""))</f>
        <v>62030</v>
      </c>
      <c r="G12" s="19" t="str">
        <f>IF($P12="","",IFERROR(IF(INDEX(MASTER!$H$4:$H$1463,$P12)="","",INDEX(MASTER!$H$4:$H$1463,$P12)),""))</f>
        <v>62,000 - 62,999</v>
      </c>
      <c r="H12" s="20">
        <f>IF($P12="","",IFERROR(IF(INDEX(MASTER!$I$4:$I$1463,$P12)="","",INDEX(MASTER!$I$4:$I$1463,$P12)),""))</f>
        <v>4024</v>
      </c>
      <c r="I12" s="19" t="str">
        <f>IF($P12="","",IFERROR(IF(INDEX(MASTER!$J$4:$J$1463,$P12)="","",INDEX(MASTER!$J$4:$J$1463,$P12)),""))</f>
        <v>CORE</v>
      </c>
      <c r="J12" s="21">
        <f>IF($P12="","",IFERROR(IF(INDEX(MASTER!$L$4:$L$1463,$P12)="","",INDEX(MASTER!$L$4:$L$1463,$P12)),""))</f>
        <v>6</v>
      </c>
      <c r="K12" s="21">
        <f>IF($P12="","",IFERROR(IF(INDEX(MASTER!$N$4:$N$1463,$P12)="","",INDEX(MASTER!$N$4:$N$1463,$P12)),""))</f>
        <v>46.1</v>
      </c>
      <c r="L12" s="19" t="str">
        <f>IF($P12="","",IFERROR(IF(INDEX(MASTER!$O$4:$O$1463,$P12)="","",INDEX(MASTER!$O$4:$O$1463,$P12)),""))</f>
        <v>B</v>
      </c>
      <c r="M12" s="19">
        <f>IF($P12="","",IFERROR(IF(INDEX(MASTER!$Q$4:$Q$1463,$P12)="","",INDEX(MASTER!$Q$4:$Q$1463,$P12)),""))</f>
        <v>72</v>
      </c>
      <c r="N12" s="19" t="str">
        <f>IF($P12="","",IFERROR(IF(INDEX(MASTER!$S$4:$S$1463,$P12)="","",INDEX(MASTER!$S$4:$S$1463,$P12)),""))</f>
        <v>Complete</v>
      </c>
      <c r="P12">
        <f>IFERROR(MATCH($Q$1&amp;"@4",MASTER!$AC$4:$AC$1463,0),"")</f>
        <v>95</v>
      </c>
    </row>
    <row r="13" spans="1:17">
      <c r="A13" s="15">
        <f>IF($P13="","",5)</f>
        <v>5</v>
      </c>
      <c r="B13" s="14" t="str">
        <f>IF($P13="","",IFERROR(IF(INDEX(MASTER!$C$4:$C$1463,$P13)="","",INDEX(MASTER!$C$4:$C$1463,$P13)),""))</f>
        <v>Badgerland</v>
      </c>
      <c r="C13" s="15" t="str">
        <f>IF($P13="","",IFERROR(IF(INDEX(MASTER!$D$4:$D$1463,$P13)="","",INDEX(MASTER!$D$4:$D$1463,$P13)),""))</f>
        <v/>
      </c>
      <c r="D13" s="15" t="str">
        <f>IF($P13="","",IFERROR(IF(INDEX(MASTER!$E$4:$E$1463,$P13)="","",INDEX(MASTER!$E$4:$E$1463,$P13)),""))</f>
        <v>CRUSADER</v>
      </c>
      <c r="E13" s="15" t="str">
        <f>IF($P13="","",IFERROR(IF(INDEX(MASTER!$F$4:$F$1463,$P13)="","",INDEX(MASTER!$F$4:$F$1463,$P13)),""))</f>
        <v>Frontline</v>
      </c>
      <c r="F13" s="16">
        <f>IF($P13="","",IFERROR(IF(INDEX(MASTER!$G$4:$G$1463,$P13)="","",INDEX(MASTER!$G$4:$G$1463,$P13)),""))</f>
        <v>63961</v>
      </c>
      <c r="G13" s="15" t="str">
        <f>IF($P13="","",IFERROR(IF(INDEX(MASTER!$H$4:$H$1463,$P13)="","",INDEX(MASTER!$H$4:$H$1463,$P13)),""))</f>
        <v>63,000 - 63,999</v>
      </c>
      <c r="H13" s="16">
        <f>IF($P13="","",IFERROR(IF(INDEX(MASTER!$I$4:$I$1463,$P13)="","",INDEX(MASTER!$I$4:$I$1463,$P13)),""))</f>
        <v>6875</v>
      </c>
      <c r="I13" s="15" t="str">
        <f>IF($P13="","",IFERROR(IF(INDEX(MASTER!$J$4:$J$1463,$P13)="","",INDEX(MASTER!$J$4:$J$1463,$P13)),""))</f>
        <v>VETERAN</v>
      </c>
      <c r="J13" s="17">
        <f>IF($P13="","",IFERROR(IF(INDEX(MASTER!$L$4:$L$1463,$P13)="","",INDEX(MASTER!$L$4:$L$1463,$P13)),""))</f>
        <v>5.2</v>
      </c>
      <c r="K13" s="17">
        <f>IF($P13="","",IFERROR(IF(INDEX(MASTER!$N$4:$N$1463,$P13)="","",INDEX(MASTER!$N$4:$N$1463,$P13)),""))</f>
        <v>62.3</v>
      </c>
      <c r="L13" s="15" t="str">
        <f>IF($P13="","",IFERROR(IF(INDEX(MASTER!$O$4:$O$1463,$P13)="","",INDEX(MASTER!$O$4:$O$1463,$P13)),""))</f>
        <v>A</v>
      </c>
      <c r="M13" s="15">
        <f>IF($P13="","",IFERROR(IF(INDEX(MASTER!$Q$4:$Q$1463,$P13)="","",INDEX(MASTER!$Q$4:$Q$1463,$P13)),""))</f>
        <v>38</v>
      </c>
      <c r="N13" s="15" t="str">
        <f>IF($P13="","",IFERROR(IF(INDEX(MASTER!$S$4:$S$1463,$P13)="","",INDEX(MASTER!$S$4:$S$1463,$P13)),""))</f>
        <v>Complete</v>
      </c>
      <c r="P13">
        <f>IFERROR(MATCH($Q$1&amp;"@5",MASTER!$AC$4:$AC$1463,0),"")</f>
        <v>102</v>
      </c>
    </row>
    <row r="14" spans="1:17">
      <c r="A14" s="19">
        <f>IF($P14="","",6)</f>
        <v>6</v>
      </c>
      <c r="B14" s="18" t="str">
        <f>IF($P14="","",IFERROR(IF(INDEX(MASTER!$C$4:$C$1463,$P14)="","",INDEX(MASTER!$C$4:$C$1463,$P14)),""))</f>
        <v>BoatsNHoax</v>
      </c>
      <c r="C14" s="19" t="str">
        <f>IF($P14="","",IFERROR(IF(INDEX(MASTER!$D$4:$D$1463,$P14)="","",INDEX(MASTER!$D$4:$D$1463,$P14)),""))</f>
        <v/>
      </c>
      <c r="D14" s="19" t="str">
        <f>IF($P14="","",IFERROR(IF(INDEX(MASTER!$E$4:$E$1463,$P14)="","",INDEX(MASTER!$E$4:$E$1463,$P14)),""))</f>
        <v>DEMON HUNTER</v>
      </c>
      <c r="E14" s="19" t="str">
        <f>IF($P14="","",IFERROR(IF(INDEX(MASTER!$F$4:$F$1463,$P14)="","",INDEX(MASTER!$F$4:$F$1463,$P14)),""))</f>
        <v>Ranged DPS</v>
      </c>
      <c r="F14" s="20">
        <f>IF($P14="","",IFERROR(IF(INDEX(MASTER!$G$4:$G$1463,$P14)="","",INDEX(MASTER!$G$4:$G$1463,$P14)),""))</f>
        <v>63783</v>
      </c>
      <c r="G14" s="19" t="str">
        <f>IF($P14="","",IFERROR(IF(INDEX(MASTER!$H$4:$H$1463,$P14)="","",INDEX(MASTER!$H$4:$H$1463,$P14)),""))</f>
        <v>63,000 - 63,999</v>
      </c>
      <c r="H14" s="20">
        <f>IF($P14="","",IFERROR(IF(INDEX(MASTER!$I$4:$I$1463,$P14)="","",INDEX(MASTER!$I$4:$I$1463,$P14)),""))</f>
        <v>8618</v>
      </c>
      <c r="I14" s="19" t="str">
        <f>IF($P14="","",IFERROR(IF(INDEX(MASTER!$J$4:$J$1463,$P14)="","",INDEX(MASTER!$J$4:$J$1463,$P14)),""))</f>
        <v>ELITE</v>
      </c>
      <c r="J14" s="21">
        <f>IF($P14="","",IFERROR(IF(INDEX(MASTER!$L$4:$L$1463,$P14)="","",INDEX(MASTER!$L$4:$L$1463,$P14)),""))</f>
        <v>7.75</v>
      </c>
      <c r="K14" s="21">
        <f>IF($P14="","",IFERROR(IF(INDEX(MASTER!$N$4:$N$1463,$P14)="","",INDEX(MASTER!$N$4:$N$1463,$P14)),""))</f>
        <v>73.599999999999994</v>
      </c>
      <c r="L14" s="19" t="str">
        <f>IF($P14="","",IFERROR(IF(INDEX(MASTER!$O$4:$O$1463,$P14)="","",INDEX(MASTER!$O$4:$O$1463,$P14)),""))</f>
        <v>S</v>
      </c>
      <c r="M14" s="19">
        <f>IF($P14="","",IFERROR(IF(INDEX(MASTER!$Q$4:$Q$1463,$P14)="","",INDEX(MASTER!$Q$4:$Q$1463,$P14)),""))</f>
        <v>18</v>
      </c>
      <c r="N14" s="19" t="str">
        <f>IF($P14="","",IFERROR(IF(INDEX(MASTER!$S$4:$S$1463,$P14)="","",INDEX(MASTER!$S$4:$S$1463,$P14)),""))</f>
        <v>Complete</v>
      </c>
      <c r="P14">
        <f>IFERROR(MATCH($Q$1&amp;"@6",MASTER!$AC$4:$AC$1463,0),"")</f>
        <v>158</v>
      </c>
    </row>
    <row r="15" spans="1:17">
      <c r="A15" s="15">
        <f>IF($P15="","",7)</f>
        <v>7</v>
      </c>
      <c r="B15" s="14" t="str">
        <f>IF($P15="","",IFERROR(IF(INDEX(MASTER!$C$4:$C$1463,$P15)="","",INDEX(MASTER!$C$4:$C$1463,$P15)),""))</f>
        <v>BoneCrusher</v>
      </c>
      <c r="C15" s="15" t="str">
        <f>IF($P15="","",IFERROR(IF(INDEX(MASTER!$D$4:$D$1463,$P15)="","",INDEX(MASTER!$D$4:$D$1463,$P15)),""))</f>
        <v/>
      </c>
      <c r="D15" s="15" t="str">
        <f>IF($P15="","",IFERROR(IF(INDEX(MASTER!$E$4:$E$1463,$P15)="","",INDEX(MASTER!$E$4:$E$1463,$P15)),""))</f>
        <v>CRUSADER</v>
      </c>
      <c r="E15" s="15" t="str">
        <f>IF($P15="","",IFERROR(IF(INDEX(MASTER!$F$4:$F$1463,$P15)="","",INDEX(MASTER!$F$4:$F$1463,$P15)),""))</f>
        <v>Frontline</v>
      </c>
      <c r="F15" s="16">
        <f>IF($P15="","",IFERROR(IF(INDEX(MASTER!$G$4:$G$1463,$P15)="","",INDEX(MASTER!$G$4:$G$1463,$P15)),""))</f>
        <v>64284</v>
      </c>
      <c r="G15" s="15" t="str">
        <f>IF($P15="","",IFERROR(IF(INDEX(MASTER!$H$4:$H$1463,$P15)="","",INDEX(MASTER!$H$4:$H$1463,$P15)),""))</f>
        <v>64,000 +</v>
      </c>
      <c r="H15" s="16">
        <f>IF($P15="","",IFERROR(IF(INDEX(MASTER!$I$4:$I$1463,$P15)="","",INDEX(MASTER!$I$4:$I$1463,$P15)),""))</f>
        <v>11256</v>
      </c>
      <c r="I15" s="15" t="str">
        <f>IF($P15="","",IFERROR(IF(INDEX(MASTER!$J$4:$J$1463,$P15)="","",INDEX(MASTER!$J$4:$J$1463,$P15)),""))</f>
        <v>APEX</v>
      </c>
      <c r="J15" s="17">
        <f>IF($P15="","",IFERROR(IF(INDEX(MASTER!$L$4:$L$1463,$P15)="","",INDEX(MASTER!$L$4:$L$1463,$P15)),""))</f>
        <v>11.1</v>
      </c>
      <c r="K15" s="17">
        <f>IF($P15="","",IFERROR(IF(INDEX(MASTER!$N$4:$N$1463,$P15)="","",INDEX(MASTER!$N$4:$N$1463,$P15)),""))</f>
        <v>92.1</v>
      </c>
      <c r="L15" s="15" t="str">
        <f>IF($P15="","",IFERROR(IF(INDEX(MASTER!$O$4:$O$1463,$P15)="","",INDEX(MASTER!$O$4:$O$1463,$P15)),""))</f>
        <v>S+</v>
      </c>
      <c r="M15" s="15">
        <f>IF($P15="","",IFERROR(IF(INDEX(MASTER!$Q$4:$Q$1463,$P15)="","",INDEX(MASTER!$Q$4:$Q$1463,$P15)),""))</f>
        <v>3</v>
      </c>
      <c r="N15" s="15" t="str">
        <f>IF($P15="","",IFERROR(IF(INDEX(MASTER!$S$4:$S$1463,$P15)="","",INDEX(MASTER!$S$4:$S$1463,$P15)),""))</f>
        <v>Complete</v>
      </c>
      <c r="P15">
        <f>IFERROR(MATCH($Q$1&amp;"@7",MASTER!$AC$4:$AC$1463,0),"")</f>
        <v>161</v>
      </c>
    </row>
    <row r="16" spans="1:17">
      <c r="A16" s="19">
        <f>IF($P16="","",8)</f>
        <v>8</v>
      </c>
      <c r="B16" s="18" t="str">
        <f>IF($P16="","",IFERROR(IF(INDEX(MASTER!$C$4:$C$1463,$P16)="","",INDEX(MASTER!$C$4:$C$1463,$P16)),""))</f>
        <v>ÇielClaire</v>
      </c>
      <c r="C16" s="19" t="str">
        <f>IF($P16="","",IFERROR(IF(INDEX(MASTER!$D$4:$D$1463,$P16)="","",INDEX(MASTER!$D$4:$D$1463,$P16)),""))</f>
        <v/>
      </c>
      <c r="D16" s="19" t="str">
        <f>IF($P16="","",IFERROR(IF(INDEX(MASTER!$E$4:$E$1463,$P16)="","",INDEX(MASTER!$E$4:$E$1463,$P16)),""))</f>
        <v>WARLOCK</v>
      </c>
      <c r="E16" s="19" t="str">
        <f>IF($P16="","",IFERROR(IF(INDEX(MASTER!$F$4:$F$1463,$P16)="","",INDEX(MASTER!$F$4:$F$1463,$P16)),""))</f>
        <v>Control</v>
      </c>
      <c r="F16" s="20">
        <f>IF($P16="","",IFERROR(IF(INDEX(MASTER!$G$4:$G$1463,$P16)="","",INDEX(MASTER!$G$4:$G$1463,$P16)),""))</f>
        <v>63107</v>
      </c>
      <c r="G16" s="19" t="str">
        <f>IF($P16="","",IFERROR(IF(INDEX(MASTER!$H$4:$H$1463,$P16)="","",INDEX(MASTER!$H$4:$H$1463,$P16)),""))</f>
        <v>63,000 - 63,999</v>
      </c>
      <c r="H16" s="20">
        <f>IF($P16="","",IFERROR(IF(INDEX(MASTER!$I$4:$I$1463,$P16)="","",INDEX(MASTER!$I$4:$I$1463,$P16)),""))</f>
        <v>6402</v>
      </c>
      <c r="I16" s="19" t="str">
        <f>IF($P16="","",IFERROR(IF(INDEX(MASTER!$J$4:$J$1463,$P16)="","",INDEX(MASTER!$J$4:$J$1463,$P16)),""))</f>
        <v>VETERAN</v>
      </c>
      <c r="J16" s="21">
        <f>IF($P16="","",IFERROR(IF(INDEX(MASTER!$L$4:$L$1463,$P16)="","",INDEX(MASTER!$L$4:$L$1463,$P16)),""))</f>
        <v>5</v>
      </c>
      <c r="K16" s="21">
        <f>IF($P16="","",IFERROR(IF(INDEX(MASTER!$N$4:$N$1463,$P16)="","",INDEX(MASTER!$N$4:$N$1463,$P16)),""))</f>
        <v>57.6</v>
      </c>
      <c r="L16" s="19" t="str">
        <f>IF($P16="","",IFERROR(IF(INDEX(MASTER!$O$4:$O$1463,$P16)="","",INDEX(MASTER!$O$4:$O$1463,$P16)),""))</f>
        <v>A</v>
      </c>
      <c r="M16" s="19">
        <f>IF($P16="","",IFERROR(IF(INDEX(MASTER!$Q$4:$Q$1463,$P16)="","",INDEX(MASTER!$Q$4:$Q$1463,$P16)),""))</f>
        <v>41</v>
      </c>
      <c r="N16" s="19" t="str">
        <f>IF($P16="","",IFERROR(IF(INDEX(MASTER!$S$4:$S$1463,$P16)="","",INDEX(MASTER!$S$4:$S$1463,$P16)),""))</f>
        <v>Complete</v>
      </c>
      <c r="P16">
        <f>IFERROR(MATCH($Q$1&amp;"@8",MASTER!$AC$4:$AC$1463,0),"")</f>
        <v>1337</v>
      </c>
    </row>
    <row r="17" spans="1:16">
      <c r="A17" s="15">
        <f>IF($P17="","",9)</f>
        <v>9</v>
      </c>
      <c r="B17" s="14" t="str">
        <f>IF($P17="","",IFERROR(IF(INDEX(MASTER!$C$4:$C$1463,$P17)="","",INDEX(MASTER!$C$4:$C$1463,$P17)),""))</f>
        <v>Computron</v>
      </c>
      <c r="C17" s="15" t="str">
        <f>IF($P17="","",IFERROR(IF(INDEX(MASTER!$D$4:$D$1463,$P17)="","",INDEX(MASTER!$D$4:$D$1463,$P17)),""))</f>
        <v/>
      </c>
      <c r="D17" s="15" t="str">
        <f>IF($P17="","",IFERROR(IF(INDEX(MASTER!$E$4:$E$1463,$P17)="","",INDEX(MASTER!$E$4:$E$1463,$P17)),""))</f>
        <v>TEMPEST</v>
      </c>
      <c r="E17" s="15" t="str">
        <f>IF($P17="","",IFERROR(IF(INDEX(MASTER!$F$4:$F$1463,$P17)="","",INDEX(MASTER!$F$4:$F$1463,$P17)),""))</f>
        <v>Melee DPS</v>
      </c>
      <c r="F17" s="16">
        <f>IF($P17="","",IFERROR(IF(INDEX(MASTER!$G$4:$G$1463,$P17)="","",INDEX(MASTER!$G$4:$G$1463,$P17)),""))</f>
        <v>60512</v>
      </c>
      <c r="G17" s="15" t="str">
        <f>IF($P17="","",IFERROR(IF(INDEX(MASTER!$H$4:$H$1463,$P17)="","",INDEX(MASTER!$H$4:$H$1463,$P17)),""))</f>
        <v>60,000 - 60,999</v>
      </c>
      <c r="H17" s="16">
        <f>IF($P17="","",IFERROR(IF(INDEX(MASTER!$I$4:$I$1463,$P17)="","",INDEX(MASTER!$I$4:$I$1463,$P17)),""))</f>
        <v>3784</v>
      </c>
      <c r="I17" s="15" t="str">
        <f>IF($P17="","",IFERROR(IF(INDEX(MASTER!$J$4:$J$1463,$P17)="","",INDEX(MASTER!$J$4:$J$1463,$P17)),""))</f>
        <v>DEVELOPING</v>
      </c>
      <c r="J17" s="17">
        <f>IF($P17="","",IFERROR(IF(INDEX(MASTER!$L$4:$L$1463,$P17)="","",INDEX(MASTER!$L$4:$L$1463,$P17)),""))</f>
        <v>4.3499999999999996</v>
      </c>
      <c r="K17" s="17">
        <f>IF($P17="","",IFERROR(IF(INDEX(MASTER!$N$4:$N$1463,$P17)="","",INDEX(MASTER!$N$4:$N$1463,$P17)),""))</f>
        <v>38.299999999999997</v>
      </c>
      <c r="L17" s="15" t="str">
        <f>IF($P17="","",IFERROR(IF(INDEX(MASTER!$O$4:$O$1463,$P17)="","",INDEX(MASTER!$O$4:$O$1463,$P17)),""))</f>
        <v>B</v>
      </c>
      <c r="M17" s="15">
        <f>IF($P17="","",IFERROR(IF(INDEX(MASTER!$Q$4:$Q$1463,$P17)="","",INDEX(MASTER!$Q$4:$Q$1463,$P17)),""))</f>
        <v>79</v>
      </c>
      <c r="N17" s="15" t="str">
        <f>IF($P17="","",IFERROR(IF(INDEX(MASTER!$S$4:$S$1463,$P17)="","",INDEX(MASTER!$S$4:$S$1463,$P17)),""))</f>
        <v>Complete</v>
      </c>
      <c r="P17">
        <f>IFERROR(MATCH($Q$1&amp;"@9",MASTER!$AC$4:$AC$1463,0),"")</f>
        <v>224</v>
      </c>
    </row>
    <row r="18" spans="1:16">
      <c r="A18" s="19">
        <f>IF($P18="","",10)</f>
        <v>10</v>
      </c>
      <c r="B18" s="18" t="str">
        <f>IF($P18="","",IFERROR(IF(INDEX(MASTER!$C$4:$C$1463,$P18)="","",INDEX(MASTER!$C$4:$C$1463,$P18)),""))</f>
        <v>Crit I CAE</v>
      </c>
      <c r="C18" s="19" t="str">
        <f>IF($P18="","",IFERROR(IF(INDEX(MASTER!$D$4:$D$1463,$P18)="","",INDEX(MASTER!$D$4:$D$1463,$P18)),""))</f>
        <v/>
      </c>
      <c r="D18" s="19" t="str">
        <f>IF($P18="","",IFERROR(IF(INDEX(MASTER!$E$4:$E$1463,$P18)="","",INDEX(MASTER!$E$4:$E$1463,$P18)),""))</f>
        <v>MONK</v>
      </c>
      <c r="E18" s="19" t="str">
        <f>IF($P18="","",IFERROR(IF(INDEX(MASTER!$F$4:$F$1463,$P18)="","",INDEX(MASTER!$F$4:$F$1463,$P18)),""))</f>
        <v>Support</v>
      </c>
      <c r="F18" s="20">
        <f>IF($P18="","",IFERROR(IF(INDEX(MASTER!$G$4:$G$1463,$P18)="","",INDEX(MASTER!$G$4:$G$1463,$P18)),""))</f>
        <v>63988</v>
      </c>
      <c r="G18" s="19" t="str">
        <f>IF($P18="","",IFERROR(IF(INDEX(MASTER!$H$4:$H$1463,$P18)="","",INDEX(MASTER!$H$4:$H$1463,$P18)),""))</f>
        <v>63,000 - 63,999</v>
      </c>
      <c r="H18" s="20">
        <f>IF($P18="","",IFERROR(IF(INDEX(MASTER!$I$4:$I$1463,$P18)="","",INDEX(MASTER!$I$4:$I$1463,$P18)),""))</f>
        <v>10170</v>
      </c>
      <c r="I18" s="19" t="str">
        <f>IF($P18="","",IFERROR(IF(INDEX(MASTER!$J$4:$J$1463,$P18)="","",INDEX(MASTER!$J$4:$J$1463,$P18)),""))</f>
        <v>APEX</v>
      </c>
      <c r="J18" s="21">
        <f>IF($P18="","",IFERROR(IF(INDEX(MASTER!$L$4:$L$1463,$P18)="","",INDEX(MASTER!$L$4:$L$1463,$P18)),""))</f>
        <v>7.35</v>
      </c>
      <c r="K18" s="21">
        <f>IF($P18="","",IFERROR(IF(INDEX(MASTER!$N$4:$N$1463,$P18)="","",INDEX(MASTER!$N$4:$N$1463,$P18)),""))</f>
        <v>80.3</v>
      </c>
      <c r="L18" s="19" t="str">
        <f>IF($P18="","",IFERROR(IF(INDEX(MASTER!$O$4:$O$1463,$P18)="","",INDEX(MASTER!$O$4:$O$1463,$P18)),""))</f>
        <v>S+</v>
      </c>
      <c r="M18" s="19">
        <f>IF($P18="","",IFERROR(IF(INDEX(MASTER!$Q$4:$Q$1463,$P18)="","",INDEX(MASTER!$Q$4:$Q$1463,$P18)),""))</f>
        <v>8</v>
      </c>
      <c r="N18" s="19" t="str">
        <f>IF($P18="","",IFERROR(IF(INDEX(MASTER!$S$4:$S$1463,$P18)="","",INDEX(MASTER!$S$4:$S$1463,$P18)),""))</f>
        <v>Complete</v>
      </c>
      <c r="P18">
        <f>IFERROR(MATCH($Q$1&amp;"@10",MASTER!$AC$4:$AC$1463,0),"")</f>
        <v>234</v>
      </c>
    </row>
    <row r="19" spans="1:16">
      <c r="A19" s="15">
        <f>IF($P19="","",11)</f>
        <v>11</v>
      </c>
      <c r="B19" s="14" t="str">
        <f>IF($P19="","",IFERROR(IF(INDEX(MASTER!$C$4:$C$1463,$P19)="","",INDEX(MASTER!$C$4:$C$1463,$P19)),""))</f>
        <v>ÇynnabunX</v>
      </c>
      <c r="C19" s="15" t="str">
        <f>IF($P19="","",IFERROR(IF(INDEX(MASTER!$D$4:$D$1463,$P19)="","",INDEX(MASTER!$D$4:$D$1463,$P19)),""))</f>
        <v/>
      </c>
      <c r="D19" s="15" t="str">
        <f>IF($P19="","",IFERROR(IF(INDEX(MASTER!$E$4:$E$1463,$P19)="","",INDEX(MASTER!$E$4:$E$1463,$P19)),""))</f>
        <v>BARBARIAN</v>
      </c>
      <c r="E19" s="15" t="str">
        <f>IF($P19="","",IFERROR(IF(INDEX(MASTER!$F$4:$F$1463,$P19)="","",INDEX(MASTER!$F$4:$F$1463,$P19)),""))</f>
        <v>Frontline</v>
      </c>
      <c r="F19" s="16">
        <f>IF($P19="","",IFERROR(IF(INDEX(MASTER!$G$4:$G$1463,$P19)="","",INDEX(MASTER!$G$4:$G$1463,$P19)),""))</f>
        <v>61536</v>
      </c>
      <c r="G19" s="15" t="str">
        <f>IF($P19="","",IFERROR(IF(INDEX(MASTER!$H$4:$H$1463,$P19)="","",INDEX(MASTER!$H$4:$H$1463,$P19)),""))</f>
        <v>61,000 - 61,999</v>
      </c>
      <c r="H19" s="16">
        <f>IF($P19="","",IFERROR(IF(INDEX(MASTER!$I$4:$I$1463,$P19)="","",INDEX(MASTER!$I$4:$I$1463,$P19)),""))</f>
        <v>7130</v>
      </c>
      <c r="I19" s="15" t="str">
        <f>IF($P19="","",IFERROR(IF(INDEX(MASTER!$J$4:$J$1463,$P19)="","",INDEX(MASTER!$J$4:$J$1463,$P19)),""))</f>
        <v>VETERAN</v>
      </c>
      <c r="J19" s="17">
        <f>IF($P19="","",IFERROR(IF(INDEX(MASTER!$L$4:$L$1463,$P19)="","",INDEX(MASTER!$L$4:$L$1463,$P19)),""))</f>
        <v>5.05</v>
      </c>
      <c r="K19" s="17">
        <f>IF($P19="","",IFERROR(IF(INDEX(MASTER!$N$4:$N$1463,$P19)="","",INDEX(MASTER!$N$4:$N$1463,$P19)),""))</f>
        <v>56.7</v>
      </c>
      <c r="L19" s="15" t="str">
        <f>IF($P19="","",IFERROR(IF(INDEX(MASTER!$O$4:$O$1463,$P19)="","",INDEX(MASTER!$O$4:$O$1463,$P19)),""))</f>
        <v>A</v>
      </c>
      <c r="M19" s="15">
        <f>IF($P19="","",IFERROR(IF(INDEX(MASTER!$Q$4:$Q$1463,$P19)="","",INDEX(MASTER!$Q$4:$Q$1463,$P19)),""))</f>
        <v>32</v>
      </c>
      <c r="N19" s="15" t="str">
        <f>IF($P19="","",IFERROR(IF(INDEX(MASTER!$S$4:$S$1463,$P19)="","",INDEX(MASTER!$S$4:$S$1463,$P19)),""))</f>
        <v>Complete</v>
      </c>
      <c r="P19">
        <f>IFERROR(MATCH($Q$1&amp;"@11",MASTER!$AC$4:$AC$1463,0),"")</f>
        <v>1338</v>
      </c>
    </row>
    <row r="20" spans="1:16">
      <c r="A20" s="19">
        <f>IF($P20="","",12)</f>
        <v>12</v>
      </c>
      <c r="B20" s="18" t="str">
        <f>IF($P20="","",IFERROR(IF(INDEX(MASTER!$C$4:$C$1463,$P20)="","",INDEX(MASTER!$C$4:$C$1463,$P20)),""))</f>
        <v>Daisy</v>
      </c>
      <c r="C20" s="19" t="str">
        <f>IF($P20="","",IFERROR(IF(INDEX(MASTER!$D$4:$D$1463,$P20)="","",INDEX(MASTER!$D$4:$D$1463,$P20)),""))</f>
        <v/>
      </c>
      <c r="D20" s="19" t="str">
        <f>IF($P20="","",IFERROR(IF(INDEX(MASTER!$E$4:$E$1463,$P20)="","",INDEX(MASTER!$E$4:$E$1463,$P20)),""))</f>
        <v>DEMON HUNTER</v>
      </c>
      <c r="E20" s="19" t="str">
        <f>IF($P20="","",IFERROR(IF(INDEX(MASTER!$F$4:$F$1463,$P20)="","",INDEX(MASTER!$F$4:$F$1463,$P20)),""))</f>
        <v>Ranged DPS</v>
      </c>
      <c r="F20" s="20">
        <f>IF($P20="","",IFERROR(IF(INDEX(MASTER!$G$4:$G$1463,$P20)="","",INDEX(MASTER!$G$4:$G$1463,$P20)),""))</f>
        <v>63698</v>
      </c>
      <c r="G20" s="19" t="str">
        <f>IF($P20="","",IFERROR(IF(INDEX(MASTER!$H$4:$H$1463,$P20)="","",INDEX(MASTER!$H$4:$H$1463,$P20)),""))</f>
        <v>63,000 - 63,999</v>
      </c>
      <c r="H20" s="20">
        <f>IF($P20="","",IFERROR(IF(INDEX(MASTER!$I$4:$I$1463,$P20)="","",INDEX(MASTER!$I$4:$I$1463,$P20)),""))</f>
        <v>8709</v>
      </c>
      <c r="I20" s="19" t="str">
        <f>IF($P20="","",IFERROR(IF(INDEX(MASTER!$J$4:$J$1463,$P20)="","",INDEX(MASTER!$J$4:$J$1463,$P20)),""))</f>
        <v>ELITE</v>
      </c>
      <c r="J20" s="21">
        <f>IF($P20="","",IFERROR(IF(INDEX(MASTER!$L$4:$L$1463,$P20)="","",INDEX(MASTER!$L$4:$L$1463,$P20)),""))</f>
        <v>8.0500000000000007</v>
      </c>
      <c r="K20" s="21">
        <f>IF($P20="","",IFERROR(IF(INDEX(MASTER!$N$4:$N$1463,$P20)="","",INDEX(MASTER!$N$4:$N$1463,$P20)),""))</f>
        <v>74.3</v>
      </c>
      <c r="L20" s="19" t="str">
        <f>IF($P20="","",IFERROR(IF(INDEX(MASTER!$O$4:$O$1463,$P20)="","",INDEX(MASTER!$O$4:$O$1463,$P20)),""))</f>
        <v>S</v>
      </c>
      <c r="M20" s="19">
        <f>IF($P20="","",IFERROR(IF(INDEX(MASTER!$Q$4:$Q$1463,$P20)="","",INDEX(MASTER!$Q$4:$Q$1463,$P20)),""))</f>
        <v>16</v>
      </c>
      <c r="N20" s="19" t="str">
        <f>IF($P20="","",IFERROR(IF(INDEX(MASTER!$S$4:$S$1463,$P20)="","",INDEX(MASTER!$S$4:$S$1463,$P20)),""))</f>
        <v>Complete</v>
      </c>
      <c r="P20">
        <f>IFERROR(MATCH($Q$1&amp;"@12",MASTER!$AC$4:$AC$1463,0),"")</f>
        <v>247</v>
      </c>
    </row>
    <row r="21" spans="1:16">
      <c r="A21" s="15">
        <f>IF($P21="","",13)</f>
        <v>13</v>
      </c>
      <c r="B21" s="14" t="str">
        <f>IF($P21="","",IFERROR(IF(INDEX(MASTER!$C$4:$C$1463,$P21)="","",INDEX(MASTER!$C$4:$C$1463,$P21)),""))</f>
        <v>DarthRevanll</v>
      </c>
      <c r="C21" s="15" t="str">
        <f>IF($P21="","",IFERROR(IF(INDEX(MASTER!$D$4:$D$1463,$P21)="","",INDEX(MASTER!$D$4:$D$1463,$P21)),""))</f>
        <v/>
      </c>
      <c r="D21" s="15" t="str">
        <f>IF($P21="","",IFERROR(IF(INDEX(MASTER!$E$4:$E$1463,$P21)="","",INDEX(MASTER!$E$4:$E$1463,$P21)),""))</f>
        <v>CRUSADER</v>
      </c>
      <c r="E21" s="15" t="str">
        <f>IF($P21="","",IFERROR(IF(INDEX(MASTER!$F$4:$F$1463,$P21)="","",INDEX(MASTER!$F$4:$F$1463,$P21)),""))</f>
        <v>Frontline</v>
      </c>
      <c r="F21" s="16">
        <f>IF($P21="","",IFERROR(IF(INDEX(MASTER!$G$4:$G$1463,$P21)="","",INDEX(MASTER!$G$4:$G$1463,$P21)),""))</f>
        <v>61297</v>
      </c>
      <c r="G21" s="15" t="str">
        <f>IF($P21="","",IFERROR(IF(INDEX(MASTER!$H$4:$H$1463,$P21)="","",INDEX(MASTER!$H$4:$H$1463,$P21)),""))</f>
        <v>61,000 - 61,999</v>
      </c>
      <c r="H21" s="16">
        <f>IF($P21="","",IFERROR(IF(INDEX(MASTER!$I$4:$I$1463,$P21)="","",INDEX(MASTER!$I$4:$I$1463,$P21)),""))</f>
        <v>6114</v>
      </c>
      <c r="I21" s="15" t="str">
        <f>IF($P21="","",IFERROR(IF(INDEX(MASTER!$J$4:$J$1463,$P21)="","",INDEX(MASTER!$J$4:$J$1463,$P21)),""))</f>
        <v>VETERAN</v>
      </c>
      <c r="J21" s="17">
        <f>IF($P21="","",IFERROR(IF(INDEX(MASTER!$L$4:$L$1463,$P21)="","",INDEX(MASTER!$L$4:$L$1463,$P21)),""))</f>
        <v>7.15</v>
      </c>
      <c r="K21" s="17">
        <f>IF($P21="","",IFERROR(IF(INDEX(MASTER!$N$4:$N$1463,$P21)="","",INDEX(MASTER!$N$4:$N$1463,$P21)),""))</f>
        <v>55.2</v>
      </c>
      <c r="L21" s="15" t="str">
        <f>IF($P21="","",IFERROR(IF(INDEX(MASTER!$O$4:$O$1463,$P21)="","",INDEX(MASTER!$O$4:$O$1463,$P21)),""))</f>
        <v>A</v>
      </c>
      <c r="M21" s="15">
        <f>IF($P21="","",IFERROR(IF(INDEX(MASTER!$Q$4:$Q$1463,$P21)="","",INDEX(MASTER!$Q$4:$Q$1463,$P21)),""))</f>
        <v>44</v>
      </c>
      <c r="N21" s="15" t="str">
        <f>IF($P21="","",IFERROR(IF(INDEX(MASTER!$S$4:$S$1463,$P21)="","",INDEX(MASTER!$S$4:$S$1463,$P21)),""))</f>
        <v>Complete</v>
      </c>
      <c r="P21">
        <f>IFERROR(MATCH($Q$1&amp;"@13",MASTER!$AC$4:$AC$1463,0),"")</f>
        <v>257</v>
      </c>
    </row>
    <row r="22" spans="1:16">
      <c r="A22" s="19">
        <f>IF($P22="","",14)</f>
        <v>14</v>
      </c>
      <c r="B22" s="18" t="str">
        <f>IF($P22="","",IFERROR(IF(INDEX(MASTER!$C$4:$C$1463,$P22)="","",INDEX(MASTER!$C$4:$C$1463,$P22)),""))</f>
        <v>DeÑíLe</v>
      </c>
      <c r="C22" s="19" t="str">
        <f>IF($P22="","",IFERROR(IF(INDEX(MASTER!$D$4:$D$1463,$P22)="","",INDEX(MASTER!$D$4:$D$1463,$P22)),""))</f>
        <v>IGC</v>
      </c>
      <c r="D22" s="19" t="str">
        <f>IF($P22="","",IFERROR(IF(INDEX(MASTER!$E$4:$E$1463,$P22)="","",INDEX(MASTER!$E$4:$E$1463,$P22)),""))</f>
        <v>BARBARIAN</v>
      </c>
      <c r="E22" s="19" t="str">
        <f>IF($P22="","",IFERROR(IF(INDEX(MASTER!$F$4:$F$1463,$P22)="","",INDEX(MASTER!$F$4:$F$1463,$P22)),""))</f>
        <v>Frontline</v>
      </c>
      <c r="F22" s="20">
        <f>IF($P22="","",IFERROR(IF(INDEX(MASTER!$G$4:$G$1463,$P22)="","",INDEX(MASTER!$G$4:$G$1463,$P22)),""))</f>
        <v>62702</v>
      </c>
      <c r="G22" s="19" t="str">
        <f>IF($P22="","",IFERROR(IF(INDEX(MASTER!$H$4:$H$1463,$P22)="","",INDEX(MASTER!$H$4:$H$1463,$P22)),""))</f>
        <v>62,000 - 62,999</v>
      </c>
      <c r="H22" s="20">
        <f>IF($P22="","",IFERROR(IF(INDEX(MASTER!$I$4:$I$1463,$P22)="","",INDEX(MASTER!$I$4:$I$1463,$P22)),""))</f>
        <v>4549</v>
      </c>
      <c r="I22" s="19" t="str">
        <f>IF($P22="","",IFERROR(IF(INDEX(MASTER!$J$4:$J$1463,$P22)="","",INDEX(MASTER!$J$4:$J$1463,$P22)),""))</f>
        <v>CORE</v>
      </c>
      <c r="J22" s="21">
        <f>IF($P22="","",IFERROR(IF(INDEX(MASTER!$L$4:$L$1463,$P22)="","",INDEX(MASTER!$L$4:$L$1463,$P22)),""))</f>
        <v>5.4</v>
      </c>
      <c r="K22" s="21">
        <f>IF($P22="","",IFERROR(IF(INDEX(MASTER!$N$4:$N$1463,$P22)="","",INDEX(MASTER!$N$4:$N$1463,$P22)),""))</f>
        <v>49.1</v>
      </c>
      <c r="L22" s="19" t="str">
        <f>IF($P22="","",IFERROR(IF(INDEX(MASTER!$O$4:$O$1463,$P22)="","",INDEX(MASTER!$O$4:$O$1463,$P22)),""))</f>
        <v>B</v>
      </c>
      <c r="M22" s="19">
        <f>IF($P22="","",IFERROR(IF(INDEX(MASTER!$Q$4:$Q$1463,$P22)="","",INDEX(MASTER!$Q$4:$Q$1463,$P22)),""))</f>
        <v>62</v>
      </c>
      <c r="N22" s="19" t="str">
        <f>IF($P22="","",IFERROR(IF(INDEX(MASTER!$S$4:$S$1463,$P22)="","",INDEX(MASTER!$S$4:$S$1463,$P22)),""))</f>
        <v>Complete</v>
      </c>
      <c r="P22">
        <f>IFERROR(MATCH($Q$1&amp;"@14",MASTER!$AC$4:$AC$1463,0),"")</f>
        <v>285</v>
      </c>
    </row>
    <row r="23" spans="1:16">
      <c r="A23" s="15">
        <f>IF($P23="","",15)</f>
        <v>15</v>
      </c>
      <c r="B23" s="14" t="str">
        <f>IF($P23="","",IFERROR(IF(INDEX(MASTER!$C$4:$C$1463,$P23)="","",INDEX(MASTER!$C$4:$C$1463,$P23)),""))</f>
        <v>Dokazil</v>
      </c>
      <c r="C23" s="15" t="str">
        <f>IF($P23="","",IFERROR(IF(INDEX(MASTER!$D$4:$D$1463,$P23)="","",INDEX(MASTER!$D$4:$D$1463,$P23)),""))</f>
        <v/>
      </c>
      <c r="D23" s="15" t="str">
        <f>IF($P23="","",IFERROR(IF(INDEX(MASTER!$E$4:$E$1463,$P23)="","",INDEX(MASTER!$E$4:$E$1463,$P23)),""))</f>
        <v>WARLOCK</v>
      </c>
      <c r="E23" s="15" t="str">
        <f>IF($P23="","",IFERROR(IF(INDEX(MASTER!$F$4:$F$1463,$P23)="","",INDEX(MASTER!$F$4:$F$1463,$P23)),""))</f>
        <v>Control</v>
      </c>
      <c r="F23" s="16">
        <f>IF($P23="","",IFERROR(IF(INDEX(MASTER!$G$4:$G$1463,$P23)="","",INDEX(MASTER!$G$4:$G$1463,$P23)),""))</f>
        <v>63205</v>
      </c>
      <c r="G23" s="15" t="str">
        <f>IF($P23="","",IFERROR(IF(INDEX(MASTER!$H$4:$H$1463,$P23)="","",INDEX(MASTER!$H$4:$H$1463,$P23)),""))</f>
        <v>63,000 - 63,999</v>
      </c>
      <c r="H23" s="16">
        <f>IF($P23="","",IFERROR(IF(INDEX(MASTER!$I$4:$I$1463,$P23)="","",INDEX(MASTER!$I$4:$I$1463,$P23)),""))</f>
        <v>7177</v>
      </c>
      <c r="I23" s="15" t="str">
        <f>IF($P23="","",IFERROR(IF(INDEX(MASTER!$J$4:$J$1463,$P23)="","",INDEX(MASTER!$J$4:$J$1463,$P23)),""))</f>
        <v>VETERAN</v>
      </c>
      <c r="J23" s="17">
        <f>IF($P23="","",IFERROR(IF(INDEX(MASTER!$L$4:$L$1463,$P23)="","",INDEX(MASTER!$L$4:$L$1463,$P23)),""))</f>
        <v>6.5</v>
      </c>
      <c r="K23" s="17">
        <f>IF($P23="","",IFERROR(IF(INDEX(MASTER!$N$4:$N$1463,$P23)="","",INDEX(MASTER!$N$4:$N$1463,$P23)),""))</f>
        <v>63.8</v>
      </c>
      <c r="L23" s="15" t="str">
        <f>IF($P23="","",IFERROR(IF(INDEX(MASTER!$O$4:$O$1463,$P23)="","",INDEX(MASTER!$O$4:$O$1463,$P23)),""))</f>
        <v>A</v>
      </c>
      <c r="M23" s="15">
        <f>IF($P23="","",IFERROR(IF(INDEX(MASTER!$Q$4:$Q$1463,$P23)="","",INDEX(MASTER!$Q$4:$Q$1463,$P23)),""))</f>
        <v>30</v>
      </c>
      <c r="N23" s="15" t="str">
        <f>IF($P23="","",IFERROR(IF(INDEX(MASTER!$S$4:$S$1463,$P23)="","",INDEX(MASTER!$S$4:$S$1463,$P23)),""))</f>
        <v>Complete</v>
      </c>
      <c r="P23">
        <f>IFERROR(MATCH($Q$1&amp;"@15",MASTER!$AC$4:$AC$1463,0),"")</f>
        <v>300</v>
      </c>
    </row>
    <row r="24" spans="1:16">
      <c r="A24" s="19">
        <f>IF($P24="","",16)</f>
        <v>16</v>
      </c>
      <c r="B24" s="18" t="str">
        <f>IF($P24="","",IFERROR(IF(INDEX(MASTER!$C$4:$C$1463,$P24)="","",INDEX(MASTER!$C$4:$C$1463,$P24)),""))</f>
        <v>DreadOlaf</v>
      </c>
      <c r="C24" s="19" t="str">
        <f>IF($P24="","",IFERROR(IF(INDEX(MASTER!$D$4:$D$1463,$P24)="","",INDEX(MASTER!$D$4:$D$1463,$P24)),""))</f>
        <v/>
      </c>
      <c r="D24" s="19" t="str">
        <f>IF($P24="","",IFERROR(IF(INDEX(MASTER!$E$4:$E$1463,$P24)="","",INDEX(MASTER!$E$4:$E$1463,$P24)),""))</f>
        <v>WARLOCK</v>
      </c>
      <c r="E24" s="19" t="str">
        <f>IF($P24="","",IFERROR(IF(INDEX(MASTER!$F$4:$F$1463,$P24)="","",INDEX(MASTER!$F$4:$F$1463,$P24)),""))</f>
        <v>Control</v>
      </c>
      <c r="F24" s="20">
        <f>IF($P24="","",IFERROR(IF(INDEX(MASTER!$G$4:$G$1463,$P24)="","",INDEX(MASTER!$G$4:$G$1463,$P24)),""))</f>
        <v>64304</v>
      </c>
      <c r="G24" s="19" t="str">
        <f>IF($P24="","",IFERROR(IF(INDEX(MASTER!$H$4:$H$1463,$P24)="","",INDEX(MASTER!$H$4:$H$1463,$P24)),""))</f>
        <v>64,000 +</v>
      </c>
      <c r="H24" s="20">
        <f>IF($P24="","",IFERROR(IF(INDEX(MASTER!$I$4:$I$1463,$P24)="","",INDEX(MASTER!$I$4:$I$1463,$P24)),""))</f>
        <v>11000</v>
      </c>
      <c r="I24" s="19" t="str">
        <f>IF($P24="","",IFERROR(IF(INDEX(MASTER!$J$4:$J$1463,$P24)="","",INDEX(MASTER!$J$4:$J$1463,$P24)),""))</f>
        <v>APEX</v>
      </c>
      <c r="J24" s="21">
        <f>IF($P24="","",IFERROR(IF(INDEX(MASTER!$L$4:$L$1463,$P24)="","",INDEX(MASTER!$L$4:$L$1463,$P24)),""))</f>
        <v>8.5</v>
      </c>
      <c r="K24" s="21">
        <f>IF($P24="","",IFERROR(IF(INDEX(MASTER!$N$4:$N$1463,$P24)="","",INDEX(MASTER!$N$4:$N$1463,$P24)),""))</f>
        <v>86.7</v>
      </c>
      <c r="L24" s="19" t="str">
        <f>IF($P24="","",IFERROR(IF(INDEX(MASTER!$O$4:$O$1463,$P24)="","",INDEX(MASTER!$O$4:$O$1463,$P24)),""))</f>
        <v>S+</v>
      </c>
      <c r="M24" s="19">
        <f>IF($P24="","",IFERROR(IF(INDEX(MASTER!$Q$4:$Q$1463,$P24)="","",INDEX(MASTER!$Q$4:$Q$1463,$P24)),""))</f>
        <v>5</v>
      </c>
      <c r="N24" s="19" t="str">
        <f>IF($P24="","",IFERROR(IF(INDEX(MASTER!$S$4:$S$1463,$P24)="","",INDEX(MASTER!$S$4:$S$1463,$P24)),""))</f>
        <v>Complete</v>
      </c>
      <c r="P24">
        <f>IFERROR(MATCH($Q$1&amp;"@16",MASTER!$AC$4:$AC$1463,0),"")</f>
        <v>314</v>
      </c>
    </row>
    <row r="25" spans="1:16">
      <c r="A25" s="15">
        <f>IF($P25="","",17)</f>
        <v>17</v>
      </c>
      <c r="B25" s="14" t="str">
        <f>IF($P25="","",IFERROR(IF(INDEX(MASTER!$C$4:$C$1463,$P25)="","",INDEX(MASTER!$C$4:$C$1463,$P25)),""))</f>
        <v>Dshred</v>
      </c>
      <c r="C25" s="15" t="str">
        <f>IF($P25="","",IFERROR(IF(INDEX(MASTER!$D$4:$D$1463,$P25)="","",INDEX(MASTER!$D$4:$D$1463,$P25)),""))</f>
        <v/>
      </c>
      <c r="D25" s="15" t="str">
        <f>IF($P25="","",IFERROR(IF(INDEX(MASTER!$E$4:$E$1463,$P25)="","",INDEX(MASTER!$E$4:$E$1463,$P25)),""))</f>
        <v>MONK</v>
      </c>
      <c r="E25" s="15" t="str">
        <f>IF($P25="","",IFERROR(IF(INDEX(MASTER!$F$4:$F$1463,$P25)="","",INDEX(MASTER!$F$4:$F$1463,$P25)),""))</f>
        <v>Support</v>
      </c>
      <c r="F25" s="16">
        <f>IF($P25="","",IFERROR(IF(INDEX(MASTER!$G$4:$G$1463,$P25)="","",INDEX(MASTER!$G$4:$G$1463,$P25)),""))</f>
        <v>55554</v>
      </c>
      <c r="G25" s="15" t="str">
        <f>IF($P25="","",IFERROR(IF(INDEX(MASTER!$H$4:$H$1463,$P25)="","",INDEX(MASTER!$H$4:$H$1463,$P25)),""))</f>
        <v>Under 58,000</v>
      </c>
      <c r="H25" s="16">
        <f>IF($P25="","",IFERROR(IF(INDEX(MASTER!$I$4:$I$1463,$P25)="","",INDEX(MASTER!$I$4:$I$1463,$P25)),""))</f>
        <v>3824</v>
      </c>
      <c r="I25" s="15" t="str">
        <f>IF($P25="","",IFERROR(IF(INDEX(MASTER!$J$4:$J$1463,$P25)="","",INDEX(MASTER!$J$4:$J$1463,$P25)),""))</f>
        <v>DEVELOPING</v>
      </c>
      <c r="J25" s="17">
        <f>IF($P25="","",IFERROR(IF(INDEX(MASTER!$L$4:$L$1463,$P25)="","",INDEX(MASTER!$L$4:$L$1463,$P25)),""))</f>
        <v>5.15</v>
      </c>
      <c r="K25" s="17">
        <f>IF($P25="","",IFERROR(IF(INDEX(MASTER!$N$4:$N$1463,$P25)="","",INDEX(MASTER!$N$4:$N$1463,$P25)),""))</f>
        <v>26.7</v>
      </c>
      <c r="L25" s="15" t="str">
        <f>IF($P25="","",IFERROR(IF(INDEX(MASTER!$O$4:$O$1463,$P25)="","",INDEX(MASTER!$O$4:$O$1463,$P25)),""))</f>
        <v>C</v>
      </c>
      <c r="M25" s="15">
        <f>IF($P25="","",IFERROR(IF(INDEX(MASTER!$Q$4:$Q$1463,$P25)="","",INDEX(MASTER!$Q$4:$Q$1463,$P25)),""))</f>
        <v>78</v>
      </c>
      <c r="N25" s="15" t="str">
        <f>IF($P25="","",IFERROR(IF(INDEX(MASTER!$S$4:$S$1463,$P25)="","",INDEX(MASTER!$S$4:$S$1463,$P25)),""))</f>
        <v>Complete</v>
      </c>
      <c r="P25">
        <f>IFERROR(MATCH($Q$1&amp;"@17",MASTER!$AC$4:$AC$1463,0),"")</f>
        <v>321</v>
      </c>
    </row>
    <row r="26" spans="1:16">
      <c r="A26" s="19">
        <f>IF($P26="","",18)</f>
        <v>18</v>
      </c>
      <c r="B26" s="18" t="str">
        <f>IF($P26="","",IFERROR(IF(INDEX(MASTER!$C$4:$C$1463,$P26)="","",INDEX(MASTER!$C$4:$C$1463,$P26)),""))</f>
        <v>DuchessSoul I CAE</v>
      </c>
      <c r="C26" s="19" t="str">
        <f>IF($P26="","",IFERROR(IF(INDEX(MASTER!$D$4:$D$1463,$P26)="","",INDEX(MASTER!$D$4:$D$1463,$P26)),""))</f>
        <v/>
      </c>
      <c r="D26" s="19" t="str">
        <f>IF($P26="","",IFERROR(IF(INDEX(MASTER!$E$4:$E$1463,$P26)="","",INDEX(MASTER!$E$4:$E$1463,$P26)),""))</f>
        <v>CRUSADER</v>
      </c>
      <c r="E26" s="19" t="str">
        <f>IF($P26="","",IFERROR(IF(INDEX(MASTER!$F$4:$F$1463,$P26)="","",INDEX(MASTER!$F$4:$F$1463,$P26)),""))</f>
        <v>Frontline</v>
      </c>
      <c r="F26" s="20">
        <f>IF($P26="","",IFERROR(IF(INDEX(MASTER!$G$4:$G$1463,$P26)="","",INDEX(MASTER!$G$4:$G$1463,$P26)),""))</f>
        <v>63056</v>
      </c>
      <c r="G26" s="19" t="str">
        <f>IF($P26="","",IFERROR(IF(INDEX(MASTER!$H$4:$H$1463,$P26)="","",INDEX(MASTER!$H$4:$H$1463,$P26)),""))</f>
        <v>63,000 - 63,999</v>
      </c>
      <c r="H26" s="20">
        <f>IF($P26="","",IFERROR(IF(INDEX(MASTER!$I$4:$I$1463,$P26)="","",INDEX(MASTER!$I$4:$I$1463,$P26)),""))</f>
        <v>4151</v>
      </c>
      <c r="I26" s="19" t="str">
        <f>IF($P26="","",IFERROR(IF(INDEX(MASTER!$J$4:$J$1463,$P26)="","",INDEX(MASTER!$J$4:$J$1463,$P26)),""))</f>
        <v>CORE</v>
      </c>
      <c r="J26" s="21">
        <f>IF($P26="","",IFERROR(IF(INDEX(MASTER!$L$4:$L$1463,$P26)="","",INDEX(MASTER!$L$4:$L$1463,$P26)),""))</f>
        <v>5.3</v>
      </c>
      <c r="K26" s="21">
        <f>IF($P26="","",IFERROR(IF(INDEX(MASTER!$N$4:$N$1463,$P26)="","",INDEX(MASTER!$N$4:$N$1463,$P26)),""))</f>
        <v>48.2</v>
      </c>
      <c r="L26" s="19" t="str">
        <f>IF($P26="","",IFERROR(IF(INDEX(MASTER!$O$4:$O$1463,$P26)="","",INDEX(MASTER!$O$4:$O$1463,$P26)),""))</f>
        <v>B</v>
      </c>
      <c r="M26" s="19">
        <f>IF($P26="","",IFERROR(IF(INDEX(MASTER!$Q$4:$Q$1463,$P26)="","",INDEX(MASTER!$Q$4:$Q$1463,$P26)),""))</f>
        <v>67</v>
      </c>
      <c r="N26" s="19" t="str">
        <f>IF($P26="","",IFERROR(IF(INDEX(MASTER!$S$4:$S$1463,$P26)="","",INDEX(MASTER!$S$4:$S$1463,$P26)),""))</f>
        <v>Complete</v>
      </c>
      <c r="P26">
        <f>IFERROR(MATCH($Q$1&amp;"@18",MASTER!$AC$4:$AC$1463,0),"")</f>
        <v>324</v>
      </c>
    </row>
    <row r="27" spans="1:16">
      <c r="A27" s="15">
        <f>IF($P27="","",19)</f>
        <v>19</v>
      </c>
      <c r="B27" s="14" t="str">
        <f>IF($P27="","",IFERROR(IF(INDEX(MASTER!$C$4:$C$1463,$P27)="","",INDEX(MASTER!$C$4:$C$1463,$P27)),""))</f>
        <v>Elilliana</v>
      </c>
      <c r="C27" s="15" t="str">
        <f>IF($P27="","",IFERROR(IF(INDEX(MASTER!$D$4:$D$1463,$P27)="","",INDEX(MASTER!$D$4:$D$1463,$P27)),""))</f>
        <v/>
      </c>
      <c r="D27" s="15" t="str">
        <f>IF($P27="","",IFERROR(IF(INDEX(MASTER!$E$4:$E$1463,$P27)="","",INDEX(MASTER!$E$4:$E$1463,$P27)),""))</f>
        <v>BARBARIAN</v>
      </c>
      <c r="E27" s="15" t="str">
        <f>IF($P27="","",IFERROR(IF(INDEX(MASTER!$F$4:$F$1463,$P27)="","",INDEX(MASTER!$F$4:$F$1463,$P27)),""))</f>
        <v>Frontline</v>
      </c>
      <c r="F27" s="16">
        <f>IF($P27="","",IFERROR(IF(INDEX(MASTER!$G$4:$G$1463,$P27)="","",INDEX(MASTER!$G$4:$G$1463,$P27)),""))</f>
        <v>63256</v>
      </c>
      <c r="G27" s="15" t="str">
        <f>IF($P27="","",IFERROR(IF(INDEX(MASTER!$H$4:$H$1463,$P27)="","",INDEX(MASTER!$H$4:$H$1463,$P27)),""))</f>
        <v>63,000 - 63,999</v>
      </c>
      <c r="H27" s="16">
        <f>IF($P27="","",IFERROR(IF(INDEX(MASTER!$I$4:$I$1463,$P27)="","",INDEX(MASTER!$I$4:$I$1463,$P27)),""))</f>
        <v>4408</v>
      </c>
      <c r="I27" s="15" t="str">
        <f>IF($P27="","",IFERROR(IF(INDEX(MASTER!$J$4:$J$1463,$P27)="","",INDEX(MASTER!$J$4:$J$1463,$P27)),""))</f>
        <v>CORE</v>
      </c>
      <c r="J27" s="17">
        <f>IF($P27="","",IFERROR(IF(INDEX(MASTER!$L$4:$L$1463,$P27)="","",INDEX(MASTER!$L$4:$L$1463,$P27)),""))</f>
        <v>4.3</v>
      </c>
      <c r="K27" s="17">
        <f>IF($P27="","",IFERROR(IF(INDEX(MASTER!$N$4:$N$1463,$P27)="","",INDEX(MASTER!$N$4:$N$1463,$P27)),""))</f>
        <v>48.1</v>
      </c>
      <c r="L27" s="15" t="str">
        <f>IF($P27="","",IFERROR(IF(INDEX(MASTER!$O$4:$O$1463,$P27)="","",INDEX(MASTER!$O$4:$O$1463,$P27)),""))</f>
        <v>B</v>
      </c>
      <c r="M27" s="15">
        <f>IF($P27="","",IFERROR(IF(INDEX(MASTER!$Q$4:$Q$1463,$P27)="","",INDEX(MASTER!$Q$4:$Q$1463,$P27)),""))</f>
        <v>64</v>
      </c>
      <c r="N27" s="15" t="str">
        <f>IF($P27="","",IFERROR(IF(INDEX(MASTER!$S$4:$S$1463,$P27)="","",INDEX(MASTER!$S$4:$S$1463,$P27)),""))</f>
        <v>Complete</v>
      </c>
      <c r="P27">
        <f>IFERROR(MATCH($Q$1&amp;"@19",MASTER!$AC$4:$AC$1463,0),"")</f>
        <v>350</v>
      </c>
    </row>
    <row r="28" spans="1:16">
      <c r="A28" s="19">
        <f>IF($P28="","",20)</f>
        <v>20</v>
      </c>
      <c r="B28" s="18" t="str">
        <f>IF($P28="","",IFERROR(IF(INDEX(MASTER!$C$4:$C$1463,$P28)="","",INDEX(MASTER!$C$4:$C$1463,$P28)),""))</f>
        <v>Esperatus</v>
      </c>
      <c r="C28" s="19" t="str">
        <f>IF($P28="","",IFERROR(IF(INDEX(MASTER!$D$4:$D$1463,$P28)="","",INDEX(MASTER!$D$4:$D$1463,$P28)),""))</f>
        <v/>
      </c>
      <c r="D28" s="19" t="str">
        <f>IF($P28="","",IFERROR(IF(INDEX(MASTER!$E$4:$E$1463,$P28)="","",INDEX(MASTER!$E$4:$E$1463,$P28)),""))</f>
        <v>DEMON HUNTER</v>
      </c>
      <c r="E28" s="19" t="str">
        <f>IF($P28="","",IFERROR(IF(INDEX(MASTER!$F$4:$F$1463,$P28)="","",INDEX(MASTER!$F$4:$F$1463,$P28)),""))</f>
        <v>Ranged DPS</v>
      </c>
      <c r="F28" s="20">
        <f>IF($P28="","",IFERROR(IF(INDEX(MASTER!$G$4:$G$1463,$P28)="","",INDEX(MASTER!$G$4:$G$1463,$P28)),""))</f>
        <v>63153</v>
      </c>
      <c r="G28" s="19" t="str">
        <f>IF($P28="","",IFERROR(IF(INDEX(MASTER!$H$4:$H$1463,$P28)="","",INDEX(MASTER!$H$4:$H$1463,$P28)),""))</f>
        <v>63,000 - 63,999</v>
      </c>
      <c r="H28" s="20">
        <f>IF($P28="","",IFERROR(IF(INDEX(MASTER!$I$4:$I$1463,$P28)="","",INDEX(MASTER!$I$4:$I$1463,$P28)),""))</f>
        <v>5902</v>
      </c>
      <c r="I28" s="19" t="str">
        <f>IF($P28="","",IFERROR(IF(INDEX(MASTER!$J$4:$J$1463,$P28)="","",INDEX(MASTER!$J$4:$J$1463,$P28)),""))</f>
        <v>CORE</v>
      </c>
      <c r="J28" s="21">
        <f>IF($P28="","",IFERROR(IF(INDEX(MASTER!$L$4:$L$1463,$P28)="","",INDEX(MASTER!$L$4:$L$1463,$P28)),""))</f>
        <v>5.75</v>
      </c>
      <c r="K28" s="21">
        <f>IF($P28="","",IFERROR(IF(INDEX(MASTER!$N$4:$N$1463,$P28)="","",INDEX(MASTER!$N$4:$N$1463,$P28)),""))</f>
        <v>56.8</v>
      </c>
      <c r="L28" s="19" t="str">
        <f>IF($P28="","",IFERROR(IF(INDEX(MASTER!$O$4:$O$1463,$P28)="","",INDEX(MASTER!$O$4:$O$1463,$P28)),""))</f>
        <v>A</v>
      </c>
      <c r="M28" s="19">
        <f>IF($P28="","",IFERROR(IF(INDEX(MASTER!$Q$4:$Q$1463,$P28)="","",INDEX(MASTER!$Q$4:$Q$1463,$P28)),""))</f>
        <v>47</v>
      </c>
      <c r="N28" s="19" t="str">
        <f>IF($P28="","",IFERROR(IF(INDEX(MASTER!$S$4:$S$1463,$P28)="","",INDEX(MASTER!$S$4:$S$1463,$P28)),""))</f>
        <v>Complete</v>
      </c>
      <c r="P28">
        <f>IFERROR(MATCH($Q$1&amp;"@20",MASTER!$AC$4:$AC$1463,0),"")</f>
        <v>368</v>
      </c>
    </row>
    <row r="29" spans="1:16">
      <c r="A29" s="15">
        <f>IF($P29="","",21)</f>
        <v>21</v>
      </c>
      <c r="B29" s="14" t="str">
        <f>IF($P29="","",IFERROR(IF(INDEX(MASTER!$C$4:$C$1463,$P29)="","",INDEX(MASTER!$C$4:$C$1463,$P29)),""))</f>
        <v>Ezraim</v>
      </c>
      <c r="C29" s="15" t="str">
        <f>IF($P29="","",IFERROR(IF(INDEX(MASTER!$D$4:$D$1463,$P29)="","",INDEX(MASTER!$D$4:$D$1463,$P29)),""))</f>
        <v/>
      </c>
      <c r="D29" s="15" t="str">
        <f>IF($P29="","",IFERROR(IF(INDEX(MASTER!$E$4:$E$1463,$P29)="","",INDEX(MASTER!$E$4:$E$1463,$P29)),""))</f>
        <v>CRUSADER</v>
      </c>
      <c r="E29" s="15" t="str">
        <f>IF($P29="","",IFERROR(IF(INDEX(MASTER!$F$4:$F$1463,$P29)="","",INDEX(MASTER!$F$4:$F$1463,$P29)),""))</f>
        <v>Frontline</v>
      </c>
      <c r="F29" s="16">
        <f>IF($P29="","",IFERROR(IF(INDEX(MASTER!$G$4:$G$1463,$P29)="","",INDEX(MASTER!$G$4:$G$1463,$P29)),""))</f>
        <v>62452</v>
      </c>
      <c r="G29" s="15" t="str">
        <f>IF($P29="","",IFERROR(IF(INDEX(MASTER!$H$4:$H$1463,$P29)="","",INDEX(MASTER!$H$4:$H$1463,$P29)),""))</f>
        <v>62,000 - 62,999</v>
      </c>
      <c r="H29" s="16">
        <f>IF($P29="","",IFERROR(IF(INDEX(MASTER!$I$4:$I$1463,$P29)="","",INDEX(MASTER!$I$4:$I$1463,$P29)),""))</f>
        <v>7034</v>
      </c>
      <c r="I29" s="15" t="str">
        <f>IF($P29="","",IFERROR(IF(INDEX(MASTER!$J$4:$J$1463,$P29)="","",INDEX(MASTER!$J$4:$J$1463,$P29)),""))</f>
        <v>VETERAN</v>
      </c>
      <c r="J29" s="17">
        <f>IF($P29="","",IFERROR(IF(INDEX(MASTER!$L$4:$L$1463,$P29)="","",INDEX(MASTER!$L$4:$L$1463,$P29)),""))</f>
        <v>5.45</v>
      </c>
      <c r="K29" s="17">
        <f>IF($P29="","",IFERROR(IF(INDEX(MASTER!$N$4:$N$1463,$P29)="","",INDEX(MASTER!$N$4:$N$1463,$P29)),""))</f>
        <v>59.4</v>
      </c>
      <c r="L29" s="15" t="str">
        <f>IF($P29="","",IFERROR(IF(INDEX(MASTER!$O$4:$O$1463,$P29)="","",INDEX(MASTER!$O$4:$O$1463,$P29)),""))</f>
        <v>A</v>
      </c>
      <c r="M29" s="15">
        <f>IF($P29="","",IFERROR(IF(INDEX(MASTER!$Q$4:$Q$1463,$P29)="","",INDEX(MASTER!$Q$4:$Q$1463,$P29)),""))</f>
        <v>35</v>
      </c>
      <c r="N29" s="15" t="str">
        <f>IF($P29="","",IFERROR(IF(INDEX(MASTER!$S$4:$S$1463,$P29)="","",INDEX(MASTER!$S$4:$S$1463,$P29)),""))</f>
        <v>Complete</v>
      </c>
      <c r="P29">
        <f>IFERROR(MATCH($Q$1&amp;"@21",MASTER!$AC$4:$AC$1463,0),"")</f>
        <v>376</v>
      </c>
    </row>
    <row r="30" spans="1:16">
      <c r="A30" s="19">
        <f>IF($P30="","",22)</f>
        <v>22</v>
      </c>
      <c r="B30" s="18" t="str">
        <f>IF($P30="","",IFERROR(IF(INDEX(MASTER!$C$4:$C$1463,$P30)="","",INDEX(MASTER!$C$4:$C$1463,$P30)),""))</f>
        <v>FinGerthyself</v>
      </c>
      <c r="C30" s="19" t="str">
        <f>IF($P30="","",IFERROR(IF(INDEX(MASTER!$D$4:$D$1463,$P30)="","",INDEX(MASTER!$D$4:$D$1463,$P30)),""))</f>
        <v/>
      </c>
      <c r="D30" s="19" t="str">
        <f>IF($P30="","",IFERROR(IF(INDEX(MASTER!$E$4:$E$1463,$P30)="","",INDEX(MASTER!$E$4:$E$1463,$P30)),""))</f>
        <v>WARLOCK</v>
      </c>
      <c r="E30" s="19" t="str">
        <f>IF($P30="","",IFERROR(IF(INDEX(MASTER!$F$4:$F$1463,$P30)="","",INDEX(MASTER!$F$4:$F$1463,$P30)),""))</f>
        <v>Control</v>
      </c>
      <c r="F30" s="20">
        <f>IF($P30="","",IFERROR(IF(INDEX(MASTER!$G$4:$G$1463,$P30)="","",INDEX(MASTER!$G$4:$G$1463,$P30)),""))</f>
        <v>63167</v>
      </c>
      <c r="G30" s="19" t="str">
        <f>IF($P30="","",IFERROR(IF(INDEX(MASTER!$H$4:$H$1463,$P30)="","",INDEX(MASTER!$H$4:$H$1463,$P30)),""))</f>
        <v>63,000 - 63,999</v>
      </c>
      <c r="H30" s="20">
        <f>IF($P30="","",IFERROR(IF(INDEX(MASTER!$I$4:$I$1463,$P30)="","",INDEX(MASTER!$I$4:$I$1463,$P30)),""))</f>
        <v>5788</v>
      </c>
      <c r="I30" s="19" t="str">
        <f>IF($P30="","",IFERROR(IF(INDEX(MASTER!$J$4:$J$1463,$P30)="","",INDEX(MASTER!$J$4:$J$1463,$P30)),""))</f>
        <v>CORE</v>
      </c>
      <c r="J30" s="21">
        <f>IF($P30="","",IFERROR(IF(INDEX(MASTER!$L$4:$L$1463,$P30)="","",INDEX(MASTER!$L$4:$L$1463,$P30)),""))</f>
        <v>6.3</v>
      </c>
      <c r="K30" s="21">
        <f>IF($P30="","",IFERROR(IF(INDEX(MASTER!$N$4:$N$1463,$P30)="","",INDEX(MASTER!$N$4:$N$1463,$P30)),""))</f>
        <v>57.3</v>
      </c>
      <c r="L30" s="19" t="str">
        <f>IF($P30="","",IFERROR(IF(INDEX(MASTER!$O$4:$O$1463,$P30)="","",INDEX(MASTER!$O$4:$O$1463,$P30)),""))</f>
        <v>A</v>
      </c>
      <c r="M30" s="19">
        <f>IF($P30="","",IFERROR(IF(INDEX(MASTER!$Q$4:$Q$1463,$P30)="","",INDEX(MASTER!$Q$4:$Q$1463,$P30)),""))</f>
        <v>48</v>
      </c>
      <c r="N30" s="19" t="str">
        <f>IF($P30="","",IFERROR(IF(INDEX(MASTER!$S$4:$S$1463,$P30)="","",INDEX(MASTER!$S$4:$S$1463,$P30)),""))</f>
        <v>Complete</v>
      </c>
      <c r="P30">
        <f>IFERROR(MATCH($Q$1&amp;"@22",MASTER!$AC$4:$AC$1463,0),"")</f>
        <v>389</v>
      </c>
    </row>
    <row r="31" spans="1:16">
      <c r="A31" s="15">
        <f>IF($P31="","",23)</f>
        <v>23</v>
      </c>
      <c r="B31" s="14" t="str">
        <f>IF($P31="","",IFERROR(IF(INDEX(MASTER!$C$4:$C$1463,$P31)="","",INDEX(MASTER!$C$4:$C$1463,$P31)),""))</f>
        <v>Flowstate</v>
      </c>
      <c r="C31" s="15" t="str">
        <f>IF($P31="","",IFERROR(IF(INDEX(MASTER!$D$4:$D$1463,$P31)="","",INDEX(MASTER!$D$4:$D$1463,$P31)),""))</f>
        <v/>
      </c>
      <c r="D31" s="15" t="str">
        <f>IF($P31="","",IFERROR(IF(INDEX(MASTER!$E$4:$E$1463,$P31)="","",INDEX(MASTER!$E$4:$E$1463,$P31)),""))</f>
        <v>MONK</v>
      </c>
      <c r="E31" s="15" t="str">
        <f>IF($P31="","",IFERROR(IF(INDEX(MASTER!$F$4:$F$1463,$P31)="","",INDEX(MASTER!$F$4:$F$1463,$P31)),""))</f>
        <v>Support</v>
      </c>
      <c r="F31" s="16">
        <f>IF($P31="","",IFERROR(IF(INDEX(MASTER!$G$4:$G$1463,$P31)="","",INDEX(MASTER!$G$4:$G$1463,$P31)),""))</f>
        <v>62095</v>
      </c>
      <c r="G31" s="15" t="str">
        <f>IF($P31="","",IFERROR(IF(INDEX(MASTER!$H$4:$H$1463,$P31)="","",INDEX(MASTER!$H$4:$H$1463,$P31)),""))</f>
        <v>62,000 - 62,999</v>
      </c>
      <c r="H31" s="16">
        <f>IF($P31="","",IFERROR(IF(INDEX(MASTER!$I$4:$I$1463,$P31)="","",INDEX(MASTER!$I$4:$I$1463,$P31)),""))</f>
        <v>5030</v>
      </c>
      <c r="I31" s="15" t="str">
        <f>IF($P31="","",IFERROR(IF(INDEX(MASTER!$J$4:$J$1463,$P31)="","",INDEX(MASTER!$J$4:$J$1463,$P31)),""))</f>
        <v>CORE</v>
      </c>
      <c r="J31" s="17">
        <f>IF($P31="","",IFERROR(IF(INDEX(MASTER!$L$4:$L$1463,$P31)="","",INDEX(MASTER!$L$4:$L$1463,$P31)),""))</f>
        <v>5.4</v>
      </c>
      <c r="K31" s="17">
        <f>IF($P31="","",IFERROR(IF(INDEX(MASTER!$N$4:$N$1463,$P31)="","",INDEX(MASTER!$N$4:$N$1463,$P31)),""))</f>
        <v>49.6</v>
      </c>
      <c r="L31" s="15" t="str">
        <f>IF($P31="","",IFERROR(IF(INDEX(MASTER!$O$4:$O$1463,$P31)="","",INDEX(MASTER!$O$4:$O$1463,$P31)),""))</f>
        <v>B</v>
      </c>
      <c r="M31" s="15">
        <f>IF($P31="","",IFERROR(IF(INDEX(MASTER!$Q$4:$Q$1463,$P31)="","",INDEX(MASTER!$Q$4:$Q$1463,$P31)),""))</f>
        <v>58</v>
      </c>
      <c r="N31" s="15" t="str">
        <f>IF($P31="","",IFERROR(IF(INDEX(MASTER!$S$4:$S$1463,$P31)="","",INDEX(MASTER!$S$4:$S$1463,$P31)),""))</f>
        <v>Complete</v>
      </c>
      <c r="P31">
        <f>IFERROR(MATCH($Q$1&amp;"@23",MASTER!$AC$4:$AC$1463,0),"")</f>
        <v>393</v>
      </c>
    </row>
    <row r="32" spans="1:16">
      <c r="A32" s="19">
        <f>IF($P32="","",24)</f>
        <v>24</v>
      </c>
      <c r="B32" s="18" t="str">
        <f>IF($P32="","",IFERROR(IF(INDEX(MASTER!$C$4:$C$1463,$P32)="","",INDEX(MASTER!$C$4:$C$1463,$P32)),""))</f>
        <v>Foozy</v>
      </c>
      <c r="C32" s="19" t="str">
        <f>IF($P32="","",IFERROR(IF(INDEX(MASTER!$D$4:$D$1463,$P32)="","",INDEX(MASTER!$D$4:$D$1463,$P32)),""))</f>
        <v/>
      </c>
      <c r="D32" s="19" t="str">
        <f>IF($P32="","",IFERROR(IF(INDEX(MASTER!$E$4:$E$1463,$P32)="","",INDEX(MASTER!$E$4:$E$1463,$P32)),""))</f>
        <v>WIZARD</v>
      </c>
      <c r="E32" s="19" t="str">
        <f>IF($P32="","",IFERROR(IF(INDEX(MASTER!$F$4:$F$1463,$P32)="","",INDEX(MASTER!$F$4:$F$1463,$P32)),""))</f>
        <v>Ranged DPS</v>
      </c>
      <c r="F32" s="20">
        <f>IF($P32="","",IFERROR(IF(INDEX(MASTER!$G$4:$G$1463,$P32)="","",INDEX(MASTER!$G$4:$G$1463,$P32)),""))</f>
        <v>63721</v>
      </c>
      <c r="G32" s="19" t="str">
        <f>IF($P32="","",IFERROR(IF(INDEX(MASTER!$H$4:$H$1463,$P32)="","",INDEX(MASTER!$H$4:$H$1463,$P32)),""))</f>
        <v>63,000 - 63,999</v>
      </c>
      <c r="H32" s="20">
        <f>IF($P32="","",IFERROR(IF(INDEX(MASTER!$I$4:$I$1463,$P32)="","",INDEX(MASTER!$I$4:$I$1463,$P32)),""))</f>
        <v>6953</v>
      </c>
      <c r="I32" s="19" t="str">
        <f>IF($P32="","",IFERROR(IF(INDEX(MASTER!$J$4:$J$1463,$P32)="","",INDEX(MASTER!$J$4:$J$1463,$P32)),""))</f>
        <v>VETERAN</v>
      </c>
      <c r="J32" s="21">
        <f>IF($P32="","",IFERROR(IF(INDEX(MASTER!$L$4:$L$1463,$P32)="","",INDEX(MASTER!$L$4:$L$1463,$P32)),""))</f>
        <v>6</v>
      </c>
      <c r="K32" s="21">
        <f>IF($P32="","",IFERROR(IF(INDEX(MASTER!$N$4:$N$1463,$P32)="","",INDEX(MASTER!$N$4:$N$1463,$P32)),""))</f>
        <v>63.3</v>
      </c>
      <c r="L32" s="19" t="str">
        <f>IF($P32="","",IFERROR(IF(INDEX(MASTER!$O$4:$O$1463,$P32)="","",INDEX(MASTER!$O$4:$O$1463,$P32)),""))</f>
        <v>A</v>
      </c>
      <c r="M32" s="19">
        <f>IF($P32="","",IFERROR(IF(INDEX(MASTER!$Q$4:$Q$1463,$P32)="","",INDEX(MASTER!$Q$4:$Q$1463,$P32)),""))</f>
        <v>37</v>
      </c>
      <c r="N32" s="19" t="str">
        <f>IF($P32="","",IFERROR(IF(INDEX(MASTER!$S$4:$S$1463,$P32)="","",INDEX(MASTER!$S$4:$S$1463,$P32)),""))</f>
        <v>Complete</v>
      </c>
      <c r="P32">
        <f>IFERROR(MATCH($Q$1&amp;"@24",MASTER!$AC$4:$AC$1463,0),"")</f>
        <v>395</v>
      </c>
    </row>
    <row r="33" spans="1:16">
      <c r="A33" s="15">
        <f>IF($P33="","",25)</f>
        <v>25</v>
      </c>
      <c r="B33" s="14" t="str">
        <f>IF($P33="","",IFERROR(IF(INDEX(MASTER!$C$4:$C$1463,$P33)="","",INDEX(MASTER!$C$4:$C$1463,$P33)),""))</f>
        <v>Furie</v>
      </c>
      <c r="C33" s="15" t="str">
        <f>IF($P33="","",IFERROR(IF(INDEX(MASTER!$D$4:$D$1463,$P33)="","",INDEX(MASTER!$D$4:$D$1463,$P33)),""))</f>
        <v/>
      </c>
      <c r="D33" s="15" t="str">
        <f>IF($P33="","",IFERROR(IF(INDEX(MASTER!$E$4:$E$1463,$P33)="","",INDEX(MASTER!$E$4:$E$1463,$P33)),""))</f>
        <v>DRUID</v>
      </c>
      <c r="E33" s="15" t="str">
        <f>IF($P33="","",IFERROR(IF(INDEX(MASTER!$F$4:$F$1463,$P33)="","",INDEX(MASTER!$F$4:$F$1463,$P33)),""))</f>
        <v>Support</v>
      </c>
      <c r="F33" s="16">
        <f>IF($P33="","",IFERROR(IF(INDEX(MASTER!$G$4:$G$1463,$P33)="","",INDEX(MASTER!$G$4:$G$1463,$P33)),""))</f>
        <v>62324</v>
      </c>
      <c r="G33" s="15" t="str">
        <f>IF($P33="","",IFERROR(IF(INDEX(MASTER!$H$4:$H$1463,$P33)="","",INDEX(MASTER!$H$4:$H$1463,$P33)),""))</f>
        <v>62,000 - 62,999</v>
      </c>
      <c r="H33" s="16">
        <f>IF($P33="","",IFERROR(IF(INDEX(MASTER!$I$4:$I$1463,$P33)="","",INDEX(MASTER!$I$4:$I$1463,$P33)),""))</f>
        <v>6146</v>
      </c>
      <c r="I33" s="15" t="str">
        <f>IF($P33="","",IFERROR(IF(INDEX(MASTER!$J$4:$J$1463,$P33)="","",INDEX(MASTER!$J$4:$J$1463,$P33)),""))</f>
        <v>VETERAN</v>
      </c>
      <c r="J33" s="17">
        <f>IF($P33="","",IFERROR(IF(INDEX(MASTER!$L$4:$L$1463,$P33)="","",INDEX(MASTER!$L$4:$L$1463,$P33)),""))</f>
        <v>5.4</v>
      </c>
      <c r="K33" s="17">
        <f>IF($P33="","",IFERROR(IF(INDEX(MASTER!$N$4:$N$1463,$P33)="","",INDEX(MASTER!$N$4:$N$1463,$P33)),""))</f>
        <v>55.1</v>
      </c>
      <c r="L33" s="15" t="str">
        <f>IF($P33="","",IFERROR(IF(INDEX(MASTER!$O$4:$O$1463,$P33)="","",INDEX(MASTER!$O$4:$O$1463,$P33)),""))</f>
        <v>A</v>
      </c>
      <c r="M33" s="15">
        <f>IF($P33="","",IFERROR(IF(INDEX(MASTER!$Q$4:$Q$1463,$P33)="","",INDEX(MASTER!$Q$4:$Q$1463,$P33)),""))</f>
        <v>42</v>
      </c>
      <c r="N33" s="15" t="str">
        <f>IF($P33="","",IFERROR(IF(INDEX(MASTER!$S$4:$S$1463,$P33)="","",INDEX(MASTER!$S$4:$S$1463,$P33)),""))</f>
        <v>Complete</v>
      </c>
      <c r="P33">
        <f>IFERROR(MATCH($Q$1&amp;"@25",MASTER!$AC$4:$AC$1463,0),"")</f>
        <v>405</v>
      </c>
    </row>
    <row r="34" spans="1:16">
      <c r="A34" s="19">
        <f>IF($P34="","",26)</f>
        <v>26</v>
      </c>
      <c r="B34" s="18" t="str">
        <f>IF($P34="","",IFERROR(IF(INDEX(MASTER!$C$4:$C$1463,$P34)="","",INDEX(MASTER!$C$4:$C$1463,$P34)),""))</f>
        <v>GabbeGotSauce</v>
      </c>
      <c r="C34" s="19" t="str">
        <f>IF($P34="","",IFERROR(IF(INDEX(MASTER!$D$4:$D$1463,$P34)="","",INDEX(MASTER!$D$4:$D$1463,$P34)),""))</f>
        <v/>
      </c>
      <c r="D34" s="19" t="str">
        <f>IF($P34="","",IFERROR(IF(INDEX(MASTER!$E$4:$E$1463,$P34)="","",INDEX(MASTER!$E$4:$E$1463,$P34)),""))</f>
        <v>WIZARD</v>
      </c>
      <c r="E34" s="19" t="str">
        <f>IF($P34="","",IFERROR(IF(INDEX(MASTER!$F$4:$F$1463,$P34)="","",INDEX(MASTER!$F$4:$F$1463,$P34)),""))</f>
        <v>Ranged DPS</v>
      </c>
      <c r="F34" s="20">
        <f>IF($P34="","",IFERROR(IF(INDEX(MASTER!$G$4:$G$1463,$P34)="","",INDEX(MASTER!$G$4:$G$1463,$P34)),""))</f>
        <v>64339</v>
      </c>
      <c r="G34" s="19" t="str">
        <f>IF($P34="","",IFERROR(IF(INDEX(MASTER!$H$4:$H$1463,$P34)="","",INDEX(MASTER!$H$4:$H$1463,$P34)),""))</f>
        <v>64,000 +</v>
      </c>
      <c r="H34" s="20">
        <f>IF($P34="","",IFERROR(IF(INDEX(MASTER!$I$4:$I$1463,$P34)="","",INDEX(MASTER!$I$4:$I$1463,$P34)),""))</f>
        <v>11185</v>
      </c>
      <c r="I34" s="19" t="str">
        <f>IF($P34="","",IFERROR(IF(INDEX(MASTER!$J$4:$J$1463,$P34)="","",INDEX(MASTER!$J$4:$J$1463,$P34)),""))</f>
        <v>APEX</v>
      </c>
      <c r="J34" s="21">
        <f>IF($P34="","",IFERROR(IF(INDEX(MASTER!$L$4:$L$1463,$P34)="","",INDEX(MASTER!$L$4:$L$1463,$P34)),""))</f>
        <v>10.5</v>
      </c>
      <c r="K34" s="21">
        <f>IF($P34="","",IFERROR(IF(INDEX(MASTER!$N$4:$N$1463,$P34)="","",INDEX(MASTER!$N$4:$N$1463,$P34)),""))</f>
        <v>90.9</v>
      </c>
      <c r="L34" s="19" t="str">
        <f>IF($P34="","",IFERROR(IF(INDEX(MASTER!$O$4:$O$1463,$P34)="","",INDEX(MASTER!$O$4:$O$1463,$P34)),""))</f>
        <v>S+</v>
      </c>
      <c r="M34" s="19">
        <f>IF($P34="","",IFERROR(IF(INDEX(MASTER!$Q$4:$Q$1463,$P34)="","",INDEX(MASTER!$Q$4:$Q$1463,$P34)),""))</f>
        <v>4</v>
      </c>
      <c r="N34" s="19" t="str">
        <f>IF($P34="","",IFERROR(IF(INDEX(MASTER!$S$4:$S$1463,$P34)="","",INDEX(MASTER!$S$4:$S$1463,$P34)),""))</f>
        <v>Complete</v>
      </c>
      <c r="P34">
        <f>IFERROR(MATCH($Q$1&amp;"@26",MASTER!$AC$4:$AC$1463,0),"")</f>
        <v>415</v>
      </c>
    </row>
    <row r="35" spans="1:16">
      <c r="A35" s="15">
        <f>IF($P35="","",27)</f>
        <v>27</v>
      </c>
      <c r="B35" s="14" t="str">
        <f>IF($P35="","",IFERROR(IF(INDEX(MASTER!$C$4:$C$1463,$P35)="","",INDEX(MASTER!$C$4:$C$1463,$P35)),""))</f>
        <v>GhostyLoki</v>
      </c>
      <c r="C35" s="15" t="str">
        <f>IF($P35="","",IFERROR(IF(INDEX(MASTER!$D$4:$D$1463,$P35)="","",INDEX(MASTER!$D$4:$D$1463,$P35)),""))</f>
        <v/>
      </c>
      <c r="D35" s="15" t="str">
        <f>IF($P35="","",IFERROR(IF(INDEX(MASTER!$E$4:$E$1463,$P35)="","",INDEX(MASTER!$E$4:$E$1463,$P35)),""))</f>
        <v>WARLOCK</v>
      </c>
      <c r="E35" s="15" t="str">
        <f>IF($P35="","",IFERROR(IF(INDEX(MASTER!$F$4:$F$1463,$P35)="","",INDEX(MASTER!$F$4:$F$1463,$P35)),""))</f>
        <v>Control</v>
      </c>
      <c r="F35" s="16">
        <f>IF($P35="","",IFERROR(IF(INDEX(MASTER!$G$4:$G$1463,$P35)="","",INDEX(MASTER!$G$4:$G$1463,$P35)),""))</f>
        <v>61909</v>
      </c>
      <c r="G35" s="15" t="str">
        <f>IF($P35="","",IFERROR(IF(INDEX(MASTER!$H$4:$H$1463,$P35)="","",INDEX(MASTER!$H$4:$H$1463,$P35)),""))</f>
        <v>61,000 - 61,999</v>
      </c>
      <c r="H35" s="16">
        <f>IF($P35="","",IFERROR(IF(INDEX(MASTER!$I$4:$I$1463,$P35)="","",INDEX(MASTER!$I$4:$I$1463,$P35)),""))</f>
        <v>6144</v>
      </c>
      <c r="I35" s="15" t="str">
        <f>IF($P35="","",IFERROR(IF(INDEX(MASTER!$J$4:$J$1463,$P35)="","",INDEX(MASTER!$J$4:$J$1463,$P35)),""))</f>
        <v>VETERAN</v>
      </c>
      <c r="J35" s="17">
        <f>IF($P35="","",IFERROR(IF(INDEX(MASTER!$L$4:$L$1463,$P35)="","",INDEX(MASTER!$L$4:$L$1463,$P35)),""))</f>
        <v>7.2</v>
      </c>
      <c r="K35" s="17">
        <f>IF($P35="","",IFERROR(IF(INDEX(MASTER!$N$4:$N$1463,$P35)="","",INDEX(MASTER!$N$4:$N$1463,$P35)),""))</f>
        <v>57</v>
      </c>
      <c r="L35" s="15" t="str">
        <f>IF($P35="","",IFERROR(IF(INDEX(MASTER!$O$4:$O$1463,$P35)="","",INDEX(MASTER!$O$4:$O$1463,$P35)),""))</f>
        <v>A</v>
      </c>
      <c r="M35" s="15">
        <f>IF($P35="","",IFERROR(IF(INDEX(MASTER!$Q$4:$Q$1463,$P35)="","",INDEX(MASTER!$Q$4:$Q$1463,$P35)),""))</f>
        <v>43</v>
      </c>
      <c r="N35" s="15" t="str">
        <f>IF($P35="","",IFERROR(IF(INDEX(MASTER!$S$4:$S$1463,$P35)="","",INDEX(MASTER!$S$4:$S$1463,$P35)),""))</f>
        <v>Complete</v>
      </c>
      <c r="P35">
        <f>IFERROR(MATCH($Q$1&amp;"@27",MASTER!$AC$4:$AC$1463,0),"")</f>
        <v>427</v>
      </c>
    </row>
    <row r="36" spans="1:16">
      <c r="A36" s="19">
        <f>IF($P36="","",28)</f>
        <v>28</v>
      </c>
      <c r="B36" s="18" t="str">
        <f>IF($P36="","",IFERROR(IF(INDEX(MASTER!$C$4:$C$1463,$P36)="","",INDEX(MASTER!$C$4:$C$1463,$P36)),""))</f>
        <v>gloom</v>
      </c>
      <c r="C36" s="19" t="str">
        <f>IF($P36="","",IFERROR(IF(INDEX(MASTER!$D$4:$D$1463,$P36)="","",INDEX(MASTER!$D$4:$D$1463,$P36)),""))</f>
        <v/>
      </c>
      <c r="D36" s="19" t="str">
        <f>IF($P36="","",IFERROR(IF(INDEX(MASTER!$E$4:$E$1463,$P36)="","",INDEX(MASTER!$E$4:$E$1463,$P36)),""))</f>
        <v>WARLOCK</v>
      </c>
      <c r="E36" s="19" t="str">
        <f>IF($P36="","",IFERROR(IF(INDEX(MASTER!$F$4:$F$1463,$P36)="","",INDEX(MASTER!$F$4:$F$1463,$P36)),""))</f>
        <v>Control</v>
      </c>
      <c r="F36" s="20">
        <f>IF($P36="","",IFERROR(IF(INDEX(MASTER!$G$4:$G$1463,$P36)="","",INDEX(MASTER!$G$4:$G$1463,$P36)),""))</f>
        <v>61055</v>
      </c>
      <c r="G36" s="19" t="str">
        <f>IF($P36="","",IFERROR(IF(INDEX(MASTER!$H$4:$H$1463,$P36)="","",INDEX(MASTER!$H$4:$H$1463,$P36)),""))</f>
        <v>61,000 - 61,999</v>
      </c>
      <c r="H36" s="20">
        <f>IF($P36="","",IFERROR(IF(INDEX(MASTER!$I$4:$I$1463,$P36)="","",INDEX(MASTER!$I$4:$I$1463,$P36)),""))</f>
        <v>3163</v>
      </c>
      <c r="I36" s="19" t="str">
        <f>IF($P36="","",IFERROR(IF(INDEX(MASTER!$J$4:$J$1463,$P36)="","",INDEX(MASTER!$J$4:$J$1463,$P36)),""))</f>
        <v>DEVELOPING</v>
      </c>
      <c r="J36" s="21">
        <f>IF($P36="","",IFERROR(IF(INDEX(MASTER!$L$4:$L$1463,$P36)="","",INDEX(MASTER!$L$4:$L$1463,$P36)),""))</f>
        <v>5.75</v>
      </c>
      <c r="K36" s="21">
        <f>IF($P36="","",IFERROR(IF(INDEX(MASTER!$N$4:$N$1463,$P36)="","",INDEX(MASTER!$N$4:$N$1463,$P36)),""))</f>
        <v>39.299999999999997</v>
      </c>
      <c r="L36" s="19" t="str">
        <f>IF($P36="","",IFERROR(IF(INDEX(MASTER!$O$4:$O$1463,$P36)="","",INDEX(MASTER!$O$4:$O$1463,$P36)),""))</f>
        <v>B</v>
      </c>
      <c r="M36" s="19">
        <f>IF($P36="","",IFERROR(IF(INDEX(MASTER!$Q$4:$Q$1463,$P36)="","",INDEX(MASTER!$Q$4:$Q$1463,$P36)),""))</f>
        <v>89</v>
      </c>
      <c r="N36" s="19" t="str">
        <f>IF($P36="","",IFERROR(IF(INDEX(MASTER!$S$4:$S$1463,$P36)="","",INDEX(MASTER!$S$4:$S$1463,$P36)),""))</f>
        <v>Complete</v>
      </c>
      <c r="P36">
        <f>IFERROR(MATCH($Q$1&amp;"@28",MASTER!$AC$4:$AC$1463,0),"")</f>
        <v>435</v>
      </c>
    </row>
    <row r="37" spans="1:16">
      <c r="A37" s="15">
        <f>IF($P37="","",29)</f>
        <v>29</v>
      </c>
      <c r="B37" s="14" t="str">
        <f>IF($P37="","",IFERROR(IF(INDEX(MASTER!$C$4:$C$1463,$P37)="","",INDEX(MASTER!$C$4:$C$1463,$P37)),""))</f>
        <v>HesNotHuman</v>
      </c>
      <c r="C37" s="15" t="str">
        <f>IF($P37="","",IFERROR(IF(INDEX(MASTER!$D$4:$D$1463,$P37)="","",INDEX(MASTER!$D$4:$D$1463,$P37)),""))</f>
        <v/>
      </c>
      <c r="D37" s="15" t="str">
        <f>IF($P37="","",IFERROR(IF(INDEX(MASTER!$E$4:$E$1463,$P37)="","",INDEX(MASTER!$E$4:$E$1463,$P37)),""))</f>
        <v>BLOOD KNIGHT</v>
      </c>
      <c r="E37" s="15" t="str">
        <f>IF($P37="","",IFERROR(IF(INDEX(MASTER!$F$4:$F$1463,$P37)="","",INDEX(MASTER!$F$4:$F$1463,$P37)),""))</f>
        <v>Frontline</v>
      </c>
      <c r="F37" s="16">
        <f>IF($P37="","",IFERROR(IF(INDEX(MASTER!$G$4:$G$1463,$P37)="","",INDEX(MASTER!$G$4:$G$1463,$P37)),""))</f>
        <v>61429</v>
      </c>
      <c r="G37" s="15" t="str">
        <f>IF($P37="","",IFERROR(IF(INDEX(MASTER!$H$4:$H$1463,$P37)="","",INDEX(MASTER!$H$4:$H$1463,$P37)),""))</f>
        <v>61,000 - 61,999</v>
      </c>
      <c r="H37" s="16">
        <f>IF($P37="","",IFERROR(IF(INDEX(MASTER!$I$4:$I$1463,$P37)="","",INDEX(MASTER!$I$4:$I$1463,$P37)),""))</f>
        <v>6423</v>
      </c>
      <c r="I37" s="15" t="str">
        <f>IF($P37="","",IFERROR(IF(INDEX(MASTER!$J$4:$J$1463,$P37)="","",INDEX(MASTER!$J$4:$J$1463,$P37)),""))</f>
        <v>VETERAN</v>
      </c>
      <c r="J37" s="17">
        <f>IF($P37="","",IFERROR(IF(INDEX(MASTER!$L$4:$L$1463,$P37)="","",INDEX(MASTER!$L$4:$L$1463,$P37)),""))</f>
        <v>5.9</v>
      </c>
      <c r="K37" s="17">
        <f>IF($P37="","",IFERROR(IF(INDEX(MASTER!$N$4:$N$1463,$P37)="","",INDEX(MASTER!$N$4:$N$1463,$P37)),""))</f>
        <v>54.8</v>
      </c>
      <c r="L37" s="15" t="str">
        <f>IF($P37="","",IFERROR(IF(INDEX(MASTER!$O$4:$O$1463,$P37)="","",INDEX(MASTER!$O$4:$O$1463,$P37)),""))</f>
        <v>A</v>
      </c>
      <c r="M37" s="15">
        <f>IF($P37="","",IFERROR(IF(INDEX(MASTER!$Q$4:$Q$1463,$P37)="","",INDEX(MASTER!$Q$4:$Q$1463,$P37)),""))</f>
        <v>40</v>
      </c>
      <c r="N37" s="15" t="str">
        <f>IF($P37="","",IFERROR(IF(INDEX(MASTER!$S$4:$S$1463,$P37)="","",INDEX(MASTER!$S$4:$S$1463,$P37)),""))</f>
        <v>Complete</v>
      </c>
      <c r="P37">
        <f>IFERROR(MATCH($Q$1&amp;"@29",MASTER!$AC$4:$AC$1463,0),"")</f>
        <v>500</v>
      </c>
    </row>
    <row r="38" spans="1:16">
      <c r="A38" s="19">
        <f>IF($P38="","",30)</f>
        <v>30</v>
      </c>
      <c r="B38" s="18" t="str">
        <f>IF($P38="","",IFERROR(IF(INDEX(MASTER!$C$4:$C$1463,$P38)="","",INDEX(MASTER!$C$4:$C$1463,$P38)),""))</f>
        <v>HolyGhostin</v>
      </c>
      <c r="C38" s="19" t="str">
        <f>IF($P38="","",IFERROR(IF(INDEX(MASTER!$D$4:$D$1463,$P38)="","",INDEX(MASTER!$D$4:$D$1463,$P38)),""))</f>
        <v/>
      </c>
      <c r="D38" s="19" t="str">
        <f>IF($P38="","",IFERROR(IF(INDEX(MASTER!$E$4:$E$1463,$P38)="","",INDEX(MASTER!$E$4:$E$1463,$P38)),""))</f>
        <v>WARLOCK</v>
      </c>
      <c r="E38" s="19" t="str">
        <f>IF($P38="","",IFERROR(IF(INDEX(MASTER!$F$4:$F$1463,$P38)="","",INDEX(MASTER!$F$4:$F$1463,$P38)),""))</f>
        <v>Control</v>
      </c>
      <c r="F38" s="20">
        <f>IF($P38="","",IFERROR(IF(INDEX(MASTER!$G$4:$G$1463,$P38)="","",INDEX(MASTER!$G$4:$G$1463,$P38)),""))</f>
        <v>61902</v>
      </c>
      <c r="G38" s="19" t="str">
        <f>IF($P38="","",IFERROR(IF(INDEX(MASTER!$H$4:$H$1463,$P38)="","",INDEX(MASTER!$H$4:$H$1463,$P38)),""))</f>
        <v>61,000 - 61,999</v>
      </c>
      <c r="H38" s="20">
        <f>IF($P38="","",IFERROR(IF(INDEX(MASTER!$I$4:$I$1463,$P38)="","",INDEX(MASTER!$I$4:$I$1463,$P38)),""))</f>
        <v>7128</v>
      </c>
      <c r="I38" s="19" t="str">
        <f>IF($P38="","",IFERROR(IF(INDEX(MASTER!$J$4:$J$1463,$P38)="","",INDEX(MASTER!$J$4:$J$1463,$P38)),""))</f>
        <v>VETERAN</v>
      </c>
      <c r="J38" s="21">
        <f>IF($P38="","",IFERROR(IF(INDEX(MASTER!$L$4:$L$1463,$P38)="","",INDEX(MASTER!$L$4:$L$1463,$P38)),""))</f>
        <v>5.5</v>
      </c>
      <c r="K38" s="21">
        <f>IF($P38="","",IFERROR(IF(INDEX(MASTER!$N$4:$N$1463,$P38)="","",INDEX(MASTER!$N$4:$N$1463,$P38)),""))</f>
        <v>58.4</v>
      </c>
      <c r="L38" s="19" t="str">
        <f>IF($P38="","",IFERROR(IF(INDEX(MASTER!$O$4:$O$1463,$P38)="","",INDEX(MASTER!$O$4:$O$1463,$P38)),""))</f>
        <v>A</v>
      </c>
      <c r="M38" s="19">
        <f>IF($P38="","",IFERROR(IF(INDEX(MASTER!$Q$4:$Q$1463,$P38)="","",INDEX(MASTER!$Q$4:$Q$1463,$P38)),""))</f>
        <v>33</v>
      </c>
      <c r="N38" s="19" t="str">
        <f>IF($P38="","",IFERROR(IF(INDEX(MASTER!$S$4:$S$1463,$P38)="","",INDEX(MASTER!$S$4:$S$1463,$P38)),""))</f>
        <v>Complete</v>
      </c>
      <c r="P38">
        <f>IFERROR(MATCH($Q$1&amp;"@30",MASTER!$AC$4:$AC$1463,0),"")</f>
        <v>506</v>
      </c>
    </row>
    <row r="39" spans="1:16">
      <c r="A39" s="15">
        <f>IF($P39="","",31)</f>
        <v>31</v>
      </c>
      <c r="B39" s="14" t="str">
        <f>IF($P39="","",IFERROR(IF(INDEX(MASTER!$C$4:$C$1463,$P39)="","",INDEX(MASTER!$C$4:$C$1463,$P39)),""))</f>
        <v>IGC X R0BZ</v>
      </c>
      <c r="C39" s="15" t="str">
        <f>IF($P39="","",IFERROR(IF(INDEX(MASTER!$D$4:$D$1463,$P39)="","",INDEX(MASTER!$D$4:$D$1463,$P39)),""))</f>
        <v/>
      </c>
      <c r="D39" s="15" t="str">
        <f>IF($P39="","",IFERROR(IF(INDEX(MASTER!$E$4:$E$1463,$P39)="","",INDEX(MASTER!$E$4:$E$1463,$P39)),""))</f>
        <v>BARBARIAN</v>
      </c>
      <c r="E39" s="15" t="str">
        <f>IF($P39="","",IFERROR(IF(INDEX(MASTER!$F$4:$F$1463,$P39)="","",INDEX(MASTER!$F$4:$F$1463,$P39)),""))</f>
        <v>Frontline</v>
      </c>
      <c r="F39" s="16">
        <f>IF($P39="","",IFERROR(IF(INDEX(MASTER!$G$4:$G$1463,$P39)="","",INDEX(MASTER!$G$4:$G$1463,$P39)),""))</f>
        <v>64041</v>
      </c>
      <c r="G39" s="15" t="str">
        <f>IF($P39="","",IFERROR(IF(INDEX(MASTER!$H$4:$H$1463,$P39)="","",INDEX(MASTER!$H$4:$H$1463,$P39)),""))</f>
        <v>64,000 +</v>
      </c>
      <c r="H39" s="16">
        <f>IF($P39="","",IFERROR(IF(INDEX(MASTER!$I$4:$I$1463,$P39)="","",INDEX(MASTER!$I$4:$I$1463,$P39)),""))</f>
        <v>8417</v>
      </c>
      <c r="I39" s="15" t="str">
        <f>IF($P39="","",IFERROR(IF(INDEX(MASTER!$J$4:$J$1463,$P39)="","",INDEX(MASTER!$J$4:$J$1463,$P39)),""))</f>
        <v>ELITE</v>
      </c>
      <c r="J39" s="17">
        <f>IF($P39="","",IFERROR(IF(INDEX(MASTER!$L$4:$L$1463,$P39)="","",INDEX(MASTER!$L$4:$L$1463,$P39)),""))</f>
        <v>7.75</v>
      </c>
      <c r="K39" s="17">
        <f>IF($P39="","",IFERROR(IF(INDEX(MASTER!$N$4:$N$1463,$P39)="","",INDEX(MASTER!$N$4:$N$1463,$P39)),""))</f>
        <v>73.400000000000006</v>
      </c>
      <c r="L39" s="15" t="str">
        <f>IF($P39="","",IFERROR(IF(INDEX(MASTER!$O$4:$O$1463,$P39)="","",INDEX(MASTER!$O$4:$O$1463,$P39)),""))</f>
        <v>S</v>
      </c>
      <c r="M39" s="15">
        <f>IF($P39="","",IFERROR(IF(INDEX(MASTER!$Q$4:$Q$1463,$P39)="","",INDEX(MASTER!$Q$4:$Q$1463,$P39)),""))</f>
        <v>20</v>
      </c>
      <c r="N39" s="15" t="str">
        <f>IF($P39="","",IFERROR(IF(INDEX(MASTER!$S$4:$S$1463,$P39)="","",INDEX(MASTER!$S$4:$S$1463,$P39)),""))</f>
        <v>Complete</v>
      </c>
      <c r="P39">
        <f>IFERROR(MATCH($Q$1&amp;"@31",MASTER!$AC$4:$AC$1463,0),"")</f>
        <v>528</v>
      </c>
    </row>
    <row r="40" spans="1:16">
      <c r="A40" s="19">
        <f>IF($P40="","",32)</f>
        <v>32</v>
      </c>
      <c r="B40" s="18" t="str">
        <f>IF($P40="","",IFERROR(IF(INDEX(MASTER!$C$4:$C$1463,$P40)="","",INDEX(MASTER!$C$4:$C$1463,$P40)),""))</f>
        <v>JayBreezy</v>
      </c>
      <c r="C40" s="19" t="str">
        <f>IF($P40="","",IFERROR(IF(INDEX(MASTER!$D$4:$D$1463,$P40)="","",INDEX(MASTER!$D$4:$D$1463,$P40)),""))</f>
        <v/>
      </c>
      <c r="D40" s="19" t="str">
        <f>IF($P40="","",IFERROR(IF(INDEX(MASTER!$E$4:$E$1463,$P40)="","",INDEX(MASTER!$E$4:$E$1463,$P40)),""))</f>
        <v>BARBARIAN</v>
      </c>
      <c r="E40" s="19" t="str">
        <f>IF($P40="","",IFERROR(IF(INDEX(MASTER!$F$4:$F$1463,$P40)="","",INDEX(MASTER!$F$4:$F$1463,$P40)),""))</f>
        <v>Frontline</v>
      </c>
      <c r="F40" s="20">
        <f>IF($P40="","",IFERROR(IF(INDEX(MASTER!$G$4:$G$1463,$P40)="","",INDEX(MASTER!$G$4:$G$1463,$P40)),""))</f>
        <v>62606</v>
      </c>
      <c r="G40" s="19" t="str">
        <f>IF($P40="","",IFERROR(IF(INDEX(MASTER!$H$4:$H$1463,$P40)="","",INDEX(MASTER!$H$4:$H$1463,$P40)),""))</f>
        <v>62,000 - 62,999</v>
      </c>
      <c r="H40" s="20">
        <f>IF($P40="","",IFERROR(IF(INDEX(MASTER!$I$4:$I$1463,$P40)="","",INDEX(MASTER!$I$4:$I$1463,$P40)),""))</f>
        <v>3452</v>
      </c>
      <c r="I40" s="19" t="str">
        <f>IF($P40="","",IFERROR(IF(INDEX(MASTER!$J$4:$J$1463,$P40)="","",INDEX(MASTER!$J$4:$J$1463,$P40)),""))</f>
        <v>DEVELOPING</v>
      </c>
      <c r="J40" s="21">
        <f>IF($P40="","",IFERROR(IF(INDEX(MASTER!$L$4:$L$1463,$P40)="","",INDEX(MASTER!$L$4:$L$1463,$P40)),""))</f>
        <v>4.8499999999999996</v>
      </c>
      <c r="K40" s="21">
        <f>IF($P40="","",IFERROR(IF(INDEX(MASTER!$N$4:$N$1463,$P40)="","",INDEX(MASTER!$N$4:$N$1463,$P40)),""))</f>
        <v>43.2</v>
      </c>
      <c r="L40" s="19" t="str">
        <f>IF($P40="","",IFERROR(IF(INDEX(MASTER!$O$4:$O$1463,$P40)="","",INDEX(MASTER!$O$4:$O$1463,$P40)),""))</f>
        <v>B</v>
      </c>
      <c r="M40" s="19">
        <f>IF($P40="","",IFERROR(IF(INDEX(MASTER!$Q$4:$Q$1463,$P40)="","",INDEX(MASTER!$Q$4:$Q$1463,$P40)),""))</f>
        <v>84</v>
      </c>
      <c r="N40" s="19" t="str">
        <f>IF($P40="","",IFERROR(IF(INDEX(MASTER!$S$4:$S$1463,$P40)="","",INDEX(MASTER!$S$4:$S$1463,$P40)),""))</f>
        <v>Complete</v>
      </c>
      <c r="P40">
        <f>IFERROR(MATCH($Q$1&amp;"@32",MASTER!$AC$4:$AC$1463,0),"")</f>
        <v>551</v>
      </c>
    </row>
    <row r="41" spans="1:16">
      <c r="A41" s="15">
        <f>IF($P41="","",33)</f>
        <v>33</v>
      </c>
      <c r="B41" s="14" t="str">
        <f>IF($P41="","",IFERROR(IF(INDEX(MASTER!$C$4:$C$1463,$P41)="","",INDEX(MASTER!$C$4:$C$1463,$P41)),""))</f>
        <v>Jezalee</v>
      </c>
      <c r="C41" s="15" t="str">
        <f>IF($P41="","",IFERROR(IF(INDEX(MASTER!$D$4:$D$1463,$P41)="","",INDEX(MASTER!$D$4:$D$1463,$P41)),""))</f>
        <v/>
      </c>
      <c r="D41" s="15" t="str">
        <f>IF($P41="","",IFERROR(IF(INDEX(MASTER!$E$4:$E$1463,$P41)="","",INDEX(MASTER!$E$4:$E$1463,$P41)),""))</f>
        <v>MONK</v>
      </c>
      <c r="E41" s="15" t="str">
        <f>IF($P41="","",IFERROR(IF(INDEX(MASTER!$F$4:$F$1463,$P41)="","",INDEX(MASTER!$F$4:$F$1463,$P41)),""))</f>
        <v>Support</v>
      </c>
      <c r="F41" s="16">
        <f>IF($P41="","",IFERROR(IF(INDEX(MASTER!$G$4:$G$1463,$P41)="","",INDEX(MASTER!$G$4:$G$1463,$P41)),""))</f>
        <v>62621</v>
      </c>
      <c r="G41" s="15" t="str">
        <f>IF($P41="","",IFERROR(IF(INDEX(MASTER!$H$4:$H$1463,$P41)="","",INDEX(MASTER!$H$4:$H$1463,$P41)),""))</f>
        <v>62,000 - 62,999</v>
      </c>
      <c r="H41" s="16">
        <f>IF($P41="","",IFERROR(IF(INDEX(MASTER!$I$4:$I$1463,$P41)="","",INDEX(MASTER!$I$4:$I$1463,$P41)),""))</f>
        <v>2304</v>
      </c>
      <c r="I41" s="15" t="str">
        <f>IF($P41="","",IFERROR(IF(INDEX(MASTER!$J$4:$J$1463,$P41)="","",INDEX(MASTER!$J$4:$J$1463,$P41)),""))</f>
        <v>DEVELOPING</v>
      </c>
      <c r="J41" s="17">
        <f>IF($P41="","",IFERROR(IF(INDEX(MASTER!$L$4:$L$1463,$P41)="","",INDEX(MASTER!$L$4:$L$1463,$P41)),""))</f>
        <v>4.2</v>
      </c>
      <c r="K41" s="17">
        <f>IF($P41="","",IFERROR(IF(INDEX(MASTER!$N$4:$N$1463,$P41)="","",INDEX(MASTER!$N$4:$N$1463,$P41)),""))</f>
        <v>37.1</v>
      </c>
      <c r="L41" s="15" t="str">
        <f>IF($P41="","",IFERROR(IF(INDEX(MASTER!$O$4:$O$1463,$P41)="","",INDEX(MASTER!$O$4:$O$1463,$P41)),""))</f>
        <v>B</v>
      </c>
      <c r="M41" s="15">
        <f>IF($P41="","",IFERROR(IF(INDEX(MASTER!$Q$4:$Q$1463,$P41)="","",INDEX(MASTER!$Q$4:$Q$1463,$P41)),""))</f>
        <v>96</v>
      </c>
      <c r="N41" s="15" t="str">
        <f>IF($P41="","",IFERROR(IF(INDEX(MASTER!$S$4:$S$1463,$P41)="","",INDEX(MASTER!$S$4:$S$1463,$P41)),""))</f>
        <v>Complete</v>
      </c>
      <c r="P41">
        <f>IFERROR(MATCH($Q$1&amp;"@33",MASTER!$AC$4:$AC$1463,0),"")</f>
        <v>561</v>
      </c>
    </row>
    <row r="42" spans="1:16">
      <c r="A42" s="19">
        <f>IF($P42="","",34)</f>
        <v>34</v>
      </c>
      <c r="B42" s="18" t="str">
        <f>IF($P42="","",IFERROR(IF(INDEX(MASTER!$C$4:$C$1463,$P42)="","",INDEX(MASTER!$C$4:$C$1463,$P42)),""))</f>
        <v>jOdy</v>
      </c>
      <c r="C42" s="19" t="str">
        <f>IF($P42="","",IFERROR(IF(INDEX(MASTER!$D$4:$D$1463,$P42)="","",INDEX(MASTER!$D$4:$D$1463,$P42)),""))</f>
        <v/>
      </c>
      <c r="D42" s="19" t="str">
        <f>IF($P42="","",IFERROR(IF(INDEX(MASTER!$E$4:$E$1463,$P42)="","",INDEX(MASTER!$E$4:$E$1463,$P42)),""))</f>
        <v>WARLOCK</v>
      </c>
      <c r="E42" s="19" t="str">
        <f>IF($P42="","",IFERROR(IF(INDEX(MASTER!$F$4:$F$1463,$P42)="","",INDEX(MASTER!$F$4:$F$1463,$P42)),""))</f>
        <v>Control</v>
      </c>
      <c r="F42" s="20">
        <f>IF($P42="","",IFERROR(IF(INDEX(MASTER!$G$4:$G$1463,$P42)="","",INDEX(MASTER!$G$4:$G$1463,$P42)),""))</f>
        <v>61002</v>
      </c>
      <c r="G42" s="19" t="str">
        <f>IF($P42="","",IFERROR(IF(INDEX(MASTER!$H$4:$H$1463,$P42)="","",INDEX(MASTER!$H$4:$H$1463,$P42)),""))</f>
        <v>61,000 - 61,999</v>
      </c>
      <c r="H42" s="20">
        <f>IF($P42="","",IFERROR(IF(INDEX(MASTER!$I$4:$I$1463,$P42)="","",INDEX(MASTER!$I$4:$I$1463,$P42)),""))</f>
        <v>2964</v>
      </c>
      <c r="I42" s="19" t="str">
        <f>IF($P42="","",IFERROR(IF(INDEX(MASTER!$J$4:$J$1463,$P42)="","",INDEX(MASTER!$J$4:$J$1463,$P42)),""))</f>
        <v>DEVELOPING</v>
      </c>
      <c r="J42" s="21">
        <f>IF($P42="","",IFERROR(IF(INDEX(MASTER!$L$4:$L$1463,$P42)="","",INDEX(MASTER!$L$4:$L$1463,$P42)),""))</f>
        <v>4.3</v>
      </c>
      <c r="K42" s="21">
        <f>IF($P42="","",IFERROR(IF(INDEX(MASTER!$N$4:$N$1463,$P42)="","",INDEX(MASTER!$N$4:$N$1463,$P42)),""))</f>
        <v>35.9</v>
      </c>
      <c r="L42" s="19" t="str">
        <f>IF($P42="","",IFERROR(IF(INDEX(MASTER!$O$4:$O$1463,$P42)="","",INDEX(MASTER!$O$4:$O$1463,$P42)),""))</f>
        <v>B</v>
      </c>
      <c r="M42" s="19">
        <f>IF($P42="","",IFERROR(IF(INDEX(MASTER!$Q$4:$Q$1463,$P42)="","",INDEX(MASTER!$Q$4:$Q$1463,$P42)),""))</f>
        <v>92</v>
      </c>
      <c r="N42" s="19" t="str">
        <f>IF($P42="","",IFERROR(IF(INDEX(MASTER!$S$4:$S$1463,$P42)="","",INDEX(MASTER!$S$4:$S$1463,$P42)),""))</f>
        <v>Complete</v>
      </c>
      <c r="P42">
        <f>IFERROR(MATCH($Q$1&amp;"@34",MASTER!$AC$4:$AC$1463,0),"")</f>
        <v>568</v>
      </c>
    </row>
    <row r="43" spans="1:16">
      <c r="A43" s="15">
        <f>IF($P43="","",35)</f>
        <v>35</v>
      </c>
      <c r="B43" s="14" t="str">
        <f>IF($P43="","",IFERROR(IF(INDEX(MASTER!$C$4:$C$1463,$P43)="","",INDEX(MASTER!$C$4:$C$1463,$P43)),""))</f>
        <v>Kazeroth</v>
      </c>
      <c r="C43" s="15" t="str">
        <f>IF($P43="","",IFERROR(IF(INDEX(MASTER!$D$4:$D$1463,$P43)="","",INDEX(MASTER!$D$4:$D$1463,$P43)),""))</f>
        <v/>
      </c>
      <c r="D43" s="15" t="str">
        <f>IF($P43="","",IFERROR(IF(INDEX(MASTER!$E$4:$E$1463,$P43)="","",INDEX(MASTER!$E$4:$E$1463,$P43)),""))</f>
        <v>WARLOCK</v>
      </c>
      <c r="E43" s="15" t="str">
        <f>IF($P43="","",IFERROR(IF(INDEX(MASTER!$F$4:$F$1463,$P43)="","",INDEX(MASTER!$F$4:$F$1463,$P43)),""))</f>
        <v>Control</v>
      </c>
      <c r="F43" s="16">
        <f>IF($P43="","",IFERROR(IF(INDEX(MASTER!$G$4:$G$1463,$P43)="","",INDEX(MASTER!$G$4:$G$1463,$P43)),""))</f>
        <v>63203</v>
      </c>
      <c r="G43" s="15" t="str">
        <f>IF($P43="","",IFERROR(IF(INDEX(MASTER!$H$4:$H$1463,$P43)="","",INDEX(MASTER!$H$4:$H$1463,$P43)),""))</f>
        <v>63,000 - 63,999</v>
      </c>
      <c r="H43" s="16">
        <f>IF($P43="","",IFERROR(IF(INDEX(MASTER!$I$4:$I$1463,$P43)="","",INDEX(MASTER!$I$4:$I$1463,$P43)),""))</f>
        <v>4751</v>
      </c>
      <c r="I43" s="15" t="str">
        <f>IF($P43="","",IFERROR(IF(INDEX(MASTER!$J$4:$J$1463,$P43)="","",INDEX(MASTER!$J$4:$J$1463,$P43)),""))</f>
        <v>CORE</v>
      </c>
      <c r="J43" s="17">
        <f>IF($P43="","",IFERROR(IF(INDEX(MASTER!$L$4:$L$1463,$P43)="","",INDEX(MASTER!$L$4:$L$1463,$P43)),""))</f>
        <v>5.85</v>
      </c>
      <c r="K43" s="17">
        <f>IF($P43="","",IFERROR(IF(INDEX(MASTER!$N$4:$N$1463,$P43)="","",INDEX(MASTER!$N$4:$N$1463,$P43)),""))</f>
        <v>52.1</v>
      </c>
      <c r="L43" s="15" t="str">
        <f>IF($P43="","",IFERROR(IF(INDEX(MASTER!$O$4:$O$1463,$P43)="","",INDEX(MASTER!$O$4:$O$1463,$P43)),""))</f>
        <v>A</v>
      </c>
      <c r="M43" s="15">
        <f>IF($P43="","",IFERROR(IF(INDEX(MASTER!$Q$4:$Q$1463,$P43)="","",INDEX(MASTER!$Q$4:$Q$1463,$P43)),""))</f>
        <v>60</v>
      </c>
      <c r="N43" s="15" t="str">
        <f>IF($P43="","",IFERROR(IF(INDEX(MASTER!$S$4:$S$1463,$P43)="","",INDEX(MASTER!$S$4:$S$1463,$P43)),""))</f>
        <v>Complete</v>
      </c>
      <c r="P43">
        <f>IFERROR(MATCH($Q$1&amp;"@35",MASTER!$AC$4:$AC$1463,0),"")</f>
        <v>592</v>
      </c>
    </row>
    <row r="44" spans="1:16">
      <c r="A44" s="19">
        <f>IF($P44="","",36)</f>
        <v>36</v>
      </c>
      <c r="B44" s="18" t="str">
        <f>IF($P44="","",IFERROR(IF(INDEX(MASTER!$C$4:$C$1463,$P44)="","",INDEX(MASTER!$C$4:$C$1463,$P44)),""))</f>
        <v>Kilâra</v>
      </c>
      <c r="C44" s="19" t="str">
        <f>IF($P44="","",IFERROR(IF(INDEX(MASTER!$D$4:$D$1463,$P44)="","",INDEX(MASTER!$D$4:$D$1463,$P44)),""))</f>
        <v/>
      </c>
      <c r="D44" s="19" t="str">
        <f>IF($P44="","",IFERROR(IF(INDEX(MASTER!$E$4:$E$1463,$P44)="","",INDEX(MASTER!$E$4:$E$1463,$P44)),""))</f>
        <v>NECROMANCER</v>
      </c>
      <c r="E44" s="19" t="str">
        <f>IF($P44="","",IFERROR(IF(INDEX(MASTER!$F$4:$F$1463,$P44)="","",INDEX(MASTER!$F$4:$F$1463,$P44)),""))</f>
        <v>Control</v>
      </c>
      <c r="F44" s="20">
        <f>IF($P44="","",IFERROR(IF(INDEX(MASTER!$G$4:$G$1463,$P44)="","",INDEX(MASTER!$G$4:$G$1463,$P44)),""))</f>
        <v>61646</v>
      </c>
      <c r="G44" s="19" t="str">
        <f>IF($P44="","",IFERROR(IF(INDEX(MASTER!$H$4:$H$1463,$P44)="","",INDEX(MASTER!$H$4:$H$1463,$P44)),""))</f>
        <v>61,000 - 61,999</v>
      </c>
      <c r="H44" s="20">
        <f>IF($P44="","",IFERROR(IF(INDEX(MASTER!$I$4:$I$1463,$P44)="","",INDEX(MASTER!$I$4:$I$1463,$P44)),""))</f>
        <v>3038</v>
      </c>
      <c r="I44" s="19" t="str">
        <f>IF($P44="","",IFERROR(IF(INDEX(MASTER!$J$4:$J$1463,$P44)="","",INDEX(MASTER!$J$4:$J$1463,$P44)),""))</f>
        <v>DEVELOPING</v>
      </c>
      <c r="J44" s="21">
        <f>IF($P44="","",IFERROR(IF(INDEX(MASTER!$L$4:$L$1463,$P44)="","",INDEX(MASTER!$L$4:$L$1463,$P44)),""))</f>
        <v>3.95</v>
      </c>
      <c r="K44" s="21">
        <f>IF($P44="","",IFERROR(IF(INDEX(MASTER!$N$4:$N$1463,$P44)="","",INDEX(MASTER!$N$4:$N$1463,$P44)),""))</f>
        <v>37.299999999999997</v>
      </c>
      <c r="L44" s="19" t="str">
        <f>IF($P44="","",IFERROR(IF(INDEX(MASTER!$O$4:$O$1463,$P44)="","",INDEX(MASTER!$O$4:$O$1463,$P44)),""))</f>
        <v>B</v>
      </c>
      <c r="M44" s="19">
        <f>IF($P44="","",IFERROR(IF(INDEX(MASTER!$Q$4:$Q$1463,$P44)="","",INDEX(MASTER!$Q$4:$Q$1463,$P44)),""))</f>
        <v>90</v>
      </c>
      <c r="N44" s="19" t="str">
        <f>IF($P44="","",IFERROR(IF(INDEX(MASTER!$S$4:$S$1463,$P44)="","",INDEX(MASTER!$S$4:$S$1463,$P44)),""))</f>
        <v>Complete</v>
      </c>
      <c r="P44">
        <f>IFERROR(MATCH($Q$1&amp;"@36",MASTER!$AC$4:$AC$1463,0),"")</f>
        <v>610</v>
      </c>
    </row>
    <row r="45" spans="1:16">
      <c r="A45" s="15">
        <f>IF($P45="","",37)</f>
        <v>37</v>
      </c>
      <c r="B45" s="14" t="str">
        <f>IF($P45="","",IFERROR(IF(INDEX(MASTER!$C$4:$C$1463,$P45)="","",INDEX(MASTER!$C$4:$C$1463,$P45)),""))</f>
        <v>killjoy</v>
      </c>
      <c r="C45" s="15" t="str">
        <f>IF($P45="","",IFERROR(IF(INDEX(MASTER!$D$4:$D$1463,$P45)="","",INDEX(MASTER!$D$4:$D$1463,$P45)),""))</f>
        <v/>
      </c>
      <c r="D45" s="15" t="str">
        <f>IF($P45="","",IFERROR(IF(INDEX(MASTER!$E$4:$E$1463,$P45)="","",INDEX(MASTER!$E$4:$E$1463,$P45)),""))</f>
        <v>WARLOCK</v>
      </c>
      <c r="E45" s="15" t="str">
        <f>IF($P45="","",IFERROR(IF(INDEX(MASTER!$F$4:$F$1463,$P45)="","",INDEX(MASTER!$F$4:$F$1463,$P45)),""))</f>
        <v>Control</v>
      </c>
      <c r="F45" s="16">
        <f>IF($P45="","",IFERROR(IF(INDEX(MASTER!$G$4:$G$1463,$P45)="","",INDEX(MASTER!$G$4:$G$1463,$P45)),""))</f>
        <v>63671</v>
      </c>
      <c r="G45" s="15" t="str">
        <f>IF($P45="","",IFERROR(IF(INDEX(MASTER!$H$4:$H$1463,$P45)="","",INDEX(MASTER!$H$4:$H$1463,$P45)),""))</f>
        <v>63,000 - 63,999</v>
      </c>
      <c r="H45" s="16">
        <f>IF($P45="","",IFERROR(IF(INDEX(MASTER!$I$4:$I$1463,$P45)="","",INDEX(MASTER!$I$4:$I$1463,$P45)),""))</f>
        <v>8727</v>
      </c>
      <c r="I45" s="15" t="str">
        <f>IF($P45="","",IFERROR(IF(INDEX(MASTER!$J$4:$J$1463,$P45)="","",INDEX(MASTER!$J$4:$J$1463,$P45)),""))</f>
        <v>ELITE</v>
      </c>
      <c r="J45" s="17">
        <f>IF($P45="","",IFERROR(IF(INDEX(MASTER!$L$4:$L$1463,$P45)="","",INDEX(MASTER!$L$4:$L$1463,$P45)),""))</f>
        <v>8.35</v>
      </c>
      <c r="K45" s="17">
        <f>IF($P45="","",IFERROR(IF(INDEX(MASTER!$N$4:$N$1463,$P45)="","",INDEX(MASTER!$N$4:$N$1463,$P45)),""))</f>
        <v>74.8</v>
      </c>
      <c r="L45" s="15" t="str">
        <f>IF($P45="","",IFERROR(IF(INDEX(MASTER!$O$4:$O$1463,$P45)="","",INDEX(MASTER!$O$4:$O$1463,$P45)),""))</f>
        <v>S</v>
      </c>
      <c r="M45" s="15">
        <f>IF($P45="","",IFERROR(IF(INDEX(MASTER!$Q$4:$Q$1463,$P45)="","",INDEX(MASTER!$Q$4:$Q$1463,$P45)),""))</f>
        <v>14</v>
      </c>
      <c r="N45" s="15" t="str">
        <f>IF($P45="","",IFERROR(IF(INDEX(MASTER!$S$4:$S$1463,$P45)="","",INDEX(MASTER!$S$4:$S$1463,$P45)),""))</f>
        <v>Complete</v>
      </c>
      <c r="P45">
        <f>IFERROR(MATCH($Q$1&amp;"@37",MASTER!$AC$4:$AC$1463,0),"")</f>
        <v>607</v>
      </c>
    </row>
    <row r="46" spans="1:16">
      <c r="A46" s="19">
        <f>IF($P46="","",38)</f>
        <v>38</v>
      </c>
      <c r="B46" s="18" t="str">
        <f>IF($P46="","",IFERROR(IF(INDEX(MASTER!$C$4:$C$1463,$P46)="","",INDEX(MASTER!$C$4:$C$1463,$P46)),""))</f>
        <v>Killshotte</v>
      </c>
      <c r="C46" s="19" t="str">
        <f>IF($P46="","",IFERROR(IF(INDEX(MASTER!$D$4:$D$1463,$P46)="","",INDEX(MASTER!$D$4:$D$1463,$P46)),""))</f>
        <v/>
      </c>
      <c r="D46" s="19" t="str">
        <f>IF($P46="","",IFERROR(IF(INDEX(MASTER!$E$4:$E$1463,$P46)="","",INDEX(MASTER!$E$4:$E$1463,$P46)),""))</f>
        <v>DEMON HUNTER</v>
      </c>
      <c r="E46" s="19" t="str">
        <f>IF($P46="","",IFERROR(IF(INDEX(MASTER!$F$4:$F$1463,$P46)="","",INDEX(MASTER!$F$4:$F$1463,$P46)),""))</f>
        <v>Ranged DPS</v>
      </c>
      <c r="F46" s="20">
        <f>IF($P46="","",IFERROR(IF(INDEX(MASTER!$G$4:$G$1463,$P46)="","",INDEX(MASTER!$G$4:$G$1463,$P46)),""))</f>
        <v>63250</v>
      </c>
      <c r="G46" s="19" t="str">
        <f>IF($P46="","",IFERROR(IF(INDEX(MASTER!$H$4:$H$1463,$P46)="","",INDEX(MASTER!$H$4:$H$1463,$P46)),""))</f>
        <v>63,000 - 63,999</v>
      </c>
      <c r="H46" s="20">
        <f>IF($P46="","",IFERROR(IF(INDEX(MASTER!$I$4:$I$1463,$P46)="","",INDEX(MASTER!$I$4:$I$1463,$P46)),""))</f>
        <v>5226</v>
      </c>
      <c r="I46" s="19" t="str">
        <f>IF($P46="","",IFERROR(IF(INDEX(MASTER!$J$4:$J$1463,$P46)="","",INDEX(MASTER!$J$4:$J$1463,$P46)),""))</f>
        <v>CORE</v>
      </c>
      <c r="J46" s="21">
        <f>IF($P46="","",IFERROR(IF(INDEX(MASTER!$L$4:$L$1463,$P46)="","",INDEX(MASTER!$L$4:$L$1463,$P46)),""))</f>
        <v>5.3</v>
      </c>
      <c r="K46" s="21">
        <f>IF($P46="","",IFERROR(IF(INDEX(MASTER!$N$4:$N$1463,$P46)="","",INDEX(MASTER!$N$4:$N$1463,$P46)),""))</f>
        <v>53.4</v>
      </c>
      <c r="L46" s="19" t="str">
        <f>IF($P46="","",IFERROR(IF(INDEX(MASTER!$O$4:$O$1463,$P46)="","",INDEX(MASTER!$O$4:$O$1463,$P46)),""))</f>
        <v>A</v>
      </c>
      <c r="M46" s="19">
        <f>IF($P46="","",IFERROR(IF(INDEX(MASTER!$Q$4:$Q$1463,$P46)="","",INDEX(MASTER!$Q$4:$Q$1463,$P46)),""))</f>
        <v>55</v>
      </c>
      <c r="N46" s="19" t="str">
        <f>IF($P46="","",IFERROR(IF(INDEX(MASTER!$S$4:$S$1463,$P46)="","",INDEX(MASTER!$S$4:$S$1463,$P46)),""))</f>
        <v>Complete</v>
      </c>
      <c r="P46">
        <f>IFERROR(MATCH($Q$1&amp;"@38",MASTER!$AC$4:$AC$1463,0),"")</f>
        <v>609</v>
      </c>
    </row>
    <row r="47" spans="1:16">
      <c r="A47" s="15">
        <f>IF($P47="","",39)</f>
        <v>39</v>
      </c>
      <c r="B47" s="14" t="str">
        <f>IF($P47="","",IFERROR(IF(INDEX(MASTER!$C$4:$C$1463,$P47)="","",INDEX(MASTER!$C$4:$C$1463,$P47)),""))</f>
        <v>KrustySocks</v>
      </c>
      <c r="C47" s="15" t="str">
        <f>IF($P47="","",IFERROR(IF(INDEX(MASTER!$D$4:$D$1463,$P47)="","",INDEX(MASTER!$D$4:$D$1463,$P47)),""))</f>
        <v/>
      </c>
      <c r="D47" s="15" t="str">
        <f>IF($P47="","",IFERROR(IF(INDEX(MASTER!$E$4:$E$1463,$P47)="","",INDEX(MASTER!$E$4:$E$1463,$P47)),""))</f>
        <v>BARBARIAN</v>
      </c>
      <c r="E47" s="15" t="str">
        <f>IF($P47="","",IFERROR(IF(INDEX(MASTER!$F$4:$F$1463,$P47)="","",INDEX(MASTER!$F$4:$F$1463,$P47)),""))</f>
        <v>Frontline</v>
      </c>
      <c r="F47" s="16">
        <f>IF($P47="","",IFERROR(IF(INDEX(MASTER!$G$4:$G$1463,$P47)="","",INDEX(MASTER!$G$4:$G$1463,$P47)),""))</f>
        <v>63275</v>
      </c>
      <c r="G47" s="15" t="str">
        <f>IF($P47="","",IFERROR(IF(INDEX(MASTER!$H$4:$H$1463,$P47)="","",INDEX(MASTER!$H$4:$H$1463,$P47)),""))</f>
        <v>63,000 - 63,999</v>
      </c>
      <c r="H47" s="16">
        <f>IF($P47="","",IFERROR(IF(INDEX(MASTER!$I$4:$I$1463,$P47)="","",INDEX(MASTER!$I$4:$I$1463,$P47)),""))</f>
        <v>5064</v>
      </c>
      <c r="I47" s="15" t="str">
        <f>IF($P47="","",IFERROR(IF(INDEX(MASTER!$J$4:$J$1463,$P47)="","",INDEX(MASTER!$J$4:$J$1463,$P47)),""))</f>
        <v>CORE</v>
      </c>
      <c r="J47" s="17">
        <f>IF($P47="","",IFERROR(IF(INDEX(MASTER!$L$4:$L$1463,$P47)="","",INDEX(MASTER!$L$4:$L$1463,$P47)),""))</f>
        <v>5.4</v>
      </c>
      <c r="K47" s="17">
        <f>IF($P47="","",IFERROR(IF(INDEX(MASTER!$N$4:$N$1463,$P47)="","",INDEX(MASTER!$N$4:$N$1463,$P47)),""))</f>
        <v>52.9</v>
      </c>
      <c r="L47" s="15" t="str">
        <f>IF($P47="","",IFERROR(IF(INDEX(MASTER!$O$4:$O$1463,$P47)="","",INDEX(MASTER!$O$4:$O$1463,$P47)),""))</f>
        <v>A</v>
      </c>
      <c r="M47" s="15">
        <f>IF($P47="","",IFERROR(IF(INDEX(MASTER!$Q$4:$Q$1463,$P47)="","",INDEX(MASTER!$Q$4:$Q$1463,$P47)),""))</f>
        <v>56</v>
      </c>
      <c r="N47" s="15" t="str">
        <f>IF($P47="","",IFERROR(IF(INDEX(MASTER!$S$4:$S$1463,$P47)="","",INDEX(MASTER!$S$4:$S$1463,$P47)),""))</f>
        <v>Complete</v>
      </c>
      <c r="P47">
        <f>IFERROR(MATCH($Q$1&amp;"@39",MASTER!$AC$4:$AC$1463,0),"")</f>
        <v>632</v>
      </c>
    </row>
    <row r="48" spans="1:16">
      <c r="A48" s="19">
        <f>IF($P48="","",40)</f>
        <v>40</v>
      </c>
      <c r="B48" s="18" t="str">
        <f>IF($P48="","",IFERROR(IF(INDEX(MASTER!$C$4:$C$1463,$P48)="","",INDEX(MASTER!$C$4:$C$1463,$P48)),""))</f>
        <v>Le FLOY</v>
      </c>
      <c r="C48" s="19" t="str">
        <f>IF($P48="","",IFERROR(IF(INDEX(MASTER!$D$4:$D$1463,$P48)="","",INDEX(MASTER!$D$4:$D$1463,$P48)),""))</f>
        <v/>
      </c>
      <c r="D48" s="19" t="str">
        <f>IF($P48="","",IFERROR(IF(INDEX(MASTER!$E$4:$E$1463,$P48)="","",INDEX(MASTER!$E$4:$E$1463,$P48)),""))</f>
        <v>DEMON HUNTER</v>
      </c>
      <c r="E48" s="19" t="str">
        <f>IF($P48="","",IFERROR(IF(INDEX(MASTER!$F$4:$F$1463,$P48)="","",INDEX(MASTER!$F$4:$F$1463,$P48)),""))</f>
        <v>Ranged DPS</v>
      </c>
      <c r="F48" s="20">
        <f>IF($P48="","",IFERROR(IF(INDEX(MASTER!$G$4:$G$1463,$P48)="","",INDEX(MASTER!$G$4:$G$1463,$P48)),""))</f>
        <v>63830</v>
      </c>
      <c r="G48" s="19" t="str">
        <f>IF($P48="","",IFERROR(IF(INDEX(MASTER!$H$4:$H$1463,$P48)="","",INDEX(MASTER!$H$4:$H$1463,$P48)),""))</f>
        <v>63,000 - 63,999</v>
      </c>
      <c r="H48" s="20">
        <f>IF($P48="","",IFERROR(IF(INDEX(MASTER!$I$4:$I$1463,$P48)="","",INDEX(MASTER!$I$4:$I$1463,$P48)),""))</f>
        <v>9008</v>
      </c>
      <c r="I48" s="19" t="str">
        <f>IF($P48="","",IFERROR(IF(INDEX(MASTER!$J$4:$J$1463,$P48)="","",INDEX(MASTER!$J$4:$J$1463,$P48)),""))</f>
        <v>ELITE</v>
      </c>
      <c r="J48" s="21">
        <f>IF($P48="","",IFERROR(IF(INDEX(MASTER!$L$4:$L$1463,$P48)="","",INDEX(MASTER!$L$4:$L$1463,$P48)),""))</f>
        <v>8.8000000000000007</v>
      </c>
      <c r="K48" s="21">
        <f>IF($P48="","",IFERROR(IF(INDEX(MASTER!$N$4:$N$1463,$P48)="","",INDEX(MASTER!$N$4:$N$1463,$P48)),""))</f>
        <v>77.2</v>
      </c>
      <c r="L48" s="19" t="str">
        <f>IF($P48="","",IFERROR(IF(INDEX(MASTER!$O$4:$O$1463,$P48)="","",INDEX(MASTER!$O$4:$O$1463,$P48)),""))</f>
        <v>S</v>
      </c>
      <c r="M48" s="19">
        <f>IF($P48="","",IFERROR(IF(INDEX(MASTER!$Q$4:$Q$1463,$P48)="","",INDEX(MASTER!$Q$4:$Q$1463,$P48)),""))</f>
        <v>12</v>
      </c>
      <c r="N48" s="19" t="str">
        <f>IF($P48="","",IFERROR(IF(INDEX(MASTER!$S$4:$S$1463,$P48)="","",INDEX(MASTER!$S$4:$S$1463,$P48)),""))</f>
        <v>Complete</v>
      </c>
      <c r="P48">
        <f>IFERROR(MATCH($Q$1&amp;"@40",MASTER!$AC$4:$AC$1463,0),"")</f>
        <v>652</v>
      </c>
    </row>
    <row r="49" spans="1:16">
      <c r="A49" s="15">
        <f>IF($P49="","",41)</f>
        <v>41</v>
      </c>
      <c r="B49" s="14" t="str">
        <f>IF($P49="","",IFERROR(IF(INDEX(MASTER!$C$4:$C$1463,$P49)="","",INDEX(MASTER!$C$4:$C$1463,$P49)),""))</f>
        <v>lights</v>
      </c>
      <c r="C49" s="15" t="str">
        <f>IF($P49="","",IFERROR(IF(INDEX(MASTER!$D$4:$D$1463,$P49)="","",INDEX(MASTER!$D$4:$D$1463,$P49)),""))</f>
        <v/>
      </c>
      <c r="D49" s="15" t="str">
        <f>IF($P49="","",IFERROR(IF(INDEX(MASTER!$E$4:$E$1463,$P49)="","",INDEX(MASTER!$E$4:$E$1463,$P49)),""))</f>
        <v>DEMON HUNTER</v>
      </c>
      <c r="E49" s="15" t="str">
        <f>IF($P49="","",IFERROR(IF(INDEX(MASTER!$F$4:$F$1463,$P49)="","",INDEX(MASTER!$F$4:$F$1463,$P49)),""))</f>
        <v>Ranged DPS</v>
      </c>
      <c r="F49" s="16">
        <f>IF($P49="","",IFERROR(IF(INDEX(MASTER!$G$4:$G$1463,$P49)="","",INDEX(MASTER!$G$4:$G$1463,$P49)),""))</f>
        <v>61549</v>
      </c>
      <c r="G49" s="15" t="str">
        <f>IF($P49="","",IFERROR(IF(INDEX(MASTER!$H$4:$H$1463,$P49)="","",INDEX(MASTER!$H$4:$H$1463,$P49)),""))</f>
        <v>61,000 - 61,999</v>
      </c>
      <c r="H49" s="16">
        <f>IF($P49="","",IFERROR(IF(INDEX(MASTER!$I$4:$I$1463,$P49)="","",INDEX(MASTER!$I$4:$I$1463,$P49)),""))</f>
        <v>3927</v>
      </c>
      <c r="I49" s="15" t="str">
        <f>IF($P49="","",IFERROR(IF(INDEX(MASTER!$J$4:$J$1463,$P49)="","",INDEX(MASTER!$J$4:$J$1463,$P49)),""))</f>
        <v>DEVELOPING</v>
      </c>
      <c r="J49" s="17">
        <f>IF($P49="","",IFERROR(IF(INDEX(MASTER!$L$4:$L$1463,$P49)="","",INDEX(MASTER!$L$4:$L$1463,$P49)),""))</f>
        <v>5.6</v>
      </c>
      <c r="K49" s="17">
        <f>IF($P49="","",IFERROR(IF(INDEX(MASTER!$N$4:$N$1463,$P49)="","",INDEX(MASTER!$N$4:$N$1463,$P49)),""))</f>
        <v>43.7</v>
      </c>
      <c r="L49" s="15" t="str">
        <f>IF($P49="","",IFERROR(IF(INDEX(MASTER!$O$4:$O$1463,$P49)="","",INDEX(MASTER!$O$4:$O$1463,$P49)),""))</f>
        <v>B</v>
      </c>
      <c r="M49" s="15">
        <f>IF($P49="","",IFERROR(IF(INDEX(MASTER!$Q$4:$Q$1463,$P49)="","",INDEX(MASTER!$Q$4:$Q$1463,$P49)),""))</f>
        <v>75</v>
      </c>
      <c r="N49" s="15" t="str">
        <f>IF($P49="","",IFERROR(IF(INDEX(MASTER!$S$4:$S$1463,$P49)="","",INDEX(MASTER!$S$4:$S$1463,$P49)),""))</f>
        <v>Complete</v>
      </c>
      <c r="P49">
        <f>IFERROR(MATCH($Q$1&amp;"@41",MASTER!$AC$4:$AC$1463,0),"")</f>
        <v>667</v>
      </c>
    </row>
    <row r="50" spans="1:16">
      <c r="A50" s="19">
        <f>IF($P50="","",42)</f>
        <v>42</v>
      </c>
      <c r="B50" s="18" t="str">
        <f>IF($P50="","",IFERROR(IF(INDEX(MASTER!$C$4:$C$1463,$P50)="","",INDEX(MASTER!$C$4:$C$1463,$P50)),""))</f>
        <v>lluvcookiez</v>
      </c>
      <c r="C50" s="19" t="str">
        <f>IF($P50="","",IFERROR(IF(INDEX(MASTER!$D$4:$D$1463,$P50)="","",INDEX(MASTER!$D$4:$D$1463,$P50)),""))</f>
        <v/>
      </c>
      <c r="D50" s="19" t="str">
        <f>IF($P50="","",IFERROR(IF(INDEX(MASTER!$E$4:$E$1463,$P50)="","",INDEX(MASTER!$E$4:$E$1463,$P50)),""))</f>
        <v>DRUID</v>
      </c>
      <c r="E50" s="19" t="str">
        <f>IF($P50="","",IFERROR(IF(INDEX(MASTER!$F$4:$F$1463,$P50)="","",INDEX(MASTER!$F$4:$F$1463,$P50)),""))</f>
        <v>Support</v>
      </c>
      <c r="F50" s="20">
        <f>IF($P50="","",IFERROR(IF(INDEX(MASTER!$G$4:$G$1463,$P50)="","",INDEX(MASTER!$G$4:$G$1463,$P50)),""))</f>
        <v>63146</v>
      </c>
      <c r="G50" s="19" t="str">
        <f>IF($P50="","",IFERROR(IF(INDEX(MASTER!$H$4:$H$1463,$P50)="","",INDEX(MASTER!$H$4:$H$1463,$P50)),""))</f>
        <v>63,000 - 63,999</v>
      </c>
      <c r="H50" s="20">
        <f>IF($P50="","",IFERROR(IF(INDEX(MASTER!$I$4:$I$1463,$P50)="","",INDEX(MASTER!$I$4:$I$1463,$P50)),""))</f>
        <v>2880</v>
      </c>
      <c r="I50" s="19" t="str">
        <f>IF($P50="","",IFERROR(IF(INDEX(MASTER!$J$4:$J$1463,$P50)="","",INDEX(MASTER!$J$4:$J$1463,$P50)),""))</f>
        <v>DEVELOPING</v>
      </c>
      <c r="J50" s="21">
        <f>IF($P50="","",IFERROR(IF(INDEX(MASTER!$L$4:$L$1463,$P50)="","",INDEX(MASTER!$L$4:$L$1463,$P50)),""))</f>
        <v>5.8</v>
      </c>
      <c r="K50" s="21">
        <f>IF($P50="","",IFERROR(IF(INDEX(MASTER!$N$4:$N$1463,$P50)="","",INDEX(MASTER!$N$4:$N$1463,$P50)),""))</f>
        <v>43.7</v>
      </c>
      <c r="L50" s="19" t="str">
        <f>IF($P50="","",IFERROR(IF(INDEX(MASTER!$O$4:$O$1463,$P50)="","",INDEX(MASTER!$O$4:$O$1463,$P50)),""))</f>
        <v>B</v>
      </c>
      <c r="M50" s="19">
        <f>IF($P50="","",IFERROR(IF(INDEX(MASTER!$Q$4:$Q$1463,$P50)="","",INDEX(MASTER!$Q$4:$Q$1463,$P50)),""))</f>
        <v>93</v>
      </c>
      <c r="N50" s="19" t="str">
        <f>IF($P50="","",IFERROR(IF(INDEX(MASTER!$S$4:$S$1463,$P50)="","",INDEX(MASTER!$S$4:$S$1463,$P50)),""))</f>
        <v>Complete</v>
      </c>
      <c r="P50">
        <f>IFERROR(MATCH($Q$1&amp;"@42",MASTER!$AC$4:$AC$1463,0),"")</f>
        <v>674</v>
      </c>
    </row>
    <row r="51" spans="1:16">
      <c r="A51" s="15">
        <f>IF($P51="","",43)</f>
        <v>43</v>
      </c>
      <c r="B51" s="14" t="str">
        <f>IF($P51="","",IFERROR(IF(INDEX(MASTER!$C$4:$C$1463,$P51)="","",INDEX(MASTER!$C$4:$C$1463,$P51)),""))</f>
        <v>LORDLEONI</v>
      </c>
      <c r="C51" s="15" t="str">
        <f>IF($P51="","",IFERROR(IF(INDEX(MASTER!$D$4:$D$1463,$P51)="","",INDEX(MASTER!$D$4:$D$1463,$P51)),""))</f>
        <v/>
      </c>
      <c r="D51" s="15" t="str">
        <f>IF($P51="","",IFERROR(IF(INDEX(MASTER!$E$4:$E$1463,$P51)="","",INDEX(MASTER!$E$4:$E$1463,$P51)),""))</f>
        <v>BARBARIAN</v>
      </c>
      <c r="E51" s="15" t="str">
        <f>IF($P51="","",IFERROR(IF(INDEX(MASTER!$F$4:$F$1463,$P51)="","",INDEX(MASTER!$F$4:$F$1463,$P51)),""))</f>
        <v>Frontline</v>
      </c>
      <c r="F51" s="16">
        <f>IF($P51="","",IFERROR(IF(INDEX(MASTER!$G$4:$G$1463,$P51)="","",INDEX(MASTER!$G$4:$G$1463,$P51)),""))</f>
        <v>62105</v>
      </c>
      <c r="G51" s="15" t="str">
        <f>IF($P51="","",IFERROR(IF(INDEX(MASTER!$H$4:$H$1463,$P51)="","",INDEX(MASTER!$H$4:$H$1463,$P51)),""))</f>
        <v>62,000 - 62,999</v>
      </c>
      <c r="H51" s="16">
        <f>IF($P51="","",IFERROR(IF(INDEX(MASTER!$I$4:$I$1463,$P51)="","",INDEX(MASTER!$I$4:$I$1463,$P51)),""))</f>
        <v>3400</v>
      </c>
      <c r="I51" s="15" t="str">
        <f>IF($P51="","",IFERROR(IF(INDEX(MASTER!$J$4:$J$1463,$P51)="","",INDEX(MASTER!$J$4:$J$1463,$P51)),""))</f>
        <v>DEVELOPING</v>
      </c>
      <c r="J51" s="17">
        <f>IF($P51="","",IFERROR(IF(INDEX(MASTER!$L$4:$L$1463,$P51)="","",INDEX(MASTER!$L$4:$L$1463,$P51)),""))</f>
        <v>5.45</v>
      </c>
      <c r="K51" s="17">
        <f>IF($P51="","",IFERROR(IF(INDEX(MASTER!$N$4:$N$1463,$P51)="","",INDEX(MASTER!$N$4:$N$1463,$P51)),""))</f>
        <v>42.6</v>
      </c>
      <c r="L51" s="15" t="str">
        <f>IF($P51="","",IFERROR(IF(INDEX(MASTER!$O$4:$O$1463,$P51)="","",INDEX(MASTER!$O$4:$O$1463,$P51)),""))</f>
        <v>B</v>
      </c>
      <c r="M51" s="15">
        <f>IF($P51="","",IFERROR(IF(INDEX(MASTER!$Q$4:$Q$1463,$P51)="","",INDEX(MASTER!$Q$4:$Q$1463,$P51)),""))</f>
        <v>85</v>
      </c>
      <c r="N51" s="15" t="str">
        <f>IF($P51="","",IFERROR(IF(INDEX(MASTER!$S$4:$S$1463,$P51)="","",INDEX(MASTER!$S$4:$S$1463,$P51)),""))</f>
        <v>Complete</v>
      </c>
      <c r="P51">
        <f>IFERROR(MATCH($Q$1&amp;"@43",MASTER!$AC$4:$AC$1463,0),"")</f>
        <v>680</v>
      </c>
    </row>
    <row r="52" spans="1:16">
      <c r="A52" s="19">
        <f>IF($P52="","",44)</f>
        <v>44</v>
      </c>
      <c r="B52" s="18" t="str">
        <f>IF($P52="","",IFERROR(IF(INDEX(MASTER!$C$4:$C$1463,$P52)="","",INDEX(MASTER!$C$4:$C$1463,$P52)),""))</f>
        <v>minispoOner</v>
      </c>
      <c r="C52" s="19" t="str">
        <f>IF($P52="","",IFERROR(IF(INDEX(MASTER!$D$4:$D$1463,$P52)="","",INDEX(MASTER!$D$4:$D$1463,$P52)),""))</f>
        <v/>
      </c>
      <c r="D52" s="19" t="str">
        <f>IF($P52="","",IFERROR(IF(INDEX(MASTER!$E$4:$E$1463,$P52)="","",INDEX(MASTER!$E$4:$E$1463,$P52)),""))</f>
        <v>DEMON HUNTER</v>
      </c>
      <c r="E52" s="19" t="str">
        <f>IF($P52="","",IFERROR(IF(INDEX(MASTER!$F$4:$F$1463,$P52)="","",INDEX(MASTER!$F$4:$F$1463,$P52)),""))</f>
        <v>Ranged DPS</v>
      </c>
      <c r="F52" s="20">
        <f>IF($P52="","",IFERROR(IF(INDEX(MASTER!$G$4:$G$1463,$P52)="","",INDEX(MASTER!$G$4:$G$1463,$P52)),""))</f>
        <v>58327</v>
      </c>
      <c r="G52" s="19" t="str">
        <f>IF($P52="","",IFERROR(IF(INDEX(MASTER!$H$4:$H$1463,$P52)="","",INDEX(MASTER!$H$4:$H$1463,$P52)),""))</f>
        <v>58,000 - 59,999</v>
      </c>
      <c r="H52" s="20">
        <f>IF($P52="","",IFERROR(IF(INDEX(MASTER!$I$4:$I$1463,$P52)="","",INDEX(MASTER!$I$4:$I$1463,$P52)),""))</f>
        <v>7428</v>
      </c>
      <c r="I52" s="19" t="str">
        <f>IF($P52="","",IFERROR(IF(INDEX(MASTER!$J$4:$J$1463,$P52)="","",INDEX(MASTER!$J$4:$J$1463,$P52)),""))</f>
        <v>VETERAN</v>
      </c>
      <c r="J52" s="21">
        <f>IF($P52="","",IFERROR(IF(INDEX(MASTER!$L$4:$L$1463,$P52)="","",INDEX(MASTER!$L$4:$L$1463,$P52)),""))</f>
        <v>5.95</v>
      </c>
      <c r="K52" s="21">
        <f>IF($P52="","",IFERROR(IF(INDEX(MASTER!$N$4:$N$1463,$P52)="","",INDEX(MASTER!$N$4:$N$1463,$P52)),""))</f>
        <v>51.1</v>
      </c>
      <c r="L52" s="19" t="str">
        <f>IF($P52="","",IFERROR(IF(INDEX(MASTER!$O$4:$O$1463,$P52)="","",INDEX(MASTER!$O$4:$O$1463,$P52)),""))</f>
        <v>A</v>
      </c>
      <c r="M52" s="19">
        <f>IF($P52="","",IFERROR(IF(INDEX(MASTER!$Q$4:$Q$1463,$P52)="","",INDEX(MASTER!$Q$4:$Q$1463,$P52)),""))</f>
        <v>26</v>
      </c>
      <c r="N52" s="19" t="str">
        <f>IF($P52="","",IFERROR(IF(INDEX(MASTER!$S$4:$S$1463,$P52)="","",INDEX(MASTER!$S$4:$S$1463,$P52)),""))</f>
        <v>Complete</v>
      </c>
      <c r="P52">
        <f>IFERROR(MATCH($Q$1&amp;"@44",MASTER!$AC$4:$AC$1463,0),"")</f>
        <v>767</v>
      </c>
    </row>
    <row r="53" spans="1:16">
      <c r="A53" s="15">
        <f>IF($P53="","",45)</f>
        <v>45</v>
      </c>
      <c r="B53" s="14" t="str">
        <f>IF($P53="","",IFERROR(IF(INDEX(MASTER!$C$4:$C$1463,$P53)="","",INDEX(MASTER!$C$4:$C$1463,$P53)),""))</f>
        <v>mintybear</v>
      </c>
      <c r="C53" s="15" t="str">
        <f>IF($P53="","",IFERROR(IF(INDEX(MASTER!$D$4:$D$1463,$P53)="","",INDEX(MASTER!$D$4:$D$1463,$P53)),""))</f>
        <v/>
      </c>
      <c r="D53" s="15" t="str">
        <f>IF($P53="","",IFERROR(IF(INDEX(MASTER!$E$4:$E$1463,$P53)="","",INDEX(MASTER!$E$4:$E$1463,$P53)),""))</f>
        <v>DEMON HUNTER</v>
      </c>
      <c r="E53" s="15" t="str">
        <f>IF($P53="","",IFERROR(IF(INDEX(MASTER!$F$4:$F$1463,$P53)="","",INDEX(MASTER!$F$4:$F$1463,$P53)),""))</f>
        <v>Ranged DPS</v>
      </c>
      <c r="F53" s="16">
        <f>IF($P53="","",IFERROR(IF(INDEX(MASTER!$G$4:$G$1463,$P53)="","",INDEX(MASTER!$G$4:$G$1463,$P53)),""))</f>
        <v>62594</v>
      </c>
      <c r="G53" s="15" t="str">
        <f>IF($P53="","",IFERROR(IF(INDEX(MASTER!$H$4:$H$1463,$P53)="","",INDEX(MASTER!$H$4:$H$1463,$P53)),""))</f>
        <v>62,000 - 62,999</v>
      </c>
      <c r="H53" s="16">
        <f>IF($P53="","",IFERROR(IF(INDEX(MASTER!$I$4:$I$1463,$P53)="","",INDEX(MASTER!$I$4:$I$1463,$P53)),""))</f>
        <v>4075</v>
      </c>
      <c r="I53" s="15" t="str">
        <f>IF($P53="","",IFERROR(IF(INDEX(MASTER!$J$4:$J$1463,$P53)="","",INDEX(MASTER!$J$4:$J$1463,$P53)),""))</f>
        <v>CORE</v>
      </c>
      <c r="J53" s="17">
        <f>IF($P53="","",IFERROR(IF(INDEX(MASTER!$L$4:$L$1463,$P53)="","",INDEX(MASTER!$L$4:$L$1463,$P53)),""))</f>
        <v>5.85</v>
      </c>
      <c r="K53" s="17">
        <f>IF($P53="","",IFERROR(IF(INDEX(MASTER!$N$4:$N$1463,$P53)="","",INDEX(MASTER!$N$4:$N$1463,$P53)),""))</f>
        <v>47.5</v>
      </c>
      <c r="L53" s="15" t="str">
        <f>IF($P53="","",IFERROR(IF(INDEX(MASTER!$O$4:$O$1463,$P53)="","",INDEX(MASTER!$O$4:$O$1463,$P53)),""))</f>
        <v>B</v>
      </c>
      <c r="M53" s="15">
        <f>IF($P53="","",IFERROR(IF(INDEX(MASTER!$Q$4:$Q$1463,$P53)="","",INDEX(MASTER!$Q$4:$Q$1463,$P53)),""))</f>
        <v>70</v>
      </c>
      <c r="N53" s="15" t="str">
        <f>IF($P53="","",IFERROR(IF(INDEX(MASTER!$S$4:$S$1463,$P53)="","",INDEX(MASTER!$S$4:$S$1463,$P53)),""))</f>
        <v>Complete</v>
      </c>
      <c r="P53">
        <f>IFERROR(MATCH($Q$1&amp;"@45",MASTER!$AC$4:$AC$1463,0),"")</f>
        <v>769</v>
      </c>
    </row>
    <row r="54" spans="1:16">
      <c r="A54" s="19">
        <f>IF($P54="","",46)</f>
        <v>46</v>
      </c>
      <c r="B54" s="18" t="str">
        <f>IF($P54="","",IFERROR(IF(INDEX(MASTER!$C$4:$C$1463,$P54)="","",INDEX(MASTER!$C$4:$C$1463,$P54)),""))</f>
        <v>MonkeyPickle</v>
      </c>
      <c r="C54" s="19" t="str">
        <f>IF($P54="","",IFERROR(IF(INDEX(MASTER!$D$4:$D$1463,$P54)="","",INDEX(MASTER!$D$4:$D$1463,$P54)),""))</f>
        <v/>
      </c>
      <c r="D54" s="19" t="str">
        <f>IF($P54="","",IFERROR(IF(INDEX(MASTER!$E$4:$E$1463,$P54)="","",INDEX(MASTER!$E$4:$E$1463,$P54)),""))</f>
        <v>MONK</v>
      </c>
      <c r="E54" s="19" t="str">
        <f>IF($P54="","",IFERROR(IF(INDEX(MASTER!$F$4:$F$1463,$P54)="","",INDEX(MASTER!$F$4:$F$1463,$P54)),""))</f>
        <v>Support</v>
      </c>
      <c r="F54" s="20">
        <f>IF($P54="","",IFERROR(IF(INDEX(MASTER!$G$4:$G$1463,$P54)="","",INDEX(MASTER!$G$4:$G$1463,$P54)),""))</f>
        <v>62841</v>
      </c>
      <c r="G54" s="19" t="str">
        <f>IF($P54="","",IFERROR(IF(INDEX(MASTER!$H$4:$H$1463,$P54)="","",INDEX(MASTER!$H$4:$H$1463,$P54)),""))</f>
        <v>62,000 - 62,999</v>
      </c>
      <c r="H54" s="20">
        <f>IF($P54="","",IFERROR(IF(INDEX(MASTER!$I$4:$I$1463,$P54)="","",INDEX(MASTER!$I$4:$I$1463,$P54)),""))</f>
        <v>4931</v>
      </c>
      <c r="I54" s="19" t="str">
        <f>IF($P54="","",IFERROR(IF(INDEX(MASTER!$J$4:$J$1463,$P54)="","",INDEX(MASTER!$J$4:$J$1463,$P54)),""))</f>
        <v>CORE</v>
      </c>
      <c r="J54" s="21">
        <f>IF($P54="","",IFERROR(IF(INDEX(MASTER!$L$4:$L$1463,$P54)="","",INDEX(MASTER!$L$4:$L$1463,$P54)),""))</f>
        <v>6.1</v>
      </c>
      <c r="K54" s="21">
        <f>IF($P54="","",IFERROR(IF(INDEX(MASTER!$N$4:$N$1463,$P54)="","",INDEX(MASTER!$N$4:$N$1463,$P54)),""))</f>
        <v>52.3</v>
      </c>
      <c r="L54" s="19" t="str">
        <f>IF($P54="","",IFERROR(IF(INDEX(MASTER!$O$4:$O$1463,$P54)="","",INDEX(MASTER!$O$4:$O$1463,$P54)),""))</f>
        <v>A</v>
      </c>
      <c r="M54" s="19">
        <f>IF($P54="","",IFERROR(IF(INDEX(MASTER!$Q$4:$Q$1463,$P54)="","",INDEX(MASTER!$Q$4:$Q$1463,$P54)),""))</f>
        <v>59</v>
      </c>
      <c r="N54" s="19" t="str">
        <f>IF($P54="","",IFERROR(IF(INDEX(MASTER!$S$4:$S$1463,$P54)="","",INDEX(MASTER!$S$4:$S$1463,$P54)),""))</f>
        <v>Complete</v>
      </c>
      <c r="P54">
        <f>IFERROR(MATCH($Q$1&amp;"@46",MASTER!$AC$4:$AC$1463,0),"")</f>
        <v>781</v>
      </c>
    </row>
    <row r="55" spans="1:16">
      <c r="A55" s="15">
        <f>IF($P55="","",47)</f>
        <v>47</v>
      </c>
      <c r="B55" s="14" t="str">
        <f>IF($P55="","",IFERROR(IF(INDEX(MASTER!$C$4:$C$1463,$P55)="","",INDEX(MASTER!$C$4:$C$1463,$P55)),""))</f>
        <v>Moöseknückle</v>
      </c>
      <c r="C55" s="15" t="str">
        <f>IF($P55="","",IFERROR(IF(INDEX(MASTER!$D$4:$D$1463,$P55)="","",INDEX(MASTER!$D$4:$D$1463,$P55)),""))</f>
        <v/>
      </c>
      <c r="D55" s="15" t="str">
        <f>IF($P55="","",IFERROR(IF(INDEX(MASTER!$E$4:$E$1463,$P55)="","",INDEX(MASTER!$E$4:$E$1463,$P55)),""))</f>
        <v>BARBARIAN</v>
      </c>
      <c r="E55" s="15" t="str">
        <f>IF($P55="","",IFERROR(IF(INDEX(MASTER!$F$4:$F$1463,$P55)="","",INDEX(MASTER!$F$4:$F$1463,$P55)),""))</f>
        <v>Frontline</v>
      </c>
      <c r="F55" s="16">
        <f>IF($P55="","",IFERROR(IF(INDEX(MASTER!$G$4:$G$1463,$P55)="","",INDEX(MASTER!$G$4:$G$1463,$P55)),""))</f>
        <v>62303</v>
      </c>
      <c r="G55" s="15" t="str">
        <f>IF($P55="","",IFERROR(IF(INDEX(MASTER!$H$4:$H$1463,$P55)="","",INDEX(MASTER!$H$4:$H$1463,$P55)),""))</f>
        <v>62,000 - 62,999</v>
      </c>
      <c r="H55" s="16">
        <f>IF($P55="","",IFERROR(IF(INDEX(MASTER!$I$4:$I$1463,$P55)="","",INDEX(MASTER!$I$4:$I$1463,$P55)),""))</f>
        <v>4117</v>
      </c>
      <c r="I55" s="15" t="str">
        <f>IF($P55="","",IFERROR(IF(INDEX(MASTER!$J$4:$J$1463,$P55)="","",INDEX(MASTER!$J$4:$J$1463,$P55)),""))</f>
        <v>CORE</v>
      </c>
      <c r="J55" s="17">
        <f>IF($P55="","",IFERROR(IF(INDEX(MASTER!$L$4:$L$1463,$P55)="","",INDEX(MASTER!$L$4:$L$1463,$P55)),""))</f>
        <v>3</v>
      </c>
      <c r="K55" s="17">
        <f>IF($P55="","",IFERROR(IF(INDEX(MASTER!$N$4:$N$1463,$P55)="","",INDEX(MASTER!$N$4:$N$1463,$P55)),""))</f>
        <v>42.2</v>
      </c>
      <c r="L55" s="15" t="str">
        <f>IF($P55="","",IFERROR(IF(INDEX(MASTER!$O$4:$O$1463,$P55)="","",INDEX(MASTER!$O$4:$O$1463,$P55)),""))</f>
        <v>B</v>
      </c>
      <c r="M55" s="15">
        <f>IF($P55="","",IFERROR(IF(INDEX(MASTER!$Q$4:$Q$1463,$P55)="","",INDEX(MASTER!$Q$4:$Q$1463,$P55)),""))</f>
        <v>69</v>
      </c>
      <c r="N55" s="15" t="str">
        <f>IF($P55="","",IFERROR(IF(INDEX(MASTER!$S$4:$S$1463,$P55)="","",INDEX(MASTER!$S$4:$S$1463,$P55)),""))</f>
        <v>Complete</v>
      </c>
      <c r="P55">
        <f>IFERROR(MATCH($Q$1&amp;"@47",MASTER!$AC$4:$AC$1463,0),"")</f>
        <v>793</v>
      </c>
    </row>
    <row r="56" spans="1:16">
      <c r="A56" s="19">
        <f>IF($P56="","",48)</f>
        <v>48</v>
      </c>
      <c r="B56" s="18" t="str">
        <f>IF($P56="","",IFERROR(IF(INDEX(MASTER!$C$4:$C$1463,$P56)="","",INDEX(MASTER!$C$4:$C$1463,$P56)),""))</f>
        <v>Mordici</v>
      </c>
      <c r="C56" s="19" t="str">
        <f>IF($P56="","",IFERROR(IF(INDEX(MASTER!$D$4:$D$1463,$P56)="","",INDEX(MASTER!$D$4:$D$1463,$P56)),""))</f>
        <v>IGC</v>
      </c>
      <c r="D56" s="19" t="str">
        <f>IF($P56="","",IFERROR(IF(INDEX(MASTER!$E$4:$E$1463,$P56)="","",INDEX(MASTER!$E$4:$E$1463,$P56)),""))</f>
        <v>BARBARIAN</v>
      </c>
      <c r="E56" s="19" t="str">
        <f>IF($P56="","",IFERROR(IF(INDEX(MASTER!$F$4:$F$1463,$P56)="","",INDEX(MASTER!$F$4:$F$1463,$P56)),""))</f>
        <v>Frontline</v>
      </c>
      <c r="F56" s="20">
        <f>IF($P56="","",IFERROR(IF(INDEX(MASTER!$G$4:$G$1463,$P56)="","",INDEX(MASTER!$G$4:$G$1463,$P56)),""))</f>
        <v>64112</v>
      </c>
      <c r="G56" s="19" t="str">
        <f>IF($P56="","",IFERROR(IF(INDEX(MASTER!$H$4:$H$1463,$P56)="","",INDEX(MASTER!$H$4:$H$1463,$P56)),""))</f>
        <v>64,000 +</v>
      </c>
      <c r="H56" s="20">
        <f>IF($P56="","",IFERROR(IF(INDEX(MASTER!$I$4:$I$1463,$P56)="","",INDEX(MASTER!$I$4:$I$1463,$P56)),""))</f>
        <v>9003</v>
      </c>
      <c r="I56" s="19" t="str">
        <f>IF($P56="","",IFERROR(IF(INDEX(MASTER!$J$4:$J$1463,$P56)="","",INDEX(MASTER!$J$4:$J$1463,$P56)),""))</f>
        <v>ELITE</v>
      </c>
      <c r="J56" s="21">
        <f>IF($P56="","",IFERROR(IF(INDEX(MASTER!$L$4:$L$1463,$P56)="","",INDEX(MASTER!$L$4:$L$1463,$P56)),""))</f>
        <v>5.6</v>
      </c>
      <c r="K56" s="21">
        <f>IF($P56="","",IFERROR(IF(INDEX(MASTER!$N$4:$N$1463,$P56)="","",INDEX(MASTER!$N$4:$N$1463,$P56)),""))</f>
        <v>72.599999999999994</v>
      </c>
      <c r="L56" s="19" t="str">
        <f>IF($P56="","",IFERROR(IF(INDEX(MASTER!$O$4:$O$1463,$P56)="","",INDEX(MASTER!$O$4:$O$1463,$P56)),""))</f>
        <v>S</v>
      </c>
      <c r="M56" s="19">
        <f>IF($P56="","",IFERROR(IF(INDEX(MASTER!$Q$4:$Q$1463,$P56)="","",INDEX(MASTER!$Q$4:$Q$1463,$P56)),""))</f>
        <v>13</v>
      </c>
      <c r="N56" s="19" t="str">
        <f>IF($P56="","",IFERROR(IF(INDEX(MASTER!$S$4:$S$1463,$P56)="","",INDEX(MASTER!$S$4:$S$1463,$P56)),""))</f>
        <v>Complete</v>
      </c>
      <c r="P56">
        <f>IFERROR(MATCH($Q$1&amp;"@48",MASTER!$AC$4:$AC$1463,0),"")</f>
        <v>784</v>
      </c>
    </row>
    <row r="57" spans="1:16">
      <c r="A57" s="15">
        <f>IF($P57="","",49)</f>
        <v>49</v>
      </c>
      <c r="B57" s="14" t="str">
        <f>IF($P57="","",IFERROR(IF(INDEX(MASTER!$C$4:$C$1463,$P57)="","",INDEX(MASTER!$C$4:$C$1463,$P57)),""))</f>
        <v>MorganLeFe</v>
      </c>
      <c r="C57" s="15" t="str">
        <f>IF($P57="","",IFERROR(IF(INDEX(MASTER!$D$4:$D$1463,$P57)="","",INDEX(MASTER!$D$4:$D$1463,$P57)),""))</f>
        <v/>
      </c>
      <c r="D57" s="15" t="str">
        <f>IF($P57="","",IFERROR(IF(INDEX(MASTER!$E$4:$E$1463,$P57)="","",INDEX(MASTER!$E$4:$E$1463,$P57)),""))</f>
        <v>BARBARIAN</v>
      </c>
      <c r="E57" s="15" t="str">
        <f>IF($P57="","",IFERROR(IF(INDEX(MASTER!$F$4:$F$1463,$P57)="","",INDEX(MASTER!$F$4:$F$1463,$P57)),""))</f>
        <v>Frontline</v>
      </c>
      <c r="F57" s="16">
        <f>IF($P57="","",IFERROR(IF(INDEX(MASTER!$G$4:$G$1463,$P57)="","",INDEX(MASTER!$G$4:$G$1463,$P57)),""))</f>
        <v>64023</v>
      </c>
      <c r="G57" s="15" t="str">
        <f>IF($P57="","",IFERROR(IF(INDEX(MASTER!$H$4:$H$1463,$P57)="","",INDEX(MASTER!$H$4:$H$1463,$P57)),""))</f>
        <v>64,000 +</v>
      </c>
      <c r="H57" s="16">
        <f>IF($P57="","",IFERROR(IF(INDEX(MASTER!$I$4:$I$1463,$P57)="","",INDEX(MASTER!$I$4:$I$1463,$P57)),""))</f>
        <v>8496</v>
      </c>
      <c r="I57" s="15" t="str">
        <f>IF($P57="","",IFERROR(IF(INDEX(MASTER!$J$4:$J$1463,$P57)="","",INDEX(MASTER!$J$4:$J$1463,$P57)),""))</f>
        <v>ELITE</v>
      </c>
      <c r="J57" s="17">
        <f>IF($P57="","",IFERROR(IF(INDEX(MASTER!$L$4:$L$1463,$P57)="","",INDEX(MASTER!$L$4:$L$1463,$P57)),""))</f>
        <v>7.8</v>
      </c>
      <c r="K57" s="17">
        <f>IF($P57="","",IFERROR(IF(INDEX(MASTER!$N$4:$N$1463,$P57)="","",INDEX(MASTER!$N$4:$N$1463,$P57)),""))</f>
        <v>73.8</v>
      </c>
      <c r="L57" s="15" t="str">
        <f>IF($P57="","",IFERROR(IF(INDEX(MASTER!$O$4:$O$1463,$P57)="","",INDEX(MASTER!$O$4:$O$1463,$P57)),""))</f>
        <v>S</v>
      </c>
      <c r="M57" s="15">
        <f>IF($P57="","",IFERROR(IF(INDEX(MASTER!$Q$4:$Q$1463,$P57)="","",INDEX(MASTER!$Q$4:$Q$1463,$P57)),""))</f>
        <v>19</v>
      </c>
      <c r="N57" s="15" t="str">
        <f>IF($P57="","",IFERROR(IF(INDEX(MASTER!$S$4:$S$1463,$P57)="","",INDEX(MASTER!$S$4:$S$1463,$P57)),""))</f>
        <v>Complete</v>
      </c>
      <c r="P57">
        <f>IFERROR(MATCH($Q$1&amp;"@49",MASTER!$AC$4:$AC$1463,0),"")</f>
        <v>787</v>
      </c>
    </row>
    <row r="58" spans="1:16">
      <c r="A58" s="19">
        <f>IF($P58="","",50)</f>
        <v>50</v>
      </c>
      <c r="B58" s="18" t="str">
        <f>IF($P58="","",IFERROR(IF(INDEX(MASTER!$C$4:$C$1463,$P58)="","",INDEX(MASTER!$C$4:$C$1463,$P58)),""))</f>
        <v>NastyLilPewF</v>
      </c>
      <c r="C58" s="19" t="str">
        <f>IF($P58="","",IFERROR(IF(INDEX(MASTER!$D$4:$D$1463,$P58)="","",INDEX(MASTER!$D$4:$D$1463,$P58)),""))</f>
        <v/>
      </c>
      <c r="D58" s="19" t="str">
        <f>IF($P58="","",IFERROR(IF(INDEX(MASTER!$E$4:$E$1463,$P58)="","",INDEX(MASTER!$E$4:$E$1463,$P58)),""))</f>
        <v>WARLOCK</v>
      </c>
      <c r="E58" s="19" t="str">
        <f>IF($P58="","",IFERROR(IF(INDEX(MASTER!$F$4:$F$1463,$P58)="","",INDEX(MASTER!$F$4:$F$1463,$P58)),""))</f>
        <v>Control</v>
      </c>
      <c r="F58" s="20">
        <f>IF($P58="","",IFERROR(IF(INDEX(MASTER!$G$4:$G$1463,$P58)="","",INDEX(MASTER!$G$4:$G$1463,$P58)),""))</f>
        <v>62740</v>
      </c>
      <c r="G58" s="19" t="str">
        <f>IF($P58="","",IFERROR(IF(INDEX(MASTER!$H$4:$H$1463,$P58)="","",INDEX(MASTER!$H$4:$H$1463,$P58)),""))</f>
        <v>62,000 - 62,999</v>
      </c>
      <c r="H58" s="20">
        <f>IF($P58="","",IFERROR(IF(INDEX(MASTER!$I$4:$I$1463,$P58)="","",INDEX(MASTER!$I$4:$I$1463,$P58)),""))</f>
        <v>3475</v>
      </c>
      <c r="I58" s="19" t="str">
        <f>IF($P58="","",IFERROR(IF(INDEX(MASTER!$J$4:$J$1463,$P58)="","",INDEX(MASTER!$J$4:$J$1463,$P58)),""))</f>
        <v>DEVELOPING</v>
      </c>
      <c r="J58" s="21">
        <f>IF($P58="","",IFERROR(IF(INDEX(MASTER!$L$4:$L$1463,$P58)="","",INDEX(MASTER!$L$4:$L$1463,$P58)),""))</f>
        <v>4.2</v>
      </c>
      <c r="K58" s="21">
        <f>IF($P58="","",IFERROR(IF(INDEX(MASTER!$N$4:$N$1463,$P58)="","",INDEX(MASTER!$N$4:$N$1463,$P58)),""))</f>
        <v>42.5</v>
      </c>
      <c r="L58" s="19" t="str">
        <f>IF($P58="","",IFERROR(IF(INDEX(MASTER!$O$4:$O$1463,$P58)="","",INDEX(MASTER!$O$4:$O$1463,$P58)),""))</f>
        <v>B</v>
      </c>
      <c r="M58" s="19">
        <f>IF($P58="","",IFERROR(IF(INDEX(MASTER!$Q$4:$Q$1463,$P58)="","",INDEX(MASTER!$Q$4:$Q$1463,$P58)),""))</f>
        <v>83</v>
      </c>
      <c r="N58" s="19" t="str">
        <f>IF($P58="","",IFERROR(IF(INDEX(MASTER!$S$4:$S$1463,$P58)="","",INDEX(MASTER!$S$4:$S$1463,$P58)),""))</f>
        <v>Complete</v>
      </c>
      <c r="P58">
        <f>IFERROR(MATCH($Q$1&amp;"@50",MASTER!$AC$4:$AC$1463,0),"")</f>
        <v>807</v>
      </c>
    </row>
    <row r="59" spans="1:16">
      <c r="A59" s="15">
        <f>IF($P59="","",51)</f>
        <v>51</v>
      </c>
      <c r="B59" s="14" t="str">
        <f>IF($P59="","",IFERROR(IF(INDEX(MASTER!$C$4:$C$1463,$P59)="","",INDEX(MASTER!$C$4:$C$1463,$P59)),""))</f>
        <v>Novellus</v>
      </c>
      <c r="C59" s="15" t="str">
        <f>IF($P59="","",IFERROR(IF(INDEX(MASTER!$D$4:$D$1463,$P59)="","",INDEX(MASTER!$D$4:$D$1463,$P59)),""))</f>
        <v/>
      </c>
      <c r="D59" s="15" t="str">
        <f>IF($P59="","",IFERROR(IF(INDEX(MASTER!$E$4:$E$1463,$P59)="","",INDEX(MASTER!$E$4:$E$1463,$P59)),""))</f>
        <v>MONK</v>
      </c>
      <c r="E59" s="15" t="str">
        <f>IF($P59="","",IFERROR(IF(INDEX(MASTER!$F$4:$F$1463,$P59)="","",INDEX(MASTER!$F$4:$F$1463,$P59)),""))</f>
        <v>Support</v>
      </c>
      <c r="F59" s="16">
        <f>IF($P59="","",IFERROR(IF(INDEX(MASTER!$G$4:$G$1463,$P59)="","",INDEX(MASTER!$G$4:$G$1463,$P59)),""))</f>
        <v>59799</v>
      </c>
      <c r="G59" s="15" t="str">
        <f>IF($P59="","",IFERROR(IF(INDEX(MASTER!$H$4:$H$1463,$P59)="","",INDEX(MASTER!$H$4:$H$1463,$P59)),""))</f>
        <v>58,000 - 59,999</v>
      </c>
      <c r="H59" s="16">
        <f>IF($P59="","",IFERROR(IF(INDEX(MASTER!$I$4:$I$1463,$P59)="","",INDEX(MASTER!$I$4:$I$1463,$P59)),""))</f>
        <v>4043</v>
      </c>
      <c r="I59" s="15" t="str">
        <f>IF($P59="","",IFERROR(IF(INDEX(MASTER!$J$4:$J$1463,$P59)="","",INDEX(MASTER!$J$4:$J$1463,$P59)),""))</f>
        <v>CORE</v>
      </c>
      <c r="J59" s="17">
        <f>IF($P59="","",IFERROR(IF(INDEX(MASTER!$L$4:$L$1463,$P59)="","",INDEX(MASTER!$L$4:$L$1463,$P59)),""))</f>
        <v>4.9000000000000004</v>
      </c>
      <c r="K59" s="17">
        <f>IF($P59="","",IFERROR(IF(INDEX(MASTER!$N$4:$N$1463,$P59)="","",INDEX(MASTER!$N$4:$N$1463,$P59)),""))</f>
        <v>38.4</v>
      </c>
      <c r="L59" s="15" t="str">
        <f>IF($P59="","",IFERROR(IF(INDEX(MASTER!$O$4:$O$1463,$P59)="","",INDEX(MASTER!$O$4:$O$1463,$P59)),""))</f>
        <v>B</v>
      </c>
      <c r="M59" s="15">
        <f>IF($P59="","",IFERROR(IF(INDEX(MASTER!$Q$4:$Q$1463,$P59)="","",INDEX(MASTER!$Q$4:$Q$1463,$P59)),""))</f>
        <v>71</v>
      </c>
      <c r="N59" s="15" t="str">
        <f>IF($P59="","",IFERROR(IF(INDEX(MASTER!$S$4:$S$1463,$P59)="","",INDEX(MASTER!$S$4:$S$1463,$P59)),""))</f>
        <v>Complete</v>
      </c>
      <c r="P59">
        <f>IFERROR(MATCH($Q$1&amp;"@51",MASTER!$AC$4:$AC$1463,0),"")</f>
        <v>827</v>
      </c>
    </row>
    <row r="60" spans="1:16">
      <c r="A60" s="19">
        <f>IF($P60="","",52)</f>
        <v>52</v>
      </c>
      <c r="B60" s="18" t="str">
        <f>IF($P60="","",IFERROR(IF(INDEX(MASTER!$C$4:$C$1463,$P60)="","",INDEX(MASTER!$C$4:$C$1463,$P60)),""))</f>
        <v>Omathera</v>
      </c>
      <c r="C60" s="19" t="str">
        <f>IF($P60="","",IFERROR(IF(INDEX(MASTER!$D$4:$D$1463,$P60)="","",INDEX(MASTER!$D$4:$D$1463,$P60)),""))</f>
        <v/>
      </c>
      <c r="D60" s="19" t="str">
        <f>IF($P60="","",IFERROR(IF(INDEX(MASTER!$E$4:$E$1463,$P60)="","",INDEX(MASTER!$E$4:$E$1463,$P60)),""))</f>
        <v>TEMPEST</v>
      </c>
      <c r="E60" s="19" t="str">
        <f>IF($P60="","",IFERROR(IF(INDEX(MASTER!$F$4:$F$1463,$P60)="","",INDEX(MASTER!$F$4:$F$1463,$P60)),""))</f>
        <v>Melee DPS</v>
      </c>
      <c r="F60" s="20">
        <f>IF($P60="","",IFERROR(IF(INDEX(MASTER!$G$4:$G$1463,$P60)="","",INDEX(MASTER!$G$4:$G$1463,$P60)),""))</f>
        <v>63652</v>
      </c>
      <c r="G60" s="19" t="str">
        <f>IF($P60="","",IFERROR(IF(INDEX(MASTER!$H$4:$H$1463,$P60)="","",INDEX(MASTER!$H$4:$H$1463,$P60)),""))</f>
        <v>63,000 - 63,999</v>
      </c>
      <c r="H60" s="20">
        <f>IF($P60="","",IFERROR(IF(INDEX(MASTER!$I$4:$I$1463,$P60)="","",INDEX(MASTER!$I$4:$I$1463,$P60)),""))</f>
        <v>9255</v>
      </c>
      <c r="I60" s="19" t="str">
        <f>IF($P60="","",IFERROR(IF(INDEX(MASTER!$J$4:$J$1463,$P60)="","",INDEX(MASTER!$J$4:$J$1463,$P60)),""))</f>
        <v>ELITE</v>
      </c>
      <c r="J60" s="21">
        <f>IF($P60="","",IFERROR(IF(INDEX(MASTER!$L$4:$L$1463,$P60)="","",INDEX(MASTER!$L$4:$L$1463,$P60)),""))</f>
        <v>7.95</v>
      </c>
      <c r="K60" s="21">
        <f>IF($P60="","",IFERROR(IF(INDEX(MASTER!$N$4:$N$1463,$P60)="","",INDEX(MASTER!$N$4:$N$1463,$P60)),""))</f>
        <v>76.400000000000006</v>
      </c>
      <c r="L60" s="19" t="str">
        <f>IF($P60="","",IFERROR(IF(INDEX(MASTER!$O$4:$O$1463,$P60)="","",INDEX(MASTER!$O$4:$O$1463,$P60)),""))</f>
        <v>S</v>
      </c>
      <c r="M60" s="19">
        <f>IF($P60="","",IFERROR(IF(INDEX(MASTER!$Q$4:$Q$1463,$P60)="","",INDEX(MASTER!$Q$4:$Q$1463,$P60)),""))</f>
        <v>11</v>
      </c>
      <c r="N60" s="19" t="str">
        <f>IF($P60="","",IFERROR(IF(INDEX(MASTER!$S$4:$S$1463,$P60)="","",INDEX(MASTER!$S$4:$S$1463,$P60)),""))</f>
        <v>Complete</v>
      </c>
      <c r="P60">
        <f>IFERROR(MATCH($Q$1&amp;"@52",MASTER!$AC$4:$AC$1463,0),"")</f>
        <v>852</v>
      </c>
    </row>
    <row r="61" spans="1:16">
      <c r="A61" s="15">
        <f>IF($P61="","",53)</f>
        <v>53</v>
      </c>
      <c r="B61" s="14" t="str">
        <f>IF($P61="","",IFERROR(IF(INDEX(MASTER!$C$4:$C$1463,$P61)="","",INDEX(MASTER!$C$4:$C$1463,$P61)),""))</f>
        <v>Prophètéss</v>
      </c>
      <c r="C61" s="15" t="str">
        <f>IF($P61="","",IFERROR(IF(INDEX(MASTER!$D$4:$D$1463,$P61)="","",INDEX(MASTER!$D$4:$D$1463,$P61)),""))</f>
        <v/>
      </c>
      <c r="D61" s="15" t="str">
        <f>IF($P61="","",IFERROR(IF(INDEX(MASTER!$E$4:$E$1463,$P61)="","",INDEX(MASTER!$E$4:$E$1463,$P61)),""))</f>
        <v>DEMON HUNTER</v>
      </c>
      <c r="E61" s="15" t="str">
        <f>IF($P61="","",IFERROR(IF(INDEX(MASTER!$F$4:$F$1463,$P61)="","",INDEX(MASTER!$F$4:$F$1463,$P61)),""))</f>
        <v>Ranged DPS</v>
      </c>
      <c r="F61" s="16">
        <f>IF($P61="","",IFERROR(IF(INDEX(MASTER!$G$4:$G$1463,$P61)="","",INDEX(MASTER!$G$4:$G$1463,$P61)),""))</f>
        <v>63873</v>
      </c>
      <c r="G61" s="15" t="str">
        <f>IF($P61="","",IFERROR(IF(INDEX(MASTER!$H$4:$H$1463,$P61)="","",INDEX(MASTER!$H$4:$H$1463,$P61)),""))</f>
        <v>63,000 - 63,999</v>
      </c>
      <c r="H61" s="16">
        <f>IF($P61="","",IFERROR(IF(INDEX(MASTER!$I$4:$I$1463,$P61)="","",INDEX(MASTER!$I$4:$I$1463,$P61)),""))</f>
        <v>8652</v>
      </c>
      <c r="I61" s="15" t="str">
        <f>IF($P61="","",IFERROR(IF(INDEX(MASTER!$J$4:$J$1463,$P61)="","",INDEX(MASTER!$J$4:$J$1463,$P61)),""))</f>
        <v>ELITE</v>
      </c>
      <c r="J61" s="17">
        <f>IF($P61="","",IFERROR(IF(INDEX(MASTER!$L$4:$L$1463,$P61)="","",INDEX(MASTER!$L$4:$L$1463,$P61)),""))</f>
        <v>6.65</v>
      </c>
      <c r="K61" s="17">
        <f>IF($P61="","",IFERROR(IF(INDEX(MASTER!$N$4:$N$1463,$P61)="","",INDEX(MASTER!$N$4:$N$1463,$P61)),""))</f>
        <v>72.2</v>
      </c>
      <c r="L61" s="15" t="str">
        <f>IF($P61="","",IFERROR(IF(INDEX(MASTER!$O$4:$O$1463,$P61)="","",INDEX(MASTER!$O$4:$O$1463,$P61)),""))</f>
        <v>S</v>
      </c>
      <c r="M61" s="15">
        <f>IF($P61="","",IFERROR(IF(INDEX(MASTER!$Q$4:$Q$1463,$P61)="","",INDEX(MASTER!$Q$4:$Q$1463,$P61)),""))</f>
        <v>17</v>
      </c>
      <c r="N61" s="15" t="str">
        <f>IF($P61="","",IFERROR(IF(INDEX(MASTER!$S$4:$S$1463,$P61)="","",INDEX(MASTER!$S$4:$S$1463,$P61)),""))</f>
        <v>Complete</v>
      </c>
      <c r="P61">
        <f>IFERROR(MATCH($Q$1&amp;"@53",MASTER!$AC$4:$AC$1463,0),"")</f>
        <v>905</v>
      </c>
    </row>
    <row r="62" spans="1:16">
      <c r="A62" s="19">
        <f>IF($P62="","",54)</f>
        <v>54</v>
      </c>
      <c r="B62" s="18" t="str">
        <f>IF($P62="","",IFERROR(IF(INDEX(MASTER!$C$4:$C$1463,$P62)="","",INDEX(MASTER!$C$4:$C$1463,$P62)),""))</f>
        <v>Punch88</v>
      </c>
      <c r="C62" s="19" t="str">
        <f>IF($P62="","",IFERROR(IF(INDEX(MASTER!$D$4:$D$1463,$P62)="","",INDEX(MASTER!$D$4:$D$1463,$P62)),""))</f>
        <v/>
      </c>
      <c r="D62" s="19" t="str">
        <f>IF($P62="","",IFERROR(IF(INDEX(MASTER!$E$4:$E$1463,$P62)="","",INDEX(MASTER!$E$4:$E$1463,$P62)),""))</f>
        <v>BARBARIAN</v>
      </c>
      <c r="E62" s="19" t="str">
        <f>IF($P62="","",IFERROR(IF(INDEX(MASTER!$F$4:$F$1463,$P62)="","",INDEX(MASTER!$F$4:$F$1463,$P62)),""))</f>
        <v>Frontline</v>
      </c>
      <c r="F62" s="20">
        <f>IF($P62="","",IFERROR(IF(INDEX(MASTER!$G$4:$G$1463,$P62)="","",INDEX(MASTER!$G$4:$G$1463,$P62)),""))</f>
        <v>62596</v>
      </c>
      <c r="G62" s="19" t="str">
        <f>IF($P62="","",IFERROR(IF(INDEX(MASTER!$H$4:$H$1463,$P62)="","",INDEX(MASTER!$H$4:$H$1463,$P62)),""))</f>
        <v>62,000 - 62,999</v>
      </c>
      <c r="H62" s="20">
        <f>IF($P62="","",IFERROR(IF(INDEX(MASTER!$I$4:$I$1463,$P62)="","",INDEX(MASTER!$I$4:$I$1463,$P62)),""))</f>
        <v>2831</v>
      </c>
      <c r="I62" s="19" t="str">
        <f>IF($P62="","",IFERROR(IF(INDEX(MASTER!$J$4:$J$1463,$P62)="","",INDEX(MASTER!$J$4:$J$1463,$P62)),""))</f>
        <v>DEVELOPING</v>
      </c>
      <c r="J62" s="21">
        <f>IF($P62="","",IFERROR(IF(INDEX(MASTER!$L$4:$L$1463,$P62)="","",INDEX(MASTER!$L$4:$L$1463,$P62)),""))</f>
        <v>5</v>
      </c>
      <c r="K62" s="21">
        <f>IF($P62="","",IFERROR(IF(INDEX(MASTER!$N$4:$N$1463,$P62)="","",INDEX(MASTER!$N$4:$N$1463,$P62)),""))</f>
        <v>40.700000000000003</v>
      </c>
      <c r="L62" s="19" t="str">
        <f>IF($P62="","",IFERROR(IF(INDEX(MASTER!$O$4:$O$1463,$P62)="","",INDEX(MASTER!$O$4:$O$1463,$P62)),""))</f>
        <v>B</v>
      </c>
      <c r="M62" s="19">
        <f>IF($P62="","",IFERROR(IF(INDEX(MASTER!$Q$4:$Q$1463,$P62)="","",INDEX(MASTER!$Q$4:$Q$1463,$P62)),""))</f>
        <v>94</v>
      </c>
      <c r="N62" s="19" t="str">
        <f>IF($P62="","",IFERROR(IF(INDEX(MASTER!$S$4:$S$1463,$P62)="","",INDEX(MASTER!$S$4:$S$1463,$P62)),""))</f>
        <v>Complete</v>
      </c>
      <c r="P62">
        <f>IFERROR(MATCH($Q$1&amp;"@54",MASTER!$AC$4:$AC$1463,0),"")</f>
        <v>908</v>
      </c>
    </row>
    <row r="63" spans="1:16">
      <c r="A63" s="15">
        <f>IF($P63="","",55)</f>
        <v>55</v>
      </c>
      <c r="B63" s="14" t="str">
        <f>IF($P63="","",IFERROR(IF(INDEX(MASTER!$C$4:$C$1463,$P63)="","",INDEX(MASTER!$C$4:$C$1463,$P63)),""))</f>
        <v>RAGING PANDA</v>
      </c>
      <c r="C63" s="15" t="str">
        <f>IF($P63="","",IFERROR(IF(INDEX(MASTER!$D$4:$D$1463,$P63)="","",INDEX(MASTER!$D$4:$D$1463,$P63)),""))</f>
        <v/>
      </c>
      <c r="D63" s="15" t="str">
        <f>IF($P63="","",IFERROR(IF(INDEX(MASTER!$E$4:$E$1463,$P63)="","",INDEX(MASTER!$E$4:$E$1463,$P63)),""))</f>
        <v>WARLOCK</v>
      </c>
      <c r="E63" s="15" t="str">
        <f>IF($P63="","",IFERROR(IF(INDEX(MASTER!$F$4:$F$1463,$P63)="","",INDEX(MASTER!$F$4:$F$1463,$P63)),""))</f>
        <v>Control</v>
      </c>
      <c r="F63" s="16">
        <f>IF($P63="","",IFERROR(IF(INDEX(MASTER!$G$4:$G$1463,$P63)="","",INDEX(MASTER!$G$4:$G$1463,$P63)),""))</f>
        <v>64068</v>
      </c>
      <c r="G63" s="15" t="str">
        <f>IF($P63="","",IFERROR(IF(INDEX(MASTER!$H$4:$H$1463,$P63)="","",INDEX(MASTER!$H$4:$H$1463,$P63)),""))</f>
        <v>64,000 +</v>
      </c>
      <c r="H63" s="16">
        <f>IF($P63="","",IFERROR(IF(INDEX(MASTER!$I$4:$I$1463,$P63)="","",INDEX(MASTER!$I$4:$I$1463,$P63)),""))</f>
        <v>7663</v>
      </c>
      <c r="I63" s="15" t="str">
        <f>IF($P63="","",IFERROR(IF(INDEX(MASTER!$J$4:$J$1463,$P63)="","",INDEX(MASTER!$J$4:$J$1463,$P63)),""))</f>
        <v>VETERAN</v>
      </c>
      <c r="J63" s="17">
        <f>IF($P63="","",IFERROR(IF(INDEX(MASTER!$L$4:$L$1463,$P63)="","",INDEX(MASTER!$L$4:$L$1463,$P63)),""))</f>
        <v>8.6999999999999993</v>
      </c>
      <c r="K63" s="17">
        <f>IF($P63="","",IFERROR(IF(INDEX(MASTER!$N$4:$N$1463,$P63)="","",INDEX(MASTER!$N$4:$N$1463,$P63)),""))</f>
        <v>71.8</v>
      </c>
      <c r="L63" s="15" t="str">
        <f>IF($P63="","",IFERROR(IF(INDEX(MASTER!$O$4:$O$1463,$P63)="","",INDEX(MASTER!$O$4:$O$1463,$P63)),""))</f>
        <v>S</v>
      </c>
      <c r="M63" s="15">
        <f>IF($P63="","",IFERROR(IF(INDEX(MASTER!$Q$4:$Q$1463,$P63)="","",INDEX(MASTER!$Q$4:$Q$1463,$P63)),""))</f>
        <v>25</v>
      </c>
      <c r="N63" s="15" t="str">
        <f>IF($P63="","",IFERROR(IF(INDEX(MASTER!$S$4:$S$1463,$P63)="","",INDEX(MASTER!$S$4:$S$1463,$P63)),""))</f>
        <v>Complete</v>
      </c>
      <c r="P63">
        <f>IFERROR(MATCH($Q$1&amp;"@55",MASTER!$AC$4:$AC$1463,0),"")</f>
        <v>921</v>
      </c>
    </row>
    <row r="64" spans="1:16">
      <c r="A64" s="19">
        <f>IF($P64="","",56)</f>
        <v>56</v>
      </c>
      <c r="B64" s="18" t="str">
        <f>IF($P64="","",IFERROR(IF(INDEX(MASTER!$C$4:$C$1463,$P64)="","",INDEX(MASTER!$C$4:$C$1463,$P64)),""))</f>
        <v>RavenRage</v>
      </c>
      <c r="C64" s="19" t="str">
        <f>IF($P64="","",IFERROR(IF(INDEX(MASTER!$D$4:$D$1463,$P64)="","",INDEX(MASTER!$D$4:$D$1463,$P64)),""))</f>
        <v/>
      </c>
      <c r="D64" s="19" t="str">
        <f>IF($P64="","",IFERROR(IF(INDEX(MASTER!$E$4:$E$1463,$P64)="","",INDEX(MASTER!$E$4:$E$1463,$P64)),""))</f>
        <v>WARLOCK</v>
      </c>
      <c r="E64" s="19" t="str">
        <f>IF($P64="","",IFERROR(IF(INDEX(MASTER!$F$4:$F$1463,$P64)="","",INDEX(MASTER!$F$4:$F$1463,$P64)),""))</f>
        <v>Control</v>
      </c>
      <c r="F64" s="20">
        <f>IF($P64="","",IFERROR(IF(INDEX(MASTER!$G$4:$G$1463,$P64)="","",INDEX(MASTER!$G$4:$G$1463,$P64)),""))</f>
        <v>64291</v>
      </c>
      <c r="G64" s="19" t="str">
        <f>IF($P64="","",IFERROR(IF(INDEX(MASTER!$H$4:$H$1463,$P64)="","",INDEX(MASTER!$H$4:$H$1463,$P64)),""))</f>
        <v>64,000 +</v>
      </c>
      <c r="H64" s="20">
        <f>IF($P64="","",IFERROR(IF(INDEX(MASTER!$I$4:$I$1463,$P64)="","",INDEX(MASTER!$I$4:$I$1463,$P64)),""))</f>
        <v>9770</v>
      </c>
      <c r="I64" s="19" t="str">
        <f>IF($P64="","",IFERROR(IF(INDEX(MASTER!$J$4:$J$1463,$P64)="","",INDEX(MASTER!$J$4:$J$1463,$P64)),""))</f>
        <v>ELITE</v>
      </c>
      <c r="J64" s="21">
        <f>IF($P64="","",IFERROR(IF(INDEX(MASTER!$L$4:$L$1463,$P64)="","",INDEX(MASTER!$L$4:$L$1463,$P64)),""))</f>
        <v>7.75</v>
      </c>
      <c r="K64" s="21">
        <f>IF($P64="","",IFERROR(IF(INDEX(MASTER!$N$4:$N$1463,$P64)="","",INDEX(MASTER!$N$4:$N$1463,$P64)),""))</f>
        <v>80</v>
      </c>
      <c r="L64" s="19" t="str">
        <f>IF($P64="","",IFERROR(IF(INDEX(MASTER!$O$4:$O$1463,$P64)="","",INDEX(MASTER!$O$4:$O$1463,$P64)),""))</f>
        <v>S+</v>
      </c>
      <c r="M64" s="19">
        <f>IF($P64="","",IFERROR(IF(INDEX(MASTER!$Q$4:$Q$1463,$P64)="","",INDEX(MASTER!$Q$4:$Q$1463,$P64)),""))</f>
        <v>10</v>
      </c>
      <c r="N64" s="19" t="str">
        <f>IF($P64="","",IFERROR(IF(INDEX(MASTER!$S$4:$S$1463,$P64)="","",INDEX(MASTER!$S$4:$S$1463,$P64)),""))</f>
        <v>Complete</v>
      </c>
      <c r="P64">
        <f>IFERROR(MATCH($Q$1&amp;"@56",MASTER!$AC$4:$AC$1463,0),"")</f>
        <v>931</v>
      </c>
    </row>
    <row r="65" spans="1:16">
      <c r="A65" s="15">
        <f>IF($P65="","",57)</f>
        <v>57</v>
      </c>
      <c r="B65" s="14" t="str">
        <f>IF($P65="","",IFERROR(IF(INDEX(MASTER!$C$4:$C$1463,$P65)="","",INDEX(MASTER!$C$4:$C$1463,$P65)),""))</f>
        <v>Ray168</v>
      </c>
      <c r="C65" s="15" t="str">
        <f>IF($P65="","",IFERROR(IF(INDEX(MASTER!$D$4:$D$1463,$P65)="","",INDEX(MASTER!$D$4:$D$1463,$P65)),""))</f>
        <v/>
      </c>
      <c r="D65" s="15" t="str">
        <f>IF($P65="","",IFERROR(IF(INDEX(MASTER!$E$4:$E$1463,$P65)="","",INDEX(MASTER!$E$4:$E$1463,$P65)),""))</f>
        <v>BARBARIAN</v>
      </c>
      <c r="E65" s="15" t="str">
        <f>IF($P65="","",IFERROR(IF(INDEX(MASTER!$F$4:$F$1463,$P65)="","",INDEX(MASTER!$F$4:$F$1463,$P65)),""))</f>
        <v>Frontline</v>
      </c>
      <c r="F65" s="16">
        <f>IF($P65="","",IFERROR(IF(INDEX(MASTER!$G$4:$G$1463,$P65)="","",INDEX(MASTER!$G$4:$G$1463,$P65)),""))</f>
        <v>64349</v>
      </c>
      <c r="G65" s="15" t="str">
        <f>IF($P65="","",IFERROR(IF(INDEX(MASTER!$H$4:$H$1463,$P65)="","",INDEX(MASTER!$H$4:$H$1463,$P65)),""))</f>
        <v>64,000 +</v>
      </c>
      <c r="H65" s="16">
        <f>IF($P65="","",IFERROR(IF(INDEX(MASTER!$I$4:$I$1463,$P65)="","",INDEX(MASTER!$I$4:$I$1463,$P65)),""))</f>
        <v>10277</v>
      </c>
      <c r="I65" s="15" t="str">
        <f>IF($P65="","",IFERROR(IF(INDEX(MASTER!$J$4:$J$1463,$P65)="","",INDEX(MASTER!$J$4:$J$1463,$P65)),""))</f>
        <v>APEX</v>
      </c>
      <c r="J65" s="17">
        <f>IF($P65="","",IFERROR(IF(INDEX(MASTER!$L$4:$L$1463,$P65)="","",INDEX(MASTER!$L$4:$L$1463,$P65)),""))</f>
        <v>6.35</v>
      </c>
      <c r="K65" s="17">
        <f>IF($P65="","",IFERROR(IF(INDEX(MASTER!$N$4:$N$1463,$P65)="","",INDEX(MASTER!$N$4:$N$1463,$P65)),""))</f>
        <v>80</v>
      </c>
      <c r="L65" s="15" t="str">
        <f>IF($P65="","",IFERROR(IF(INDEX(MASTER!$O$4:$O$1463,$P65)="","",INDEX(MASTER!$O$4:$O$1463,$P65)),""))</f>
        <v>S+</v>
      </c>
      <c r="M65" s="15">
        <f>IF($P65="","",IFERROR(IF(INDEX(MASTER!$Q$4:$Q$1463,$P65)="","",INDEX(MASTER!$Q$4:$Q$1463,$P65)),""))</f>
        <v>7</v>
      </c>
      <c r="N65" s="15" t="str">
        <f>IF($P65="","",IFERROR(IF(INDEX(MASTER!$S$4:$S$1463,$P65)="","",INDEX(MASTER!$S$4:$S$1463,$P65)),""))</f>
        <v>Complete</v>
      </c>
      <c r="P65">
        <f>IFERROR(MATCH($Q$1&amp;"@57",MASTER!$AC$4:$AC$1463,0),"")</f>
        <v>933</v>
      </c>
    </row>
    <row r="66" spans="1:16">
      <c r="A66" s="19">
        <f>IF($P66="","",58)</f>
        <v>58</v>
      </c>
      <c r="B66" s="18" t="str">
        <f>IF($P66="","",IFERROR(IF(INDEX(MASTER!$C$4:$C$1463,$P66)="","",INDEX(MASTER!$C$4:$C$1463,$P66)),""))</f>
        <v>Raynes</v>
      </c>
      <c r="C66" s="19" t="str">
        <f>IF($P66="","",IFERROR(IF(INDEX(MASTER!$D$4:$D$1463,$P66)="","",INDEX(MASTER!$D$4:$D$1463,$P66)),""))</f>
        <v/>
      </c>
      <c r="D66" s="19" t="str">
        <f>IF($P66="","",IFERROR(IF(INDEX(MASTER!$E$4:$E$1463,$P66)="","",INDEX(MASTER!$E$4:$E$1463,$P66)),""))</f>
        <v>WARLOCK</v>
      </c>
      <c r="E66" s="19" t="str">
        <f>IF($P66="","",IFERROR(IF(INDEX(MASTER!$F$4:$F$1463,$P66)="","",INDEX(MASTER!$F$4:$F$1463,$P66)),""))</f>
        <v>Control</v>
      </c>
      <c r="F66" s="20">
        <f>IF($P66="","",IFERROR(IF(INDEX(MASTER!$G$4:$G$1463,$P66)="","",INDEX(MASTER!$G$4:$G$1463,$P66)),""))</f>
        <v>61928</v>
      </c>
      <c r="G66" s="19" t="str">
        <f>IF($P66="","",IFERROR(IF(INDEX(MASTER!$H$4:$H$1463,$P66)="","",INDEX(MASTER!$H$4:$H$1463,$P66)),""))</f>
        <v>61,000 - 61,999</v>
      </c>
      <c r="H66" s="20">
        <f>IF($P66="","",IFERROR(IF(INDEX(MASTER!$I$4:$I$1463,$P66)="","",INDEX(MASTER!$I$4:$I$1463,$P66)),""))</f>
        <v>2483</v>
      </c>
      <c r="I66" s="19" t="str">
        <f>IF($P66="","",IFERROR(IF(INDEX(MASTER!$J$4:$J$1463,$P66)="","",INDEX(MASTER!$J$4:$J$1463,$P66)),""))</f>
        <v>DEVELOPING</v>
      </c>
      <c r="J66" s="21">
        <f>IF($P66="","",IFERROR(IF(INDEX(MASTER!$L$4:$L$1463,$P66)="","",INDEX(MASTER!$L$4:$L$1463,$P66)),""))</f>
        <v>3.3</v>
      </c>
      <c r="K66" s="21">
        <f>IF($P66="","",IFERROR(IF(INDEX(MASTER!$N$4:$N$1463,$P66)="","",INDEX(MASTER!$N$4:$N$1463,$P66)),""))</f>
        <v>34.6</v>
      </c>
      <c r="L66" s="19" t="str">
        <f>IF($P66="","",IFERROR(IF(INDEX(MASTER!$O$4:$O$1463,$P66)="","",INDEX(MASTER!$O$4:$O$1463,$P66)),""))</f>
        <v>C</v>
      </c>
      <c r="M66" s="19">
        <f>IF($P66="","",IFERROR(IF(INDEX(MASTER!$Q$4:$Q$1463,$P66)="","",INDEX(MASTER!$Q$4:$Q$1463,$P66)),""))</f>
        <v>95</v>
      </c>
      <c r="N66" s="19" t="str">
        <f>IF($P66="","",IFERROR(IF(INDEX(MASTER!$S$4:$S$1463,$P66)="","",INDEX(MASTER!$S$4:$S$1463,$P66)),""))</f>
        <v>Complete</v>
      </c>
      <c r="P66">
        <f>IFERROR(MATCH($Q$1&amp;"@58",MASTER!$AC$4:$AC$1463,0),"")</f>
        <v>934</v>
      </c>
    </row>
    <row r="67" spans="1:16">
      <c r="A67" s="15">
        <f>IF($P67="","",59)</f>
        <v>59</v>
      </c>
      <c r="B67" s="14" t="str">
        <f>IF($P67="","",IFERROR(IF(INDEX(MASTER!$C$4:$C$1463,$P67)="","",INDEX(MASTER!$C$4:$C$1463,$P67)),""))</f>
        <v>RçsurrectPlayei</v>
      </c>
      <c r="C67" s="15" t="str">
        <f>IF($P67="","",IFERROR(IF(INDEX(MASTER!$D$4:$D$1463,$P67)="","",INDEX(MASTER!$D$4:$D$1463,$P67)),""))</f>
        <v/>
      </c>
      <c r="D67" s="15" t="str">
        <f>IF($P67="","",IFERROR(IF(INDEX(MASTER!$E$4:$E$1463,$P67)="","",INDEX(MASTER!$E$4:$E$1463,$P67)),""))</f>
        <v>BARBARIAN</v>
      </c>
      <c r="E67" s="15" t="str">
        <f>IF($P67="","",IFERROR(IF(INDEX(MASTER!$F$4:$F$1463,$P67)="","",INDEX(MASTER!$F$4:$F$1463,$P67)),""))</f>
        <v>Frontline</v>
      </c>
      <c r="F67" s="16">
        <f>IF($P67="","",IFERROR(IF(INDEX(MASTER!$G$4:$G$1463,$P67)="","",INDEX(MASTER!$G$4:$G$1463,$P67)),""))</f>
        <v>61843</v>
      </c>
      <c r="G67" s="15" t="str">
        <f>IF($P67="","",IFERROR(IF(INDEX(MASTER!$H$4:$H$1463,$P67)="","",INDEX(MASTER!$H$4:$H$1463,$P67)),""))</f>
        <v>61,000 - 61,999</v>
      </c>
      <c r="H67" s="16">
        <f>IF($P67="","",IFERROR(IF(INDEX(MASTER!$I$4:$I$1463,$P67)="","",INDEX(MASTER!$I$4:$I$1463,$P67)),""))</f>
        <v>3281</v>
      </c>
      <c r="I67" s="15" t="str">
        <f>IF($P67="","",IFERROR(IF(INDEX(MASTER!$J$4:$J$1463,$P67)="","",INDEX(MASTER!$J$4:$J$1463,$P67)),""))</f>
        <v>DEVELOPING</v>
      </c>
      <c r="J67" s="17">
        <f>IF($P67="","",IFERROR(IF(INDEX(MASTER!$L$4:$L$1463,$P67)="","",INDEX(MASTER!$L$4:$L$1463,$P67)),""))</f>
        <v>6.35</v>
      </c>
      <c r="K67" s="17">
        <f>IF($P67="","",IFERROR(IF(INDEX(MASTER!$N$4:$N$1463,$P67)="","",INDEX(MASTER!$N$4:$N$1463,$P67)),""))</f>
        <v>42.9</v>
      </c>
      <c r="L67" s="15" t="str">
        <f>IF($P67="","",IFERROR(IF(INDEX(MASTER!$O$4:$O$1463,$P67)="","",INDEX(MASTER!$O$4:$O$1463,$P67)),""))</f>
        <v>B</v>
      </c>
      <c r="M67" s="15">
        <f>IF($P67="","",IFERROR(IF(INDEX(MASTER!$Q$4:$Q$1463,$P67)="","",INDEX(MASTER!$Q$4:$Q$1463,$P67)),""))</f>
        <v>87</v>
      </c>
      <c r="N67" s="15" t="str">
        <f>IF($P67="","",IFERROR(IF(INDEX(MASTER!$S$4:$S$1463,$P67)="","",INDEX(MASTER!$S$4:$S$1463,$P67)),""))</f>
        <v>Complete</v>
      </c>
      <c r="P67">
        <f>IFERROR(MATCH($Q$1&amp;"@59",MASTER!$AC$4:$AC$1463,0),"")</f>
        <v>979</v>
      </c>
    </row>
    <row r="68" spans="1:16">
      <c r="A68" s="19">
        <f>IF($P68="","",60)</f>
        <v>60</v>
      </c>
      <c r="B68" s="18" t="str">
        <f>IF($P68="","",IFERROR(IF(INDEX(MASTER!$C$4:$C$1463,$P68)="","",INDEX(MASTER!$C$4:$C$1463,$P68)),""))</f>
        <v>RictusTheVa</v>
      </c>
      <c r="C68" s="19" t="str">
        <f>IF($P68="","",IFERROR(IF(INDEX(MASTER!$D$4:$D$1463,$P68)="","",INDEX(MASTER!$D$4:$D$1463,$P68)),""))</f>
        <v/>
      </c>
      <c r="D68" s="19" t="str">
        <f>IF($P68="","",IFERROR(IF(INDEX(MASTER!$E$4:$E$1463,$P68)="","",INDEX(MASTER!$E$4:$E$1463,$P68)),""))</f>
        <v>TEMPEST</v>
      </c>
      <c r="E68" s="19" t="str">
        <f>IF($P68="","",IFERROR(IF(INDEX(MASTER!$F$4:$F$1463,$P68)="","",INDEX(MASTER!$F$4:$F$1463,$P68)),""))</f>
        <v>Melee DPS</v>
      </c>
      <c r="F68" s="20">
        <f>IF($P68="","",IFERROR(IF(INDEX(MASTER!$G$4:$G$1463,$P68)="","",INDEX(MASTER!$G$4:$G$1463,$P68)),""))</f>
        <v>60419</v>
      </c>
      <c r="G68" s="19" t="str">
        <f>IF($P68="","",IFERROR(IF(INDEX(MASTER!$H$4:$H$1463,$P68)="","",INDEX(MASTER!$H$4:$H$1463,$P68)),""))</f>
        <v>60,000 - 60,999</v>
      </c>
      <c r="H68" s="20">
        <f>IF($P68="","",IFERROR(IF(INDEX(MASTER!$I$4:$I$1463,$P68)="","",INDEX(MASTER!$I$4:$I$1463,$P68)),""))</f>
        <v>5290</v>
      </c>
      <c r="I68" s="19" t="str">
        <f>IF($P68="","",IFERROR(IF(INDEX(MASTER!$J$4:$J$1463,$P68)="","",INDEX(MASTER!$J$4:$J$1463,$P68)),""))</f>
        <v>CORE</v>
      </c>
      <c r="J68" s="21">
        <f>IF($P68="","",IFERROR(IF(INDEX(MASTER!$L$4:$L$1463,$P68)="","",INDEX(MASTER!$L$4:$L$1463,$P68)),""))</f>
        <v>5.65</v>
      </c>
      <c r="K68" s="21">
        <f>IF($P68="","",IFERROR(IF(INDEX(MASTER!$N$4:$N$1463,$P68)="","",INDEX(MASTER!$N$4:$N$1463,$P68)),""))</f>
        <v>46.8</v>
      </c>
      <c r="L68" s="19" t="str">
        <f>IF($P68="","",IFERROR(IF(INDEX(MASTER!$O$4:$O$1463,$P68)="","",INDEX(MASTER!$O$4:$O$1463,$P68)),""))</f>
        <v>B</v>
      </c>
      <c r="M68" s="19">
        <f>IF($P68="","",IFERROR(IF(INDEX(MASTER!$Q$4:$Q$1463,$P68)="","",INDEX(MASTER!$Q$4:$Q$1463,$P68)),""))</f>
        <v>54</v>
      </c>
      <c r="N68" s="19" t="str">
        <f>IF($P68="","",IFERROR(IF(INDEX(MASTER!$S$4:$S$1463,$P68)="","",INDEX(MASTER!$S$4:$S$1463,$P68)),""))</f>
        <v>Complete</v>
      </c>
      <c r="P68">
        <f>IFERROR(MATCH($Q$1&amp;"@60",MASTER!$AC$4:$AC$1463,0),"")</f>
        <v>951</v>
      </c>
    </row>
    <row r="69" spans="1:16">
      <c r="A69" s="15">
        <f>IF($P69="","",61)</f>
        <v>61</v>
      </c>
      <c r="B69" s="14" t="str">
        <f>IF($P69="","",IFERROR(IF(INDEX(MASTER!$C$4:$C$1463,$P69)="","",INDEX(MASTER!$C$4:$C$1463,$P69)),""))</f>
        <v>Rizzy</v>
      </c>
      <c r="C69" s="15" t="str">
        <f>IF($P69="","",IFERROR(IF(INDEX(MASTER!$D$4:$D$1463,$P69)="","",INDEX(MASTER!$D$4:$D$1463,$P69)),""))</f>
        <v/>
      </c>
      <c r="D69" s="15" t="str">
        <f>IF($P69="","",IFERROR(IF(INDEX(MASTER!$E$4:$E$1463,$P69)="","",INDEX(MASTER!$E$4:$E$1463,$P69)),""))</f>
        <v>WARLOCK</v>
      </c>
      <c r="E69" s="15" t="str">
        <f>IF($P69="","",IFERROR(IF(INDEX(MASTER!$F$4:$F$1463,$P69)="","",INDEX(MASTER!$F$4:$F$1463,$P69)),""))</f>
        <v>Control</v>
      </c>
      <c r="F69" s="16">
        <f>IF($P69="","",IFERROR(IF(INDEX(MASTER!$G$4:$G$1463,$P69)="","",INDEX(MASTER!$G$4:$G$1463,$P69)),""))</f>
        <v>64351</v>
      </c>
      <c r="G69" s="15" t="str">
        <f>IF($P69="","",IFERROR(IF(INDEX(MASTER!$H$4:$H$1463,$P69)="","",INDEX(MASTER!$H$4:$H$1463,$P69)),""))</f>
        <v>64,000 +</v>
      </c>
      <c r="H69" s="16">
        <f>IF($P69="","",IFERROR(IF(INDEX(MASTER!$I$4:$I$1463,$P69)="","",INDEX(MASTER!$I$4:$I$1463,$P69)),""))</f>
        <v>11448</v>
      </c>
      <c r="I69" s="15" t="str">
        <f>IF($P69="","",IFERROR(IF(INDEX(MASTER!$J$4:$J$1463,$P69)="","",INDEX(MASTER!$J$4:$J$1463,$P69)),""))</f>
        <v>APEX</v>
      </c>
      <c r="J69" s="17">
        <f>IF($P69="","",IFERROR(IF(INDEX(MASTER!$L$4:$L$1463,$P69)="","",INDEX(MASTER!$L$4:$L$1463,$P69)),""))</f>
        <v>9.35</v>
      </c>
      <c r="K69" s="17">
        <f>IF($P69="","",IFERROR(IF(INDEX(MASTER!$N$4:$N$1463,$P69)="","",INDEX(MASTER!$N$4:$N$1463,$P69)),""))</f>
        <v>90.2</v>
      </c>
      <c r="L69" s="15" t="str">
        <f>IF($P69="","",IFERROR(IF(INDEX(MASTER!$O$4:$O$1463,$P69)="","",INDEX(MASTER!$O$4:$O$1463,$P69)),""))</f>
        <v>S+</v>
      </c>
      <c r="M69" s="15">
        <f>IF($P69="","",IFERROR(IF(INDEX(MASTER!$Q$4:$Q$1463,$P69)="","",INDEX(MASTER!$Q$4:$Q$1463,$P69)),""))</f>
        <v>2</v>
      </c>
      <c r="N69" s="15" t="str">
        <f>IF($P69="","",IFERROR(IF(INDEX(MASTER!$S$4:$S$1463,$P69)="","",INDEX(MASTER!$S$4:$S$1463,$P69)),""))</f>
        <v>Complete</v>
      </c>
      <c r="P69">
        <f>IFERROR(MATCH($Q$1&amp;"@61",MASTER!$AC$4:$AC$1463,0),"")</f>
        <v>955</v>
      </c>
    </row>
    <row r="70" spans="1:16">
      <c r="A70" s="19">
        <f>IF($P70="","",62)</f>
        <v>62</v>
      </c>
      <c r="B70" s="18" t="str">
        <f>IF($P70="","",IFERROR(IF(INDEX(MASTER!$C$4:$C$1463,$P70)="","",INDEX(MASTER!$C$4:$C$1463,$P70)),""))</f>
        <v>Ruthlëss</v>
      </c>
      <c r="C70" s="19" t="str">
        <f>IF($P70="","",IFERROR(IF(INDEX(MASTER!$D$4:$D$1463,$P70)="","",INDEX(MASTER!$D$4:$D$1463,$P70)),""))</f>
        <v/>
      </c>
      <c r="D70" s="19" t="str">
        <f>IF($P70="","",IFERROR(IF(INDEX(MASTER!$E$4:$E$1463,$P70)="","",INDEX(MASTER!$E$4:$E$1463,$P70)),""))</f>
        <v>WIZARD</v>
      </c>
      <c r="E70" s="19" t="str">
        <f>IF($P70="","",IFERROR(IF(INDEX(MASTER!$F$4:$F$1463,$P70)="","",INDEX(MASTER!$F$4:$F$1463,$P70)),""))</f>
        <v>Ranged DPS</v>
      </c>
      <c r="F70" s="20">
        <f>IF($P70="","",IFERROR(IF(INDEX(MASTER!$G$4:$G$1463,$P70)="","",INDEX(MASTER!$G$4:$G$1463,$P70)),""))</f>
        <v>61607</v>
      </c>
      <c r="G70" s="19" t="str">
        <f>IF($P70="","",IFERROR(IF(INDEX(MASTER!$H$4:$H$1463,$P70)="","",INDEX(MASTER!$H$4:$H$1463,$P70)),""))</f>
        <v>61,000 - 61,999</v>
      </c>
      <c r="H70" s="20">
        <f>IF($P70="","",IFERROR(IF(INDEX(MASTER!$I$4:$I$1463,$P70)="","",INDEX(MASTER!$I$4:$I$1463,$P70)),""))</f>
        <v>5386</v>
      </c>
      <c r="I70" s="19" t="str">
        <f>IF($P70="","",IFERROR(IF(INDEX(MASTER!$J$4:$J$1463,$P70)="","",INDEX(MASTER!$J$4:$J$1463,$P70)),""))</f>
        <v>CORE</v>
      </c>
      <c r="J70" s="21">
        <f>IF($P70="","",IFERROR(IF(INDEX(MASTER!$L$4:$L$1463,$P70)="","",INDEX(MASTER!$L$4:$L$1463,$P70)),""))</f>
        <v>4.6500000000000004</v>
      </c>
      <c r="K70" s="21">
        <f>IF($P70="","",IFERROR(IF(INDEX(MASTER!$N$4:$N$1463,$P70)="","",INDEX(MASTER!$N$4:$N$1463,$P70)),""))</f>
        <v>48.6</v>
      </c>
      <c r="L70" s="19" t="str">
        <f>IF($P70="","",IFERROR(IF(INDEX(MASTER!$O$4:$O$1463,$P70)="","",INDEX(MASTER!$O$4:$O$1463,$P70)),""))</f>
        <v>B</v>
      </c>
      <c r="M70" s="19">
        <f>IF($P70="","",IFERROR(IF(INDEX(MASTER!$Q$4:$Q$1463,$P70)="","",INDEX(MASTER!$Q$4:$Q$1463,$P70)),""))</f>
        <v>51</v>
      </c>
      <c r="N70" s="19" t="str">
        <f>IF($P70="","",IFERROR(IF(INDEX(MASTER!$S$4:$S$1463,$P70)="","",INDEX(MASTER!$S$4:$S$1463,$P70)),""))</f>
        <v>Complete</v>
      </c>
      <c r="P70">
        <f>IFERROR(MATCH($Q$1&amp;"@62",MASTER!$AC$4:$AC$1463,0),"")</f>
        <v>976</v>
      </c>
    </row>
    <row r="71" spans="1:16">
      <c r="A71" s="15">
        <f>IF($P71="","",63)</f>
        <v>63</v>
      </c>
      <c r="B71" s="14" t="str">
        <f>IF($P71="","",IFERROR(IF(INDEX(MASTER!$C$4:$C$1463,$P71)="","",INDEX(MASTER!$C$4:$C$1463,$P71)),""))</f>
        <v>Sarangel</v>
      </c>
      <c r="C71" s="15" t="str">
        <f>IF($P71="","",IFERROR(IF(INDEX(MASTER!$D$4:$D$1463,$P71)="","",INDEX(MASTER!$D$4:$D$1463,$P71)),""))</f>
        <v/>
      </c>
      <c r="D71" s="15" t="str">
        <f>IF($P71="","",IFERROR(IF(INDEX(MASTER!$E$4:$E$1463,$P71)="","",INDEX(MASTER!$E$4:$E$1463,$P71)),""))</f>
        <v>DEMON HUNTER</v>
      </c>
      <c r="E71" s="15" t="str">
        <f>IF($P71="","",IFERROR(IF(INDEX(MASTER!$F$4:$F$1463,$P71)="","",INDEX(MASTER!$F$4:$F$1463,$P71)),""))</f>
        <v>Ranged DPS</v>
      </c>
      <c r="F71" s="16">
        <f>IF($P71="","",IFERROR(IF(INDEX(MASTER!$G$4:$G$1463,$P71)="","",INDEX(MASTER!$G$4:$G$1463,$P71)),""))</f>
        <v>63364</v>
      </c>
      <c r="G71" s="15" t="str">
        <f>IF($P71="","",IFERROR(IF(INDEX(MASTER!$H$4:$H$1463,$P71)="","",INDEX(MASTER!$H$4:$H$1463,$P71)),""))</f>
        <v>63,000 - 63,999</v>
      </c>
      <c r="H71" s="16">
        <f>IF($P71="","",IFERROR(IF(INDEX(MASTER!$I$4:$I$1463,$P71)="","",INDEX(MASTER!$I$4:$I$1463,$P71)),""))</f>
        <v>5357</v>
      </c>
      <c r="I71" s="15" t="str">
        <f>IF($P71="","",IFERROR(IF(INDEX(MASTER!$J$4:$J$1463,$P71)="","",INDEX(MASTER!$J$4:$J$1463,$P71)),""))</f>
        <v>CORE</v>
      </c>
      <c r="J71" s="17">
        <f>IF($P71="","",IFERROR(IF(INDEX(MASTER!$L$4:$L$1463,$P71)="","",INDEX(MASTER!$L$4:$L$1463,$P71)),""))</f>
        <v>5.15</v>
      </c>
      <c r="K71" s="17">
        <f>IF($P71="","",IFERROR(IF(INDEX(MASTER!$N$4:$N$1463,$P71)="","",INDEX(MASTER!$N$4:$N$1463,$P71)),""))</f>
        <v>54</v>
      </c>
      <c r="L71" s="15" t="str">
        <f>IF($P71="","",IFERROR(IF(INDEX(MASTER!$O$4:$O$1463,$P71)="","",INDEX(MASTER!$O$4:$O$1463,$P71)),""))</f>
        <v>A</v>
      </c>
      <c r="M71" s="15">
        <f>IF($P71="","",IFERROR(IF(INDEX(MASTER!$Q$4:$Q$1463,$P71)="","",INDEX(MASTER!$Q$4:$Q$1463,$P71)),""))</f>
        <v>52</v>
      </c>
      <c r="N71" s="15" t="str">
        <f>IF($P71="","",IFERROR(IF(INDEX(MASTER!$S$4:$S$1463,$P71)="","",INDEX(MASTER!$S$4:$S$1463,$P71)),""))</f>
        <v>Complete</v>
      </c>
      <c r="P71">
        <f>IFERROR(MATCH($Q$1&amp;"@63",MASTER!$AC$4:$AC$1463,0),"")</f>
        <v>987</v>
      </c>
    </row>
    <row r="72" spans="1:16">
      <c r="A72" s="19">
        <f>IF($P72="","",64)</f>
        <v>64</v>
      </c>
      <c r="B72" s="18" t="str">
        <f>IF($P72="","",IFERROR(IF(INDEX(MASTER!$C$4:$C$1463,$P72)="","",INDEX(MASTER!$C$4:$C$1463,$P72)),""))</f>
        <v>Sebsit</v>
      </c>
      <c r="C72" s="19" t="str">
        <f>IF($P72="","",IFERROR(IF(INDEX(MASTER!$D$4:$D$1463,$P72)="","",INDEX(MASTER!$D$4:$D$1463,$P72)),""))</f>
        <v/>
      </c>
      <c r="D72" s="19" t="str">
        <f>IF($P72="","",IFERROR(IF(INDEX(MASTER!$E$4:$E$1463,$P72)="","",INDEX(MASTER!$E$4:$E$1463,$P72)),""))</f>
        <v>CRUSADER</v>
      </c>
      <c r="E72" s="19" t="str">
        <f>IF($P72="","",IFERROR(IF(INDEX(MASTER!$F$4:$F$1463,$P72)="","",INDEX(MASTER!$F$4:$F$1463,$P72)),""))</f>
        <v>Frontline</v>
      </c>
      <c r="F72" s="20">
        <f>IF($P72="","",IFERROR(IF(INDEX(MASTER!$G$4:$G$1463,$P72)="","",INDEX(MASTER!$G$4:$G$1463,$P72)),""))</f>
        <v>63534</v>
      </c>
      <c r="G72" s="19" t="str">
        <f>IF($P72="","",IFERROR(IF(INDEX(MASTER!$H$4:$H$1463,$P72)="","",INDEX(MASTER!$H$4:$H$1463,$P72)),""))</f>
        <v>63,000 - 63,999</v>
      </c>
      <c r="H72" s="20">
        <f>IF($P72="","",IFERROR(IF(INDEX(MASTER!$I$4:$I$1463,$P72)="","",INDEX(MASTER!$I$4:$I$1463,$P72)),""))</f>
        <v>4748</v>
      </c>
      <c r="I72" s="19" t="str">
        <f>IF($P72="","",IFERROR(IF(INDEX(MASTER!$J$4:$J$1463,$P72)="","",INDEX(MASTER!$J$4:$J$1463,$P72)),""))</f>
        <v>CORE</v>
      </c>
      <c r="J72" s="21">
        <f>IF($P72="","",IFERROR(IF(INDEX(MASTER!$L$4:$L$1463,$P72)="","",INDEX(MASTER!$L$4:$L$1463,$P72)),""))</f>
        <v>5.3</v>
      </c>
      <c r="K72" s="21">
        <f>IF($P72="","",IFERROR(IF(INDEX(MASTER!$N$4:$N$1463,$P72)="","",INDEX(MASTER!$N$4:$N$1463,$P72)),""))</f>
        <v>52</v>
      </c>
      <c r="L72" s="19" t="str">
        <f>IF($P72="","",IFERROR(IF(INDEX(MASTER!$O$4:$O$1463,$P72)="","",INDEX(MASTER!$O$4:$O$1463,$P72)),""))</f>
        <v>A</v>
      </c>
      <c r="M72" s="19">
        <f>IF($P72="","",IFERROR(IF(INDEX(MASTER!$Q$4:$Q$1463,$P72)="","",INDEX(MASTER!$Q$4:$Q$1463,$P72)),""))</f>
        <v>61</v>
      </c>
      <c r="N72" s="19" t="str">
        <f>IF($P72="","",IFERROR(IF(INDEX(MASTER!$S$4:$S$1463,$P72)="","",INDEX(MASTER!$S$4:$S$1463,$P72)),""))</f>
        <v>Complete</v>
      </c>
      <c r="P72">
        <f>IFERROR(MATCH($Q$1&amp;"@64",MASTER!$AC$4:$AC$1463,0),"")</f>
        <v>990</v>
      </c>
    </row>
    <row r="73" spans="1:16">
      <c r="A73" s="15">
        <f>IF($P73="","",65)</f>
        <v>65</v>
      </c>
      <c r="B73" s="14" t="str">
        <f>IF($P73="","",IFERROR(IF(INDEX(MASTER!$C$4:$C$1463,$P73)="","",INDEX(MASTER!$C$4:$C$1463,$P73)),""))</f>
        <v>SellinRE I C</v>
      </c>
      <c r="C73" s="15" t="str">
        <f>IF($P73="","",IFERROR(IF(INDEX(MASTER!$D$4:$D$1463,$P73)="","",INDEX(MASTER!$D$4:$D$1463,$P73)),""))</f>
        <v/>
      </c>
      <c r="D73" s="15" t="str">
        <f>IF($P73="","",IFERROR(IF(INDEX(MASTER!$E$4:$E$1463,$P73)="","",INDEX(MASTER!$E$4:$E$1463,$P73)),""))</f>
        <v>DRUID</v>
      </c>
      <c r="E73" s="15" t="str">
        <f>IF($P73="","",IFERROR(IF(INDEX(MASTER!$F$4:$F$1463,$P73)="","",INDEX(MASTER!$F$4:$F$1463,$P73)),""))</f>
        <v>Support</v>
      </c>
      <c r="F73" s="16">
        <f>IF($P73="","",IFERROR(IF(INDEX(MASTER!$G$4:$G$1463,$P73)="","",INDEX(MASTER!$G$4:$G$1463,$P73)),""))</f>
        <v>63718</v>
      </c>
      <c r="G73" s="15" t="str">
        <f>IF($P73="","",IFERROR(IF(INDEX(MASTER!$H$4:$H$1463,$P73)="","",INDEX(MASTER!$H$4:$H$1463,$P73)),""))</f>
        <v>63,000 - 63,999</v>
      </c>
      <c r="H73" s="16">
        <f>IF($P73="","",IFERROR(IF(INDEX(MASTER!$I$4:$I$1463,$P73)="","",INDEX(MASTER!$I$4:$I$1463,$P73)),""))</f>
        <v>7373</v>
      </c>
      <c r="I73" s="15" t="str">
        <f>IF($P73="","",IFERROR(IF(INDEX(MASTER!$J$4:$J$1463,$P73)="","",INDEX(MASTER!$J$4:$J$1463,$P73)),""))</f>
        <v>VETERAN</v>
      </c>
      <c r="J73" s="17">
        <f>IF($P73="","",IFERROR(IF(INDEX(MASTER!$L$4:$L$1463,$P73)="","",INDEX(MASTER!$L$4:$L$1463,$P73)),""))</f>
        <v>6.15</v>
      </c>
      <c r="K73" s="17">
        <f>IF($P73="","",IFERROR(IF(INDEX(MASTER!$N$4:$N$1463,$P73)="","",INDEX(MASTER!$N$4:$N$1463,$P73)),""))</f>
        <v>65.400000000000006</v>
      </c>
      <c r="L73" s="15" t="str">
        <f>IF($P73="","",IFERROR(IF(INDEX(MASTER!$O$4:$O$1463,$P73)="","",INDEX(MASTER!$O$4:$O$1463,$P73)),""))</f>
        <v>S</v>
      </c>
      <c r="M73" s="15">
        <f>IF($P73="","",IFERROR(IF(INDEX(MASTER!$Q$4:$Q$1463,$P73)="","",INDEX(MASTER!$Q$4:$Q$1463,$P73)),""))</f>
        <v>27</v>
      </c>
      <c r="N73" s="15" t="str">
        <f>IF($P73="","",IFERROR(IF(INDEX(MASTER!$S$4:$S$1463,$P73)="","",INDEX(MASTER!$S$4:$S$1463,$P73)),""))</f>
        <v>Complete</v>
      </c>
      <c r="P73">
        <f>IFERROR(MATCH($Q$1&amp;"@65",MASTER!$AC$4:$AC$1463,0),"")</f>
        <v>993</v>
      </c>
    </row>
    <row r="74" spans="1:16">
      <c r="A74" s="19">
        <f>IF($P74="","",66)</f>
        <v>66</v>
      </c>
      <c r="B74" s="18" t="str">
        <f>IF($P74="","",IFERROR(IF(INDEX(MASTER!$C$4:$C$1463,$P74)="","",INDEX(MASTER!$C$4:$C$1463,$P74)),""))</f>
        <v>SENOB</v>
      </c>
      <c r="C74" s="19" t="str">
        <f>IF($P74="","",IFERROR(IF(INDEX(MASTER!$D$4:$D$1463,$P74)="","",INDEX(MASTER!$D$4:$D$1463,$P74)),""))</f>
        <v/>
      </c>
      <c r="D74" s="19" t="str">
        <f>IF($P74="","",IFERROR(IF(INDEX(MASTER!$E$4:$E$1463,$P74)="","",INDEX(MASTER!$E$4:$E$1463,$P74)),""))</f>
        <v>CRUSADER</v>
      </c>
      <c r="E74" s="19" t="str">
        <f>IF($P74="","",IFERROR(IF(INDEX(MASTER!$F$4:$F$1463,$P74)="","",INDEX(MASTER!$F$4:$F$1463,$P74)),""))</f>
        <v>Frontline</v>
      </c>
      <c r="F74" s="20">
        <f>IF($P74="","",IFERROR(IF(INDEX(MASTER!$G$4:$G$1463,$P74)="","",INDEX(MASTER!$G$4:$G$1463,$P74)),""))</f>
        <v>61489</v>
      </c>
      <c r="G74" s="19" t="str">
        <f>IF($P74="","",IFERROR(IF(INDEX(MASTER!$H$4:$H$1463,$P74)="","",INDEX(MASTER!$H$4:$H$1463,$P74)),""))</f>
        <v>61,000 - 61,999</v>
      </c>
      <c r="H74" s="20">
        <f>IF($P74="","",IFERROR(IF(INDEX(MASTER!$I$4:$I$1463,$P74)="","",INDEX(MASTER!$I$4:$I$1463,$P74)),""))</f>
        <v>7263</v>
      </c>
      <c r="I74" s="19" t="str">
        <f>IF($P74="","",IFERROR(IF(INDEX(MASTER!$J$4:$J$1463,$P74)="","",INDEX(MASTER!$J$4:$J$1463,$P74)),""))</f>
        <v>VETERAN</v>
      </c>
      <c r="J74" s="21">
        <f>IF($P74="","",IFERROR(IF(INDEX(MASTER!$L$4:$L$1463,$P74)="","",INDEX(MASTER!$L$4:$L$1463,$P74)),""))</f>
        <v>7.85</v>
      </c>
      <c r="K74" s="21">
        <f>IF($P74="","",IFERROR(IF(INDEX(MASTER!$N$4:$N$1463,$P74)="","",INDEX(MASTER!$N$4:$N$1463,$P74)),""))</f>
        <v>61.9</v>
      </c>
      <c r="L74" s="19" t="str">
        <f>IF($P74="","",IFERROR(IF(INDEX(MASTER!$O$4:$O$1463,$P74)="","",INDEX(MASTER!$O$4:$O$1463,$P74)),""))</f>
        <v>A</v>
      </c>
      <c r="M74" s="19">
        <f>IF($P74="","",IFERROR(IF(INDEX(MASTER!$Q$4:$Q$1463,$P74)="","",INDEX(MASTER!$Q$4:$Q$1463,$P74)),""))</f>
        <v>29</v>
      </c>
      <c r="N74" s="19" t="str">
        <f>IF($P74="","",IFERROR(IF(INDEX(MASTER!$S$4:$S$1463,$P74)="","",INDEX(MASTER!$S$4:$S$1463,$P74)),""))</f>
        <v>Complete</v>
      </c>
      <c r="P74">
        <f>IFERROR(MATCH($Q$1&amp;"@66",MASTER!$AC$4:$AC$1463,0),"")</f>
        <v>994</v>
      </c>
    </row>
    <row r="75" spans="1:16">
      <c r="A75" s="15">
        <f>IF($P75="","",67)</f>
        <v>67</v>
      </c>
      <c r="B75" s="14" t="str">
        <f>IF($P75="","",IFERROR(IF(INDEX(MASTER!$C$4:$C$1463,$P75)="","",INDEX(MASTER!$C$4:$C$1463,$P75)),""))</f>
        <v>ShadowKiller</v>
      </c>
      <c r="C75" s="15" t="str">
        <f>IF($P75="","",IFERROR(IF(INDEX(MASTER!$D$4:$D$1463,$P75)="","",INDEX(MASTER!$D$4:$D$1463,$P75)),""))</f>
        <v/>
      </c>
      <c r="D75" s="15" t="str">
        <f>IF($P75="","",IFERROR(IF(INDEX(MASTER!$E$4:$E$1463,$P75)="","",INDEX(MASTER!$E$4:$E$1463,$P75)),""))</f>
        <v>DEMON HUNTER</v>
      </c>
      <c r="E75" s="15" t="str">
        <f>IF($P75="","",IFERROR(IF(INDEX(MASTER!$F$4:$F$1463,$P75)="","",INDEX(MASTER!$F$4:$F$1463,$P75)),""))</f>
        <v>Ranged DPS</v>
      </c>
      <c r="F75" s="16">
        <f>IF($P75="","",IFERROR(IF(INDEX(MASTER!$G$4:$G$1463,$P75)="","",INDEX(MASTER!$G$4:$G$1463,$P75)),""))</f>
        <v>61697</v>
      </c>
      <c r="G75" s="15" t="str">
        <f>IF($P75="","",IFERROR(IF(INDEX(MASTER!$H$4:$H$1463,$P75)="","",INDEX(MASTER!$H$4:$H$1463,$P75)),""))</f>
        <v>61,000 - 61,999</v>
      </c>
      <c r="H75" s="16">
        <f>IF($P75="","",IFERROR(IF(INDEX(MASTER!$I$4:$I$1463,$P75)="","",INDEX(MASTER!$I$4:$I$1463,$P75)),""))</f>
        <v>3224</v>
      </c>
      <c r="I75" s="15" t="str">
        <f>IF($P75="","",IFERROR(IF(INDEX(MASTER!$J$4:$J$1463,$P75)="","",INDEX(MASTER!$J$4:$J$1463,$P75)),""))</f>
        <v>DEVELOPING</v>
      </c>
      <c r="J75" s="17">
        <f>IF($P75="","",IFERROR(IF(INDEX(MASTER!$L$4:$L$1463,$P75)="","",INDEX(MASTER!$L$4:$L$1463,$P75)),""))</f>
        <v>3.95</v>
      </c>
      <c r="K75" s="17">
        <f>IF($P75="","",IFERROR(IF(INDEX(MASTER!$N$4:$N$1463,$P75)="","",INDEX(MASTER!$N$4:$N$1463,$P75)),""))</f>
        <v>38.299999999999997</v>
      </c>
      <c r="L75" s="15" t="str">
        <f>IF($P75="","",IFERROR(IF(INDEX(MASTER!$O$4:$O$1463,$P75)="","",INDEX(MASTER!$O$4:$O$1463,$P75)),""))</f>
        <v>B</v>
      </c>
      <c r="M75" s="15">
        <f>IF($P75="","",IFERROR(IF(INDEX(MASTER!$Q$4:$Q$1463,$P75)="","",INDEX(MASTER!$Q$4:$Q$1463,$P75)),""))</f>
        <v>88</v>
      </c>
      <c r="N75" s="15" t="str">
        <f>IF($P75="","",IFERROR(IF(INDEX(MASTER!$S$4:$S$1463,$P75)="","",INDEX(MASTER!$S$4:$S$1463,$P75)),""))</f>
        <v>Complete</v>
      </c>
      <c r="P75">
        <f>IFERROR(MATCH($Q$1&amp;"@67",MASTER!$AC$4:$AC$1463,0),"")</f>
        <v>1001</v>
      </c>
    </row>
    <row r="76" spans="1:16">
      <c r="A76" s="19">
        <f>IF($P76="","",68)</f>
        <v>68</v>
      </c>
      <c r="B76" s="18" t="str">
        <f>IF($P76="","",IFERROR(IF(INDEX(MASTER!$C$4:$C$1463,$P76)="","",INDEX(MASTER!$C$4:$C$1463,$P76)),""))</f>
        <v>SHERIFFSFC</v>
      </c>
      <c r="C76" s="19" t="str">
        <f>IF($P76="","",IFERROR(IF(INDEX(MASTER!$D$4:$D$1463,$P76)="","",INDEX(MASTER!$D$4:$D$1463,$P76)),""))</f>
        <v/>
      </c>
      <c r="D76" s="19" t="str">
        <f>IF($P76="","",IFERROR(IF(INDEX(MASTER!$E$4:$E$1463,$P76)="","",INDEX(MASTER!$E$4:$E$1463,$P76)),""))</f>
        <v>DEMON HUNTER</v>
      </c>
      <c r="E76" s="19" t="str">
        <f>IF($P76="","",IFERROR(IF(INDEX(MASTER!$F$4:$F$1463,$P76)="","",INDEX(MASTER!$F$4:$F$1463,$P76)),""))</f>
        <v>Ranged DPS</v>
      </c>
      <c r="F76" s="20">
        <f>IF($P76="","",IFERROR(IF(INDEX(MASTER!$G$4:$G$1463,$P76)="","",INDEX(MASTER!$G$4:$G$1463,$P76)),""))</f>
        <v>63200</v>
      </c>
      <c r="G76" s="19" t="str">
        <f>IF($P76="","",IFERROR(IF(INDEX(MASTER!$H$4:$H$1463,$P76)="","",INDEX(MASTER!$H$4:$H$1463,$P76)),""))</f>
        <v>63,000 - 63,999</v>
      </c>
      <c r="H76" s="20">
        <f>IF($P76="","",IFERROR(IF(INDEX(MASTER!$I$4:$I$1463,$P76)="","",INDEX(MASTER!$I$4:$I$1463,$P76)),""))</f>
        <v>4134</v>
      </c>
      <c r="I76" s="19" t="str">
        <f>IF($P76="","",IFERROR(IF(INDEX(MASTER!$J$4:$J$1463,$P76)="","",INDEX(MASTER!$J$4:$J$1463,$P76)),""))</f>
        <v>CORE</v>
      </c>
      <c r="J76" s="21">
        <f>IF($P76="","",IFERROR(IF(INDEX(MASTER!$L$4:$L$1463,$P76)="","",INDEX(MASTER!$L$4:$L$1463,$P76)),""))</f>
        <v>4.75</v>
      </c>
      <c r="K76" s="21">
        <f>IF($P76="","",IFERROR(IF(INDEX(MASTER!$N$4:$N$1463,$P76)="","",INDEX(MASTER!$N$4:$N$1463,$P76)),""))</f>
        <v>47.5</v>
      </c>
      <c r="L76" s="19" t="str">
        <f>IF($P76="","",IFERROR(IF(INDEX(MASTER!$O$4:$O$1463,$P76)="","",INDEX(MASTER!$O$4:$O$1463,$P76)),""))</f>
        <v>B</v>
      </c>
      <c r="M76" s="19">
        <f>IF($P76="","",IFERROR(IF(INDEX(MASTER!$Q$4:$Q$1463,$P76)="","",INDEX(MASTER!$Q$4:$Q$1463,$P76)),""))</f>
        <v>68</v>
      </c>
      <c r="N76" s="19" t="str">
        <f>IF($P76="","",IFERROR(IF(INDEX(MASTER!$S$4:$S$1463,$P76)="","",INDEX(MASTER!$S$4:$S$1463,$P76)),""))</f>
        <v>Complete</v>
      </c>
      <c r="P76">
        <f>IFERROR(MATCH($Q$1&amp;"@68",MASTER!$AC$4:$AC$1463,0),"")</f>
        <v>1009</v>
      </c>
    </row>
    <row r="77" spans="1:16">
      <c r="A77" s="15">
        <f>IF($P77="","",69)</f>
        <v>69</v>
      </c>
      <c r="B77" s="14" t="str">
        <f>IF($P77="","",IFERROR(IF(INDEX(MASTER!$C$4:$C$1463,$P77)="","",INDEX(MASTER!$C$4:$C$1463,$P77)),""))</f>
        <v>ShineStone</v>
      </c>
      <c r="C77" s="15" t="str">
        <f>IF($P77="","",IFERROR(IF(INDEX(MASTER!$D$4:$D$1463,$P77)="","",INDEX(MASTER!$D$4:$D$1463,$P77)),""))</f>
        <v/>
      </c>
      <c r="D77" s="15" t="str">
        <f>IF($P77="","",IFERROR(IF(INDEX(MASTER!$E$4:$E$1463,$P77)="","",INDEX(MASTER!$E$4:$E$1463,$P77)),""))</f>
        <v>CRUSADER</v>
      </c>
      <c r="E77" s="15" t="str">
        <f>IF($P77="","",IFERROR(IF(INDEX(MASTER!$F$4:$F$1463,$P77)="","",INDEX(MASTER!$F$4:$F$1463,$P77)),""))</f>
        <v>Frontline</v>
      </c>
      <c r="F77" s="16">
        <f>IF($P77="","",IFERROR(IF(INDEX(MASTER!$G$4:$G$1463,$P77)="","",INDEX(MASTER!$G$4:$G$1463,$P77)),""))</f>
        <v>62433</v>
      </c>
      <c r="G77" s="15" t="str">
        <f>IF($P77="","",IFERROR(IF(INDEX(MASTER!$H$4:$H$1463,$P77)="","",INDEX(MASTER!$H$4:$H$1463,$P77)),""))</f>
        <v>62,000 - 62,999</v>
      </c>
      <c r="H77" s="16">
        <f>IF($P77="","",IFERROR(IF(INDEX(MASTER!$I$4:$I$1463,$P77)="","",INDEX(MASTER!$I$4:$I$1463,$P77)),""))</f>
        <v>7175</v>
      </c>
      <c r="I77" s="15" t="str">
        <f>IF($P77="","",IFERROR(IF(INDEX(MASTER!$J$4:$J$1463,$P77)="","",INDEX(MASTER!$J$4:$J$1463,$P77)),""))</f>
        <v>VETERAN</v>
      </c>
      <c r="J77" s="17">
        <f>IF($P77="","",IFERROR(IF(INDEX(MASTER!$L$4:$L$1463,$P77)="","",INDEX(MASTER!$L$4:$L$1463,$P77)),""))</f>
        <v>7.4</v>
      </c>
      <c r="K77" s="17">
        <f>IF($P77="","",IFERROR(IF(INDEX(MASTER!$N$4:$N$1463,$P77)="","",INDEX(MASTER!$N$4:$N$1463,$P77)),""))</f>
        <v>63.2</v>
      </c>
      <c r="L77" s="15" t="str">
        <f>IF($P77="","",IFERROR(IF(INDEX(MASTER!$O$4:$O$1463,$P77)="","",INDEX(MASTER!$O$4:$O$1463,$P77)),""))</f>
        <v>A</v>
      </c>
      <c r="M77" s="15">
        <f>IF($P77="","",IFERROR(IF(INDEX(MASTER!$Q$4:$Q$1463,$P77)="","",INDEX(MASTER!$Q$4:$Q$1463,$P77)),""))</f>
        <v>31</v>
      </c>
      <c r="N77" s="15" t="str">
        <f>IF($P77="","",IFERROR(IF(INDEX(MASTER!$S$4:$S$1463,$P77)="","",INDEX(MASTER!$S$4:$S$1463,$P77)),""))</f>
        <v>Complete</v>
      </c>
      <c r="P77">
        <f>IFERROR(MATCH($Q$1&amp;"@69",MASTER!$AC$4:$AC$1463,0),"")</f>
        <v>1011</v>
      </c>
    </row>
    <row r="78" spans="1:16">
      <c r="A78" s="19">
        <f>IF($P78="","",70)</f>
        <v>70</v>
      </c>
      <c r="B78" s="18" t="str">
        <f>IF($P78="","",IFERROR(IF(INDEX(MASTER!$C$4:$C$1463,$P78)="","",INDEX(MASTER!$C$4:$C$1463,$P78)),""))</f>
        <v>SilentKill</v>
      </c>
      <c r="C78" s="19" t="str">
        <f>IF($P78="","",IFERROR(IF(INDEX(MASTER!$D$4:$D$1463,$P78)="","",INDEX(MASTER!$D$4:$D$1463,$P78)),""))</f>
        <v/>
      </c>
      <c r="D78" s="19" t="str">
        <f>IF($P78="","",IFERROR(IF(INDEX(MASTER!$E$4:$E$1463,$P78)="","",INDEX(MASTER!$E$4:$E$1463,$P78)),""))</f>
        <v>WARLOCK</v>
      </c>
      <c r="E78" s="19" t="str">
        <f>IF($P78="","",IFERROR(IF(INDEX(MASTER!$F$4:$F$1463,$P78)="","",INDEX(MASTER!$F$4:$F$1463,$P78)),""))</f>
        <v>Control</v>
      </c>
      <c r="F78" s="20">
        <f>IF($P78="","",IFERROR(IF(INDEX(MASTER!$G$4:$G$1463,$P78)="","",INDEX(MASTER!$G$4:$G$1463,$P78)),""))</f>
        <v>60972</v>
      </c>
      <c r="G78" s="19" t="str">
        <f>IF($P78="","",IFERROR(IF(INDEX(MASTER!$H$4:$H$1463,$P78)="","",INDEX(MASTER!$H$4:$H$1463,$P78)),""))</f>
        <v>60,000 - 60,999</v>
      </c>
      <c r="H78" s="20">
        <f>IF($P78="","",IFERROR(IF(INDEX(MASTER!$I$4:$I$1463,$P78)="","",INDEX(MASTER!$I$4:$I$1463,$P78)),""))</f>
        <v>2062</v>
      </c>
      <c r="I78" s="19" t="str">
        <f>IF($P78="","",IFERROR(IF(INDEX(MASTER!$J$4:$J$1463,$P78)="","",INDEX(MASTER!$J$4:$J$1463,$P78)),""))</f>
        <v>DEVELOPING</v>
      </c>
      <c r="J78" s="21">
        <f>IF($P78="","",IFERROR(IF(INDEX(MASTER!$L$4:$L$1463,$P78)="","",INDEX(MASTER!$L$4:$L$1463,$P78)),""))</f>
        <v>4.45</v>
      </c>
      <c r="K78" s="21">
        <f>IF($P78="","",IFERROR(IF(INDEX(MASTER!$N$4:$N$1463,$P78)="","",INDEX(MASTER!$N$4:$N$1463,$P78)),""))</f>
        <v>32.1</v>
      </c>
      <c r="L78" s="19" t="str">
        <f>IF($P78="","",IFERROR(IF(INDEX(MASTER!$O$4:$O$1463,$P78)="","",INDEX(MASTER!$O$4:$O$1463,$P78)),""))</f>
        <v>C</v>
      </c>
      <c r="M78" s="19">
        <f>IF($P78="","",IFERROR(IF(INDEX(MASTER!$Q$4:$Q$1463,$P78)="","",INDEX(MASTER!$Q$4:$Q$1463,$P78)),""))</f>
        <v>97</v>
      </c>
      <c r="N78" s="19" t="str">
        <f>IF($P78="","",IFERROR(IF(INDEX(MASTER!$S$4:$S$1463,$P78)="","",INDEX(MASTER!$S$4:$S$1463,$P78)),""))</f>
        <v>Complete</v>
      </c>
      <c r="P78">
        <f>IFERROR(MATCH($Q$1&amp;"@70",MASTER!$AC$4:$AC$1463,0),"")</f>
        <v>1018</v>
      </c>
    </row>
    <row r="79" spans="1:16">
      <c r="A79" s="15">
        <f>IF($P79="","",71)</f>
        <v>71</v>
      </c>
      <c r="B79" s="14" t="str">
        <f>IF($P79="","",IFERROR(IF(INDEX(MASTER!$C$4:$C$1463,$P79)="","",INDEX(MASTER!$C$4:$C$1463,$P79)),""))</f>
        <v>SillyMrJ</v>
      </c>
      <c r="C79" s="15" t="str">
        <f>IF($P79="","",IFERROR(IF(INDEX(MASTER!$D$4:$D$1463,$P79)="","",INDEX(MASTER!$D$4:$D$1463,$P79)),""))</f>
        <v/>
      </c>
      <c r="D79" s="15" t="str">
        <f>IF($P79="","",IFERROR(IF(INDEX(MASTER!$E$4:$E$1463,$P79)="","",INDEX(MASTER!$E$4:$E$1463,$P79)),""))</f>
        <v>NECROMANCER</v>
      </c>
      <c r="E79" s="15" t="str">
        <f>IF($P79="","",IFERROR(IF(INDEX(MASTER!$F$4:$F$1463,$P79)="","",INDEX(MASTER!$F$4:$F$1463,$P79)),""))</f>
        <v>Control</v>
      </c>
      <c r="F79" s="16">
        <f>IF($P79="","",IFERROR(IF(INDEX(MASTER!$G$4:$G$1463,$P79)="","",INDEX(MASTER!$G$4:$G$1463,$P79)),""))</f>
        <v>63632</v>
      </c>
      <c r="G79" s="15" t="str">
        <f>IF($P79="","",IFERROR(IF(INDEX(MASTER!$H$4:$H$1463,$P79)="","",INDEX(MASTER!$H$4:$H$1463,$P79)),""))</f>
        <v>63,000 - 63,999</v>
      </c>
      <c r="H79" s="16">
        <f>IF($P79="","",IFERROR(IF(INDEX(MASTER!$I$4:$I$1463,$P79)="","",INDEX(MASTER!$I$4:$I$1463,$P79)),""))</f>
        <v>7051</v>
      </c>
      <c r="I79" s="15" t="str">
        <f>IF($P79="","",IFERROR(IF(INDEX(MASTER!$J$4:$J$1463,$P79)="","",INDEX(MASTER!$J$4:$J$1463,$P79)),""))</f>
        <v>VETERAN</v>
      </c>
      <c r="J79" s="17">
        <f>IF($P79="","",IFERROR(IF(INDEX(MASTER!$L$4:$L$1463,$P79)="","",INDEX(MASTER!$L$4:$L$1463,$P79)),""))</f>
        <v>5.2</v>
      </c>
      <c r="K79" s="17">
        <f>IF($P79="","",IFERROR(IF(INDEX(MASTER!$N$4:$N$1463,$P79)="","",INDEX(MASTER!$N$4:$N$1463,$P79)),""))</f>
        <v>62.2</v>
      </c>
      <c r="L79" s="15" t="str">
        <f>IF($P79="","",IFERROR(IF(INDEX(MASTER!$O$4:$O$1463,$P79)="","",INDEX(MASTER!$O$4:$O$1463,$P79)),""))</f>
        <v>A</v>
      </c>
      <c r="M79" s="15">
        <f>IF($P79="","",IFERROR(IF(INDEX(MASTER!$Q$4:$Q$1463,$P79)="","",INDEX(MASTER!$Q$4:$Q$1463,$P79)),""))</f>
        <v>34</v>
      </c>
      <c r="N79" s="15" t="str">
        <f>IF($P79="","",IFERROR(IF(INDEX(MASTER!$S$4:$S$1463,$P79)="","",INDEX(MASTER!$S$4:$S$1463,$P79)),""))</f>
        <v>Complete</v>
      </c>
      <c r="P79">
        <f>IFERROR(MATCH($Q$1&amp;"@71",MASTER!$AC$4:$AC$1463,0),"")</f>
        <v>1023</v>
      </c>
    </row>
    <row r="80" spans="1:16">
      <c r="A80" s="19">
        <f>IF($P80="","",72)</f>
        <v>72</v>
      </c>
      <c r="B80" s="18" t="str">
        <f>IF($P80="","",IFERROR(IF(INDEX(MASTER!$C$4:$C$1463,$P80)="","",INDEX(MASTER!$C$4:$C$1463,$P80)),""))</f>
        <v>SinCh3steR</v>
      </c>
      <c r="C80" s="19" t="str">
        <f>IF($P80="","",IFERROR(IF(INDEX(MASTER!$D$4:$D$1463,$P80)="","",INDEX(MASTER!$D$4:$D$1463,$P80)),""))</f>
        <v/>
      </c>
      <c r="D80" s="19" t="str">
        <f>IF($P80="","",IFERROR(IF(INDEX(MASTER!$E$4:$E$1463,$P80)="","",INDEX(MASTER!$E$4:$E$1463,$P80)),""))</f>
        <v>DEMON HUNTER</v>
      </c>
      <c r="E80" s="19" t="str">
        <f>IF($P80="","",IFERROR(IF(INDEX(MASTER!$F$4:$F$1463,$P80)="","",INDEX(MASTER!$F$4:$F$1463,$P80)),""))</f>
        <v>Ranged DPS</v>
      </c>
      <c r="F80" s="20">
        <f>IF($P80="","",IFERROR(IF(INDEX(MASTER!$G$4:$G$1463,$P80)="","",INDEX(MASTER!$G$4:$G$1463,$P80)),""))</f>
        <v>63266</v>
      </c>
      <c r="G80" s="19" t="str">
        <f>IF($P80="","",IFERROR(IF(INDEX(MASTER!$H$4:$H$1463,$P80)="","",INDEX(MASTER!$H$4:$H$1463,$P80)),""))</f>
        <v>63,000 - 63,999</v>
      </c>
      <c r="H80" s="20">
        <f>IF($P80="","",IFERROR(IF(INDEX(MASTER!$I$4:$I$1463,$P80)="","",INDEX(MASTER!$I$4:$I$1463,$P80)),""))</f>
        <v>3555</v>
      </c>
      <c r="I80" s="19" t="str">
        <f>IF($P80="","",IFERROR(IF(INDEX(MASTER!$J$4:$J$1463,$P80)="","",INDEX(MASTER!$J$4:$J$1463,$P80)),""))</f>
        <v>DEVELOPING</v>
      </c>
      <c r="J80" s="21">
        <f>IF($P80="","",IFERROR(IF(INDEX(MASTER!$L$4:$L$1463,$P80)="","",INDEX(MASTER!$L$4:$L$1463,$P80)),""))</f>
        <v>5.65</v>
      </c>
      <c r="K80" s="21">
        <f>IF($P80="","",IFERROR(IF(INDEX(MASTER!$N$4:$N$1463,$P80)="","",INDEX(MASTER!$N$4:$N$1463,$P80)),""))</f>
        <v>46.7</v>
      </c>
      <c r="L80" s="19" t="str">
        <f>IF($P80="","",IFERROR(IF(INDEX(MASTER!$O$4:$O$1463,$P80)="","",INDEX(MASTER!$O$4:$O$1463,$P80)),""))</f>
        <v>B</v>
      </c>
      <c r="M80" s="19">
        <f>IF($P80="","",IFERROR(IF(INDEX(MASTER!$Q$4:$Q$1463,$P80)="","",INDEX(MASTER!$Q$4:$Q$1463,$P80)),""))</f>
        <v>82</v>
      </c>
      <c r="N80" s="19" t="str">
        <f>IF($P80="","",IFERROR(IF(INDEX(MASTER!$S$4:$S$1463,$P80)="","",INDEX(MASTER!$S$4:$S$1463,$P80)),""))</f>
        <v>Complete</v>
      </c>
      <c r="P80">
        <f>IFERROR(MATCH($Q$1&amp;"@72",MASTER!$AC$4:$AC$1463,0),"")</f>
        <v>1024</v>
      </c>
    </row>
    <row r="81" spans="1:16">
      <c r="A81" s="15">
        <f>IF($P81="","",73)</f>
        <v>73</v>
      </c>
      <c r="B81" s="14" t="str">
        <f>IF($P81="","",IFERROR(IF(INDEX(MASTER!$C$4:$C$1463,$P81)="","",INDEX(MASTER!$C$4:$C$1463,$P81)),""))</f>
        <v>SirLoin</v>
      </c>
      <c r="C81" s="15" t="str">
        <f>IF($P81="","",IFERROR(IF(INDEX(MASTER!$D$4:$D$1463,$P81)="","",INDEX(MASTER!$D$4:$D$1463,$P81)),""))</f>
        <v/>
      </c>
      <c r="D81" s="15" t="str">
        <f>IF($P81="","",IFERROR(IF(INDEX(MASTER!$E$4:$E$1463,$P81)="","",INDEX(MASTER!$E$4:$E$1463,$P81)),""))</f>
        <v>DEMON HUNTER</v>
      </c>
      <c r="E81" s="15" t="str">
        <f>IF($P81="","",IFERROR(IF(INDEX(MASTER!$F$4:$F$1463,$P81)="","",INDEX(MASTER!$F$4:$F$1463,$P81)),""))</f>
        <v>Ranged DPS</v>
      </c>
      <c r="F81" s="16">
        <f>IF($P81="","",IFERROR(IF(INDEX(MASTER!$G$4:$G$1463,$P81)="","",INDEX(MASTER!$G$4:$G$1463,$P81)),""))</f>
        <v>64337</v>
      </c>
      <c r="G81" s="15" t="str">
        <f>IF($P81="","",IFERROR(IF(INDEX(MASTER!$H$4:$H$1463,$P81)="","",INDEX(MASTER!$H$4:$H$1463,$P81)),""))</f>
        <v>64,000 +</v>
      </c>
      <c r="H81" s="16">
        <f>IF($P81="","",IFERROR(IF(INDEX(MASTER!$I$4:$I$1463,$P81)="","",INDEX(MASTER!$I$4:$I$1463,$P81)),""))</f>
        <v>10345</v>
      </c>
      <c r="I81" s="15" t="str">
        <f>IF($P81="","",IFERROR(IF(INDEX(MASTER!$J$4:$J$1463,$P81)="","",INDEX(MASTER!$J$4:$J$1463,$P81)),""))</f>
        <v>APEX</v>
      </c>
      <c r="J81" s="17">
        <f>IF($P81="","",IFERROR(IF(INDEX(MASTER!$L$4:$L$1463,$P81)="","",INDEX(MASTER!$L$4:$L$1463,$P81)),""))</f>
        <v>7.55</v>
      </c>
      <c r="K81" s="17">
        <f>IF($P81="","",IFERROR(IF(INDEX(MASTER!$N$4:$N$1463,$P81)="","",INDEX(MASTER!$N$4:$N$1463,$P81)),""))</f>
        <v>82.3</v>
      </c>
      <c r="L81" s="15" t="str">
        <f>IF($P81="","",IFERROR(IF(INDEX(MASTER!$O$4:$O$1463,$P81)="","",INDEX(MASTER!$O$4:$O$1463,$P81)),""))</f>
        <v>S+</v>
      </c>
      <c r="M81" s="15">
        <f>IF($P81="","",IFERROR(IF(INDEX(MASTER!$Q$4:$Q$1463,$P81)="","",INDEX(MASTER!$Q$4:$Q$1463,$P81)),""))</f>
        <v>6</v>
      </c>
      <c r="N81" s="15" t="str">
        <f>IF($P81="","",IFERROR(IF(INDEX(MASTER!$S$4:$S$1463,$P81)="","",INDEX(MASTER!$S$4:$S$1463,$P81)),""))</f>
        <v>Complete</v>
      </c>
      <c r="P81">
        <f>IFERROR(MATCH($Q$1&amp;"@73",MASTER!$AC$4:$AC$1463,0),"")</f>
        <v>1027</v>
      </c>
    </row>
    <row r="82" spans="1:16">
      <c r="A82" s="19">
        <f>IF($P82="","",74)</f>
        <v>74</v>
      </c>
      <c r="B82" s="18" t="str">
        <f>IF($P82="","",IFERROR(IF(INDEX(MASTER!$C$4:$C$1463,$P82)="","",INDEX(MASTER!$C$4:$C$1463,$P82)),""))</f>
        <v>Solorin</v>
      </c>
      <c r="C82" s="19" t="str">
        <f>IF($P82="","",IFERROR(IF(INDEX(MASTER!$D$4:$D$1463,$P82)="","",INDEX(MASTER!$D$4:$D$1463,$P82)),""))</f>
        <v/>
      </c>
      <c r="D82" s="19" t="str">
        <f>IF($P82="","",IFERROR(IF(INDEX(MASTER!$E$4:$E$1463,$P82)="","",INDEX(MASTER!$E$4:$E$1463,$P82)),""))</f>
        <v>BLOOD KNIGHT</v>
      </c>
      <c r="E82" s="19" t="str">
        <f>IF($P82="","",IFERROR(IF(INDEX(MASTER!$F$4:$F$1463,$P82)="","",INDEX(MASTER!$F$4:$F$1463,$P82)),""))</f>
        <v>Frontline</v>
      </c>
      <c r="F82" s="20">
        <f>IF($P82="","",IFERROR(IF(INDEX(MASTER!$G$4:$G$1463,$P82)="","",INDEX(MASTER!$G$4:$G$1463,$P82)),""))</f>
        <v>64286</v>
      </c>
      <c r="G82" s="19" t="str">
        <f>IF($P82="","",IFERROR(IF(INDEX(MASTER!$H$4:$H$1463,$P82)="","",INDEX(MASTER!$H$4:$H$1463,$P82)),""))</f>
        <v>64,000 +</v>
      </c>
      <c r="H82" s="20">
        <f>IF($P82="","",IFERROR(IF(INDEX(MASTER!$I$4:$I$1463,$P82)="","",INDEX(MASTER!$I$4:$I$1463,$P82)),""))</f>
        <v>12383</v>
      </c>
      <c r="I82" s="19" t="str">
        <f>IF($P82="","",IFERROR(IF(INDEX(MASTER!$J$4:$J$1463,$P82)="","",INDEX(MASTER!$J$4:$J$1463,$P82)),""))</f>
        <v>MYTHIC</v>
      </c>
      <c r="J82" s="21">
        <f>IF($P82="","",IFERROR(IF(INDEX(MASTER!$L$4:$L$1463,$P82)="","",INDEX(MASTER!$L$4:$L$1463,$P82)),""))</f>
        <v>11.5</v>
      </c>
      <c r="K82" s="21">
        <f>IF($P82="","",IFERROR(IF(INDEX(MASTER!$N$4:$N$1463,$P82)="","",INDEX(MASTER!$N$4:$N$1463,$P82)),""))</f>
        <v>97.7</v>
      </c>
      <c r="L82" s="19" t="str">
        <f>IF($P82="","",IFERROR(IF(INDEX(MASTER!$O$4:$O$1463,$P82)="","",INDEX(MASTER!$O$4:$O$1463,$P82)),""))</f>
        <v>S+</v>
      </c>
      <c r="M82" s="19">
        <f>IF($P82="","",IFERROR(IF(INDEX(MASTER!$Q$4:$Q$1463,$P82)="","",INDEX(MASTER!$Q$4:$Q$1463,$P82)),""))</f>
        <v>1</v>
      </c>
      <c r="N82" s="19" t="str">
        <f>IF($P82="","",IFERROR(IF(INDEX(MASTER!$S$4:$S$1463,$P82)="","",INDEX(MASTER!$S$4:$S$1463,$P82)),""))</f>
        <v>Complete</v>
      </c>
      <c r="P82">
        <f>IFERROR(MATCH($Q$1&amp;"@74",MASTER!$AC$4:$AC$1463,0),"")</f>
        <v>1053</v>
      </c>
    </row>
    <row r="83" spans="1:16">
      <c r="A83" s="15">
        <f>IF($P83="","",75)</f>
        <v>75</v>
      </c>
      <c r="B83" s="14" t="str">
        <f>IF($P83="","",IFERROR(IF(INDEX(MASTER!$C$4:$C$1463,$P83)="","",INDEX(MASTER!$C$4:$C$1463,$P83)),""))</f>
        <v>Squishy85</v>
      </c>
      <c r="C83" s="15" t="str">
        <f>IF($P83="","",IFERROR(IF(INDEX(MASTER!$D$4:$D$1463,$P83)="","",INDEX(MASTER!$D$4:$D$1463,$P83)),""))</f>
        <v/>
      </c>
      <c r="D83" s="15" t="str">
        <f>IF($P83="","",IFERROR(IF(INDEX(MASTER!$E$4:$E$1463,$P83)="","",INDEX(MASTER!$E$4:$E$1463,$P83)),""))</f>
        <v>BLOOD KNIGHT</v>
      </c>
      <c r="E83" s="15" t="str">
        <f>IF($P83="","",IFERROR(IF(INDEX(MASTER!$F$4:$F$1463,$P83)="","",INDEX(MASTER!$F$4:$F$1463,$P83)),""))</f>
        <v>Frontline</v>
      </c>
      <c r="F83" s="16">
        <f>IF($P83="","",IFERROR(IF(INDEX(MASTER!$G$4:$G$1463,$P83)="","",INDEX(MASTER!$G$4:$G$1463,$P83)),""))</f>
        <v>62139</v>
      </c>
      <c r="G83" s="15" t="str">
        <f>IF($P83="","",IFERROR(IF(INDEX(MASTER!$H$4:$H$1463,$P83)="","",INDEX(MASTER!$H$4:$H$1463,$P83)),""))</f>
        <v>62,000 - 62,999</v>
      </c>
      <c r="H83" s="16">
        <f>IF($P83="","",IFERROR(IF(INDEX(MASTER!$I$4:$I$1463,$P83)="","",INDEX(MASTER!$I$4:$I$1463,$P83)),""))</f>
        <v>5613</v>
      </c>
      <c r="I83" s="15" t="str">
        <f>IF($P83="","",IFERROR(IF(INDEX(MASTER!$J$4:$J$1463,$P83)="","",INDEX(MASTER!$J$4:$J$1463,$P83)),""))</f>
        <v>CORE</v>
      </c>
      <c r="J83" s="17">
        <f>IF($P83="","",IFERROR(IF(INDEX(MASTER!$L$4:$L$1463,$P83)="","",INDEX(MASTER!$L$4:$L$1463,$P83)),""))</f>
        <v>5</v>
      </c>
      <c r="K83" s="17">
        <f>IF($P83="","",IFERROR(IF(INDEX(MASTER!$N$4:$N$1463,$P83)="","",INDEX(MASTER!$N$4:$N$1463,$P83)),""))</f>
        <v>51.6</v>
      </c>
      <c r="L83" s="15" t="str">
        <f>IF($P83="","",IFERROR(IF(INDEX(MASTER!$O$4:$O$1463,$P83)="","",INDEX(MASTER!$O$4:$O$1463,$P83)),""))</f>
        <v>A</v>
      </c>
      <c r="M83" s="15">
        <f>IF($P83="","",IFERROR(IF(INDEX(MASTER!$Q$4:$Q$1463,$P83)="","",INDEX(MASTER!$Q$4:$Q$1463,$P83)),""))</f>
        <v>50</v>
      </c>
      <c r="N83" s="15" t="str">
        <f>IF($P83="","",IFERROR(IF(INDEX(MASTER!$S$4:$S$1463,$P83)="","",INDEX(MASTER!$S$4:$S$1463,$P83)),""))</f>
        <v>Complete</v>
      </c>
      <c r="P83">
        <f>IFERROR(MATCH($Q$1&amp;"@75",MASTER!$AC$4:$AC$1463,0),"")</f>
        <v>1068</v>
      </c>
    </row>
    <row r="84" spans="1:16">
      <c r="A84" s="19">
        <f>IF($P84="","",76)</f>
        <v>76</v>
      </c>
      <c r="B84" s="18" t="str">
        <f>IF($P84="","",IFERROR(IF(INDEX(MASTER!$C$4:$C$1463,$P84)="","",INDEX(MASTER!$C$4:$C$1463,$P84)),""))</f>
        <v>Sting</v>
      </c>
      <c r="C84" s="19" t="str">
        <f>IF($P84="","",IFERROR(IF(INDEX(MASTER!$D$4:$D$1463,$P84)="","",INDEX(MASTER!$D$4:$D$1463,$P84)),""))</f>
        <v/>
      </c>
      <c r="D84" s="19" t="str">
        <f>IF($P84="","",IFERROR(IF(INDEX(MASTER!$E$4:$E$1463,$P84)="","",INDEX(MASTER!$E$4:$E$1463,$P84)),""))</f>
        <v>DEMON HUNTER</v>
      </c>
      <c r="E84" s="19" t="str">
        <f>IF($P84="","",IFERROR(IF(INDEX(MASTER!$F$4:$F$1463,$P84)="","",INDEX(MASTER!$F$4:$F$1463,$P84)),""))</f>
        <v>Ranged DPS</v>
      </c>
      <c r="F84" s="20">
        <f>IF($P84="","",IFERROR(IF(INDEX(MASTER!$G$4:$G$1463,$P84)="","",INDEX(MASTER!$G$4:$G$1463,$P84)),""))</f>
        <v>63161</v>
      </c>
      <c r="G84" s="19" t="str">
        <f>IF($P84="","",IFERROR(IF(INDEX(MASTER!$H$4:$H$1463,$P84)="","",INDEX(MASTER!$H$4:$H$1463,$P84)),""))</f>
        <v>63,000 - 63,999</v>
      </c>
      <c r="H84" s="20">
        <f>IF($P84="","",IFERROR(IF(INDEX(MASTER!$I$4:$I$1463,$P84)="","",INDEX(MASTER!$I$4:$I$1463,$P84)),""))</f>
        <v>6783</v>
      </c>
      <c r="I84" s="19" t="str">
        <f>IF($P84="","",IFERROR(IF(INDEX(MASTER!$J$4:$J$1463,$P84)="","",INDEX(MASTER!$J$4:$J$1463,$P84)),""))</f>
        <v>VETERAN</v>
      </c>
      <c r="J84" s="21">
        <f>IF($P84="","",IFERROR(IF(INDEX(MASTER!$L$4:$L$1463,$P84)="","",INDEX(MASTER!$L$4:$L$1463,$P84)),""))</f>
        <v>4.7</v>
      </c>
      <c r="K84" s="21">
        <f>IF($P84="","",IFERROR(IF(INDEX(MASTER!$N$4:$N$1463,$P84)="","",INDEX(MASTER!$N$4:$N$1463,$P84)),""))</f>
        <v>58.9</v>
      </c>
      <c r="L84" s="19" t="str">
        <f>IF($P84="","",IFERROR(IF(INDEX(MASTER!$O$4:$O$1463,$P84)="","",INDEX(MASTER!$O$4:$O$1463,$P84)),""))</f>
        <v>A</v>
      </c>
      <c r="M84" s="19">
        <f>IF($P84="","",IFERROR(IF(INDEX(MASTER!$Q$4:$Q$1463,$P84)="","",INDEX(MASTER!$Q$4:$Q$1463,$P84)),""))</f>
        <v>39</v>
      </c>
      <c r="N84" s="19" t="str">
        <f>IF($P84="","",IFERROR(IF(INDEX(MASTER!$S$4:$S$1463,$P84)="","",INDEX(MASTER!$S$4:$S$1463,$P84)),""))</f>
        <v>Complete</v>
      </c>
      <c r="P84">
        <f>IFERROR(MATCH($Q$1&amp;"@76",MASTER!$AC$4:$AC$1463,0),"")</f>
        <v>1082</v>
      </c>
    </row>
    <row r="85" spans="1:16">
      <c r="A85" s="15">
        <f>IF($P85="","",77)</f>
        <v>77</v>
      </c>
      <c r="B85" s="14" t="str">
        <f>IF($P85="","",IFERROR(IF(INDEX(MASTER!$C$4:$C$1463,$P85)="","",INDEX(MASTER!$C$4:$C$1463,$P85)),""))</f>
        <v>StolenName</v>
      </c>
      <c r="C85" s="15" t="str">
        <f>IF($P85="","",IFERROR(IF(INDEX(MASTER!$D$4:$D$1463,$P85)="","",INDEX(MASTER!$D$4:$D$1463,$P85)),""))</f>
        <v/>
      </c>
      <c r="D85" s="15" t="str">
        <f>IF($P85="","",IFERROR(IF(INDEX(MASTER!$E$4:$E$1463,$P85)="","",INDEX(MASTER!$E$4:$E$1463,$P85)),""))</f>
        <v>WARLOCK</v>
      </c>
      <c r="E85" s="15" t="str">
        <f>IF($P85="","",IFERROR(IF(INDEX(MASTER!$F$4:$F$1463,$P85)="","",INDEX(MASTER!$F$4:$F$1463,$P85)),""))</f>
        <v>Control</v>
      </c>
      <c r="F85" s="16">
        <f>IF($P85="","",IFERROR(IF(INDEX(MASTER!$G$4:$G$1463,$P85)="","",INDEX(MASTER!$G$4:$G$1463,$P85)),""))</f>
        <v>61982</v>
      </c>
      <c r="G85" s="15" t="str">
        <f>IF($P85="","",IFERROR(IF(INDEX(MASTER!$H$4:$H$1463,$P85)="","",INDEX(MASTER!$H$4:$H$1463,$P85)),""))</f>
        <v>61,000 - 61,999</v>
      </c>
      <c r="H85" s="16">
        <f>IF($P85="","",IFERROR(IF(INDEX(MASTER!$I$4:$I$1463,$P85)="","",INDEX(MASTER!$I$4:$I$1463,$P85)),""))</f>
        <v>5671</v>
      </c>
      <c r="I85" s="15" t="str">
        <f>IF($P85="","",IFERROR(IF(INDEX(MASTER!$J$4:$J$1463,$P85)="","",INDEX(MASTER!$J$4:$J$1463,$P85)),""))</f>
        <v>CORE</v>
      </c>
      <c r="J85" s="17">
        <f>IF($P85="","",IFERROR(IF(INDEX(MASTER!$L$4:$L$1463,$P85)="","",INDEX(MASTER!$L$4:$L$1463,$P85)),""))</f>
        <v>6.2</v>
      </c>
      <c r="K85" s="17">
        <f>IF($P85="","",IFERROR(IF(INDEX(MASTER!$N$4:$N$1463,$P85)="","",INDEX(MASTER!$N$4:$N$1463,$P85)),""))</f>
        <v>53.5</v>
      </c>
      <c r="L85" s="15" t="str">
        <f>IF($P85="","",IFERROR(IF(INDEX(MASTER!$O$4:$O$1463,$P85)="","",INDEX(MASTER!$O$4:$O$1463,$P85)),""))</f>
        <v>A</v>
      </c>
      <c r="M85" s="15">
        <f>IF($P85="","",IFERROR(IF(INDEX(MASTER!$Q$4:$Q$1463,$P85)="","",INDEX(MASTER!$Q$4:$Q$1463,$P85)),""))</f>
        <v>49</v>
      </c>
      <c r="N85" s="15" t="str">
        <f>IF($P85="","",IFERROR(IF(INDEX(MASTER!$S$4:$S$1463,$P85)="","",INDEX(MASTER!$S$4:$S$1463,$P85)),""))</f>
        <v>Complete</v>
      </c>
      <c r="P85">
        <f>IFERROR(MATCH($Q$1&amp;"@77",MASTER!$AC$4:$AC$1463,0),"")</f>
        <v>1083</v>
      </c>
    </row>
    <row r="86" spans="1:16">
      <c r="A86" s="19">
        <f>IF($P86="","",78)</f>
        <v>78</v>
      </c>
      <c r="B86" s="18" t="str">
        <f>IF($P86="","",IFERROR(IF(INDEX(MASTER!$C$4:$C$1463,$P86)="","",INDEX(MASTER!$C$4:$C$1463,$P86)),""))</f>
        <v>T Xuki XT</v>
      </c>
      <c r="C86" s="19" t="str">
        <f>IF($P86="","",IFERROR(IF(INDEX(MASTER!$D$4:$D$1463,$P86)="","",INDEX(MASTER!$D$4:$D$1463,$P86)),""))</f>
        <v/>
      </c>
      <c r="D86" s="19" t="str">
        <f>IF($P86="","",IFERROR(IF(INDEX(MASTER!$E$4:$E$1463,$P86)="","",INDEX(MASTER!$E$4:$E$1463,$P86)),""))</f>
        <v>WARLOCK</v>
      </c>
      <c r="E86" s="19" t="str">
        <f>IF($P86="","",IFERROR(IF(INDEX(MASTER!$F$4:$F$1463,$P86)="","",INDEX(MASTER!$F$4:$F$1463,$P86)),""))</f>
        <v>Control</v>
      </c>
      <c r="F86" s="20">
        <f>IF($P86="","",IFERROR(IF(INDEX(MASTER!$G$4:$G$1463,$P86)="","",INDEX(MASTER!$G$4:$G$1463,$P86)),""))</f>
        <v>63410</v>
      </c>
      <c r="G86" s="19" t="str">
        <f>IF($P86="","",IFERROR(IF(INDEX(MASTER!$H$4:$H$1463,$P86)="","",INDEX(MASTER!$H$4:$H$1463,$P86)),""))</f>
        <v>63,000 - 63,999</v>
      </c>
      <c r="H86" s="20">
        <f>IF($P86="","",IFERROR(IF(INDEX(MASTER!$I$4:$I$1463,$P86)="","",INDEX(MASTER!$I$4:$I$1463,$P86)),""))</f>
        <v>5031</v>
      </c>
      <c r="I86" s="19" t="str">
        <f>IF($P86="","",IFERROR(IF(INDEX(MASTER!$J$4:$J$1463,$P86)="","",INDEX(MASTER!$J$4:$J$1463,$P86)),""))</f>
        <v>CORE</v>
      </c>
      <c r="J86" s="21">
        <f>IF($P86="","",IFERROR(IF(INDEX(MASTER!$L$4:$L$1463,$P86)="","",INDEX(MASTER!$L$4:$L$1463,$P86)),""))</f>
        <v>5.6</v>
      </c>
      <c r="K86" s="21">
        <f>IF($P86="","",IFERROR(IF(INDEX(MASTER!$N$4:$N$1463,$P86)="","",INDEX(MASTER!$N$4:$N$1463,$P86)),""))</f>
        <v>53.4</v>
      </c>
      <c r="L86" s="19" t="str">
        <f>IF($P86="","",IFERROR(IF(INDEX(MASTER!$O$4:$O$1463,$P86)="","",INDEX(MASTER!$O$4:$O$1463,$P86)),""))</f>
        <v>A</v>
      </c>
      <c r="M86" s="19">
        <f>IF($P86="","",IFERROR(IF(INDEX(MASTER!$Q$4:$Q$1463,$P86)="","",INDEX(MASTER!$Q$4:$Q$1463,$P86)),""))</f>
        <v>57</v>
      </c>
      <c r="N86" s="19" t="str">
        <f>IF($P86="","",IFERROR(IF(INDEX(MASTER!$S$4:$S$1463,$P86)="","",INDEX(MASTER!$S$4:$S$1463,$P86)),""))</f>
        <v>Complete</v>
      </c>
      <c r="P86">
        <f>IFERROR(MATCH($Q$1&amp;"@78",MASTER!$AC$4:$AC$1463,0),"")</f>
        <v>1109</v>
      </c>
    </row>
    <row r="87" spans="1:16">
      <c r="A87" s="15">
        <f>IF($P87="","",79)</f>
        <v>79</v>
      </c>
      <c r="B87" s="14" t="str">
        <f>IF($P87="","",IFERROR(IF(INDEX(MASTER!$C$4:$C$1463,$P87)="","",INDEX(MASTER!$C$4:$C$1463,$P87)),""))</f>
        <v>TellnSecretx</v>
      </c>
      <c r="C87" s="15" t="str">
        <f>IF($P87="","",IFERROR(IF(INDEX(MASTER!$D$4:$D$1463,$P87)="","",INDEX(MASTER!$D$4:$D$1463,$P87)),""))</f>
        <v/>
      </c>
      <c r="D87" s="15" t="str">
        <f>IF($P87="","",IFERROR(IF(INDEX(MASTER!$E$4:$E$1463,$P87)="","",INDEX(MASTER!$E$4:$E$1463,$P87)),""))</f>
        <v>WARLOCK</v>
      </c>
      <c r="E87" s="15" t="str">
        <f>IF($P87="","",IFERROR(IF(INDEX(MASTER!$F$4:$F$1463,$P87)="","",INDEX(MASTER!$F$4:$F$1463,$P87)),""))</f>
        <v>Control</v>
      </c>
      <c r="F87" s="16">
        <f>IF($P87="","",IFERROR(IF(INDEX(MASTER!$G$4:$G$1463,$P87)="","",INDEX(MASTER!$G$4:$G$1463,$P87)),""))</f>
        <v>64228</v>
      </c>
      <c r="G87" s="15" t="str">
        <f>IF($P87="","",IFERROR(IF(INDEX(MASTER!$H$4:$H$1463,$P87)="","",INDEX(MASTER!$H$4:$H$1463,$P87)),""))</f>
        <v>64,000 +</v>
      </c>
      <c r="H87" s="16">
        <f>IF($P87="","",IFERROR(IF(INDEX(MASTER!$I$4:$I$1463,$P87)="","",INDEX(MASTER!$I$4:$I$1463,$P87)),""))</f>
        <v>10047</v>
      </c>
      <c r="I87" s="15" t="str">
        <f>IF($P87="","",IFERROR(IF(INDEX(MASTER!$J$4:$J$1463,$P87)="","",INDEX(MASTER!$J$4:$J$1463,$P87)),""))</f>
        <v>APEX</v>
      </c>
      <c r="J87" s="17">
        <f>IF($P87="","",IFERROR(IF(INDEX(MASTER!$L$4:$L$1463,$P87)="","",INDEX(MASTER!$L$4:$L$1463,$P87)),""))</f>
        <v>8.6</v>
      </c>
      <c r="K87" s="17">
        <f>IF($P87="","",IFERROR(IF(INDEX(MASTER!$N$4:$N$1463,$P87)="","",INDEX(MASTER!$N$4:$N$1463,$P87)),""))</f>
        <v>82.5</v>
      </c>
      <c r="L87" s="15" t="str">
        <f>IF($P87="","",IFERROR(IF(INDEX(MASTER!$O$4:$O$1463,$P87)="","",INDEX(MASTER!$O$4:$O$1463,$P87)),""))</f>
        <v>S+</v>
      </c>
      <c r="M87" s="15">
        <f>IF($P87="","",IFERROR(IF(INDEX(MASTER!$Q$4:$Q$1463,$P87)="","",INDEX(MASTER!$Q$4:$Q$1463,$P87)),""))</f>
        <v>9</v>
      </c>
      <c r="N87" s="15" t="str">
        <f>IF($P87="","",IFERROR(IF(INDEX(MASTER!$S$4:$S$1463,$P87)="","",INDEX(MASTER!$S$4:$S$1463,$P87)),""))</f>
        <v>Complete</v>
      </c>
      <c r="P87">
        <f>IFERROR(MATCH($Q$1&amp;"@79",MASTER!$AC$4:$AC$1463,0),"")</f>
        <v>1127</v>
      </c>
    </row>
    <row r="88" spans="1:16">
      <c r="A88" s="19">
        <f>IF($P88="","",80)</f>
        <v>80</v>
      </c>
      <c r="B88" s="18" t="str">
        <f>IF($P88="","",IFERROR(IF(INDEX(MASTER!$C$4:$C$1463,$P88)="","",INDEX(MASTER!$C$4:$C$1463,$P88)),""))</f>
        <v>Tweeti I CI</v>
      </c>
      <c r="C88" s="19" t="str">
        <f>IF($P88="","",IFERROR(IF(INDEX(MASTER!$D$4:$D$1463,$P88)="","",INDEX(MASTER!$D$4:$D$1463,$P88)),""))</f>
        <v/>
      </c>
      <c r="D88" s="19" t="str">
        <f>IF($P88="","",IFERROR(IF(INDEX(MASTER!$E$4:$E$1463,$P88)="","",INDEX(MASTER!$E$4:$E$1463,$P88)),""))</f>
        <v>WARLOCK</v>
      </c>
      <c r="E88" s="19" t="str">
        <f>IF($P88="","",IFERROR(IF(INDEX(MASTER!$F$4:$F$1463,$P88)="","",INDEX(MASTER!$F$4:$F$1463,$P88)),""))</f>
        <v>Control</v>
      </c>
      <c r="F88" s="20">
        <f>IF($P88="","",IFERROR(IF(INDEX(MASTER!$G$4:$G$1463,$P88)="","",INDEX(MASTER!$G$4:$G$1463,$P88)),""))</f>
        <v>62636</v>
      </c>
      <c r="G88" s="19" t="str">
        <f>IF($P88="","",IFERROR(IF(INDEX(MASTER!$H$4:$H$1463,$P88)="","",INDEX(MASTER!$H$4:$H$1463,$P88)),""))</f>
        <v>62,000 - 62,999</v>
      </c>
      <c r="H88" s="20">
        <f>IF($P88="","",IFERROR(IF(INDEX(MASTER!$I$4:$I$1463,$P88)="","",INDEX(MASTER!$I$4:$I$1463,$P88)),""))</f>
        <v>3936</v>
      </c>
      <c r="I88" s="19" t="str">
        <f>IF($P88="","",IFERROR(IF(INDEX(MASTER!$J$4:$J$1463,$P88)="","",INDEX(MASTER!$J$4:$J$1463,$P88)),""))</f>
        <v>DEVELOPING</v>
      </c>
      <c r="J88" s="21">
        <f>IF($P88="","",IFERROR(IF(INDEX(MASTER!$L$4:$L$1463,$P88)="","",INDEX(MASTER!$L$4:$L$1463,$P88)),""))</f>
        <v>4.7</v>
      </c>
      <c r="K88" s="21">
        <f>IF($P88="","",IFERROR(IF(INDEX(MASTER!$N$4:$N$1463,$P88)="","",INDEX(MASTER!$N$4:$N$1463,$P88)),""))</f>
        <v>45.1</v>
      </c>
      <c r="L88" s="19" t="str">
        <f>IF($P88="","",IFERROR(IF(INDEX(MASTER!$O$4:$O$1463,$P88)="","",INDEX(MASTER!$O$4:$O$1463,$P88)),""))</f>
        <v>B</v>
      </c>
      <c r="M88" s="19">
        <f>IF($P88="","",IFERROR(IF(INDEX(MASTER!$Q$4:$Q$1463,$P88)="","",INDEX(MASTER!$Q$4:$Q$1463,$P88)),""))</f>
        <v>74</v>
      </c>
      <c r="N88" s="19" t="str">
        <f>IF($P88="","",IFERROR(IF(INDEX(MASTER!$S$4:$S$1463,$P88)="","",INDEX(MASTER!$S$4:$S$1463,$P88)),""))</f>
        <v>Complete</v>
      </c>
      <c r="P88">
        <f>IFERROR(MATCH($Q$1&amp;"@80",MASTER!$AC$4:$AC$1463,0),"")</f>
        <v>1180</v>
      </c>
    </row>
    <row r="89" spans="1:16">
      <c r="A89" s="15">
        <f>IF($P89="","",81)</f>
        <v>81</v>
      </c>
      <c r="B89" s="14" t="str">
        <f>IF($P89="","",IFERROR(IF(INDEX(MASTER!$C$4:$C$1463,$P89)="","",INDEX(MASTER!$C$4:$C$1463,$P89)),""))</f>
        <v>TwistedThor</v>
      </c>
      <c r="C89" s="15" t="str">
        <f>IF($P89="","",IFERROR(IF(INDEX(MASTER!$D$4:$D$1463,$P89)="","",INDEX(MASTER!$D$4:$D$1463,$P89)),""))</f>
        <v/>
      </c>
      <c r="D89" s="15" t="str">
        <f>IF($P89="","",IFERROR(IF(INDEX(MASTER!$E$4:$E$1463,$P89)="","",INDEX(MASTER!$E$4:$E$1463,$P89)),""))</f>
        <v>WARLOCK</v>
      </c>
      <c r="E89" s="15" t="str">
        <f>IF($P89="","",IFERROR(IF(INDEX(MASTER!$F$4:$F$1463,$P89)="","",INDEX(MASTER!$F$4:$F$1463,$P89)),""))</f>
        <v>Control</v>
      </c>
      <c r="F89" s="16">
        <f>IF($P89="","",IFERROR(IF(INDEX(MASTER!$G$4:$G$1463,$P89)="","",INDEX(MASTER!$G$4:$G$1463,$P89)),""))</f>
        <v>62819</v>
      </c>
      <c r="G89" s="15" t="str">
        <f>IF($P89="","",IFERROR(IF(INDEX(MASTER!$H$4:$H$1463,$P89)="","",INDEX(MASTER!$H$4:$H$1463,$P89)),""))</f>
        <v>62,000 - 62,999</v>
      </c>
      <c r="H89" s="16">
        <f>IF($P89="","",IFERROR(IF(INDEX(MASTER!$I$4:$I$1463,$P89)="","",INDEX(MASTER!$I$4:$I$1463,$P89)),""))</f>
        <v>3956</v>
      </c>
      <c r="I89" s="15" t="str">
        <f>IF($P89="","",IFERROR(IF(INDEX(MASTER!$J$4:$J$1463,$P89)="","",INDEX(MASTER!$J$4:$J$1463,$P89)),""))</f>
        <v>DEVELOPING</v>
      </c>
      <c r="J89" s="17">
        <f>IF($P89="","",IFERROR(IF(INDEX(MASTER!$L$4:$L$1463,$P89)="","",INDEX(MASTER!$L$4:$L$1463,$P89)),""))</f>
        <v>5.65</v>
      </c>
      <c r="K89" s="17">
        <f>IF($P89="","",IFERROR(IF(INDEX(MASTER!$N$4:$N$1463,$P89)="","",INDEX(MASTER!$N$4:$N$1463,$P89)),""))</f>
        <v>47.3</v>
      </c>
      <c r="L89" s="15" t="str">
        <f>IF($P89="","",IFERROR(IF(INDEX(MASTER!$O$4:$O$1463,$P89)="","",INDEX(MASTER!$O$4:$O$1463,$P89)),""))</f>
        <v>B</v>
      </c>
      <c r="M89" s="15">
        <f>IF($P89="","",IFERROR(IF(INDEX(MASTER!$Q$4:$Q$1463,$P89)="","",INDEX(MASTER!$Q$4:$Q$1463,$P89)),""))</f>
        <v>73</v>
      </c>
      <c r="N89" s="15" t="str">
        <f>IF($P89="","",IFERROR(IF(INDEX(MASTER!$S$4:$S$1463,$P89)="","",INDEX(MASTER!$S$4:$S$1463,$P89)),""))</f>
        <v>Complete</v>
      </c>
      <c r="P89">
        <f>IFERROR(MATCH($Q$1&amp;"@81",MASTER!$AC$4:$AC$1463,0),"")</f>
        <v>1182</v>
      </c>
    </row>
    <row r="90" spans="1:16">
      <c r="A90" s="19">
        <f>IF($P90="","",82)</f>
        <v>82</v>
      </c>
      <c r="B90" s="18" t="str">
        <f>IF($P90="","",IFERROR(IF(INDEX(MASTER!$C$4:$C$1463,$P90)="","",INDEX(MASTER!$C$4:$C$1463,$P90)),""))</f>
        <v>UncleBingo</v>
      </c>
      <c r="C90" s="19" t="str">
        <f>IF($P90="","",IFERROR(IF(INDEX(MASTER!$D$4:$D$1463,$P90)="","",INDEX(MASTER!$D$4:$D$1463,$P90)),""))</f>
        <v/>
      </c>
      <c r="D90" s="19" t="str">
        <f>IF($P90="","",IFERROR(IF(INDEX(MASTER!$E$4:$E$1463,$P90)="","",INDEX(MASTER!$E$4:$E$1463,$P90)),""))</f>
        <v>DRUID</v>
      </c>
      <c r="E90" s="19" t="str">
        <f>IF($P90="","",IFERROR(IF(INDEX(MASTER!$F$4:$F$1463,$P90)="","",INDEX(MASTER!$F$4:$F$1463,$P90)),""))</f>
        <v>Support</v>
      </c>
      <c r="F90" s="20">
        <f>IF($P90="","",IFERROR(IF(INDEX(MASTER!$G$4:$G$1463,$P90)="","",INDEX(MASTER!$G$4:$G$1463,$P90)),""))</f>
        <v>61441</v>
      </c>
      <c r="G90" s="19" t="str">
        <f>IF($P90="","",IFERROR(IF(INDEX(MASTER!$H$4:$H$1463,$P90)="","",INDEX(MASTER!$H$4:$H$1463,$P90)),""))</f>
        <v>61,000 - 61,999</v>
      </c>
      <c r="H90" s="20">
        <f>IF($P90="","",IFERROR(IF(INDEX(MASTER!$I$4:$I$1463,$P90)="","",INDEX(MASTER!$I$4:$I$1463,$P90)),""))</f>
        <v>3002</v>
      </c>
      <c r="I90" s="19" t="str">
        <f>IF($P90="","",IFERROR(IF(INDEX(MASTER!$J$4:$J$1463,$P90)="","",INDEX(MASTER!$J$4:$J$1463,$P90)),""))</f>
        <v>DEVELOPING</v>
      </c>
      <c r="J90" s="21">
        <f>IF($P90="","",IFERROR(IF(INDEX(MASTER!$L$4:$L$1463,$P90)="","",INDEX(MASTER!$L$4:$L$1463,$P90)),""))</f>
        <v>3.9</v>
      </c>
      <c r="K90" s="21">
        <f>IF($P90="","",IFERROR(IF(INDEX(MASTER!$N$4:$N$1463,$P90)="","",INDEX(MASTER!$N$4:$N$1463,$P90)),""))</f>
        <v>36.6</v>
      </c>
      <c r="L90" s="19" t="str">
        <f>IF($P90="","",IFERROR(IF(INDEX(MASTER!$O$4:$O$1463,$P90)="","",INDEX(MASTER!$O$4:$O$1463,$P90)),""))</f>
        <v>B</v>
      </c>
      <c r="M90" s="19">
        <f>IF($P90="","",IFERROR(IF(INDEX(MASTER!$Q$4:$Q$1463,$P90)="","",INDEX(MASTER!$Q$4:$Q$1463,$P90)),""))</f>
        <v>91</v>
      </c>
      <c r="N90" s="19" t="str">
        <f>IF($P90="","",IFERROR(IF(INDEX(MASTER!$S$4:$S$1463,$P90)="","",INDEX(MASTER!$S$4:$S$1463,$P90)),""))</f>
        <v>Complete</v>
      </c>
      <c r="P90">
        <f>IFERROR(MATCH($Q$1&amp;"@82",MASTER!$AC$4:$AC$1463,0),"")</f>
        <v>1191</v>
      </c>
    </row>
    <row r="91" spans="1:16">
      <c r="A91" s="15">
        <f>IF($P91="","",83)</f>
        <v>83</v>
      </c>
      <c r="B91" s="14" t="str">
        <f>IF($P91="","",IFERROR(IF(INDEX(MASTER!$C$4:$C$1463,$P91)="","",INDEX(MASTER!$C$4:$C$1463,$P91)),""))</f>
        <v>UnpaidActor</v>
      </c>
      <c r="C91" s="15" t="str">
        <f>IF($P91="","",IFERROR(IF(INDEX(MASTER!$D$4:$D$1463,$P91)="","",INDEX(MASTER!$D$4:$D$1463,$P91)),""))</f>
        <v/>
      </c>
      <c r="D91" s="15" t="str">
        <f>IF($P91="","",IFERROR(IF(INDEX(MASTER!$E$4:$E$1463,$P91)="","",INDEX(MASTER!$E$4:$E$1463,$P91)),""))</f>
        <v>BARBARIAN</v>
      </c>
      <c r="E91" s="15" t="str">
        <f>IF($P91="","",IFERROR(IF(INDEX(MASTER!$F$4:$F$1463,$P91)="","",INDEX(MASTER!$F$4:$F$1463,$P91)),""))</f>
        <v>Frontline</v>
      </c>
      <c r="F91" s="16">
        <f>IF($P91="","",IFERROR(IF(INDEX(MASTER!$G$4:$G$1463,$P91)="","",INDEX(MASTER!$G$4:$G$1463,$P91)),""))</f>
        <v>62729</v>
      </c>
      <c r="G91" s="15" t="str">
        <f>IF($P91="","",IFERROR(IF(INDEX(MASTER!$H$4:$H$1463,$P91)="","",INDEX(MASTER!$H$4:$H$1463,$P91)),""))</f>
        <v>62,000 - 62,999</v>
      </c>
      <c r="H91" s="16">
        <f>IF($P91="","",IFERROR(IF(INDEX(MASTER!$I$4:$I$1463,$P91)="","",INDEX(MASTER!$I$4:$I$1463,$P91)),""))</f>
        <v>4266</v>
      </c>
      <c r="I91" s="15" t="str">
        <f>IF($P91="","",IFERROR(IF(INDEX(MASTER!$J$4:$J$1463,$P91)="","",INDEX(MASTER!$J$4:$J$1463,$P91)),""))</f>
        <v>CORE</v>
      </c>
      <c r="J91" s="17">
        <f>IF($P91="","",IFERROR(IF(INDEX(MASTER!$L$4:$L$1463,$P91)="","",INDEX(MASTER!$L$4:$L$1463,$P91)),""))</f>
        <v>5.3</v>
      </c>
      <c r="K91" s="17">
        <f>IF($P91="","",IFERROR(IF(INDEX(MASTER!$N$4:$N$1463,$P91)="","",INDEX(MASTER!$N$4:$N$1463,$P91)),""))</f>
        <v>47.8</v>
      </c>
      <c r="L91" s="15" t="str">
        <f>IF($P91="","",IFERROR(IF(INDEX(MASTER!$O$4:$O$1463,$P91)="","",INDEX(MASTER!$O$4:$O$1463,$P91)),""))</f>
        <v>B</v>
      </c>
      <c r="M91" s="15">
        <f>IF($P91="","",IFERROR(IF(INDEX(MASTER!$Q$4:$Q$1463,$P91)="","",INDEX(MASTER!$Q$4:$Q$1463,$P91)),""))</f>
        <v>66</v>
      </c>
      <c r="N91" s="15" t="str">
        <f>IF($P91="","",IFERROR(IF(INDEX(MASTER!$S$4:$S$1463,$P91)="","",INDEX(MASTER!$S$4:$S$1463,$P91)),""))</f>
        <v>Complete</v>
      </c>
      <c r="P91">
        <f>IFERROR(MATCH($Q$1&amp;"@83",MASTER!$AC$4:$AC$1463,0),"")</f>
        <v>1192</v>
      </c>
    </row>
    <row r="92" spans="1:16">
      <c r="A92" s="19">
        <f>IF($P92="","",84)</f>
        <v>84</v>
      </c>
      <c r="B92" s="18" t="str">
        <f>IF($P92="","",IFERROR(IF(INDEX(MASTER!$C$4:$C$1463,$P92)="","",INDEX(MASTER!$C$4:$C$1463,$P92)),""))</f>
        <v>Uruu</v>
      </c>
      <c r="C92" s="19" t="str">
        <f>IF($P92="","",IFERROR(IF(INDEX(MASTER!$D$4:$D$1463,$P92)="","",INDEX(MASTER!$D$4:$D$1463,$P92)),""))</f>
        <v/>
      </c>
      <c r="D92" s="19" t="str">
        <f>IF($P92="","",IFERROR(IF(INDEX(MASTER!$E$4:$E$1463,$P92)="","",INDEX(MASTER!$E$4:$E$1463,$P92)),""))</f>
        <v>WARLOCK</v>
      </c>
      <c r="E92" s="19" t="str">
        <f>IF($P92="","",IFERROR(IF(INDEX(MASTER!$F$4:$F$1463,$P92)="","",INDEX(MASTER!$F$4:$F$1463,$P92)),""))</f>
        <v>Control</v>
      </c>
      <c r="F92" s="20">
        <f>IF($P92="","",IFERROR(IF(INDEX(MASTER!$G$4:$G$1463,$P92)="","",INDEX(MASTER!$G$4:$G$1463,$P92)),""))</f>
        <v>62788</v>
      </c>
      <c r="G92" s="19" t="str">
        <f>IF($P92="","",IFERROR(IF(INDEX(MASTER!$H$4:$H$1463,$P92)="","",INDEX(MASTER!$H$4:$H$1463,$P92)),""))</f>
        <v>62,000 - 62,999</v>
      </c>
      <c r="H92" s="20">
        <f>IF($P92="","",IFERROR(IF(INDEX(MASTER!$I$4:$I$1463,$P92)="","",INDEX(MASTER!$I$4:$I$1463,$P92)),""))</f>
        <v>3852</v>
      </c>
      <c r="I92" s="19" t="str">
        <f>IF($P92="","",IFERROR(IF(INDEX(MASTER!$J$4:$J$1463,$P92)="","",INDEX(MASTER!$J$4:$J$1463,$P92)),""))</f>
        <v>DEVELOPING</v>
      </c>
      <c r="J92" s="21">
        <f>IF($P92="","",IFERROR(IF(INDEX(MASTER!$L$4:$L$1463,$P92)="","",INDEX(MASTER!$L$4:$L$1463,$P92)),""))</f>
        <v>6.05</v>
      </c>
      <c r="K92" s="21">
        <f>IF($P92="","",IFERROR(IF(INDEX(MASTER!$N$4:$N$1463,$P92)="","",INDEX(MASTER!$N$4:$N$1463,$P92)),""))</f>
        <v>47.4</v>
      </c>
      <c r="L92" s="19" t="str">
        <f>IF($P92="","",IFERROR(IF(INDEX(MASTER!$O$4:$O$1463,$P92)="","",INDEX(MASTER!$O$4:$O$1463,$P92)),""))</f>
        <v>B</v>
      </c>
      <c r="M92" s="19">
        <f>IF($P92="","",IFERROR(IF(INDEX(MASTER!$Q$4:$Q$1463,$P92)="","",INDEX(MASTER!$Q$4:$Q$1463,$P92)),""))</f>
        <v>77</v>
      </c>
      <c r="N92" s="19" t="str">
        <f>IF($P92="","",IFERROR(IF(INDEX(MASTER!$S$4:$S$1463,$P92)="","",INDEX(MASTER!$S$4:$S$1463,$P92)),""))</f>
        <v>Complete</v>
      </c>
      <c r="P92">
        <f>IFERROR(MATCH($Q$1&amp;"@84",MASTER!$AC$4:$AC$1463,0),"")</f>
        <v>1197</v>
      </c>
    </row>
    <row r="93" spans="1:16">
      <c r="A93" s="15">
        <f>IF($P93="","",85)</f>
        <v>85</v>
      </c>
      <c r="B93" s="14" t="str">
        <f>IF($P93="","",IFERROR(IF(INDEX(MASTER!$C$4:$C$1463,$P93)="","",INDEX(MASTER!$C$4:$C$1463,$P93)),""))</f>
        <v>UsuallydrunK</v>
      </c>
      <c r="C93" s="15" t="str">
        <f>IF($P93="","",IFERROR(IF(INDEX(MASTER!$D$4:$D$1463,$P93)="","",INDEX(MASTER!$D$4:$D$1463,$P93)),""))</f>
        <v/>
      </c>
      <c r="D93" s="15" t="str">
        <f>IF($P93="","",IFERROR(IF(INDEX(MASTER!$E$4:$E$1463,$P93)="","",INDEX(MASTER!$E$4:$E$1463,$P93)),""))</f>
        <v>BLOOD KNIGHT</v>
      </c>
      <c r="E93" s="15" t="str">
        <f>IF($P93="","",IFERROR(IF(INDEX(MASTER!$F$4:$F$1463,$P93)="","",INDEX(MASTER!$F$4:$F$1463,$P93)),""))</f>
        <v>Frontline</v>
      </c>
      <c r="F93" s="16">
        <f>IF($P93="","",IFERROR(IF(INDEX(MASTER!$G$4:$G$1463,$P93)="","",INDEX(MASTER!$G$4:$G$1463,$P93)),""))</f>
        <v>63988</v>
      </c>
      <c r="G93" s="15" t="str">
        <f>IF($P93="","",IFERROR(IF(INDEX(MASTER!$H$4:$H$1463,$P93)="","",INDEX(MASTER!$H$4:$H$1463,$P93)),""))</f>
        <v>63,000 - 63,999</v>
      </c>
      <c r="H93" s="16">
        <f>IF($P93="","",IFERROR(IF(INDEX(MASTER!$I$4:$I$1463,$P93)="","",INDEX(MASTER!$I$4:$I$1463,$P93)),""))</f>
        <v>8721</v>
      </c>
      <c r="I93" s="15" t="str">
        <f>IF($P93="","",IFERROR(IF(INDEX(MASTER!$J$4:$J$1463,$P93)="","",INDEX(MASTER!$J$4:$J$1463,$P93)),""))</f>
        <v>ELITE</v>
      </c>
      <c r="J93" s="17">
        <f>IF($P93="","",IFERROR(IF(INDEX(MASTER!$L$4:$L$1463,$P93)="","",INDEX(MASTER!$L$4:$L$1463,$P93)),""))</f>
        <v>8.6999999999999993</v>
      </c>
      <c r="K93" s="17">
        <f>IF($P93="","",IFERROR(IF(INDEX(MASTER!$N$4:$N$1463,$P93)="","",INDEX(MASTER!$N$4:$N$1463,$P93)),""))</f>
        <v>76.2</v>
      </c>
      <c r="L93" s="15" t="str">
        <f>IF($P93="","",IFERROR(IF(INDEX(MASTER!$O$4:$O$1463,$P93)="","",INDEX(MASTER!$O$4:$O$1463,$P93)),""))</f>
        <v>S</v>
      </c>
      <c r="M93" s="15">
        <f>IF($P93="","",IFERROR(IF(INDEX(MASTER!$Q$4:$Q$1463,$P93)="","",INDEX(MASTER!$Q$4:$Q$1463,$P93)),""))</f>
        <v>15</v>
      </c>
      <c r="N93" s="15" t="str">
        <f>IF($P93="","",IFERROR(IF(INDEX(MASTER!$S$4:$S$1463,$P93)="","",INDEX(MASTER!$S$4:$S$1463,$P93)),""))</f>
        <v>Complete</v>
      </c>
      <c r="P93">
        <f>IFERROR(MATCH($Q$1&amp;"@85",MASTER!$AC$4:$AC$1463,0),"")</f>
        <v>1198</v>
      </c>
    </row>
    <row r="94" spans="1:16">
      <c r="A94" s="19">
        <f>IF($P94="","",86)</f>
        <v>86</v>
      </c>
      <c r="B94" s="18" t="str">
        <f>IF($P94="","",IFERROR(IF(INDEX(MASTER!$C$4:$C$1463,$P94)="","",INDEX(MASTER!$C$4:$C$1463,$P94)),""))</f>
        <v>Vanhandían</v>
      </c>
      <c r="C94" s="19" t="str">
        <f>IF($P94="","",IFERROR(IF(INDEX(MASTER!$D$4:$D$1463,$P94)="","",INDEX(MASTER!$D$4:$D$1463,$P94)),""))</f>
        <v/>
      </c>
      <c r="D94" s="19" t="str">
        <f>IF($P94="","",IFERROR(IF(INDEX(MASTER!$E$4:$E$1463,$P94)="","",INDEX(MASTER!$E$4:$E$1463,$P94)),""))</f>
        <v>CRUSADER</v>
      </c>
      <c r="E94" s="19" t="str">
        <f>IF($P94="","",IFERROR(IF(INDEX(MASTER!$F$4:$F$1463,$P94)="","",INDEX(MASTER!$F$4:$F$1463,$P94)),""))</f>
        <v>Frontline</v>
      </c>
      <c r="F94" s="20">
        <f>IF($P94="","",IFERROR(IF(INDEX(MASTER!$G$4:$G$1463,$P94)="","",INDEX(MASTER!$G$4:$G$1463,$P94)),""))</f>
        <v>63768</v>
      </c>
      <c r="G94" s="19" t="str">
        <f>IF($P94="","",IFERROR(IF(INDEX(MASTER!$H$4:$H$1463,$P94)="","",INDEX(MASTER!$H$4:$H$1463,$P94)),""))</f>
        <v>63,000 - 63,999</v>
      </c>
      <c r="H94" s="20">
        <f>IF($P94="","",IFERROR(IF(INDEX(MASTER!$I$4:$I$1463,$P94)="","",INDEX(MASTER!$I$4:$I$1463,$P94)),""))</f>
        <v>7289</v>
      </c>
      <c r="I94" s="19" t="str">
        <f>IF($P94="","",IFERROR(IF(INDEX(MASTER!$J$4:$J$1463,$P94)="","",INDEX(MASTER!$J$4:$J$1463,$P94)),""))</f>
        <v>VETERAN</v>
      </c>
      <c r="J94" s="21">
        <f>IF($P94="","",IFERROR(IF(INDEX(MASTER!$L$4:$L$1463,$P94)="","",INDEX(MASTER!$L$4:$L$1463,$P94)),""))</f>
        <v>8.0500000000000007</v>
      </c>
      <c r="K94" s="21">
        <f>IF($P94="","",IFERROR(IF(INDEX(MASTER!$N$4:$N$1463,$P94)="","",INDEX(MASTER!$N$4:$N$1463,$P94)),""))</f>
        <v>68.3</v>
      </c>
      <c r="L94" s="19" t="str">
        <f>IF($P94="","",IFERROR(IF(INDEX(MASTER!$O$4:$O$1463,$P94)="","",INDEX(MASTER!$O$4:$O$1463,$P94)),""))</f>
        <v>S</v>
      </c>
      <c r="M94" s="19">
        <f>IF($P94="","",IFERROR(IF(INDEX(MASTER!$Q$4:$Q$1463,$P94)="","",INDEX(MASTER!$Q$4:$Q$1463,$P94)),""))</f>
        <v>28</v>
      </c>
      <c r="N94" s="19" t="str">
        <f>IF($P94="","",IFERROR(IF(INDEX(MASTER!$S$4:$S$1463,$P94)="","",INDEX(MASTER!$S$4:$S$1463,$P94)),""))</f>
        <v>Complete</v>
      </c>
      <c r="P94">
        <f>IFERROR(MATCH($Q$1&amp;"@86",MASTER!$AC$4:$AC$1463,0),"")</f>
        <v>1207</v>
      </c>
    </row>
    <row r="95" spans="1:16">
      <c r="A95" s="15">
        <f>IF($P95="","",87)</f>
        <v>87</v>
      </c>
      <c r="B95" s="14" t="str">
        <f>IF($P95="","",IFERROR(IF(INDEX(MASTER!$C$4:$C$1463,$P95)="","",INDEX(MASTER!$C$4:$C$1463,$P95)),""))</f>
        <v>VonBluebaugh</v>
      </c>
      <c r="C95" s="15" t="str">
        <f>IF($P95="","",IFERROR(IF(INDEX(MASTER!$D$4:$D$1463,$P95)="","",INDEX(MASTER!$D$4:$D$1463,$P95)),""))</f>
        <v/>
      </c>
      <c r="D95" s="15" t="str">
        <f>IF($P95="","",IFERROR(IF(INDEX(MASTER!$E$4:$E$1463,$P95)="","",INDEX(MASTER!$E$4:$E$1463,$P95)),""))</f>
        <v>DEMON HUNTER</v>
      </c>
      <c r="E95" s="15" t="str">
        <f>IF($P95="","",IFERROR(IF(INDEX(MASTER!$F$4:$F$1463,$P95)="","",INDEX(MASTER!$F$4:$F$1463,$P95)),""))</f>
        <v>Ranged DPS</v>
      </c>
      <c r="F95" s="16">
        <f>IF($P95="","",IFERROR(IF(INDEX(MASTER!$G$4:$G$1463,$P95)="","",INDEX(MASTER!$G$4:$G$1463,$P95)),""))</f>
        <v>62127</v>
      </c>
      <c r="G95" s="15" t="str">
        <f>IF($P95="","",IFERROR(IF(INDEX(MASTER!$H$4:$H$1463,$P95)="","",INDEX(MASTER!$H$4:$H$1463,$P95)),""))</f>
        <v>62,000 - 62,999</v>
      </c>
      <c r="H95" s="16">
        <f>IF($P95="","",IFERROR(IF(INDEX(MASTER!$I$4:$I$1463,$P95)="","",INDEX(MASTER!$I$4:$I$1463,$P95)),""))</f>
        <v>4317</v>
      </c>
      <c r="I95" s="15" t="str">
        <f>IF($P95="","",IFERROR(IF(INDEX(MASTER!$J$4:$J$1463,$P95)="","",INDEX(MASTER!$J$4:$J$1463,$P95)),""))</f>
        <v>CORE</v>
      </c>
      <c r="J95" s="17">
        <f>IF($P95="","",IFERROR(IF(INDEX(MASTER!$L$4:$L$1463,$P95)="","",INDEX(MASTER!$L$4:$L$1463,$P95)),""))</f>
        <v>5.2</v>
      </c>
      <c r="K95" s="17">
        <f>IF($P95="","",IFERROR(IF(INDEX(MASTER!$N$4:$N$1463,$P95)="","",INDEX(MASTER!$N$4:$N$1463,$P95)),""))</f>
        <v>46.3</v>
      </c>
      <c r="L95" s="15" t="str">
        <f>IF($P95="","",IFERROR(IF(INDEX(MASTER!$O$4:$O$1463,$P95)="","",INDEX(MASTER!$O$4:$O$1463,$P95)),""))</f>
        <v>B</v>
      </c>
      <c r="M95" s="15">
        <f>IF($P95="","",IFERROR(IF(INDEX(MASTER!$Q$4:$Q$1463,$P95)="","",INDEX(MASTER!$Q$4:$Q$1463,$P95)),""))</f>
        <v>65</v>
      </c>
      <c r="N95" s="15" t="str">
        <f>IF($P95="","",IFERROR(IF(INDEX(MASTER!$S$4:$S$1463,$P95)="","",INDEX(MASTER!$S$4:$S$1463,$P95)),""))</f>
        <v>Complete</v>
      </c>
      <c r="P95">
        <f>IFERROR(MATCH($Q$1&amp;"@87",MASTER!$AC$4:$AC$1463,0),"")</f>
        <v>1230</v>
      </c>
    </row>
    <row r="96" spans="1:16">
      <c r="A96" s="19">
        <f>IF($P96="","",88)</f>
        <v>88</v>
      </c>
      <c r="B96" s="18" t="str">
        <f>IF($P96="","",IFERROR(IF(INDEX(MASTER!$C$4:$C$1463,$P96)="","",INDEX(MASTER!$C$4:$C$1463,$P96)),""))</f>
        <v>Vülcan</v>
      </c>
      <c r="C96" s="19" t="str">
        <f>IF($P96="","",IFERROR(IF(INDEX(MASTER!$D$4:$D$1463,$P96)="","",INDEX(MASTER!$D$4:$D$1463,$P96)),""))</f>
        <v/>
      </c>
      <c r="D96" s="19" t="str">
        <f>IF($P96="","",IFERROR(IF(INDEX(MASTER!$E$4:$E$1463,$P96)="","",INDEX(MASTER!$E$4:$E$1463,$P96)),""))</f>
        <v>WARLOCK</v>
      </c>
      <c r="E96" s="19" t="str">
        <f>IF($P96="","",IFERROR(IF(INDEX(MASTER!$F$4:$F$1463,$P96)="","",INDEX(MASTER!$F$4:$F$1463,$P96)),""))</f>
        <v>Control</v>
      </c>
      <c r="F96" s="20">
        <f>IF($P96="","",IFERROR(IF(INDEX(MASTER!$G$4:$G$1463,$P96)="","",INDEX(MASTER!$G$4:$G$1463,$P96)),""))</f>
        <v>61034</v>
      </c>
      <c r="G96" s="19" t="str">
        <f>IF($P96="","",IFERROR(IF(INDEX(MASTER!$H$4:$H$1463,$P96)="","",INDEX(MASTER!$H$4:$H$1463,$P96)),""))</f>
        <v>61,000 - 61,999</v>
      </c>
      <c r="H96" s="20">
        <f>IF($P96="","",IFERROR(IF(INDEX(MASTER!$I$4:$I$1463,$P96)="","",INDEX(MASTER!$I$4:$I$1463,$P96)),""))</f>
        <v>8023</v>
      </c>
      <c r="I96" s="19" t="str">
        <f>IF($P96="","",IFERROR(IF(INDEX(MASTER!$J$4:$J$1463,$P96)="","",INDEX(MASTER!$J$4:$J$1463,$P96)),""))</f>
        <v>ELITE</v>
      </c>
      <c r="J96" s="21">
        <f>IF($P96="","",IFERROR(IF(INDEX(MASTER!$L$4:$L$1463,$P96)="","",INDEX(MASTER!$L$4:$L$1463,$P96)),""))</f>
        <v>7.22</v>
      </c>
      <c r="K96" s="21">
        <f>IF($P96="","",IFERROR(IF(INDEX(MASTER!$N$4:$N$1463,$P96)="","",INDEX(MASTER!$N$4:$N$1463,$P96)),""))</f>
        <v>62.9</v>
      </c>
      <c r="L96" s="19" t="str">
        <f>IF($P96="","",IFERROR(IF(INDEX(MASTER!$O$4:$O$1463,$P96)="","",INDEX(MASTER!$O$4:$O$1463,$P96)),""))</f>
        <v>A</v>
      </c>
      <c r="M96" s="19">
        <f>IF($P96="","",IFERROR(IF(INDEX(MASTER!$Q$4:$Q$1463,$P96)="","",INDEX(MASTER!$Q$4:$Q$1463,$P96)),""))</f>
        <v>24</v>
      </c>
      <c r="N96" s="19" t="str">
        <f>IF($P96="","",IFERROR(IF(INDEX(MASTER!$S$4:$S$1463,$P96)="","",INDEX(MASTER!$S$4:$S$1463,$P96)),""))</f>
        <v>Complete</v>
      </c>
      <c r="P96">
        <f>IFERROR(MATCH($Q$1&amp;"@88",MASTER!$AC$4:$AC$1463,0),"")</f>
        <v>1233</v>
      </c>
    </row>
    <row r="97" spans="1:16">
      <c r="A97" s="15">
        <f>IF($P97="","",89)</f>
        <v>89</v>
      </c>
      <c r="B97" s="14" t="str">
        <f>IF($P97="","",IFERROR(IF(INDEX(MASTER!$C$4:$C$1463,$P97)="","",INDEX(MASTER!$C$4:$C$1463,$P97)),""))</f>
        <v>VvitchyTea</v>
      </c>
      <c r="C97" s="15" t="str">
        <f>IF($P97="","",IFERROR(IF(INDEX(MASTER!$D$4:$D$1463,$P97)="","",INDEX(MASTER!$D$4:$D$1463,$P97)),""))</f>
        <v/>
      </c>
      <c r="D97" s="15" t="str">
        <f>IF($P97="","",IFERROR(IF(INDEX(MASTER!$E$4:$E$1463,$P97)="","",INDEX(MASTER!$E$4:$E$1463,$P97)),""))</f>
        <v>WARLOCK</v>
      </c>
      <c r="E97" s="15" t="str">
        <f>IF($P97="","",IFERROR(IF(INDEX(MASTER!$F$4:$F$1463,$P97)="","",INDEX(MASTER!$F$4:$F$1463,$P97)),""))</f>
        <v>Control</v>
      </c>
      <c r="F97" s="16">
        <f>IF($P97="","",IFERROR(IF(INDEX(MASTER!$G$4:$G$1463,$P97)="","",INDEX(MASTER!$G$4:$G$1463,$P97)),""))</f>
        <v>62263</v>
      </c>
      <c r="G97" s="15" t="str">
        <f>IF($P97="","",IFERROR(IF(INDEX(MASTER!$H$4:$H$1463,$P97)="","",INDEX(MASTER!$H$4:$H$1463,$P97)),""))</f>
        <v>62,000 - 62,999</v>
      </c>
      <c r="H97" s="16">
        <f>IF($P97="","",IFERROR(IF(INDEX(MASTER!$I$4:$I$1463,$P97)="","",INDEX(MASTER!$I$4:$I$1463,$P97)),""))</f>
        <v>6105</v>
      </c>
      <c r="I97" s="15" t="str">
        <f>IF($P97="","",IFERROR(IF(INDEX(MASTER!$J$4:$J$1463,$P97)="","",INDEX(MASTER!$J$4:$J$1463,$P97)),""))</f>
        <v>VETERAN</v>
      </c>
      <c r="J97" s="17">
        <f>IF($P97="","",IFERROR(IF(INDEX(MASTER!$L$4:$L$1463,$P97)="","",INDEX(MASTER!$L$4:$L$1463,$P97)),""))</f>
        <v>5.9</v>
      </c>
      <c r="K97" s="17">
        <f>IF($P97="","",IFERROR(IF(INDEX(MASTER!$N$4:$N$1463,$P97)="","",INDEX(MASTER!$N$4:$N$1463,$P97)),""))</f>
        <v>55.6</v>
      </c>
      <c r="L97" s="15" t="str">
        <f>IF($P97="","",IFERROR(IF(INDEX(MASTER!$O$4:$O$1463,$P97)="","",INDEX(MASTER!$O$4:$O$1463,$P97)),""))</f>
        <v>A</v>
      </c>
      <c r="M97" s="15">
        <f>IF($P97="","",IFERROR(IF(INDEX(MASTER!$Q$4:$Q$1463,$P97)="","",INDEX(MASTER!$Q$4:$Q$1463,$P97)),""))</f>
        <v>45</v>
      </c>
      <c r="N97" s="15" t="str">
        <f>IF($P97="","",IFERROR(IF(INDEX(MASTER!$S$4:$S$1463,$P97)="","",INDEX(MASTER!$S$4:$S$1463,$P97)),""))</f>
        <v>Complete</v>
      </c>
      <c r="P97">
        <f>IFERROR(MATCH($Q$1&amp;"@89",MASTER!$AC$4:$AC$1463,0),"")</f>
        <v>1232</v>
      </c>
    </row>
    <row r="98" spans="1:16">
      <c r="A98" s="19">
        <f>IF($P98="","",90)</f>
        <v>90</v>
      </c>
      <c r="B98" s="18" t="str">
        <f>IF($P98="","",IFERROR(IF(INDEX(MASTER!$C$4:$C$1463,$P98)="","",INDEX(MASTER!$C$4:$C$1463,$P98)),""))</f>
        <v>WarPig</v>
      </c>
      <c r="C98" s="19" t="str">
        <f>IF($P98="","",IFERROR(IF(INDEX(MASTER!$D$4:$D$1463,$P98)="","",INDEX(MASTER!$D$4:$D$1463,$P98)),""))</f>
        <v/>
      </c>
      <c r="D98" s="19" t="str">
        <f>IF($P98="","",IFERROR(IF(INDEX(MASTER!$E$4:$E$1463,$P98)="","",INDEX(MASTER!$E$4:$E$1463,$P98)),""))</f>
        <v>BLOOD KNIGHT</v>
      </c>
      <c r="E98" s="19" t="str">
        <f>IF($P98="","",IFERROR(IF(INDEX(MASTER!$F$4:$F$1463,$P98)="","",INDEX(MASTER!$F$4:$F$1463,$P98)),""))</f>
        <v>Frontline</v>
      </c>
      <c r="F98" s="20">
        <f>IF($P98="","",IFERROR(IF(INDEX(MASTER!$G$4:$G$1463,$P98)="","",INDEX(MASTER!$G$4:$G$1463,$P98)),""))</f>
        <v>61795</v>
      </c>
      <c r="G98" s="19" t="str">
        <f>IF($P98="","",IFERROR(IF(INDEX(MASTER!$H$4:$H$1463,$P98)="","",INDEX(MASTER!$H$4:$H$1463,$P98)),""))</f>
        <v>61,000 - 61,999</v>
      </c>
      <c r="H98" s="20">
        <f>IF($P98="","",IFERROR(IF(INDEX(MASTER!$I$4:$I$1463,$P98)="","",INDEX(MASTER!$I$4:$I$1463,$P98)),""))</f>
        <v>5303</v>
      </c>
      <c r="I98" s="19" t="str">
        <f>IF($P98="","",IFERROR(IF(INDEX(MASTER!$J$4:$J$1463,$P98)="","",INDEX(MASTER!$J$4:$J$1463,$P98)),""))</f>
        <v>CORE</v>
      </c>
      <c r="J98" s="21">
        <f>IF($P98="","",IFERROR(IF(INDEX(MASTER!$L$4:$L$1463,$P98)="","",INDEX(MASTER!$L$4:$L$1463,$P98)),""))</f>
        <v>6.05</v>
      </c>
      <c r="K98" s="21">
        <f>IF($P98="","",IFERROR(IF(INDEX(MASTER!$N$4:$N$1463,$P98)="","",INDEX(MASTER!$N$4:$N$1463,$P98)),""))</f>
        <v>51.1</v>
      </c>
      <c r="L98" s="19" t="str">
        <f>IF($P98="","",IFERROR(IF(INDEX(MASTER!$O$4:$O$1463,$P98)="","",INDEX(MASTER!$O$4:$O$1463,$P98)),""))</f>
        <v>A</v>
      </c>
      <c r="M98" s="19">
        <f>IF($P98="","",IFERROR(IF(INDEX(MASTER!$Q$4:$Q$1463,$P98)="","",INDEX(MASTER!$Q$4:$Q$1463,$P98)),""))</f>
        <v>53</v>
      </c>
      <c r="N98" s="19" t="str">
        <f>IF($P98="","",IFERROR(IF(INDEX(MASTER!$S$4:$S$1463,$P98)="","",INDEX(MASTER!$S$4:$S$1463,$P98)),""))</f>
        <v>Complete</v>
      </c>
      <c r="P98">
        <f>IFERROR(MATCH($Q$1&amp;"@90",MASTER!$AC$4:$AC$1463,0),"")</f>
        <v>1243</v>
      </c>
    </row>
    <row r="99" spans="1:16">
      <c r="A99" s="15">
        <f>IF($P99="","",91)</f>
        <v>91</v>
      </c>
      <c r="B99" s="14" t="str">
        <f>IF($P99="","",IFERROR(IF(INDEX(MASTER!$C$4:$C$1463,$P99)="","",INDEX(MASTER!$C$4:$C$1463,$P99)),""))</f>
        <v>WICKED146</v>
      </c>
      <c r="C99" s="15" t="str">
        <f>IF($P99="","",IFERROR(IF(INDEX(MASTER!$D$4:$D$1463,$P99)="","",INDEX(MASTER!$D$4:$D$1463,$P99)),""))</f>
        <v/>
      </c>
      <c r="D99" s="15" t="str">
        <f>IF($P99="","",IFERROR(IF(INDEX(MASTER!$E$4:$E$1463,$P99)="","",INDEX(MASTER!$E$4:$E$1463,$P99)),""))</f>
        <v>BARBARIAN</v>
      </c>
      <c r="E99" s="15" t="str">
        <f>IF($P99="","",IFERROR(IF(INDEX(MASTER!$F$4:$F$1463,$P99)="","",INDEX(MASTER!$F$4:$F$1463,$P99)),""))</f>
        <v>Frontline</v>
      </c>
      <c r="F99" s="16">
        <f>IF($P99="","",IFERROR(IF(INDEX(MASTER!$G$4:$G$1463,$P99)="","",INDEX(MASTER!$G$4:$G$1463,$P99)),""))</f>
        <v>62455</v>
      </c>
      <c r="G99" s="15" t="str">
        <f>IF($P99="","",IFERROR(IF(INDEX(MASTER!$H$4:$H$1463,$P99)="","",INDEX(MASTER!$H$4:$H$1463,$P99)),""))</f>
        <v>62,000 - 62,999</v>
      </c>
      <c r="H99" s="16">
        <f>IF($P99="","",IFERROR(IF(INDEX(MASTER!$I$4:$I$1463,$P99)="","",INDEX(MASTER!$I$4:$I$1463,$P99)),""))</f>
        <v>3372</v>
      </c>
      <c r="I99" s="15" t="str">
        <f>IF($P99="","",IFERROR(IF(INDEX(MASTER!$J$4:$J$1463,$P99)="","",INDEX(MASTER!$J$4:$J$1463,$P99)),""))</f>
        <v>DEVELOPING</v>
      </c>
      <c r="J99" s="17">
        <f>IF($P99="","",IFERROR(IF(INDEX(MASTER!$L$4:$L$1463,$P99)="","",INDEX(MASTER!$L$4:$L$1463,$P99)),""))</f>
        <v>4.5</v>
      </c>
      <c r="K99" s="17">
        <f>IF($P99="","",IFERROR(IF(INDEX(MASTER!$N$4:$N$1463,$P99)="","",INDEX(MASTER!$N$4:$N$1463,$P99)),""))</f>
        <v>41.8</v>
      </c>
      <c r="L99" s="15" t="str">
        <f>IF($P99="","",IFERROR(IF(INDEX(MASTER!$O$4:$O$1463,$P99)="","",INDEX(MASTER!$O$4:$O$1463,$P99)),""))</f>
        <v>B</v>
      </c>
      <c r="M99" s="15">
        <f>IF($P99="","",IFERROR(IF(INDEX(MASTER!$Q$4:$Q$1463,$P99)="","",INDEX(MASTER!$Q$4:$Q$1463,$P99)),""))</f>
        <v>86</v>
      </c>
      <c r="N99" s="15" t="str">
        <f>IF($P99="","",IFERROR(IF(INDEX(MASTER!$S$4:$S$1463,$P99)="","",INDEX(MASTER!$S$4:$S$1463,$P99)),""))</f>
        <v>Complete</v>
      </c>
      <c r="P99">
        <f>IFERROR(MATCH($Q$1&amp;"@91",MASTER!$AC$4:$AC$1463,0),"")</f>
        <v>1248</v>
      </c>
    </row>
    <row r="100" spans="1:16">
      <c r="A100" s="19">
        <f>IF($P100="","",92)</f>
        <v>92</v>
      </c>
      <c r="B100" s="18" t="str">
        <f>IF($P100="","",IFERROR(IF(INDEX(MASTER!$C$4:$C$1463,$P100)="","",INDEX(MASTER!$C$4:$C$1463,$P100)),""))</f>
        <v>XKhalX</v>
      </c>
      <c r="C100" s="19" t="str">
        <f>IF($P100="","",IFERROR(IF(INDEX(MASTER!$D$4:$D$1463,$P100)="","",INDEX(MASTER!$D$4:$D$1463,$P100)),""))</f>
        <v/>
      </c>
      <c r="D100" s="19" t="str">
        <f>IF($P100="","",IFERROR(IF(INDEX(MASTER!$E$4:$E$1463,$P100)="","",INDEX(MASTER!$E$4:$E$1463,$P100)),""))</f>
        <v>NECROMANCER</v>
      </c>
      <c r="E100" s="19" t="str">
        <f>IF($P100="","",IFERROR(IF(INDEX(MASTER!$F$4:$F$1463,$P100)="","",INDEX(MASTER!$F$4:$F$1463,$P100)),""))</f>
        <v>Control</v>
      </c>
      <c r="F100" s="20">
        <f>IF($P100="","",IFERROR(IF(INDEX(MASTER!$G$4:$G$1463,$P100)="","",INDEX(MASTER!$G$4:$G$1463,$P100)),""))</f>
        <v>61179</v>
      </c>
      <c r="G100" s="19" t="str">
        <f>IF($P100="","",IFERROR(IF(INDEX(MASTER!$H$4:$H$1463,$P100)="","",INDEX(MASTER!$H$4:$H$1463,$P100)),""))</f>
        <v>61,000 - 61,999</v>
      </c>
      <c r="H100" s="20">
        <f>IF($P100="","",IFERROR(IF(INDEX(MASTER!$I$4:$I$1463,$P100)="","",INDEX(MASTER!$I$4:$I$1463,$P100)),""))</f>
        <v>3761</v>
      </c>
      <c r="I100" s="19" t="str">
        <f>IF($P100="","",IFERROR(IF(INDEX(MASTER!$J$4:$J$1463,$P100)="","",INDEX(MASTER!$J$4:$J$1463,$P100)),""))</f>
        <v>DEVELOPING</v>
      </c>
      <c r="J100" s="21">
        <f>IF($P100="","",IFERROR(IF(INDEX(MASTER!$L$4:$L$1463,$P100)="","",INDEX(MASTER!$L$4:$L$1463,$P100)),""))</f>
        <v>4.2</v>
      </c>
      <c r="K100" s="21">
        <f>IF($P100="","",IFERROR(IF(INDEX(MASTER!$N$4:$N$1463,$P100)="","",INDEX(MASTER!$N$4:$N$1463,$P100)),""))</f>
        <v>39.700000000000003</v>
      </c>
      <c r="L100" s="19" t="str">
        <f>IF($P100="","",IFERROR(IF(INDEX(MASTER!$O$4:$O$1463,$P100)="","",INDEX(MASTER!$O$4:$O$1463,$P100)),""))</f>
        <v>B</v>
      </c>
      <c r="M100" s="19">
        <f>IF($P100="","",IFERROR(IF(INDEX(MASTER!$Q$4:$Q$1463,$P100)="","",INDEX(MASTER!$Q$4:$Q$1463,$P100)),""))</f>
        <v>80</v>
      </c>
      <c r="N100" s="19" t="str">
        <f>IF($P100="","",IFERROR(IF(INDEX(MASTER!$S$4:$S$1463,$P100)="","",INDEX(MASTER!$S$4:$S$1463,$P100)),""))</f>
        <v>Complete</v>
      </c>
      <c r="P100">
        <f>IFERROR(MATCH($Q$1&amp;"@92",MASTER!$AC$4:$AC$1463,0),"")</f>
        <v>1285</v>
      </c>
    </row>
    <row r="101" spans="1:16">
      <c r="A101" s="15">
        <f>IF($P101="","",93)</f>
        <v>93</v>
      </c>
      <c r="B101" s="14" t="str">
        <f>IF($P101="","",IFERROR(IF(INDEX(MASTER!$C$4:$C$1463,$P101)="","",INDEX(MASTER!$C$4:$C$1463,$P101)),""))</f>
        <v>Xstarfall666</v>
      </c>
      <c r="C101" s="15" t="str">
        <f>IF($P101="","",IFERROR(IF(INDEX(MASTER!$D$4:$D$1463,$P101)="","",INDEX(MASTER!$D$4:$D$1463,$P101)),""))</f>
        <v/>
      </c>
      <c r="D101" s="15" t="str">
        <f>IF($P101="","",IFERROR(IF(INDEX(MASTER!$E$4:$E$1463,$P101)="","",INDEX(MASTER!$E$4:$E$1463,$P101)),""))</f>
        <v>WIZARD</v>
      </c>
      <c r="E101" s="15" t="str">
        <f>IF($P101="","",IFERROR(IF(INDEX(MASTER!$F$4:$F$1463,$P101)="","",INDEX(MASTER!$F$4:$F$1463,$P101)),""))</f>
        <v>Ranged DPS</v>
      </c>
      <c r="F101" s="16">
        <f>IF($P101="","",IFERROR(IF(INDEX(MASTER!$G$4:$G$1463,$P101)="","",INDEX(MASTER!$G$4:$G$1463,$P101)),""))</f>
        <v>61235</v>
      </c>
      <c r="G101" s="15" t="str">
        <f>IF($P101="","",IFERROR(IF(INDEX(MASTER!$H$4:$H$1463,$P101)="","",INDEX(MASTER!$H$4:$H$1463,$P101)),""))</f>
        <v>61,000 - 61,999</v>
      </c>
      <c r="H101" s="16">
        <f>IF($P101="","",IFERROR(IF(INDEX(MASTER!$I$4:$I$1463,$P101)="","",INDEX(MASTER!$I$4:$I$1463,$P101)),""))</f>
        <v>7013</v>
      </c>
      <c r="I101" s="15" t="str">
        <f>IF($P101="","",IFERROR(IF(INDEX(MASTER!$J$4:$J$1463,$P101)="","",INDEX(MASTER!$J$4:$J$1463,$P101)),""))</f>
        <v>VETERAN</v>
      </c>
      <c r="J101" s="17">
        <f>IF($P101="","",IFERROR(IF(INDEX(MASTER!$L$4:$L$1463,$P101)="","",INDEX(MASTER!$L$4:$L$1463,$P101)),""))</f>
        <v>4.75</v>
      </c>
      <c r="K101" s="17">
        <f>IF($P101="","",IFERROR(IF(INDEX(MASTER!$N$4:$N$1463,$P101)="","",INDEX(MASTER!$N$4:$N$1463,$P101)),""))</f>
        <v>54.9</v>
      </c>
      <c r="L101" s="15" t="str">
        <f>IF($P101="","",IFERROR(IF(INDEX(MASTER!$O$4:$O$1463,$P101)="","",INDEX(MASTER!$O$4:$O$1463,$P101)),""))</f>
        <v>A</v>
      </c>
      <c r="M101" s="15">
        <f>IF($P101="","",IFERROR(IF(INDEX(MASTER!$Q$4:$Q$1463,$P101)="","",INDEX(MASTER!$Q$4:$Q$1463,$P101)),""))</f>
        <v>36</v>
      </c>
      <c r="N101" s="15" t="str">
        <f>IF($P101="","",IFERROR(IF(INDEX(MASTER!$S$4:$S$1463,$P101)="","",INDEX(MASTER!$S$4:$S$1463,$P101)),""))</f>
        <v>Complete</v>
      </c>
      <c r="P101">
        <f>IFERROR(MATCH($Q$1&amp;"@93",MASTER!$AC$4:$AC$1463,0),"")</f>
        <v>1287</v>
      </c>
    </row>
    <row r="102" spans="1:16">
      <c r="A102" s="19">
        <f>IF($P102="","",94)</f>
        <v>94</v>
      </c>
      <c r="B102" s="18" t="str">
        <f>IF($P102="","",IFERROR(IF(INDEX(MASTER!$C$4:$C$1463,$P102)="","",INDEX(MASTER!$C$4:$C$1463,$P102)),""))</f>
        <v>xThugLifex</v>
      </c>
      <c r="C102" s="19" t="str">
        <f>IF($P102="","",IFERROR(IF(INDEX(MASTER!$D$4:$D$1463,$P102)="","",INDEX(MASTER!$D$4:$D$1463,$P102)),""))</f>
        <v/>
      </c>
      <c r="D102" s="19" t="str">
        <f>IF($P102="","",IFERROR(IF(INDEX(MASTER!$E$4:$E$1463,$P102)="","",INDEX(MASTER!$E$4:$E$1463,$P102)),""))</f>
        <v>WARLOCK</v>
      </c>
      <c r="E102" s="19" t="str">
        <f>IF($P102="","",IFERROR(IF(INDEX(MASTER!$F$4:$F$1463,$P102)="","",INDEX(MASTER!$F$4:$F$1463,$P102)),""))</f>
        <v>Control</v>
      </c>
      <c r="F102" s="20">
        <f>IF($P102="","",IFERROR(IF(INDEX(MASTER!$G$4:$G$1463,$P102)="","",INDEX(MASTER!$G$4:$G$1463,$P102)),""))</f>
        <v>63150</v>
      </c>
      <c r="G102" s="19" t="str">
        <f>IF($P102="","",IFERROR(IF(INDEX(MASTER!$H$4:$H$1463,$P102)="","",INDEX(MASTER!$H$4:$H$1463,$P102)),""))</f>
        <v>63,000 - 63,999</v>
      </c>
      <c r="H102" s="20">
        <f>IF($P102="","",IFERROR(IF(INDEX(MASTER!$I$4:$I$1463,$P102)="","",INDEX(MASTER!$I$4:$I$1463,$P102)),""))</f>
        <v>3761</v>
      </c>
      <c r="I102" s="19" t="str">
        <f>IF($P102="","",IFERROR(IF(INDEX(MASTER!$J$4:$J$1463,$P102)="","",INDEX(MASTER!$J$4:$J$1463,$P102)),""))</f>
        <v>DEVELOPING</v>
      </c>
      <c r="J102" s="21">
        <f>IF($P102="","",IFERROR(IF(INDEX(MASTER!$L$4:$L$1463,$P102)="","",INDEX(MASTER!$L$4:$L$1463,$P102)),""))</f>
        <v>5.15</v>
      </c>
      <c r="K102" s="21">
        <f>IF($P102="","",IFERROR(IF(INDEX(MASTER!$N$4:$N$1463,$P102)="","",INDEX(MASTER!$N$4:$N$1463,$P102)),""))</f>
        <v>46.4</v>
      </c>
      <c r="L102" s="19" t="str">
        <f>IF($P102="","",IFERROR(IF(INDEX(MASTER!$O$4:$O$1463,$P102)="","",INDEX(MASTER!$O$4:$O$1463,$P102)),""))</f>
        <v>B</v>
      </c>
      <c r="M102" s="19">
        <f>IF($P102="","",IFERROR(IF(INDEX(MASTER!$Q$4:$Q$1463,$P102)="","",INDEX(MASTER!$Q$4:$Q$1463,$P102)),""))</f>
        <v>81</v>
      </c>
      <c r="N102" s="19" t="str">
        <f>IF($P102="","",IFERROR(IF(INDEX(MASTER!$S$4:$S$1463,$P102)="","",INDEX(MASTER!$S$4:$S$1463,$P102)),""))</f>
        <v>Complete</v>
      </c>
      <c r="P102">
        <f>IFERROR(MATCH($Q$1&amp;"@94",MASTER!$AC$4:$AC$1463,0),"")</f>
        <v>1288</v>
      </c>
    </row>
    <row r="103" spans="1:16">
      <c r="A103" s="15">
        <f>IF($P103="","",95)</f>
        <v>95</v>
      </c>
      <c r="B103" s="14" t="str">
        <f>IF($P103="","",IFERROR(IF(INDEX(MASTER!$C$4:$C$1463,$P103)="","",INDEX(MASTER!$C$4:$C$1463,$P103)),""))</f>
        <v>YEEEEEET</v>
      </c>
      <c r="C103" s="15" t="str">
        <f>IF($P103="","",IFERROR(IF(INDEX(MASTER!$D$4:$D$1463,$P103)="","",INDEX(MASTER!$D$4:$D$1463,$P103)),""))</f>
        <v/>
      </c>
      <c r="D103" s="15" t="str">
        <f>IF($P103="","",IFERROR(IF(INDEX(MASTER!$E$4:$E$1463,$P103)="","",INDEX(MASTER!$E$4:$E$1463,$P103)),""))</f>
        <v>BARBARIAN</v>
      </c>
      <c r="E103" s="15" t="str">
        <f>IF($P103="","",IFERROR(IF(INDEX(MASTER!$F$4:$F$1463,$P103)="","",INDEX(MASTER!$F$4:$F$1463,$P103)),""))</f>
        <v>Frontline</v>
      </c>
      <c r="F103" s="16">
        <f>IF($P103="","",IFERROR(IF(INDEX(MASTER!$G$4:$G$1463,$P103)="","",INDEX(MASTER!$G$4:$G$1463,$P103)),""))</f>
        <v>62406</v>
      </c>
      <c r="G103" s="15" t="str">
        <f>IF($P103="","",IFERROR(IF(INDEX(MASTER!$H$4:$H$1463,$P103)="","",INDEX(MASTER!$H$4:$H$1463,$P103)),""))</f>
        <v>62,000 - 62,999</v>
      </c>
      <c r="H103" s="16">
        <f>IF($P103="","",IFERROR(IF(INDEX(MASTER!$I$4:$I$1463,$P103)="","",INDEX(MASTER!$I$4:$I$1463,$P103)),""))</f>
        <v>8329</v>
      </c>
      <c r="I103" s="15" t="str">
        <f>IF($P103="","",IFERROR(IF(INDEX(MASTER!$J$4:$J$1463,$P103)="","",INDEX(MASTER!$J$4:$J$1463,$P103)),""))</f>
        <v>ELITE</v>
      </c>
      <c r="J103" s="17">
        <f>IF($P103="","",IFERROR(IF(INDEX(MASTER!$L$4:$L$1463,$P103)="","",INDEX(MASTER!$L$4:$L$1463,$P103)),""))</f>
        <v>6.55</v>
      </c>
      <c r="K103" s="17">
        <f>IF($P103="","",IFERROR(IF(INDEX(MASTER!$N$4:$N$1463,$P103)="","",INDEX(MASTER!$N$4:$N$1463,$P103)),""))</f>
        <v>66.8</v>
      </c>
      <c r="L103" s="15" t="str">
        <f>IF($P103="","",IFERROR(IF(INDEX(MASTER!$O$4:$O$1463,$P103)="","",INDEX(MASTER!$O$4:$O$1463,$P103)),""))</f>
        <v>S</v>
      </c>
      <c r="M103" s="15">
        <f>IF($P103="","",IFERROR(IF(INDEX(MASTER!$Q$4:$Q$1463,$P103)="","",INDEX(MASTER!$Q$4:$Q$1463,$P103)),""))</f>
        <v>21</v>
      </c>
      <c r="N103" s="15" t="str">
        <f>IF($P103="","",IFERROR(IF(INDEX(MASTER!$S$4:$S$1463,$P103)="","",INDEX(MASTER!$S$4:$S$1463,$P103)),""))</f>
        <v>Complete</v>
      </c>
      <c r="P103">
        <f>IFERROR(MATCH($Q$1&amp;"@95",MASTER!$AC$4:$AC$1463,0),"")</f>
        <v>1300</v>
      </c>
    </row>
    <row r="104" spans="1:16">
      <c r="A104" s="19">
        <f>IF($P104="","",96)</f>
        <v>96</v>
      </c>
      <c r="B104" s="18" t="str">
        <f>IF($P104="","",IFERROR(IF(INDEX(MASTER!$C$4:$C$1463,$P104)="","",INDEX(MASTER!$C$4:$C$1463,$P104)),""))</f>
        <v>Z3nfu I CAE</v>
      </c>
      <c r="C104" s="19" t="str">
        <f>IF($P104="","",IFERROR(IF(INDEX(MASTER!$D$4:$D$1463,$P104)="","",INDEX(MASTER!$D$4:$D$1463,$P104)),""))</f>
        <v/>
      </c>
      <c r="D104" s="19" t="str">
        <f>IF($P104="","",IFERROR(IF(INDEX(MASTER!$E$4:$E$1463,$P104)="","",INDEX(MASTER!$E$4:$E$1463,$P104)),""))</f>
        <v>MONK</v>
      </c>
      <c r="E104" s="19" t="str">
        <f>IF($P104="","",IFERROR(IF(INDEX(MASTER!$F$4:$F$1463,$P104)="","",INDEX(MASTER!$F$4:$F$1463,$P104)),""))</f>
        <v>Support</v>
      </c>
      <c r="F104" s="20">
        <f>IF($P104="","",IFERROR(IF(INDEX(MASTER!$G$4:$G$1463,$P104)="","",INDEX(MASTER!$G$4:$G$1463,$P104)),""))</f>
        <v>63741</v>
      </c>
      <c r="G104" s="19" t="str">
        <f>IF($P104="","",IFERROR(IF(INDEX(MASTER!$H$4:$H$1463,$P104)="","",INDEX(MASTER!$H$4:$H$1463,$P104)),""))</f>
        <v>63,000 - 63,999</v>
      </c>
      <c r="H104" s="20">
        <f>IF($P104="","",IFERROR(IF(INDEX(MASTER!$I$4:$I$1463,$P104)="","",INDEX(MASTER!$I$4:$I$1463,$P104)),""))</f>
        <v>8070</v>
      </c>
      <c r="I104" s="19" t="str">
        <f>IF($P104="","",IFERROR(IF(INDEX(MASTER!$J$4:$J$1463,$P104)="","",INDEX(MASTER!$J$4:$J$1463,$P104)),""))</f>
        <v>ELITE</v>
      </c>
      <c r="J104" s="21">
        <f>IF($P104="","",IFERROR(IF(INDEX(MASTER!$L$4:$L$1463,$P104)="","",INDEX(MASTER!$L$4:$L$1463,$P104)),""))</f>
        <v>7.15</v>
      </c>
      <c r="K104" s="21">
        <f>IF($P104="","",IFERROR(IF(INDEX(MASTER!$N$4:$N$1463,$P104)="","",INDEX(MASTER!$N$4:$N$1463,$P104)),""))</f>
        <v>70.099999999999994</v>
      </c>
      <c r="L104" s="19" t="str">
        <f>IF($P104="","",IFERROR(IF(INDEX(MASTER!$O$4:$O$1463,$P104)="","",INDEX(MASTER!$O$4:$O$1463,$P104)),""))</f>
        <v>S</v>
      </c>
      <c r="M104" s="19">
        <f>IF($P104="","",IFERROR(IF(INDEX(MASTER!$Q$4:$Q$1463,$P104)="","",INDEX(MASTER!$Q$4:$Q$1463,$P104)),""))</f>
        <v>23</v>
      </c>
      <c r="N104" s="19" t="str">
        <f>IF($P104="","",IFERROR(IF(INDEX(MASTER!$S$4:$S$1463,$P104)="","",INDEX(MASTER!$S$4:$S$1463,$P104)),""))</f>
        <v>Complete</v>
      </c>
      <c r="P104">
        <f>IFERROR(MATCH($Q$1&amp;"@96",MASTER!$AC$4:$AC$1463,0),"")</f>
        <v>1309</v>
      </c>
    </row>
    <row r="105" spans="1:16">
      <c r="A105" s="15">
        <f>IF($P105="","",97)</f>
        <v>97</v>
      </c>
      <c r="B105" s="14" t="str">
        <f>IF($P105="","",IFERROR(IF(INDEX(MASTER!$C$4:$C$1463,$P105)="","",INDEX(MASTER!$C$4:$C$1463,$P105)),""))</f>
        <v>Zhadow</v>
      </c>
      <c r="C105" s="15" t="str">
        <f>IF($P105="","",IFERROR(IF(INDEX(MASTER!$D$4:$D$1463,$P105)="","",INDEX(MASTER!$D$4:$D$1463,$P105)),""))</f>
        <v/>
      </c>
      <c r="D105" s="15" t="str">
        <f>IF($P105="","",IFERROR(IF(INDEX(MASTER!$E$4:$E$1463,$P105)="","",INDEX(MASTER!$E$4:$E$1463,$P105)),""))</f>
        <v>WARLOCK</v>
      </c>
      <c r="E105" s="15" t="str">
        <f>IF($P105="","",IFERROR(IF(INDEX(MASTER!$F$4:$F$1463,$P105)="","",INDEX(MASTER!$F$4:$F$1463,$P105)),""))</f>
        <v>Control</v>
      </c>
      <c r="F105" s="16">
        <f>IF($P105="","",IFERROR(IF(INDEX(MASTER!$G$4:$G$1463,$P105)="","",INDEX(MASTER!$G$4:$G$1463,$P105)),""))</f>
        <v>62766</v>
      </c>
      <c r="G105" s="15" t="str">
        <f>IF($P105="","",IFERROR(IF(INDEX(MASTER!$H$4:$H$1463,$P105)="","",INDEX(MASTER!$H$4:$H$1463,$P105)),""))</f>
        <v>62,000 - 62,999</v>
      </c>
      <c r="H105" s="16">
        <f>IF($P105="","",IFERROR(IF(INDEX(MASTER!$I$4:$I$1463,$P105)="","",INDEX(MASTER!$I$4:$I$1463,$P105)),""))</f>
        <v>3901</v>
      </c>
      <c r="I105" s="15" t="str">
        <f>IF($P105="","",IFERROR(IF(INDEX(MASTER!$J$4:$J$1463,$P105)="","",INDEX(MASTER!$J$4:$J$1463,$P105)),""))</f>
        <v>DEVELOPING</v>
      </c>
      <c r="J105" s="17">
        <f>IF($P105="","",IFERROR(IF(INDEX(MASTER!$L$4:$L$1463,$P105)="","",INDEX(MASTER!$L$4:$L$1463,$P105)),""))</f>
        <v>6.35</v>
      </c>
      <c r="K105" s="17">
        <f>IF($P105="","",IFERROR(IF(INDEX(MASTER!$N$4:$N$1463,$P105)="","",INDEX(MASTER!$N$4:$N$1463,$P105)),""))</f>
        <v>48</v>
      </c>
      <c r="L105" s="15" t="str">
        <f>IF($P105="","",IFERROR(IF(INDEX(MASTER!$O$4:$O$1463,$P105)="","",INDEX(MASTER!$O$4:$O$1463,$P105)),""))</f>
        <v>B</v>
      </c>
      <c r="M105" s="15">
        <f>IF($P105="","",IFERROR(IF(INDEX(MASTER!$Q$4:$Q$1463,$P105)="","",INDEX(MASTER!$Q$4:$Q$1463,$P105)),""))</f>
        <v>76</v>
      </c>
      <c r="N105" s="15" t="str">
        <f>IF($P105="","",IFERROR(IF(INDEX(MASTER!$S$4:$S$1463,$P105)="","",INDEX(MASTER!$S$4:$S$1463,$P105)),""))</f>
        <v>Complete</v>
      </c>
      <c r="P105">
        <f>IFERROR(MATCH($Q$1&amp;"@97",MASTER!$AC$4:$AC$1463,0),"")</f>
        <v>1320</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3" spans="1:16" ht="19.5" customHeight="1">
      <c r="B133" s="91" t="s">
        <v>488</v>
      </c>
      <c r="C133" s="91"/>
      <c r="D133" s="91"/>
      <c r="E133" s="91"/>
      <c r="F133" s="91"/>
      <c r="G133" s="91"/>
    </row>
    <row r="134" spans="1:16" ht="27.75" customHeight="1">
      <c r="B134" s="108" t="s">
        <v>68</v>
      </c>
      <c r="C134" s="108"/>
      <c r="D134" s="13" t="s">
        <v>69</v>
      </c>
      <c r="E134" s="13" t="s">
        <v>64</v>
      </c>
      <c r="F134" s="13" t="s">
        <v>50</v>
      </c>
      <c r="G134" s="13" t="s">
        <v>51</v>
      </c>
    </row>
    <row r="135" spans="1:16">
      <c r="B135" s="106" t="s">
        <v>71</v>
      </c>
      <c r="C135" s="106"/>
      <c r="D135" s="16" t="str">
        <f>IFERROR(INDEX(SETUP!$B$55:$B$64,MATCH($B135,SETUP!$A$55:$A$64,0)),"-")</f>
        <v>Frontline</v>
      </c>
      <c r="E135" s="16">
        <f>COUNTIFS(MASTER!$B:$B,$Q$1,MASTER!$E:$E,$B135)</f>
        <v>16</v>
      </c>
      <c r="F135" s="16">
        <f>IFERROR(ROUND(AVERAGEIFS(MASTER!$I:$I,MASTER!$B:$B,$Q$1,MASTER!$E:$E,$B135),0),"-")</f>
        <v>5650</v>
      </c>
      <c r="G135" s="16">
        <f>IF($E135=0,"-",IFERROR(_xlfn.MAXIFS(MASTER!$I:$I,MASTER!$B:$B,$Q$1,MASTER!$E:$E,$B135),"-"))</f>
        <v>10277</v>
      </c>
    </row>
    <row r="136" spans="1:16">
      <c r="B136" s="105" t="s">
        <v>72</v>
      </c>
      <c r="C136" s="105"/>
      <c r="D136" s="20" t="str">
        <f>IFERROR(INDEX(SETUP!$B$55:$B$64,MATCH($B136,SETUP!$A$55:$A$64,0)),"-")</f>
        <v>Frontline</v>
      </c>
      <c r="E136" s="20">
        <f>COUNTIFS(MASTER!$B:$B,$Q$1,MASTER!$E:$E,$B136)</f>
        <v>5</v>
      </c>
      <c r="F136" s="20">
        <f>IFERROR(ROUND(AVERAGEIFS(MASTER!$I:$I,MASTER!$B:$B,$Q$1,MASTER!$E:$E,$B136),0),"-")</f>
        <v>7689</v>
      </c>
      <c r="G136" s="20">
        <f>IF($E136=0,"-",IFERROR(_xlfn.MAXIFS(MASTER!$I:$I,MASTER!$B:$B,$Q$1,MASTER!$E:$E,$B136),"-"))</f>
        <v>12383</v>
      </c>
    </row>
    <row r="137" spans="1:16">
      <c r="B137" s="106" t="s">
        <v>73</v>
      </c>
      <c r="C137" s="106"/>
      <c r="D137" s="16" t="str">
        <f>IFERROR(INDEX(SETUP!$B$55:$B$64,MATCH($B137,SETUP!$A$55:$A$64,0)),"-")</f>
        <v>Frontline</v>
      </c>
      <c r="E137" s="16">
        <f>COUNTIFS(MASTER!$B:$B,$Q$1,MASTER!$E:$E,$B137)</f>
        <v>11</v>
      </c>
      <c r="F137" s="16">
        <f>IFERROR(ROUND(AVERAGEIFS(MASTER!$I:$I,MASTER!$B:$B,$Q$1,MASTER!$E:$E,$B137),0),"-")</f>
        <v>6911</v>
      </c>
      <c r="G137" s="16">
        <f>IF($E137=0,"-",IFERROR(_xlfn.MAXIFS(MASTER!$I:$I,MASTER!$B:$B,$Q$1,MASTER!$E:$E,$B137),"-"))</f>
        <v>11256</v>
      </c>
    </row>
    <row r="138" spans="1:16">
      <c r="B138" s="105" t="s">
        <v>74</v>
      </c>
      <c r="C138" s="105"/>
      <c r="D138" s="20" t="str">
        <f>IFERROR(INDEX(SETUP!$B$55:$B$64,MATCH($B138,SETUP!$A$55:$A$64,0)),"-")</f>
        <v>Ranged DPS</v>
      </c>
      <c r="E138" s="20">
        <f>COUNTIFS(MASTER!$B:$B,$Q$1,MASTER!$E:$E,$B138)</f>
        <v>16</v>
      </c>
      <c r="F138" s="20">
        <f>IFERROR(ROUND(AVERAGEIFS(MASTER!$I:$I,MASTER!$B:$B,$Q$1,MASTER!$E:$E,$B138),0),"-")</f>
        <v>6204</v>
      </c>
      <c r="G138" s="20">
        <f>IF($E138=0,"-",IFERROR(_xlfn.MAXIFS(MASTER!$I:$I,MASTER!$B:$B,$Q$1,MASTER!$E:$E,$B138),"-"))</f>
        <v>10345</v>
      </c>
    </row>
    <row r="139" spans="1:16">
      <c r="B139" s="106" t="s">
        <v>75</v>
      </c>
      <c r="C139" s="106"/>
      <c r="D139" s="16" t="str">
        <f>IFERROR(INDEX(SETUP!$B$55:$B$64,MATCH($B139,SETUP!$A$55:$A$64,0)),"-")</f>
        <v>Support</v>
      </c>
      <c r="E139" s="16">
        <f>COUNTIFS(MASTER!$B:$B,$Q$1,MASTER!$E:$E,$B139)</f>
        <v>4</v>
      </c>
      <c r="F139" s="16">
        <f>IFERROR(ROUND(AVERAGEIFS(MASTER!$I:$I,MASTER!$B:$B,$Q$1,MASTER!$E:$E,$B139),0),"-")</f>
        <v>4850</v>
      </c>
      <c r="G139" s="16">
        <f>IF($E139=0,"-",IFERROR(_xlfn.MAXIFS(MASTER!$I:$I,MASTER!$B:$B,$Q$1,MASTER!$E:$E,$B139),"-"))</f>
        <v>7373</v>
      </c>
    </row>
    <row r="140" spans="1:16">
      <c r="B140" s="105" t="s">
        <v>76</v>
      </c>
      <c r="C140" s="105"/>
      <c r="D140" s="20" t="str">
        <f>IFERROR(INDEX(SETUP!$B$55:$B$64,MATCH($B140,SETUP!$A$55:$A$64,0)),"-")</f>
        <v>Support</v>
      </c>
      <c r="E140" s="20">
        <f>COUNTIFS(MASTER!$B:$B,$Q$1,MASTER!$E:$E,$B140)</f>
        <v>7</v>
      </c>
      <c r="F140" s="20">
        <f>IFERROR(ROUND(AVERAGEIFS(MASTER!$I:$I,MASTER!$B:$B,$Q$1,MASTER!$E:$E,$B140),0),"-")</f>
        <v>5482</v>
      </c>
      <c r="G140" s="20">
        <f>IF($E140=0,"-",IFERROR(_xlfn.MAXIFS(MASTER!$I:$I,MASTER!$B:$B,$Q$1,MASTER!$E:$E,$B140),"-"))</f>
        <v>10170</v>
      </c>
    </row>
    <row r="141" spans="1:16">
      <c r="B141" s="106" t="s">
        <v>77</v>
      </c>
      <c r="C141" s="106"/>
      <c r="D141" s="16" t="str">
        <f>IFERROR(INDEX(SETUP!$B$55:$B$64,MATCH($B141,SETUP!$A$55:$A$64,0)),"-")</f>
        <v>Control</v>
      </c>
      <c r="E141" s="16">
        <f>COUNTIFS(MASTER!$B:$B,$Q$1,MASTER!$E:$E,$B141)</f>
        <v>3</v>
      </c>
      <c r="F141" s="16">
        <f>IFERROR(ROUND(AVERAGEIFS(MASTER!$I:$I,MASTER!$B:$B,$Q$1,MASTER!$E:$E,$B141),0),"-")</f>
        <v>4617</v>
      </c>
      <c r="G141" s="16">
        <f>IF($E141=0,"-",IFERROR(_xlfn.MAXIFS(MASTER!$I:$I,MASTER!$B:$B,$Q$1,MASTER!$E:$E,$B141),"-"))</f>
        <v>7051</v>
      </c>
    </row>
    <row r="142" spans="1:16">
      <c r="B142" s="105" t="s">
        <v>78</v>
      </c>
      <c r="C142" s="105"/>
      <c r="D142" s="20" t="str">
        <f>IFERROR(INDEX(SETUP!$B$55:$B$64,MATCH($B142,SETUP!$A$55:$A$64,0)),"-")</f>
        <v>Melee DPS</v>
      </c>
      <c r="E142" s="20">
        <f>COUNTIFS(MASTER!$B:$B,$Q$1,MASTER!$E:$E,$B142)</f>
        <v>3</v>
      </c>
      <c r="F142" s="20">
        <f>IFERROR(ROUND(AVERAGEIFS(MASTER!$I:$I,MASTER!$B:$B,$Q$1,MASTER!$E:$E,$B142),0),"-")</f>
        <v>6110</v>
      </c>
      <c r="G142" s="20">
        <f>IF($E142=0,"-",IFERROR(_xlfn.MAXIFS(MASTER!$I:$I,MASTER!$B:$B,$Q$1,MASTER!$E:$E,$B142),"-"))</f>
        <v>9255</v>
      </c>
    </row>
    <row r="143" spans="1:16">
      <c r="B143" s="106" t="s">
        <v>79</v>
      </c>
      <c r="C143" s="106"/>
      <c r="D143" s="16" t="str">
        <f>IFERROR(INDEX(SETUP!$B$55:$B$64,MATCH($B143,SETUP!$A$55:$A$64,0)),"-")</f>
        <v>Control</v>
      </c>
      <c r="E143" s="16">
        <f>COUNTIFS(MASTER!$B:$B,$Q$1,MASTER!$E:$E,$B143)</f>
        <v>28</v>
      </c>
      <c r="F143" s="16">
        <f>IFERROR(ROUND(AVERAGEIFS(MASTER!$I:$I,MASTER!$B:$B,$Q$1,MASTER!$E:$E,$B143),0),"-")</f>
        <v>5817</v>
      </c>
      <c r="G143" s="16">
        <f>IF($E143=0,"-",IFERROR(_xlfn.MAXIFS(MASTER!$I:$I,MASTER!$B:$B,$Q$1,MASTER!$E:$E,$B143),"-"))</f>
        <v>11448</v>
      </c>
    </row>
    <row r="144" spans="1:16">
      <c r="B144" s="105" t="s">
        <v>80</v>
      </c>
      <c r="C144" s="105"/>
      <c r="D144" s="20" t="str">
        <f>IFERROR(INDEX(SETUP!$B$55:$B$64,MATCH($B144,SETUP!$A$55:$A$64,0)),"-")</f>
        <v>Ranged DPS</v>
      </c>
      <c r="E144" s="20">
        <f>COUNTIFS(MASTER!$B:$B,$Q$1,MASTER!$E:$E,$B144)</f>
        <v>4</v>
      </c>
      <c r="F144" s="20">
        <f>IFERROR(ROUND(AVERAGEIFS(MASTER!$I:$I,MASTER!$B:$B,$Q$1,MASTER!$E:$E,$B144),0),"-")</f>
        <v>7634</v>
      </c>
      <c r="G144" s="20">
        <f>IF($E144=0,"-",IFERROR(_xlfn.MAXIFS(MASTER!$I:$I,MASTER!$B:$B,$Q$1,MASTER!$E:$E,$B144),"-"))</f>
        <v>11185</v>
      </c>
    </row>
  </sheetData>
  <autoFilter ref="A8:N130" xr:uid="{00000000-0009-0000-0000-00000D000000}"/>
  <mergeCells count="29">
    <mergeCell ref="A1:N1"/>
    <mergeCell ref="A2:N2"/>
    <mergeCell ref="A4:B4"/>
    <mergeCell ref="C4:D4"/>
    <mergeCell ref="E4:F4"/>
    <mergeCell ref="G4:H4"/>
    <mergeCell ref="I4:J4"/>
    <mergeCell ref="K4:L4"/>
    <mergeCell ref="M4:N4"/>
    <mergeCell ref="K5:L5"/>
    <mergeCell ref="M5:N5"/>
    <mergeCell ref="A7:N7"/>
    <mergeCell ref="B133:G133"/>
    <mergeCell ref="B134:C134"/>
    <mergeCell ref="A5:B5"/>
    <mergeCell ref="C5:D5"/>
    <mergeCell ref="E5:F5"/>
    <mergeCell ref="G5:H5"/>
    <mergeCell ref="I5:J5"/>
    <mergeCell ref="B135:C135"/>
    <mergeCell ref="B136:C136"/>
    <mergeCell ref="B137:C137"/>
    <mergeCell ref="B138:C138"/>
    <mergeCell ref="B139:C139"/>
    <mergeCell ref="B140:C140"/>
    <mergeCell ref="B141:C141"/>
    <mergeCell ref="B142:C142"/>
    <mergeCell ref="B143:C143"/>
    <mergeCell ref="B144:C144"/>
  </mergeCells>
  <conditionalFormatting sqref="H9:H130">
    <cfRule type="colorScale" priority="2">
      <colorScale>
        <cfvo type="num" val="0"/>
        <cfvo type="num" val="5000"/>
        <cfvo type="num" val="12600"/>
        <color rgb="FFF8CBAD"/>
        <color rgb="FFFFE699"/>
        <color rgb="FFA9D08E"/>
      </colorScale>
    </cfRule>
  </conditionalFormatting>
  <conditionalFormatting sqref="N9:N130">
    <cfRule type="cellIs" dxfId="11"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4" evalError="1" twoDigitTextYear="1" numberStoredAsText="1" formula="1" formulaRange="1" unlockedFormula="1" emptyCellReference="1" listDataValidation="1" calculatedColumn="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Q149"/>
  <sheetViews>
    <sheetView showGridLines="0" zoomScaleNormal="100" workbookViewId="0">
      <pane xSplit="1" ySplit="8" topLeftCell="B9" activePane="bottomRight" state="frozen"/>
      <selection pane="topRight" activeCell="B1" sqref="B1"/>
      <selection pane="bottomLeft" activeCell="A9" sqref="A9"/>
      <selection pane="bottomRight" sqref="A1:N1"/>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493</v>
      </c>
      <c r="B1" s="92"/>
      <c r="C1" s="92"/>
      <c r="D1" s="92"/>
      <c r="E1" s="92"/>
      <c r="F1" s="92"/>
      <c r="G1" s="92"/>
      <c r="H1" s="92"/>
      <c r="I1" s="92"/>
      <c r="J1" s="92"/>
      <c r="K1" s="92"/>
      <c r="L1" s="92"/>
      <c r="M1" s="92"/>
      <c r="N1" s="92"/>
      <c r="Q1" t="s">
        <v>110</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102</v>
      </c>
      <c r="B5" s="95"/>
      <c r="C5" s="95">
        <f>COUNTIFS(MASTER!$B:$B,$Q$1,MASTER!$S:$S,"Complete")</f>
        <v>101</v>
      </c>
      <c r="D5" s="95"/>
      <c r="E5" s="95">
        <f>IFERROR(ROUND(AVERAGEIFS(MASTER!$I:$I,MASTER!$B:$B,$Q$1),0),"-")</f>
        <v>5754</v>
      </c>
      <c r="F5" s="95"/>
      <c r="G5" s="95">
        <f>IFERROR(_xlfn.MAXIFS(MASTER!$I:$I,MASTER!$B:$B,$Q$1),"-")</f>
        <v>12511</v>
      </c>
      <c r="H5" s="95"/>
      <c r="I5" s="95">
        <f>COUNTIFS(MASTER!$B:$B,$Q$1,MASTER!$I:$I,"&gt;=10000")</f>
        <v>12</v>
      </c>
      <c r="J5" s="95"/>
      <c r="K5" s="107">
        <f>IFERROR(ROUND(AVERAGEIFS(MASTER!$N:$N,MASTER!$B:$B,$Q$1),1),"-")</f>
        <v>55.6</v>
      </c>
      <c r="L5" s="107"/>
      <c r="M5" s="95">
        <f>IF($Q$1="FUCT","- ours -",IFERROR(ROUND(AVERAGEIFS(MASTER!$I:$I,MASTER!$B:$B,$Q$1)-AVERAGEIF(MASTER!$B:$B,"FUCT",MASTER!$I:$I),0),"-"))</f>
        <v>540</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AhhPuch</v>
      </c>
      <c r="C9" s="15" t="str">
        <f>IF($P9="","",IFERROR(IF(INDEX(MASTER!$D$4:$D$1463,$P9)="","",INDEX(MASTER!$D$4:$D$1463,$P9)),""))</f>
        <v/>
      </c>
      <c r="D9" s="15" t="str">
        <f>IF($P9="","",IFERROR(IF(INDEX(MASTER!$E$4:$E$1463,$P9)="","",INDEX(MASTER!$E$4:$E$1463,$P9)),""))</f>
        <v>BLOOD KNIGHT</v>
      </c>
      <c r="E9" s="15" t="str">
        <f>IF($P9="","",IFERROR(IF(INDEX(MASTER!$F$4:$F$1463,$P9)="","",INDEX(MASTER!$F$4:$F$1463,$P9)),""))</f>
        <v>Frontline</v>
      </c>
      <c r="F9" s="16">
        <f>IF($P9="","",IFERROR(IF(INDEX(MASTER!$G$4:$G$1463,$P9)="","",INDEX(MASTER!$G$4:$G$1463,$P9)),""))</f>
        <v>62929</v>
      </c>
      <c r="G9" s="15" t="str">
        <f>IF($P9="","",IFERROR(IF(INDEX(MASTER!$H$4:$H$1463,$P9)="","",INDEX(MASTER!$H$4:$H$1463,$P9)),""))</f>
        <v>62,000 - 62,999</v>
      </c>
      <c r="H9" s="16">
        <f>IF($P9="","",IFERROR(IF(INDEX(MASTER!$I$4:$I$1463,$P9)="","",INDEX(MASTER!$I$4:$I$1463,$P9)),""))</f>
        <v>8169</v>
      </c>
      <c r="I9" s="15" t="str">
        <f>IF($P9="","",IFERROR(IF(INDEX(MASTER!$J$4:$J$1463,$P9)="","",INDEX(MASTER!$J$4:$J$1463,$P9)),""))</f>
        <v>ELITE</v>
      </c>
      <c r="J9" s="17">
        <f>IF($P9="","",IFERROR(IF(INDEX(MASTER!$L$4:$L$1463,$P9)="","",INDEX(MASTER!$L$4:$L$1463,$P9)),""))</f>
        <v>6.15</v>
      </c>
      <c r="K9" s="17">
        <f>IF($P9="","",IFERROR(IF(INDEX(MASTER!$N$4:$N$1463,$P9)="","",INDEX(MASTER!$N$4:$N$1463,$P9)),""))</f>
        <v>66.8</v>
      </c>
      <c r="L9" s="15" t="str">
        <f>IF($P9="","",IFERROR(IF(INDEX(MASTER!$O$4:$O$1463,$P9)="","",INDEX(MASTER!$O$4:$O$1463,$P9)),""))</f>
        <v>S</v>
      </c>
      <c r="M9" s="15">
        <f>IF($P9="","",IFERROR(IF(INDEX(MASTER!$Q$4:$Q$1463,$P9)="","",INDEX(MASTER!$Q$4:$Q$1463,$P9)),""))</f>
        <v>22</v>
      </c>
      <c r="N9" s="15" t="str">
        <f>IF($P9="","",IFERROR(IF(INDEX(MASTER!$S$4:$S$1463,$P9)="","",INDEX(MASTER!$S$4:$S$1463,$P9)),""))</f>
        <v>Complete</v>
      </c>
      <c r="P9">
        <f>IFERROR(MATCH($Q$1&amp;"@1",MASTER!$AC$4:$AC$1463,0),"")</f>
        <v>27</v>
      </c>
    </row>
    <row r="10" spans="1:17">
      <c r="A10" s="19">
        <f>IF($P10="","",2)</f>
        <v>2</v>
      </c>
      <c r="B10" s="18" t="str">
        <f>IF($P10="","",IFERROR(IF(INDEX(MASTER!$C$4:$C$1463,$P10)="","",INDEX(MASTER!$C$4:$C$1463,$P10)),""))</f>
        <v>Ali</v>
      </c>
      <c r="C10" s="19" t="str">
        <f>IF($P10="","",IFERROR(IF(INDEX(MASTER!$D$4:$D$1463,$P10)="","",INDEX(MASTER!$D$4:$D$1463,$P10)),""))</f>
        <v/>
      </c>
      <c r="D10" s="19" t="str">
        <f>IF($P10="","",IFERROR(IF(INDEX(MASTER!$E$4:$E$1463,$P10)="","",INDEX(MASTER!$E$4:$E$1463,$P10)),""))</f>
        <v>DRUID</v>
      </c>
      <c r="E10" s="19" t="str">
        <f>IF($P10="","",IFERROR(IF(INDEX(MASTER!$F$4:$F$1463,$P10)="","",INDEX(MASTER!$F$4:$F$1463,$P10)),""))</f>
        <v>Support</v>
      </c>
      <c r="F10" s="20">
        <f>IF($P10="","",IFERROR(IF(INDEX(MASTER!$G$4:$G$1463,$P10)="","",INDEX(MASTER!$G$4:$G$1463,$P10)),""))</f>
        <v>64393</v>
      </c>
      <c r="G10" s="19" t="str">
        <f>IF($P10="","",IFERROR(IF(INDEX(MASTER!$H$4:$H$1463,$P10)="","",INDEX(MASTER!$H$4:$H$1463,$P10)),""))</f>
        <v>64,000 +</v>
      </c>
      <c r="H10" s="20">
        <f>IF($P10="","",IFERROR(IF(INDEX(MASTER!$I$4:$I$1463,$P10)="","",INDEX(MASTER!$I$4:$I$1463,$P10)),""))</f>
        <v>9381</v>
      </c>
      <c r="I10" s="19" t="str">
        <f>IF($P10="","",IFERROR(IF(INDEX(MASTER!$J$4:$J$1463,$P10)="","",INDEX(MASTER!$J$4:$J$1463,$P10)),""))</f>
        <v>ELITE</v>
      </c>
      <c r="J10" s="21">
        <f>IF($P10="","",IFERROR(IF(INDEX(MASTER!$L$4:$L$1463,$P10)="","",INDEX(MASTER!$L$4:$L$1463,$P10)),""))</f>
        <v>7.55</v>
      </c>
      <c r="K10" s="21">
        <f>IF($P10="","",IFERROR(IF(INDEX(MASTER!$N$4:$N$1463,$P10)="","",INDEX(MASTER!$N$4:$N$1463,$P10)),""))</f>
        <v>78.3</v>
      </c>
      <c r="L10" s="19" t="str">
        <f>IF($P10="","",IFERROR(IF(INDEX(MASTER!$O$4:$O$1463,$P10)="","",INDEX(MASTER!$O$4:$O$1463,$P10)),""))</f>
        <v>S</v>
      </c>
      <c r="M10" s="19">
        <f>IF($P10="","",IFERROR(IF(INDEX(MASTER!$Q$4:$Q$1463,$P10)="","",INDEX(MASTER!$Q$4:$Q$1463,$P10)),""))</f>
        <v>18</v>
      </c>
      <c r="N10" s="19" t="str">
        <f>IF($P10="","",IFERROR(IF(INDEX(MASTER!$S$4:$S$1463,$P10)="","",INDEX(MASTER!$S$4:$S$1463,$P10)),""))</f>
        <v>Complete</v>
      </c>
      <c r="P10">
        <f>IFERROR(MATCH($Q$1&amp;"@2",MASTER!$AC$4:$AC$1463,0),"")</f>
        <v>34</v>
      </c>
    </row>
    <row r="11" spans="1:17">
      <c r="A11" s="15">
        <f>IF($P11="","",3)</f>
        <v>3</v>
      </c>
      <c r="B11" s="14" t="str">
        <f>IF($P11="","",IFERROR(IF(INDEX(MASTER!$C$4:$C$1463,$P11)="","",INDEX(MASTER!$C$4:$C$1463,$P11)),""))</f>
        <v>AMBER</v>
      </c>
      <c r="C11" s="15" t="str">
        <f>IF($P11="","",IFERROR(IF(INDEX(MASTER!$D$4:$D$1463,$P11)="","",INDEX(MASTER!$D$4:$D$1463,$P11)),""))</f>
        <v>TEMU</v>
      </c>
      <c r="D11" s="15" t="str">
        <f>IF($P11="","",IFERROR(IF(INDEX(MASTER!$E$4:$E$1463,$P11)="","",INDEX(MASTER!$E$4:$E$1463,$P11)),""))</f>
        <v>CRUSADER</v>
      </c>
      <c r="E11" s="15" t="str">
        <f>IF($P11="","",IFERROR(IF(INDEX(MASTER!$F$4:$F$1463,$P11)="","",INDEX(MASTER!$F$4:$F$1463,$P11)),""))</f>
        <v>Frontline</v>
      </c>
      <c r="F11" s="16">
        <f>IF($P11="","",IFERROR(IF(INDEX(MASTER!$G$4:$G$1463,$P11)="","",INDEX(MASTER!$G$4:$G$1463,$P11)),""))</f>
        <v>64220</v>
      </c>
      <c r="G11" s="15" t="str">
        <f>IF($P11="","",IFERROR(IF(INDEX(MASTER!$H$4:$H$1463,$P11)="","",INDEX(MASTER!$H$4:$H$1463,$P11)),""))</f>
        <v>64,000 +</v>
      </c>
      <c r="H11" s="16">
        <f>IF($P11="","",IFERROR(IF(INDEX(MASTER!$I$4:$I$1463,$P11)="","",INDEX(MASTER!$I$4:$I$1463,$P11)),""))</f>
        <v>12511</v>
      </c>
      <c r="I11" s="15" t="str">
        <f>IF($P11="","",IFERROR(IF(INDEX(MASTER!$J$4:$J$1463,$P11)="","",INDEX(MASTER!$J$4:$J$1463,$P11)),""))</f>
        <v>MYTHIC</v>
      </c>
      <c r="J11" s="17">
        <f>IF($P11="","",IFERROR(IF(INDEX(MASTER!$L$4:$L$1463,$P11)="","",INDEX(MASTER!$L$4:$L$1463,$P11)),""))</f>
        <v>9.5500000000000007</v>
      </c>
      <c r="K11" s="17">
        <f>IF($P11="","",IFERROR(IF(INDEX(MASTER!$N$4:$N$1463,$P11)="","",INDEX(MASTER!$N$4:$N$1463,$P11)),""))</f>
        <v>94.8</v>
      </c>
      <c r="L11" s="15" t="str">
        <f>IF($P11="","",IFERROR(IF(INDEX(MASTER!$O$4:$O$1463,$P11)="","",INDEX(MASTER!$O$4:$O$1463,$P11)),""))</f>
        <v>S+</v>
      </c>
      <c r="M11" s="15">
        <f>IF($P11="","",IFERROR(IF(INDEX(MASTER!$Q$4:$Q$1463,$P11)="","",INDEX(MASTER!$Q$4:$Q$1463,$P11)),""))</f>
        <v>1</v>
      </c>
      <c r="N11" s="15" t="str">
        <f>IF($P11="","",IFERROR(IF(INDEX(MASTER!$S$4:$S$1463,$P11)="","",INDEX(MASTER!$S$4:$S$1463,$P11)),""))</f>
        <v>Complete</v>
      </c>
      <c r="P11">
        <f>IFERROR(MATCH($Q$1&amp;"@3",MASTER!$AC$4:$AC$1463,0),"")</f>
        <v>37</v>
      </c>
    </row>
    <row r="12" spans="1:17">
      <c r="A12" s="19">
        <f>IF($P12="","",4)</f>
        <v>4</v>
      </c>
      <c r="B12" s="18" t="str">
        <f>IF($P12="","",IFERROR(IF(INDEX(MASTER!$C$4:$C$1463,$P12)="","",INDEX(MASTER!$C$4:$C$1463,$P12)),""))</f>
        <v>AMBÉRTURD</v>
      </c>
      <c r="C12" s="19" t="str">
        <f>IF($P12="","",IFERROR(IF(INDEX(MASTER!$D$4:$D$1463,$P12)="","",INDEX(MASTER!$D$4:$D$1463,$P12)),""))</f>
        <v/>
      </c>
      <c r="D12" s="19" t="str">
        <f>IF($P12="","",IFERROR(IF(INDEX(MASTER!$E$4:$E$1463,$P12)="","",INDEX(MASTER!$E$4:$E$1463,$P12)),""))</f>
        <v>CRUSADER</v>
      </c>
      <c r="E12" s="19" t="str">
        <f>IF($P12="","",IFERROR(IF(INDEX(MASTER!$F$4:$F$1463,$P12)="","",INDEX(MASTER!$F$4:$F$1463,$P12)),""))</f>
        <v>Frontline</v>
      </c>
      <c r="F12" s="20">
        <f>IF($P12="","",IFERROR(IF(INDEX(MASTER!$G$4:$G$1463,$P12)="","",INDEX(MASTER!$G$4:$G$1463,$P12)),""))</f>
        <v>64216</v>
      </c>
      <c r="G12" s="19" t="str">
        <f>IF($P12="","",IFERROR(IF(INDEX(MASTER!$H$4:$H$1463,$P12)="","",INDEX(MASTER!$H$4:$H$1463,$P12)),""))</f>
        <v>64,000 +</v>
      </c>
      <c r="H12" s="20">
        <f>IF($P12="","",IFERROR(IF(INDEX(MASTER!$I$4:$I$1463,$P12)="","",INDEX(MASTER!$I$4:$I$1463,$P12)),""))</f>
        <v>12511</v>
      </c>
      <c r="I12" s="19" t="str">
        <f>IF($P12="","",IFERROR(IF(INDEX(MASTER!$J$4:$J$1463,$P12)="","",INDEX(MASTER!$J$4:$J$1463,$P12)),""))</f>
        <v>MYTHIC</v>
      </c>
      <c r="J12" s="21">
        <f>IF($P12="","",IFERROR(IF(INDEX(MASTER!$L$4:$L$1463,$P12)="","",INDEX(MASTER!$L$4:$L$1463,$P12)),""))</f>
        <v>9.5</v>
      </c>
      <c r="K12" s="21">
        <f>IF($P12="","",IFERROR(IF(INDEX(MASTER!$N$4:$N$1463,$P12)="","",INDEX(MASTER!$N$4:$N$1463,$P12)),""))</f>
        <v>94.7</v>
      </c>
      <c r="L12" s="19" t="str">
        <f>IF($P12="","",IFERROR(IF(INDEX(MASTER!$O$4:$O$1463,$P12)="","",INDEX(MASTER!$O$4:$O$1463,$P12)),""))</f>
        <v>S+</v>
      </c>
      <c r="M12" s="19">
        <f>IF($P12="","",IFERROR(IF(INDEX(MASTER!$Q$4:$Q$1463,$P12)="","",INDEX(MASTER!$Q$4:$Q$1463,$P12)),""))</f>
        <v>2</v>
      </c>
      <c r="N12" s="19" t="str">
        <f>IF($P12="","",IFERROR(IF(INDEX(MASTER!$S$4:$S$1463,$P12)="","",INDEX(MASTER!$S$4:$S$1463,$P12)),""))</f>
        <v>Complete</v>
      </c>
      <c r="P12">
        <f>IFERROR(MATCH($Q$1&amp;"@4",MASTER!$AC$4:$AC$1463,0),"")</f>
        <v>38</v>
      </c>
    </row>
    <row r="13" spans="1:17">
      <c r="A13" s="15">
        <f>IF($P13="","",5)</f>
        <v>5</v>
      </c>
      <c r="B13" s="14" t="str">
        <f>IF($P13="","",IFERROR(IF(INDEX(MASTER!$C$4:$C$1463,$P13)="","",INDEX(MASTER!$C$4:$C$1463,$P13)),""))</f>
        <v>Arson</v>
      </c>
      <c r="C13" s="15" t="str">
        <f>IF($P13="","",IFERROR(IF(INDEX(MASTER!$D$4:$D$1463,$P13)="","",INDEX(MASTER!$D$4:$D$1463,$P13)),""))</f>
        <v/>
      </c>
      <c r="D13" s="15" t="str">
        <f>IF($P13="","",IFERROR(IF(INDEX(MASTER!$E$4:$E$1463,$P13)="","",INDEX(MASTER!$E$4:$E$1463,$P13)),""))</f>
        <v>TEMPEST</v>
      </c>
      <c r="E13" s="15" t="str">
        <f>IF($P13="","",IFERROR(IF(INDEX(MASTER!$F$4:$F$1463,$P13)="","",INDEX(MASTER!$F$4:$F$1463,$P13)),""))</f>
        <v>Melee DPS</v>
      </c>
      <c r="F13" s="16">
        <f>IF($P13="","",IFERROR(IF(INDEX(MASTER!$G$4:$G$1463,$P13)="","",INDEX(MASTER!$G$4:$G$1463,$P13)),""))</f>
        <v>56994</v>
      </c>
      <c r="G13" s="15" t="str">
        <f>IF($P13="","",IFERROR(IF(INDEX(MASTER!$H$4:$H$1463,$P13)="","",INDEX(MASTER!$H$4:$H$1463,$P13)),""))</f>
        <v>Under 58,000</v>
      </c>
      <c r="H13" s="16">
        <f>IF($P13="","",IFERROR(IF(INDEX(MASTER!$I$4:$I$1463,$P13)="","",INDEX(MASTER!$I$4:$I$1463,$P13)),""))</f>
        <v>3360</v>
      </c>
      <c r="I13" s="15" t="str">
        <f>IF($P13="","",IFERROR(IF(INDEX(MASTER!$J$4:$J$1463,$P13)="","",INDEX(MASTER!$J$4:$J$1463,$P13)),""))</f>
        <v>DEVELOPING</v>
      </c>
      <c r="J13" s="17">
        <f>IF($P13="","",IFERROR(IF(INDEX(MASTER!$L$4:$L$1463,$P13)="","",INDEX(MASTER!$L$4:$L$1463,$P13)),""))</f>
        <v>4</v>
      </c>
      <c r="K13" s="17">
        <f>IF($P13="","",IFERROR(IF(INDEX(MASTER!$N$4:$N$1463,$P13)="","",INDEX(MASTER!$N$4:$N$1463,$P13)),""))</f>
        <v>26.6</v>
      </c>
      <c r="L13" s="15" t="str">
        <f>IF($P13="","",IFERROR(IF(INDEX(MASTER!$O$4:$O$1463,$P13)="","",INDEX(MASTER!$O$4:$O$1463,$P13)),""))</f>
        <v>C</v>
      </c>
      <c r="M13" s="15">
        <f>IF($P13="","",IFERROR(IF(INDEX(MASTER!$Q$4:$Q$1463,$P13)="","",INDEX(MASTER!$Q$4:$Q$1463,$P13)),""))</f>
        <v>80</v>
      </c>
      <c r="N13" s="15" t="str">
        <f>IF($P13="","",IFERROR(IF(INDEX(MASTER!$S$4:$S$1463,$P13)="","",INDEX(MASTER!$S$4:$S$1463,$P13)),""))</f>
        <v>Complete</v>
      </c>
      <c r="P13">
        <f>IFERROR(MATCH($Q$1&amp;"@5",MASTER!$AC$4:$AC$1463,0),"")</f>
        <v>59</v>
      </c>
    </row>
    <row r="14" spans="1:17">
      <c r="A14" s="19">
        <f>IF($P14="","",6)</f>
        <v>6</v>
      </c>
      <c r="B14" s="18" t="str">
        <f>IF($P14="","",IFERROR(IF(INDEX(MASTER!$C$4:$C$1463,$P14)="","",INDEX(MASTER!$C$4:$C$1463,$P14)),""))</f>
        <v>ArtemisMoon</v>
      </c>
      <c r="C14" s="19" t="str">
        <f>IF($P14="","",IFERROR(IF(INDEX(MASTER!$D$4:$D$1463,$P14)="","",INDEX(MASTER!$D$4:$D$1463,$P14)),""))</f>
        <v/>
      </c>
      <c r="D14" s="19" t="str">
        <f>IF($P14="","",IFERROR(IF(INDEX(MASTER!$E$4:$E$1463,$P14)="","",INDEX(MASTER!$E$4:$E$1463,$P14)),""))</f>
        <v>CRUSADER</v>
      </c>
      <c r="E14" s="19" t="str">
        <f>IF($P14="","",IFERROR(IF(INDEX(MASTER!$F$4:$F$1463,$P14)="","",INDEX(MASTER!$F$4:$F$1463,$P14)),""))</f>
        <v>Frontline</v>
      </c>
      <c r="F14" s="20">
        <f>IF($P14="","",IFERROR(IF(INDEX(MASTER!$G$4:$G$1463,$P14)="","",INDEX(MASTER!$G$4:$G$1463,$P14)),""))</f>
        <v>63194</v>
      </c>
      <c r="G14" s="19" t="str">
        <f>IF($P14="","",IFERROR(IF(INDEX(MASTER!$H$4:$H$1463,$P14)="","",INDEX(MASTER!$H$4:$H$1463,$P14)),""))</f>
        <v>63,000 - 63,999</v>
      </c>
      <c r="H14" s="20">
        <f>IF($P14="","",IFERROR(IF(INDEX(MASTER!$I$4:$I$1463,$P14)="","",INDEX(MASTER!$I$4:$I$1463,$P14)),""))</f>
        <v>4150</v>
      </c>
      <c r="I14" s="19" t="str">
        <f>IF($P14="","",IFERROR(IF(INDEX(MASTER!$J$4:$J$1463,$P14)="","",INDEX(MASTER!$J$4:$J$1463,$P14)),""))</f>
        <v>CORE</v>
      </c>
      <c r="J14" s="21">
        <f>IF($P14="","",IFERROR(IF(INDEX(MASTER!$L$4:$L$1463,$P14)="","",INDEX(MASTER!$L$4:$L$1463,$P14)),""))</f>
        <v>4.05</v>
      </c>
      <c r="K14" s="21">
        <f>IF($P14="","",IFERROR(IF(INDEX(MASTER!$N$4:$N$1463,$P14)="","",INDEX(MASTER!$N$4:$N$1463,$P14)),""))</f>
        <v>46.4</v>
      </c>
      <c r="L14" s="19" t="str">
        <f>IF($P14="","",IFERROR(IF(INDEX(MASTER!$O$4:$O$1463,$P14)="","",INDEX(MASTER!$O$4:$O$1463,$P14)),""))</f>
        <v>B</v>
      </c>
      <c r="M14" s="19">
        <f>IF($P14="","",IFERROR(IF(INDEX(MASTER!$Q$4:$Q$1463,$P14)="","",INDEX(MASTER!$Q$4:$Q$1463,$P14)),""))</f>
        <v>62</v>
      </c>
      <c r="N14" s="19" t="str">
        <f>IF($P14="","",IFERROR(IF(INDEX(MASTER!$S$4:$S$1463,$P14)="","",INDEX(MASTER!$S$4:$S$1463,$P14)),""))</f>
        <v>Complete</v>
      </c>
      <c r="P14">
        <f>IFERROR(MATCH($Q$1&amp;"@6",MASTER!$AC$4:$AC$1463,0),"")</f>
        <v>61</v>
      </c>
    </row>
    <row r="15" spans="1:17">
      <c r="A15" s="15">
        <f>IF($P15="","",7)</f>
        <v>7</v>
      </c>
      <c r="B15" s="14" t="str">
        <f>IF($P15="","",IFERROR(IF(INDEX(MASTER!$C$4:$C$1463,$P15)="","",INDEX(MASTER!$C$4:$C$1463,$P15)),""))</f>
        <v>Ashakashi</v>
      </c>
      <c r="C15" s="15" t="str">
        <f>IF($P15="","",IFERROR(IF(INDEX(MASTER!$D$4:$D$1463,$P15)="","",INDEX(MASTER!$D$4:$D$1463,$P15)),""))</f>
        <v/>
      </c>
      <c r="D15" s="15" t="str">
        <f>IF($P15="","",IFERROR(IF(INDEX(MASTER!$E$4:$E$1463,$P15)="","",INDEX(MASTER!$E$4:$E$1463,$P15)),""))</f>
        <v>WIZARD</v>
      </c>
      <c r="E15" s="15" t="str">
        <f>IF($P15="","",IFERROR(IF(INDEX(MASTER!$F$4:$F$1463,$P15)="","",INDEX(MASTER!$F$4:$F$1463,$P15)),""))</f>
        <v>Ranged DPS</v>
      </c>
      <c r="F15" s="16">
        <f>IF($P15="","",IFERROR(IF(INDEX(MASTER!$G$4:$G$1463,$P15)="","",INDEX(MASTER!$G$4:$G$1463,$P15)),""))</f>
        <v>61862</v>
      </c>
      <c r="G15" s="15" t="str">
        <f>IF($P15="","",IFERROR(IF(INDEX(MASTER!$H$4:$H$1463,$P15)="","",INDEX(MASTER!$H$4:$H$1463,$P15)),""))</f>
        <v>61,000 - 61,999</v>
      </c>
      <c r="H15" s="16">
        <f>IF($P15="","",IFERROR(IF(INDEX(MASTER!$I$4:$I$1463,$P15)="","",INDEX(MASTER!$I$4:$I$1463,$P15)),""))</f>
        <v>3520</v>
      </c>
      <c r="I15" s="15" t="str">
        <f>IF($P15="","",IFERROR(IF(INDEX(MASTER!$J$4:$J$1463,$P15)="","",INDEX(MASTER!$J$4:$J$1463,$P15)),""))</f>
        <v>DEVELOPING</v>
      </c>
      <c r="J15" s="17">
        <f>IF($P15="","",IFERROR(IF(INDEX(MASTER!$L$4:$L$1463,$P15)="","",INDEX(MASTER!$L$4:$L$1463,$P15)),""))</f>
        <v>3</v>
      </c>
      <c r="K15" s="17">
        <f>IF($P15="","",IFERROR(IF(INDEX(MASTER!$N$4:$N$1463,$P15)="","",INDEX(MASTER!$N$4:$N$1463,$P15)),""))</f>
        <v>38.4</v>
      </c>
      <c r="L15" s="15" t="str">
        <f>IF($P15="","",IFERROR(IF(INDEX(MASTER!$O$4:$O$1463,$P15)="","",INDEX(MASTER!$O$4:$O$1463,$P15)),""))</f>
        <v>B</v>
      </c>
      <c r="M15" s="15">
        <f>IF($P15="","",IFERROR(IF(INDEX(MASTER!$Q$4:$Q$1463,$P15)="","",INDEX(MASTER!$Q$4:$Q$1463,$P15)),""))</f>
        <v>73</v>
      </c>
      <c r="N15" s="15" t="str">
        <f>IF($P15="","",IFERROR(IF(INDEX(MASTER!$S$4:$S$1463,$P15)="","",INDEX(MASTER!$S$4:$S$1463,$P15)),""))</f>
        <v>Complete</v>
      </c>
      <c r="P15">
        <f>IFERROR(MATCH($Q$1&amp;"@7",MASTER!$AC$4:$AC$1463,0),"")</f>
        <v>64</v>
      </c>
    </row>
    <row r="16" spans="1:17">
      <c r="A16" s="19">
        <f>IF($P16="","",8)</f>
        <v>8</v>
      </c>
      <c r="B16" s="18" t="str">
        <f>IF($P16="","",IFERROR(IF(INDEX(MASTER!$C$4:$C$1463,$P16)="","",INDEX(MASTER!$C$4:$C$1463,$P16)),""))</f>
        <v>aura</v>
      </c>
      <c r="C16" s="19" t="str">
        <f>IF($P16="","",IFERROR(IF(INDEX(MASTER!$D$4:$D$1463,$P16)="","",INDEX(MASTER!$D$4:$D$1463,$P16)),""))</f>
        <v/>
      </c>
      <c r="D16" s="19" t="str">
        <f>IF($P16="","",IFERROR(IF(INDEX(MASTER!$E$4:$E$1463,$P16)="","",INDEX(MASTER!$E$4:$E$1463,$P16)),""))</f>
        <v>DEMON HUNTER</v>
      </c>
      <c r="E16" s="19" t="str">
        <f>IF($P16="","",IFERROR(IF(INDEX(MASTER!$F$4:$F$1463,$P16)="","",INDEX(MASTER!$F$4:$F$1463,$P16)),""))</f>
        <v>Ranged DPS</v>
      </c>
      <c r="F16" s="20">
        <f>IF($P16="","",IFERROR(IF(INDEX(MASTER!$G$4:$G$1463,$P16)="","",INDEX(MASTER!$G$4:$G$1463,$P16)),""))</f>
        <v>62199</v>
      </c>
      <c r="G16" s="19" t="str">
        <f>IF($P16="","",IFERROR(IF(INDEX(MASTER!$H$4:$H$1463,$P16)="","",INDEX(MASTER!$H$4:$H$1463,$P16)),""))</f>
        <v>62,000 - 62,999</v>
      </c>
      <c r="H16" s="20">
        <f>IF($P16="","",IFERROR(IF(INDEX(MASTER!$I$4:$I$1463,$P16)="","",INDEX(MASTER!$I$4:$I$1463,$P16)),""))</f>
        <v>6888</v>
      </c>
      <c r="I16" s="19" t="str">
        <f>IF($P16="","",IFERROR(IF(INDEX(MASTER!$J$4:$J$1463,$P16)="","",INDEX(MASTER!$J$4:$J$1463,$P16)),""))</f>
        <v>VETERAN</v>
      </c>
      <c r="J16" s="21">
        <f>IF($P16="","",IFERROR(IF(INDEX(MASTER!$L$4:$L$1463,$P16)="","",INDEX(MASTER!$L$4:$L$1463,$P16)),""))</f>
        <v>7.9</v>
      </c>
      <c r="K16" s="21">
        <f>IF($P16="","",IFERROR(IF(INDEX(MASTER!$N$4:$N$1463,$P16)="","",INDEX(MASTER!$N$4:$N$1463,$P16)),""))</f>
        <v>62.2</v>
      </c>
      <c r="L16" s="19" t="str">
        <f>IF($P16="","",IFERROR(IF(INDEX(MASTER!$O$4:$O$1463,$P16)="","",INDEX(MASTER!$O$4:$O$1463,$P16)),""))</f>
        <v>A</v>
      </c>
      <c r="M16" s="19">
        <f>IF($P16="","",IFERROR(IF(INDEX(MASTER!$Q$4:$Q$1463,$P16)="","",INDEX(MASTER!$Q$4:$Q$1463,$P16)),""))</f>
        <v>29</v>
      </c>
      <c r="N16" s="19" t="str">
        <f>IF($P16="","",IFERROR(IF(INDEX(MASTER!$S$4:$S$1463,$P16)="","",INDEX(MASTER!$S$4:$S$1463,$P16)),""))</f>
        <v>Complete</v>
      </c>
      <c r="P16">
        <f>IFERROR(MATCH($Q$1&amp;"@8",MASTER!$AC$4:$AC$1463,0),"")</f>
        <v>77</v>
      </c>
    </row>
    <row r="17" spans="1:16">
      <c r="A17" s="15">
        <f>IF($P17="","",9)</f>
        <v>9</v>
      </c>
      <c r="B17" s="14" t="str">
        <f>IF($P17="","",IFERROR(IF(INDEX(MASTER!$C$4:$C$1463,$P17)="","",INDEX(MASTER!$C$4:$C$1463,$P17)),""))</f>
        <v>Avenar</v>
      </c>
      <c r="C17" s="15" t="str">
        <f>IF($P17="","",IFERROR(IF(INDEX(MASTER!$D$4:$D$1463,$P17)="","",INDEX(MASTER!$D$4:$D$1463,$P17)),""))</f>
        <v/>
      </c>
      <c r="D17" s="15" t="str">
        <f>IF($P17="","",IFERROR(IF(INDEX(MASTER!$E$4:$E$1463,$P17)="","",INDEX(MASTER!$E$4:$E$1463,$P17)),""))</f>
        <v>WIZARD</v>
      </c>
      <c r="E17" s="15" t="str">
        <f>IF($P17="","",IFERROR(IF(INDEX(MASTER!$F$4:$F$1463,$P17)="","",INDEX(MASTER!$F$4:$F$1463,$P17)),""))</f>
        <v>Ranged DPS</v>
      </c>
      <c r="F17" s="16">
        <f>IF($P17="","",IFERROR(IF(INDEX(MASTER!$G$4:$G$1463,$P17)="","",INDEX(MASTER!$G$4:$G$1463,$P17)),""))</f>
        <v>61764</v>
      </c>
      <c r="G17" s="15" t="str">
        <f>IF($P17="","",IFERROR(IF(INDEX(MASTER!$H$4:$H$1463,$P17)="","",INDEX(MASTER!$H$4:$H$1463,$P17)),""))</f>
        <v>61,000 - 61,999</v>
      </c>
      <c r="H17" s="16">
        <f>IF($P17="","",IFERROR(IF(INDEX(MASTER!$I$4:$I$1463,$P17)="","",INDEX(MASTER!$I$4:$I$1463,$P17)),""))</f>
        <v>2107</v>
      </c>
      <c r="I17" s="15" t="str">
        <f>IF($P17="","",IFERROR(IF(INDEX(MASTER!$J$4:$J$1463,$P17)="","",INDEX(MASTER!$J$4:$J$1463,$P17)),""))</f>
        <v>DEVELOPING</v>
      </c>
      <c r="J17" s="17">
        <f>IF($P17="","",IFERROR(IF(INDEX(MASTER!$L$4:$L$1463,$P17)="","",INDEX(MASTER!$L$4:$L$1463,$P17)),""))</f>
        <v>4.25</v>
      </c>
      <c r="K17" s="17">
        <f>IF($P17="","",IFERROR(IF(INDEX(MASTER!$N$4:$N$1463,$P17)="","",INDEX(MASTER!$N$4:$N$1463,$P17)),""))</f>
        <v>34.1</v>
      </c>
      <c r="L17" s="15" t="str">
        <f>IF($P17="","",IFERROR(IF(INDEX(MASTER!$O$4:$O$1463,$P17)="","",INDEX(MASTER!$O$4:$O$1463,$P17)),""))</f>
        <v>C</v>
      </c>
      <c r="M17" s="15">
        <f>IF($P17="","",IFERROR(IF(INDEX(MASTER!$Q$4:$Q$1463,$P17)="","",INDEX(MASTER!$Q$4:$Q$1463,$P17)),""))</f>
        <v>101</v>
      </c>
      <c r="N17" s="15" t="str">
        <f>IF($P17="","",IFERROR(IF(INDEX(MASTER!$S$4:$S$1463,$P17)="","",INDEX(MASTER!$S$4:$S$1463,$P17)),""))</f>
        <v>Complete</v>
      </c>
      <c r="P17">
        <f>IFERROR(MATCH($Q$1&amp;"@9",MASTER!$AC$4:$AC$1463,0),"")</f>
        <v>80</v>
      </c>
    </row>
    <row r="18" spans="1:16">
      <c r="A18" s="19">
        <f>IF($P18="","",10)</f>
        <v>10</v>
      </c>
      <c r="B18" s="18" t="str">
        <f>IF($P18="","",IFERROR(IF(INDEX(MASTER!$C$4:$C$1463,$P18)="","",INDEX(MASTER!$C$4:$C$1463,$P18)),""))</f>
        <v>BadDragon</v>
      </c>
      <c r="C18" s="19" t="str">
        <f>IF($P18="","",IFERROR(IF(INDEX(MASTER!$D$4:$D$1463,$P18)="","",INDEX(MASTER!$D$4:$D$1463,$P18)),""))</f>
        <v/>
      </c>
      <c r="D18" s="19" t="str">
        <f>IF($P18="","",IFERROR(IF(INDEX(MASTER!$E$4:$E$1463,$P18)="","",INDEX(MASTER!$E$4:$E$1463,$P18)),""))</f>
        <v>WARLOCK</v>
      </c>
      <c r="E18" s="19" t="str">
        <f>IF($P18="","",IFERROR(IF(INDEX(MASTER!$F$4:$F$1463,$P18)="","",INDEX(MASTER!$F$4:$F$1463,$P18)),""))</f>
        <v>Control</v>
      </c>
      <c r="F18" s="20">
        <f>IF($P18="","",IFERROR(IF(INDEX(MASTER!$G$4:$G$1463,$P18)="","",INDEX(MASTER!$G$4:$G$1463,$P18)),""))</f>
        <v>61660</v>
      </c>
      <c r="G18" s="19" t="str">
        <f>IF($P18="","",IFERROR(IF(INDEX(MASTER!$H$4:$H$1463,$P18)="","",INDEX(MASTER!$H$4:$H$1463,$P18)),""))</f>
        <v>61,000 - 61,999</v>
      </c>
      <c r="H18" s="20">
        <f>IF($P18="","",IFERROR(IF(INDEX(MASTER!$I$4:$I$1463,$P18)="","",INDEX(MASTER!$I$4:$I$1463,$P18)),""))</f>
        <v>3400</v>
      </c>
      <c r="I18" s="19" t="str">
        <f>IF($P18="","",IFERROR(IF(INDEX(MASTER!$J$4:$J$1463,$P18)="","",INDEX(MASTER!$J$4:$J$1463,$P18)),""))</f>
        <v>DEVELOPING</v>
      </c>
      <c r="J18" s="21">
        <f>IF($P18="","",IFERROR(IF(INDEX(MASTER!$L$4:$L$1463,$P18)="","",INDEX(MASTER!$L$4:$L$1463,$P18)),""))</f>
        <v>5.55</v>
      </c>
      <c r="K18" s="21">
        <f>IF($P18="","",IFERROR(IF(INDEX(MASTER!$N$4:$N$1463,$P18)="","",INDEX(MASTER!$N$4:$N$1463,$P18)),""))</f>
        <v>41.6</v>
      </c>
      <c r="L18" s="19" t="str">
        <f>IF($P18="","",IFERROR(IF(INDEX(MASTER!$O$4:$O$1463,$P18)="","",INDEX(MASTER!$O$4:$O$1463,$P18)),""))</f>
        <v>B</v>
      </c>
      <c r="M18" s="19">
        <f>IF($P18="","",IFERROR(IF(INDEX(MASTER!$Q$4:$Q$1463,$P18)="","",INDEX(MASTER!$Q$4:$Q$1463,$P18)),""))</f>
        <v>78</v>
      </c>
      <c r="N18" s="19" t="str">
        <f>IF($P18="","",IFERROR(IF(INDEX(MASTER!$S$4:$S$1463,$P18)="","",INDEX(MASTER!$S$4:$S$1463,$P18)),""))</f>
        <v>Complete</v>
      </c>
      <c r="P18">
        <f>IFERROR(MATCH($Q$1&amp;"@10",MASTER!$AC$4:$AC$1463,0),"")</f>
        <v>101</v>
      </c>
    </row>
    <row r="19" spans="1:16">
      <c r="A19" s="15">
        <f>IF($P19="","",11)</f>
        <v>11</v>
      </c>
      <c r="B19" s="14" t="str">
        <f>IF($P19="","",IFERROR(IF(INDEX(MASTER!$C$4:$C$1463,$P19)="","",INDEX(MASTER!$C$4:$C$1463,$P19)),""))</f>
        <v>Beastkiller247</v>
      </c>
      <c r="C19" s="15" t="str">
        <f>IF($P19="","",IFERROR(IF(INDEX(MASTER!$D$4:$D$1463,$P19)="","",INDEX(MASTER!$D$4:$D$1463,$P19)),""))</f>
        <v/>
      </c>
      <c r="D19" s="15" t="str">
        <f>IF($P19="","",IFERROR(IF(INDEX(MASTER!$E$4:$E$1463,$P19)="","",INDEX(MASTER!$E$4:$E$1463,$P19)),""))</f>
        <v>DEMON HUNTER</v>
      </c>
      <c r="E19" s="15" t="str">
        <f>IF($P19="","",IFERROR(IF(INDEX(MASTER!$F$4:$F$1463,$P19)="","",INDEX(MASTER!$F$4:$F$1463,$P19)),""))</f>
        <v>Ranged DPS</v>
      </c>
      <c r="F19" s="16">
        <f>IF($P19="","",IFERROR(IF(INDEX(MASTER!$G$4:$G$1463,$P19)="","",INDEX(MASTER!$G$4:$G$1463,$P19)),""))</f>
        <v>63641</v>
      </c>
      <c r="G19" s="15" t="str">
        <f>IF($P19="","",IFERROR(IF(INDEX(MASTER!$H$4:$H$1463,$P19)="","",INDEX(MASTER!$H$4:$H$1463,$P19)),""))</f>
        <v>63,000 - 63,999</v>
      </c>
      <c r="H19" s="16">
        <f>IF($P19="","",IFERROR(IF(INDEX(MASTER!$I$4:$I$1463,$P19)="","",INDEX(MASTER!$I$4:$I$1463,$P19)),""))</f>
        <v>5348</v>
      </c>
      <c r="I19" s="15" t="str">
        <f>IF($P19="","",IFERROR(IF(INDEX(MASTER!$J$4:$J$1463,$P19)="","",INDEX(MASTER!$J$4:$J$1463,$P19)),""))</f>
        <v>CORE</v>
      </c>
      <c r="J19" s="17">
        <f>IF($P19="","",IFERROR(IF(INDEX(MASTER!$L$4:$L$1463,$P19)="","",INDEX(MASTER!$L$4:$L$1463,$P19)),""))</f>
        <v>5.2</v>
      </c>
      <c r="K19" s="17">
        <f>IF($P19="","",IFERROR(IF(INDEX(MASTER!$N$4:$N$1463,$P19)="","",INDEX(MASTER!$N$4:$N$1463,$P19)),""))</f>
        <v>54.8</v>
      </c>
      <c r="L19" s="15" t="str">
        <f>IF($P19="","",IFERROR(IF(INDEX(MASTER!$O$4:$O$1463,$P19)="","",INDEX(MASTER!$O$4:$O$1463,$P19)),""))</f>
        <v>A</v>
      </c>
      <c r="M19" s="15">
        <f>IF($P19="","",IFERROR(IF(INDEX(MASTER!$Q$4:$Q$1463,$P19)="","",INDEX(MASTER!$Q$4:$Q$1463,$P19)),""))</f>
        <v>43</v>
      </c>
      <c r="N19" s="15" t="str">
        <f>IF($P19="","",IFERROR(IF(INDEX(MASTER!$S$4:$S$1463,$P19)="","",INDEX(MASTER!$S$4:$S$1463,$P19)),""))</f>
        <v>Complete</v>
      </c>
      <c r="P19">
        <f>IFERROR(MATCH($Q$1&amp;"@11",MASTER!$AC$4:$AC$1463,0),"")</f>
        <v>112</v>
      </c>
    </row>
    <row r="20" spans="1:16">
      <c r="A20" s="19">
        <f>IF($P20="","",12)</f>
        <v>12</v>
      </c>
      <c r="B20" s="18" t="str">
        <f>IF($P20="","",IFERROR(IF(INDEX(MASTER!$C$4:$C$1463,$P20)="","",INDEX(MASTER!$C$4:$C$1463,$P20)),""))</f>
        <v>beermanpig</v>
      </c>
      <c r="C20" s="19" t="str">
        <f>IF($P20="","",IFERROR(IF(INDEX(MASTER!$D$4:$D$1463,$P20)="","",INDEX(MASTER!$D$4:$D$1463,$P20)),""))</f>
        <v/>
      </c>
      <c r="D20" s="19" t="str">
        <f>IF($P20="","",IFERROR(IF(INDEX(MASTER!$E$4:$E$1463,$P20)="","",INDEX(MASTER!$E$4:$E$1463,$P20)),""))</f>
        <v>BARBARIAN</v>
      </c>
      <c r="E20" s="19" t="str">
        <f>IF($P20="","",IFERROR(IF(INDEX(MASTER!$F$4:$F$1463,$P20)="","",INDEX(MASTER!$F$4:$F$1463,$P20)),""))</f>
        <v>Frontline</v>
      </c>
      <c r="F20" s="20">
        <f>IF($P20="","",IFERROR(IF(INDEX(MASTER!$G$4:$G$1463,$P20)="","",INDEX(MASTER!$G$4:$G$1463,$P20)),""))</f>
        <v>61712</v>
      </c>
      <c r="G20" s="19" t="str">
        <f>IF($P20="","",IFERROR(IF(INDEX(MASTER!$H$4:$H$1463,$P20)="","",INDEX(MASTER!$H$4:$H$1463,$P20)),""))</f>
        <v>61,000 - 61,999</v>
      </c>
      <c r="H20" s="20">
        <f>IF($P20="","",IFERROR(IF(INDEX(MASTER!$I$4:$I$1463,$P20)="","",INDEX(MASTER!$I$4:$I$1463,$P20)),""))</f>
        <v>4309</v>
      </c>
      <c r="I20" s="19" t="str">
        <f>IF($P20="","",IFERROR(IF(INDEX(MASTER!$J$4:$J$1463,$P20)="","",INDEX(MASTER!$J$4:$J$1463,$P20)),""))</f>
        <v>CORE</v>
      </c>
      <c r="J20" s="21">
        <f>IF($P20="","",IFERROR(IF(INDEX(MASTER!$L$4:$L$1463,$P20)="","",INDEX(MASTER!$L$4:$L$1463,$P20)),""))</f>
        <v>5.6</v>
      </c>
      <c r="K20" s="21">
        <f>IF($P20="","",IFERROR(IF(INDEX(MASTER!$N$4:$N$1463,$P20)="","",INDEX(MASTER!$N$4:$N$1463,$P20)),""))</f>
        <v>45.8</v>
      </c>
      <c r="L20" s="19" t="str">
        <f>IF($P20="","",IFERROR(IF(INDEX(MASTER!$O$4:$O$1463,$P20)="","",INDEX(MASTER!$O$4:$O$1463,$P20)),""))</f>
        <v>B</v>
      </c>
      <c r="M20" s="19">
        <f>IF($P20="","",IFERROR(IF(INDEX(MASTER!$Q$4:$Q$1463,$P20)="","",INDEX(MASTER!$Q$4:$Q$1463,$P20)),""))</f>
        <v>57</v>
      </c>
      <c r="N20" s="19" t="str">
        <f>IF($P20="","",IFERROR(IF(INDEX(MASTER!$S$4:$S$1463,$P20)="","",INDEX(MASTER!$S$4:$S$1463,$P20)),""))</f>
        <v>Complete</v>
      </c>
      <c r="P20">
        <f>IFERROR(MATCH($Q$1&amp;"@12",MASTER!$AC$4:$AC$1463,0),"")</f>
        <v>113</v>
      </c>
    </row>
    <row r="21" spans="1:16">
      <c r="A21" s="15">
        <f>IF($P21="","",13)</f>
        <v>13</v>
      </c>
      <c r="B21" s="14" t="str">
        <f>IF($P21="","",IFERROR(IF(INDEX(MASTER!$C$4:$C$1463,$P21)="","",INDEX(MASTER!$C$4:$C$1463,$P21)),""))</f>
        <v>Belzedar</v>
      </c>
      <c r="C21" s="15" t="str">
        <f>IF($P21="","",IFERROR(IF(INDEX(MASTER!$D$4:$D$1463,$P21)="","",INDEX(MASTER!$D$4:$D$1463,$P21)),""))</f>
        <v/>
      </c>
      <c r="D21" s="15" t="str">
        <f>IF($P21="","",IFERROR(IF(INDEX(MASTER!$E$4:$E$1463,$P21)="","",INDEX(MASTER!$E$4:$E$1463,$P21)),""))</f>
        <v>BARBARIAN</v>
      </c>
      <c r="E21" s="15" t="str">
        <f>IF($P21="","",IFERROR(IF(INDEX(MASTER!$F$4:$F$1463,$P21)="","",INDEX(MASTER!$F$4:$F$1463,$P21)),""))</f>
        <v>Frontline</v>
      </c>
      <c r="F21" s="16">
        <f>IF($P21="","",IFERROR(IF(INDEX(MASTER!$G$4:$G$1463,$P21)="","",INDEX(MASTER!$G$4:$G$1463,$P21)),""))</f>
        <v>63949</v>
      </c>
      <c r="G21" s="15" t="str">
        <f>IF($P21="","",IFERROR(IF(INDEX(MASTER!$H$4:$H$1463,$P21)="","",INDEX(MASTER!$H$4:$H$1463,$P21)),""))</f>
        <v>63,000 - 63,999</v>
      </c>
      <c r="H21" s="16">
        <f>IF($P21="","",IFERROR(IF(INDEX(MASTER!$I$4:$I$1463,$P21)="","",INDEX(MASTER!$I$4:$I$1463,$P21)),""))</f>
        <v>8160</v>
      </c>
      <c r="I21" s="15" t="str">
        <f>IF($P21="","",IFERROR(IF(INDEX(MASTER!$J$4:$J$1463,$P21)="","",INDEX(MASTER!$J$4:$J$1463,$P21)),""))</f>
        <v>ELITE</v>
      </c>
      <c r="J21" s="17">
        <f>IF($P21="","",IFERROR(IF(INDEX(MASTER!$L$4:$L$1463,$P21)="","",INDEX(MASTER!$L$4:$L$1463,$P21)),""))</f>
        <v>7.1</v>
      </c>
      <c r="K21" s="17">
        <f>IF($P21="","",IFERROR(IF(INDEX(MASTER!$N$4:$N$1463,$P21)="","",INDEX(MASTER!$N$4:$N$1463,$P21)),""))</f>
        <v>71</v>
      </c>
      <c r="L21" s="15" t="str">
        <f>IF($P21="","",IFERROR(IF(INDEX(MASTER!$O$4:$O$1463,$P21)="","",INDEX(MASTER!$O$4:$O$1463,$P21)),""))</f>
        <v>S</v>
      </c>
      <c r="M21" s="15">
        <f>IF($P21="","",IFERROR(IF(INDEX(MASTER!$Q$4:$Q$1463,$P21)="","",INDEX(MASTER!$Q$4:$Q$1463,$P21)),""))</f>
        <v>23</v>
      </c>
      <c r="N21" s="15" t="str">
        <f>IF($P21="","",IFERROR(IF(INDEX(MASTER!$S$4:$S$1463,$P21)="","",INDEX(MASTER!$S$4:$S$1463,$P21)),""))</f>
        <v>Complete</v>
      </c>
      <c r="P21">
        <f>IFERROR(MATCH($Q$1&amp;"@13",MASTER!$AC$4:$AC$1463,0),"")</f>
        <v>122</v>
      </c>
    </row>
    <row r="22" spans="1:16">
      <c r="A22" s="19">
        <f>IF($P22="","",14)</f>
        <v>14</v>
      </c>
      <c r="B22" s="18" t="str">
        <f>IF($P22="","",IFERROR(IF(INDEX(MASTER!$C$4:$C$1463,$P22)="","",INDEX(MASTER!$C$4:$C$1463,$P22)),""))</f>
        <v>Ber3rk3R</v>
      </c>
      <c r="C22" s="19" t="str">
        <f>IF($P22="","",IFERROR(IF(INDEX(MASTER!$D$4:$D$1463,$P22)="","",INDEX(MASTER!$D$4:$D$1463,$P22)),""))</f>
        <v/>
      </c>
      <c r="D22" s="19" t="str">
        <f>IF($P22="","",IFERROR(IF(INDEX(MASTER!$E$4:$E$1463,$P22)="","",INDEX(MASTER!$E$4:$E$1463,$P22)),""))</f>
        <v>BARBARIAN</v>
      </c>
      <c r="E22" s="19" t="str">
        <f>IF($P22="","",IFERROR(IF(INDEX(MASTER!$F$4:$F$1463,$P22)="","",INDEX(MASTER!$F$4:$F$1463,$P22)),""))</f>
        <v>Frontline</v>
      </c>
      <c r="F22" s="20">
        <f>IF($P22="","",IFERROR(IF(INDEX(MASTER!$G$4:$G$1463,$P22)="","",INDEX(MASTER!$G$4:$G$1463,$P22)),""))</f>
        <v>63132</v>
      </c>
      <c r="G22" s="19" t="str">
        <f>IF($P22="","",IFERROR(IF(INDEX(MASTER!$H$4:$H$1463,$P22)="","",INDEX(MASTER!$H$4:$H$1463,$P22)),""))</f>
        <v>63,000 - 63,999</v>
      </c>
      <c r="H22" s="20">
        <f>IF($P22="","",IFERROR(IF(INDEX(MASTER!$I$4:$I$1463,$P22)="","",INDEX(MASTER!$I$4:$I$1463,$P22)),""))</f>
        <v>4155</v>
      </c>
      <c r="I22" s="19" t="str">
        <f>IF($P22="","",IFERROR(IF(INDEX(MASTER!$J$4:$J$1463,$P22)="","",INDEX(MASTER!$J$4:$J$1463,$P22)),""))</f>
        <v>CORE</v>
      </c>
      <c r="J22" s="21">
        <f>IF($P22="","",IFERROR(IF(INDEX(MASTER!$L$4:$L$1463,$P22)="","",INDEX(MASTER!$L$4:$L$1463,$P22)),""))</f>
        <v>6.85</v>
      </c>
      <c r="K22" s="21">
        <f>IF($P22="","",IFERROR(IF(INDEX(MASTER!$N$4:$N$1463,$P22)="","",INDEX(MASTER!$N$4:$N$1463,$P22)),""))</f>
        <v>51</v>
      </c>
      <c r="L22" s="19" t="str">
        <f>IF($P22="","",IFERROR(IF(INDEX(MASTER!$O$4:$O$1463,$P22)="","",INDEX(MASTER!$O$4:$O$1463,$P22)),""))</f>
        <v>A</v>
      </c>
      <c r="M22" s="19">
        <f>IF($P22="","",IFERROR(IF(INDEX(MASTER!$Q$4:$Q$1463,$P22)="","",INDEX(MASTER!$Q$4:$Q$1463,$P22)),""))</f>
        <v>61</v>
      </c>
      <c r="N22" s="19" t="str">
        <f>IF($P22="","",IFERROR(IF(INDEX(MASTER!$S$4:$S$1463,$P22)="","",INDEX(MASTER!$S$4:$S$1463,$P22)),""))</f>
        <v>Complete</v>
      </c>
      <c r="P22">
        <f>IFERROR(MATCH($Q$1&amp;"@14",MASTER!$AC$4:$AC$1463,0),"")</f>
        <v>125</v>
      </c>
    </row>
    <row r="23" spans="1:16">
      <c r="A23" s="15">
        <f>IF($P23="","",15)</f>
        <v>15</v>
      </c>
      <c r="B23" s="14" t="str">
        <f>IF($P23="","",IFERROR(IF(INDEX(MASTER!$C$4:$C$1463,$P23)="","",INDEX(MASTER!$C$4:$C$1463,$P23)),""))</f>
        <v>BigDewy</v>
      </c>
      <c r="C23" s="15" t="str">
        <f>IF($P23="","",IFERROR(IF(INDEX(MASTER!$D$4:$D$1463,$P23)="","",INDEX(MASTER!$D$4:$D$1463,$P23)),""))</f>
        <v/>
      </c>
      <c r="D23" s="15" t="str">
        <f>IF($P23="","",IFERROR(IF(INDEX(MASTER!$E$4:$E$1463,$P23)="","",INDEX(MASTER!$E$4:$E$1463,$P23)),""))</f>
        <v>CRUSADER</v>
      </c>
      <c r="E23" s="15" t="str">
        <f>IF($P23="","",IFERROR(IF(INDEX(MASTER!$F$4:$F$1463,$P23)="","",INDEX(MASTER!$F$4:$F$1463,$P23)),""))</f>
        <v>Frontline</v>
      </c>
      <c r="F23" s="16">
        <f>IF($P23="","",IFERROR(IF(INDEX(MASTER!$G$4:$G$1463,$P23)="","",INDEX(MASTER!$G$4:$G$1463,$P23)),""))</f>
        <v>63260</v>
      </c>
      <c r="G23" s="15" t="str">
        <f>IF($P23="","",IFERROR(IF(INDEX(MASTER!$H$4:$H$1463,$P23)="","",INDEX(MASTER!$H$4:$H$1463,$P23)),""))</f>
        <v>63,000 - 63,999</v>
      </c>
      <c r="H23" s="16">
        <f>IF($P23="","",IFERROR(IF(INDEX(MASTER!$I$4:$I$1463,$P23)="","",INDEX(MASTER!$I$4:$I$1463,$P23)),""))</f>
        <v>7523</v>
      </c>
      <c r="I23" s="15" t="str">
        <f>IF($P23="","",IFERROR(IF(INDEX(MASTER!$J$4:$J$1463,$P23)="","",INDEX(MASTER!$J$4:$J$1463,$P23)),""))</f>
        <v>VETERAN</v>
      </c>
      <c r="J23" s="17">
        <f>IF($P23="","",IFERROR(IF(INDEX(MASTER!$L$4:$L$1463,$P23)="","",INDEX(MASTER!$L$4:$L$1463,$P23)),""))</f>
        <v>5.7</v>
      </c>
      <c r="K23" s="17">
        <f>IF($P23="","",IFERROR(IF(INDEX(MASTER!$N$4:$N$1463,$P23)="","",INDEX(MASTER!$N$4:$N$1463,$P23)),""))</f>
        <v>64.099999999999994</v>
      </c>
      <c r="L23" s="15" t="str">
        <f>IF($P23="","",IFERROR(IF(INDEX(MASTER!$O$4:$O$1463,$P23)="","",INDEX(MASTER!$O$4:$O$1463,$P23)),""))</f>
        <v>A</v>
      </c>
      <c r="M23" s="15">
        <f>IF($P23="","",IFERROR(IF(INDEX(MASTER!$Q$4:$Q$1463,$P23)="","",INDEX(MASTER!$Q$4:$Q$1463,$P23)),""))</f>
        <v>26</v>
      </c>
      <c r="N23" s="15" t="str">
        <f>IF($P23="","",IFERROR(IF(INDEX(MASTER!$S$4:$S$1463,$P23)="","",INDEX(MASTER!$S$4:$S$1463,$P23)),""))</f>
        <v>Complete</v>
      </c>
      <c r="P23">
        <f>IFERROR(MATCH($Q$1&amp;"@15",MASTER!$AC$4:$AC$1463,0),"")</f>
        <v>131</v>
      </c>
    </row>
    <row r="24" spans="1:16">
      <c r="A24" s="19">
        <f>IF($P24="","",16)</f>
        <v>16</v>
      </c>
      <c r="B24" s="18" t="str">
        <f>IF($P24="","",IFERROR(IF(INDEX(MASTER!$C$4:$C$1463,$P24)="","",INDEX(MASTER!$C$4:$C$1463,$P24)),""))</f>
        <v>BigPrixxx</v>
      </c>
      <c r="C24" s="19" t="str">
        <f>IF($P24="","",IFERROR(IF(INDEX(MASTER!$D$4:$D$1463,$P24)="","",INDEX(MASTER!$D$4:$D$1463,$P24)),""))</f>
        <v/>
      </c>
      <c r="D24" s="19" t="str">
        <f>IF($P24="","",IFERROR(IF(INDEX(MASTER!$E$4:$E$1463,$P24)="","",INDEX(MASTER!$E$4:$E$1463,$P24)),""))</f>
        <v>CRUSADER</v>
      </c>
      <c r="E24" s="19" t="str">
        <f>IF($P24="","",IFERROR(IF(INDEX(MASTER!$F$4:$F$1463,$P24)="","",INDEX(MASTER!$F$4:$F$1463,$P24)),""))</f>
        <v>Frontline</v>
      </c>
      <c r="F24" s="20">
        <f>IF($P24="","",IFERROR(IF(INDEX(MASTER!$G$4:$G$1463,$P24)="","",INDEX(MASTER!$G$4:$G$1463,$P24)),""))</f>
        <v>61501</v>
      </c>
      <c r="G24" s="19" t="str">
        <f>IF($P24="","",IFERROR(IF(INDEX(MASTER!$H$4:$H$1463,$P24)="","",INDEX(MASTER!$H$4:$H$1463,$P24)),""))</f>
        <v>61,000 - 61,999</v>
      </c>
      <c r="H24" s="20">
        <f>IF($P24="","",IFERROR(IF(INDEX(MASTER!$I$4:$I$1463,$P24)="","",INDEX(MASTER!$I$4:$I$1463,$P24)),""))</f>
        <v>3478</v>
      </c>
      <c r="I24" s="19" t="str">
        <f>IF($P24="","",IFERROR(IF(INDEX(MASTER!$J$4:$J$1463,$P24)="","",INDEX(MASTER!$J$4:$J$1463,$P24)),""))</f>
        <v>DEVELOPING</v>
      </c>
      <c r="J24" s="21">
        <f>IF($P24="","",IFERROR(IF(INDEX(MASTER!$L$4:$L$1463,$P24)="","",INDEX(MASTER!$L$4:$L$1463,$P24)),""))</f>
        <v>5</v>
      </c>
      <c r="K24" s="21">
        <f>IF($P24="","",IFERROR(IF(INDEX(MASTER!$N$4:$N$1463,$P24)="","",INDEX(MASTER!$N$4:$N$1463,$P24)),""))</f>
        <v>40.6</v>
      </c>
      <c r="L24" s="19" t="str">
        <f>IF($P24="","",IFERROR(IF(INDEX(MASTER!$O$4:$O$1463,$P24)="","",INDEX(MASTER!$O$4:$O$1463,$P24)),""))</f>
        <v>B</v>
      </c>
      <c r="M24" s="19">
        <f>IF($P24="","",IFERROR(IF(INDEX(MASTER!$Q$4:$Q$1463,$P24)="","",INDEX(MASTER!$Q$4:$Q$1463,$P24)),""))</f>
        <v>76</v>
      </c>
      <c r="N24" s="19" t="str">
        <f>IF($P24="","",IFERROR(IF(INDEX(MASTER!$S$4:$S$1463,$P24)="","",INDEX(MASTER!$S$4:$S$1463,$P24)),""))</f>
        <v>Complete</v>
      </c>
      <c r="P24">
        <f>IFERROR(MATCH($Q$1&amp;"@16",MASTER!$AC$4:$AC$1463,0),"")</f>
        <v>134</v>
      </c>
    </row>
    <row r="25" spans="1:16">
      <c r="A25" s="15">
        <f>IF($P25="","",17)</f>
        <v>17</v>
      </c>
      <c r="B25" s="14" t="str">
        <f>IF($P25="","",IFERROR(IF(INDEX(MASTER!$C$4:$C$1463,$P25)="","",INDEX(MASTER!$C$4:$C$1463,$P25)),""))</f>
        <v>Blitzed</v>
      </c>
      <c r="C25" s="15" t="str">
        <f>IF($P25="","",IFERROR(IF(INDEX(MASTER!$D$4:$D$1463,$P25)="","",INDEX(MASTER!$D$4:$D$1463,$P25)),""))</f>
        <v/>
      </c>
      <c r="D25" s="15" t="str">
        <f>IF($P25="","",IFERROR(IF(INDEX(MASTER!$E$4:$E$1463,$P25)="","",INDEX(MASTER!$E$4:$E$1463,$P25)),""))</f>
        <v>MONK</v>
      </c>
      <c r="E25" s="15" t="str">
        <f>IF($P25="","",IFERROR(IF(INDEX(MASTER!$F$4:$F$1463,$P25)="","",INDEX(MASTER!$F$4:$F$1463,$P25)),""))</f>
        <v>Support</v>
      </c>
      <c r="F25" s="16">
        <f>IF($P25="","",IFERROR(IF(INDEX(MASTER!$G$4:$G$1463,$P25)="","",INDEX(MASTER!$G$4:$G$1463,$P25)),""))</f>
        <v>62774</v>
      </c>
      <c r="G25" s="15" t="str">
        <f>IF($P25="","",IFERROR(IF(INDEX(MASTER!$H$4:$H$1463,$P25)="","",INDEX(MASTER!$H$4:$H$1463,$P25)),""))</f>
        <v>62,000 - 62,999</v>
      </c>
      <c r="H25" s="16">
        <f>IF($P25="","",IFERROR(IF(INDEX(MASTER!$I$4:$I$1463,$P25)="","",INDEX(MASTER!$I$4:$I$1463,$P25)),""))</f>
        <v>2988</v>
      </c>
      <c r="I25" s="15" t="str">
        <f>IF($P25="","",IFERROR(IF(INDEX(MASTER!$J$4:$J$1463,$P25)="","",INDEX(MASTER!$J$4:$J$1463,$P25)),""))</f>
        <v>DEVELOPING</v>
      </c>
      <c r="J25" s="17">
        <f>IF($P25="","",IFERROR(IF(INDEX(MASTER!$L$4:$L$1463,$P25)="","",INDEX(MASTER!$L$4:$L$1463,$P25)),""))</f>
        <v>3.75</v>
      </c>
      <c r="K25" s="17">
        <f>IF($P25="","",IFERROR(IF(INDEX(MASTER!$N$4:$N$1463,$P25)="","",INDEX(MASTER!$N$4:$N$1463,$P25)),""))</f>
        <v>39.799999999999997</v>
      </c>
      <c r="L25" s="15" t="str">
        <f>IF($P25="","",IFERROR(IF(INDEX(MASTER!$O$4:$O$1463,$P25)="","",INDEX(MASTER!$O$4:$O$1463,$P25)),""))</f>
        <v>B</v>
      </c>
      <c r="M25" s="15">
        <f>IF($P25="","",IFERROR(IF(INDEX(MASTER!$Q$4:$Q$1463,$P25)="","",INDEX(MASTER!$Q$4:$Q$1463,$P25)),""))</f>
        <v>94</v>
      </c>
      <c r="N25" s="15" t="str">
        <f>IF($P25="","",IFERROR(IF(INDEX(MASTER!$S$4:$S$1463,$P25)="","",INDEX(MASTER!$S$4:$S$1463,$P25)),""))</f>
        <v>Complete</v>
      </c>
      <c r="P25">
        <f>IFERROR(MATCH($Q$1&amp;"@17",MASTER!$AC$4:$AC$1463,0),"")</f>
        <v>144</v>
      </c>
    </row>
    <row r="26" spans="1:16">
      <c r="A26" s="19">
        <f>IF($P26="","",18)</f>
        <v>18</v>
      </c>
      <c r="B26" s="18" t="str">
        <f>IF($P26="","",IFERROR(IF(INDEX(MASTER!$C$4:$C$1463,$P26)="","",INDEX(MASTER!$C$4:$C$1463,$P26)),""))</f>
        <v>Bowncicans</v>
      </c>
      <c r="C26" s="19" t="str">
        <f>IF($P26="","",IFERROR(IF(INDEX(MASTER!$D$4:$D$1463,$P26)="","",INDEX(MASTER!$D$4:$D$1463,$P26)),""))</f>
        <v/>
      </c>
      <c r="D26" s="19" t="str">
        <f>IF($P26="","",IFERROR(IF(INDEX(MASTER!$E$4:$E$1463,$P26)="","",INDEX(MASTER!$E$4:$E$1463,$P26)),""))</f>
        <v>WARLOCK</v>
      </c>
      <c r="E26" s="19" t="str">
        <f>IF($P26="","",IFERROR(IF(INDEX(MASTER!$F$4:$F$1463,$P26)="","",INDEX(MASTER!$F$4:$F$1463,$P26)),""))</f>
        <v>Control</v>
      </c>
      <c r="F26" s="20">
        <f>IF($P26="","",IFERROR(IF(INDEX(MASTER!$G$4:$G$1463,$P26)="","",INDEX(MASTER!$G$4:$G$1463,$P26)),""))</f>
        <v>61999</v>
      </c>
      <c r="G26" s="19" t="str">
        <f>IF($P26="","",IFERROR(IF(INDEX(MASTER!$H$4:$H$1463,$P26)="","",INDEX(MASTER!$H$4:$H$1463,$P26)),""))</f>
        <v>61,000 - 61,999</v>
      </c>
      <c r="H26" s="20">
        <f>IF($P26="","",IFERROR(IF(INDEX(MASTER!$I$4:$I$1463,$P26)="","",INDEX(MASTER!$I$4:$I$1463,$P26)),""))</f>
        <v>4177</v>
      </c>
      <c r="I26" s="19" t="str">
        <f>IF($P26="","",IFERROR(IF(INDEX(MASTER!$J$4:$J$1463,$P26)="","",INDEX(MASTER!$J$4:$J$1463,$P26)),""))</f>
        <v>CORE</v>
      </c>
      <c r="J26" s="21">
        <f>IF($P26="","",IFERROR(IF(INDEX(MASTER!$L$4:$L$1463,$P26)="","",INDEX(MASTER!$L$4:$L$1463,$P26)),""))</f>
        <v>4</v>
      </c>
      <c r="K26" s="21">
        <f>IF($P26="","",IFERROR(IF(INDEX(MASTER!$N$4:$N$1463,$P26)="","",INDEX(MASTER!$N$4:$N$1463,$P26)),""))</f>
        <v>43.3</v>
      </c>
      <c r="L26" s="19" t="str">
        <f>IF($P26="","",IFERROR(IF(INDEX(MASTER!$O$4:$O$1463,$P26)="","",INDEX(MASTER!$O$4:$O$1463,$P26)),""))</f>
        <v>B</v>
      </c>
      <c r="M26" s="19">
        <f>IF($P26="","",IFERROR(IF(INDEX(MASTER!$Q$4:$Q$1463,$P26)="","",INDEX(MASTER!$Q$4:$Q$1463,$P26)),""))</f>
        <v>59</v>
      </c>
      <c r="N26" s="19" t="str">
        <f>IF($P26="","",IFERROR(IF(INDEX(MASTER!$S$4:$S$1463,$P26)="","",INDEX(MASTER!$S$4:$S$1463,$P26)),""))</f>
        <v>Complete</v>
      </c>
      <c r="P26">
        <f>IFERROR(MATCH($Q$1&amp;"@18",MASTER!$AC$4:$AC$1463,0),"")</f>
        <v>167</v>
      </c>
    </row>
    <row r="27" spans="1:16">
      <c r="A27" s="15">
        <f>IF($P27="","",19)</f>
        <v>19</v>
      </c>
      <c r="B27" s="14" t="str">
        <f>IF($P27="","",IFERROR(IF(INDEX(MASTER!$C$4:$C$1463,$P27)="","",INDEX(MASTER!$C$4:$C$1463,$P27)),""))</f>
        <v>BriarRabbit</v>
      </c>
      <c r="C27" s="15" t="str">
        <f>IF($P27="","",IFERROR(IF(INDEX(MASTER!$D$4:$D$1463,$P27)="","",INDEX(MASTER!$D$4:$D$1463,$P27)),""))</f>
        <v/>
      </c>
      <c r="D27" s="15" t="str">
        <f>IF($P27="","",IFERROR(IF(INDEX(MASTER!$E$4:$E$1463,$P27)="","",INDEX(MASTER!$E$4:$E$1463,$P27)),""))</f>
        <v>WARLOCK</v>
      </c>
      <c r="E27" s="15" t="str">
        <f>IF($P27="","",IFERROR(IF(INDEX(MASTER!$F$4:$F$1463,$P27)="","",INDEX(MASTER!$F$4:$F$1463,$P27)),""))</f>
        <v>Control</v>
      </c>
      <c r="F27" s="16">
        <f>IF($P27="","",IFERROR(IF(INDEX(MASTER!$G$4:$G$1463,$P27)="","",INDEX(MASTER!$G$4:$G$1463,$P27)),""))</f>
        <v>61551</v>
      </c>
      <c r="G27" s="15" t="str">
        <f>IF($P27="","",IFERROR(IF(INDEX(MASTER!$H$4:$H$1463,$P27)="","",INDEX(MASTER!$H$4:$H$1463,$P27)),""))</f>
        <v>61,000 - 61,999</v>
      </c>
      <c r="H27" s="16">
        <f>IF($P27="","",IFERROR(IF(INDEX(MASTER!$I$4:$I$1463,$P27)="","",INDEX(MASTER!$I$4:$I$1463,$P27)),""))</f>
        <v>3370</v>
      </c>
      <c r="I27" s="15" t="str">
        <f>IF($P27="","",IFERROR(IF(INDEX(MASTER!$J$4:$J$1463,$P27)="","",INDEX(MASTER!$J$4:$J$1463,$P27)),""))</f>
        <v>DEVELOPING</v>
      </c>
      <c r="J27" s="17">
        <f>IF($P27="","",IFERROR(IF(INDEX(MASTER!$L$4:$L$1463,$P27)="","",INDEX(MASTER!$L$4:$L$1463,$P27)),""))</f>
        <v>3.9</v>
      </c>
      <c r="K27" s="17">
        <f>IF($P27="","",IFERROR(IF(INDEX(MASTER!$N$4:$N$1463,$P27)="","",INDEX(MASTER!$N$4:$N$1463,$P27)),""))</f>
        <v>38.4</v>
      </c>
      <c r="L27" s="15" t="str">
        <f>IF($P27="","",IFERROR(IF(INDEX(MASTER!$O$4:$O$1463,$P27)="","",INDEX(MASTER!$O$4:$O$1463,$P27)),""))</f>
        <v>B</v>
      </c>
      <c r="M27" s="15">
        <f>IF($P27="","",IFERROR(IF(INDEX(MASTER!$Q$4:$Q$1463,$P27)="","",INDEX(MASTER!$Q$4:$Q$1463,$P27)),""))</f>
        <v>79</v>
      </c>
      <c r="N27" s="15" t="str">
        <f>IF($P27="","",IFERROR(IF(INDEX(MASTER!$S$4:$S$1463,$P27)="","",INDEX(MASTER!$S$4:$S$1463,$P27)),""))</f>
        <v>Complete</v>
      </c>
      <c r="P27">
        <f>IFERROR(MATCH($Q$1&amp;"@19",MASTER!$AC$4:$AC$1463,0),"")</f>
        <v>172</v>
      </c>
    </row>
    <row r="28" spans="1:16">
      <c r="A28" s="19">
        <f>IF($P28="","",20)</f>
        <v>20</v>
      </c>
      <c r="B28" s="18" t="str">
        <f>IF($P28="","",IFERROR(IF(INDEX(MASTER!$C$4:$C$1463,$P28)="","",INDEX(MASTER!$C$4:$C$1463,$P28)),""))</f>
        <v>Bygomery</v>
      </c>
      <c r="C28" s="19" t="str">
        <f>IF($P28="","",IFERROR(IF(INDEX(MASTER!$D$4:$D$1463,$P28)="","",INDEX(MASTER!$D$4:$D$1463,$P28)),""))</f>
        <v/>
      </c>
      <c r="D28" s="19" t="str">
        <f>IF($P28="","",IFERROR(IF(INDEX(MASTER!$E$4:$E$1463,$P28)="","",INDEX(MASTER!$E$4:$E$1463,$P28)),""))</f>
        <v>WARLOCK</v>
      </c>
      <c r="E28" s="19" t="str">
        <f>IF($P28="","",IFERROR(IF(INDEX(MASTER!$F$4:$F$1463,$P28)="","",INDEX(MASTER!$F$4:$F$1463,$P28)),""))</f>
        <v>Control</v>
      </c>
      <c r="F28" s="20">
        <f>IF($P28="","",IFERROR(IF(INDEX(MASTER!$G$4:$G$1463,$P28)="","",INDEX(MASTER!$G$4:$G$1463,$P28)),""))</f>
        <v>63552</v>
      </c>
      <c r="G28" s="19" t="str">
        <f>IF($P28="","",IFERROR(IF(INDEX(MASTER!$H$4:$H$1463,$P28)="","",INDEX(MASTER!$H$4:$H$1463,$P28)),""))</f>
        <v>63,000 - 63,999</v>
      </c>
      <c r="H28" s="20">
        <f>IF($P28="","",IFERROR(IF(INDEX(MASTER!$I$4:$I$1463,$P28)="","",INDEX(MASTER!$I$4:$I$1463,$P28)),""))</f>
        <v>4872</v>
      </c>
      <c r="I28" s="19" t="str">
        <f>IF($P28="","",IFERROR(IF(INDEX(MASTER!$J$4:$J$1463,$P28)="","",INDEX(MASTER!$J$4:$J$1463,$P28)),""))</f>
        <v>CORE</v>
      </c>
      <c r="J28" s="21">
        <f>IF($P28="","",IFERROR(IF(INDEX(MASTER!$L$4:$L$1463,$P28)="","",INDEX(MASTER!$L$4:$L$1463,$P28)),""))</f>
        <v>9.5</v>
      </c>
      <c r="K28" s="21">
        <f>IF($P28="","",IFERROR(IF(INDEX(MASTER!$N$4:$N$1463,$P28)="","",INDEX(MASTER!$N$4:$N$1463,$P28)),""))</f>
        <v>59.6</v>
      </c>
      <c r="L28" s="19" t="str">
        <f>IF($P28="","",IFERROR(IF(INDEX(MASTER!$O$4:$O$1463,$P28)="","",INDEX(MASTER!$O$4:$O$1463,$P28)),""))</f>
        <v>A</v>
      </c>
      <c r="M28" s="19">
        <f>IF($P28="","",IFERROR(IF(INDEX(MASTER!$Q$4:$Q$1463,$P28)="","",INDEX(MASTER!$Q$4:$Q$1463,$P28)),""))</f>
        <v>54</v>
      </c>
      <c r="N28" s="19" t="str">
        <f>IF($P28="","",IFERROR(IF(INDEX(MASTER!$S$4:$S$1463,$P28)="","",INDEX(MASTER!$S$4:$S$1463,$P28)),""))</f>
        <v>Complete</v>
      </c>
      <c r="P28">
        <f>IFERROR(MATCH($Q$1&amp;"@20",MASTER!$AC$4:$AC$1463,0),"")</f>
        <v>178</v>
      </c>
    </row>
    <row r="29" spans="1:16">
      <c r="A29" s="15">
        <f>IF($P29="","",21)</f>
        <v>21</v>
      </c>
      <c r="B29" s="14" t="str">
        <f>IF($P29="","",IFERROR(IF(INDEX(MASTER!$C$4:$C$1463,$P29)="","",INDEX(MASTER!$C$4:$C$1463,$P29)),""))</f>
        <v>Cardy</v>
      </c>
      <c r="C29" s="15" t="str">
        <f>IF($P29="","",IFERROR(IF(INDEX(MASTER!$D$4:$D$1463,$P29)="","",INDEX(MASTER!$D$4:$D$1463,$P29)),""))</f>
        <v/>
      </c>
      <c r="D29" s="15" t="str">
        <f>IF($P29="","",IFERROR(IF(INDEX(MASTER!$E$4:$E$1463,$P29)="","",INDEX(MASTER!$E$4:$E$1463,$P29)),""))</f>
        <v>DEMON HUNTER</v>
      </c>
      <c r="E29" s="15" t="str">
        <f>IF($P29="","",IFERROR(IF(INDEX(MASTER!$F$4:$F$1463,$P29)="","",INDEX(MASTER!$F$4:$F$1463,$P29)),""))</f>
        <v>Ranged DPS</v>
      </c>
      <c r="F29" s="16">
        <f>IF($P29="","",IFERROR(IF(INDEX(MASTER!$G$4:$G$1463,$P29)="","",INDEX(MASTER!$G$4:$G$1463,$P29)),""))</f>
        <v>63481</v>
      </c>
      <c r="G29" s="15" t="str">
        <f>IF($P29="","",IFERROR(IF(INDEX(MASTER!$H$4:$H$1463,$P29)="","",INDEX(MASTER!$H$4:$H$1463,$P29)),""))</f>
        <v>63,000 - 63,999</v>
      </c>
      <c r="H29" s="16">
        <f>IF($P29="","",IFERROR(IF(INDEX(MASTER!$I$4:$I$1463,$P29)="","",INDEX(MASTER!$I$4:$I$1463,$P29)),""))</f>
        <v>7392</v>
      </c>
      <c r="I29" s="15" t="str">
        <f>IF($P29="","",IFERROR(IF(INDEX(MASTER!$J$4:$J$1463,$P29)="","",INDEX(MASTER!$J$4:$J$1463,$P29)),""))</f>
        <v>VETERAN</v>
      </c>
      <c r="J29" s="17">
        <f>IF($P29="","",IFERROR(IF(INDEX(MASTER!$L$4:$L$1463,$P29)="","",INDEX(MASTER!$L$4:$L$1463,$P29)),""))</f>
        <v>7.15</v>
      </c>
      <c r="K29" s="17">
        <f>IF($P29="","",IFERROR(IF(INDEX(MASTER!$N$4:$N$1463,$P29)="","",INDEX(MASTER!$N$4:$N$1463,$P29)),""))</f>
        <v>66.5</v>
      </c>
      <c r="L29" s="15" t="str">
        <f>IF($P29="","",IFERROR(IF(INDEX(MASTER!$O$4:$O$1463,$P29)="","",INDEX(MASTER!$O$4:$O$1463,$P29)),""))</f>
        <v>S</v>
      </c>
      <c r="M29" s="15">
        <f>IF($P29="","",IFERROR(IF(INDEX(MASTER!$Q$4:$Q$1463,$P29)="","",INDEX(MASTER!$Q$4:$Q$1463,$P29)),""))</f>
        <v>28</v>
      </c>
      <c r="N29" s="15" t="str">
        <f>IF($P29="","",IFERROR(IF(INDEX(MASTER!$S$4:$S$1463,$P29)="","",INDEX(MASTER!$S$4:$S$1463,$P29)),""))</f>
        <v>Complete</v>
      </c>
      <c r="P29">
        <f>IFERROR(MATCH($Q$1&amp;"@21",MASTER!$AC$4:$AC$1463,0),"")</f>
        <v>195</v>
      </c>
    </row>
    <row r="30" spans="1:16">
      <c r="A30" s="19">
        <f>IF($P30="","",22)</f>
        <v>22</v>
      </c>
      <c r="B30" s="18" t="str">
        <f>IF($P30="","",IFERROR(IF(INDEX(MASTER!$C$4:$C$1463,$P30)="","",INDEX(MASTER!$C$4:$C$1463,$P30)),""))</f>
        <v>Chiqueeta</v>
      </c>
      <c r="C30" s="19" t="str">
        <f>IF($P30="","",IFERROR(IF(INDEX(MASTER!$D$4:$D$1463,$P30)="","",INDEX(MASTER!$D$4:$D$1463,$P30)),""))</f>
        <v/>
      </c>
      <c r="D30" s="19" t="str">
        <f>IF($P30="","",IFERROR(IF(INDEX(MASTER!$E$4:$E$1463,$P30)="","",INDEX(MASTER!$E$4:$E$1463,$P30)),""))</f>
        <v>BARBARIAN</v>
      </c>
      <c r="E30" s="19" t="str">
        <f>IF($P30="","",IFERROR(IF(INDEX(MASTER!$F$4:$F$1463,$P30)="","",INDEX(MASTER!$F$4:$F$1463,$P30)),""))</f>
        <v>Frontline</v>
      </c>
      <c r="F30" s="20">
        <f>IF($P30="","",IFERROR(IF(INDEX(MASTER!$G$4:$G$1463,$P30)="","",INDEX(MASTER!$G$4:$G$1463,$P30)),""))</f>
        <v>62121</v>
      </c>
      <c r="G30" s="19" t="str">
        <f>IF($P30="","",IFERROR(IF(INDEX(MASTER!$H$4:$H$1463,$P30)="","",INDEX(MASTER!$H$4:$H$1463,$P30)),""))</f>
        <v>62,000 - 62,999</v>
      </c>
      <c r="H30" s="20">
        <f>IF($P30="","",IFERROR(IF(INDEX(MASTER!$I$4:$I$1463,$P30)="","",INDEX(MASTER!$I$4:$I$1463,$P30)),""))</f>
        <v>5632</v>
      </c>
      <c r="I30" s="19" t="str">
        <f>IF($P30="","",IFERROR(IF(INDEX(MASTER!$J$4:$J$1463,$P30)="","",INDEX(MASTER!$J$4:$J$1463,$P30)),""))</f>
        <v>CORE</v>
      </c>
      <c r="J30" s="21">
        <f>IF($P30="","",IFERROR(IF(INDEX(MASTER!$L$4:$L$1463,$P30)="","",INDEX(MASTER!$L$4:$L$1463,$P30)),""))</f>
        <v>4.8</v>
      </c>
      <c r="K30" s="21">
        <f>IF($P30="","",IFERROR(IF(INDEX(MASTER!$N$4:$N$1463,$P30)="","",INDEX(MASTER!$N$4:$N$1463,$P30)),""))</f>
        <v>51.3</v>
      </c>
      <c r="L30" s="19" t="str">
        <f>IF($P30="","",IFERROR(IF(INDEX(MASTER!$O$4:$O$1463,$P30)="","",INDEX(MASTER!$O$4:$O$1463,$P30)),""))</f>
        <v>A</v>
      </c>
      <c r="M30" s="19">
        <f>IF($P30="","",IFERROR(IF(INDEX(MASTER!$Q$4:$Q$1463,$P30)="","",INDEX(MASTER!$Q$4:$Q$1463,$P30)),""))</f>
        <v>40</v>
      </c>
      <c r="N30" s="19" t="str">
        <f>IF($P30="","",IFERROR(IF(INDEX(MASTER!$S$4:$S$1463,$P30)="","",INDEX(MASTER!$S$4:$S$1463,$P30)),""))</f>
        <v>Complete</v>
      </c>
      <c r="P30">
        <f>IFERROR(MATCH($Q$1&amp;"@22",MASTER!$AC$4:$AC$1463,0),"")</f>
        <v>207</v>
      </c>
    </row>
    <row r="31" spans="1:16">
      <c r="A31" s="15">
        <f>IF($P31="","",23)</f>
        <v>23</v>
      </c>
      <c r="B31" s="14" t="str">
        <f>IF($P31="","",IFERROR(IF(INDEX(MASTER!$C$4:$C$1463,$P31)="","",INDEX(MASTER!$C$4:$C$1463,$P31)),""))</f>
        <v>Chongke</v>
      </c>
      <c r="C31" s="15" t="str">
        <f>IF($P31="","",IFERROR(IF(INDEX(MASTER!$D$4:$D$1463,$P31)="","",INDEX(MASTER!$D$4:$D$1463,$P31)),""))</f>
        <v/>
      </c>
      <c r="D31" s="15" t="str">
        <f>IF($P31="","",IFERROR(IF(INDEX(MASTER!$E$4:$E$1463,$P31)="","",INDEX(MASTER!$E$4:$E$1463,$P31)),""))</f>
        <v>WARLOCK</v>
      </c>
      <c r="E31" s="15" t="str">
        <f>IF($P31="","",IFERROR(IF(INDEX(MASTER!$F$4:$F$1463,$P31)="","",INDEX(MASTER!$F$4:$F$1463,$P31)),""))</f>
        <v>Control</v>
      </c>
      <c r="F31" s="16">
        <f>IF($P31="","",IFERROR(IF(INDEX(MASTER!$G$4:$G$1463,$P31)="","",INDEX(MASTER!$G$4:$G$1463,$P31)),""))</f>
        <v>63034</v>
      </c>
      <c r="G31" s="15" t="str">
        <f>IF($P31="","",IFERROR(IF(INDEX(MASTER!$H$4:$H$1463,$P31)="","",INDEX(MASTER!$H$4:$H$1463,$P31)),""))</f>
        <v>63,000 - 63,999</v>
      </c>
      <c r="H31" s="16">
        <f>IF($P31="","",IFERROR(IF(INDEX(MASTER!$I$4:$I$1463,$P31)="","",INDEX(MASTER!$I$4:$I$1463,$P31)),""))</f>
        <v>5195</v>
      </c>
      <c r="I31" s="15" t="str">
        <f>IF($P31="","",IFERROR(IF(INDEX(MASTER!$J$4:$J$1463,$P31)="","",INDEX(MASTER!$J$4:$J$1463,$P31)),""))</f>
        <v>CORE</v>
      </c>
      <c r="J31" s="17">
        <f>IF($P31="","",IFERROR(IF(INDEX(MASTER!$L$4:$L$1463,$P31)="","",INDEX(MASTER!$L$4:$L$1463,$P31)),""))</f>
        <v>6.95</v>
      </c>
      <c r="K31" s="17">
        <f>IF($P31="","",IFERROR(IF(INDEX(MASTER!$N$4:$N$1463,$P31)="","",INDEX(MASTER!$N$4:$N$1463,$P31)),""))</f>
        <v>55.4</v>
      </c>
      <c r="L31" s="15" t="str">
        <f>IF($P31="","",IFERROR(IF(INDEX(MASTER!$O$4:$O$1463,$P31)="","",INDEX(MASTER!$O$4:$O$1463,$P31)),""))</f>
        <v>A</v>
      </c>
      <c r="M31" s="15">
        <f>IF($P31="","",IFERROR(IF(INDEX(MASTER!$Q$4:$Q$1463,$P31)="","",INDEX(MASTER!$Q$4:$Q$1463,$P31)),""))</f>
        <v>46</v>
      </c>
      <c r="N31" s="15" t="str">
        <f>IF($P31="","",IFERROR(IF(INDEX(MASTER!$S$4:$S$1463,$P31)="","",INDEX(MASTER!$S$4:$S$1463,$P31)),""))</f>
        <v>Complete</v>
      </c>
      <c r="P31">
        <f>IFERROR(MATCH($Q$1&amp;"@23",MASTER!$AC$4:$AC$1463,0),"")</f>
        <v>209</v>
      </c>
    </row>
    <row r="32" spans="1:16">
      <c r="A32" s="19">
        <f>IF($P32="","",24)</f>
        <v>24</v>
      </c>
      <c r="B32" s="18" t="str">
        <f>IF($P32="","",IFERROR(IF(INDEX(MASTER!$C$4:$C$1463,$P32)="","",INDEX(MASTER!$C$4:$C$1463,$P32)),""))</f>
        <v>CzarinaSchwar</v>
      </c>
      <c r="C32" s="19" t="str">
        <f>IF($P32="","",IFERROR(IF(INDEX(MASTER!$D$4:$D$1463,$P32)="","",INDEX(MASTER!$D$4:$D$1463,$P32)),""))</f>
        <v/>
      </c>
      <c r="D32" s="19" t="str">
        <f>IF($P32="","",IFERROR(IF(INDEX(MASTER!$E$4:$E$1463,$P32)="","",INDEX(MASTER!$E$4:$E$1463,$P32)),""))</f>
        <v>CRUSADER</v>
      </c>
      <c r="E32" s="19" t="str">
        <f>IF($P32="","",IFERROR(IF(INDEX(MASTER!$F$4:$F$1463,$P32)="","",INDEX(MASTER!$F$4:$F$1463,$P32)),""))</f>
        <v>Frontline</v>
      </c>
      <c r="F32" s="20">
        <f>IF($P32="","",IFERROR(IF(INDEX(MASTER!$G$4:$G$1463,$P32)="","",INDEX(MASTER!$G$4:$G$1463,$P32)),""))</f>
        <v>62927</v>
      </c>
      <c r="G32" s="19" t="str">
        <f>IF($P32="","",IFERROR(IF(INDEX(MASTER!$H$4:$H$1463,$P32)="","",INDEX(MASTER!$H$4:$H$1463,$P32)),""))</f>
        <v>62,000 - 62,999</v>
      </c>
      <c r="H32" s="20">
        <f>IF($P32="","",IFERROR(IF(INDEX(MASTER!$I$4:$I$1463,$P32)="","",INDEX(MASTER!$I$4:$I$1463,$P32)),""))</f>
        <v>3510</v>
      </c>
      <c r="I32" s="19" t="str">
        <f>IF($P32="","",IFERROR(IF(INDEX(MASTER!$J$4:$J$1463,$P32)="","",INDEX(MASTER!$J$4:$J$1463,$P32)),""))</f>
        <v>DEVELOPING</v>
      </c>
      <c r="J32" s="21">
        <f>IF($P32="","",IFERROR(IF(INDEX(MASTER!$L$4:$L$1463,$P32)="","",INDEX(MASTER!$L$4:$L$1463,$P32)),""))</f>
        <v>4.7</v>
      </c>
      <c r="K32" s="21">
        <f>IF($P32="","",IFERROR(IF(INDEX(MASTER!$N$4:$N$1463,$P32)="","",INDEX(MASTER!$N$4:$N$1463,$P32)),""))</f>
        <v>44</v>
      </c>
      <c r="L32" s="19" t="str">
        <f>IF($P32="","",IFERROR(IF(INDEX(MASTER!$O$4:$O$1463,$P32)="","",INDEX(MASTER!$O$4:$O$1463,$P32)),""))</f>
        <v>B</v>
      </c>
      <c r="M32" s="19">
        <f>IF($P32="","",IFERROR(IF(INDEX(MASTER!$Q$4:$Q$1463,$P32)="","",INDEX(MASTER!$Q$4:$Q$1463,$P32)),""))</f>
        <v>74</v>
      </c>
      <c r="N32" s="19" t="str">
        <f>IF($P32="","",IFERROR(IF(INDEX(MASTER!$S$4:$S$1463,$P32)="","",INDEX(MASTER!$S$4:$S$1463,$P32)),""))</f>
        <v>Complete</v>
      </c>
      <c r="P32">
        <f>IFERROR(MATCH($Q$1&amp;"@24",MASTER!$AC$4:$AC$1463,0),"")</f>
        <v>242</v>
      </c>
    </row>
    <row r="33" spans="1:16">
      <c r="A33" s="15">
        <f>IF($P33="","",25)</f>
        <v>25</v>
      </c>
      <c r="B33" s="14" t="str">
        <f>IF($P33="","",IFERROR(IF(INDEX(MASTER!$C$4:$C$1463,$P33)="","",INDEX(MASTER!$C$4:$C$1463,$P33)),""))</f>
        <v>DarkCallie</v>
      </c>
      <c r="C33" s="15" t="str">
        <f>IF($P33="","",IFERROR(IF(INDEX(MASTER!$D$4:$D$1463,$P33)="","",INDEX(MASTER!$D$4:$D$1463,$P33)),""))</f>
        <v/>
      </c>
      <c r="D33" s="15" t="str">
        <f>IF($P33="","",IFERROR(IF(INDEX(MASTER!$E$4:$E$1463,$P33)="","",INDEX(MASTER!$E$4:$E$1463,$P33)),""))</f>
        <v>BARBARIAN</v>
      </c>
      <c r="E33" s="15" t="str">
        <f>IF($P33="","",IFERROR(IF(INDEX(MASTER!$F$4:$F$1463,$P33)="","",INDEX(MASTER!$F$4:$F$1463,$P33)),""))</f>
        <v>Frontline</v>
      </c>
      <c r="F33" s="16">
        <f>IF($P33="","",IFERROR(IF(INDEX(MASTER!$G$4:$G$1463,$P33)="","",INDEX(MASTER!$G$4:$G$1463,$P33)),""))</f>
        <v>62742</v>
      </c>
      <c r="G33" s="15" t="str">
        <f>IF($P33="","",IFERROR(IF(INDEX(MASTER!$H$4:$H$1463,$P33)="","",INDEX(MASTER!$H$4:$H$1463,$P33)),""))</f>
        <v>62,000 - 62,999</v>
      </c>
      <c r="H33" s="16">
        <f>IF($P33="","",IFERROR(IF(INDEX(MASTER!$I$4:$I$1463,$P33)="","",INDEX(MASTER!$I$4:$I$1463,$P33)),""))</f>
        <v>5563</v>
      </c>
      <c r="I33" s="15" t="str">
        <f>IF($P33="","",IFERROR(IF(INDEX(MASTER!$J$4:$J$1463,$P33)="","",INDEX(MASTER!$J$4:$J$1463,$P33)),""))</f>
        <v>CORE</v>
      </c>
      <c r="J33" s="17">
        <f>IF($P33="","",IFERROR(IF(INDEX(MASTER!$L$4:$L$1463,$P33)="","",INDEX(MASTER!$L$4:$L$1463,$P33)),""))</f>
        <v>5</v>
      </c>
      <c r="K33" s="17">
        <f>IF($P33="","",IFERROR(IF(INDEX(MASTER!$N$4:$N$1463,$P33)="","",INDEX(MASTER!$N$4:$N$1463,$P33)),""))</f>
        <v>53</v>
      </c>
      <c r="L33" s="15" t="str">
        <f>IF($P33="","",IFERROR(IF(INDEX(MASTER!$O$4:$O$1463,$P33)="","",INDEX(MASTER!$O$4:$O$1463,$P33)),""))</f>
        <v>A</v>
      </c>
      <c r="M33" s="15">
        <f>IF($P33="","",IFERROR(IF(INDEX(MASTER!$Q$4:$Q$1463,$P33)="","",INDEX(MASTER!$Q$4:$Q$1463,$P33)),""))</f>
        <v>41</v>
      </c>
      <c r="N33" s="15" t="str">
        <f>IF($P33="","",IFERROR(IF(INDEX(MASTER!$S$4:$S$1463,$P33)="","",INDEX(MASTER!$S$4:$S$1463,$P33)),""))</f>
        <v>Complete</v>
      </c>
      <c r="P33">
        <f>IFERROR(MATCH($Q$1&amp;"@25",MASTER!$AC$4:$AC$1463,0),"")</f>
        <v>253</v>
      </c>
    </row>
    <row r="34" spans="1:16">
      <c r="A34" s="19">
        <f>IF($P34="","",26)</f>
        <v>26</v>
      </c>
      <c r="B34" s="18" t="str">
        <f>IF($P34="","",IFERROR(IF(INDEX(MASTER!$C$4:$C$1463,$P34)="","",INDEX(MASTER!$C$4:$C$1463,$P34)),""))</f>
        <v>DeathShrieker</v>
      </c>
      <c r="C34" s="19" t="str">
        <f>IF($P34="","",IFERROR(IF(INDEX(MASTER!$D$4:$D$1463,$P34)="","",INDEX(MASTER!$D$4:$D$1463,$P34)),""))</f>
        <v/>
      </c>
      <c r="D34" s="19" t="str">
        <f>IF($P34="","",IFERROR(IF(INDEX(MASTER!$E$4:$E$1463,$P34)="","",INDEX(MASTER!$E$4:$E$1463,$P34)),""))</f>
        <v>BLOOD KNIGHT</v>
      </c>
      <c r="E34" s="19" t="str">
        <f>IF($P34="","",IFERROR(IF(INDEX(MASTER!$F$4:$F$1463,$P34)="","",INDEX(MASTER!$F$4:$F$1463,$P34)),""))</f>
        <v>Frontline</v>
      </c>
      <c r="F34" s="20">
        <f>IF($P34="","",IFERROR(IF(INDEX(MASTER!$G$4:$G$1463,$P34)="","",INDEX(MASTER!$G$4:$G$1463,$P34)),""))</f>
        <v>61954</v>
      </c>
      <c r="G34" s="19" t="str">
        <f>IF($P34="","",IFERROR(IF(INDEX(MASTER!$H$4:$H$1463,$P34)="","",INDEX(MASTER!$H$4:$H$1463,$P34)),""))</f>
        <v>61,000 - 61,999</v>
      </c>
      <c r="H34" s="20">
        <f>IF($P34="","",IFERROR(IF(INDEX(MASTER!$I$4:$I$1463,$P34)="","",INDEX(MASTER!$I$4:$I$1463,$P34)),""))</f>
        <v>3042</v>
      </c>
      <c r="I34" s="19" t="str">
        <f>IF($P34="","",IFERROR(IF(INDEX(MASTER!$J$4:$J$1463,$P34)="","",INDEX(MASTER!$J$4:$J$1463,$P34)),""))</f>
        <v>DEVELOPING</v>
      </c>
      <c r="J34" s="21">
        <f>IF($P34="","",IFERROR(IF(INDEX(MASTER!$L$4:$L$1463,$P34)="","",INDEX(MASTER!$L$4:$L$1463,$P34)),""))</f>
        <v>4.6500000000000004</v>
      </c>
      <c r="K34" s="21">
        <f>IF($P34="","",IFERROR(IF(INDEX(MASTER!$N$4:$N$1463,$P34)="","",INDEX(MASTER!$N$4:$N$1463,$P34)),""))</f>
        <v>39.299999999999997</v>
      </c>
      <c r="L34" s="19" t="str">
        <f>IF($P34="","",IFERROR(IF(INDEX(MASTER!$O$4:$O$1463,$P34)="","",INDEX(MASTER!$O$4:$O$1463,$P34)),""))</f>
        <v>B</v>
      </c>
      <c r="M34" s="19">
        <f>IF($P34="","",IFERROR(IF(INDEX(MASTER!$Q$4:$Q$1463,$P34)="","",INDEX(MASTER!$Q$4:$Q$1463,$P34)),""))</f>
        <v>90</v>
      </c>
      <c r="N34" s="19" t="str">
        <f>IF($P34="","",IFERROR(IF(INDEX(MASTER!$S$4:$S$1463,$P34)="","",INDEX(MASTER!$S$4:$S$1463,$P34)),""))</f>
        <v>Complete</v>
      </c>
      <c r="P34">
        <f>IFERROR(MATCH($Q$1&amp;"@26",MASTER!$AC$4:$AC$1463,0),"")</f>
        <v>268</v>
      </c>
    </row>
    <row r="35" spans="1:16">
      <c r="A35" s="15">
        <f>IF($P35="","",27)</f>
        <v>27</v>
      </c>
      <c r="B35" s="14" t="str">
        <f>IF($P35="","",IFERROR(IF(INDEX(MASTER!$C$4:$C$1463,$P35)="","",INDEX(MASTER!$C$4:$C$1463,$P35)),""))</f>
        <v>DeathsRazor</v>
      </c>
      <c r="C35" s="15" t="str">
        <f>IF($P35="","",IFERROR(IF(INDEX(MASTER!$D$4:$D$1463,$P35)="","",INDEX(MASTER!$D$4:$D$1463,$P35)),""))</f>
        <v/>
      </c>
      <c r="D35" s="15" t="str">
        <f>IF($P35="","",IFERROR(IF(INDEX(MASTER!$E$4:$E$1463,$P35)="","",INDEX(MASTER!$E$4:$E$1463,$P35)),""))</f>
        <v>WARLOCK</v>
      </c>
      <c r="E35" s="15" t="str">
        <f>IF($P35="","",IFERROR(IF(INDEX(MASTER!$F$4:$F$1463,$P35)="","",INDEX(MASTER!$F$4:$F$1463,$P35)),""))</f>
        <v>Control</v>
      </c>
      <c r="F35" s="16">
        <f>IF($P35="","",IFERROR(IF(INDEX(MASTER!$G$4:$G$1463,$P35)="","",INDEX(MASTER!$G$4:$G$1463,$P35)),""))</f>
        <v>63025</v>
      </c>
      <c r="G35" s="15" t="str">
        <f>IF($P35="","",IFERROR(IF(INDEX(MASTER!$H$4:$H$1463,$P35)="","",INDEX(MASTER!$H$4:$H$1463,$P35)),""))</f>
        <v>63,000 - 63,999</v>
      </c>
      <c r="H35" s="16">
        <f>IF($P35="","",IFERROR(IF(INDEX(MASTER!$I$4:$I$1463,$P35)="","",INDEX(MASTER!$I$4:$I$1463,$P35)),""))</f>
        <v>10045</v>
      </c>
      <c r="I35" s="15" t="str">
        <f>IF($P35="","",IFERROR(IF(INDEX(MASTER!$J$4:$J$1463,$P35)="","",INDEX(MASTER!$J$4:$J$1463,$P35)),""))</f>
        <v>APEX</v>
      </c>
      <c r="J35" s="17">
        <f>IF($P35="","",IFERROR(IF(INDEX(MASTER!$L$4:$L$1463,$P35)="","",INDEX(MASTER!$L$4:$L$1463,$P35)),""))</f>
        <v>7.45</v>
      </c>
      <c r="K35" s="17">
        <f>IF($P35="","",IFERROR(IF(INDEX(MASTER!$N$4:$N$1463,$P35)="","",INDEX(MASTER!$N$4:$N$1463,$P35)),""))</f>
        <v>77.400000000000006</v>
      </c>
      <c r="L35" s="15" t="str">
        <f>IF($P35="","",IFERROR(IF(INDEX(MASTER!$O$4:$O$1463,$P35)="","",INDEX(MASTER!$O$4:$O$1463,$P35)),""))</f>
        <v>S</v>
      </c>
      <c r="M35" s="15">
        <f>IF($P35="","",IFERROR(IF(INDEX(MASTER!$Q$4:$Q$1463,$P35)="","",INDEX(MASTER!$Q$4:$Q$1463,$P35)),""))</f>
        <v>11</v>
      </c>
      <c r="N35" s="15" t="str">
        <f>IF($P35="","",IFERROR(IF(INDEX(MASTER!$S$4:$S$1463,$P35)="","",INDEX(MASTER!$S$4:$S$1463,$P35)),""))</f>
        <v>Complete</v>
      </c>
      <c r="P35">
        <f>IFERROR(MATCH($Q$1&amp;"@27",MASTER!$AC$4:$AC$1463,0),"")</f>
        <v>270</v>
      </c>
    </row>
    <row r="36" spans="1:16">
      <c r="A36" s="19">
        <f>IF($P36="","",28)</f>
        <v>28</v>
      </c>
      <c r="B36" s="18" t="str">
        <f>IF($P36="","",IFERROR(IF(INDEX(MASTER!$C$4:$C$1463,$P36)="","",INDEX(MASTER!$C$4:$C$1463,$P36)),""))</f>
        <v>DoozyBubbles</v>
      </c>
      <c r="C36" s="19" t="str">
        <f>IF($P36="","",IFERROR(IF(INDEX(MASTER!$D$4:$D$1463,$P36)="","",INDEX(MASTER!$D$4:$D$1463,$P36)),""))</f>
        <v/>
      </c>
      <c r="D36" s="19" t="str">
        <f>IF($P36="","",IFERROR(IF(INDEX(MASTER!$E$4:$E$1463,$P36)="","",INDEX(MASTER!$E$4:$E$1463,$P36)),""))</f>
        <v>TEMPEST</v>
      </c>
      <c r="E36" s="19" t="str">
        <f>IF($P36="","",IFERROR(IF(INDEX(MASTER!$F$4:$F$1463,$P36)="","",INDEX(MASTER!$F$4:$F$1463,$P36)),""))</f>
        <v>Melee DPS</v>
      </c>
      <c r="F36" s="20">
        <f>IF($P36="","",IFERROR(IF(INDEX(MASTER!$G$4:$G$1463,$P36)="","",INDEX(MASTER!$G$4:$G$1463,$P36)),""))</f>
        <v>61641</v>
      </c>
      <c r="G36" s="19" t="str">
        <f>IF($P36="","",IFERROR(IF(INDEX(MASTER!$H$4:$H$1463,$P36)="","",INDEX(MASTER!$H$4:$H$1463,$P36)),""))</f>
        <v>61,000 - 61,999</v>
      </c>
      <c r="H36" s="20">
        <f>IF($P36="","",IFERROR(IF(INDEX(MASTER!$I$4:$I$1463,$P36)="","",INDEX(MASTER!$I$4:$I$1463,$P36)),""))</f>
        <v>3205</v>
      </c>
      <c r="I36" s="19" t="str">
        <f>IF($P36="","",IFERROR(IF(INDEX(MASTER!$J$4:$J$1463,$P36)="","",INDEX(MASTER!$J$4:$J$1463,$P36)),""))</f>
        <v>DEVELOPING</v>
      </c>
      <c r="J36" s="21">
        <f>IF($P36="","",IFERROR(IF(INDEX(MASTER!$L$4:$L$1463,$P36)="","",INDEX(MASTER!$L$4:$L$1463,$P36)),""))</f>
        <v>5.3</v>
      </c>
      <c r="K36" s="21">
        <f>IF($P36="","",IFERROR(IF(INDEX(MASTER!$N$4:$N$1463,$P36)="","",INDEX(MASTER!$N$4:$N$1463,$P36)),""))</f>
        <v>40.299999999999997</v>
      </c>
      <c r="L36" s="19" t="str">
        <f>IF($P36="","",IFERROR(IF(INDEX(MASTER!$O$4:$O$1463,$P36)="","",INDEX(MASTER!$O$4:$O$1463,$P36)),""))</f>
        <v>B</v>
      </c>
      <c r="M36" s="19">
        <f>IF($P36="","",IFERROR(IF(INDEX(MASTER!$Q$4:$Q$1463,$P36)="","",INDEX(MASTER!$Q$4:$Q$1463,$P36)),""))</f>
        <v>85</v>
      </c>
      <c r="N36" s="19" t="str">
        <f>IF($P36="","",IFERROR(IF(INDEX(MASTER!$S$4:$S$1463,$P36)="","",INDEX(MASTER!$S$4:$S$1463,$P36)),""))</f>
        <v>Complete</v>
      </c>
      <c r="P36">
        <f>IFERROR(MATCH($Q$1&amp;"@28",MASTER!$AC$4:$AC$1463,0),"")</f>
        <v>306</v>
      </c>
    </row>
    <row r="37" spans="1:16">
      <c r="A37" s="15">
        <f>IF($P37="","",29)</f>
        <v>29</v>
      </c>
      <c r="B37" s="14" t="str">
        <f>IF($P37="","",IFERROR(IF(INDEX(MASTER!$C$4:$C$1463,$P37)="","",INDEX(MASTER!$C$4:$C$1463,$P37)),""))</f>
        <v>DrDaggS</v>
      </c>
      <c r="C37" s="15" t="str">
        <f>IF($P37="","",IFERROR(IF(INDEX(MASTER!$D$4:$D$1463,$P37)="","",INDEX(MASTER!$D$4:$D$1463,$P37)),""))</f>
        <v/>
      </c>
      <c r="D37" s="15" t="str">
        <f>IF($P37="","",IFERROR(IF(INDEX(MASTER!$E$4:$E$1463,$P37)="","",INDEX(MASTER!$E$4:$E$1463,$P37)),""))</f>
        <v>BARBARIAN</v>
      </c>
      <c r="E37" s="15" t="str">
        <f>IF($P37="","",IFERROR(IF(INDEX(MASTER!$F$4:$F$1463,$P37)="","",INDEX(MASTER!$F$4:$F$1463,$P37)),""))</f>
        <v>Frontline</v>
      </c>
      <c r="F37" s="16">
        <f>IF($P37="","",IFERROR(IF(INDEX(MASTER!$G$4:$G$1463,$P37)="","",INDEX(MASTER!$G$4:$G$1463,$P37)),""))</f>
        <v>62488</v>
      </c>
      <c r="G37" s="15" t="str">
        <f>IF($P37="","",IFERROR(IF(INDEX(MASTER!$H$4:$H$1463,$P37)="","",INDEX(MASTER!$H$4:$H$1463,$P37)),""))</f>
        <v>62,000 - 62,999</v>
      </c>
      <c r="H37" s="16">
        <f>IF($P37="","",IFERROR(IF(INDEX(MASTER!$I$4:$I$1463,$P37)="","",INDEX(MASTER!$I$4:$I$1463,$P37)),""))</f>
        <v>6063</v>
      </c>
      <c r="I37" s="15" t="str">
        <f>IF($P37="","",IFERROR(IF(INDEX(MASTER!$J$4:$J$1463,$P37)="","",INDEX(MASTER!$J$4:$J$1463,$P37)),""))</f>
        <v>VETERAN</v>
      </c>
      <c r="J37" s="17">
        <f>IF($P37="","",IFERROR(IF(INDEX(MASTER!$L$4:$L$1463,$P37)="","",INDEX(MASTER!$L$4:$L$1463,$P37)),""))</f>
        <v>6.4</v>
      </c>
      <c r="K37" s="17">
        <f>IF($P37="","",IFERROR(IF(INDEX(MASTER!$N$4:$N$1463,$P37)="","",INDEX(MASTER!$N$4:$N$1463,$P37)),""))</f>
        <v>56.8</v>
      </c>
      <c r="L37" s="15" t="str">
        <f>IF($P37="","",IFERROR(IF(INDEX(MASTER!$O$4:$O$1463,$P37)="","",INDEX(MASTER!$O$4:$O$1463,$P37)),""))</f>
        <v>A</v>
      </c>
      <c r="M37" s="15">
        <f>IF($P37="","",IFERROR(IF(INDEX(MASTER!$Q$4:$Q$1463,$P37)="","",INDEX(MASTER!$Q$4:$Q$1463,$P37)),""))</f>
        <v>35</v>
      </c>
      <c r="N37" s="15" t="str">
        <f>IF($P37="","",IFERROR(IF(INDEX(MASTER!$S$4:$S$1463,$P37)="","",INDEX(MASTER!$S$4:$S$1463,$P37)),""))</f>
        <v>Complete</v>
      </c>
      <c r="P37">
        <f>IFERROR(MATCH($Q$1&amp;"@29",MASTER!$AC$4:$AC$1463,0),"")</f>
        <v>313</v>
      </c>
    </row>
    <row r="38" spans="1:16">
      <c r="A38" s="19">
        <f>IF($P38="","",30)</f>
        <v>30</v>
      </c>
      <c r="B38" s="18" t="str">
        <f>IF($P38="","",IFERROR(IF(INDEX(MASTER!$C$4:$C$1463,$P38)="","",INDEX(MASTER!$C$4:$C$1463,$P38)),""))</f>
        <v>Drommas</v>
      </c>
      <c r="C38" s="19" t="str">
        <f>IF($P38="","",IFERROR(IF(INDEX(MASTER!$D$4:$D$1463,$P38)="","",INDEX(MASTER!$D$4:$D$1463,$P38)),""))</f>
        <v/>
      </c>
      <c r="D38" s="19" t="str">
        <f>IF($P38="","",IFERROR(IF(INDEX(MASTER!$E$4:$E$1463,$P38)="","",INDEX(MASTER!$E$4:$E$1463,$P38)),""))</f>
        <v>CRUSADER</v>
      </c>
      <c r="E38" s="19" t="str">
        <f>IF($P38="","",IFERROR(IF(INDEX(MASTER!$F$4:$F$1463,$P38)="","",INDEX(MASTER!$F$4:$F$1463,$P38)),""))</f>
        <v>Frontline</v>
      </c>
      <c r="F38" s="20">
        <f>IF($P38="","",IFERROR(IF(INDEX(MASTER!$G$4:$G$1463,$P38)="","",INDEX(MASTER!$G$4:$G$1463,$P38)),""))</f>
        <v>62920</v>
      </c>
      <c r="G38" s="19" t="str">
        <f>IF($P38="","",IFERROR(IF(INDEX(MASTER!$H$4:$H$1463,$P38)="","",INDEX(MASTER!$H$4:$H$1463,$P38)),""))</f>
        <v>62,000 - 62,999</v>
      </c>
      <c r="H38" s="20">
        <f>IF($P38="","",IFERROR(IF(INDEX(MASTER!$I$4:$I$1463,$P38)="","",INDEX(MASTER!$I$4:$I$1463,$P38)),""))</f>
        <v>5258</v>
      </c>
      <c r="I38" s="19" t="str">
        <f>IF($P38="","",IFERROR(IF(INDEX(MASTER!$J$4:$J$1463,$P38)="","",INDEX(MASTER!$J$4:$J$1463,$P38)),""))</f>
        <v>CORE</v>
      </c>
      <c r="J38" s="21">
        <f>IF($P38="","",IFERROR(IF(INDEX(MASTER!$L$4:$L$1463,$P38)="","",INDEX(MASTER!$L$4:$L$1463,$P38)),""))</f>
        <v>5.5</v>
      </c>
      <c r="K38" s="21">
        <f>IF($P38="","",IFERROR(IF(INDEX(MASTER!$N$4:$N$1463,$P38)="","",INDEX(MASTER!$N$4:$N$1463,$P38)),""))</f>
        <v>53</v>
      </c>
      <c r="L38" s="19" t="str">
        <f>IF($P38="","",IFERROR(IF(INDEX(MASTER!$O$4:$O$1463,$P38)="","",INDEX(MASTER!$O$4:$O$1463,$P38)),""))</f>
        <v>A</v>
      </c>
      <c r="M38" s="19">
        <f>IF($P38="","",IFERROR(IF(INDEX(MASTER!$Q$4:$Q$1463,$P38)="","",INDEX(MASTER!$Q$4:$Q$1463,$P38)),""))</f>
        <v>44</v>
      </c>
      <c r="N38" s="19" t="str">
        <f>IF($P38="","",IFERROR(IF(INDEX(MASTER!$S$4:$S$1463,$P38)="","",INDEX(MASTER!$S$4:$S$1463,$P38)),""))</f>
        <v>Complete</v>
      </c>
      <c r="P38">
        <f>IFERROR(MATCH($Q$1&amp;"@30",MASTER!$AC$4:$AC$1463,0),"")</f>
        <v>318</v>
      </c>
    </row>
    <row r="39" spans="1:16">
      <c r="A39" s="15">
        <f>IF($P39="","",31)</f>
        <v>31</v>
      </c>
      <c r="B39" s="14" t="str">
        <f>IF($P39="","",IFERROR(IF(INDEX(MASTER!$C$4:$C$1463,$P39)="","",INDEX(MASTER!$C$4:$C$1463,$P39)),""))</f>
        <v>Ellody</v>
      </c>
      <c r="C39" s="15" t="str">
        <f>IF($P39="","",IFERROR(IF(INDEX(MASTER!$D$4:$D$1463,$P39)="","",INDEX(MASTER!$D$4:$D$1463,$P39)),""))</f>
        <v>H20</v>
      </c>
      <c r="D39" s="15" t="str">
        <f>IF($P39="","",IFERROR(IF(INDEX(MASTER!$E$4:$E$1463,$P39)="","",INDEX(MASTER!$E$4:$E$1463,$P39)),""))</f>
        <v>NECROMANCER</v>
      </c>
      <c r="E39" s="15" t="str">
        <f>IF($P39="","",IFERROR(IF(INDEX(MASTER!$F$4:$F$1463,$P39)="","",INDEX(MASTER!$F$4:$F$1463,$P39)),""))</f>
        <v>Control</v>
      </c>
      <c r="F39" s="16">
        <f>IF($P39="","",IFERROR(IF(INDEX(MASTER!$G$4:$G$1463,$P39)="","",INDEX(MASTER!$G$4:$G$1463,$P39)),""))</f>
        <v>62639</v>
      </c>
      <c r="G39" s="15" t="str">
        <f>IF($P39="","",IFERROR(IF(INDEX(MASTER!$H$4:$H$1463,$P39)="","",INDEX(MASTER!$H$4:$H$1463,$P39)),""))</f>
        <v>62,000 - 62,999</v>
      </c>
      <c r="H39" s="16">
        <f>IF($P39="","",IFERROR(IF(INDEX(MASTER!$I$4:$I$1463,$P39)="","",INDEX(MASTER!$I$4:$I$1463,$P39)),""))</f>
        <v>3500</v>
      </c>
      <c r="I39" s="15" t="str">
        <f>IF($P39="","",IFERROR(IF(INDEX(MASTER!$J$4:$J$1463,$P39)="","",INDEX(MASTER!$J$4:$J$1463,$P39)),""))</f>
        <v>DEVELOPING</v>
      </c>
      <c r="J39" s="17">
        <f>IF($P39="","",IFERROR(IF(INDEX(MASTER!$L$4:$L$1463,$P39)="","",INDEX(MASTER!$L$4:$L$1463,$P39)),""))</f>
        <v>4.5</v>
      </c>
      <c r="K39" s="17">
        <f>IF($P39="","",IFERROR(IF(INDEX(MASTER!$N$4:$N$1463,$P39)="","",INDEX(MASTER!$N$4:$N$1463,$P39)),""))</f>
        <v>42.9</v>
      </c>
      <c r="L39" s="15" t="str">
        <f>IF($P39="","",IFERROR(IF(INDEX(MASTER!$O$4:$O$1463,$P39)="","",INDEX(MASTER!$O$4:$O$1463,$P39)),""))</f>
        <v>B</v>
      </c>
      <c r="M39" s="15">
        <f>IF($P39="","",IFERROR(IF(INDEX(MASTER!$Q$4:$Q$1463,$P39)="","",INDEX(MASTER!$Q$4:$Q$1463,$P39)),""))</f>
        <v>75</v>
      </c>
      <c r="N39" s="15" t="str">
        <f>IF($P39="","",IFERROR(IF(INDEX(MASTER!$S$4:$S$1463,$P39)="","",INDEX(MASTER!$S$4:$S$1463,$P39)),""))</f>
        <v>Complete</v>
      </c>
      <c r="P39">
        <f>IFERROR(MATCH($Q$1&amp;"@31",MASTER!$AC$4:$AC$1463,0),"")</f>
        <v>352</v>
      </c>
    </row>
    <row r="40" spans="1:16">
      <c r="A40" s="19">
        <f>IF($P40="","",32)</f>
        <v>32</v>
      </c>
      <c r="B40" s="18" t="str">
        <f>IF($P40="","",IFERROR(IF(INDEX(MASTER!$C$4:$C$1463,$P40)="","",INDEX(MASTER!$C$4:$C$1463,$P40)),""))</f>
        <v>Eotec</v>
      </c>
      <c r="C40" s="19" t="str">
        <f>IF($P40="","",IFERROR(IF(INDEX(MASTER!$D$4:$D$1463,$P40)="","",INDEX(MASTER!$D$4:$D$1463,$P40)),""))</f>
        <v/>
      </c>
      <c r="D40" s="19" t="str">
        <f>IF($P40="","",IFERROR(IF(INDEX(MASTER!$E$4:$E$1463,$P40)="","",INDEX(MASTER!$E$4:$E$1463,$P40)),""))</f>
        <v>DEMON HUNTER</v>
      </c>
      <c r="E40" s="19" t="str">
        <f>IF($P40="","",IFERROR(IF(INDEX(MASTER!$F$4:$F$1463,$P40)="","",INDEX(MASTER!$F$4:$F$1463,$P40)),""))</f>
        <v>Ranged DPS</v>
      </c>
      <c r="F40" s="20">
        <f>IF($P40="","",IFERROR(IF(INDEX(MASTER!$G$4:$G$1463,$P40)="","",INDEX(MASTER!$G$4:$G$1463,$P40)),""))</f>
        <v>64010</v>
      </c>
      <c r="G40" s="19" t="str">
        <f>IF($P40="","",IFERROR(IF(INDEX(MASTER!$H$4:$H$1463,$P40)="","",INDEX(MASTER!$H$4:$H$1463,$P40)),""))</f>
        <v>64,000 +</v>
      </c>
      <c r="H40" s="20">
        <f>IF($P40="","",IFERROR(IF(INDEX(MASTER!$I$4:$I$1463,$P40)="","",INDEX(MASTER!$I$4:$I$1463,$P40)),""))</f>
        <v>9398</v>
      </c>
      <c r="I40" s="19" t="str">
        <f>IF($P40="","",IFERROR(IF(INDEX(MASTER!$J$4:$J$1463,$P40)="","",INDEX(MASTER!$J$4:$J$1463,$P40)),""))</f>
        <v>ELITE</v>
      </c>
      <c r="J40" s="21">
        <f>IF($P40="","",IFERROR(IF(INDEX(MASTER!$L$4:$L$1463,$P40)="","",INDEX(MASTER!$L$4:$L$1463,$P40)),""))</f>
        <v>9.4</v>
      </c>
      <c r="K40" s="21">
        <f>IF($P40="","",IFERROR(IF(INDEX(MASTER!$N$4:$N$1463,$P40)="","",INDEX(MASTER!$N$4:$N$1463,$P40)),""))</f>
        <v>80.400000000000006</v>
      </c>
      <c r="L40" s="19" t="str">
        <f>IF($P40="","",IFERROR(IF(INDEX(MASTER!$O$4:$O$1463,$P40)="","",INDEX(MASTER!$O$4:$O$1463,$P40)),""))</f>
        <v>S+</v>
      </c>
      <c r="M40" s="19">
        <f>IF($P40="","",IFERROR(IF(INDEX(MASTER!$Q$4:$Q$1463,$P40)="","",INDEX(MASTER!$Q$4:$Q$1463,$P40)),""))</f>
        <v>17</v>
      </c>
      <c r="N40" s="19" t="str">
        <f>IF($P40="","",IFERROR(IF(INDEX(MASTER!$S$4:$S$1463,$P40)="","",INDEX(MASTER!$S$4:$S$1463,$P40)),""))</f>
        <v>Complete</v>
      </c>
      <c r="P40">
        <f>IFERROR(MATCH($Q$1&amp;"@32",MASTER!$AC$4:$AC$1463,0),"")</f>
        <v>360</v>
      </c>
    </row>
    <row r="41" spans="1:16">
      <c r="A41" s="15">
        <f>IF($P41="","",33)</f>
        <v>33</v>
      </c>
      <c r="B41" s="14" t="str">
        <f>IF($P41="","",IFERROR(IF(INDEX(MASTER!$C$4:$C$1463,$P41)="","",INDEX(MASTER!$C$4:$C$1463,$P41)),""))</f>
        <v>EQ</v>
      </c>
      <c r="C41" s="15" t="str">
        <f>IF($P41="","",IFERROR(IF(INDEX(MASTER!$D$4:$D$1463,$P41)="","",INDEX(MASTER!$D$4:$D$1463,$P41)),""))</f>
        <v>SXY</v>
      </c>
      <c r="D41" s="15" t="str">
        <f>IF($P41="","",IFERROR(IF(INDEX(MASTER!$E$4:$E$1463,$P41)="","",INDEX(MASTER!$E$4:$E$1463,$P41)),""))</f>
        <v>BLOOD KNIGHT</v>
      </c>
      <c r="E41" s="15" t="str">
        <f>IF($P41="","",IFERROR(IF(INDEX(MASTER!$F$4:$F$1463,$P41)="","",INDEX(MASTER!$F$4:$F$1463,$P41)),""))</f>
        <v>Frontline</v>
      </c>
      <c r="F41" s="16">
        <f>IF($P41="","",IFERROR(IF(INDEX(MASTER!$G$4:$G$1463,$P41)="","",INDEX(MASTER!$G$4:$G$1463,$P41)),""))</f>
        <v>63239</v>
      </c>
      <c r="G41" s="15" t="str">
        <f>IF($P41="","",IFERROR(IF(INDEX(MASTER!$H$4:$H$1463,$P41)="","",INDEX(MASTER!$H$4:$H$1463,$P41)),""))</f>
        <v>63,000 - 63,999</v>
      </c>
      <c r="H41" s="16">
        <f>IF($P41="","",IFERROR(IF(INDEX(MASTER!$I$4:$I$1463,$P41)="","",INDEX(MASTER!$I$4:$I$1463,$P41)),""))</f>
        <v>5068</v>
      </c>
      <c r="I41" s="15" t="str">
        <f>IF($P41="","",IFERROR(IF(INDEX(MASTER!$J$4:$J$1463,$P41)="","",INDEX(MASTER!$J$4:$J$1463,$P41)),""))</f>
        <v>CORE</v>
      </c>
      <c r="J41" s="17">
        <f>IF($P41="","",IFERROR(IF(INDEX(MASTER!$L$4:$L$1463,$P41)="","",INDEX(MASTER!$L$4:$L$1463,$P41)),""))</f>
        <v>6</v>
      </c>
      <c r="K41" s="17">
        <f>IF($P41="","",IFERROR(IF(INDEX(MASTER!$N$4:$N$1463,$P41)="","",INDEX(MASTER!$N$4:$N$1463,$P41)),""))</f>
        <v>53.8</v>
      </c>
      <c r="L41" s="15" t="str">
        <f>IF($P41="","",IFERROR(IF(INDEX(MASTER!$O$4:$O$1463,$P41)="","",INDEX(MASTER!$O$4:$O$1463,$P41)),""))</f>
        <v>A</v>
      </c>
      <c r="M41" s="15">
        <f>IF($P41="","",IFERROR(IF(INDEX(MASTER!$Q$4:$Q$1463,$P41)="","",INDEX(MASTER!$Q$4:$Q$1463,$P41)),""))</f>
        <v>47</v>
      </c>
      <c r="N41" s="15" t="str">
        <f>IF($P41="","",IFERROR(IF(INDEX(MASTER!$S$4:$S$1463,$P41)="","",INDEX(MASTER!$S$4:$S$1463,$P41)),""))</f>
        <v>Complete</v>
      </c>
      <c r="P41">
        <f>IFERROR(MATCH($Q$1&amp;"@33",MASTER!$AC$4:$AC$1463,0),"")</f>
        <v>363</v>
      </c>
    </row>
    <row r="42" spans="1:16">
      <c r="A42" s="19">
        <f>IF($P42="","",34)</f>
        <v>34</v>
      </c>
      <c r="B42" s="18" t="str">
        <f>IF($P42="","",IFERROR(IF(INDEX(MASTER!$C$4:$C$1463,$P42)="","",INDEX(MASTER!$C$4:$C$1463,$P42)),""))</f>
        <v>Eternall</v>
      </c>
      <c r="C42" s="19" t="str">
        <f>IF($P42="","",IFERROR(IF(INDEX(MASTER!$D$4:$D$1463,$P42)="","",INDEX(MASTER!$D$4:$D$1463,$P42)),""))</f>
        <v/>
      </c>
      <c r="D42" s="19" t="str">
        <f>IF($P42="","",IFERROR(IF(INDEX(MASTER!$E$4:$E$1463,$P42)="","",INDEX(MASTER!$E$4:$E$1463,$P42)),""))</f>
        <v>BARBARIAN</v>
      </c>
      <c r="E42" s="19" t="str">
        <f>IF($P42="","",IFERROR(IF(INDEX(MASTER!$F$4:$F$1463,$P42)="","",INDEX(MASTER!$F$4:$F$1463,$P42)),""))</f>
        <v>Frontline</v>
      </c>
      <c r="F42" s="20">
        <f>IF($P42="","",IFERROR(IF(INDEX(MASTER!$G$4:$G$1463,$P42)="","",INDEX(MASTER!$G$4:$G$1463,$P42)),""))</f>
        <v>61906</v>
      </c>
      <c r="G42" s="19" t="str">
        <f>IF($P42="","",IFERROR(IF(INDEX(MASTER!$H$4:$H$1463,$P42)="","",INDEX(MASTER!$H$4:$H$1463,$P42)),""))</f>
        <v>61,000 - 61,999</v>
      </c>
      <c r="H42" s="20">
        <f>IF($P42="","",IFERROR(IF(INDEX(MASTER!$I$4:$I$1463,$P42)="","",INDEX(MASTER!$I$4:$I$1463,$P42)),""))</f>
        <v>4580</v>
      </c>
      <c r="I42" s="19" t="str">
        <f>IF($P42="","",IFERROR(IF(INDEX(MASTER!$J$4:$J$1463,$P42)="","",INDEX(MASTER!$J$4:$J$1463,$P42)),""))</f>
        <v>CORE</v>
      </c>
      <c r="J42" s="21">
        <f>IF($P42="","",IFERROR(IF(INDEX(MASTER!$L$4:$L$1463,$P42)="","",INDEX(MASTER!$L$4:$L$1463,$P42)),""))</f>
        <v>4</v>
      </c>
      <c r="K42" s="21">
        <f>IF($P42="","",IFERROR(IF(INDEX(MASTER!$N$4:$N$1463,$P42)="","",INDEX(MASTER!$N$4:$N$1463,$P42)),""))</f>
        <v>44.8</v>
      </c>
      <c r="L42" s="19" t="str">
        <f>IF($P42="","",IFERROR(IF(INDEX(MASTER!$O$4:$O$1463,$P42)="","",INDEX(MASTER!$O$4:$O$1463,$P42)),""))</f>
        <v>B</v>
      </c>
      <c r="M42" s="19">
        <f>IF($P42="","",IFERROR(IF(INDEX(MASTER!$Q$4:$Q$1463,$P42)="","",INDEX(MASTER!$Q$4:$Q$1463,$P42)),""))</f>
        <v>55</v>
      </c>
      <c r="N42" s="19" t="str">
        <f>IF($P42="","",IFERROR(IF(INDEX(MASTER!$S$4:$S$1463,$P42)="","",INDEX(MASTER!$S$4:$S$1463,$P42)),""))</f>
        <v>Complete</v>
      </c>
      <c r="P42">
        <f>IFERROR(MATCH($Q$1&amp;"@34",MASTER!$AC$4:$AC$1463,0),"")</f>
        <v>369</v>
      </c>
    </row>
    <row r="43" spans="1:16">
      <c r="A43" s="15">
        <f>IF($P43="","",35)</f>
        <v>35</v>
      </c>
      <c r="B43" s="14" t="str">
        <f>IF($P43="","",IFERROR(IF(INDEX(MASTER!$C$4:$C$1463,$P43)="","",INDEX(MASTER!$C$4:$C$1463,$P43)),""))</f>
        <v>Faolchumemn</v>
      </c>
      <c r="C43" s="15" t="str">
        <f>IF($P43="","",IFERROR(IF(INDEX(MASTER!$D$4:$D$1463,$P43)="","",INDEX(MASTER!$D$4:$D$1463,$P43)),""))</f>
        <v/>
      </c>
      <c r="D43" s="15" t="str">
        <f>IF($P43="","",IFERROR(IF(INDEX(MASTER!$E$4:$E$1463,$P43)="","",INDEX(MASTER!$E$4:$E$1463,$P43)),""))</f>
        <v>DEMON HUNTER</v>
      </c>
      <c r="E43" s="15" t="str">
        <f>IF($P43="","",IFERROR(IF(INDEX(MASTER!$F$4:$F$1463,$P43)="","",INDEX(MASTER!$F$4:$F$1463,$P43)),""))</f>
        <v>Ranged DPS</v>
      </c>
      <c r="F43" s="16">
        <f>IF($P43="","",IFERROR(IF(INDEX(MASTER!$G$4:$G$1463,$P43)="","",INDEX(MASTER!$G$4:$G$1463,$P43)),""))</f>
        <v>64126</v>
      </c>
      <c r="G43" s="15" t="str">
        <f>IF($P43="","",IFERROR(IF(INDEX(MASTER!$H$4:$H$1463,$P43)="","",INDEX(MASTER!$H$4:$H$1463,$P43)),""))</f>
        <v>64,000 +</v>
      </c>
      <c r="H43" s="16">
        <f>IF($P43="","",IFERROR(IF(INDEX(MASTER!$I$4:$I$1463,$P43)="","",INDEX(MASTER!$I$4:$I$1463,$P43)),""))</f>
        <v>10490</v>
      </c>
      <c r="I43" s="15" t="str">
        <f>IF($P43="","",IFERROR(IF(INDEX(MASTER!$J$4:$J$1463,$P43)="","",INDEX(MASTER!$J$4:$J$1463,$P43)),""))</f>
        <v>APEX</v>
      </c>
      <c r="J43" s="17">
        <f>IF($P43="","",IFERROR(IF(INDEX(MASTER!$L$4:$L$1463,$P43)="","",INDEX(MASTER!$L$4:$L$1463,$P43)),""))</f>
        <v>10.199999999999999</v>
      </c>
      <c r="K43" s="17">
        <f>IF($P43="","",IFERROR(IF(INDEX(MASTER!$N$4:$N$1463,$P43)="","",INDEX(MASTER!$N$4:$N$1463,$P43)),""))</f>
        <v>86.8</v>
      </c>
      <c r="L43" s="15" t="str">
        <f>IF($P43="","",IFERROR(IF(INDEX(MASTER!$O$4:$O$1463,$P43)="","",INDEX(MASTER!$O$4:$O$1463,$P43)),""))</f>
        <v>S+</v>
      </c>
      <c r="M43" s="15">
        <f>IF($P43="","",IFERROR(IF(INDEX(MASTER!$Q$4:$Q$1463,$P43)="","",INDEX(MASTER!$Q$4:$Q$1463,$P43)),""))</f>
        <v>9</v>
      </c>
      <c r="N43" s="15" t="str">
        <f>IF($P43="","",IFERROR(IF(INDEX(MASTER!$S$4:$S$1463,$P43)="","",INDEX(MASTER!$S$4:$S$1463,$P43)),""))</f>
        <v>Complete</v>
      </c>
      <c r="P43">
        <f>IFERROR(MATCH($Q$1&amp;"@35",MASTER!$AC$4:$AC$1463,0),"")</f>
        <v>379</v>
      </c>
    </row>
    <row r="44" spans="1:16">
      <c r="A44" s="19">
        <f>IF($P44="","",36)</f>
        <v>36</v>
      </c>
      <c r="B44" s="18" t="str">
        <f>IF($P44="","",IFERROR(IF(INDEX(MASTER!$C$4:$C$1463,$P44)="","",INDEX(MASTER!$C$4:$C$1463,$P44)),""))</f>
        <v>FastAFboy</v>
      </c>
      <c r="C44" s="19" t="str">
        <f>IF($P44="","",IFERROR(IF(INDEX(MASTER!$D$4:$D$1463,$P44)="","",INDEX(MASTER!$D$4:$D$1463,$P44)),""))</f>
        <v/>
      </c>
      <c r="D44" s="19" t="str">
        <f>IF($P44="","",IFERROR(IF(INDEX(MASTER!$E$4:$E$1463,$P44)="","",INDEX(MASTER!$E$4:$E$1463,$P44)),""))</f>
        <v>BARBARIAN</v>
      </c>
      <c r="E44" s="19" t="str">
        <f>IF($P44="","",IFERROR(IF(INDEX(MASTER!$F$4:$F$1463,$P44)="","",INDEX(MASTER!$F$4:$F$1463,$P44)),""))</f>
        <v>Frontline</v>
      </c>
      <c r="F44" s="20">
        <f>IF($P44="","",IFERROR(IF(INDEX(MASTER!$G$4:$G$1463,$P44)="","",INDEX(MASTER!$G$4:$G$1463,$P44)),""))</f>
        <v>63716</v>
      </c>
      <c r="G44" s="19" t="str">
        <f>IF($P44="","",IFERROR(IF(INDEX(MASTER!$H$4:$H$1463,$P44)="","",INDEX(MASTER!$H$4:$H$1463,$P44)),""))</f>
        <v>63,000 - 63,999</v>
      </c>
      <c r="H44" s="20">
        <f>IF($P44="","",IFERROR(IF(INDEX(MASTER!$I$4:$I$1463,$P44)="","",INDEX(MASTER!$I$4:$I$1463,$P44)),""))</f>
        <v>7741</v>
      </c>
      <c r="I44" s="19" t="str">
        <f>IF($P44="","",IFERROR(IF(INDEX(MASTER!$J$4:$J$1463,$P44)="","",INDEX(MASTER!$J$4:$J$1463,$P44)),""))</f>
        <v>VETERAN</v>
      </c>
      <c r="J44" s="21">
        <f>IF($P44="","",IFERROR(IF(INDEX(MASTER!$L$4:$L$1463,$P44)="","",INDEX(MASTER!$L$4:$L$1463,$P44)),""))</f>
        <v>6.85</v>
      </c>
      <c r="K44" s="21">
        <f>IF($P44="","",IFERROR(IF(INDEX(MASTER!$N$4:$N$1463,$P44)="","",INDEX(MASTER!$N$4:$N$1463,$P44)),""))</f>
        <v>68.099999999999994</v>
      </c>
      <c r="L44" s="19" t="str">
        <f>IF($P44="","",IFERROR(IF(INDEX(MASTER!$O$4:$O$1463,$P44)="","",INDEX(MASTER!$O$4:$O$1463,$P44)),""))</f>
        <v>S</v>
      </c>
      <c r="M44" s="19">
        <f>IF($P44="","",IFERROR(IF(INDEX(MASTER!$Q$4:$Q$1463,$P44)="","",INDEX(MASTER!$Q$4:$Q$1463,$P44)),""))</f>
        <v>25</v>
      </c>
      <c r="N44" s="19" t="str">
        <f>IF($P44="","",IFERROR(IF(INDEX(MASTER!$S$4:$S$1463,$P44)="","",INDEX(MASTER!$S$4:$S$1463,$P44)),""))</f>
        <v>Complete</v>
      </c>
      <c r="P44">
        <f>IFERROR(MATCH($Q$1&amp;"@36",MASTER!$AC$4:$AC$1463,0),"")</f>
        <v>380</v>
      </c>
    </row>
    <row r="45" spans="1:16">
      <c r="A45" s="15">
        <f>IF($P45="","",37)</f>
        <v>37</v>
      </c>
      <c r="B45" s="14" t="str">
        <f>IF($P45="","",IFERROR(IF(INDEX(MASTER!$C$4:$C$1463,$P45)="","",INDEX(MASTER!$C$4:$C$1463,$P45)),""))</f>
        <v>FieryPixie</v>
      </c>
      <c r="C45" s="15" t="str">
        <f>IF($P45="","",IFERROR(IF(INDEX(MASTER!$D$4:$D$1463,$P45)="","",INDEX(MASTER!$D$4:$D$1463,$P45)),""))</f>
        <v/>
      </c>
      <c r="D45" s="15" t="str">
        <f>IF($P45="","",IFERROR(IF(INDEX(MASTER!$E$4:$E$1463,$P45)="","",INDEX(MASTER!$E$4:$E$1463,$P45)),""))</f>
        <v>WIZARD</v>
      </c>
      <c r="E45" s="15" t="str">
        <f>IF($P45="","",IFERROR(IF(INDEX(MASTER!$F$4:$F$1463,$P45)="","",INDEX(MASTER!$F$4:$F$1463,$P45)),""))</f>
        <v>Ranged DPS</v>
      </c>
      <c r="F45" s="16">
        <f>IF($P45="","",IFERROR(IF(INDEX(MASTER!$G$4:$G$1463,$P45)="","",INDEX(MASTER!$G$4:$G$1463,$P45)),""))</f>
        <v>62121</v>
      </c>
      <c r="G45" s="15" t="str">
        <f>IF($P45="","",IFERROR(IF(INDEX(MASTER!$H$4:$H$1463,$P45)="","",INDEX(MASTER!$H$4:$H$1463,$P45)),""))</f>
        <v>62,000 - 62,999</v>
      </c>
      <c r="H45" s="16">
        <f>IF($P45="","",IFERROR(IF(INDEX(MASTER!$I$4:$I$1463,$P45)="","",INDEX(MASTER!$I$4:$I$1463,$P45)),""))</f>
        <v>4034</v>
      </c>
      <c r="I45" s="15" t="str">
        <f>IF($P45="","",IFERROR(IF(INDEX(MASTER!$J$4:$J$1463,$P45)="","",INDEX(MASTER!$J$4:$J$1463,$P45)),""))</f>
        <v>CORE</v>
      </c>
      <c r="J45" s="17">
        <f>IF($P45="","",IFERROR(IF(INDEX(MASTER!$L$4:$L$1463,$P45)="","",INDEX(MASTER!$L$4:$L$1463,$P45)),""))</f>
        <v>5.4</v>
      </c>
      <c r="K45" s="17">
        <f>IF($P45="","",IFERROR(IF(INDEX(MASTER!$N$4:$N$1463,$P45)="","",INDEX(MASTER!$N$4:$N$1463,$P45)),""))</f>
        <v>45.3</v>
      </c>
      <c r="L45" s="15" t="str">
        <f>IF($P45="","",IFERROR(IF(INDEX(MASTER!$O$4:$O$1463,$P45)="","",INDEX(MASTER!$O$4:$O$1463,$P45)),""))</f>
        <v>B</v>
      </c>
      <c r="M45" s="15">
        <f>IF($P45="","",IFERROR(IF(INDEX(MASTER!$Q$4:$Q$1463,$P45)="","",INDEX(MASTER!$Q$4:$Q$1463,$P45)),""))</f>
        <v>63</v>
      </c>
      <c r="N45" s="15" t="str">
        <f>IF($P45="","",IFERROR(IF(INDEX(MASTER!$S$4:$S$1463,$P45)="","",INDEX(MASTER!$S$4:$S$1463,$P45)),""))</f>
        <v>Complete</v>
      </c>
      <c r="P45">
        <f>IFERROR(MATCH($Q$1&amp;"@37",MASTER!$AC$4:$AC$1463,0),"")</f>
        <v>387</v>
      </c>
    </row>
    <row r="46" spans="1:16">
      <c r="A46" s="19">
        <f>IF($P46="","",38)</f>
        <v>38</v>
      </c>
      <c r="B46" s="18" t="str">
        <f>IF($P46="","",IFERROR(IF(INDEX(MASTER!$C$4:$C$1463,$P46)="","",INDEX(MASTER!$C$4:$C$1463,$P46)),""))</f>
        <v>Flair-0</v>
      </c>
      <c r="C46" s="19" t="str">
        <f>IF($P46="","",IFERROR(IF(INDEX(MASTER!$D$4:$D$1463,$P46)="","",INDEX(MASTER!$D$4:$D$1463,$P46)),""))</f>
        <v/>
      </c>
      <c r="D46" s="19" t="str">
        <f>IF($P46="","",IFERROR(IF(INDEX(MASTER!$E$4:$E$1463,$P46)="","",INDEX(MASTER!$E$4:$E$1463,$P46)),""))</f>
        <v>WARLOCK</v>
      </c>
      <c r="E46" s="19" t="str">
        <f>IF($P46="","",IFERROR(IF(INDEX(MASTER!$F$4:$F$1463,$P46)="","",INDEX(MASTER!$F$4:$F$1463,$P46)),""))</f>
        <v>Control</v>
      </c>
      <c r="F46" s="20">
        <f>IF($P46="","",IFERROR(IF(INDEX(MASTER!$G$4:$G$1463,$P46)="","",INDEX(MASTER!$G$4:$G$1463,$P46)),""))</f>
        <v>61375</v>
      </c>
      <c r="G46" s="19" t="str">
        <f>IF($P46="","",IFERROR(IF(INDEX(MASTER!$H$4:$H$1463,$P46)="","",INDEX(MASTER!$H$4:$H$1463,$P46)),""))</f>
        <v>61,000 - 61,999</v>
      </c>
      <c r="H46" s="20">
        <f>IF($P46="","",IFERROR(IF(INDEX(MASTER!$I$4:$I$1463,$P46)="","",INDEX(MASTER!$I$4:$I$1463,$P46)),""))</f>
        <v>3106</v>
      </c>
      <c r="I46" s="19" t="str">
        <f>IF($P46="","",IFERROR(IF(INDEX(MASTER!$J$4:$J$1463,$P46)="","",INDEX(MASTER!$J$4:$J$1463,$P46)),""))</f>
        <v>DEVELOPING</v>
      </c>
      <c r="J46" s="21">
        <f>IF($P46="","",IFERROR(IF(INDEX(MASTER!$L$4:$L$1463,$P46)="","",INDEX(MASTER!$L$4:$L$1463,$P46)),""))</f>
        <v>4.5</v>
      </c>
      <c r="K46" s="21">
        <f>IF($P46="","",IFERROR(IF(INDEX(MASTER!$N$4:$N$1463,$P46)="","",INDEX(MASTER!$N$4:$N$1463,$P46)),""))</f>
        <v>37.799999999999997</v>
      </c>
      <c r="L46" s="19" t="str">
        <f>IF($P46="","",IFERROR(IF(INDEX(MASTER!$O$4:$O$1463,$P46)="","",INDEX(MASTER!$O$4:$O$1463,$P46)),""))</f>
        <v>B</v>
      </c>
      <c r="M46" s="19">
        <f>IF($P46="","",IFERROR(IF(INDEX(MASTER!$Q$4:$Q$1463,$P46)="","",INDEX(MASTER!$Q$4:$Q$1463,$P46)),""))</f>
        <v>86</v>
      </c>
      <c r="N46" s="19" t="str">
        <f>IF($P46="","",IFERROR(IF(INDEX(MASTER!$S$4:$S$1463,$P46)="","",INDEX(MASTER!$S$4:$S$1463,$P46)),""))</f>
        <v>Complete</v>
      </c>
      <c r="P46">
        <f>IFERROR(MATCH($Q$1&amp;"@38",MASTER!$AC$4:$AC$1463,0),"")</f>
        <v>390</v>
      </c>
    </row>
    <row r="47" spans="1:16">
      <c r="A47" s="15">
        <f>IF($P47="","",39)</f>
        <v>39</v>
      </c>
      <c r="B47" s="14" t="str">
        <f>IF($P47="","",IFERROR(IF(INDEX(MASTER!$C$4:$C$1463,$P47)="","",INDEX(MASTER!$C$4:$C$1463,$P47)),""))</f>
        <v>GiveMeNeck</v>
      </c>
      <c r="C47" s="15" t="str">
        <f>IF($P47="","",IFERROR(IF(INDEX(MASTER!$D$4:$D$1463,$P47)="","",INDEX(MASTER!$D$4:$D$1463,$P47)),""))</f>
        <v/>
      </c>
      <c r="D47" s="15" t="str">
        <f>IF($P47="","",IFERROR(IF(INDEX(MASTER!$E$4:$E$1463,$P47)="","",INDEX(MASTER!$E$4:$E$1463,$P47)),""))</f>
        <v>WARLOCK</v>
      </c>
      <c r="E47" s="15" t="str">
        <f>IF($P47="","",IFERROR(IF(INDEX(MASTER!$F$4:$F$1463,$P47)="","",INDEX(MASTER!$F$4:$F$1463,$P47)),""))</f>
        <v>Control</v>
      </c>
      <c r="F47" s="16">
        <f>IF($P47="","",IFERROR(IF(INDEX(MASTER!$G$4:$G$1463,$P47)="","",INDEX(MASTER!$G$4:$G$1463,$P47)),""))</f>
        <v>62171</v>
      </c>
      <c r="G47" s="15" t="str">
        <f>IF($P47="","",IFERROR(IF(INDEX(MASTER!$H$4:$H$1463,$P47)="","",INDEX(MASTER!$H$4:$H$1463,$P47)),""))</f>
        <v>62,000 - 62,999</v>
      </c>
      <c r="H47" s="16">
        <f>IF($P47="","",IFERROR(IF(INDEX(MASTER!$I$4:$I$1463,$P47)="","",INDEX(MASTER!$I$4:$I$1463,$P47)),""))</f>
        <v>3008</v>
      </c>
      <c r="I47" s="15" t="str">
        <f>IF($P47="","",IFERROR(IF(INDEX(MASTER!$J$4:$J$1463,$P47)="","",INDEX(MASTER!$J$4:$J$1463,$P47)),""))</f>
        <v>DEVELOPING</v>
      </c>
      <c r="J47" s="17">
        <f>IF($P47="","",IFERROR(IF(INDEX(MASTER!$L$4:$L$1463,$P47)="","",INDEX(MASTER!$L$4:$L$1463,$P47)),""))</f>
        <v>6.1</v>
      </c>
      <c r="K47" s="17">
        <f>IF($P47="","",IFERROR(IF(INDEX(MASTER!$N$4:$N$1463,$P47)="","",INDEX(MASTER!$N$4:$N$1463,$P47)),""))</f>
        <v>42.2</v>
      </c>
      <c r="L47" s="15" t="str">
        <f>IF($P47="","",IFERROR(IF(INDEX(MASTER!$O$4:$O$1463,$P47)="","",INDEX(MASTER!$O$4:$O$1463,$P47)),""))</f>
        <v>B</v>
      </c>
      <c r="M47" s="15">
        <f>IF($P47="","",IFERROR(IF(INDEX(MASTER!$Q$4:$Q$1463,$P47)="","",INDEX(MASTER!$Q$4:$Q$1463,$P47)),""))</f>
        <v>92</v>
      </c>
      <c r="N47" s="15" t="str">
        <f>IF($P47="","",IFERROR(IF(INDEX(MASTER!$S$4:$S$1463,$P47)="","",INDEX(MASTER!$S$4:$S$1463,$P47)),""))</f>
        <v>Complete</v>
      </c>
      <c r="P47">
        <f>IFERROR(MATCH($Q$1&amp;"@39",MASTER!$AC$4:$AC$1463,0),"")</f>
        <v>433</v>
      </c>
    </row>
    <row r="48" spans="1:16">
      <c r="A48" s="19">
        <f>IF($P48="","",40)</f>
        <v>40</v>
      </c>
      <c r="B48" s="18" t="str">
        <f>IF($P48="","",IFERROR(IF(INDEX(MASTER!$C$4:$C$1463,$P48)="","",INDEX(MASTER!$C$4:$C$1463,$P48)),""))</f>
        <v>GmanbcAlth</v>
      </c>
      <c r="C48" s="19" t="str">
        <f>IF($P48="","",IFERROR(IF(INDEX(MASTER!$D$4:$D$1463,$P48)="","",INDEX(MASTER!$D$4:$D$1463,$P48)),""))</f>
        <v/>
      </c>
      <c r="D48" s="19" t="str">
        <f>IF($P48="","",IFERROR(IF(INDEX(MASTER!$E$4:$E$1463,$P48)="","",INDEX(MASTER!$E$4:$E$1463,$P48)),""))</f>
        <v>DEMON HUNTER</v>
      </c>
      <c r="E48" s="19" t="str">
        <f>IF($P48="","",IFERROR(IF(INDEX(MASTER!$F$4:$F$1463,$P48)="","",INDEX(MASTER!$F$4:$F$1463,$P48)),""))</f>
        <v>Ranged DPS</v>
      </c>
      <c r="F48" s="20">
        <f>IF($P48="","",IFERROR(IF(INDEX(MASTER!$G$4:$G$1463,$P48)="","",INDEX(MASTER!$G$4:$G$1463,$P48)),""))</f>
        <v>64215</v>
      </c>
      <c r="G48" s="19" t="str">
        <f>IF($P48="","",IFERROR(IF(INDEX(MASTER!$H$4:$H$1463,$P48)="","",INDEX(MASTER!$H$4:$H$1463,$P48)),""))</f>
        <v>64,000 +</v>
      </c>
      <c r="H48" s="20">
        <f>IF($P48="","",IFERROR(IF(INDEX(MASTER!$I$4:$I$1463,$P48)="","",INDEX(MASTER!$I$4:$I$1463,$P48)),""))</f>
        <v>11863</v>
      </c>
      <c r="I48" s="19" t="str">
        <f>IF($P48="","",IFERROR(IF(INDEX(MASTER!$J$4:$J$1463,$P48)="","",INDEX(MASTER!$J$4:$J$1463,$P48)),""))</f>
        <v>APEX</v>
      </c>
      <c r="J48" s="21">
        <f>IF($P48="","",IFERROR(IF(INDEX(MASTER!$L$4:$L$1463,$P48)="","",INDEX(MASTER!$L$4:$L$1463,$P48)),""))</f>
        <v>11</v>
      </c>
      <c r="K48" s="21">
        <f>IF($P48="","",IFERROR(IF(INDEX(MASTER!$N$4:$N$1463,$P48)="","",INDEX(MASTER!$N$4:$N$1463,$P48)),""))</f>
        <v>94.4</v>
      </c>
      <c r="L48" s="19" t="str">
        <f>IF($P48="","",IFERROR(IF(INDEX(MASTER!$O$4:$O$1463,$P48)="","",INDEX(MASTER!$O$4:$O$1463,$P48)),""))</f>
        <v>S+</v>
      </c>
      <c r="M48" s="19">
        <f>IF($P48="","",IFERROR(IF(INDEX(MASTER!$Q$4:$Q$1463,$P48)="","",INDEX(MASTER!$Q$4:$Q$1463,$P48)),""))</f>
        <v>3</v>
      </c>
      <c r="N48" s="19" t="str">
        <f>IF($P48="","",IFERROR(IF(INDEX(MASTER!$S$4:$S$1463,$P48)="","",INDEX(MASTER!$S$4:$S$1463,$P48)),""))</f>
        <v>Complete</v>
      </c>
      <c r="P48">
        <f>IFERROR(MATCH($Q$1&amp;"@40",MASTER!$AC$4:$AC$1463,0),"")</f>
        <v>436</v>
      </c>
    </row>
    <row r="49" spans="1:16">
      <c r="A49" s="15">
        <f>IF($P49="","",41)</f>
        <v>41</v>
      </c>
      <c r="B49" s="14" t="str">
        <f>IF($P49="","",IFERROR(IF(INDEX(MASTER!$C$4:$C$1463,$P49)="","",INDEX(MASTER!$C$4:$C$1463,$P49)),""))</f>
        <v>Gracebot</v>
      </c>
      <c r="C49" s="15" t="str">
        <f>IF($P49="","",IFERROR(IF(INDEX(MASTER!$D$4:$D$1463,$P49)="","",INDEX(MASTER!$D$4:$D$1463,$P49)),""))</f>
        <v/>
      </c>
      <c r="D49" s="15" t="str">
        <f>IF($P49="","",IFERROR(IF(INDEX(MASTER!$E$4:$E$1463,$P49)="","",INDEX(MASTER!$E$4:$E$1463,$P49)),""))</f>
        <v>DEMON HUNTER</v>
      </c>
      <c r="E49" s="15" t="str">
        <f>IF($P49="","",IFERROR(IF(INDEX(MASTER!$F$4:$F$1463,$P49)="","",INDEX(MASTER!$F$4:$F$1463,$P49)),""))</f>
        <v>Ranged DPS</v>
      </c>
      <c r="F49" s="16">
        <f>IF($P49="","",IFERROR(IF(INDEX(MASTER!$G$4:$G$1463,$P49)="","",INDEX(MASTER!$G$4:$G$1463,$P49)),""))</f>
        <v>62844</v>
      </c>
      <c r="G49" s="15" t="str">
        <f>IF($P49="","",IFERROR(IF(INDEX(MASTER!$H$4:$H$1463,$P49)="","",INDEX(MASTER!$H$4:$H$1463,$P49)),""))</f>
        <v>62,000 - 62,999</v>
      </c>
      <c r="H49" s="16">
        <f>IF($P49="","",IFERROR(IF(INDEX(MASTER!$I$4:$I$1463,$P49)="","",INDEX(MASTER!$I$4:$I$1463,$P49)),""))</f>
        <v>2580</v>
      </c>
      <c r="I49" s="15" t="str">
        <f>IF($P49="","",IFERROR(IF(INDEX(MASTER!$J$4:$J$1463,$P49)="","",INDEX(MASTER!$J$4:$J$1463,$P49)),""))</f>
        <v>DEVELOPING</v>
      </c>
      <c r="J49" s="17">
        <f>IF($P49="","",IFERROR(IF(INDEX(MASTER!$L$4:$L$1463,$P49)="","",INDEX(MASTER!$L$4:$L$1463,$P49)),""))</f>
        <v>4.3</v>
      </c>
      <c r="K49" s="17">
        <f>IF($P49="","",IFERROR(IF(INDEX(MASTER!$N$4:$N$1463,$P49)="","",INDEX(MASTER!$N$4:$N$1463,$P49)),""))</f>
        <v>39.1</v>
      </c>
      <c r="L49" s="15" t="str">
        <f>IF($P49="","",IFERROR(IF(INDEX(MASTER!$O$4:$O$1463,$P49)="","",INDEX(MASTER!$O$4:$O$1463,$P49)),""))</f>
        <v>B</v>
      </c>
      <c r="M49" s="15">
        <f>IF($P49="","",IFERROR(IF(INDEX(MASTER!$Q$4:$Q$1463,$P49)="","",INDEX(MASTER!$Q$4:$Q$1463,$P49)),""))</f>
        <v>99</v>
      </c>
      <c r="N49" s="15" t="str">
        <f>IF($P49="","",IFERROR(IF(INDEX(MASTER!$S$4:$S$1463,$P49)="","",INDEX(MASTER!$S$4:$S$1463,$P49)),""))</f>
        <v>Complete</v>
      </c>
      <c r="P49">
        <f>IFERROR(MATCH($Q$1&amp;"@41",MASTER!$AC$4:$AC$1463,0),"")</f>
        <v>446</v>
      </c>
    </row>
    <row r="50" spans="1:16">
      <c r="A50" s="19">
        <f>IF($P50="","",42)</f>
        <v>42</v>
      </c>
      <c r="B50" s="18" t="str">
        <f>IF($P50="","",IFERROR(IF(INDEX(MASTER!$C$4:$C$1463,$P50)="","",INDEX(MASTER!$C$4:$C$1463,$P50)),""))</f>
        <v>Gray</v>
      </c>
      <c r="C50" s="19" t="str">
        <f>IF($P50="","",IFERROR(IF(INDEX(MASTER!$D$4:$D$1463,$P50)="","",INDEX(MASTER!$D$4:$D$1463,$P50)),""))</f>
        <v/>
      </c>
      <c r="D50" s="19" t="str">
        <f>IF($P50="","",IFERROR(IF(INDEX(MASTER!$E$4:$E$1463,$P50)="","",INDEX(MASTER!$E$4:$E$1463,$P50)),""))</f>
        <v>TEMPEST</v>
      </c>
      <c r="E50" s="19" t="str">
        <f>IF($P50="","",IFERROR(IF(INDEX(MASTER!$F$4:$F$1463,$P50)="","",INDEX(MASTER!$F$4:$F$1463,$P50)),""))</f>
        <v>Melee DPS</v>
      </c>
      <c r="F50" s="20">
        <f>IF($P50="","",IFERROR(IF(INDEX(MASTER!$G$4:$G$1463,$P50)="","",INDEX(MASTER!$G$4:$G$1463,$P50)),""))</f>
        <v>64164</v>
      </c>
      <c r="G50" s="19" t="str">
        <f>IF($P50="","",IFERROR(IF(INDEX(MASTER!$H$4:$H$1463,$P50)="","",INDEX(MASTER!$H$4:$H$1463,$P50)),""))</f>
        <v>64,000 +</v>
      </c>
      <c r="H50" s="20">
        <f>IF($P50="","",IFERROR(IF(INDEX(MASTER!$I$4:$I$1463,$P50)="","",INDEX(MASTER!$I$4:$I$1463,$P50)),""))</f>
        <v>9796</v>
      </c>
      <c r="I50" s="19" t="str">
        <f>IF($P50="","",IFERROR(IF(INDEX(MASTER!$J$4:$J$1463,$P50)="","",INDEX(MASTER!$J$4:$J$1463,$P50)),""))</f>
        <v>ELITE</v>
      </c>
      <c r="J50" s="21">
        <f>IF($P50="","",IFERROR(IF(INDEX(MASTER!$L$4:$L$1463,$P50)="","",INDEX(MASTER!$L$4:$L$1463,$P50)),""))</f>
        <v>8.1</v>
      </c>
      <c r="K50" s="21">
        <f>IF($P50="","",IFERROR(IF(INDEX(MASTER!$N$4:$N$1463,$P50)="","",INDEX(MASTER!$N$4:$N$1463,$P50)),""))</f>
        <v>80.400000000000006</v>
      </c>
      <c r="L50" s="19" t="str">
        <f>IF($P50="","",IFERROR(IF(INDEX(MASTER!$O$4:$O$1463,$P50)="","",INDEX(MASTER!$O$4:$O$1463,$P50)),""))</f>
        <v>S+</v>
      </c>
      <c r="M50" s="19">
        <f>IF($P50="","",IFERROR(IF(INDEX(MASTER!$Q$4:$Q$1463,$P50)="","",INDEX(MASTER!$Q$4:$Q$1463,$P50)),""))</f>
        <v>14</v>
      </c>
      <c r="N50" s="19" t="str">
        <f>IF($P50="","",IFERROR(IF(INDEX(MASTER!$S$4:$S$1463,$P50)="","",INDEX(MASTER!$S$4:$S$1463,$P50)),""))</f>
        <v>Complete</v>
      </c>
      <c r="P50">
        <f>IFERROR(MATCH($Q$1&amp;"@42",MASTER!$AC$4:$AC$1463,0),"")</f>
        <v>452</v>
      </c>
    </row>
    <row r="51" spans="1:16">
      <c r="A51" s="15">
        <f>IF($P51="","",43)</f>
        <v>43</v>
      </c>
      <c r="B51" s="14" t="str">
        <f>IF($P51="","",IFERROR(IF(INDEX(MASTER!$C$4:$C$1463,$P51)="","",INDEX(MASTER!$C$4:$C$1463,$P51)),""))</f>
        <v>Grimluck</v>
      </c>
      <c r="C51" s="15" t="str">
        <f>IF($P51="","",IFERROR(IF(INDEX(MASTER!$D$4:$D$1463,$P51)="","",INDEX(MASTER!$D$4:$D$1463,$P51)),""))</f>
        <v/>
      </c>
      <c r="D51" s="15" t="str">
        <f>IF($P51="","",IFERROR(IF(INDEX(MASTER!$E$4:$E$1463,$P51)="","",INDEX(MASTER!$E$4:$E$1463,$P51)),""))</f>
        <v>DEMON HUNTER</v>
      </c>
      <c r="E51" s="15" t="str">
        <f>IF($P51="","",IFERROR(IF(INDEX(MASTER!$F$4:$F$1463,$P51)="","",INDEX(MASTER!$F$4:$F$1463,$P51)),""))</f>
        <v>Ranged DPS</v>
      </c>
      <c r="F51" s="16">
        <f>IF($P51="","",IFERROR(IF(INDEX(MASTER!$G$4:$G$1463,$P51)="","",INDEX(MASTER!$G$4:$G$1463,$P51)),""))</f>
        <v>63644</v>
      </c>
      <c r="G51" s="15" t="str">
        <f>IF($P51="","",IFERROR(IF(INDEX(MASTER!$H$4:$H$1463,$P51)="","",INDEX(MASTER!$H$4:$H$1463,$P51)),""))</f>
        <v>63,000 - 63,999</v>
      </c>
      <c r="H51" s="16">
        <f>IF($P51="","",IFERROR(IF(INDEX(MASTER!$I$4:$I$1463,$P51)="","",INDEX(MASTER!$I$4:$I$1463,$P51)),""))</f>
        <v>7914</v>
      </c>
      <c r="I51" s="15" t="str">
        <f>IF($P51="","",IFERROR(IF(INDEX(MASTER!$J$4:$J$1463,$P51)="","",INDEX(MASTER!$J$4:$J$1463,$P51)),""))</f>
        <v>VETERAN</v>
      </c>
      <c r="J51" s="17">
        <f>IF($P51="","",IFERROR(IF(INDEX(MASTER!$L$4:$L$1463,$P51)="","",INDEX(MASTER!$L$4:$L$1463,$P51)),""))</f>
        <v>6.8</v>
      </c>
      <c r="K51" s="17">
        <f>IF($P51="","",IFERROR(IF(INDEX(MASTER!$N$4:$N$1463,$P51)="","",INDEX(MASTER!$N$4:$N$1463,$P51)),""))</f>
        <v>68.599999999999994</v>
      </c>
      <c r="L51" s="15" t="str">
        <f>IF($P51="","",IFERROR(IF(INDEX(MASTER!$O$4:$O$1463,$P51)="","",INDEX(MASTER!$O$4:$O$1463,$P51)),""))</f>
        <v>S</v>
      </c>
      <c r="M51" s="15">
        <f>IF($P51="","",IFERROR(IF(INDEX(MASTER!$Q$4:$Q$1463,$P51)="","",INDEX(MASTER!$Q$4:$Q$1463,$P51)),""))</f>
        <v>24</v>
      </c>
      <c r="N51" s="15" t="str">
        <f>IF($P51="","",IFERROR(IF(INDEX(MASTER!$S$4:$S$1463,$P51)="","",INDEX(MASTER!$S$4:$S$1463,$P51)),""))</f>
        <v>Complete</v>
      </c>
      <c r="P51">
        <f>IFERROR(MATCH($Q$1&amp;"@43",MASTER!$AC$4:$AC$1463,0),"")</f>
        <v>457</v>
      </c>
    </row>
    <row r="52" spans="1:16">
      <c r="A52" s="19">
        <f>IF($P52="","",44)</f>
        <v>44</v>
      </c>
      <c r="B52" s="18" t="str">
        <f>IF($P52="","",IFERROR(IF(INDEX(MASTER!$C$4:$C$1463,$P52)="","",INDEX(MASTER!$C$4:$C$1463,$P52)),""))</f>
        <v>HavaSader</v>
      </c>
      <c r="C52" s="19" t="str">
        <f>IF($P52="","",IFERROR(IF(INDEX(MASTER!$D$4:$D$1463,$P52)="","",INDEX(MASTER!$D$4:$D$1463,$P52)),""))</f>
        <v/>
      </c>
      <c r="D52" s="19" t="str">
        <f>IF($P52="","",IFERROR(IF(INDEX(MASTER!$E$4:$E$1463,$P52)="","",INDEX(MASTER!$E$4:$E$1463,$P52)),""))</f>
        <v>CRUSADER</v>
      </c>
      <c r="E52" s="19" t="str">
        <f>IF($P52="","",IFERROR(IF(INDEX(MASTER!$F$4:$F$1463,$P52)="","",INDEX(MASTER!$F$4:$F$1463,$P52)),""))</f>
        <v>Frontline</v>
      </c>
      <c r="F52" s="20">
        <f>IF($P52="","",IFERROR(IF(INDEX(MASTER!$G$4:$G$1463,$P52)="","",INDEX(MASTER!$G$4:$G$1463,$P52)),""))</f>
        <v>62666</v>
      </c>
      <c r="G52" s="19" t="str">
        <f>IF($P52="","",IFERROR(IF(INDEX(MASTER!$H$4:$H$1463,$P52)="","",INDEX(MASTER!$H$4:$H$1463,$P52)),""))</f>
        <v>62,000 - 62,999</v>
      </c>
      <c r="H52" s="20">
        <f>IF($P52="","",IFERROR(IF(INDEX(MASTER!$I$4:$I$1463,$P52)="","",INDEX(MASTER!$I$4:$I$1463,$P52)),""))</f>
        <v>2130</v>
      </c>
      <c r="I52" s="19" t="str">
        <f>IF($P52="","",IFERROR(IF(INDEX(MASTER!$J$4:$J$1463,$P52)="","",INDEX(MASTER!$J$4:$J$1463,$P52)),""))</f>
        <v>DEVELOPING</v>
      </c>
      <c r="J52" s="21">
        <f>IF($P52="","",IFERROR(IF(INDEX(MASTER!$L$4:$L$1463,$P52)="","",INDEX(MASTER!$L$4:$L$1463,$P52)),""))</f>
        <v>3.9</v>
      </c>
      <c r="K52" s="21">
        <f>IF($P52="","",IFERROR(IF(INDEX(MASTER!$N$4:$N$1463,$P52)="","",INDEX(MASTER!$N$4:$N$1463,$P52)),""))</f>
        <v>36</v>
      </c>
      <c r="L52" s="19" t="str">
        <f>IF($P52="","",IFERROR(IF(INDEX(MASTER!$O$4:$O$1463,$P52)="","",INDEX(MASTER!$O$4:$O$1463,$P52)),""))</f>
        <v>B</v>
      </c>
      <c r="M52" s="19">
        <f>IF($P52="","",IFERROR(IF(INDEX(MASTER!$Q$4:$Q$1463,$P52)="","",INDEX(MASTER!$Q$4:$Q$1463,$P52)),""))</f>
        <v>100</v>
      </c>
      <c r="N52" s="19" t="str">
        <f>IF($P52="","",IFERROR(IF(INDEX(MASTER!$S$4:$S$1463,$P52)="","",INDEX(MASTER!$S$4:$S$1463,$P52)),""))</f>
        <v>Complete</v>
      </c>
      <c r="P52">
        <f>IFERROR(MATCH($Q$1&amp;"@44",MASTER!$AC$4:$AC$1463,0),"")</f>
        <v>476</v>
      </c>
    </row>
    <row r="53" spans="1:16">
      <c r="A53" s="15">
        <f>IF($P53="","",45)</f>
        <v>45</v>
      </c>
      <c r="B53" s="14" t="str">
        <f>IF($P53="","",IFERROR(IF(INDEX(MASTER!$C$4:$C$1463,$P53)="","",INDEX(MASTER!$C$4:$C$1463,$P53)),""))</f>
        <v>Haven81</v>
      </c>
      <c r="C53" s="15" t="str">
        <f>IF($P53="","",IFERROR(IF(INDEX(MASTER!$D$4:$D$1463,$P53)="","",INDEX(MASTER!$D$4:$D$1463,$P53)),""))</f>
        <v/>
      </c>
      <c r="D53" s="15" t="str">
        <f>IF($P53="","",IFERROR(IF(INDEX(MASTER!$E$4:$E$1463,$P53)="","",INDEX(MASTER!$E$4:$E$1463,$P53)),""))</f>
        <v>DEMON HUNTER</v>
      </c>
      <c r="E53" s="15" t="str">
        <f>IF($P53="","",IFERROR(IF(INDEX(MASTER!$F$4:$F$1463,$P53)="","",INDEX(MASTER!$F$4:$F$1463,$P53)),""))</f>
        <v>Ranged DPS</v>
      </c>
      <c r="F53" s="16">
        <f>IF($P53="","",IFERROR(IF(INDEX(MASTER!$G$4:$G$1463,$P53)="","",INDEX(MASTER!$G$4:$G$1463,$P53)),""))</f>
        <v>63908</v>
      </c>
      <c r="G53" s="15" t="str">
        <f>IF($P53="","",IFERROR(IF(INDEX(MASTER!$H$4:$H$1463,$P53)="","",INDEX(MASTER!$H$4:$H$1463,$P53)),""))</f>
        <v>63,000 - 63,999</v>
      </c>
      <c r="H53" s="16">
        <f>IF($P53="","",IFERROR(IF(INDEX(MASTER!$I$4:$I$1463,$P53)="","",INDEX(MASTER!$I$4:$I$1463,$P53)),""))</f>
        <v>7477</v>
      </c>
      <c r="I53" s="15" t="str">
        <f>IF($P53="","",IFERROR(IF(INDEX(MASTER!$J$4:$J$1463,$P53)="","",INDEX(MASTER!$J$4:$J$1463,$P53)),""))</f>
        <v>VETERAN</v>
      </c>
      <c r="J53" s="17">
        <f>IF($P53="","",IFERROR(IF(INDEX(MASTER!$L$4:$L$1463,$P53)="","",INDEX(MASTER!$L$4:$L$1463,$P53)),""))</f>
        <v>5.5</v>
      </c>
      <c r="K53" s="17">
        <f>IF($P53="","",IFERROR(IF(INDEX(MASTER!$N$4:$N$1463,$P53)="","",INDEX(MASTER!$N$4:$N$1463,$P53)),""))</f>
        <v>65.2</v>
      </c>
      <c r="L53" s="15" t="str">
        <f>IF($P53="","",IFERROR(IF(INDEX(MASTER!$O$4:$O$1463,$P53)="","",INDEX(MASTER!$O$4:$O$1463,$P53)),""))</f>
        <v>S</v>
      </c>
      <c r="M53" s="15">
        <f>IF($P53="","",IFERROR(IF(INDEX(MASTER!$Q$4:$Q$1463,$P53)="","",INDEX(MASTER!$Q$4:$Q$1463,$P53)),""))</f>
        <v>27</v>
      </c>
      <c r="N53" s="15" t="str">
        <f>IF($P53="","",IFERROR(IF(INDEX(MASTER!$S$4:$S$1463,$P53)="","",INDEX(MASTER!$S$4:$S$1463,$P53)),""))</f>
        <v>Complete</v>
      </c>
      <c r="P53">
        <f>IFERROR(MATCH($Q$1&amp;"@45",MASTER!$AC$4:$AC$1463,0),"")</f>
        <v>477</v>
      </c>
    </row>
    <row r="54" spans="1:16">
      <c r="A54" s="19">
        <f>IF($P54="","",46)</f>
        <v>46</v>
      </c>
      <c r="B54" s="18" t="str">
        <f>IF($P54="","",IFERROR(IF(INDEX(MASTER!$C$4:$C$1463,$P54)="","",INDEX(MASTER!$C$4:$C$1463,$P54)),""))</f>
        <v>Hook</v>
      </c>
      <c r="C54" s="19" t="str">
        <f>IF($P54="","",IFERROR(IF(INDEX(MASTER!$D$4:$D$1463,$P54)="","",INDEX(MASTER!$D$4:$D$1463,$P54)),""))</f>
        <v/>
      </c>
      <c r="D54" s="19" t="str">
        <f>IF($P54="","",IFERROR(IF(INDEX(MASTER!$E$4:$E$1463,$P54)="","",INDEX(MASTER!$E$4:$E$1463,$P54)),""))</f>
        <v>DEMON HUNTER</v>
      </c>
      <c r="E54" s="19" t="str">
        <f>IF($P54="","",IFERROR(IF(INDEX(MASTER!$F$4:$F$1463,$P54)="","",INDEX(MASTER!$F$4:$F$1463,$P54)),""))</f>
        <v>Ranged DPS</v>
      </c>
      <c r="F54" s="20">
        <f>IF($P54="","",IFERROR(IF(INDEX(MASTER!$G$4:$G$1463,$P54)="","",INDEX(MASTER!$G$4:$G$1463,$P54)),""))</f>
        <v>63049</v>
      </c>
      <c r="G54" s="19" t="str">
        <f>IF($P54="","",IFERROR(IF(INDEX(MASTER!$H$4:$H$1463,$P54)="","",INDEX(MASTER!$H$4:$H$1463,$P54)),""))</f>
        <v>63,000 - 63,999</v>
      </c>
      <c r="H54" s="20">
        <f>IF($P54="","",IFERROR(IF(INDEX(MASTER!$I$4:$I$1463,$P54)="","",INDEX(MASTER!$I$4:$I$1463,$P54)),""))</f>
        <v>4956</v>
      </c>
      <c r="I54" s="19" t="str">
        <f>IF($P54="","",IFERROR(IF(INDEX(MASTER!$J$4:$J$1463,$P54)="","",INDEX(MASTER!$J$4:$J$1463,$P54)),""))</f>
        <v>CORE</v>
      </c>
      <c r="J54" s="21">
        <f>IF($P54="","",IFERROR(IF(INDEX(MASTER!$L$4:$L$1463,$P54)="","",INDEX(MASTER!$L$4:$L$1463,$P54)),""))</f>
        <v>7</v>
      </c>
      <c r="K54" s="21">
        <f>IF($P54="","",IFERROR(IF(INDEX(MASTER!$N$4:$N$1463,$P54)="","",INDEX(MASTER!$N$4:$N$1463,$P54)),""))</f>
        <v>54.5</v>
      </c>
      <c r="L54" s="19" t="str">
        <f>IF($P54="","",IFERROR(IF(INDEX(MASTER!$O$4:$O$1463,$P54)="","",INDEX(MASTER!$O$4:$O$1463,$P54)),""))</f>
        <v>A</v>
      </c>
      <c r="M54" s="19">
        <f>IF($P54="","",IFERROR(IF(INDEX(MASTER!$Q$4:$Q$1463,$P54)="","",INDEX(MASTER!$Q$4:$Q$1463,$P54)),""))</f>
        <v>50</v>
      </c>
      <c r="N54" s="19" t="str">
        <f>IF($P54="","",IFERROR(IF(INDEX(MASTER!$S$4:$S$1463,$P54)="","",INDEX(MASTER!$S$4:$S$1463,$P54)),""))</f>
        <v>Complete</v>
      </c>
      <c r="P54">
        <f>IFERROR(MATCH($Q$1&amp;"@46",MASTER!$AC$4:$AC$1463,0),"")</f>
        <v>511</v>
      </c>
    </row>
    <row r="55" spans="1:16">
      <c r="A55" s="15">
        <f>IF($P55="","",47)</f>
        <v>47</v>
      </c>
      <c r="B55" s="14" t="str">
        <f>IF($P55="","",IFERROR(IF(INDEX(MASTER!$C$4:$C$1463,$P55)="","",INDEX(MASTER!$C$4:$C$1463,$P55)),""))</f>
        <v>Houstyn</v>
      </c>
      <c r="C55" s="15" t="str">
        <f>IF($P55="","",IFERROR(IF(INDEX(MASTER!$D$4:$D$1463,$P55)="","",INDEX(MASTER!$D$4:$D$1463,$P55)),""))</f>
        <v/>
      </c>
      <c r="D55" s="15" t="str">
        <f>IF($P55="","",IFERROR(IF(INDEX(MASTER!$E$4:$E$1463,$P55)="","",INDEX(MASTER!$E$4:$E$1463,$P55)),""))</f>
        <v>TEMPEST</v>
      </c>
      <c r="E55" s="15" t="str">
        <f>IF($P55="","",IFERROR(IF(INDEX(MASTER!$F$4:$F$1463,$P55)="","",INDEX(MASTER!$F$4:$F$1463,$P55)),""))</f>
        <v>Melee DPS</v>
      </c>
      <c r="F55" s="16">
        <f>IF($P55="","",IFERROR(IF(INDEX(MASTER!$G$4:$G$1463,$P55)="","",INDEX(MASTER!$G$4:$G$1463,$P55)),""))</f>
        <v>60473</v>
      </c>
      <c r="G55" s="15" t="str">
        <f>IF($P55="","",IFERROR(IF(INDEX(MASTER!$H$4:$H$1463,$P55)="","",INDEX(MASTER!$H$4:$H$1463,$P55)),""))</f>
        <v>60,000 - 60,999</v>
      </c>
      <c r="H55" s="16">
        <f>IF($P55="","",IFERROR(IF(INDEX(MASTER!$I$4:$I$1463,$P55)="","",INDEX(MASTER!$I$4:$I$1463,$P55)),""))</f>
        <v>3046</v>
      </c>
      <c r="I55" s="15" t="str">
        <f>IF($P55="","",IFERROR(IF(INDEX(MASTER!$J$4:$J$1463,$P55)="","",INDEX(MASTER!$J$4:$J$1463,$P55)),""))</f>
        <v>DEVELOPING</v>
      </c>
      <c r="J55" s="17">
        <f>IF($P55="","",IFERROR(IF(INDEX(MASTER!$L$4:$L$1463,$P55)="","",INDEX(MASTER!$L$4:$L$1463,$P55)),""))</f>
        <v>4.75</v>
      </c>
      <c r="K55" s="17">
        <f>IF($P55="","",IFERROR(IF(INDEX(MASTER!$N$4:$N$1463,$P55)="","",INDEX(MASTER!$N$4:$N$1463,$P55)),""))</f>
        <v>35.6</v>
      </c>
      <c r="L55" s="15" t="str">
        <f>IF($P55="","",IFERROR(IF(INDEX(MASTER!$O$4:$O$1463,$P55)="","",INDEX(MASTER!$O$4:$O$1463,$P55)),""))</f>
        <v>B</v>
      </c>
      <c r="M55" s="15">
        <f>IF($P55="","",IFERROR(IF(INDEX(MASTER!$Q$4:$Q$1463,$P55)="","",INDEX(MASTER!$Q$4:$Q$1463,$P55)),""))</f>
        <v>89</v>
      </c>
      <c r="N55" s="15" t="str">
        <f>IF($P55="","",IFERROR(IF(INDEX(MASTER!$S$4:$S$1463,$P55)="","",INDEX(MASTER!$S$4:$S$1463,$P55)),""))</f>
        <v>Complete</v>
      </c>
      <c r="P55">
        <f>IFERROR(MATCH($Q$1&amp;"@47",MASTER!$AC$4:$AC$1463,0),"")</f>
        <v>512</v>
      </c>
    </row>
    <row r="56" spans="1:16">
      <c r="A56" s="19">
        <f>IF($P56="","",48)</f>
        <v>48</v>
      </c>
      <c r="B56" s="18" t="str">
        <f>IF($P56="","",IFERROR(IF(INDEX(MASTER!$C$4:$C$1463,$P56)="","",INDEX(MASTER!$C$4:$C$1463,$P56)),""))</f>
        <v>HustleTrees</v>
      </c>
      <c r="C56" s="19" t="str">
        <f>IF($P56="","",IFERROR(IF(INDEX(MASTER!$D$4:$D$1463,$P56)="","",INDEX(MASTER!$D$4:$D$1463,$P56)),""))</f>
        <v/>
      </c>
      <c r="D56" s="19" t="str">
        <f>IF($P56="","",IFERROR(IF(INDEX(MASTER!$E$4:$E$1463,$P56)="","",INDEX(MASTER!$E$4:$E$1463,$P56)),""))</f>
        <v>TEMPEST</v>
      </c>
      <c r="E56" s="19" t="str">
        <f>IF($P56="","",IFERROR(IF(INDEX(MASTER!$F$4:$F$1463,$P56)="","",INDEX(MASTER!$F$4:$F$1463,$P56)),""))</f>
        <v>Melee DPS</v>
      </c>
      <c r="F56" s="20">
        <f>IF($P56="","",IFERROR(IF(INDEX(MASTER!$G$4:$G$1463,$P56)="","",INDEX(MASTER!$G$4:$G$1463,$P56)),""))</f>
        <v>61830</v>
      </c>
      <c r="G56" s="19" t="str">
        <f>IF($P56="","",IFERROR(IF(INDEX(MASTER!$H$4:$H$1463,$P56)="","",INDEX(MASTER!$H$4:$H$1463,$P56)),""))</f>
        <v>61,000 - 61,999</v>
      </c>
      <c r="H56" s="20">
        <f>IF($P56="","",IFERROR(IF(INDEX(MASTER!$I$4:$I$1463,$P56)="","",INDEX(MASTER!$I$4:$I$1463,$P56)),""))</f>
        <v>4002</v>
      </c>
      <c r="I56" s="19" t="str">
        <f>IF($P56="","",IFERROR(IF(INDEX(MASTER!$J$4:$J$1463,$P56)="","",INDEX(MASTER!$J$4:$J$1463,$P56)),""))</f>
        <v>CORE</v>
      </c>
      <c r="J56" s="21">
        <f>IF($P56="","",IFERROR(IF(INDEX(MASTER!$L$4:$L$1463,$P56)="","",INDEX(MASTER!$L$4:$L$1463,$P56)),""))</f>
        <v>4.5</v>
      </c>
      <c r="K56" s="21">
        <f>IF($P56="","",IFERROR(IF(INDEX(MASTER!$N$4:$N$1463,$P56)="","",INDEX(MASTER!$N$4:$N$1463,$P56)),""))</f>
        <v>42.9</v>
      </c>
      <c r="L56" s="19" t="str">
        <f>IF($P56="","",IFERROR(IF(INDEX(MASTER!$O$4:$O$1463,$P56)="","",INDEX(MASTER!$O$4:$O$1463,$P56)),""))</f>
        <v>B</v>
      </c>
      <c r="M56" s="19">
        <f>IF($P56="","",IFERROR(IF(INDEX(MASTER!$Q$4:$Q$1463,$P56)="","",INDEX(MASTER!$Q$4:$Q$1463,$P56)),""))</f>
        <v>64</v>
      </c>
      <c r="N56" s="19" t="str">
        <f>IF($P56="","",IFERROR(IF(INDEX(MASTER!$S$4:$S$1463,$P56)="","",INDEX(MASTER!$S$4:$S$1463,$P56)),""))</f>
        <v>Complete</v>
      </c>
      <c r="P56">
        <f>IFERROR(MATCH($Q$1&amp;"@48",MASTER!$AC$4:$AC$1463,0),"")</f>
        <v>520</v>
      </c>
    </row>
    <row r="57" spans="1:16">
      <c r="A57" s="15">
        <f>IF($P57="","",49)</f>
        <v>49</v>
      </c>
      <c r="B57" s="14" t="str">
        <f>IF($P57="","",IFERROR(IF(INDEX(MASTER!$C$4:$C$1463,$P57)="","",INDEX(MASTER!$C$4:$C$1463,$P57)),""))</f>
        <v>Iruu</v>
      </c>
      <c r="C57" s="15" t="str">
        <f>IF($P57="","",IFERROR(IF(INDEX(MASTER!$D$4:$D$1463,$P57)="","",INDEX(MASTER!$D$4:$D$1463,$P57)),""))</f>
        <v/>
      </c>
      <c r="D57" s="15" t="str">
        <f>IF($P57="","",IFERROR(IF(INDEX(MASTER!$E$4:$E$1463,$P57)="","",INDEX(MASTER!$E$4:$E$1463,$P57)),""))</f>
        <v>WIZARD</v>
      </c>
      <c r="E57" s="15" t="str">
        <f>IF($P57="","",IFERROR(IF(INDEX(MASTER!$F$4:$F$1463,$P57)="","",INDEX(MASTER!$F$4:$F$1463,$P57)),""))</f>
        <v>Ranged DPS</v>
      </c>
      <c r="F57" s="16">
        <f>IF($P57="","",IFERROR(IF(INDEX(MASTER!$G$4:$G$1463,$P57)="","",INDEX(MASTER!$G$4:$G$1463,$P57)),""))</f>
        <v>62522</v>
      </c>
      <c r="G57" s="15" t="str">
        <f>IF($P57="","",IFERROR(IF(INDEX(MASTER!$H$4:$H$1463,$P57)="","",INDEX(MASTER!$H$4:$H$1463,$P57)),""))</f>
        <v>62,000 - 62,999</v>
      </c>
      <c r="H57" s="16">
        <f>IF($P57="","",IFERROR(IF(INDEX(MASTER!$I$4:$I$1463,$P57)="","",INDEX(MASTER!$I$4:$I$1463,$P57)),""))</f>
        <v>3716</v>
      </c>
      <c r="I57" s="15" t="str">
        <f>IF($P57="","",IFERROR(IF(INDEX(MASTER!$J$4:$J$1463,$P57)="","",INDEX(MASTER!$J$4:$J$1463,$P57)),""))</f>
        <v>DEVELOPING</v>
      </c>
      <c r="J57" s="17">
        <f>IF($P57="","",IFERROR(IF(INDEX(MASTER!$L$4:$L$1463,$P57)="","",INDEX(MASTER!$L$4:$L$1463,$P57)),""))</f>
        <v>6.2</v>
      </c>
      <c r="K57" s="17">
        <f>IF($P57="","",IFERROR(IF(INDEX(MASTER!$N$4:$N$1463,$P57)="","",INDEX(MASTER!$N$4:$N$1463,$P57)),""))</f>
        <v>46.3</v>
      </c>
      <c r="L57" s="15" t="str">
        <f>IF($P57="","",IFERROR(IF(INDEX(MASTER!$O$4:$O$1463,$P57)="","",INDEX(MASTER!$O$4:$O$1463,$P57)),""))</f>
        <v>B</v>
      </c>
      <c r="M57" s="15">
        <f>IF($P57="","",IFERROR(IF(INDEX(MASTER!$Q$4:$Q$1463,$P57)="","",INDEX(MASTER!$Q$4:$Q$1463,$P57)),""))</f>
        <v>68</v>
      </c>
      <c r="N57" s="15" t="str">
        <f>IF($P57="","",IFERROR(IF(INDEX(MASTER!$S$4:$S$1463,$P57)="","",INDEX(MASTER!$S$4:$S$1463,$P57)),""))</f>
        <v>Complete</v>
      </c>
      <c r="P57">
        <f>IFERROR(MATCH($Q$1&amp;"@49",MASTER!$AC$4:$AC$1463,0),"")</f>
        <v>536</v>
      </c>
    </row>
    <row r="58" spans="1:16">
      <c r="A58" s="19">
        <f>IF($P58="","",50)</f>
        <v>50</v>
      </c>
      <c r="B58" s="18" t="str">
        <f>IF($P58="","",IFERROR(IF(INDEX(MASTER!$C$4:$C$1463,$P58)="","",INDEX(MASTER!$C$4:$C$1463,$P58)),""))</f>
        <v>IvartehBoneless</v>
      </c>
      <c r="C58" s="19" t="str">
        <f>IF($P58="","",IFERROR(IF(INDEX(MASTER!$D$4:$D$1463,$P58)="","",INDEX(MASTER!$D$4:$D$1463,$P58)),""))</f>
        <v/>
      </c>
      <c r="D58" s="19" t="str">
        <f>IF($P58="","",IFERROR(IF(INDEX(MASTER!$E$4:$E$1463,$P58)="","",INDEX(MASTER!$E$4:$E$1463,$P58)),""))</f>
        <v>WARLOCK</v>
      </c>
      <c r="E58" s="19" t="str">
        <f>IF($P58="","",IFERROR(IF(INDEX(MASTER!$F$4:$F$1463,$P58)="","",INDEX(MASTER!$F$4:$F$1463,$P58)),""))</f>
        <v>Control</v>
      </c>
      <c r="F58" s="20">
        <f>IF($P58="","",IFERROR(IF(INDEX(MASTER!$G$4:$G$1463,$P58)="","",INDEX(MASTER!$G$4:$G$1463,$P58)),""))</f>
        <v>64247</v>
      </c>
      <c r="G58" s="19" t="str">
        <f>IF($P58="","",IFERROR(IF(INDEX(MASTER!$H$4:$H$1463,$P58)="","",INDEX(MASTER!$H$4:$H$1463,$P58)),""))</f>
        <v>64,000 +</v>
      </c>
      <c r="H58" s="20">
        <f>IF($P58="","",IFERROR(IF(INDEX(MASTER!$I$4:$I$1463,$P58)="","",INDEX(MASTER!$I$4:$I$1463,$P58)),""))</f>
        <v>9701</v>
      </c>
      <c r="I58" s="19" t="str">
        <f>IF($P58="","",IFERROR(IF(INDEX(MASTER!$J$4:$J$1463,$P58)="","",INDEX(MASTER!$J$4:$J$1463,$P58)),""))</f>
        <v>ELITE</v>
      </c>
      <c r="J58" s="21">
        <f>IF($P58="","",IFERROR(IF(INDEX(MASTER!$L$4:$L$1463,$P58)="","",INDEX(MASTER!$L$4:$L$1463,$P58)),""))</f>
        <v>6.83</v>
      </c>
      <c r="K58" s="21">
        <f>IF($P58="","",IFERROR(IF(INDEX(MASTER!$N$4:$N$1463,$P58)="","",INDEX(MASTER!$N$4:$N$1463,$P58)),""))</f>
        <v>78.099999999999994</v>
      </c>
      <c r="L58" s="19" t="str">
        <f>IF($P58="","",IFERROR(IF(INDEX(MASTER!$O$4:$O$1463,$P58)="","",INDEX(MASTER!$O$4:$O$1463,$P58)),""))</f>
        <v>S</v>
      </c>
      <c r="M58" s="19">
        <f>IF($P58="","",IFERROR(IF(INDEX(MASTER!$Q$4:$Q$1463,$P58)="","",INDEX(MASTER!$Q$4:$Q$1463,$P58)),""))</f>
        <v>15</v>
      </c>
      <c r="N58" s="19" t="str">
        <f>IF($P58="","",IFERROR(IF(INDEX(MASTER!$S$4:$S$1463,$P58)="","",INDEX(MASTER!$S$4:$S$1463,$P58)),""))</f>
        <v>Complete</v>
      </c>
      <c r="P58">
        <f>IFERROR(MATCH($Q$1&amp;"@50",MASTER!$AC$4:$AC$1463,0),"")</f>
        <v>542</v>
      </c>
    </row>
    <row r="59" spans="1:16">
      <c r="A59" s="15">
        <f>IF($P59="","",51)</f>
        <v>51</v>
      </c>
      <c r="B59" s="14" t="str">
        <f>IF($P59="","",IFERROR(IF(INDEX(MASTER!$C$4:$C$1463,$P59)="","",INDEX(MASTER!$C$4:$C$1463,$P59)),""))</f>
        <v>Jinx</v>
      </c>
      <c r="C59" s="15" t="str">
        <f>IF($P59="","",IFERROR(IF(INDEX(MASTER!$D$4:$D$1463,$P59)="","",INDEX(MASTER!$D$4:$D$1463,$P59)),""))</f>
        <v/>
      </c>
      <c r="D59" s="15" t="str">
        <f>IF($P59="","",IFERROR(IF(INDEX(MASTER!$E$4:$E$1463,$P59)="","",INDEX(MASTER!$E$4:$E$1463,$P59)),""))</f>
        <v>BARBARIAN</v>
      </c>
      <c r="E59" s="15" t="str">
        <f>IF($P59="","",IFERROR(IF(INDEX(MASTER!$F$4:$F$1463,$P59)="","",INDEX(MASTER!$F$4:$F$1463,$P59)),""))</f>
        <v>Frontline</v>
      </c>
      <c r="F59" s="16">
        <f>IF($P59="","",IFERROR(IF(INDEX(MASTER!$G$4:$G$1463,$P59)="","",INDEX(MASTER!$G$4:$G$1463,$P59)),""))</f>
        <v>64368</v>
      </c>
      <c r="G59" s="15" t="str">
        <f>IF($P59="","",IFERROR(IF(INDEX(MASTER!$H$4:$H$1463,$P59)="","",INDEX(MASTER!$H$4:$H$1463,$P59)),""))</f>
        <v>64,000 +</v>
      </c>
      <c r="H59" s="16">
        <f>IF($P59="","",IFERROR(IF(INDEX(MASTER!$I$4:$I$1463,$P59)="","",INDEX(MASTER!$I$4:$I$1463,$P59)),""))</f>
        <v>10553</v>
      </c>
      <c r="I59" s="15" t="str">
        <f>IF($P59="","",IFERROR(IF(INDEX(MASTER!$J$4:$J$1463,$P59)="","",INDEX(MASTER!$J$4:$J$1463,$P59)),""))</f>
        <v>APEX</v>
      </c>
      <c r="J59" s="17">
        <f>IF($P59="","",IFERROR(IF(INDEX(MASTER!$L$4:$L$1463,$P59)="","",INDEX(MASTER!$L$4:$L$1463,$P59)),""))</f>
        <v>9</v>
      </c>
      <c r="K59" s="17">
        <f>IF($P59="","",IFERROR(IF(INDEX(MASTER!$N$4:$N$1463,$P59)="","",INDEX(MASTER!$N$4:$N$1463,$P59)),""))</f>
        <v>85.7</v>
      </c>
      <c r="L59" s="15" t="str">
        <f>IF($P59="","",IFERROR(IF(INDEX(MASTER!$O$4:$O$1463,$P59)="","",INDEX(MASTER!$O$4:$O$1463,$P59)),""))</f>
        <v>S+</v>
      </c>
      <c r="M59" s="15">
        <f>IF($P59="","",IFERROR(IF(INDEX(MASTER!$Q$4:$Q$1463,$P59)="","",INDEX(MASTER!$Q$4:$Q$1463,$P59)),""))</f>
        <v>7</v>
      </c>
      <c r="N59" s="15" t="str">
        <f>IF($P59="","",IFERROR(IF(INDEX(MASTER!$S$4:$S$1463,$P59)="","",INDEX(MASTER!$S$4:$S$1463,$P59)),""))</f>
        <v>Complete</v>
      </c>
      <c r="P59">
        <f>IFERROR(MATCH($Q$1&amp;"@51",MASTER!$AC$4:$AC$1463,0),"")</f>
        <v>563</v>
      </c>
    </row>
    <row r="60" spans="1:16">
      <c r="A60" s="19">
        <f>IF($P60="","",52)</f>
        <v>52</v>
      </c>
      <c r="B60" s="18" t="str">
        <f>IF($P60="","",IFERROR(IF(INDEX(MASTER!$C$4:$C$1463,$P60)="","",INDEX(MASTER!$C$4:$C$1463,$P60)),""))</f>
        <v>KAMURi</v>
      </c>
      <c r="C60" s="19" t="str">
        <f>IF($P60="","",IFERROR(IF(INDEX(MASTER!$D$4:$D$1463,$P60)="","",INDEX(MASTER!$D$4:$D$1463,$P60)),""))</f>
        <v>TEMU</v>
      </c>
      <c r="D60" s="19" t="str">
        <f>IF($P60="","",IFERROR(IF(INDEX(MASTER!$E$4:$E$1463,$P60)="","",INDEX(MASTER!$E$4:$E$1463,$P60)),""))</f>
        <v>DEMON HUNTER</v>
      </c>
      <c r="E60" s="19" t="str">
        <f>IF($P60="","",IFERROR(IF(INDEX(MASTER!$F$4:$F$1463,$P60)="","",INDEX(MASTER!$F$4:$F$1463,$P60)),""))</f>
        <v>Ranged DPS</v>
      </c>
      <c r="F60" s="20">
        <f>IF($P60="","",IFERROR(IF(INDEX(MASTER!$G$4:$G$1463,$P60)="","",INDEX(MASTER!$G$4:$G$1463,$P60)),""))</f>
        <v>62262</v>
      </c>
      <c r="G60" s="19" t="str">
        <f>IF($P60="","",IFERROR(IF(INDEX(MASTER!$H$4:$H$1463,$P60)="","",INDEX(MASTER!$H$4:$H$1463,$P60)),""))</f>
        <v>62,000 - 62,999</v>
      </c>
      <c r="H60" s="20">
        <f>IF($P60="","",IFERROR(IF(INDEX(MASTER!$I$4:$I$1463,$P60)="","",INDEX(MASTER!$I$4:$I$1463,$P60)),""))</f>
        <v>4939</v>
      </c>
      <c r="I60" s="19" t="str">
        <f>IF($P60="","",IFERROR(IF(INDEX(MASTER!$J$4:$J$1463,$P60)="","",INDEX(MASTER!$J$4:$J$1463,$P60)),""))</f>
        <v>CORE</v>
      </c>
      <c r="J60" s="21">
        <f>IF($P60="","",IFERROR(IF(INDEX(MASTER!$L$4:$L$1463,$P60)="","",INDEX(MASTER!$L$4:$L$1463,$P60)),""))</f>
        <v>4.4000000000000004</v>
      </c>
      <c r="K60" s="21">
        <f>IF($P60="","",IFERROR(IF(INDEX(MASTER!$N$4:$N$1463,$P60)="","",INDEX(MASTER!$N$4:$N$1463,$P60)),""))</f>
        <v>48</v>
      </c>
      <c r="L60" s="19" t="str">
        <f>IF($P60="","",IFERROR(IF(INDEX(MASTER!$O$4:$O$1463,$P60)="","",INDEX(MASTER!$O$4:$O$1463,$P60)),""))</f>
        <v>B</v>
      </c>
      <c r="M60" s="19">
        <f>IF($P60="","",IFERROR(IF(INDEX(MASTER!$Q$4:$Q$1463,$P60)="","",INDEX(MASTER!$Q$4:$Q$1463,$P60)),""))</f>
        <v>51</v>
      </c>
      <c r="N60" s="19" t="str">
        <f>IF($P60="","",IFERROR(IF(INDEX(MASTER!$S$4:$S$1463,$P60)="","",INDEX(MASTER!$S$4:$S$1463,$P60)),""))</f>
        <v>Complete</v>
      </c>
      <c r="P60">
        <f>IFERROR(MATCH($Q$1&amp;"@52",MASTER!$AC$4:$AC$1463,0),"")</f>
        <v>587</v>
      </c>
    </row>
    <row r="61" spans="1:16">
      <c r="A61" s="15">
        <f>IF($P61="","",53)</f>
        <v>53</v>
      </c>
      <c r="B61" s="14" t="str">
        <f>IF($P61="","",IFERROR(IF(INDEX(MASTER!$C$4:$C$1463,$P61)="","",INDEX(MASTER!$C$4:$C$1463,$P61)),""))</f>
        <v>KèèKota</v>
      </c>
      <c r="C61" s="15" t="str">
        <f>IF($P61="","",IFERROR(IF(INDEX(MASTER!$D$4:$D$1463,$P61)="","",INDEX(MASTER!$D$4:$D$1463,$P61)),""))</f>
        <v/>
      </c>
      <c r="D61" s="15" t="str">
        <f>IF($P61="","",IFERROR(IF(INDEX(MASTER!$E$4:$E$1463,$P61)="","",INDEX(MASTER!$E$4:$E$1463,$P61)),""))</f>
        <v>BARBARIAN</v>
      </c>
      <c r="E61" s="15" t="str">
        <f>IF($P61="","",IFERROR(IF(INDEX(MASTER!$F$4:$F$1463,$P61)="","",INDEX(MASTER!$F$4:$F$1463,$P61)),""))</f>
        <v>Frontline</v>
      </c>
      <c r="F61" s="16">
        <f>IF($P61="","",IFERROR(IF(INDEX(MASTER!$G$4:$G$1463,$P61)="","",INDEX(MASTER!$G$4:$G$1463,$P61)),""))</f>
        <v>62102</v>
      </c>
      <c r="G61" s="15" t="str">
        <f>IF($P61="","",IFERROR(IF(INDEX(MASTER!$H$4:$H$1463,$P61)="","",INDEX(MASTER!$H$4:$H$1463,$P61)),""))</f>
        <v>62,000 - 62,999</v>
      </c>
      <c r="H61" s="16">
        <f>IF($P61="","",IFERROR(IF(INDEX(MASTER!$I$4:$I$1463,$P61)="","",INDEX(MASTER!$I$4:$I$1463,$P61)),""))</f>
        <v>3410</v>
      </c>
      <c r="I61" s="15" t="str">
        <f>IF($P61="","",IFERROR(IF(INDEX(MASTER!$J$4:$J$1463,$P61)="","",INDEX(MASTER!$J$4:$J$1463,$P61)),""))</f>
        <v>DEVELOPING</v>
      </c>
      <c r="J61" s="17">
        <f>IF($P61="","",IFERROR(IF(INDEX(MASTER!$L$4:$L$1463,$P61)="","",INDEX(MASTER!$L$4:$L$1463,$P61)),""))</f>
        <v>4.55</v>
      </c>
      <c r="K61" s="17">
        <f>IF($P61="","",IFERROR(IF(INDEX(MASTER!$N$4:$N$1463,$P61)="","",INDEX(MASTER!$N$4:$N$1463,$P61)),""))</f>
        <v>41.2</v>
      </c>
      <c r="L61" s="15" t="str">
        <f>IF($P61="","",IFERROR(IF(INDEX(MASTER!$O$4:$O$1463,$P61)="","",INDEX(MASTER!$O$4:$O$1463,$P61)),""))</f>
        <v>B</v>
      </c>
      <c r="M61" s="15">
        <f>IF($P61="","",IFERROR(IF(INDEX(MASTER!$Q$4:$Q$1463,$P61)="","",INDEX(MASTER!$Q$4:$Q$1463,$P61)),""))</f>
        <v>77</v>
      </c>
      <c r="N61" s="15" t="str">
        <f>IF($P61="","",IFERROR(IF(INDEX(MASTER!$S$4:$S$1463,$P61)="","",INDEX(MASTER!$S$4:$S$1463,$P61)),""))</f>
        <v>Complete</v>
      </c>
      <c r="P61">
        <f>IFERROR(MATCH($Q$1&amp;"@53",MASTER!$AC$4:$AC$1463,0),"")</f>
        <v>640</v>
      </c>
    </row>
    <row r="62" spans="1:16">
      <c r="A62" s="19">
        <f>IF($P62="","",54)</f>
        <v>54</v>
      </c>
      <c r="B62" s="18" t="str">
        <f>IF($P62="","",IFERROR(IF(INDEX(MASTER!$C$4:$C$1463,$P62)="","",INDEX(MASTER!$C$4:$C$1463,$P62)),""))</f>
        <v>Konedaffi</v>
      </c>
      <c r="C62" s="19" t="str">
        <f>IF($P62="","",IFERROR(IF(INDEX(MASTER!$D$4:$D$1463,$P62)="","",INDEX(MASTER!$D$4:$D$1463,$P62)),""))</f>
        <v/>
      </c>
      <c r="D62" s="19" t="str">
        <f>IF($P62="","",IFERROR(IF(INDEX(MASTER!$E$4:$E$1463,$P62)="","",INDEX(MASTER!$E$4:$E$1463,$P62)),""))</f>
        <v>DEMON HUNTER</v>
      </c>
      <c r="E62" s="19" t="str">
        <f>IF($P62="","",IFERROR(IF(INDEX(MASTER!$F$4:$F$1463,$P62)="","",INDEX(MASTER!$F$4:$F$1463,$P62)),""))</f>
        <v>Ranged DPS</v>
      </c>
      <c r="F62" s="20">
        <f>IF($P62="","",IFERROR(IF(INDEX(MASTER!$G$4:$G$1463,$P62)="","",INDEX(MASTER!$G$4:$G$1463,$P62)),""))</f>
        <v>62941</v>
      </c>
      <c r="G62" s="19" t="str">
        <f>IF($P62="","",IFERROR(IF(INDEX(MASTER!$H$4:$H$1463,$P62)="","",INDEX(MASTER!$H$4:$H$1463,$P62)),""))</f>
        <v>62,000 - 62,999</v>
      </c>
      <c r="H62" s="20">
        <f>IF($P62="","",IFERROR(IF(INDEX(MASTER!$I$4:$I$1463,$P62)="","",INDEX(MASTER!$I$4:$I$1463,$P62)),""))</f>
        <v>6887</v>
      </c>
      <c r="I62" s="19" t="str">
        <f>IF($P62="","",IFERROR(IF(INDEX(MASTER!$J$4:$J$1463,$P62)="","",INDEX(MASTER!$J$4:$J$1463,$P62)),""))</f>
        <v>VETERAN</v>
      </c>
      <c r="J62" s="21">
        <f>IF($P62="","",IFERROR(IF(INDEX(MASTER!$L$4:$L$1463,$P62)="","",INDEX(MASTER!$L$4:$L$1463,$P62)),""))</f>
        <v>5.8</v>
      </c>
      <c r="K62" s="21">
        <f>IF($P62="","",IFERROR(IF(INDEX(MASTER!$N$4:$N$1463,$P62)="","",INDEX(MASTER!$N$4:$N$1463,$P62)),""))</f>
        <v>60.6</v>
      </c>
      <c r="L62" s="19" t="str">
        <f>IF($P62="","",IFERROR(IF(INDEX(MASTER!$O$4:$O$1463,$P62)="","",INDEX(MASTER!$O$4:$O$1463,$P62)),""))</f>
        <v>A</v>
      </c>
      <c r="M62" s="19">
        <f>IF($P62="","",IFERROR(IF(INDEX(MASTER!$Q$4:$Q$1463,$P62)="","",INDEX(MASTER!$Q$4:$Q$1463,$P62)),""))</f>
        <v>30</v>
      </c>
      <c r="N62" s="19" t="str">
        <f>IF($P62="","",IFERROR(IF(INDEX(MASTER!$S$4:$S$1463,$P62)="","",INDEX(MASTER!$S$4:$S$1463,$P62)),""))</f>
        <v>Complete</v>
      </c>
      <c r="P62">
        <f>IFERROR(MATCH($Q$1&amp;"@54",MASTER!$AC$4:$AC$1463,0),"")</f>
        <v>620</v>
      </c>
    </row>
    <row r="63" spans="1:16">
      <c r="A63" s="15">
        <f>IF($P63="","",55)</f>
        <v>55</v>
      </c>
      <c r="B63" s="14" t="str">
        <f>IF($P63="","",IFERROR(IF(INDEX(MASTER!$C$4:$C$1463,$P63)="","",INDEX(MASTER!$C$4:$C$1463,$P63)),""))</f>
        <v>Mandirin Char #1</v>
      </c>
      <c r="C63" s="15" t="str">
        <f>IF($P63="","",IFERROR(IF(INDEX(MASTER!$D$4:$D$1463,$P63)="","",INDEX(MASTER!$D$4:$D$1463,$P63)),""))</f>
        <v/>
      </c>
      <c r="D63" s="15" t="str">
        <f>IF($P63="","",IFERROR(IF(INDEX(MASTER!$E$4:$E$1463,$P63)="","",INDEX(MASTER!$E$4:$E$1463,$P63)),""))</f>
        <v>WARLOCK</v>
      </c>
      <c r="E63" s="15" t="str">
        <f>IF($P63="","",IFERROR(IF(INDEX(MASTER!$F$4:$F$1463,$P63)="","",INDEX(MASTER!$F$4:$F$1463,$P63)),""))</f>
        <v>Control</v>
      </c>
      <c r="F63" s="16">
        <f>IF($P63="","",IFERROR(IF(INDEX(MASTER!$G$4:$G$1463,$P63)="","",INDEX(MASTER!$G$4:$G$1463,$P63)),""))</f>
        <v>64347</v>
      </c>
      <c r="G63" s="15" t="str">
        <f>IF($P63="","",IFERROR(IF(INDEX(MASTER!$H$4:$H$1463,$P63)="","",INDEX(MASTER!$H$4:$H$1463,$P63)),""))</f>
        <v>64,000 +</v>
      </c>
      <c r="H63" s="16">
        <f>IF($P63="","",IFERROR(IF(INDEX(MASTER!$I$4:$I$1463,$P63)="","",INDEX(MASTER!$I$4:$I$1463,$P63)),""))</f>
        <v>11506</v>
      </c>
      <c r="I63" s="15" t="str">
        <f>IF($P63="","",IFERROR(IF(INDEX(MASTER!$J$4:$J$1463,$P63)="","",INDEX(MASTER!$J$4:$J$1463,$P63)),""))</f>
        <v>APEX</v>
      </c>
      <c r="J63" s="17">
        <f>IF($P63="","",IFERROR(IF(INDEX(MASTER!$L$4:$L$1463,$P63)="","",INDEX(MASTER!$L$4:$L$1463,$P63)),""))</f>
        <v>11.1</v>
      </c>
      <c r="K63" s="17">
        <f>IF($P63="","",IFERROR(IF(INDEX(MASTER!$N$4:$N$1463,$P63)="","",INDEX(MASTER!$N$4:$N$1463,$P63)),""))</f>
        <v>93.3</v>
      </c>
      <c r="L63" s="15" t="str">
        <f>IF($P63="","",IFERROR(IF(INDEX(MASTER!$O$4:$O$1463,$P63)="","",INDEX(MASTER!$O$4:$O$1463,$P63)),""))</f>
        <v>S+</v>
      </c>
      <c r="M63" s="15">
        <f>IF($P63="","",IFERROR(IF(INDEX(MASTER!$Q$4:$Q$1463,$P63)="","",INDEX(MASTER!$Q$4:$Q$1463,$P63)),""))</f>
        <v>4</v>
      </c>
      <c r="N63" s="15" t="str">
        <f>IF($P63="","",IFERROR(IF(INDEX(MASTER!$S$4:$S$1463,$P63)="","",INDEX(MASTER!$S$4:$S$1463,$P63)),""))</f>
        <v>Complete</v>
      </c>
      <c r="P63">
        <f>IFERROR(MATCH($Q$1&amp;"@55",MASTER!$AC$4:$AC$1463,0),"")</f>
        <v>728</v>
      </c>
    </row>
    <row r="64" spans="1:16">
      <c r="A64" s="19">
        <f>IF($P64="","",56)</f>
        <v>56</v>
      </c>
      <c r="B64" s="18" t="str">
        <f>IF($P64="","",IFERROR(IF(INDEX(MASTER!$C$4:$C$1463,$P64)="","",INDEX(MASTER!$C$4:$C$1463,$P64)),""))</f>
        <v>Mandirin Char #2</v>
      </c>
      <c r="C64" s="19" t="str">
        <f>IF($P64="","",IFERROR(IF(INDEX(MASTER!$D$4:$D$1463,$P64)="","",INDEX(MASTER!$D$4:$D$1463,$P64)),""))</f>
        <v/>
      </c>
      <c r="D64" s="19" t="str">
        <f>IF($P64="","",IFERROR(IF(INDEX(MASTER!$E$4:$E$1463,$P64)="","",INDEX(MASTER!$E$4:$E$1463,$P64)),""))</f>
        <v>WARLOCK</v>
      </c>
      <c r="E64" s="19" t="str">
        <f>IF($P64="","",IFERROR(IF(INDEX(MASTER!$F$4:$F$1463,$P64)="","",INDEX(MASTER!$F$4:$F$1463,$P64)),""))</f>
        <v>Control</v>
      </c>
      <c r="F64" s="20">
        <f>IF($P64="","",IFERROR(IF(INDEX(MASTER!$G$4:$G$1463,$P64)="","",INDEX(MASTER!$G$4:$G$1463,$P64)),""))</f>
        <v>63397</v>
      </c>
      <c r="G64" s="19" t="str">
        <f>IF($P64="","",IFERROR(IF(INDEX(MASTER!$H$4:$H$1463,$P64)="","",INDEX(MASTER!$H$4:$H$1463,$P64)),""))</f>
        <v>63,000 - 63,999</v>
      </c>
      <c r="H64" s="20">
        <f>IF($P64="","",IFERROR(IF(INDEX(MASTER!$I$4:$I$1463,$P64)="","",INDEX(MASTER!$I$4:$I$1463,$P64)),""))</f>
        <v>5230</v>
      </c>
      <c r="I64" s="19" t="str">
        <f>IF($P64="","",IFERROR(IF(INDEX(MASTER!$J$4:$J$1463,$P64)="","",INDEX(MASTER!$J$4:$J$1463,$P64)),""))</f>
        <v>CORE</v>
      </c>
      <c r="J64" s="21">
        <f>IF($P64="","",IFERROR(IF(INDEX(MASTER!$L$4:$L$1463,$P64)="","",INDEX(MASTER!$L$4:$L$1463,$P64)),""))</f>
        <v>5.2</v>
      </c>
      <c r="K64" s="21">
        <f>IF($P64="","",IFERROR(IF(INDEX(MASTER!$N$4:$N$1463,$P64)="","",INDEX(MASTER!$N$4:$N$1463,$P64)),""))</f>
        <v>53.6</v>
      </c>
      <c r="L64" s="19" t="str">
        <f>IF($P64="","",IFERROR(IF(INDEX(MASTER!$O$4:$O$1463,$P64)="","",INDEX(MASTER!$O$4:$O$1463,$P64)),""))</f>
        <v>A</v>
      </c>
      <c r="M64" s="19">
        <f>IF($P64="","",IFERROR(IF(INDEX(MASTER!$Q$4:$Q$1463,$P64)="","",INDEX(MASTER!$Q$4:$Q$1463,$P64)),""))</f>
        <v>45</v>
      </c>
      <c r="N64" s="19" t="str">
        <f>IF($P64="","",IFERROR(IF(INDEX(MASTER!$S$4:$S$1463,$P64)="","",INDEX(MASTER!$S$4:$S$1463,$P64)),""))</f>
        <v>Complete</v>
      </c>
      <c r="P64">
        <f>IFERROR(MATCH($Q$1&amp;"@56",MASTER!$AC$4:$AC$1463,0),"")</f>
        <v>729</v>
      </c>
    </row>
    <row r="65" spans="1:16">
      <c r="A65" s="15">
        <f>IF($P65="","",57)</f>
        <v>57</v>
      </c>
      <c r="B65" s="14" t="str">
        <f>IF($P65="","",IFERROR(IF(INDEX(MASTER!$C$4:$C$1463,$P65)="","",INDEX(MASTER!$C$4:$C$1463,$P65)),""))</f>
        <v>Megpie</v>
      </c>
      <c r="C65" s="15" t="str">
        <f>IF($P65="","",IFERROR(IF(INDEX(MASTER!$D$4:$D$1463,$P65)="","",INDEX(MASTER!$D$4:$D$1463,$P65)),""))</f>
        <v/>
      </c>
      <c r="D65" s="15" t="str">
        <f>IF($P65="","",IFERROR(IF(INDEX(MASTER!$E$4:$E$1463,$P65)="","",INDEX(MASTER!$E$4:$E$1463,$P65)),""))</f>
        <v>DEMON HUNTER</v>
      </c>
      <c r="E65" s="15" t="str">
        <f>IF($P65="","",IFERROR(IF(INDEX(MASTER!$F$4:$F$1463,$P65)="","",INDEX(MASTER!$F$4:$F$1463,$P65)),""))</f>
        <v>Ranged DPS</v>
      </c>
      <c r="F65" s="16">
        <f>IF($P65="","",IFERROR(IF(INDEX(MASTER!$G$4:$G$1463,$P65)="","",INDEX(MASTER!$G$4:$G$1463,$P65)),""))</f>
        <v>62330</v>
      </c>
      <c r="G65" s="15" t="str">
        <f>IF($P65="","",IFERROR(IF(INDEX(MASTER!$H$4:$H$1463,$P65)="","",INDEX(MASTER!$H$4:$H$1463,$P65)),""))</f>
        <v>62,000 - 62,999</v>
      </c>
      <c r="H65" s="16">
        <f>IF($P65="","",IFERROR(IF(INDEX(MASTER!$I$4:$I$1463,$P65)="","",INDEX(MASTER!$I$4:$I$1463,$P65)),""))</f>
        <v>3609</v>
      </c>
      <c r="I65" s="15" t="str">
        <f>IF($P65="","",IFERROR(IF(INDEX(MASTER!$J$4:$J$1463,$P65)="","",INDEX(MASTER!$J$4:$J$1463,$P65)),""))</f>
        <v>DEVELOPING</v>
      </c>
      <c r="J65" s="17">
        <f>IF($P65="","",IFERROR(IF(INDEX(MASTER!$L$4:$L$1463,$P65)="","",INDEX(MASTER!$L$4:$L$1463,$P65)),""))</f>
        <v>3.9</v>
      </c>
      <c r="K65" s="17">
        <f>IF($P65="","",IFERROR(IF(INDEX(MASTER!$N$4:$N$1463,$P65)="","",INDEX(MASTER!$N$4:$N$1463,$P65)),""))</f>
        <v>41.5</v>
      </c>
      <c r="L65" s="15" t="str">
        <f>IF($P65="","",IFERROR(IF(INDEX(MASTER!$O$4:$O$1463,$P65)="","",INDEX(MASTER!$O$4:$O$1463,$P65)),""))</f>
        <v>B</v>
      </c>
      <c r="M65" s="15">
        <f>IF($P65="","",IFERROR(IF(INDEX(MASTER!$Q$4:$Q$1463,$P65)="","",INDEX(MASTER!$Q$4:$Q$1463,$P65)),""))</f>
        <v>70</v>
      </c>
      <c r="N65" s="15" t="str">
        <f>IF($P65="","",IFERROR(IF(INDEX(MASTER!$S$4:$S$1463,$P65)="","",INDEX(MASTER!$S$4:$S$1463,$P65)),""))</f>
        <v>Complete</v>
      </c>
      <c r="P65">
        <f>IFERROR(MATCH($Q$1&amp;"@57",MASTER!$AC$4:$AC$1463,0),"")</f>
        <v>749</v>
      </c>
    </row>
    <row r="66" spans="1:16">
      <c r="A66" s="19">
        <f>IF($P66="","",58)</f>
        <v>58</v>
      </c>
      <c r="B66" s="18" t="str">
        <f>IF($P66="","",IFERROR(IF(INDEX(MASTER!$C$4:$C$1463,$P66)="","",INDEX(MASTER!$C$4:$C$1463,$P66)),""))</f>
        <v>MEMNON</v>
      </c>
      <c r="C66" s="19" t="str">
        <f>IF($P66="","",IFERROR(IF(INDEX(MASTER!$D$4:$D$1463,$P66)="","",INDEX(MASTER!$D$4:$D$1463,$P66)),""))</f>
        <v>TEMU</v>
      </c>
      <c r="D66" s="19" t="str">
        <f>IF($P66="","",IFERROR(IF(INDEX(MASTER!$E$4:$E$1463,$P66)="","",INDEX(MASTER!$E$4:$E$1463,$P66)),""))</f>
        <v>CRUSADER</v>
      </c>
      <c r="E66" s="19" t="str">
        <f>IF($P66="","",IFERROR(IF(INDEX(MASTER!$F$4:$F$1463,$P66)="","",INDEX(MASTER!$F$4:$F$1463,$P66)),""))</f>
        <v>Frontline</v>
      </c>
      <c r="F66" s="20">
        <f>IF($P66="","",IFERROR(IF(INDEX(MASTER!$G$4:$G$1463,$P66)="","",INDEX(MASTER!$G$4:$G$1463,$P66)),""))</f>
        <v>60555</v>
      </c>
      <c r="G66" s="19" t="str">
        <f>IF($P66="","",IFERROR(IF(INDEX(MASTER!$H$4:$H$1463,$P66)="","",INDEX(MASTER!$H$4:$H$1463,$P66)),""))</f>
        <v>60,000 - 60,999</v>
      </c>
      <c r="H66" s="20">
        <f>IF($P66="","",IFERROR(IF(INDEX(MASTER!$I$4:$I$1463,$P66)="","",INDEX(MASTER!$I$4:$I$1463,$P66)),""))</f>
        <v>9175</v>
      </c>
      <c r="I66" s="19" t="str">
        <f>IF($P66="","",IFERROR(IF(INDEX(MASTER!$J$4:$J$1463,$P66)="","",INDEX(MASTER!$J$4:$J$1463,$P66)),""))</f>
        <v>ELITE</v>
      </c>
      <c r="J66" s="21">
        <f>IF($P66="","",IFERROR(IF(INDEX(MASTER!$L$4:$L$1463,$P66)="","",INDEX(MASTER!$L$4:$L$1463,$P66)),""))</f>
        <v>7.9</v>
      </c>
      <c r="K66" s="21">
        <f>IF($P66="","",IFERROR(IF(INDEX(MASTER!$N$4:$N$1463,$P66)="","",INDEX(MASTER!$N$4:$N$1463,$P66)),""))</f>
        <v>67.8</v>
      </c>
      <c r="L66" s="19" t="str">
        <f>IF($P66="","",IFERROR(IF(INDEX(MASTER!$O$4:$O$1463,$P66)="","",INDEX(MASTER!$O$4:$O$1463,$P66)),""))</f>
        <v>S</v>
      </c>
      <c r="M66" s="19">
        <f>IF($P66="","",IFERROR(IF(INDEX(MASTER!$Q$4:$Q$1463,$P66)="","",INDEX(MASTER!$Q$4:$Q$1463,$P66)),""))</f>
        <v>20</v>
      </c>
      <c r="N66" s="19" t="str">
        <f>IF($P66="","",IFERROR(IF(INDEX(MASTER!$S$4:$S$1463,$P66)="","",INDEX(MASTER!$S$4:$S$1463,$P66)),""))</f>
        <v>Complete</v>
      </c>
      <c r="P66">
        <f>IFERROR(MATCH($Q$1&amp;"@58",MASTER!$AC$4:$AC$1463,0),"")</f>
        <v>754</v>
      </c>
    </row>
    <row r="67" spans="1:16">
      <c r="A67" s="15">
        <f>IF($P67="","",59)</f>
        <v>59</v>
      </c>
      <c r="B67" s="14" t="str">
        <f>IF($P67="","",IFERROR(IF(INDEX(MASTER!$C$4:$C$1463,$P67)="","",INDEX(MASTER!$C$4:$C$1463,$P67)),""))</f>
        <v>Miika</v>
      </c>
      <c r="C67" s="15" t="str">
        <f>IF($P67="","",IFERROR(IF(INDEX(MASTER!$D$4:$D$1463,$P67)="","",INDEX(MASTER!$D$4:$D$1463,$P67)),""))</f>
        <v/>
      </c>
      <c r="D67" s="15" t="str">
        <f>IF($P67="","",IFERROR(IF(INDEX(MASTER!$E$4:$E$1463,$P67)="","",INDEX(MASTER!$E$4:$E$1463,$P67)),""))</f>
        <v>WARLOCK</v>
      </c>
      <c r="E67" s="15" t="str">
        <f>IF($P67="","",IFERROR(IF(INDEX(MASTER!$F$4:$F$1463,$P67)="","",INDEX(MASTER!$F$4:$F$1463,$P67)),""))</f>
        <v>Control</v>
      </c>
      <c r="F67" s="16">
        <f>IF($P67="","",IFERROR(IF(INDEX(MASTER!$G$4:$G$1463,$P67)="","",INDEX(MASTER!$G$4:$G$1463,$P67)),""))</f>
        <v>62086</v>
      </c>
      <c r="G67" s="15" t="str">
        <f>IF($P67="","",IFERROR(IF(INDEX(MASTER!$H$4:$H$1463,$P67)="","",INDEX(MASTER!$H$4:$H$1463,$P67)),""))</f>
        <v>62,000 - 62,999</v>
      </c>
      <c r="H67" s="16">
        <f>IF($P67="","",IFERROR(IF(INDEX(MASTER!$I$4:$I$1463,$P67)="","",INDEX(MASTER!$I$4:$I$1463,$P67)),""))</f>
        <v>4163</v>
      </c>
      <c r="I67" s="15" t="str">
        <f>IF($P67="","",IFERROR(IF(INDEX(MASTER!$J$4:$J$1463,$P67)="","",INDEX(MASTER!$J$4:$J$1463,$P67)),""))</f>
        <v>CORE</v>
      </c>
      <c r="J67" s="17">
        <f>IF($P67="","",IFERROR(IF(INDEX(MASTER!$L$4:$L$1463,$P67)="","",INDEX(MASTER!$L$4:$L$1463,$P67)),""))</f>
        <v>4.2</v>
      </c>
      <c r="K67" s="17">
        <f>IF($P67="","",IFERROR(IF(INDEX(MASTER!$N$4:$N$1463,$P67)="","",INDEX(MASTER!$N$4:$N$1463,$P67)),""))</f>
        <v>43.8</v>
      </c>
      <c r="L67" s="15" t="str">
        <f>IF($P67="","",IFERROR(IF(INDEX(MASTER!$O$4:$O$1463,$P67)="","",INDEX(MASTER!$O$4:$O$1463,$P67)),""))</f>
        <v>B</v>
      </c>
      <c r="M67" s="15">
        <f>IF($P67="","",IFERROR(IF(INDEX(MASTER!$Q$4:$Q$1463,$P67)="","",INDEX(MASTER!$Q$4:$Q$1463,$P67)),""))</f>
        <v>60</v>
      </c>
      <c r="N67" s="15" t="str">
        <f>IF($P67="","",IFERROR(IF(INDEX(MASTER!$S$4:$S$1463,$P67)="","",INDEX(MASTER!$S$4:$S$1463,$P67)),""))</f>
        <v>Complete</v>
      </c>
      <c r="P67">
        <f>IFERROR(MATCH($Q$1&amp;"@59",MASTER!$AC$4:$AC$1463,0),"")</f>
        <v>763</v>
      </c>
    </row>
    <row r="68" spans="1:16">
      <c r="A68" s="19">
        <f>IF($P68="","",60)</f>
        <v>60</v>
      </c>
      <c r="B68" s="18" t="str">
        <f>IF($P68="","",IFERROR(IF(INDEX(MASTER!$C$4:$C$1463,$P68)="","",INDEX(MASTER!$C$4:$C$1463,$P68)),""))</f>
        <v>Miltiades</v>
      </c>
      <c r="C68" s="19" t="str">
        <f>IF($P68="","",IFERROR(IF(INDEX(MASTER!$D$4:$D$1463,$P68)="","",INDEX(MASTER!$D$4:$D$1463,$P68)),""))</f>
        <v/>
      </c>
      <c r="D68" s="19" t="str">
        <f>IF($P68="","",IFERROR(IF(INDEX(MASTER!$E$4:$E$1463,$P68)="","",INDEX(MASTER!$E$4:$E$1463,$P68)),""))</f>
        <v>BARBARIAN</v>
      </c>
      <c r="E68" s="19" t="str">
        <f>IF($P68="","",IFERROR(IF(INDEX(MASTER!$F$4:$F$1463,$P68)="","",INDEX(MASTER!$F$4:$F$1463,$P68)),""))</f>
        <v>Frontline</v>
      </c>
      <c r="F68" s="20">
        <f>IF($P68="","",IFERROR(IF(INDEX(MASTER!$G$4:$G$1463,$P68)="","",INDEX(MASTER!$G$4:$G$1463,$P68)),""))</f>
        <v>61930</v>
      </c>
      <c r="G68" s="19" t="str">
        <f>IF($P68="","",IFERROR(IF(INDEX(MASTER!$H$4:$H$1463,$P68)="","",INDEX(MASTER!$H$4:$H$1463,$P68)),""))</f>
        <v>61,000 - 61,999</v>
      </c>
      <c r="H68" s="20">
        <f>IF($P68="","",IFERROR(IF(INDEX(MASTER!$I$4:$I$1463,$P68)="","",INDEX(MASTER!$I$4:$I$1463,$P68)),""))</f>
        <v>3605</v>
      </c>
      <c r="I68" s="19" t="str">
        <f>IF($P68="","",IFERROR(IF(INDEX(MASTER!$J$4:$J$1463,$P68)="","",INDEX(MASTER!$J$4:$J$1463,$P68)),""))</f>
        <v>DEVELOPING</v>
      </c>
      <c r="J68" s="21">
        <f>IF($P68="","",IFERROR(IF(INDEX(MASTER!$L$4:$L$1463,$P68)="","",INDEX(MASTER!$L$4:$L$1463,$P68)),""))</f>
        <v>4.05</v>
      </c>
      <c r="K68" s="21">
        <f>IF($P68="","",IFERROR(IF(INDEX(MASTER!$N$4:$N$1463,$P68)="","",INDEX(MASTER!$N$4:$N$1463,$P68)),""))</f>
        <v>40.700000000000003</v>
      </c>
      <c r="L68" s="19" t="str">
        <f>IF($P68="","",IFERROR(IF(INDEX(MASTER!$O$4:$O$1463,$P68)="","",INDEX(MASTER!$O$4:$O$1463,$P68)),""))</f>
        <v>B</v>
      </c>
      <c r="M68" s="19">
        <f>IF($P68="","",IFERROR(IF(INDEX(MASTER!$Q$4:$Q$1463,$P68)="","",INDEX(MASTER!$Q$4:$Q$1463,$P68)),""))</f>
        <v>71</v>
      </c>
      <c r="N68" s="19" t="str">
        <f>IF($P68="","",IFERROR(IF(INDEX(MASTER!$S$4:$S$1463,$P68)="","",INDEX(MASTER!$S$4:$S$1463,$P68)),""))</f>
        <v>Complete</v>
      </c>
      <c r="P68">
        <f>IFERROR(MATCH($Q$1&amp;"@60",MASTER!$AC$4:$AC$1463,0),"")</f>
        <v>765</v>
      </c>
    </row>
    <row r="69" spans="1:16">
      <c r="A69" s="15">
        <f>IF($P69="","",61)</f>
        <v>61</v>
      </c>
      <c r="B69" s="14" t="str">
        <f>IF($P69="","",IFERROR(IF(INDEX(MASTER!$C$4:$C$1463,$P69)="","",INDEX(MASTER!$C$4:$C$1463,$P69)),""))</f>
        <v>MuchachaSucia</v>
      </c>
      <c r="C69" s="15" t="str">
        <f>IF($P69="","",IFERROR(IF(INDEX(MASTER!$D$4:$D$1463,$P69)="","",INDEX(MASTER!$D$4:$D$1463,$P69)),""))</f>
        <v/>
      </c>
      <c r="D69" s="15" t="str">
        <f>IF($P69="","",IFERROR(IF(INDEX(MASTER!$E$4:$E$1463,$P69)="","",INDEX(MASTER!$E$4:$E$1463,$P69)),""))</f>
        <v>NECROMANCER</v>
      </c>
      <c r="E69" s="15" t="str">
        <f>IF($P69="","",IFERROR(IF(INDEX(MASTER!$F$4:$F$1463,$P69)="","",INDEX(MASTER!$F$4:$F$1463,$P69)),""))</f>
        <v>Control</v>
      </c>
      <c r="F69" s="16">
        <f>IF($P69="","",IFERROR(IF(INDEX(MASTER!$G$4:$G$1463,$P69)="","",INDEX(MASTER!$G$4:$G$1463,$P69)),""))</f>
        <v>61960</v>
      </c>
      <c r="G69" s="15" t="str">
        <f>IF($P69="","",IFERROR(IF(INDEX(MASTER!$H$4:$H$1463,$P69)="","",INDEX(MASTER!$H$4:$H$1463,$P69)),""))</f>
        <v>61,000 - 61,999</v>
      </c>
      <c r="H69" s="16">
        <f>IF($P69="","",IFERROR(IF(INDEX(MASTER!$I$4:$I$1463,$P69)="","",INDEX(MASTER!$I$4:$I$1463,$P69)),""))</f>
        <v>3321</v>
      </c>
      <c r="I69" s="15" t="str">
        <f>IF($P69="","",IFERROR(IF(INDEX(MASTER!$J$4:$J$1463,$P69)="","",INDEX(MASTER!$J$4:$J$1463,$P69)),""))</f>
        <v>DEVELOPING</v>
      </c>
      <c r="J69" s="17">
        <f>IF($P69="","",IFERROR(IF(INDEX(MASTER!$L$4:$L$1463,$P69)="","",INDEX(MASTER!$L$4:$L$1463,$P69)),""))</f>
        <v>4.0999999999999996</v>
      </c>
      <c r="K69" s="17">
        <f>IF($P69="","",IFERROR(IF(INDEX(MASTER!$N$4:$N$1463,$P69)="","",INDEX(MASTER!$N$4:$N$1463,$P69)),""))</f>
        <v>39.6</v>
      </c>
      <c r="L69" s="15" t="str">
        <f>IF($P69="","",IFERROR(IF(INDEX(MASTER!$O$4:$O$1463,$P69)="","",INDEX(MASTER!$O$4:$O$1463,$P69)),""))</f>
        <v>B</v>
      </c>
      <c r="M69" s="15">
        <f>IF($P69="","",IFERROR(IF(INDEX(MASTER!$Q$4:$Q$1463,$P69)="","",INDEX(MASTER!$Q$4:$Q$1463,$P69)),""))</f>
        <v>82</v>
      </c>
      <c r="N69" s="15" t="str">
        <f>IF($P69="","",IFERROR(IF(INDEX(MASTER!$S$4:$S$1463,$P69)="","",INDEX(MASTER!$S$4:$S$1463,$P69)),""))</f>
        <v>Complete</v>
      </c>
      <c r="P69">
        <f>IFERROR(MATCH($Q$1&amp;"@61",MASTER!$AC$4:$AC$1463,0),"")</f>
        <v>796</v>
      </c>
    </row>
    <row r="70" spans="1:16">
      <c r="A70" s="19">
        <f>IF($P70="","",62)</f>
        <v>62</v>
      </c>
      <c r="B70" s="18" t="str">
        <f>IF($P70="","",IFERROR(IF(INDEX(MASTER!$C$4:$C$1463,$P70)="","",INDEX(MASTER!$C$4:$C$1463,$P70)),""))</f>
        <v>MyGirlBee</v>
      </c>
      <c r="C70" s="19" t="str">
        <f>IF($P70="","",IFERROR(IF(INDEX(MASTER!$D$4:$D$1463,$P70)="","",INDEX(MASTER!$D$4:$D$1463,$P70)),""))</f>
        <v/>
      </c>
      <c r="D70" s="19" t="str">
        <f>IF($P70="","",IFERROR(IF(INDEX(MASTER!$E$4:$E$1463,$P70)="","",INDEX(MASTER!$E$4:$E$1463,$P70)),""))</f>
        <v>TEMPEST</v>
      </c>
      <c r="E70" s="19" t="str">
        <f>IF($P70="","",IFERROR(IF(INDEX(MASTER!$F$4:$F$1463,$P70)="","",INDEX(MASTER!$F$4:$F$1463,$P70)),""))</f>
        <v>Melee DPS</v>
      </c>
      <c r="F70" s="20">
        <f>IF($P70="","",IFERROR(IF(INDEX(MASTER!$G$4:$G$1463,$P70)="","",INDEX(MASTER!$G$4:$G$1463,$P70)),""))</f>
        <v>63148</v>
      </c>
      <c r="G70" s="19" t="str">
        <f>IF($P70="","",IFERROR(IF(INDEX(MASTER!$H$4:$H$1463,$P70)="","",INDEX(MASTER!$H$4:$H$1463,$P70)),""))</f>
        <v>63,000 - 63,999</v>
      </c>
      <c r="H70" s="20">
        <f>IF($P70="","",IFERROR(IF(INDEX(MASTER!$I$4:$I$1463,$P70)="","",INDEX(MASTER!$I$4:$I$1463,$P70)),""))</f>
        <v>3846</v>
      </c>
      <c r="I70" s="19" t="str">
        <f>IF($P70="","",IFERROR(IF(INDEX(MASTER!$J$4:$J$1463,$P70)="","",INDEX(MASTER!$J$4:$J$1463,$P70)),""))</f>
        <v>DEVELOPING</v>
      </c>
      <c r="J70" s="21">
        <f>IF($P70="","",IFERROR(IF(INDEX(MASTER!$L$4:$L$1463,$P70)="","",INDEX(MASTER!$L$4:$L$1463,$P70)),""))</f>
        <v>6.15</v>
      </c>
      <c r="K70" s="21">
        <f>IF($P70="","",IFERROR(IF(INDEX(MASTER!$N$4:$N$1463,$P70)="","",INDEX(MASTER!$N$4:$N$1463,$P70)),""))</f>
        <v>48.5</v>
      </c>
      <c r="L70" s="19" t="str">
        <f>IF($P70="","",IFERROR(IF(INDEX(MASTER!$O$4:$O$1463,$P70)="","",INDEX(MASTER!$O$4:$O$1463,$P70)),""))</f>
        <v>B</v>
      </c>
      <c r="M70" s="19">
        <f>IF($P70="","",IFERROR(IF(INDEX(MASTER!$Q$4:$Q$1463,$P70)="","",INDEX(MASTER!$Q$4:$Q$1463,$P70)),""))</f>
        <v>66</v>
      </c>
      <c r="N70" s="19" t="str">
        <f>IF($P70="","",IFERROR(IF(INDEX(MASTER!$S$4:$S$1463,$P70)="","",INDEX(MASTER!$S$4:$S$1463,$P70)),""))</f>
        <v>Complete</v>
      </c>
      <c r="P70">
        <f>IFERROR(MATCH($Q$1&amp;"@62",MASTER!$AC$4:$AC$1463,0),"")</f>
        <v>800</v>
      </c>
    </row>
    <row r="71" spans="1:16">
      <c r="A71" s="15">
        <f>IF($P71="","",63)</f>
        <v>63</v>
      </c>
      <c r="B71" s="14" t="str">
        <f>IF($P71="","",IFERROR(IF(INDEX(MASTER!$C$4:$C$1463,$P71)="","",INDEX(MASTER!$C$4:$C$1463,$P71)),""))</f>
        <v>Nataku</v>
      </c>
      <c r="C71" s="15" t="str">
        <f>IF($P71="","",IFERROR(IF(INDEX(MASTER!$D$4:$D$1463,$P71)="","",INDEX(MASTER!$D$4:$D$1463,$P71)),""))</f>
        <v/>
      </c>
      <c r="D71" s="15" t="str">
        <f>IF($P71="","",IFERROR(IF(INDEX(MASTER!$E$4:$E$1463,$P71)="","",INDEX(MASTER!$E$4:$E$1463,$P71)),""))</f>
        <v>WARLOCK</v>
      </c>
      <c r="E71" s="15" t="str">
        <f>IF($P71="","",IFERROR(IF(INDEX(MASTER!$F$4:$F$1463,$P71)="","",INDEX(MASTER!$F$4:$F$1463,$P71)),""))</f>
        <v>Control</v>
      </c>
      <c r="F71" s="16">
        <f>IF($P71="","",IFERROR(IF(INDEX(MASTER!$G$4:$G$1463,$P71)="","",INDEX(MASTER!$G$4:$G$1463,$P71)),""))</f>
        <v>62000</v>
      </c>
      <c r="G71" s="15" t="str">
        <f>IF($P71="","",IFERROR(IF(INDEX(MASTER!$H$4:$H$1463,$P71)="","",INDEX(MASTER!$H$4:$H$1463,$P71)),""))</f>
        <v>62,000 - 62,999</v>
      </c>
      <c r="H71" s="16">
        <f>IF($P71="","",IFERROR(IF(INDEX(MASTER!$I$4:$I$1463,$P71)="","",INDEX(MASTER!$I$4:$I$1463,$P71)),""))</f>
        <v>3076</v>
      </c>
      <c r="I71" s="15" t="str">
        <f>IF($P71="","",IFERROR(IF(INDEX(MASTER!$J$4:$J$1463,$P71)="","",INDEX(MASTER!$J$4:$J$1463,$P71)),""))</f>
        <v>DEVELOPING</v>
      </c>
      <c r="J71" s="17">
        <f>IF($P71="","",IFERROR(IF(INDEX(MASTER!$L$4:$L$1463,$P71)="","",INDEX(MASTER!$L$4:$L$1463,$P71)),""))</f>
        <v>4</v>
      </c>
      <c r="K71" s="17">
        <f>IF($P71="","",IFERROR(IF(INDEX(MASTER!$N$4:$N$1463,$P71)="","",INDEX(MASTER!$N$4:$N$1463,$P71)),""))</f>
        <v>38.5</v>
      </c>
      <c r="L71" s="15" t="str">
        <f>IF($P71="","",IFERROR(IF(INDEX(MASTER!$O$4:$O$1463,$P71)="","",INDEX(MASTER!$O$4:$O$1463,$P71)),""))</f>
        <v>B</v>
      </c>
      <c r="M71" s="15">
        <f>IF($P71="","",IFERROR(IF(INDEX(MASTER!$Q$4:$Q$1463,$P71)="","",INDEX(MASTER!$Q$4:$Q$1463,$P71)),""))</f>
        <v>87</v>
      </c>
      <c r="N71" s="15" t="str">
        <f>IF($P71="","",IFERROR(IF(INDEX(MASTER!$S$4:$S$1463,$P71)="","",INDEX(MASTER!$S$4:$S$1463,$P71)),""))</f>
        <v>Complete</v>
      </c>
      <c r="P71">
        <f>IFERROR(MATCH($Q$1&amp;"@63",MASTER!$AC$4:$AC$1463,0),"")</f>
        <v>808</v>
      </c>
    </row>
    <row r="72" spans="1:16">
      <c r="A72" s="19">
        <f>IF($P72="","",64)</f>
        <v>64</v>
      </c>
      <c r="B72" s="18" t="str">
        <f>IF($P72="","",IFERROR(IF(INDEX(MASTER!$C$4:$C$1463,$P72)="","",INDEX(MASTER!$C$4:$C$1463,$P72)),""))</f>
        <v>nubleet</v>
      </c>
      <c r="C72" s="19" t="str">
        <f>IF($P72="","",IFERROR(IF(INDEX(MASTER!$D$4:$D$1463,$P72)="","",INDEX(MASTER!$D$4:$D$1463,$P72)),""))</f>
        <v/>
      </c>
      <c r="D72" s="19" t="str">
        <f>IF($P72="","",IFERROR(IF(INDEX(MASTER!$E$4:$E$1463,$P72)="","",INDEX(MASTER!$E$4:$E$1463,$P72)),""))</f>
        <v>WARLOCK</v>
      </c>
      <c r="E72" s="19" t="str">
        <f>IF($P72="","",IFERROR(IF(INDEX(MASTER!$F$4:$F$1463,$P72)="","",INDEX(MASTER!$F$4:$F$1463,$P72)),""))</f>
        <v>Control</v>
      </c>
      <c r="F72" s="20">
        <f>IF($P72="","",IFERROR(IF(INDEX(MASTER!$G$4:$G$1463,$P72)="","",INDEX(MASTER!$G$4:$G$1463,$P72)),""))</f>
        <v>62134</v>
      </c>
      <c r="G72" s="19" t="str">
        <f>IF($P72="","",IFERROR(IF(INDEX(MASTER!$H$4:$H$1463,$P72)="","",INDEX(MASTER!$H$4:$H$1463,$P72)),""))</f>
        <v>62,000 - 62,999</v>
      </c>
      <c r="H72" s="20">
        <f>IF($P72="","",IFERROR(IF(INDEX(MASTER!$I$4:$I$1463,$P72)="","",INDEX(MASTER!$I$4:$I$1463,$P72)),""))</f>
        <v>5052</v>
      </c>
      <c r="I72" s="19" t="str">
        <f>IF($P72="","",IFERROR(IF(INDEX(MASTER!$J$4:$J$1463,$P72)="","",INDEX(MASTER!$J$4:$J$1463,$P72)),""))</f>
        <v>CORE</v>
      </c>
      <c r="J72" s="21">
        <f>IF($P72="","",IFERROR(IF(INDEX(MASTER!$L$4:$L$1463,$P72)="","",INDEX(MASTER!$L$4:$L$1463,$P72)),""))</f>
        <v>5.7</v>
      </c>
      <c r="K72" s="21">
        <f>IF($P72="","",IFERROR(IF(INDEX(MASTER!$N$4:$N$1463,$P72)="","",INDEX(MASTER!$N$4:$N$1463,$P72)),""))</f>
        <v>50.3</v>
      </c>
      <c r="L72" s="19" t="str">
        <f>IF($P72="","",IFERROR(IF(INDEX(MASTER!$O$4:$O$1463,$P72)="","",INDEX(MASTER!$O$4:$O$1463,$P72)),""))</f>
        <v>A</v>
      </c>
      <c r="M72" s="19">
        <f>IF($P72="","",IFERROR(IF(INDEX(MASTER!$Q$4:$Q$1463,$P72)="","",INDEX(MASTER!$Q$4:$Q$1463,$P72)),""))</f>
        <v>48</v>
      </c>
      <c r="N72" s="19" t="str">
        <f>IF($P72="","",IFERROR(IF(INDEX(MASTER!$S$4:$S$1463,$P72)="","",INDEX(MASTER!$S$4:$S$1463,$P72)),""))</f>
        <v>Complete</v>
      </c>
      <c r="P72">
        <f>IFERROR(MATCH($Q$1&amp;"@64",MASTER!$AC$4:$AC$1463,0),"")</f>
        <v>829</v>
      </c>
    </row>
    <row r="73" spans="1:16">
      <c r="A73" s="15">
        <f>IF($P73="","",65)</f>
        <v>65</v>
      </c>
      <c r="B73" s="14" t="str">
        <f>IF($P73="","",IFERROR(IF(INDEX(MASTER!$C$4:$C$1463,$P73)="","",INDEX(MASTER!$C$4:$C$1463,$P73)),""))</f>
        <v>Nymphite</v>
      </c>
      <c r="C73" s="15" t="str">
        <f>IF($P73="","",IFERROR(IF(INDEX(MASTER!$D$4:$D$1463,$P73)="","",INDEX(MASTER!$D$4:$D$1463,$P73)),""))</f>
        <v>WET</v>
      </c>
      <c r="D73" s="15" t="str">
        <f>IF($P73="","",IFERROR(IF(INDEX(MASTER!$E$4:$E$1463,$P73)="","",INDEX(MASTER!$E$4:$E$1463,$P73)),""))</f>
        <v>WARLOCK</v>
      </c>
      <c r="E73" s="15" t="str">
        <f>IF($P73="","",IFERROR(IF(INDEX(MASTER!$F$4:$F$1463,$P73)="","",INDEX(MASTER!$F$4:$F$1463,$P73)),""))</f>
        <v>Control</v>
      </c>
      <c r="F73" s="16">
        <f>IF($P73="","",IFERROR(IF(INDEX(MASTER!$G$4:$G$1463,$P73)="","",INDEX(MASTER!$G$4:$G$1463,$P73)),""))</f>
        <v>61739</v>
      </c>
      <c r="G73" s="15" t="str">
        <f>IF($P73="","",IFERROR(IF(INDEX(MASTER!$H$4:$H$1463,$P73)="","",INDEX(MASTER!$H$4:$H$1463,$P73)),""))</f>
        <v>61,000 - 61,999</v>
      </c>
      <c r="H73" s="16">
        <f>IF($P73="","",IFERROR(IF(INDEX(MASTER!$I$4:$I$1463,$P73)="","",INDEX(MASTER!$I$4:$I$1463,$P73)),""))</f>
        <v>3299</v>
      </c>
      <c r="I73" s="15" t="str">
        <f>IF($P73="","",IFERROR(IF(INDEX(MASTER!$J$4:$J$1463,$P73)="","",INDEX(MASTER!$J$4:$J$1463,$P73)),""))</f>
        <v>DEVELOPING</v>
      </c>
      <c r="J73" s="17">
        <f>IF($P73="","",IFERROR(IF(INDEX(MASTER!$L$4:$L$1463,$P73)="","",INDEX(MASTER!$L$4:$L$1463,$P73)),""))</f>
        <v>5</v>
      </c>
      <c r="K73" s="17">
        <f>IF($P73="","",IFERROR(IF(INDEX(MASTER!$N$4:$N$1463,$P73)="","",INDEX(MASTER!$N$4:$N$1463,$P73)),""))</f>
        <v>40.5</v>
      </c>
      <c r="L73" s="15" t="str">
        <f>IF($P73="","",IFERROR(IF(INDEX(MASTER!$O$4:$O$1463,$P73)="","",INDEX(MASTER!$O$4:$O$1463,$P73)),""))</f>
        <v>B</v>
      </c>
      <c r="M73" s="15">
        <f>IF($P73="","",IFERROR(IF(INDEX(MASTER!$Q$4:$Q$1463,$P73)="","",INDEX(MASTER!$Q$4:$Q$1463,$P73)),""))</f>
        <v>83</v>
      </c>
      <c r="N73" s="15" t="str">
        <f>IF($P73="","",IFERROR(IF(INDEX(MASTER!$S$4:$S$1463,$P73)="","",INDEX(MASTER!$S$4:$S$1463,$P73)),""))</f>
        <v>Complete</v>
      </c>
      <c r="P73">
        <f>IFERROR(MATCH($Q$1&amp;"@65",MASTER!$AC$4:$AC$1463,0),"")</f>
        <v>834</v>
      </c>
    </row>
    <row r="74" spans="1:16">
      <c r="A74" s="19">
        <f>IF($P74="","",66)</f>
        <v>66</v>
      </c>
      <c r="B74" s="18" t="str">
        <f>IF($P74="","",IFERROR(IF(INDEX(MASTER!$C$4:$C$1463,$P74)="","",INDEX(MASTER!$C$4:$C$1463,$P74)),""))</f>
        <v>oltar</v>
      </c>
      <c r="C74" s="19" t="str">
        <f>IF($P74="","",IFERROR(IF(INDEX(MASTER!$D$4:$D$1463,$P74)="","",INDEX(MASTER!$D$4:$D$1463,$P74)),""))</f>
        <v/>
      </c>
      <c r="D74" s="19" t="str">
        <f>IF($P74="","",IFERROR(IF(INDEX(MASTER!$E$4:$E$1463,$P74)="","",INDEX(MASTER!$E$4:$E$1463,$P74)),""))</f>
        <v/>
      </c>
      <c r="E74" s="19" t="str">
        <f>IF($P74="","",IFERROR(IF(INDEX(MASTER!$F$4:$F$1463,$P74)="","",INDEX(MASTER!$F$4:$F$1463,$P74)),""))</f>
        <v>-</v>
      </c>
      <c r="F74" s="20" t="str">
        <f>IF($P74="","",IFERROR(IF(INDEX(MASTER!$G$4:$G$1463,$P74)="","",INDEX(MASTER!$G$4:$G$1463,$P74)),""))</f>
        <v/>
      </c>
      <c r="G74" s="19" t="str">
        <f>IF($P74="","",IFERROR(IF(INDEX(MASTER!$H$4:$H$1463,$P74)="","",INDEX(MASTER!$H$4:$H$1463,$P74)),""))</f>
        <v>-</v>
      </c>
      <c r="H74" s="20" t="str">
        <f>IF($P74="","",IFERROR(IF(INDEX(MASTER!$I$4:$I$1463,$P74)="","",INDEX(MASTER!$I$4:$I$1463,$P74)),""))</f>
        <v/>
      </c>
      <c r="I74" s="19" t="str">
        <f>IF($P74="","",IFERROR(IF(INDEX(MASTER!$J$4:$J$1463,$P74)="","",INDEX(MASTER!$J$4:$J$1463,$P74)),""))</f>
        <v>-</v>
      </c>
      <c r="J74" s="21" t="str">
        <f>IF($P74="","",IFERROR(IF(INDEX(MASTER!$L$4:$L$1463,$P74)="","",INDEX(MASTER!$L$4:$L$1463,$P74)),""))</f>
        <v/>
      </c>
      <c r="K74" s="21" t="str">
        <f>IF($P74="","",IFERROR(IF(INDEX(MASTER!$N$4:$N$1463,$P74)="","",INDEX(MASTER!$N$4:$N$1463,$P74)),""))</f>
        <v/>
      </c>
      <c r="L74" s="19" t="str">
        <f>IF($P74="","",IFERROR(IF(INDEX(MASTER!$O$4:$O$1463,$P74)="","",INDEX(MASTER!$O$4:$O$1463,$P74)),""))</f>
        <v>-</v>
      </c>
      <c r="M74" s="19">
        <f>IF($P74="","",IFERROR(IF(INDEX(MASTER!$Q$4:$Q$1463,$P74)="","",INDEX(MASTER!$Q$4:$Q$1463,$P74)),""))</f>
        <v>102</v>
      </c>
      <c r="N74" s="19" t="str">
        <f>IF($P74="","",IFERROR(IF(INDEX(MASTER!$S$4:$S$1463,$P74)="","",INDEX(MASTER!$S$4:$S$1463,$P74)),""))</f>
        <v>Name only</v>
      </c>
      <c r="P74">
        <f>IFERROR(MATCH($Q$1&amp;"@66",MASTER!$AC$4:$AC$1463,0),"")</f>
        <v>851</v>
      </c>
    </row>
    <row r="75" spans="1:16">
      <c r="A75" s="15">
        <f>IF($P75="","",67)</f>
        <v>67</v>
      </c>
      <c r="B75" s="14" t="str">
        <f>IF($P75="","",IFERROR(IF(INDEX(MASTER!$C$4:$C$1463,$P75)="","",INDEX(MASTER!$C$4:$C$1463,$P75)),""))</f>
        <v>oooS4V4G3ooo</v>
      </c>
      <c r="C75" s="15" t="str">
        <f>IF($P75="","",IFERROR(IF(INDEX(MASTER!$D$4:$D$1463,$P75)="","",INDEX(MASTER!$D$4:$D$1463,$P75)),""))</f>
        <v/>
      </c>
      <c r="D75" s="15" t="str">
        <f>IF($P75="","",IFERROR(IF(INDEX(MASTER!$E$4:$E$1463,$P75)="","",INDEX(MASTER!$E$4:$E$1463,$P75)),""))</f>
        <v>WARLOCK</v>
      </c>
      <c r="E75" s="15" t="str">
        <f>IF($P75="","",IFERROR(IF(INDEX(MASTER!$F$4:$F$1463,$P75)="","",INDEX(MASTER!$F$4:$F$1463,$P75)),""))</f>
        <v>Control</v>
      </c>
      <c r="F75" s="16">
        <f>IF($P75="","",IFERROR(IF(INDEX(MASTER!$G$4:$G$1463,$P75)="","",INDEX(MASTER!$G$4:$G$1463,$P75)),""))</f>
        <v>63099</v>
      </c>
      <c r="G75" s="15" t="str">
        <f>IF($P75="","",IFERROR(IF(INDEX(MASTER!$H$4:$H$1463,$P75)="","",INDEX(MASTER!$H$4:$H$1463,$P75)),""))</f>
        <v>63,000 - 63,999</v>
      </c>
      <c r="H75" s="16">
        <f>IF($P75="","",IFERROR(IF(INDEX(MASTER!$I$4:$I$1463,$P75)="","",INDEX(MASTER!$I$4:$I$1463,$P75)),""))</f>
        <v>5563</v>
      </c>
      <c r="I75" s="15" t="str">
        <f>IF($P75="","",IFERROR(IF(INDEX(MASTER!$J$4:$J$1463,$P75)="","",INDEX(MASTER!$J$4:$J$1463,$P75)),""))</f>
        <v>CORE</v>
      </c>
      <c r="J75" s="17">
        <f>IF($P75="","",IFERROR(IF(INDEX(MASTER!$L$4:$L$1463,$P75)="","",INDEX(MASTER!$L$4:$L$1463,$P75)),""))</f>
        <v>4.8</v>
      </c>
      <c r="K75" s="17">
        <f>IF($P75="","",IFERROR(IF(INDEX(MASTER!$N$4:$N$1463,$P75)="","",INDEX(MASTER!$N$4:$N$1463,$P75)),""))</f>
        <v>53.6</v>
      </c>
      <c r="L75" s="15" t="str">
        <f>IF($P75="","",IFERROR(IF(INDEX(MASTER!$O$4:$O$1463,$P75)="","",INDEX(MASTER!$O$4:$O$1463,$P75)),""))</f>
        <v>A</v>
      </c>
      <c r="M75" s="15">
        <f>IF($P75="","",IFERROR(IF(INDEX(MASTER!$Q$4:$Q$1463,$P75)="","",INDEX(MASTER!$Q$4:$Q$1463,$P75)),""))</f>
        <v>42</v>
      </c>
      <c r="N75" s="15" t="str">
        <f>IF($P75="","",IFERROR(IF(INDEX(MASTER!$S$4:$S$1463,$P75)="","",INDEX(MASTER!$S$4:$S$1463,$P75)),""))</f>
        <v>Complete</v>
      </c>
      <c r="P75">
        <f>IFERROR(MATCH($Q$1&amp;"@67",MASTER!$AC$4:$AC$1463,0),"")</f>
        <v>857</v>
      </c>
    </row>
    <row r="76" spans="1:16">
      <c r="A76" s="19">
        <f>IF($P76="","",68)</f>
        <v>68</v>
      </c>
      <c r="B76" s="18" t="str">
        <f>IF($P76="","",IFERROR(IF(INDEX(MASTER!$C$4:$C$1463,$P76)="","",INDEX(MASTER!$C$4:$C$1463,$P76)),""))</f>
        <v>PAmalMonk</v>
      </c>
      <c r="C76" s="19" t="str">
        <f>IF($P76="","",IFERROR(IF(INDEX(MASTER!$D$4:$D$1463,$P76)="","",INDEX(MASTER!$D$4:$D$1463,$P76)),""))</f>
        <v/>
      </c>
      <c r="D76" s="19" t="str">
        <f>IF($P76="","",IFERROR(IF(INDEX(MASTER!$E$4:$E$1463,$P76)="","",INDEX(MASTER!$E$4:$E$1463,$P76)),""))</f>
        <v>DRUID</v>
      </c>
      <c r="E76" s="19" t="str">
        <f>IF($P76="","",IFERROR(IF(INDEX(MASTER!$F$4:$F$1463,$P76)="","",INDEX(MASTER!$F$4:$F$1463,$P76)),""))</f>
        <v>Support</v>
      </c>
      <c r="F76" s="20">
        <f>IF($P76="","",IFERROR(IF(INDEX(MASTER!$G$4:$G$1463,$P76)="","",INDEX(MASTER!$G$4:$G$1463,$P76)),""))</f>
        <v>63913</v>
      </c>
      <c r="G76" s="19" t="str">
        <f>IF($P76="","",IFERROR(IF(INDEX(MASTER!$H$4:$H$1463,$P76)="","",INDEX(MASTER!$H$4:$H$1463,$P76)),""))</f>
        <v>63,000 - 63,999</v>
      </c>
      <c r="H76" s="20">
        <f>IF($P76="","",IFERROR(IF(INDEX(MASTER!$I$4:$I$1463,$P76)="","",INDEX(MASTER!$I$4:$I$1463,$P76)),""))</f>
        <v>6057</v>
      </c>
      <c r="I76" s="19" t="str">
        <f>IF($P76="","",IFERROR(IF(INDEX(MASTER!$J$4:$J$1463,$P76)="","",INDEX(MASTER!$J$4:$J$1463,$P76)),""))</f>
        <v>VETERAN</v>
      </c>
      <c r="J76" s="21">
        <f>IF($P76="","",IFERROR(IF(INDEX(MASTER!$L$4:$L$1463,$P76)="","",INDEX(MASTER!$L$4:$L$1463,$P76)),""))</f>
        <v>5.7</v>
      </c>
      <c r="K76" s="21">
        <f>IF($P76="","",IFERROR(IF(INDEX(MASTER!$N$4:$N$1463,$P76)="","",INDEX(MASTER!$N$4:$N$1463,$P76)),""))</f>
        <v>59.4</v>
      </c>
      <c r="L76" s="19" t="str">
        <f>IF($P76="","",IFERROR(IF(INDEX(MASTER!$O$4:$O$1463,$P76)="","",INDEX(MASTER!$O$4:$O$1463,$P76)),""))</f>
        <v>A</v>
      </c>
      <c r="M76" s="19">
        <f>IF($P76="","",IFERROR(IF(INDEX(MASTER!$Q$4:$Q$1463,$P76)="","",INDEX(MASTER!$Q$4:$Q$1463,$P76)),""))</f>
        <v>36</v>
      </c>
      <c r="N76" s="19" t="str">
        <f>IF($P76="","",IFERROR(IF(INDEX(MASTER!$S$4:$S$1463,$P76)="","",INDEX(MASTER!$S$4:$S$1463,$P76)),""))</f>
        <v>Complete</v>
      </c>
      <c r="P76">
        <f>IFERROR(MATCH($Q$1&amp;"@68",MASTER!$AC$4:$AC$1463,0),"")</f>
        <v>873</v>
      </c>
    </row>
    <row r="77" spans="1:16">
      <c r="A77" s="15">
        <f>IF($P77="","",69)</f>
        <v>69</v>
      </c>
      <c r="B77" s="14" t="str">
        <f>IF($P77="","",IFERROR(IF(INDEX(MASTER!$C$4:$C$1463,$P77)="","",INDEX(MASTER!$C$4:$C$1463,$P77)),""))</f>
        <v>Paxxon</v>
      </c>
      <c r="C77" s="15" t="str">
        <f>IF($P77="","",IFERROR(IF(INDEX(MASTER!$D$4:$D$1463,$P77)="","",INDEX(MASTER!$D$4:$D$1463,$P77)),""))</f>
        <v/>
      </c>
      <c r="D77" s="15" t="str">
        <f>IF($P77="","",IFERROR(IF(INDEX(MASTER!$E$4:$E$1463,$P77)="","",INDEX(MASTER!$E$4:$E$1463,$P77)),""))</f>
        <v>DEMON HUNTER</v>
      </c>
      <c r="E77" s="15" t="str">
        <f>IF($P77="","",IFERROR(IF(INDEX(MASTER!$F$4:$F$1463,$P77)="","",INDEX(MASTER!$F$4:$F$1463,$P77)),""))</f>
        <v>Ranged DPS</v>
      </c>
      <c r="F77" s="16">
        <f>IF($P77="","",IFERROR(IF(INDEX(MASTER!$G$4:$G$1463,$P77)="","",INDEX(MASTER!$G$4:$G$1463,$P77)),""))</f>
        <v>61806</v>
      </c>
      <c r="G77" s="15" t="str">
        <f>IF($P77="","",IFERROR(IF(INDEX(MASTER!$H$4:$H$1463,$P77)="","",INDEX(MASTER!$H$4:$H$1463,$P77)),""))</f>
        <v>61,000 - 61,999</v>
      </c>
      <c r="H77" s="16">
        <f>IF($P77="","",IFERROR(IF(INDEX(MASTER!$I$4:$I$1463,$P77)="","",INDEX(MASTER!$I$4:$I$1463,$P77)),""))</f>
        <v>3758</v>
      </c>
      <c r="I77" s="15" t="str">
        <f>IF($P77="","",IFERROR(IF(INDEX(MASTER!$J$4:$J$1463,$P77)="","",INDEX(MASTER!$J$4:$J$1463,$P77)),""))</f>
        <v>DEVELOPING</v>
      </c>
      <c r="J77" s="17">
        <f>IF($P77="","",IFERROR(IF(INDEX(MASTER!$L$4:$L$1463,$P77)="","",INDEX(MASTER!$L$4:$L$1463,$P77)),""))</f>
        <v>6.2</v>
      </c>
      <c r="K77" s="17">
        <f>IF($P77="","",IFERROR(IF(INDEX(MASTER!$N$4:$N$1463,$P77)="","",INDEX(MASTER!$N$4:$N$1463,$P77)),""))</f>
        <v>44.6</v>
      </c>
      <c r="L77" s="15" t="str">
        <f>IF($P77="","",IFERROR(IF(INDEX(MASTER!$O$4:$O$1463,$P77)="","",INDEX(MASTER!$O$4:$O$1463,$P77)),""))</f>
        <v>B</v>
      </c>
      <c r="M77" s="15">
        <f>IF($P77="","",IFERROR(IF(INDEX(MASTER!$Q$4:$Q$1463,$P77)="","",INDEX(MASTER!$Q$4:$Q$1463,$P77)),""))</f>
        <v>67</v>
      </c>
      <c r="N77" s="15" t="str">
        <f>IF($P77="","",IFERROR(IF(INDEX(MASTER!$S$4:$S$1463,$P77)="","",INDEX(MASTER!$S$4:$S$1463,$P77)),""))</f>
        <v>Complete</v>
      </c>
      <c r="P77">
        <f>IFERROR(MATCH($Q$1&amp;"@69",MASTER!$AC$4:$AC$1463,0),"")</f>
        <v>883</v>
      </c>
    </row>
    <row r="78" spans="1:16">
      <c r="A78" s="19">
        <f>IF($P78="","",70)</f>
        <v>70</v>
      </c>
      <c r="B78" s="18" t="str">
        <f>IF($P78="","",IFERROR(IF(INDEX(MASTER!$C$4:$C$1463,$P78)="","",INDEX(MASTER!$C$4:$C$1463,$P78)),""))</f>
        <v>Pufftough</v>
      </c>
      <c r="C78" s="19" t="str">
        <f>IF($P78="","",IFERROR(IF(INDEX(MASTER!$D$4:$D$1463,$P78)="","",INDEX(MASTER!$D$4:$D$1463,$P78)),""))</f>
        <v/>
      </c>
      <c r="D78" s="19" t="str">
        <f>IF($P78="","",IFERROR(IF(INDEX(MASTER!$E$4:$E$1463,$P78)="","",INDEX(MASTER!$E$4:$E$1463,$P78)),""))</f>
        <v>WARLOCK</v>
      </c>
      <c r="E78" s="19" t="str">
        <f>IF($P78="","",IFERROR(IF(INDEX(MASTER!$F$4:$F$1463,$P78)="","",INDEX(MASTER!$F$4:$F$1463,$P78)),""))</f>
        <v>Control</v>
      </c>
      <c r="F78" s="20">
        <f>IF($P78="","",IFERROR(IF(INDEX(MASTER!$G$4:$G$1463,$P78)="","",INDEX(MASTER!$G$4:$G$1463,$P78)),""))</f>
        <v>63312</v>
      </c>
      <c r="G78" s="19" t="str">
        <f>IF($P78="","",IFERROR(IF(INDEX(MASTER!$H$4:$H$1463,$P78)="","",INDEX(MASTER!$H$4:$H$1463,$P78)),""))</f>
        <v>63,000 - 63,999</v>
      </c>
      <c r="H78" s="20">
        <f>IF($P78="","",IFERROR(IF(INDEX(MASTER!$I$4:$I$1463,$P78)="","",INDEX(MASTER!$I$4:$I$1463,$P78)),""))</f>
        <v>4577</v>
      </c>
      <c r="I78" s="19" t="str">
        <f>IF($P78="","",IFERROR(IF(INDEX(MASTER!$J$4:$J$1463,$P78)="","",INDEX(MASTER!$J$4:$J$1463,$P78)),""))</f>
        <v>CORE</v>
      </c>
      <c r="J78" s="21">
        <f>IF($P78="","",IFERROR(IF(INDEX(MASTER!$L$4:$L$1463,$P78)="","",INDEX(MASTER!$L$4:$L$1463,$P78)),""))</f>
        <v>4.75</v>
      </c>
      <c r="K78" s="21">
        <f>IF($P78="","",IFERROR(IF(INDEX(MASTER!$N$4:$N$1463,$P78)="","",INDEX(MASTER!$N$4:$N$1463,$P78)),""))</f>
        <v>49.8</v>
      </c>
      <c r="L78" s="19" t="str">
        <f>IF($P78="","",IFERROR(IF(INDEX(MASTER!$O$4:$O$1463,$P78)="","",INDEX(MASTER!$O$4:$O$1463,$P78)),""))</f>
        <v>B</v>
      </c>
      <c r="M78" s="19">
        <f>IF($P78="","",IFERROR(IF(INDEX(MASTER!$Q$4:$Q$1463,$P78)="","",INDEX(MASTER!$Q$4:$Q$1463,$P78)),""))</f>
        <v>56</v>
      </c>
      <c r="N78" s="19" t="str">
        <f>IF($P78="","",IFERROR(IF(INDEX(MASTER!$S$4:$S$1463,$P78)="","",INDEX(MASTER!$S$4:$S$1463,$P78)),""))</f>
        <v>Complete</v>
      </c>
      <c r="P78">
        <f>IFERROR(MATCH($Q$1&amp;"@70",MASTER!$AC$4:$AC$1463,0),"")</f>
        <v>907</v>
      </c>
    </row>
    <row r="79" spans="1:16">
      <c r="A79" s="15">
        <f>IF($P79="","",71)</f>
        <v>71</v>
      </c>
      <c r="B79" s="14" t="str">
        <f>IF($P79="","",IFERROR(IF(INDEX(MASTER!$C$4:$C$1463,$P79)="","",INDEX(MASTER!$C$4:$C$1463,$P79)),""))</f>
        <v>Punya</v>
      </c>
      <c r="C79" s="15" t="str">
        <f>IF($P79="","",IFERROR(IF(INDEX(MASTER!$D$4:$D$1463,$P79)="","",INDEX(MASTER!$D$4:$D$1463,$P79)),""))</f>
        <v/>
      </c>
      <c r="D79" s="15" t="str">
        <f>IF($P79="","",IFERROR(IF(INDEX(MASTER!$E$4:$E$1463,$P79)="","",INDEX(MASTER!$E$4:$E$1463,$P79)),""))</f>
        <v>BLOOD KNIGHT</v>
      </c>
      <c r="E79" s="15" t="str">
        <f>IF($P79="","",IFERROR(IF(INDEX(MASTER!$F$4:$F$1463,$P79)="","",INDEX(MASTER!$F$4:$F$1463,$P79)),""))</f>
        <v>Frontline</v>
      </c>
      <c r="F79" s="16">
        <f>IF($P79="","",IFERROR(IF(INDEX(MASTER!$G$4:$G$1463,$P79)="","",INDEX(MASTER!$G$4:$G$1463,$P79)),""))</f>
        <v>62501</v>
      </c>
      <c r="G79" s="15" t="str">
        <f>IF($P79="","",IFERROR(IF(INDEX(MASTER!$H$4:$H$1463,$P79)="","",INDEX(MASTER!$H$4:$H$1463,$P79)),""))</f>
        <v>62,000 - 62,999</v>
      </c>
      <c r="H79" s="16">
        <f>IF($P79="","",IFERROR(IF(INDEX(MASTER!$I$4:$I$1463,$P79)="","",INDEX(MASTER!$I$4:$I$1463,$P79)),""))</f>
        <v>2908</v>
      </c>
      <c r="I79" s="15" t="str">
        <f>IF($P79="","",IFERROR(IF(INDEX(MASTER!$J$4:$J$1463,$P79)="","",INDEX(MASTER!$J$4:$J$1463,$P79)),""))</f>
        <v>DEVELOPING</v>
      </c>
      <c r="J79" s="17">
        <f>IF($P79="","",IFERROR(IF(INDEX(MASTER!$L$4:$L$1463,$P79)="","",INDEX(MASTER!$L$4:$L$1463,$P79)),""))</f>
        <v>3.85</v>
      </c>
      <c r="K79" s="17">
        <f>IF($P79="","",IFERROR(IF(INDEX(MASTER!$N$4:$N$1463,$P79)="","",INDEX(MASTER!$N$4:$N$1463,$P79)),""))</f>
        <v>38.799999999999997</v>
      </c>
      <c r="L79" s="15" t="str">
        <f>IF($P79="","",IFERROR(IF(INDEX(MASTER!$O$4:$O$1463,$P79)="","",INDEX(MASTER!$O$4:$O$1463,$P79)),""))</f>
        <v>B</v>
      </c>
      <c r="M79" s="15">
        <f>IF($P79="","",IFERROR(IF(INDEX(MASTER!$Q$4:$Q$1463,$P79)="","",INDEX(MASTER!$Q$4:$Q$1463,$P79)),""))</f>
        <v>97</v>
      </c>
      <c r="N79" s="15" t="str">
        <f>IF($P79="","",IFERROR(IF(INDEX(MASTER!$S$4:$S$1463,$P79)="","",INDEX(MASTER!$S$4:$S$1463,$P79)),""))</f>
        <v>Complete</v>
      </c>
      <c r="P79">
        <f>IFERROR(MATCH($Q$1&amp;"@71",MASTER!$AC$4:$AC$1463,0),"")</f>
        <v>909</v>
      </c>
    </row>
    <row r="80" spans="1:16">
      <c r="A80" s="19">
        <f>IF($P80="","",72)</f>
        <v>72</v>
      </c>
      <c r="B80" s="18" t="str">
        <f>IF($P80="","",IFERROR(IF(INDEX(MASTER!$C$4:$C$1463,$P80)="","",INDEX(MASTER!$C$4:$C$1463,$P80)),""))</f>
        <v>QuïetStorm</v>
      </c>
      <c r="C80" s="19" t="str">
        <f>IF($P80="","",IFERROR(IF(INDEX(MASTER!$D$4:$D$1463,$P80)="","",INDEX(MASTER!$D$4:$D$1463,$P80)),""))</f>
        <v/>
      </c>
      <c r="D80" s="19" t="str">
        <f>IF($P80="","",IFERROR(IF(INDEX(MASTER!$E$4:$E$1463,$P80)="","",INDEX(MASTER!$E$4:$E$1463,$P80)),""))</f>
        <v>WARLOCK</v>
      </c>
      <c r="E80" s="19" t="str">
        <f>IF($P80="","",IFERROR(IF(INDEX(MASTER!$F$4:$F$1463,$P80)="","",INDEX(MASTER!$F$4:$F$1463,$P80)),""))</f>
        <v>Control</v>
      </c>
      <c r="F80" s="20">
        <f>IF($P80="","",IFERROR(IF(INDEX(MASTER!$G$4:$G$1463,$P80)="","",INDEX(MASTER!$G$4:$G$1463,$P80)),""))</f>
        <v>62426</v>
      </c>
      <c r="G80" s="19" t="str">
        <f>IF($P80="","",IFERROR(IF(INDEX(MASTER!$H$4:$H$1463,$P80)="","",INDEX(MASTER!$H$4:$H$1463,$P80)),""))</f>
        <v>62,000 - 62,999</v>
      </c>
      <c r="H80" s="20">
        <f>IF($P80="","",IFERROR(IF(INDEX(MASTER!$I$4:$I$1463,$P80)="","",INDEX(MASTER!$I$4:$I$1463,$P80)),""))</f>
        <v>4881</v>
      </c>
      <c r="I80" s="19" t="str">
        <f>IF($P80="","",IFERROR(IF(INDEX(MASTER!$J$4:$J$1463,$P80)="","",INDEX(MASTER!$J$4:$J$1463,$P80)),""))</f>
        <v>CORE</v>
      </c>
      <c r="J80" s="21">
        <f>IF($P80="","",IFERROR(IF(INDEX(MASTER!$L$4:$L$1463,$P80)="","",INDEX(MASTER!$L$4:$L$1463,$P80)),""))</f>
        <v>5.9</v>
      </c>
      <c r="K80" s="21">
        <f>IF($P80="","",IFERROR(IF(INDEX(MASTER!$N$4:$N$1463,$P80)="","",INDEX(MASTER!$N$4:$N$1463,$P80)),""))</f>
        <v>50.7</v>
      </c>
      <c r="L80" s="19" t="str">
        <f>IF($P80="","",IFERROR(IF(INDEX(MASTER!$O$4:$O$1463,$P80)="","",INDEX(MASTER!$O$4:$O$1463,$P80)),""))</f>
        <v>A</v>
      </c>
      <c r="M80" s="19">
        <f>IF($P80="","",IFERROR(IF(INDEX(MASTER!$Q$4:$Q$1463,$P80)="","",INDEX(MASTER!$Q$4:$Q$1463,$P80)),""))</f>
        <v>53</v>
      </c>
      <c r="N80" s="19" t="str">
        <f>IF($P80="","",IFERROR(IF(INDEX(MASTER!$S$4:$S$1463,$P80)="","",INDEX(MASTER!$S$4:$S$1463,$P80)),""))</f>
        <v>Complete</v>
      </c>
      <c r="P80">
        <f>IFERROR(MATCH($Q$1&amp;"@72",MASTER!$AC$4:$AC$1463,0),"")</f>
        <v>916</v>
      </c>
    </row>
    <row r="81" spans="1:16">
      <c r="A81" s="15">
        <f>IF($P81="","",73)</f>
        <v>73</v>
      </c>
      <c r="B81" s="14" t="str">
        <f>IF($P81="","",IFERROR(IF(INDEX(MASTER!$C$4:$C$1463,$P81)="","",INDEX(MASTER!$C$4:$C$1463,$P81)),""))</f>
        <v>R3DBU11</v>
      </c>
      <c r="C81" s="15" t="str">
        <f>IF($P81="","",IFERROR(IF(INDEX(MASTER!$D$4:$D$1463,$P81)="","",INDEX(MASTER!$D$4:$D$1463,$P81)),""))</f>
        <v/>
      </c>
      <c r="D81" s="15" t="str">
        <f>IF($P81="","",IFERROR(IF(INDEX(MASTER!$E$4:$E$1463,$P81)="","",INDEX(MASTER!$E$4:$E$1463,$P81)),""))</f>
        <v>BARBARIAN</v>
      </c>
      <c r="E81" s="15" t="str">
        <f>IF($P81="","",IFERROR(IF(INDEX(MASTER!$F$4:$F$1463,$P81)="","",INDEX(MASTER!$F$4:$F$1463,$P81)),""))</f>
        <v>Frontline</v>
      </c>
      <c r="F81" s="16">
        <f>IF($P81="","",IFERROR(IF(INDEX(MASTER!$G$4:$G$1463,$P81)="","",INDEX(MASTER!$G$4:$G$1463,$P81)),""))</f>
        <v>63329</v>
      </c>
      <c r="G81" s="15" t="str">
        <f>IF($P81="","",IFERROR(IF(INDEX(MASTER!$H$4:$H$1463,$P81)="","",INDEX(MASTER!$H$4:$H$1463,$P81)),""))</f>
        <v>63,000 - 63,999</v>
      </c>
      <c r="H81" s="16">
        <f>IF($P81="","",IFERROR(IF(INDEX(MASTER!$I$4:$I$1463,$P81)="","",INDEX(MASTER!$I$4:$I$1463,$P81)),""))</f>
        <v>5759</v>
      </c>
      <c r="I81" s="15" t="str">
        <f>IF($P81="","",IFERROR(IF(INDEX(MASTER!$J$4:$J$1463,$P81)="","",INDEX(MASTER!$J$4:$J$1463,$P81)),""))</f>
        <v>CORE</v>
      </c>
      <c r="J81" s="17">
        <f>IF($P81="","",IFERROR(IF(INDEX(MASTER!$L$4:$L$1463,$P81)="","",INDEX(MASTER!$L$4:$L$1463,$P81)),""))</f>
        <v>6.15</v>
      </c>
      <c r="K81" s="17">
        <f>IF($P81="","",IFERROR(IF(INDEX(MASTER!$N$4:$N$1463,$P81)="","",INDEX(MASTER!$N$4:$N$1463,$P81)),""))</f>
        <v>57.3</v>
      </c>
      <c r="L81" s="15" t="str">
        <f>IF($P81="","",IFERROR(IF(INDEX(MASTER!$O$4:$O$1463,$P81)="","",INDEX(MASTER!$O$4:$O$1463,$P81)),""))</f>
        <v>A</v>
      </c>
      <c r="M81" s="15">
        <f>IF($P81="","",IFERROR(IF(INDEX(MASTER!$Q$4:$Q$1463,$P81)="","",INDEX(MASTER!$Q$4:$Q$1463,$P81)),""))</f>
        <v>39</v>
      </c>
      <c r="N81" s="15" t="str">
        <f>IF($P81="","",IFERROR(IF(INDEX(MASTER!$S$4:$S$1463,$P81)="","",INDEX(MASTER!$S$4:$S$1463,$P81)),""))</f>
        <v>Complete</v>
      </c>
      <c r="P81">
        <f>IFERROR(MATCH($Q$1&amp;"@73",MASTER!$AC$4:$AC$1463,0),"")</f>
        <v>918</v>
      </c>
    </row>
    <row r="82" spans="1:16">
      <c r="A82" s="19">
        <f>IF($P82="","",74)</f>
        <v>74</v>
      </c>
      <c r="B82" s="18" t="str">
        <f>IF($P82="","",IFERROR(IF(INDEX(MASTER!$C$4:$C$1463,$P82)="","",INDEX(MASTER!$C$4:$C$1463,$P82)),""))</f>
        <v>Rashomon</v>
      </c>
      <c r="C82" s="19" t="str">
        <f>IF($P82="","",IFERROR(IF(INDEX(MASTER!$D$4:$D$1463,$P82)="","",INDEX(MASTER!$D$4:$D$1463,$P82)),""))</f>
        <v/>
      </c>
      <c r="D82" s="19" t="str">
        <f>IF($P82="","",IFERROR(IF(INDEX(MASTER!$E$4:$E$1463,$P82)="","",INDEX(MASTER!$E$4:$E$1463,$P82)),""))</f>
        <v>DRUID</v>
      </c>
      <c r="E82" s="19" t="str">
        <f>IF($P82="","",IFERROR(IF(INDEX(MASTER!$F$4:$F$1463,$P82)="","",INDEX(MASTER!$F$4:$F$1463,$P82)),""))</f>
        <v>Support</v>
      </c>
      <c r="F82" s="20">
        <f>IF($P82="","",IFERROR(IF(INDEX(MASTER!$G$4:$G$1463,$P82)="","",INDEX(MASTER!$G$4:$G$1463,$P82)),""))</f>
        <v>64417</v>
      </c>
      <c r="G82" s="19" t="str">
        <f>IF($P82="","",IFERROR(IF(INDEX(MASTER!$H$4:$H$1463,$P82)="","",INDEX(MASTER!$H$4:$H$1463,$P82)),""))</f>
        <v>64,000 +</v>
      </c>
      <c r="H82" s="20">
        <f>IF($P82="","",IFERROR(IF(INDEX(MASTER!$I$4:$I$1463,$P82)="","",INDEX(MASTER!$I$4:$I$1463,$P82)),""))</f>
        <v>10522</v>
      </c>
      <c r="I82" s="19" t="str">
        <f>IF($P82="","",IFERROR(IF(INDEX(MASTER!$J$4:$J$1463,$P82)="","",INDEX(MASTER!$J$4:$J$1463,$P82)),""))</f>
        <v>APEX</v>
      </c>
      <c r="J82" s="21">
        <f>IF($P82="","",IFERROR(IF(INDEX(MASTER!$L$4:$L$1463,$P82)="","",INDEX(MASTER!$L$4:$L$1463,$P82)),""))</f>
        <v>9.8000000000000007</v>
      </c>
      <c r="K82" s="21">
        <f>IF($P82="","",IFERROR(IF(INDEX(MASTER!$N$4:$N$1463,$P82)="","",INDEX(MASTER!$N$4:$N$1463,$P82)),""))</f>
        <v>87</v>
      </c>
      <c r="L82" s="19" t="str">
        <f>IF($P82="","",IFERROR(IF(INDEX(MASTER!$O$4:$O$1463,$P82)="","",INDEX(MASTER!$O$4:$O$1463,$P82)),""))</f>
        <v>S+</v>
      </c>
      <c r="M82" s="19">
        <f>IF($P82="","",IFERROR(IF(INDEX(MASTER!$Q$4:$Q$1463,$P82)="","",INDEX(MASTER!$Q$4:$Q$1463,$P82)),""))</f>
        <v>8</v>
      </c>
      <c r="N82" s="19" t="str">
        <f>IF($P82="","",IFERROR(IF(INDEX(MASTER!$S$4:$S$1463,$P82)="","",INDEX(MASTER!$S$4:$S$1463,$P82)),""))</f>
        <v>Complete</v>
      </c>
      <c r="P82">
        <f>IFERROR(MATCH($Q$1&amp;"@74",MASTER!$AC$4:$AC$1463,0),"")</f>
        <v>927</v>
      </c>
    </row>
    <row r="83" spans="1:16">
      <c r="A83" s="15">
        <f>IF($P83="","",75)</f>
        <v>75</v>
      </c>
      <c r="B83" s="14" t="str">
        <f>IF($P83="","",IFERROR(IF(INDEX(MASTER!$C$4:$C$1463,$P83)="","",INDEX(MASTER!$C$4:$C$1463,$P83)),""))</f>
        <v>RavencrestUp4</v>
      </c>
      <c r="C83" s="15" t="str">
        <f>IF($P83="","",IFERROR(IF(INDEX(MASTER!$D$4:$D$1463,$P83)="","",INDEX(MASTER!$D$4:$D$1463,$P83)),""))</f>
        <v/>
      </c>
      <c r="D83" s="15" t="str">
        <f>IF($P83="","",IFERROR(IF(INDEX(MASTER!$E$4:$E$1463,$P83)="","",INDEX(MASTER!$E$4:$E$1463,$P83)),""))</f>
        <v>CRUSADER</v>
      </c>
      <c r="E83" s="15" t="str">
        <f>IF($P83="","",IFERROR(IF(INDEX(MASTER!$F$4:$F$1463,$P83)="","",INDEX(MASTER!$F$4:$F$1463,$P83)),""))</f>
        <v>Frontline</v>
      </c>
      <c r="F83" s="16">
        <f>IF($P83="","",IFERROR(IF(INDEX(MASTER!$G$4:$G$1463,$P83)="","",INDEX(MASTER!$G$4:$G$1463,$P83)),""))</f>
        <v>61372</v>
      </c>
      <c r="G83" s="15" t="str">
        <f>IF($P83="","",IFERROR(IF(INDEX(MASTER!$H$4:$H$1463,$P83)="","",INDEX(MASTER!$H$4:$H$1463,$P83)),""))</f>
        <v>61,000 - 61,999</v>
      </c>
      <c r="H83" s="16">
        <f>IF($P83="","",IFERROR(IF(INDEX(MASTER!$I$4:$I$1463,$P83)="","",INDEX(MASTER!$I$4:$I$1463,$P83)),""))</f>
        <v>9912</v>
      </c>
      <c r="I83" s="15" t="str">
        <f>IF($P83="","",IFERROR(IF(INDEX(MASTER!$J$4:$J$1463,$P83)="","",INDEX(MASTER!$J$4:$J$1463,$P83)),""))</f>
        <v>ELITE</v>
      </c>
      <c r="J83" s="17">
        <f>IF($P83="","",IFERROR(IF(INDEX(MASTER!$L$4:$L$1463,$P83)="","",INDEX(MASTER!$L$4:$L$1463,$P83)),""))</f>
        <v>7.5</v>
      </c>
      <c r="K83" s="17">
        <f>IF($P83="","",IFERROR(IF(INDEX(MASTER!$N$4:$N$1463,$P83)="","",INDEX(MASTER!$N$4:$N$1463,$P83)),""))</f>
        <v>72.5</v>
      </c>
      <c r="L83" s="15" t="str">
        <f>IF($P83="","",IFERROR(IF(INDEX(MASTER!$O$4:$O$1463,$P83)="","",INDEX(MASTER!$O$4:$O$1463,$P83)),""))</f>
        <v>S</v>
      </c>
      <c r="M83" s="15">
        <f>IF($P83="","",IFERROR(IF(INDEX(MASTER!$Q$4:$Q$1463,$P83)="","",INDEX(MASTER!$Q$4:$Q$1463,$P83)),""))</f>
        <v>13</v>
      </c>
      <c r="N83" s="15" t="str">
        <f>IF($P83="","",IFERROR(IF(INDEX(MASTER!$S$4:$S$1463,$P83)="","",INDEX(MASTER!$S$4:$S$1463,$P83)),""))</f>
        <v>Complete</v>
      </c>
      <c r="P83">
        <f>IFERROR(MATCH($Q$1&amp;"@75",MASTER!$AC$4:$AC$1463,0),"")</f>
        <v>930</v>
      </c>
    </row>
    <row r="84" spans="1:16">
      <c r="A84" s="19">
        <f>IF($P84="","",76)</f>
        <v>76</v>
      </c>
      <c r="B84" s="18" t="str">
        <f>IF($P84="","",IFERROR(IF(INDEX(MASTER!$C$4:$C$1463,$P84)="","",INDEX(MASTER!$C$4:$C$1463,$P84)),""))</f>
        <v>Renfri</v>
      </c>
      <c r="C84" s="19" t="str">
        <f>IF($P84="","",IFERROR(IF(INDEX(MASTER!$D$4:$D$1463,$P84)="","",INDEX(MASTER!$D$4:$D$1463,$P84)),""))</f>
        <v/>
      </c>
      <c r="D84" s="19" t="str">
        <f>IF($P84="","",IFERROR(IF(INDEX(MASTER!$E$4:$E$1463,$P84)="","",INDEX(MASTER!$E$4:$E$1463,$P84)),""))</f>
        <v>WARLOCK</v>
      </c>
      <c r="E84" s="19" t="str">
        <f>IF($P84="","",IFERROR(IF(INDEX(MASTER!$F$4:$F$1463,$P84)="","",INDEX(MASTER!$F$4:$F$1463,$P84)),""))</f>
        <v>Control</v>
      </c>
      <c r="F84" s="20">
        <f>IF($P84="","",IFERROR(IF(INDEX(MASTER!$G$4:$G$1463,$P84)="","",INDEX(MASTER!$G$4:$G$1463,$P84)),""))</f>
        <v>62390</v>
      </c>
      <c r="G84" s="19" t="str">
        <f>IF($P84="","",IFERROR(IF(INDEX(MASTER!$H$4:$H$1463,$P84)="","",INDEX(MASTER!$H$4:$H$1463,$P84)),""))</f>
        <v>62,000 - 62,999</v>
      </c>
      <c r="H84" s="20">
        <f>IF($P84="","",IFERROR(IF(INDEX(MASTER!$I$4:$I$1463,$P84)="","",INDEX(MASTER!$I$4:$I$1463,$P84)),""))</f>
        <v>2997</v>
      </c>
      <c r="I84" s="19" t="str">
        <f>IF($P84="","",IFERROR(IF(INDEX(MASTER!$J$4:$J$1463,$P84)="","",INDEX(MASTER!$J$4:$J$1463,$P84)),""))</f>
        <v>DEVELOPING</v>
      </c>
      <c r="J84" s="21">
        <f>IF($P84="","",IFERROR(IF(INDEX(MASTER!$L$4:$L$1463,$P84)="","",INDEX(MASTER!$L$4:$L$1463,$P84)),""))</f>
        <v>5.7</v>
      </c>
      <c r="K84" s="21">
        <f>IF($P84="","",IFERROR(IF(INDEX(MASTER!$N$4:$N$1463,$P84)="","",INDEX(MASTER!$N$4:$N$1463,$P84)),""))</f>
        <v>42</v>
      </c>
      <c r="L84" s="19" t="str">
        <f>IF($P84="","",IFERROR(IF(INDEX(MASTER!$O$4:$O$1463,$P84)="","",INDEX(MASTER!$O$4:$O$1463,$P84)),""))</f>
        <v>B</v>
      </c>
      <c r="M84" s="19">
        <f>IF($P84="","",IFERROR(IF(INDEX(MASTER!$Q$4:$Q$1463,$P84)="","",INDEX(MASTER!$Q$4:$Q$1463,$P84)),""))</f>
        <v>93</v>
      </c>
      <c r="N84" s="19" t="str">
        <f>IF($P84="","",IFERROR(IF(INDEX(MASTER!$S$4:$S$1463,$P84)="","",INDEX(MASTER!$S$4:$S$1463,$P84)),""))</f>
        <v>Complete</v>
      </c>
      <c r="P84">
        <f>IFERROR(MATCH($Q$1&amp;"@76",MASTER!$AC$4:$AC$1463,0),"")</f>
        <v>945</v>
      </c>
    </row>
    <row r="85" spans="1:16">
      <c r="A85" s="15">
        <f>IF($P85="","",77)</f>
        <v>77</v>
      </c>
      <c r="B85" s="14" t="str">
        <f>IF($P85="","",IFERROR(IF(INDEX(MASTER!$C$4:$C$1463,$P85)="","",INDEX(MASTER!$C$4:$C$1463,$P85)),""))</f>
        <v>ShadowThief</v>
      </c>
      <c r="C85" s="15" t="str">
        <f>IF($P85="","",IFERROR(IF(INDEX(MASTER!$D$4:$D$1463,$P85)="","",INDEX(MASTER!$D$4:$D$1463,$P85)),""))</f>
        <v/>
      </c>
      <c r="D85" s="15" t="str">
        <f>IF($P85="","",IFERROR(IF(INDEX(MASTER!$E$4:$E$1463,$P85)="","",INDEX(MASTER!$E$4:$E$1463,$P85)),""))</f>
        <v>WARLOCK</v>
      </c>
      <c r="E85" s="15" t="str">
        <f>IF($P85="","",IFERROR(IF(INDEX(MASTER!$F$4:$F$1463,$P85)="","",INDEX(MASTER!$F$4:$F$1463,$P85)),""))</f>
        <v>Control</v>
      </c>
      <c r="F85" s="16">
        <f>IF($P85="","",IFERROR(IF(INDEX(MASTER!$G$4:$G$1463,$P85)="","",INDEX(MASTER!$G$4:$G$1463,$P85)),""))</f>
        <v>63050</v>
      </c>
      <c r="G85" s="15" t="str">
        <f>IF($P85="","",IFERROR(IF(INDEX(MASTER!$H$4:$H$1463,$P85)="","",INDEX(MASTER!$H$4:$H$1463,$P85)),""))</f>
        <v>63,000 - 63,999</v>
      </c>
      <c r="H85" s="16">
        <f>IF($P85="","",IFERROR(IF(INDEX(MASTER!$I$4:$I$1463,$P85)="","",INDEX(MASTER!$I$4:$I$1463,$P85)),""))</f>
        <v>3600</v>
      </c>
      <c r="I85" s="15" t="str">
        <f>IF($P85="","",IFERROR(IF(INDEX(MASTER!$J$4:$J$1463,$P85)="","",INDEX(MASTER!$J$4:$J$1463,$P85)),""))</f>
        <v>DEVELOPING</v>
      </c>
      <c r="J85" s="17">
        <f>IF($P85="","",IFERROR(IF(INDEX(MASTER!$L$4:$L$1463,$P85)="","",INDEX(MASTER!$L$4:$L$1463,$P85)),""))</f>
        <v>5.95</v>
      </c>
      <c r="K85" s="17">
        <f>IF($P85="","",IFERROR(IF(INDEX(MASTER!$N$4:$N$1463,$P85)="","",INDEX(MASTER!$N$4:$N$1463,$P85)),""))</f>
        <v>46.8</v>
      </c>
      <c r="L85" s="15" t="str">
        <f>IF($P85="","",IFERROR(IF(INDEX(MASTER!$O$4:$O$1463,$P85)="","",INDEX(MASTER!$O$4:$O$1463,$P85)),""))</f>
        <v>B</v>
      </c>
      <c r="M85" s="15">
        <f>IF($P85="","",IFERROR(IF(INDEX(MASTER!$Q$4:$Q$1463,$P85)="","",INDEX(MASTER!$Q$4:$Q$1463,$P85)),""))</f>
        <v>72</v>
      </c>
      <c r="N85" s="15" t="str">
        <f>IF($P85="","",IFERROR(IF(INDEX(MASTER!$S$4:$S$1463,$P85)="","",INDEX(MASTER!$S$4:$S$1463,$P85)),""))</f>
        <v>Complete</v>
      </c>
      <c r="P85">
        <f>IFERROR(MATCH($Q$1&amp;"@77",MASTER!$AC$4:$AC$1463,0),"")</f>
        <v>1003</v>
      </c>
    </row>
    <row r="86" spans="1:16">
      <c r="A86" s="19">
        <f>IF($P86="","",78)</f>
        <v>78</v>
      </c>
      <c r="B86" s="18" t="str">
        <f>IF($P86="","",IFERROR(IF(INDEX(MASTER!$C$4:$C$1463,$P86)="","",INDEX(MASTER!$C$4:$C$1463,$P86)),""))</f>
        <v>Shelleck</v>
      </c>
      <c r="C86" s="19" t="str">
        <f>IF($P86="","",IFERROR(IF(INDEX(MASTER!$D$4:$D$1463,$P86)="","",INDEX(MASTER!$D$4:$D$1463,$P86)),""))</f>
        <v/>
      </c>
      <c r="D86" s="19" t="str">
        <f>IF($P86="","",IFERROR(IF(INDEX(MASTER!$E$4:$E$1463,$P86)="","",INDEX(MASTER!$E$4:$E$1463,$P86)),""))</f>
        <v>MONK</v>
      </c>
      <c r="E86" s="19" t="str">
        <f>IF($P86="","",IFERROR(IF(INDEX(MASTER!$F$4:$F$1463,$P86)="","",INDEX(MASTER!$F$4:$F$1463,$P86)),""))</f>
        <v>Support</v>
      </c>
      <c r="F86" s="20">
        <f>IF($P86="","",IFERROR(IF(INDEX(MASTER!$G$4:$G$1463,$P86)="","",INDEX(MASTER!$G$4:$G$1463,$P86)),""))</f>
        <v>62572</v>
      </c>
      <c r="G86" s="19" t="str">
        <f>IF($P86="","",IFERROR(IF(INDEX(MASTER!$H$4:$H$1463,$P86)="","",INDEX(MASTER!$H$4:$H$1463,$P86)),""))</f>
        <v>62,000 - 62,999</v>
      </c>
      <c r="H86" s="20">
        <f>IF($P86="","",IFERROR(IF(INDEX(MASTER!$I$4:$I$1463,$P86)="","",INDEX(MASTER!$I$4:$I$1463,$P86)),""))</f>
        <v>3292</v>
      </c>
      <c r="I86" s="19" t="str">
        <f>IF($P86="","",IFERROR(IF(INDEX(MASTER!$J$4:$J$1463,$P86)="","",INDEX(MASTER!$J$4:$J$1463,$P86)),""))</f>
        <v>DEVELOPING</v>
      </c>
      <c r="J86" s="21">
        <f>IF($P86="","",IFERROR(IF(INDEX(MASTER!$L$4:$L$1463,$P86)="","",INDEX(MASTER!$L$4:$L$1463,$P86)),""))</f>
        <v>5.9</v>
      </c>
      <c r="K86" s="21">
        <f>IF($P86="","",IFERROR(IF(INDEX(MASTER!$N$4:$N$1463,$P86)="","",INDEX(MASTER!$N$4:$N$1463,$P86)),""))</f>
        <v>44.1</v>
      </c>
      <c r="L86" s="19" t="str">
        <f>IF($P86="","",IFERROR(IF(INDEX(MASTER!$O$4:$O$1463,$P86)="","",INDEX(MASTER!$O$4:$O$1463,$P86)),""))</f>
        <v>B</v>
      </c>
      <c r="M86" s="19">
        <f>IF($P86="","",IFERROR(IF(INDEX(MASTER!$Q$4:$Q$1463,$P86)="","",INDEX(MASTER!$Q$4:$Q$1463,$P86)),""))</f>
        <v>84</v>
      </c>
      <c r="N86" s="19" t="str">
        <f>IF($P86="","",IFERROR(IF(INDEX(MASTER!$S$4:$S$1463,$P86)="","",INDEX(MASTER!$S$4:$S$1463,$P86)),""))</f>
        <v>Complete</v>
      </c>
      <c r="P86">
        <f>IFERROR(MATCH($Q$1&amp;"@78",MASTER!$AC$4:$AC$1463,0),"")</f>
        <v>1008</v>
      </c>
    </row>
    <row r="87" spans="1:16">
      <c r="A87" s="15">
        <f>IF($P87="","",79)</f>
        <v>79</v>
      </c>
      <c r="B87" s="14" t="str">
        <f>IF($P87="","",IFERROR(IF(INDEX(MASTER!$C$4:$C$1463,$P87)="","",INDEX(MASTER!$C$4:$C$1463,$P87)),""))</f>
        <v>SilentTrees</v>
      </c>
      <c r="C87" s="15" t="str">
        <f>IF($P87="","",IFERROR(IF(INDEX(MASTER!$D$4:$D$1463,$P87)="","",INDEX(MASTER!$D$4:$D$1463,$P87)),""))</f>
        <v/>
      </c>
      <c r="D87" s="15" t="str">
        <f>IF($P87="","",IFERROR(IF(INDEX(MASTER!$E$4:$E$1463,$P87)="","",INDEX(MASTER!$E$4:$E$1463,$P87)),""))</f>
        <v>WARLOCK</v>
      </c>
      <c r="E87" s="15" t="str">
        <f>IF($P87="","",IFERROR(IF(INDEX(MASTER!$F$4:$F$1463,$P87)="","",INDEX(MASTER!$F$4:$F$1463,$P87)),""))</f>
        <v>Control</v>
      </c>
      <c r="F87" s="16">
        <f>IF($P87="","",IFERROR(IF(INDEX(MASTER!$G$4:$G$1463,$P87)="","",INDEX(MASTER!$G$4:$G$1463,$P87)),""))</f>
        <v>62861</v>
      </c>
      <c r="G87" s="15" t="str">
        <f>IF($P87="","",IFERROR(IF(INDEX(MASTER!$H$4:$H$1463,$P87)="","",INDEX(MASTER!$H$4:$H$1463,$P87)),""))</f>
        <v>62,000 - 62,999</v>
      </c>
      <c r="H87" s="16">
        <f>IF($P87="","",IFERROR(IF(INDEX(MASTER!$I$4:$I$1463,$P87)="","",INDEX(MASTER!$I$4:$I$1463,$P87)),""))</f>
        <v>3655</v>
      </c>
      <c r="I87" s="15" t="str">
        <f>IF($P87="","",IFERROR(IF(INDEX(MASTER!$J$4:$J$1463,$P87)="","",INDEX(MASTER!$J$4:$J$1463,$P87)),""))</f>
        <v>DEVELOPING</v>
      </c>
      <c r="J87" s="17">
        <f>IF($P87="","",IFERROR(IF(INDEX(MASTER!$L$4:$L$1463,$P87)="","",INDEX(MASTER!$L$4:$L$1463,$P87)),""))</f>
        <v>7.45</v>
      </c>
      <c r="K87" s="17">
        <f>IF($P87="","",IFERROR(IF(INDEX(MASTER!$N$4:$N$1463,$P87)="","",INDEX(MASTER!$N$4:$N$1463,$P87)),""))</f>
        <v>49.1</v>
      </c>
      <c r="L87" s="15" t="str">
        <f>IF($P87="","",IFERROR(IF(INDEX(MASTER!$O$4:$O$1463,$P87)="","",INDEX(MASTER!$O$4:$O$1463,$P87)),""))</f>
        <v>B</v>
      </c>
      <c r="M87" s="15">
        <f>IF($P87="","",IFERROR(IF(INDEX(MASTER!$Q$4:$Q$1463,$P87)="","",INDEX(MASTER!$Q$4:$Q$1463,$P87)),""))</f>
        <v>69</v>
      </c>
      <c r="N87" s="15" t="str">
        <f>IF($P87="","",IFERROR(IF(INDEX(MASTER!$S$4:$S$1463,$P87)="","",INDEX(MASTER!$S$4:$S$1463,$P87)),""))</f>
        <v>Complete</v>
      </c>
      <c r="P87">
        <f>IFERROR(MATCH($Q$1&amp;"@79",MASTER!$AC$4:$AC$1463,0),"")</f>
        <v>1020</v>
      </c>
    </row>
    <row r="88" spans="1:16">
      <c r="A88" s="19">
        <f>IF($P88="","",80)</f>
        <v>80</v>
      </c>
      <c r="B88" s="18" t="str">
        <f>IF($P88="","",IFERROR(IF(INDEX(MASTER!$C$4:$C$1463,$P88)="","",INDEX(MASTER!$C$4:$C$1463,$P88)),""))</f>
        <v>Slingsandarrc</v>
      </c>
      <c r="C88" s="19" t="str">
        <f>IF($P88="","",IFERROR(IF(INDEX(MASTER!$D$4:$D$1463,$P88)="","",INDEX(MASTER!$D$4:$D$1463,$P88)),""))</f>
        <v/>
      </c>
      <c r="D88" s="19" t="str">
        <f>IF($P88="","",IFERROR(IF(INDEX(MASTER!$E$4:$E$1463,$P88)="","",INDEX(MASTER!$E$4:$E$1463,$P88)),""))</f>
        <v>BARBARIAN</v>
      </c>
      <c r="E88" s="19" t="str">
        <f>IF($P88="","",IFERROR(IF(INDEX(MASTER!$F$4:$F$1463,$P88)="","",INDEX(MASTER!$F$4:$F$1463,$P88)),""))</f>
        <v>Frontline</v>
      </c>
      <c r="F88" s="20">
        <f>IF($P88="","",IFERROR(IF(INDEX(MASTER!$G$4:$G$1463,$P88)="","",INDEX(MASTER!$G$4:$G$1463,$P88)),""))</f>
        <v>61757</v>
      </c>
      <c r="G88" s="19" t="str">
        <f>IF($P88="","",IFERROR(IF(INDEX(MASTER!$H$4:$H$1463,$P88)="","",INDEX(MASTER!$H$4:$H$1463,$P88)),""))</f>
        <v>61,000 - 61,999</v>
      </c>
      <c r="H88" s="20">
        <f>IF($P88="","",IFERROR(IF(INDEX(MASTER!$I$4:$I$1463,$P88)="","",INDEX(MASTER!$I$4:$I$1463,$P88)),""))</f>
        <v>2969</v>
      </c>
      <c r="I88" s="19" t="str">
        <f>IF($P88="","",IFERROR(IF(INDEX(MASTER!$J$4:$J$1463,$P88)="","",INDEX(MASTER!$J$4:$J$1463,$P88)),""))</f>
        <v>DEVELOPING</v>
      </c>
      <c r="J88" s="21">
        <f>IF($P88="","",IFERROR(IF(INDEX(MASTER!$L$4:$L$1463,$P88)="","",INDEX(MASTER!$L$4:$L$1463,$P88)),""))</f>
        <v>4.55</v>
      </c>
      <c r="K88" s="21">
        <f>IF($P88="","",IFERROR(IF(INDEX(MASTER!$N$4:$N$1463,$P88)="","",INDEX(MASTER!$N$4:$N$1463,$P88)),""))</f>
        <v>38.299999999999997</v>
      </c>
      <c r="L88" s="19" t="str">
        <f>IF($P88="","",IFERROR(IF(INDEX(MASTER!$O$4:$O$1463,$P88)="","",INDEX(MASTER!$O$4:$O$1463,$P88)),""))</f>
        <v>B</v>
      </c>
      <c r="M88" s="19">
        <f>IF($P88="","",IFERROR(IF(INDEX(MASTER!$Q$4:$Q$1463,$P88)="","",INDEX(MASTER!$Q$4:$Q$1463,$P88)),""))</f>
        <v>95</v>
      </c>
      <c r="N88" s="19" t="str">
        <f>IF($P88="","",IFERROR(IF(INDEX(MASTER!$S$4:$S$1463,$P88)="","",INDEX(MASTER!$S$4:$S$1463,$P88)),""))</f>
        <v>Complete</v>
      </c>
      <c r="P88">
        <f>IFERROR(MATCH($Q$1&amp;"@80",MASTER!$AC$4:$AC$1463,0),"")</f>
        <v>1038</v>
      </c>
    </row>
    <row r="89" spans="1:16">
      <c r="A89" s="15">
        <f>IF($P89="","",81)</f>
        <v>81</v>
      </c>
      <c r="B89" s="14" t="str">
        <f>IF($P89="","",IFERROR(IF(INDEX(MASTER!$C$4:$C$1463,$P89)="","",INDEX(MASTER!$C$4:$C$1463,$P89)),""))</f>
        <v>Smallpotato</v>
      </c>
      <c r="C89" s="15" t="str">
        <f>IF($P89="","",IFERROR(IF(INDEX(MASTER!$D$4:$D$1463,$P89)="","",INDEX(MASTER!$D$4:$D$1463,$P89)),""))</f>
        <v/>
      </c>
      <c r="D89" s="15" t="str">
        <f>IF($P89="","",IFERROR(IF(INDEX(MASTER!$E$4:$E$1463,$P89)="","",INDEX(MASTER!$E$4:$E$1463,$P89)),""))</f>
        <v>WARLOCK</v>
      </c>
      <c r="E89" s="15" t="str">
        <f>IF($P89="","",IFERROR(IF(INDEX(MASTER!$F$4:$F$1463,$P89)="","",INDEX(MASTER!$F$4:$F$1463,$P89)),""))</f>
        <v>Control</v>
      </c>
      <c r="F89" s="16">
        <f>IF($P89="","",IFERROR(IF(INDEX(MASTER!$G$4:$G$1463,$P89)="","",INDEX(MASTER!$G$4:$G$1463,$P89)),""))</f>
        <v>63046</v>
      </c>
      <c r="G89" s="15" t="str">
        <f>IF($P89="","",IFERROR(IF(INDEX(MASTER!$H$4:$H$1463,$P89)="","",INDEX(MASTER!$H$4:$H$1463,$P89)),""))</f>
        <v>63,000 - 63,999</v>
      </c>
      <c r="H89" s="16">
        <f>IF($P89="","",IFERROR(IF(INDEX(MASTER!$I$4:$I$1463,$P89)="","",INDEX(MASTER!$I$4:$I$1463,$P89)),""))</f>
        <v>3860</v>
      </c>
      <c r="I89" s="15" t="str">
        <f>IF($P89="","",IFERROR(IF(INDEX(MASTER!$J$4:$J$1463,$P89)="","",INDEX(MASTER!$J$4:$J$1463,$P89)),""))</f>
        <v>DEVELOPING</v>
      </c>
      <c r="J89" s="17">
        <f>IF($P89="","",IFERROR(IF(INDEX(MASTER!$L$4:$L$1463,$P89)="","",INDEX(MASTER!$L$4:$L$1463,$P89)),""))</f>
        <v>6.65</v>
      </c>
      <c r="K89" s="17">
        <f>IF($P89="","",IFERROR(IF(INDEX(MASTER!$N$4:$N$1463,$P89)="","",INDEX(MASTER!$N$4:$N$1463,$P89)),""))</f>
        <v>49.1</v>
      </c>
      <c r="L89" s="15" t="str">
        <f>IF($P89="","",IFERROR(IF(INDEX(MASTER!$O$4:$O$1463,$P89)="","",INDEX(MASTER!$O$4:$O$1463,$P89)),""))</f>
        <v>B</v>
      </c>
      <c r="M89" s="15">
        <f>IF($P89="","",IFERROR(IF(INDEX(MASTER!$Q$4:$Q$1463,$P89)="","",INDEX(MASTER!$Q$4:$Q$1463,$P89)),""))</f>
        <v>65</v>
      </c>
      <c r="N89" s="15" t="str">
        <f>IF($P89="","",IFERROR(IF(INDEX(MASTER!$S$4:$S$1463,$P89)="","",INDEX(MASTER!$S$4:$S$1463,$P89)),""))</f>
        <v>Complete</v>
      </c>
      <c r="P89">
        <f>IFERROR(MATCH($Q$1&amp;"@81",MASTER!$AC$4:$AC$1463,0),"")</f>
        <v>1044</v>
      </c>
    </row>
    <row r="90" spans="1:16">
      <c r="A90" s="19">
        <f>IF($P90="","",82)</f>
        <v>82</v>
      </c>
      <c r="B90" s="18" t="str">
        <f>IF($P90="","",IFERROR(IF(INDEX(MASTER!$C$4:$C$1463,$P90)="","",INDEX(MASTER!$C$4:$C$1463,$P90)),""))</f>
        <v>Souless_0</v>
      </c>
      <c r="C90" s="19" t="str">
        <f>IF($P90="","",IFERROR(IF(INDEX(MASTER!$D$4:$D$1463,$P90)="","",INDEX(MASTER!$D$4:$D$1463,$P90)),""))</f>
        <v/>
      </c>
      <c r="D90" s="19" t="str">
        <f>IF($P90="","",IFERROR(IF(INDEX(MASTER!$E$4:$E$1463,$P90)="","",INDEX(MASTER!$E$4:$E$1463,$P90)),""))</f>
        <v>TEMPEST</v>
      </c>
      <c r="E90" s="19" t="str">
        <f>IF($P90="","",IFERROR(IF(INDEX(MASTER!$F$4:$F$1463,$P90)="","",INDEX(MASTER!$F$4:$F$1463,$P90)),""))</f>
        <v>Melee DPS</v>
      </c>
      <c r="F90" s="20">
        <f>IF($P90="","",IFERROR(IF(INDEX(MASTER!$G$4:$G$1463,$P90)="","",INDEX(MASTER!$G$4:$G$1463,$P90)),""))</f>
        <v>61384</v>
      </c>
      <c r="G90" s="19" t="str">
        <f>IF($P90="","",IFERROR(IF(INDEX(MASTER!$H$4:$H$1463,$P90)="","",INDEX(MASTER!$H$4:$H$1463,$P90)),""))</f>
        <v>61,000 - 61,999</v>
      </c>
      <c r="H90" s="20">
        <f>IF($P90="","",IFERROR(IF(INDEX(MASTER!$I$4:$I$1463,$P90)="","",INDEX(MASTER!$I$4:$I$1463,$P90)),""))</f>
        <v>2714</v>
      </c>
      <c r="I90" s="19" t="str">
        <f>IF($P90="","",IFERROR(IF(INDEX(MASTER!$J$4:$J$1463,$P90)="","",INDEX(MASTER!$J$4:$J$1463,$P90)),""))</f>
        <v>DEVELOPING</v>
      </c>
      <c r="J90" s="21">
        <f>IF($P90="","",IFERROR(IF(INDEX(MASTER!$L$4:$L$1463,$P90)="","",INDEX(MASTER!$L$4:$L$1463,$P90)),""))</f>
        <v>4.2</v>
      </c>
      <c r="K90" s="21">
        <f>IF($P90="","",IFERROR(IF(INDEX(MASTER!$N$4:$N$1463,$P90)="","",INDEX(MASTER!$N$4:$N$1463,$P90)),""))</f>
        <v>35.6</v>
      </c>
      <c r="L90" s="19" t="str">
        <f>IF($P90="","",IFERROR(IF(INDEX(MASTER!$O$4:$O$1463,$P90)="","",INDEX(MASTER!$O$4:$O$1463,$P90)),""))</f>
        <v>B</v>
      </c>
      <c r="M90" s="19">
        <f>IF($P90="","",IFERROR(IF(INDEX(MASTER!$Q$4:$Q$1463,$P90)="","",INDEX(MASTER!$Q$4:$Q$1463,$P90)),""))</f>
        <v>98</v>
      </c>
      <c r="N90" s="19" t="str">
        <f>IF($P90="","",IFERROR(IF(INDEX(MASTER!$S$4:$S$1463,$P90)="","",INDEX(MASTER!$S$4:$S$1463,$P90)),""))</f>
        <v>Complete</v>
      </c>
      <c r="P90">
        <f>IFERROR(MATCH($Q$1&amp;"@82",MASTER!$AC$4:$AC$1463,0),"")</f>
        <v>1057</v>
      </c>
    </row>
    <row r="91" spans="1:16">
      <c r="A91" s="15">
        <f>IF($P91="","",83)</f>
        <v>83</v>
      </c>
      <c r="B91" s="14" t="str">
        <f>IF($P91="","",IFERROR(IF(INDEX(MASTER!$C$4:$C$1463,$P91)="","",INDEX(MASTER!$C$4:$C$1463,$P91)),""))</f>
        <v>SulaGangstei</v>
      </c>
      <c r="C91" s="15" t="str">
        <f>IF($P91="","",IFERROR(IF(INDEX(MASTER!$D$4:$D$1463,$P91)="","",INDEX(MASTER!$D$4:$D$1463,$P91)),""))</f>
        <v/>
      </c>
      <c r="D91" s="15" t="str">
        <f>IF($P91="","",IFERROR(IF(INDEX(MASTER!$E$4:$E$1463,$P91)="","",INDEX(MASTER!$E$4:$E$1463,$P91)),""))</f>
        <v>DEMON HUNTER</v>
      </c>
      <c r="E91" s="15" t="str">
        <f>IF($P91="","",IFERROR(IF(INDEX(MASTER!$F$4:$F$1463,$P91)="","",INDEX(MASTER!$F$4:$F$1463,$P91)),""))</f>
        <v>Ranged DPS</v>
      </c>
      <c r="F91" s="16">
        <f>IF($P91="","",IFERROR(IF(INDEX(MASTER!$G$4:$G$1463,$P91)="","",INDEX(MASTER!$G$4:$G$1463,$P91)),""))</f>
        <v>62291</v>
      </c>
      <c r="G91" s="15" t="str">
        <f>IF($P91="","",IFERROR(IF(INDEX(MASTER!$H$4:$H$1463,$P91)="","",INDEX(MASTER!$H$4:$H$1463,$P91)),""))</f>
        <v>62,000 - 62,999</v>
      </c>
      <c r="H91" s="16">
        <f>IF($P91="","",IFERROR(IF(INDEX(MASTER!$I$4:$I$1463,$P91)="","",INDEX(MASTER!$I$4:$I$1463,$P91)),""))</f>
        <v>2951</v>
      </c>
      <c r="I91" s="15" t="str">
        <f>IF($P91="","",IFERROR(IF(INDEX(MASTER!$J$4:$J$1463,$P91)="","",INDEX(MASTER!$J$4:$J$1463,$P91)),""))</f>
        <v>DEVELOPING</v>
      </c>
      <c r="J91" s="17">
        <f>IF($P91="","",IFERROR(IF(INDEX(MASTER!$L$4:$L$1463,$P91)="","",INDEX(MASTER!$L$4:$L$1463,$P91)),""))</f>
        <v>6.3</v>
      </c>
      <c r="K91" s="17">
        <f>IF($P91="","",IFERROR(IF(INDEX(MASTER!$N$4:$N$1463,$P91)="","",INDEX(MASTER!$N$4:$N$1463,$P91)),""))</f>
        <v>42.6</v>
      </c>
      <c r="L91" s="15" t="str">
        <f>IF($P91="","",IFERROR(IF(INDEX(MASTER!$O$4:$O$1463,$P91)="","",INDEX(MASTER!$O$4:$O$1463,$P91)),""))</f>
        <v>B</v>
      </c>
      <c r="M91" s="15">
        <f>IF($P91="","",IFERROR(IF(INDEX(MASTER!$Q$4:$Q$1463,$P91)="","",INDEX(MASTER!$Q$4:$Q$1463,$P91)),""))</f>
        <v>96</v>
      </c>
      <c r="N91" s="15" t="str">
        <f>IF($P91="","",IFERROR(IF(INDEX(MASTER!$S$4:$S$1463,$P91)="","",INDEX(MASTER!$S$4:$S$1463,$P91)),""))</f>
        <v>Complete</v>
      </c>
      <c r="P91">
        <f>IFERROR(MATCH($Q$1&amp;"@83",MASTER!$AC$4:$AC$1463,0),"")</f>
        <v>1090</v>
      </c>
    </row>
    <row r="92" spans="1:16">
      <c r="A92" s="19">
        <f>IF($P92="","",84)</f>
        <v>84</v>
      </c>
      <c r="B92" s="18" t="str">
        <f>IF($P92="","",IFERROR(IF(INDEX(MASTER!$C$4:$C$1463,$P92)="","",INDEX(MASTER!$C$4:$C$1463,$P92)),""))</f>
        <v>Swai</v>
      </c>
      <c r="C92" s="19" t="str">
        <f>IF($P92="","",IFERROR(IF(INDEX(MASTER!$D$4:$D$1463,$P92)="","",INDEX(MASTER!$D$4:$D$1463,$P92)),""))</f>
        <v/>
      </c>
      <c r="D92" s="19" t="str">
        <f>IF($P92="","",IFERROR(IF(INDEX(MASTER!$E$4:$E$1463,$P92)="","",INDEX(MASTER!$E$4:$E$1463,$P92)),""))</f>
        <v>CRUSADER</v>
      </c>
      <c r="E92" s="19" t="str">
        <f>IF($P92="","",IFERROR(IF(INDEX(MASTER!$F$4:$F$1463,$P92)="","",INDEX(MASTER!$F$4:$F$1463,$P92)),""))</f>
        <v>Frontline</v>
      </c>
      <c r="F92" s="20">
        <f>IF($P92="","",IFERROR(IF(INDEX(MASTER!$G$4:$G$1463,$P92)="","",INDEX(MASTER!$G$4:$G$1463,$P92)),""))</f>
        <v>64447</v>
      </c>
      <c r="G92" s="19" t="str">
        <f>IF($P92="","",IFERROR(IF(INDEX(MASTER!$H$4:$H$1463,$P92)="","",INDEX(MASTER!$H$4:$H$1463,$P92)),""))</f>
        <v>64,000 +</v>
      </c>
      <c r="H92" s="20">
        <f>IF($P92="","",IFERROR(IF(INDEX(MASTER!$I$4:$I$1463,$P92)="","",INDEX(MASTER!$I$4:$I$1463,$P92)),""))</f>
        <v>11213</v>
      </c>
      <c r="I92" s="19" t="str">
        <f>IF($P92="","",IFERROR(IF(INDEX(MASTER!$J$4:$J$1463,$P92)="","",INDEX(MASTER!$J$4:$J$1463,$P92)),""))</f>
        <v>APEX</v>
      </c>
      <c r="J92" s="21">
        <f>IF($P92="","",IFERROR(IF(INDEX(MASTER!$L$4:$L$1463,$P92)="","",INDEX(MASTER!$L$4:$L$1463,$P92)),""))</f>
        <v>8.5</v>
      </c>
      <c r="K92" s="21">
        <f>IF($P92="","",IFERROR(IF(INDEX(MASTER!$N$4:$N$1463,$P92)="","",INDEX(MASTER!$N$4:$N$1463,$P92)),""))</f>
        <v>88</v>
      </c>
      <c r="L92" s="19" t="str">
        <f>IF($P92="","",IFERROR(IF(INDEX(MASTER!$O$4:$O$1463,$P92)="","",INDEX(MASTER!$O$4:$O$1463,$P92)),""))</f>
        <v>S+</v>
      </c>
      <c r="M92" s="19">
        <f>IF($P92="","",IFERROR(IF(INDEX(MASTER!$Q$4:$Q$1463,$P92)="","",INDEX(MASTER!$Q$4:$Q$1463,$P92)),""))</f>
        <v>6</v>
      </c>
      <c r="N92" s="19" t="str">
        <f>IF($P92="","",IFERROR(IF(INDEX(MASTER!$S$4:$S$1463,$P92)="","",INDEX(MASTER!$S$4:$S$1463,$P92)),""))</f>
        <v>Complete</v>
      </c>
      <c r="P92">
        <f>IFERROR(MATCH($Q$1&amp;"@84",MASTER!$AC$4:$AC$1463,0),"")</f>
        <v>1098</v>
      </c>
    </row>
    <row r="93" spans="1:16">
      <c r="A93" s="15">
        <f>IF($P93="","",85)</f>
        <v>85</v>
      </c>
      <c r="B93" s="14" t="str">
        <f>IF($P93="","",IFERROR(IF(INDEX(MASTER!$C$4:$C$1463,$P93)="","",INDEX(MASTER!$C$4:$C$1463,$P93)),""))</f>
        <v>Sybell</v>
      </c>
      <c r="C93" s="15" t="str">
        <f>IF($P93="","",IFERROR(IF(INDEX(MASTER!$D$4:$D$1463,$P93)="","",INDEX(MASTER!$D$4:$D$1463,$P93)),""))</f>
        <v/>
      </c>
      <c r="D93" s="15" t="str">
        <f>IF($P93="","",IFERROR(IF(INDEX(MASTER!$E$4:$E$1463,$P93)="","",INDEX(MASTER!$E$4:$E$1463,$P93)),""))</f>
        <v>WARLOCK</v>
      </c>
      <c r="E93" s="15" t="str">
        <f>IF($P93="","",IFERROR(IF(INDEX(MASTER!$F$4:$F$1463,$P93)="","",INDEX(MASTER!$F$4:$F$1463,$P93)),""))</f>
        <v>Control</v>
      </c>
      <c r="F93" s="16">
        <f>IF($P93="","",IFERROR(IF(INDEX(MASTER!$G$4:$G$1463,$P93)="","",INDEX(MASTER!$G$4:$G$1463,$P93)),""))</f>
        <v>59982</v>
      </c>
      <c r="G93" s="15" t="str">
        <f>IF($P93="","",IFERROR(IF(INDEX(MASTER!$H$4:$H$1463,$P93)="","",INDEX(MASTER!$H$4:$H$1463,$P93)),""))</f>
        <v>58,000 - 59,999</v>
      </c>
      <c r="H93" s="16">
        <f>IF($P93="","",IFERROR(IF(INDEX(MASTER!$I$4:$I$1463,$P93)="","",INDEX(MASTER!$I$4:$I$1463,$P93)),""))</f>
        <v>3027</v>
      </c>
      <c r="I93" s="15" t="str">
        <f>IF($P93="","",IFERROR(IF(INDEX(MASTER!$J$4:$J$1463,$P93)="","",INDEX(MASTER!$J$4:$J$1463,$P93)),""))</f>
        <v>DEVELOPING</v>
      </c>
      <c r="J93" s="17">
        <f>IF($P93="","",IFERROR(IF(INDEX(MASTER!$L$4:$L$1463,$P93)="","",INDEX(MASTER!$L$4:$L$1463,$P93)),""))</f>
        <v>3.65</v>
      </c>
      <c r="K93" s="17">
        <f>IF($P93="","",IFERROR(IF(INDEX(MASTER!$N$4:$N$1463,$P93)="","",INDEX(MASTER!$N$4:$N$1463,$P93)),""))</f>
        <v>32.4</v>
      </c>
      <c r="L93" s="15" t="str">
        <f>IF($P93="","",IFERROR(IF(INDEX(MASTER!$O$4:$O$1463,$P93)="","",INDEX(MASTER!$O$4:$O$1463,$P93)),""))</f>
        <v>C</v>
      </c>
      <c r="M93" s="15">
        <f>IF($P93="","",IFERROR(IF(INDEX(MASTER!$Q$4:$Q$1463,$P93)="","",INDEX(MASTER!$Q$4:$Q$1463,$P93)),""))</f>
        <v>91</v>
      </c>
      <c r="N93" s="15" t="str">
        <f>IF($P93="","",IFERROR(IF(INDEX(MASTER!$S$4:$S$1463,$P93)="","",INDEX(MASTER!$S$4:$S$1463,$P93)),""))</f>
        <v>Complete</v>
      </c>
      <c r="P93">
        <f>IFERROR(MATCH($Q$1&amp;"@85",MASTER!$AC$4:$AC$1463,0),"")</f>
        <v>1102</v>
      </c>
    </row>
    <row r="94" spans="1:16">
      <c r="A94" s="19">
        <f>IF($P94="","",86)</f>
        <v>86</v>
      </c>
      <c r="B94" s="18" t="str">
        <f>IF($P94="","",IFERROR(IF(INDEX(MASTER!$C$4:$C$1463,$P94)="","",INDEX(MASTER!$C$4:$C$1463,$P94)),""))</f>
        <v>Täng</v>
      </c>
      <c r="C94" s="19" t="str">
        <f>IF($P94="","",IFERROR(IF(INDEX(MASTER!$D$4:$D$1463,$P94)="","",INDEX(MASTER!$D$4:$D$1463,$P94)),""))</f>
        <v/>
      </c>
      <c r="D94" s="19" t="str">
        <f>IF($P94="","",IFERROR(IF(INDEX(MASTER!$E$4:$E$1463,$P94)="","",INDEX(MASTER!$E$4:$E$1463,$P94)),""))</f>
        <v>NECROMANCER</v>
      </c>
      <c r="E94" s="19" t="str">
        <f>IF($P94="","",IFERROR(IF(INDEX(MASTER!$F$4:$F$1463,$P94)="","",INDEX(MASTER!$F$4:$F$1463,$P94)),""))</f>
        <v>Control</v>
      </c>
      <c r="F94" s="20">
        <f>IF($P94="","",IFERROR(IF(INDEX(MASTER!$G$4:$G$1463,$P94)="","",INDEX(MASTER!$G$4:$G$1463,$P94)),""))</f>
        <v>62580</v>
      </c>
      <c r="G94" s="19" t="str">
        <f>IF($P94="","",IFERROR(IF(INDEX(MASTER!$H$4:$H$1463,$P94)="","",INDEX(MASTER!$H$4:$H$1463,$P94)),""))</f>
        <v>62,000 - 62,999</v>
      </c>
      <c r="H94" s="20">
        <f>IF($P94="","",IFERROR(IF(INDEX(MASTER!$I$4:$I$1463,$P94)="","",INDEX(MASTER!$I$4:$I$1463,$P94)),""))</f>
        <v>6778</v>
      </c>
      <c r="I94" s="19" t="str">
        <f>IF($P94="","",IFERROR(IF(INDEX(MASTER!$J$4:$J$1463,$P94)="","",INDEX(MASTER!$J$4:$J$1463,$P94)),""))</f>
        <v>VETERAN</v>
      </c>
      <c r="J94" s="21">
        <f>IF($P94="","",IFERROR(IF(INDEX(MASTER!$L$4:$L$1463,$P94)="","",INDEX(MASTER!$L$4:$L$1463,$P94)),""))</f>
        <v>6.67</v>
      </c>
      <c r="K94" s="21">
        <f>IF($P94="","",IFERROR(IF(INDEX(MASTER!$N$4:$N$1463,$P94)="","",INDEX(MASTER!$N$4:$N$1463,$P94)),""))</f>
        <v>60.7</v>
      </c>
      <c r="L94" s="19" t="str">
        <f>IF($P94="","",IFERROR(IF(INDEX(MASTER!$O$4:$O$1463,$P94)="","",INDEX(MASTER!$O$4:$O$1463,$P94)),""))</f>
        <v>A</v>
      </c>
      <c r="M94" s="19">
        <f>IF($P94="","",IFERROR(IF(INDEX(MASTER!$Q$4:$Q$1463,$P94)="","",INDEX(MASTER!$Q$4:$Q$1463,$P94)),""))</f>
        <v>32</v>
      </c>
      <c r="N94" s="19" t="str">
        <f>IF($P94="","",IFERROR(IF(INDEX(MASTER!$S$4:$S$1463,$P94)="","",INDEX(MASTER!$S$4:$S$1463,$P94)),""))</f>
        <v>Complete</v>
      </c>
      <c r="P94">
        <f>IFERROR(MATCH($Q$1&amp;"@86",MASTER!$AC$4:$AC$1463,0),"")</f>
        <v>1184</v>
      </c>
    </row>
    <row r="95" spans="1:16">
      <c r="A95" s="15">
        <f>IF($P95="","",87)</f>
        <v>87</v>
      </c>
      <c r="B95" s="14" t="str">
        <f>IF($P95="","",IFERROR(IF(INDEX(MASTER!$C$4:$C$1463,$P95)="","",INDEX(MASTER!$C$4:$C$1463,$P95)),""))</f>
        <v>TEMU KAMI</v>
      </c>
      <c r="C95" s="15" t="str">
        <f>IF($P95="","",IFERROR(IF(INDEX(MASTER!$D$4:$D$1463,$P95)="","",INDEX(MASTER!$D$4:$D$1463,$P95)),""))</f>
        <v/>
      </c>
      <c r="D95" s="15" t="str">
        <f>IF($P95="","",IFERROR(IF(INDEX(MASTER!$E$4:$E$1463,$P95)="","",INDEX(MASTER!$E$4:$E$1463,$P95)),""))</f>
        <v>DEMON HUNTER</v>
      </c>
      <c r="E95" s="15" t="str">
        <f>IF($P95="","",IFERROR(IF(INDEX(MASTER!$F$4:$F$1463,$P95)="","",INDEX(MASTER!$F$4:$F$1463,$P95)),""))</f>
        <v>Ranged DPS</v>
      </c>
      <c r="F95" s="16">
        <f>IF($P95="","",IFERROR(IF(INDEX(MASTER!$G$4:$G$1463,$P95)="","",INDEX(MASTER!$G$4:$G$1463,$P95)),""))</f>
        <v>60814</v>
      </c>
      <c r="G95" s="15" t="str">
        <f>IF($P95="","",IFERROR(IF(INDEX(MASTER!$H$4:$H$1463,$P95)="","",INDEX(MASTER!$H$4:$H$1463,$P95)),""))</f>
        <v>60,000 - 60,999</v>
      </c>
      <c r="H95" s="16">
        <f>IF($P95="","",IFERROR(IF(INDEX(MASTER!$I$4:$I$1463,$P95)="","",INDEX(MASTER!$I$4:$I$1463,$P95)),""))</f>
        <v>4939</v>
      </c>
      <c r="I95" s="15" t="str">
        <f>IF($P95="","",IFERROR(IF(INDEX(MASTER!$J$4:$J$1463,$P95)="","",INDEX(MASTER!$J$4:$J$1463,$P95)),""))</f>
        <v>CORE</v>
      </c>
      <c r="J95" s="17">
        <f>IF($P95="","",IFERROR(IF(INDEX(MASTER!$L$4:$L$1463,$P95)="","",INDEX(MASTER!$L$4:$L$1463,$P95)),""))</f>
        <v>5</v>
      </c>
      <c r="K95" s="17">
        <f>IF($P95="","",IFERROR(IF(INDEX(MASTER!$N$4:$N$1463,$P95)="","",INDEX(MASTER!$N$4:$N$1463,$P95)),""))</f>
        <v>45.2</v>
      </c>
      <c r="L95" s="15" t="str">
        <f>IF($P95="","",IFERROR(IF(INDEX(MASTER!$O$4:$O$1463,$P95)="","",INDEX(MASTER!$O$4:$O$1463,$P95)),""))</f>
        <v>B</v>
      </c>
      <c r="M95" s="15">
        <f>IF($P95="","",IFERROR(IF(INDEX(MASTER!$Q$4:$Q$1463,$P95)="","",INDEX(MASTER!$Q$4:$Q$1463,$P95)),""))</f>
        <v>52</v>
      </c>
      <c r="N95" s="15" t="str">
        <f>IF($P95="","",IFERROR(IF(INDEX(MASTER!$S$4:$S$1463,$P95)="","",INDEX(MASTER!$S$4:$S$1463,$P95)),""))</f>
        <v>Complete</v>
      </c>
      <c r="P95">
        <f>IFERROR(MATCH($Q$1&amp;"@87",MASTER!$AC$4:$AC$1463,0),"")</f>
        <v>1128</v>
      </c>
    </row>
    <row r="96" spans="1:16">
      <c r="A96" s="19">
        <f>IF($P96="","",88)</f>
        <v>88</v>
      </c>
      <c r="B96" s="18" t="str">
        <f>IF($P96="","",IFERROR(IF(INDEX(MASTER!$C$4:$C$1463,$P96)="","",INDEX(MASTER!$C$4:$C$1463,$P96)),""))</f>
        <v>Thoron</v>
      </c>
      <c r="C96" s="19" t="str">
        <f>IF($P96="","",IFERROR(IF(INDEX(MASTER!$D$4:$D$1463,$P96)="","",INDEX(MASTER!$D$4:$D$1463,$P96)),""))</f>
        <v>TEMU</v>
      </c>
      <c r="D96" s="19" t="str">
        <f>IF($P96="","",IFERROR(IF(INDEX(MASTER!$E$4:$E$1463,$P96)="","",INDEX(MASTER!$E$4:$E$1463,$P96)),""))</f>
        <v>CRUSADER</v>
      </c>
      <c r="E96" s="19" t="str">
        <f>IF($P96="","",IFERROR(IF(INDEX(MASTER!$F$4:$F$1463,$P96)="","",INDEX(MASTER!$F$4:$F$1463,$P96)),""))</f>
        <v>Frontline</v>
      </c>
      <c r="F96" s="20">
        <f>IF($P96="","",IFERROR(IF(INDEX(MASTER!$G$4:$G$1463,$P96)="","",INDEX(MASTER!$G$4:$G$1463,$P96)),""))</f>
        <v>60436</v>
      </c>
      <c r="G96" s="19" t="str">
        <f>IF($P96="","",IFERROR(IF(INDEX(MASTER!$H$4:$H$1463,$P96)="","",INDEX(MASTER!$H$4:$H$1463,$P96)),""))</f>
        <v>60,000 - 60,999</v>
      </c>
      <c r="H96" s="20">
        <f>IF($P96="","",IFERROR(IF(INDEX(MASTER!$I$4:$I$1463,$P96)="","",INDEX(MASTER!$I$4:$I$1463,$P96)),""))</f>
        <v>6132</v>
      </c>
      <c r="I96" s="19" t="str">
        <f>IF($P96="","",IFERROR(IF(INDEX(MASTER!$J$4:$J$1463,$P96)="","",INDEX(MASTER!$J$4:$J$1463,$P96)),""))</f>
        <v>VETERAN</v>
      </c>
      <c r="J96" s="21">
        <f>IF($P96="","",IFERROR(IF(INDEX(MASTER!$L$4:$L$1463,$P96)="","",INDEX(MASTER!$L$4:$L$1463,$P96)),""))</f>
        <v>7.5</v>
      </c>
      <c r="K96" s="21">
        <f>IF($P96="","",IFERROR(IF(INDEX(MASTER!$N$4:$N$1463,$P96)="","",INDEX(MASTER!$N$4:$N$1463,$P96)),""))</f>
        <v>53.6</v>
      </c>
      <c r="L96" s="19" t="str">
        <f>IF($P96="","",IFERROR(IF(INDEX(MASTER!$O$4:$O$1463,$P96)="","",INDEX(MASTER!$O$4:$O$1463,$P96)),""))</f>
        <v>A</v>
      </c>
      <c r="M96" s="19">
        <f>IF($P96="","",IFERROR(IF(INDEX(MASTER!$Q$4:$Q$1463,$P96)="","",INDEX(MASTER!$Q$4:$Q$1463,$P96)),""))</f>
        <v>34</v>
      </c>
      <c r="N96" s="19" t="str">
        <f>IF($P96="","",IFERROR(IF(INDEX(MASTER!$S$4:$S$1463,$P96)="","",INDEX(MASTER!$S$4:$S$1463,$P96)),""))</f>
        <v>Complete</v>
      </c>
      <c r="P96">
        <f>IFERROR(MATCH($Q$1&amp;"@88",MASTER!$AC$4:$AC$1463,0),"")</f>
        <v>1148</v>
      </c>
    </row>
    <row r="97" spans="1:16">
      <c r="A97" s="15">
        <f>IF($P97="","",89)</f>
        <v>89</v>
      </c>
      <c r="B97" s="14" t="str">
        <f>IF($P97="","",IFERROR(IF(INDEX(MASTER!$C$4:$C$1463,$P97)="","",INDEX(MASTER!$C$4:$C$1463,$P97)),""))</f>
        <v>Triv</v>
      </c>
      <c r="C97" s="15" t="str">
        <f>IF($P97="","",IFERROR(IF(INDEX(MASTER!$D$4:$D$1463,$P97)="","",INDEX(MASTER!$D$4:$D$1463,$P97)),""))</f>
        <v/>
      </c>
      <c r="D97" s="15" t="str">
        <f>IF($P97="","",IFERROR(IF(INDEX(MASTER!$E$4:$E$1463,$P97)="","",INDEX(MASTER!$E$4:$E$1463,$P97)),""))</f>
        <v>WIZARD</v>
      </c>
      <c r="E97" s="15" t="str">
        <f>IF($P97="","",IFERROR(IF(INDEX(MASTER!$F$4:$F$1463,$P97)="","",INDEX(MASTER!$F$4:$F$1463,$P97)),""))</f>
        <v>Ranged DPS</v>
      </c>
      <c r="F97" s="16">
        <f>IF($P97="","",IFERROR(IF(INDEX(MASTER!$G$4:$G$1463,$P97)="","",INDEX(MASTER!$G$4:$G$1463,$P97)),""))</f>
        <v>63892</v>
      </c>
      <c r="G97" s="15" t="str">
        <f>IF($P97="","",IFERROR(IF(INDEX(MASTER!$H$4:$H$1463,$P97)="","",INDEX(MASTER!$H$4:$H$1463,$P97)),""))</f>
        <v>63,000 - 63,999</v>
      </c>
      <c r="H97" s="16">
        <f>IF($P97="","",IFERROR(IF(INDEX(MASTER!$I$4:$I$1463,$P97)="","",INDEX(MASTER!$I$4:$I$1463,$P97)),""))</f>
        <v>8685</v>
      </c>
      <c r="I97" s="15" t="str">
        <f>IF($P97="","",IFERROR(IF(INDEX(MASTER!$J$4:$J$1463,$P97)="","",INDEX(MASTER!$J$4:$J$1463,$P97)),""))</f>
        <v>ELITE</v>
      </c>
      <c r="J97" s="17">
        <f>IF($P97="","",IFERROR(IF(INDEX(MASTER!$L$4:$L$1463,$P97)="","",INDEX(MASTER!$L$4:$L$1463,$P97)),""))</f>
        <v>8.4499999999999993</v>
      </c>
      <c r="K97" s="17">
        <f>IF($P97="","",IFERROR(IF(INDEX(MASTER!$N$4:$N$1463,$P97)="","",INDEX(MASTER!$N$4:$N$1463,$P97)),""))</f>
        <v>75.400000000000006</v>
      </c>
      <c r="L97" s="15" t="str">
        <f>IF($P97="","",IFERROR(IF(INDEX(MASTER!$O$4:$O$1463,$P97)="","",INDEX(MASTER!$O$4:$O$1463,$P97)),""))</f>
        <v>S</v>
      </c>
      <c r="M97" s="15">
        <f>IF($P97="","",IFERROR(IF(INDEX(MASTER!$Q$4:$Q$1463,$P97)="","",INDEX(MASTER!$Q$4:$Q$1463,$P97)),""))</f>
        <v>21</v>
      </c>
      <c r="N97" s="15" t="str">
        <f>IF($P97="","",IFERROR(IF(INDEX(MASTER!$S$4:$S$1463,$P97)="","",INDEX(MASTER!$S$4:$S$1463,$P97)),""))</f>
        <v>Complete</v>
      </c>
      <c r="P97">
        <f>IFERROR(MATCH($Q$1&amp;"@89",MASTER!$AC$4:$AC$1463,0),"")</f>
        <v>1172</v>
      </c>
    </row>
    <row r="98" spans="1:16">
      <c r="A98" s="19">
        <f>IF($P98="","",90)</f>
        <v>90</v>
      </c>
      <c r="B98" s="18" t="str">
        <f>IF($P98="","",IFERROR(IF(INDEX(MASTER!$C$4:$C$1463,$P98)="","",INDEX(MASTER!$C$4:$C$1463,$P98)),""))</f>
        <v>Tubby</v>
      </c>
      <c r="C98" s="19" t="str">
        <f>IF($P98="","",IFERROR(IF(INDEX(MASTER!$D$4:$D$1463,$P98)="","",INDEX(MASTER!$D$4:$D$1463,$P98)),""))</f>
        <v/>
      </c>
      <c r="D98" s="19" t="str">
        <f>IF($P98="","",IFERROR(IF(INDEX(MASTER!$E$4:$E$1463,$P98)="","",INDEX(MASTER!$E$4:$E$1463,$P98)),""))</f>
        <v>BLOOD KNIGHT</v>
      </c>
      <c r="E98" s="19" t="str">
        <f>IF($P98="","",IFERROR(IF(INDEX(MASTER!$F$4:$F$1463,$P98)="","",INDEX(MASTER!$F$4:$F$1463,$P98)),""))</f>
        <v>Frontline</v>
      </c>
      <c r="F98" s="20">
        <f>IF($P98="","",IFERROR(IF(INDEX(MASTER!$G$4:$G$1463,$P98)="","",INDEX(MASTER!$G$4:$G$1463,$P98)),""))</f>
        <v>63658</v>
      </c>
      <c r="G98" s="19" t="str">
        <f>IF($P98="","",IFERROR(IF(INDEX(MASTER!$H$4:$H$1463,$P98)="","",INDEX(MASTER!$H$4:$H$1463,$P98)),""))</f>
        <v>63,000 - 63,999</v>
      </c>
      <c r="H98" s="20">
        <f>IF($P98="","",IFERROR(IF(INDEX(MASTER!$I$4:$I$1463,$P98)="","",INDEX(MASTER!$I$4:$I$1463,$P98)),""))</f>
        <v>6637</v>
      </c>
      <c r="I98" s="19" t="str">
        <f>IF($P98="","",IFERROR(IF(INDEX(MASTER!$J$4:$J$1463,$P98)="","",INDEX(MASTER!$J$4:$J$1463,$P98)),""))</f>
        <v>VETERAN</v>
      </c>
      <c r="J98" s="21">
        <f>IF($P98="","",IFERROR(IF(INDEX(MASTER!$L$4:$L$1463,$P98)="","",INDEX(MASTER!$L$4:$L$1463,$P98)),""))</f>
        <v>6</v>
      </c>
      <c r="K98" s="21">
        <f>IF($P98="","",IFERROR(IF(INDEX(MASTER!$N$4:$N$1463,$P98)="","",INDEX(MASTER!$N$4:$N$1463,$P98)),""))</f>
        <v>61.8</v>
      </c>
      <c r="L98" s="19" t="str">
        <f>IF($P98="","",IFERROR(IF(INDEX(MASTER!$O$4:$O$1463,$P98)="","",INDEX(MASTER!$O$4:$O$1463,$P98)),""))</f>
        <v>A</v>
      </c>
      <c r="M98" s="19">
        <f>IF($P98="","",IFERROR(IF(INDEX(MASTER!$Q$4:$Q$1463,$P98)="","",INDEX(MASTER!$Q$4:$Q$1463,$P98)),""))</f>
        <v>33</v>
      </c>
      <c r="N98" s="19" t="str">
        <f>IF($P98="","",IFERROR(IF(INDEX(MASTER!$S$4:$S$1463,$P98)="","",INDEX(MASTER!$S$4:$S$1463,$P98)),""))</f>
        <v>Complete</v>
      </c>
      <c r="P98">
        <f>IFERROR(MATCH($Q$1&amp;"@90",MASTER!$AC$4:$AC$1463,0),"")</f>
        <v>1177</v>
      </c>
    </row>
    <row r="99" spans="1:16">
      <c r="A99" s="15">
        <f>IF($P99="","",91)</f>
        <v>91</v>
      </c>
      <c r="B99" s="14" t="str">
        <f>IF($P99="","",IFERROR(IF(INDEX(MASTER!$C$4:$C$1463,$P99)="","",INDEX(MASTER!$C$4:$C$1463,$P99)),""))</f>
        <v>Untitled</v>
      </c>
      <c r="C99" s="15" t="str">
        <f>IF($P99="","",IFERROR(IF(INDEX(MASTER!$D$4:$D$1463,$P99)="","",INDEX(MASTER!$D$4:$D$1463,$P99)),""))</f>
        <v/>
      </c>
      <c r="D99" s="15" t="str">
        <f>IF($P99="","",IFERROR(IF(INDEX(MASTER!$E$4:$E$1463,$P99)="","",INDEX(MASTER!$E$4:$E$1463,$P99)),""))</f>
        <v>WIZARD</v>
      </c>
      <c r="E99" s="15" t="str">
        <f>IF($P99="","",IFERROR(IF(INDEX(MASTER!$F$4:$F$1463,$P99)="","",INDEX(MASTER!$F$4:$F$1463,$P99)),""))</f>
        <v>Ranged DPS</v>
      </c>
      <c r="F99" s="16">
        <f>IF($P99="","",IFERROR(IF(INDEX(MASTER!$G$4:$G$1463,$P99)="","",INDEX(MASTER!$G$4:$G$1463,$P99)),""))</f>
        <v>64266</v>
      </c>
      <c r="G99" s="15" t="str">
        <f>IF($P99="","",IFERROR(IF(INDEX(MASTER!$H$4:$H$1463,$P99)="","",INDEX(MASTER!$H$4:$H$1463,$P99)),""))</f>
        <v>64,000 +</v>
      </c>
      <c r="H99" s="16">
        <f>IF($P99="","",IFERROR(IF(INDEX(MASTER!$I$4:$I$1463,$P99)="","",INDEX(MASTER!$I$4:$I$1463,$P99)),""))</f>
        <v>11394</v>
      </c>
      <c r="I99" s="15" t="str">
        <f>IF($P99="","",IFERROR(IF(INDEX(MASTER!$J$4:$J$1463,$P99)="","",INDEX(MASTER!$J$4:$J$1463,$P99)),""))</f>
        <v>APEX</v>
      </c>
      <c r="J99" s="17">
        <f>IF($P99="","",IFERROR(IF(INDEX(MASTER!$L$4:$L$1463,$P99)="","",INDEX(MASTER!$L$4:$L$1463,$P99)),""))</f>
        <v>10.7</v>
      </c>
      <c r="K99" s="17">
        <f>IF($P99="","",IFERROR(IF(INDEX(MASTER!$N$4:$N$1463,$P99)="","",INDEX(MASTER!$N$4:$N$1463,$P99)),""))</f>
        <v>92</v>
      </c>
      <c r="L99" s="15" t="str">
        <f>IF($P99="","",IFERROR(IF(INDEX(MASTER!$O$4:$O$1463,$P99)="","",INDEX(MASTER!$O$4:$O$1463,$P99)),""))</f>
        <v>S+</v>
      </c>
      <c r="M99" s="15">
        <f>IF($P99="","",IFERROR(IF(INDEX(MASTER!$Q$4:$Q$1463,$P99)="","",INDEX(MASTER!$Q$4:$Q$1463,$P99)),""))</f>
        <v>5</v>
      </c>
      <c r="N99" s="15" t="str">
        <f>IF($P99="","",IFERROR(IF(INDEX(MASTER!$S$4:$S$1463,$P99)="","",INDEX(MASTER!$S$4:$S$1463,$P99)),""))</f>
        <v>Complete</v>
      </c>
      <c r="P99">
        <f>IFERROR(MATCH($Q$1&amp;"@91",MASTER!$AC$4:$AC$1463,0),"")</f>
        <v>1194</v>
      </c>
    </row>
    <row r="100" spans="1:16">
      <c r="A100" s="19">
        <f>IF($P100="","",92)</f>
        <v>92</v>
      </c>
      <c r="B100" s="18" t="str">
        <f>IF($P100="","",IFERROR(IF(INDEX(MASTER!$C$4:$C$1463,$P100)="","",INDEX(MASTER!$C$4:$C$1463,$P100)),""))</f>
        <v>Valkyrie142</v>
      </c>
      <c r="C100" s="19" t="str">
        <f>IF($P100="","",IFERROR(IF(INDEX(MASTER!$D$4:$D$1463,$P100)="","",INDEX(MASTER!$D$4:$D$1463,$P100)),""))</f>
        <v/>
      </c>
      <c r="D100" s="19" t="str">
        <f>IF($P100="","",IFERROR(IF(INDEX(MASTER!$E$4:$E$1463,$P100)="","",INDEX(MASTER!$E$4:$E$1463,$P100)),""))</f>
        <v>CRUSADER</v>
      </c>
      <c r="E100" s="19" t="str">
        <f>IF($P100="","",IFERROR(IF(INDEX(MASTER!$F$4:$F$1463,$P100)="","",INDEX(MASTER!$F$4:$F$1463,$P100)),""))</f>
        <v>Frontline</v>
      </c>
      <c r="F100" s="20">
        <f>IF($P100="","",IFERROR(IF(INDEX(MASTER!$G$4:$G$1463,$P100)="","",INDEX(MASTER!$G$4:$G$1463,$P100)),""))</f>
        <v>63010</v>
      </c>
      <c r="G100" s="19" t="str">
        <f>IF($P100="","",IFERROR(IF(INDEX(MASTER!$H$4:$H$1463,$P100)="","",INDEX(MASTER!$H$4:$H$1463,$P100)),""))</f>
        <v>63,000 - 63,999</v>
      </c>
      <c r="H100" s="20">
        <f>IF($P100="","",IFERROR(IF(INDEX(MASTER!$I$4:$I$1463,$P100)="","",INDEX(MASTER!$I$4:$I$1463,$P100)),""))</f>
        <v>5000</v>
      </c>
      <c r="I100" s="19" t="str">
        <f>IF($P100="","",IFERROR(IF(INDEX(MASTER!$J$4:$J$1463,$P100)="","",INDEX(MASTER!$J$4:$J$1463,$P100)),""))</f>
        <v>CORE</v>
      </c>
      <c r="J100" s="21">
        <f>IF($P100="","",IFERROR(IF(INDEX(MASTER!$L$4:$L$1463,$P100)="","",INDEX(MASTER!$L$4:$L$1463,$P100)),""))</f>
        <v>5.61</v>
      </c>
      <c r="K100" s="21">
        <f>IF($P100="","",IFERROR(IF(INDEX(MASTER!$N$4:$N$1463,$P100)="","",INDEX(MASTER!$N$4:$N$1463,$P100)),""))</f>
        <v>52.3</v>
      </c>
      <c r="L100" s="19" t="str">
        <f>IF($P100="","",IFERROR(IF(INDEX(MASTER!$O$4:$O$1463,$P100)="","",INDEX(MASTER!$O$4:$O$1463,$P100)),""))</f>
        <v>A</v>
      </c>
      <c r="M100" s="19">
        <f>IF($P100="","",IFERROR(IF(INDEX(MASTER!$Q$4:$Q$1463,$P100)="","",INDEX(MASTER!$Q$4:$Q$1463,$P100)),""))</f>
        <v>49</v>
      </c>
      <c r="N100" s="19" t="str">
        <f>IF($P100="","",IFERROR(IF(INDEX(MASTER!$S$4:$S$1463,$P100)="","",INDEX(MASTER!$S$4:$S$1463,$P100)),""))</f>
        <v>Complete</v>
      </c>
      <c r="P100">
        <f>IFERROR(MATCH($Q$1&amp;"@92",MASTER!$AC$4:$AC$1463,0),"")</f>
        <v>1205</v>
      </c>
    </row>
    <row r="101" spans="1:16">
      <c r="A101" s="15">
        <f>IF($P101="","",93)</f>
        <v>93</v>
      </c>
      <c r="B101" s="14" t="str">
        <f>IF($P101="","",IFERROR(IF(INDEX(MASTER!$C$4:$C$1463,$P101)="","",INDEX(MASTER!$C$4:$C$1463,$P101)),""))</f>
        <v>Visible</v>
      </c>
      <c r="C101" s="15" t="str">
        <f>IF($P101="","",IFERROR(IF(INDEX(MASTER!$D$4:$D$1463,$P101)="","",INDEX(MASTER!$D$4:$D$1463,$P101)),""))</f>
        <v/>
      </c>
      <c r="D101" s="15" t="str">
        <f>IF($P101="","",IFERROR(IF(INDEX(MASTER!$E$4:$E$1463,$P101)="","",INDEX(MASTER!$E$4:$E$1463,$P101)),""))</f>
        <v>BARBARIAN</v>
      </c>
      <c r="E101" s="15" t="str">
        <f>IF($P101="","",IFERROR(IF(INDEX(MASTER!$F$4:$F$1463,$P101)="","",INDEX(MASTER!$F$4:$F$1463,$P101)),""))</f>
        <v>Frontline</v>
      </c>
      <c r="F101" s="16">
        <f>IF($P101="","",IFERROR(IF(INDEX(MASTER!$G$4:$G$1463,$P101)="","",INDEX(MASTER!$G$4:$G$1463,$P101)),""))</f>
        <v>64467</v>
      </c>
      <c r="G101" s="15" t="str">
        <f>IF($P101="","",IFERROR(IF(INDEX(MASTER!$H$4:$H$1463,$P101)="","",INDEX(MASTER!$H$4:$H$1463,$P101)),""))</f>
        <v>64,000 +</v>
      </c>
      <c r="H101" s="16">
        <f>IF($P101="","",IFERROR(IF(INDEX(MASTER!$I$4:$I$1463,$P101)="","",INDEX(MASTER!$I$4:$I$1463,$P101)),""))</f>
        <v>10272</v>
      </c>
      <c r="I101" s="15" t="str">
        <f>IF($P101="","",IFERROR(IF(INDEX(MASTER!$J$4:$J$1463,$P101)="","",INDEX(MASTER!$J$4:$J$1463,$P101)),""))</f>
        <v>APEX</v>
      </c>
      <c r="J101" s="17">
        <f>IF($P101="","",IFERROR(IF(INDEX(MASTER!$L$4:$L$1463,$P101)="","",INDEX(MASTER!$L$4:$L$1463,$P101)),""))</f>
        <v>9.5</v>
      </c>
      <c r="K101" s="17">
        <f>IF($P101="","",IFERROR(IF(INDEX(MASTER!$N$4:$N$1463,$P101)="","",INDEX(MASTER!$N$4:$N$1463,$P101)),""))</f>
        <v>85.6</v>
      </c>
      <c r="L101" s="15" t="str">
        <f>IF($P101="","",IFERROR(IF(INDEX(MASTER!$O$4:$O$1463,$P101)="","",INDEX(MASTER!$O$4:$O$1463,$P101)),""))</f>
        <v>S+</v>
      </c>
      <c r="M101" s="15">
        <f>IF($P101="","",IFERROR(IF(INDEX(MASTER!$Q$4:$Q$1463,$P101)="","",INDEX(MASTER!$Q$4:$Q$1463,$P101)),""))</f>
        <v>10</v>
      </c>
      <c r="N101" s="15" t="str">
        <f>IF($P101="","",IFERROR(IF(INDEX(MASTER!$S$4:$S$1463,$P101)="","",INDEX(MASTER!$S$4:$S$1463,$P101)),""))</f>
        <v>Complete</v>
      </c>
      <c r="P101">
        <f>IFERROR(MATCH($Q$1&amp;"@93",MASTER!$AC$4:$AC$1463,0),"")</f>
        <v>1225</v>
      </c>
    </row>
    <row r="102" spans="1:16">
      <c r="A102" s="19">
        <f>IF($P102="","",94)</f>
        <v>94</v>
      </c>
      <c r="B102" s="18" t="str">
        <f>IF($P102="","",IFERROR(IF(INDEX(MASTER!$C$4:$C$1463,$P102)="","",INDEX(MASTER!$C$4:$C$1463,$P102)),""))</f>
        <v>Vlademir</v>
      </c>
      <c r="C102" s="19" t="str">
        <f>IF($P102="","",IFERROR(IF(INDEX(MASTER!$D$4:$D$1463,$P102)="","",INDEX(MASTER!$D$4:$D$1463,$P102)),""))</f>
        <v/>
      </c>
      <c r="D102" s="19" t="str">
        <f>IF($P102="","",IFERROR(IF(INDEX(MASTER!$E$4:$E$1463,$P102)="","",INDEX(MASTER!$E$4:$E$1463,$P102)),""))</f>
        <v>BARBARIAN</v>
      </c>
      <c r="E102" s="19" t="str">
        <f>IF($P102="","",IFERROR(IF(INDEX(MASTER!$F$4:$F$1463,$P102)="","",INDEX(MASTER!$F$4:$F$1463,$P102)),""))</f>
        <v>Frontline</v>
      </c>
      <c r="F102" s="20">
        <f>IF($P102="","",IFERROR(IF(INDEX(MASTER!$G$4:$G$1463,$P102)="","",INDEX(MASTER!$G$4:$G$1463,$P102)),""))</f>
        <v>62152</v>
      </c>
      <c r="G102" s="19" t="str">
        <f>IF($P102="","",IFERROR(IF(INDEX(MASTER!$H$4:$H$1463,$P102)="","",INDEX(MASTER!$H$4:$H$1463,$P102)),""))</f>
        <v>62,000 - 62,999</v>
      </c>
      <c r="H102" s="20">
        <f>IF($P102="","",IFERROR(IF(INDEX(MASTER!$I$4:$I$1463,$P102)="","",INDEX(MASTER!$I$4:$I$1463,$P102)),""))</f>
        <v>5910</v>
      </c>
      <c r="I102" s="19" t="str">
        <f>IF($P102="","",IFERROR(IF(INDEX(MASTER!$J$4:$J$1463,$P102)="","",INDEX(MASTER!$J$4:$J$1463,$P102)),""))</f>
        <v>CORE</v>
      </c>
      <c r="J102" s="21">
        <f>IF($P102="","",IFERROR(IF(INDEX(MASTER!$L$4:$L$1463,$P102)="","",INDEX(MASTER!$L$4:$L$1463,$P102)),""))</f>
        <v>5.35</v>
      </c>
      <c r="K102" s="21">
        <f>IF($P102="","",IFERROR(IF(INDEX(MASTER!$N$4:$N$1463,$P102)="","",INDEX(MASTER!$N$4:$N$1463,$P102)),""))</f>
        <v>53.5</v>
      </c>
      <c r="L102" s="19" t="str">
        <f>IF($P102="","",IFERROR(IF(INDEX(MASTER!$O$4:$O$1463,$P102)="","",INDEX(MASTER!$O$4:$O$1463,$P102)),""))</f>
        <v>A</v>
      </c>
      <c r="M102" s="19">
        <f>IF($P102="","",IFERROR(IF(INDEX(MASTER!$Q$4:$Q$1463,$P102)="","",INDEX(MASTER!$Q$4:$Q$1463,$P102)),""))</f>
        <v>38</v>
      </c>
      <c r="N102" s="19" t="str">
        <f>IF($P102="","",IFERROR(IF(INDEX(MASTER!$S$4:$S$1463,$P102)="","",INDEX(MASTER!$S$4:$S$1463,$P102)),""))</f>
        <v>Complete</v>
      </c>
      <c r="P102">
        <f>IFERROR(MATCH($Q$1&amp;"@94",MASTER!$AC$4:$AC$1463,0),"")</f>
        <v>1227</v>
      </c>
    </row>
    <row r="103" spans="1:16">
      <c r="A103" s="15">
        <f>IF($P103="","",95)</f>
        <v>95</v>
      </c>
      <c r="B103" s="14" t="str">
        <f>IF($P103="","",IFERROR(IF(INDEX(MASTER!$C$4:$C$1463,$P103)="","",INDEX(MASTER!$C$4:$C$1463,$P103)),""))</f>
        <v>W33DChickel</v>
      </c>
      <c r="C103" s="15" t="str">
        <f>IF($P103="","",IFERROR(IF(INDEX(MASTER!$D$4:$D$1463,$P103)="","",INDEX(MASTER!$D$4:$D$1463,$P103)),""))</f>
        <v>ÏCU</v>
      </c>
      <c r="D103" s="15" t="str">
        <f>IF($P103="","",IFERROR(IF(INDEX(MASTER!$E$4:$E$1463,$P103)="","",INDEX(MASTER!$E$4:$E$1463,$P103)),""))</f>
        <v>WARLOCK</v>
      </c>
      <c r="E103" s="15" t="str">
        <f>IF($P103="","",IFERROR(IF(INDEX(MASTER!$F$4:$F$1463,$P103)="","",INDEX(MASTER!$F$4:$F$1463,$P103)),""))</f>
        <v>Control</v>
      </c>
      <c r="F103" s="16">
        <f>IF($P103="","",IFERROR(IF(INDEX(MASTER!$G$4:$G$1463,$P103)="","",INDEX(MASTER!$G$4:$G$1463,$P103)),""))</f>
        <v>64021</v>
      </c>
      <c r="G103" s="15" t="str">
        <f>IF($P103="","",IFERROR(IF(INDEX(MASTER!$H$4:$H$1463,$P103)="","",INDEX(MASTER!$H$4:$H$1463,$P103)),""))</f>
        <v>64,000 +</v>
      </c>
      <c r="H103" s="16">
        <f>IF($P103="","",IFERROR(IF(INDEX(MASTER!$I$4:$I$1463,$P103)="","",INDEX(MASTER!$I$4:$I$1463,$P103)),""))</f>
        <v>9302</v>
      </c>
      <c r="I103" s="15" t="str">
        <f>IF($P103="","",IFERROR(IF(INDEX(MASTER!$J$4:$J$1463,$P103)="","",INDEX(MASTER!$J$4:$J$1463,$P103)),""))</f>
        <v>ELITE</v>
      </c>
      <c r="J103" s="17">
        <f>IF($P103="","",IFERROR(IF(INDEX(MASTER!$L$4:$L$1463,$P103)="","",INDEX(MASTER!$L$4:$L$1463,$P103)),""))</f>
        <v>8.3000000000000007</v>
      </c>
      <c r="K103" s="17">
        <f>IF($P103="","",IFERROR(IF(INDEX(MASTER!$N$4:$N$1463,$P103)="","",INDEX(MASTER!$N$4:$N$1463,$P103)),""))</f>
        <v>78.2</v>
      </c>
      <c r="L103" s="15" t="str">
        <f>IF($P103="","",IFERROR(IF(INDEX(MASTER!$O$4:$O$1463,$P103)="","",INDEX(MASTER!$O$4:$O$1463,$P103)),""))</f>
        <v>S</v>
      </c>
      <c r="M103" s="15">
        <f>IF($P103="","",IFERROR(IF(INDEX(MASTER!$Q$4:$Q$1463,$P103)="","",INDEX(MASTER!$Q$4:$Q$1463,$P103)),""))</f>
        <v>19</v>
      </c>
      <c r="N103" s="15" t="str">
        <f>IF($P103="","",IFERROR(IF(INDEX(MASTER!$S$4:$S$1463,$P103)="","",INDEX(MASTER!$S$4:$S$1463,$P103)),""))</f>
        <v>Complete</v>
      </c>
      <c r="P103">
        <f>IFERROR(MATCH($Q$1&amp;"@95",MASTER!$AC$4:$AC$1463,0),"")</f>
        <v>1234</v>
      </c>
    </row>
    <row r="104" spans="1:16">
      <c r="A104" s="19">
        <f>IF($P104="","",96)</f>
        <v>96</v>
      </c>
      <c r="B104" s="18" t="str">
        <f>IF($P104="","",IFERROR(IF(INDEX(MASTER!$C$4:$C$1463,$P104)="","",INDEX(MASTER!$C$4:$C$1463,$P104)),""))</f>
        <v>WarMonger7</v>
      </c>
      <c r="C104" s="19" t="str">
        <f>IF($P104="","",IFERROR(IF(INDEX(MASTER!$D$4:$D$1463,$P104)="","",INDEX(MASTER!$D$4:$D$1463,$P104)),""))</f>
        <v/>
      </c>
      <c r="D104" s="19" t="str">
        <f>IF($P104="","",IFERROR(IF(INDEX(MASTER!$E$4:$E$1463,$P104)="","",INDEX(MASTER!$E$4:$E$1463,$P104)),""))</f>
        <v>WARLOCK</v>
      </c>
      <c r="E104" s="19" t="str">
        <f>IF($P104="","",IFERROR(IF(INDEX(MASTER!$F$4:$F$1463,$P104)="","",INDEX(MASTER!$F$4:$F$1463,$P104)),""))</f>
        <v>Control</v>
      </c>
      <c r="F104" s="20">
        <f>IF($P104="","",IFERROR(IF(INDEX(MASTER!$G$4:$G$1463,$P104)="","",INDEX(MASTER!$G$4:$G$1463,$P104)),""))</f>
        <v>62480</v>
      </c>
      <c r="G104" s="19" t="str">
        <f>IF($P104="","",IFERROR(IF(INDEX(MASTER!$H$4:$H$1463,$P104)="","",INDEX(MASTER!$H$4:$H$1463,$P104)),""))</f>
        <v>62,000 - 62,999</v>
      </c>
      <c r="H104" s="20">
        <f>IF($P104="","",IFERROR(IF(INDEX(MASTER!$I$4:$I$1463,$P104)="","",INDEX(MASTER!$I$4:$I$1463,$P104)),""))</f>
        <v>3353</v>
      </c>
      <c r="I104" s="19" t="str">
        <f>IF($P104="","",IFERROR(IF(INDEX(MASTER!$J$4:$J$1463,$P104)="","",INDEX(MASTER!$J$4:$J$1463,$P104)),""))</f>
        <v>DEVELOPING</v>
      </c>
      <c r="J104" s="21">
        <f>IF($P104="","",IFERROR(IF(INDEX(MASTER!$L$4:$L$1463,$P104)="","",INDEX(MASTER!$L$4:$L$1463,$P104)),""))</f>
        <v>5.4</v>
      </c>
      <c r="K104" s="21">
        <f>IF($P104="","",IFERROR(IF(INDEX(MASTER!$N$4:$N$1463,$P104)="","",INDEX(MASTER!$N$4:$N$1463,$P104)),""))</f>
        <v>43.3</v>
      </c>
      <c r="L104" s="19" t="str">
        <f>IF($P104="","",IFERROR(IF(INDEX(MASTER!$O$4:$O$1463,$P104)="","",INDEX(MASTER!$O$4:$O$1463,$P104)),""))</f>
        <v>B</v>
      </c>
      <c r="M104" s="19">
        <f>IF($P104="","",IFERROR(IF(INDEX(MASTER!$Q$4:$Q$1463,$P104)="","",INDEX(MASTER!$Q$4:$Q$1463,$P104)),""))</f>
        <v>81</v>
      </c>
      <c r="N104" s="19" t="str">
        <f>IF($P104="","",IFERROR(IF(INDEX(MASTER!$S$4:$S$1463,$P104)="","",INDEX(MASTER!$S$4:$S$1463,$P104)),""))</f>
        <v>Complete</v>
      </c>
      <c r="P104">
        <f>IFERROR(MATCH($Q$1&amp;"@96",MASTER!$AC$4:$AC$1463,0),"")</f>
        <v>1242</v>
      </c>
    </row>
    <row r="105" spans="1:16">
      <c r="A105" s="15">
        <f>IF($P105="","",97)</f>
        <v>97</v>
      </c>
      <c r="B105" s="14" t="str">
        <f>IF($P105="","",IFERROR(IF(INDEX(MASTER!$C$4:$C$1463,$P105)="","",INDEX(MASTER!$C$4:$C$1463,$P105)),""))</f>
        <v>Windslayer</v>
      </c>
      <c r="C105" s="15" t="str">
        <f>IF($P105="","",IFERROR(IF(INDEX(MASTER!$D$4:$D$1463,$P105)="","",INDEX(MASTER!$D$4:$D$1463,$P105)),""))</f>
        <v/>
      </c>
      <c r="D105" s="15" t="str">
        <f>IF($P105="","",IFERROR(IF(INDEX(MASTER!$E$4:$E$1463,$P105)="","",INDEX(MASTER!$E$4:$E$1463,$P105)),""))</f>
        <v>BARBARIAN</v>
      </c>
      <c r="E105" s="15" t="str">
        <f>IF($P105="","",IFERROR(IF(INDEX(MASTER!$F$4:$F$1463,$P105)="","",INDEX(MASTER!$F$4:$F$1463,$P105)),""))</f>
        <v>Frontline</v>
      </c>
      <c r="F105" s="16">
        <f>IF($P105="","",IFERROR(IF(INDEX(MASTER!$G$4:$G$1463,$P105)="","",INDEX(MASTER!$G$4:$G$1463,$P105)),""))</f>
        <v>63897</v>
      </c>
      <c r="G105" s="15" t="str">
        <f>IF($P105="","",IFERROR(IF(INDEX(MASTER!$H$4:$H$1463,$P105)="","",INDEX(MASTER!$H$4:$H$1463,$P105)),""))</f>
        <v>63,000 - 63,999</v>
      </c>
      <c r="H105" s="16">
        <f>IF($P105="","",IFERROR(IF(INDEX(MASTER!$I$4:$I$1463,$P105)="","",INDEX(MASTER!$I$4:$I$1463,$P105)),""))</f>
        <v>9434</v>
      </c>
      <c r="I105" s="15" t="str">
        <f>IF($P105="","",IFERROR(IF(INDEX(MASTER!$J$4:$J$1463,$P105)="","",INDEX(MASTER!$J$4:$J$1463,$P105)),""))</f>
        <v>ELITE</v>
      </c>
      <c r="J105" s="17">
        <f>IF($P105="","",IFERROR(IF(INDEX(MASTER!$L$4:$L$1463,$P105)="","",INDEX(MASTER!$L$4:$L$1463,$P105)),""))</f>
        <v>7.85</v>
      </c>
      <c r="K105" s="17">
        <f>IF($P105="","",IFERROR(IF(INDEX(MASTER!$N$4:$N$1463,$P105)="","",INDEX(MASTER!$N$4:$N$1463,$P105)),""))</f>
        <v>77.7</v>
      </c>
      <c r="L105" s="15" t="str">
        <f>IF($P105="","",IFERROR(IF(INDEX(MASTER!$O$4:$O$1463,$P105)="","",INDEX(MASTER!$O$4:$O$1463,$P105)),""))</f>
        <v>S</v>
      </c>
      <c r="M105" s="15">
        <f>IF($P105="","",IFERROR(IF(INDEX(MASTER!$Q$4:$Q$1463,$P105)="","",INDEX(MASTER!$Q$4:$Q$1463,$P105)),""))</f>
        <v>16</v>
      </c>
      <c r="N105" s="15" t="str">
        <f>IF($P105="","",IFERROR(IF(INDEX(MASTER!$S$4:$S$1463,$P105)="","",INDEX(MASTER!$S$4:$S$1463,$P105)),""))</f>
        <v>Complete</v>
      </c>
      <c r="P105">
        <f>IFERROR(MATCH($Q$1&amp;"@97",MASTER!$AC$4:$AC$1463,0),"")</f>
        <v>1256</v>
      </c>
    </row>
    <row r="106" spans="1:16">
      <c r="A106" s="19">
        <f>IF($P106="","",98)</f>
        <v>98</v>
      </c>
      <c r="B106" s="18" t="str">
        <f>IF($P106="","",IFERROR(IF(INDEX(MASTER!$C$4:$C$1463,$P106)="","",INDEX(MASTER!$C$4:$C$1463,$P106)),""))</f>
        <v>Wiznar</v>
      </c>
      <c r="C106" s="19" t="str">
        <f>IF($P106="","",IFERROR(IF(INDEX(MASTER!$D$4:$D$1463,$P106)="","",INDEX(MASTER!$D$4:$D$1463,$P106)),""))</f>
        <v/>
      </c>
      <c r="D106" s="19" t="str">
        <f>IF($P106="","",IFERROR(IF(INDEX(MASTER!$E$4:$E$1463,$P106)="","",INDEX(MASTER!$E$4:$E$1463,$P106)),""))</f>
        <v>WIZARD</v>
      </c>
      <c r="E106" s="19" t="str">
        <f>IF($P106="","",IFERROR(IF(INDEX(MASTER!$F$4:$F$1463,$P106)="","",INDEX(MASTER!$F$4:$F$1463,$P106)),""))</f>
        <v>Ranged DPS</v>
      </c>
      <c r="F106" s="20">
        <f>IF($P106="","",IFERROR(IF(INDEX(MASTER!$G$4:$G$1463,$P106)="","",INDEX(MASTER!$G$4:$G$1463,$P106)),""))</f>
        <v>63120</v>
      </c>
      <c r="G106" s="19" t="str">
        <f>IF($P106="","",IFERROR(IF(INDEX(MASTER!$H$4:$H$1463,$P106)="","",INDEX(MASTER!$H$4:$H$1463,$P106)),""))</f>
        <v>63,000 - 63,999</v>
      </c>
      <c r="H106" s="20">
        <f>IF($P106="","",IFERROR(IF(INDEX(MASTER!$I$4:$I$1463,$P106)="","",INDEX(MASTER!$I$4:$I$1463,$P106)),""))</f>
        <v>4200</v>
      </c>
      <c r="I106" s="19" t="str">
        <f>IF($P106="","",IFERROR(IF(INDEX(MASTER!$J$4:$J$1463,$P106)="","",INDEX(MASTER!$J$4:$J$1463,$P106)),""))</f>
        <v>CORE</v>
      </c>
      <c r="J106" s="21">
        <f>IF($P106="","",IFERROR(IF(INDEX(MASTER!$L$4:$L$1463,$P106)="","",INDEX(MASTER!$L$4:$L$1463,$P106)),""))</f>
        <v>7.15</v>
      </c>
      <c r="K106" s="21">
        <f>IF($P106="","",IFERROR(IF(INDEX(MASTER!$N$4:$N$1463,$P106)="","",INDEX(MASTER!$N$4:$N$1463,$P106)),""))</f>
        <v>51.6</v>
      </c>
      <c r="L106" s="19" t="str">
        <f>IF($P106="","",IFERROR(IF(INDEX(MASTER!$O$4:$O$1463,$P106)="","",INDEX(MASTER!$O$4:$O$1463,$P106)),""))</f>
        <v>A</v>
      </c>
      <c r="M106" s="19">
        <f>IF($P106="","",IFERROR(IF(INDEX(MASTER!$Q$4:$Q$1463,$P106)="","",INDEX(MASTER!$Q$4:$Q$1463,$P106)),""))</f>
        <v>58</v>
      </c>
      <c r="N106" s="19" t="str">
        <f>IF($P106="","",IFERROR(IF(INDEX(MASTER!$S$4:$S$1463,$P106)="","",INDEX(MASTER!$S$4:$S$1463,$P106)),""))</f>
        <v>Complete</v>
      </c>
      <c r="P106">
        <f>IFERROR(MATCH($Q$1&amp;"@98",MASTER!$AC$4:$AC$1463,0),"")</f>
        <v>1262</v>
      </c>
    </row>
    <row r="107" spans="1:16">
      <c r="A107" s="15">
        <f>IF($P107="","",99)</f>
        <v>99</v>
      </c>
      <c r="B107" s="14" t="str">
        <f>IF($P107="","",IFERROR(IF(INDEX(MASTER!$C$4:$C$1463,$P107)="","",INDEX(MASTER!$C$4:$C$1463,$P107)),""))</f>
        <v>YerAdrian</v>
      </c>
      <c r="C107" s="15" t="str">
        <f>IF($P107="","",IFERROR(IF(INDEX(MASTER!$D$4:$D$1463,$P107)="","",INDEX(MASTER!$D$4:$D$1463,$P107)),""))</f>
        <v/>
      </c>
      <c r="D107" s="15" t="str">
        <f>IF($P107="","",IFERROR(IF(INDEX(MASTER!$E$4:$E$1463,$P107)="","",INDEX(MASTER!$E$4:$E$1463,$P107)),""))</f>
        <v>WIZARD</v>
      </c>
      <c r="E107" s="15" t="str">
        <f>IF($P107="","",IFERROR(IF(INDEX(MASTER!$F$4:$F$1463,$P107)="","",INDEX(MASTER!$F$4:$F$1463,$P107)),""))</f>
        <v>Ranged DPS</v>
      </c>
      <c r="F107" s="16">
        <f>IF($P107="","",IFERROR(IF(INDEX(MASTER!$G$4:$G$1463,$P107)="","",INDEX(MASTER!$G$4:$G$1463,$P107)),""))</f>
        <v>62143</v>
      </c>
      <c r="G107" s="15" t="str">
        <f>IF($P107="","",IFERROR(IF(INDEX(MASTER!$H$4:$H$1463,$P107)="","",INDEX(MASTER!$H$4:$H$1463,$P107)),""))</f>
        <v>62,000 - 62,999</v>
      </c>
      <c r="H107" s="16">
        <f>IF($P107="","",IFERROR(IF(INDEX(MASTER!$I$4:$I$1463,$P107)="","",INDEX(MASTER!$I$4:$I$1463,$P107)),""))</f>
        <v>6820</v>
      </c>
      <c r="I107" s="15" t="str">
        <f>IF($P107="","",IFERROR(IF(INDEX(MASTER!$J$4:$J$1463,$P107)="","",INDEX(MASTER!$J$4:$J$1463,$P107)),""))</f>
        <v>VETERAN</v>
      </c>
      <c r="J107" s="17">
        <f>IF($P107="","",IFERROR(IF(INDEX(MASTER!$L$4:$L$1463,$P107)="","",INDEX(MASTER!$L$4:$L$1463,$P107)),""))</f>
        <v>4.95</v>
      </c>
      <c r="K107" s="17">
        <f>IF($P107="","",IFERROR(IF(INDEX(MASTER!$N$4:$N$1463,$P107)="","",INDEX(MASTER!$N$4:$N$1463,$P107)),""))</f>
        <v>56.8</v>
      </c>
      <c r="L107" s="15" t="str">
        <f>IF($P107="","",IFERROR(IF(INDEX(MASTER!$O$4:$O$1463,$P107)="","",INDEX(MASTER!$O$4:$O$1463,$P107)),""))</f>
        <v>A</v>
      </c>
      <c r="M107" s="15">
        <f>IF($P107="","",IFERROR(IF(INDEX(MASTER!$Q$4:$Q$1463,$P107)="","",INDEX(MASTER!$Q$4:$Q$1463,$P107)),""))</f>
        <v>31</v>
      </c>
      <c r="N107" s="15" t="str">
        <f>IF($P107="","",IFERROR(IF(INDEX(MASTER!$S$4:$S$1463,$P107)="","",INDEX(MASTER!$S$4:$S$1463,$P107)),""))</f>
        <v>Complete</v>
      </c>
      <c r="P107">
        <f>IFERROR(MATCH($Q$1&amp;"@99",MASTER!$AC$4:$AC$1463,0),"")</f>
        <v>1301</v>
      </c>
    </row>
    <row r="108" spans="1:16">
      <c r="A108" s="19">
        <f>IF($P108="","",100)</f>
        <v>100</v>
      </c>
      <c r="B108" s="18" t="str">
        <f>IF($P108="","",IFERROR(IF(INDEX(MASTER!$C$4:$C$1463,$P108)="","",INDEX(MASTER!$C$4:$C$1463,$P108)),""))</f>
        <v>Yuh</v>
      </c>
      <c r="C108" s="19" t="str">
        <f>IF($P108="","",IFERROR(IF(INDEX(MASTER!$D$4:$D$1463,$P108)="","",INDEX(MASTER!$D$4:$D$1463,$P108)),""))</f>
        <v/>
      </c>
      <c r="D108" s="19" t="str">
        <f>IF($P108="","",IFERROR(IF(INDEX(MASTER!$E$4:$E$1463,$P108)="","",INDEX(MASTER!$E$4:$E$1463,$P108)),""))</f>
        <v>CRUSADER</v>
      </c>
      <c r="E108" s="19" t="str">
        <f>IF($P108="","",IFERROR(IF(INDEX(MASTER!$F$4:$F$1463,$P108)="","",INDEX(MASTER!$F$4:$F$1463,$P108)),""))</f>
        <v>Frontline</v>
      </c>
      <c r="F108" s="20">
        <f>IF($P108="","",IFERROR(IF(INDEX(MASTER!$G$4:$G$1463,$P108)="","",INDEX(MASTER!$G$4:$G$1463,$P108)),""))</f>
        <v>62275</v>
      </c>
      <c r="G108" s="19" t="str">
        <f>IF($P108="","",IFERROR(IF(INDEX(MASTER!$H$4:$H$1463,$P108)="","",INDEX(MASTER!$H$4:$H$1463,$P108)),""))</f>
        <v>62,000 - 62,999</v>
      </c>
      <c r="H108" s="20">
        <f>IF($P108="","",IFERROR(IF(INDEX(MASTER!$I$4:$I$1463,$P108)="","",INDEX(MASTER!$I$4:$I$1463,$P108)),""))</f>
        <v>5920</v>
      </c>
      <c r="I108" s="19" t="str">
        <f>IF($P108="","",IFERROR(IF(INDEX(MASTER!$J$4:$J$1463,$P108)="","",INDEX(MASTER!$J$4:$J$1463,$P108)),""))</f>
        <v>CORE</v>
      </c>
      <c r="J108" s="21">
        <f>IF($P108="","",IFERROR(IF(INDEX(MASTER!$L$4:$L$1463,$P108)="","",INDEX(MASTER!$L$4:$L$1463,$P108)),""))</f>
        <v>6.8</v>
      </c>
      <c r="K108" s="21">
        <f>IF($P108="","",IFERROR(IF(INDEX(MASTER!$N$4:$N$1463,$P108)="","",INDEX(MASTER!$N$4:$N$1463,$P108)),""))</f>
        <v>56.3</v>
      </c>
      <c r="L108" s="19" t="str">
        <f>IF($P108="","",IFERROR(IF(INDEX(MASTER!$O$4:$O$1463,$P108)="","",INDEX(MASTER!$O$4:$O$1463,$P108)),""))</f>
        <v>A</v>
      </c>
      <c r="M108" s="19">
        <f>IF($P108="","",IFERROR(IF(INDEX(MASTER!$Q$4:$Q$1463,$P108)="","",INDEX(MASTER!$Q$4:$Q$1463,$P108)),""))</f>
        <v>37</v>
      </c>
      <c r="N108" s="19" t="str">
        <f>IF($P108="","",IFERROR(IF(INDEX(MASTER!$S$4:$S$1463,$P108)="","",INDEX(MASTER!$S$4:$S$1463,$P108)),""))</f>
        <v>Complete</v>
      </c>
      <c r="P108">
        <f>IFERROR(MATCH($Q$1&amp;"@100",MASTER!$AC$4:$AC$1463,0),"")</f>
        <v>1305</v>
      </c>
    </row>
    <row r="109" spans="1:16">
      <c r="A109" s="15">
        <f>IF($P109="","",101)</f>
        <v>101</v>
      </c>
      <c r="B109" s="14" t="str">
        <f>IF($P109="","",IFERROR(IF(INDEX(MASTER!$C$4:$C$1463,$P109)="","",INDEX(MASTER!$C$4:$C$1463,$P109)),""))</f>
        <v>Z0ltar</v>
      </c>
      <c r="C109" s="15" t="str">
        <f>IF($P109="","",IFERROR(IF(INDEX(MASTER!$D$4:$D$1463,$P109)="","",INDEX(MASTER!$D$4:$D$1463,$P109)),""))</f>
        <v/>
      </c>
      <c r="D109" s="15" t="str">
        <f>IF($P109="","",IFERROR(IF(INDEX(MASTER!$E$4:$E$1463,$P109)="","",INDEX(MASTER!$E$4:$E$1463,$P109)),""))</f>
        <v>BARBARIAN</v>
      </c>
      <c r="E109" s="15" t="str">
        <f>IF($P109="","",IFERROR(IF(INDEX(MASTER!$F$4:$F$1463,$P109)="","",INDEX(MASTER!$F$4:$F$1463,$P109)),""))</f>
        <v>Frontline</v>
      </c>
      <c r="F109" s="16">
        <f>IF($P109="","",IFERROR(IF(INDEX(MASTER!$G$4:$G$1463,$P109)="","",INDEX(MASTER!$G$4:$G$1463,$P109)),""))</f>
        <v>63971</v>
      </c>
      <c r="G109" s="15" t="str">
        <f>IF($P109="","",IFERROR(IF(INDEX(MASTER!$H$4:$H$1463,$P109)="","",INDEX(MASTER!$H$4:$H$1463,$P109)),""))</f>
        <v>63,000 - 63,999</v>
      </c>
      <c r="H109" s="16">
        <f>IF($P109="","",IFERROR(IF(INDEX(MASTER!$I$4:$I$1463,$P109)="","",INDEX(MASTER!$I$4:$I$1463,$P109)),""))</f>
        <v>10007</v>
      </c>
      <c r="I109" s="15" t="str">
        <f>IF($P109="","",IFERROR(IF(INDEX(MASTER!$J$4:$J$1463,$P109)="","",INDEX(MASTER!$J$4:$J$1463,$P109)),""))</f>
        <v>APEX</v>
      </c>
      <c r="J109" s="17">
        <f>IF($P109="","",IFERROR(IF(INDEX(MASTER!$L$4:$L$1463,$P109)="","",INDEX(MASTER!$L$4:$L$1463,$P109)),""))</f>
        <v>7.85</v>
      </c>
      <c r="K109" s="17">
        <f>IF($P109="","",IFERROR(IF(INDEX(MASTER!$N$4:$N$1463,$P109)="","",INDEX(MASTER!$N$4:$N$1463,$P109)),""))</f>
        <v>80.400000000000006</v>
      </c>
      <c r="L109" s="15" t="str">
        <f>IF($P109="","",IFERROR(IF(INDEX(MASTER!$O$4:$O$1463,$P109)="","",INDEX(MASTER!$O$4:$O$1463,$P109)),""))</f>
        <v>S+</v>
      </c>
      <c r="M109" s="15">
        <f>IF($P109="","",IFERROR(IF(INDEX(MASTER!$Q$4:$Q$1463,$P109)="","",INDEX(MASTER!$Q$4:$Q$1463,$P109)),""))</f>
        <v>12</v>
      </c>
      <c r="N109" s="15" t="str">
        <f>IF($P109="","",IFERROR(IF(INDEX(MASTER!$S$4:$S$1463,$P109)="","",INDEX(MASTER!$S$4:$S$1463,$P109)),""))</f>
        <v>Complete</v>
      </c>
      <c r="P109">
        <f>IFERROR(MATCH($Q$1&amp;"@101",MASTER!$AC$4:$AC$1463,0),"")</f>
        <v>1308</v>
      </c>
    </row>
    <row r="110" spans="1:16">
      <c r="A110" s="19">
        <f>IF($P110="","",102)</f>
        <v>102</v>
      </c>
      <c r="B110" s="18" t="str">
        <f>IF($P110="","",IFERROR(IF(INDEX(MASTER!$C$4:$C$1463,$P110)="","",INDEX(MASTER!$C$4:$C$1463,$P110)),""))</f>
        <v>Zlatna</v>
      </c>
      <c r="C110" s="19" t="str">
        <f>IF($P110="","",IFERROR(IF(INDEX(MASTER!$D$4:$D$1463,$P110)="","",INDEX(MASTER!$D$4:$D$1463,$P110)),""))</f>
        <v/>
      </c>
      <c r="D110" s="19" t="str">
        <f>IF($P110="","",IFERROR(IF(INDEX(MASTER!$E$4:$E$1463,$P110)="","",INDEX(MASTER!$E$4:$E$1463,$P110)),""))</f>
        <v>TEMPEST</v>
      </c>
      <c r="E110" s="19" t="str">
        <f>IF($P110="","",IFERROR(IF(INDEX(MASTER!$F$4:$F$1463,$P110)="","",INDEX(MASTER!$F$4:$F$1463,$P110)),""))</f>
        <v>Melee DPS</v>
      </c>
      <c r="F110" s="20">
        <f>IF($P110="","",IFERROR(IF(INDEX(MASTER!$G$4:$G$1463,$P110)="","",INDEX(MASTER!$G$4:$G$1463,$P110)),""))</f>
        <v>62149</v>
      </c>
      <c r="G110" s="19" t="str">
        <f>IF($P110="","",IFERROR(IF(INDEX(MASTER!$H$4:$H$1463,$P110)="","",INDEX(MASTER!$H$4:$H$1463,$P110)),""))</f>
        <v>62,000 - 62,999</v>
      </c>
      <c r="H110" s="20">
        <f>IF($P110="","",IFERROR(IF(INDEX(MASTER!$I$4:$I$1463,$P110)="","",INDEX(MASTER!$I$4:$I$1463,$P110)),""))</f>
        <v>3055</v>
      </c>
      <c r="I110" s="19" t="str">
        <f>IF($P110="","",IFERROR(IF(INDEX(MASTER!$J$4:$J$1463,$P110)="","",INDEX(MASTER!$J$4:$J$1463,$P110)),""))</f>
        <v>DEVELOPING</v>
      </c>
      <c r="J110" s="21">
        <f>IF($P110="","",IFERROR(IF(INDEX(MASTER!$L$4:$L$1463,$P110)="","",INDEX(MASTER!$L$4:$L$1463,$P110)),""))</f>
        <v>5.05</v>
      </c>
      <c r="K110" s="21">
        <f>IF($P110="","",IFERROR(IF(INDEX(MASTER!$N$4:$N$1463,$P110)="","",INDEX(MASTER!$N$4:$N$1463,$P110)),""))</f>
        <v>40.6</v>
      </c>
      <c r="L110" s="19" t="str">
        <f>IF($P110="","",IFERROR(IF(INDEX(MASTER!$O$4:$O$1463,$P110)="","",INDEX(MASTER!$O$4:$O$1463,$P110)),""))</f>
        <v>B</v>
      </c>
      <c r="M110" s="19">
        <f>IF($P110="","",IFERROR(IF(INDEX(MASTER!$Q$4:$Q$1463,$P110)="","",INDEX(MASTER!$Q$4:$Q$1463,$P110)),""))</f>
        <v>88</v>
      </c>
      <c r="N110" s="19" t="str">
        <f>IF($P110="","",IFERROR(IF(INDEX(MASTER!$S$4:$S$1463,$P110)="","",INDEX(MASTER!$S$4:$S$1463,$P110)),""))</f>
        <v>Complete</v>
      </c>
      <c r="P110">
        <f>IFERROR(MATCH($Q$1&amp;"@102",MASTER!$AC$4:$AC$1463,0),"")</f>
        <v>1323</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1" spans="1:16">
      <c r="A131" s="15" t="str">
        <f>IF($P131="","",123)</f>
        <v/>
      </c>
      <c r="B131" s="14" t="str">
        <f>IF($P131="","",IFERROR(IF(INDEX(MASTER!$C$4:$C$1463,$P131)="","",INDEX(MASTER!$C$4:$C$1463,$P131)),""))</f>
        <v/>
      </c>
      <c r="C131" s="15" t="str">
        <f>IF($P131="","",IFERROR(IF(INDEX(MASTER!$D$4:$D$1463,$P131)="","",INDEX(MASTER!$D$4:$D$1463,$P131)),""))</f>
        <v/>
      </c>
      <c r="D131" s="15" t="str">
        <f>IF($P131="","",IFERROR(IF(INDEX(MASTER!$E$4:$E$1463,$P131)="","",INDEX(MASTER!$E$4:$E$1463,$P131)),""))</f>
        <v/>
      </c>
      <c r="E131" s="15" t="str">
        <f>IF($P131="","",IFERROR(IF(INDEX(MASTER!$F$4:$F$1463,$P131)="","",INDEX(MASTER!$F$4:$F$1463,$P131)),""))</f>
        <v/>
      </c>
      <c r="F131" s="16" t="str">
        <f>IF($P131="","",IFERROR(IF(INDEX(MASTER!$G$4:$G$1463,$P131)="","",INDEX(MASTER!$G$4:$G$1463,$P131)),""))</f>
        <v/>
      </c>
      <c r="G131" s="15" t="str">
        <f>IF($P131="","",IFERROR(IF(INDEX(MASTER!$H$4:$H$1463,$P131)="","",INDEX(MASTER!$H$4:$H$1463,$P131)),""))</f>
        <v/>
      </c>
      <c r="H131" s="16" t="str">
        <f>IF($P131="","",IFERROR(IF(INDEX(MASTER!$I$4:$I$1463,$P131)="","",INDEX(MASTER!$I$4:$I$1463,$P131)),""))</f>
        <v/>
      </c>
      <c r="I131" s="15" t="str">
        <f>IF($P131="","",IFERROR(IF(INDEX(MASTER!$J$4:$J$1463,$P131)="","",INDEX(MASTER!$J$4:$J$1463,$P131)),""))</f>
        <v/>
      </c>
      <c r="J131" s="17" t="str">
        <f>IF($P131="","",IFERROR(IF(INDEX(MASTER!$L$4:$L$1463,$P131)="","",INDEX(MASTER!$L$4:$L$1463,$P131)),""))</f>
        <v/>
      </c>
      <c r="K131" s="17" t="str">
        <f>IF($P131="","",IFERROR(IF(INDEX(MASTER!$N$4:$N$1463,$P131)="","",INDEX(MASTER!$N$4:$N$1463,$P131)),""))</f>
        <v/>
      </c>
      <c r="L131" s="15" t="str">
        <f>IF($P131="","",IFERROR(IF(INDEX(MASTER!$O$4:$O$1463,$P131)="","",INDEX(MASTER!$O$4:$O$1463,$P131)),""))</f>
        <v/>
      </c>
      <c r="M131" s="15" t="str">
        <f>IF($P131="","",IFERROR(IF(INDEX(MASTER!$Q$4:$Q$1463,$P131)="","",INDEX(MASTER!$Q$4:$Q$1463,$P131)),""))</f>
        <v/>
      </c>
      <c r="N131" s="15" t="str">
        <f>IF($P131="","",IFERROR(IF(INDEX(MASTER!$S$4:$S$1463,$P131)="","",INDEX(MASTER!$S$4:$S$1463,$P131)),""))</f>
        <v/>
      </c>
      <c r="P131" t="str">
        <f>IFERROR(MATCH($Q$1&amp;"@123",MASTER!$AC$4:$AC$1463,0),"")</f>
        <v/>
      </c>
    </row>
    <row r="132" spans="1:16">
      <c r="A132" s="19" t="str">
        <f>IF($P132="","",124)</f>
        <v/>
      </c>
      <c r="B132" s="18" t="str">
        <f>IF($P132="","",IFERROR(IF(INDEX(MASTER!$C$4:$C$1463,$P132)="","",INDEX(MASTER!$C$4:$C$1463,$P132)),""))</f>
        <v/>
      </c>
      <c r="C132" s="19" t="str">
        <f>IF($P132="","",IFERROR(IF(INDEX(MASTER!$D$4:$D$1463,$P132)="","",INDEX(MASTER!$D$4:$D$1463,$P132)),""))</f>
        <v/>
      </c>
      <c r="D132" s="19" t="str">
        <f>IF($P132="","",IFERROR(IF(INDEX(MASTER!$E$4:$E$1463,$P132)="","",INDEX(MASTER!$E$4:$E$1463,$P132)),""))</f>
        <v/>
      </c>
      <c r="E132" s="19" t="str">
        <f>IF($P132="","",IFERROR(IF(INDEX(MASTER!$F$4:$F$1463,$P132)="","",INDEX(MASTER!$F$4:$F$1463,$P132)),""))</f>
        <v/>
      </c>
      <c r="F132" s="20" t="str">
        <f>IF($P132="","",IFERROR(IF(INDEX(MASTER!$G$4:$G$1463,$P132)="","",INDEX(MASTER!$G$4:$G$1463,$P132)),""))</f>
        <v/>
      </c>
      <c r="G132" s="19" t="str">
        <f>IF($P132="","",IFERROR(IF(INDEX(MASTER!$H$4:$H$1463,$P132)="","",INDEX(MASTER!$H$4:$H$1463,$P132)),""))</f>
        <v/>
      </c>
      <c r="H132" s="20" t="str">
        <f>IF($P132="","",IFERROR(IF(INDEX(MASTER!$I$4:$I$1463,$P132)="","",INDEX(MASTER!$I$4:$I$1463,$P132)),""))</f>
        <v/>
      </c>
      <c r="I132" s="19" t="str">
        <f>IF($P132="","",IFERROR(IF(INDEX(MASTER!$J$4:$J$1463,$P132)="","",INDEX(MASTER!$J$4:$J$1463,$P132)),""))</f>
        <v/>
      </c>
      <c r="J132" s="21" t="str">
        <f>IF($P132="","",IFERROR(IF(INDEX(MASTER!$L$4:$L$1463,$P132)="","",INDEX(MASTER!$L$4:$L$1463,$P132)),""))</f>
        <v/>
      </c>
      <c r="K132" s="21" t="str">
        <f>IF($P132="","",IFERROR(IF(INDEX(MASTER!$N$4:$N$1463,$P132)="","",INDEX(MASTER!$N$4:$N$1463,$P132)),""))</f>
        <v/>
      </c>
      <c r="L132" s="19" t="str">
        <f>IF($P132="","",IFERROR(IF(INDEX(MASTER!$O$4:$O$1463,$P132)="","",INDEX(MASTER!$O$4:$O$1463,$P132)),""))</f>
        <v/>
      </c>
      <c r="M132" s="19" t="str">
        <f>IF($P132="","",IFERROR(IF(INDEX(MASTER!$Q$4:$Q$1463,$P132)="","",INDEX(MASTER!$Q$4:$Q$1463,$P132)),""))</f>
        <v/>
      </c>
      <c r="N132" s="19" t="str">
        <f>IF($P132="","",IFERROR(IF(INDEX(MASTER!$S$4:$S$1463,$P132)="","",INDEX(MASTER!$S$4:$S$1463,$P132)),""))</f>
        <v/>
      </c>
      <c r="P132" t="str">
        <f>IFERROR(MATCH($Q$1&amp;"@124",MASTER!$AC$4:$AC$1463,0),"")</f>
        <v/>
      </c>
    </row>
    <row r="133" spans="1:16">
      <c r="A133" s="15" t="str">
        <f>IF($P133="","",125)</f>
        <v/>
      </c>
      <c r="B133" s="14" t="str">
        <f>IF($P133="","",IFERROR(IF(INDEX(MASTER!$C$4:$C$1463,$P133)="","",INDEX(MASTER!$C$4:$C$1463,$P133)),""))</f>
        <v/>
      </c>
      <c r="C133" s="15" t="str">
        <f>IF($P133="","",IFERROR(IF(INDEX(MASTER!$D$4:$D$1463,$P133)="","",INDEX(MASTER!$D$4:$D$1463,$P133)),""))</f>
        <v/>
      </c>
      <c r="D133" s="15" t="str">
        <f>IF($P133="","",IFERROR(IF(INDEX(MASTER!$E$4:$E$1463,$P133)="","",INDEX(MASTER!$E$4:$E$1463,$P133)),""))</f>
        <v/>
      </c>
      <c r="E133" s="15" t="str">
        <f>IF($P133="","",IFERROR(IF(INDEX(MASTER!$F$4:$F$1463,$P133)="","",INDEX(MASTER!$F$4:$F$1463,$P133)),""))</f>
        <v/>
      </c>
      <c r="F133" s="16" t="str">
        <f>IF($P133="","",IFERROR(IF(INDEX(MASTER!$G$4:$G$1463,$P133)="","",INDEX(MASTER!$G$4:$G$1463,$P133)),""))</f>
        <v/>
      </c>
      <c r="G133" s="15" t="str">
        <f>IF($P133="","",IFERROR(IF(INDEX(MASTER!$H$4:$H$1463,$P133)="","",INDEX(MASTER!$H$4:$H$1463,$P133)),""))</f>
        <v/>
      </c>
      <c r="H133" s="16" t="str">
        <f>IF($P133="","",IFERROR(IF(INDEX(MASTER!$I$4:$I$1463,$P133)="","",INDEX(MASTER!$I$4:$I$1463,$P133)),""))</f>
        <v/>
      </c>
      <c r="I133" s="15" t="str">
        <f>IF($P133="","",IFERROR(IF(INDEX(MASTER!$J$4:$J$1463,$P133)="","",INDEX(MASTER!$J$4:$J$1463,$P133)),""))</f>
        <v/>
      </c>
      <c r="J133" s="17" t="str">
        <f>IF($P133="","",IFERROR(IF(INDEX(MASTER!$L$4:$L$1463,$P133)="","",INDEX(MASTER!$L$4:$L$1463,$P133)),""))</f>
        <v/>
      </c>
      <c r="K133" s="17" t="str">
        <f>IF($P133="","",IFERROR(IF(INDEX(MASTER!$N$4:$N$1463,$P133)="","",INDEX(MASTER!$N$4:$N$1463,$P133)),""))</f>
        <v/>
      </c>
      <c r="L133" s="15" t="str">
        <f>IF($P133="","",IFERROR(IF(INDEX(MASTER!$O$4:$O$1463,$P133)="","",INDEX(MASTER!$O$4:$O$1463,$P133)),""))</f>
        <v/>
      </c>
      <c r="M133" s="15" t="str">
        <f>IF($P133="","",IFERROR(IF(INDEX(MASTER!$Q$4:$Q$1463,$P133)="","",INDEX(MASTER!$Q$4:$Q$1463,$P133)),""))</f>
        <v/>
      </c>
      <c r="N133" s="15" t="str">
        <f>IF($P133="","",IFERROR(IF(INDEX(MASTER!$S$4:$S$1463,$P133)="","",INDEX(MASTER!$S$4:$S$1463,$P133)),""))</f>
        <v/>
      </c>
      <c r="P133" t="str">
        <f>IFERROR(MATCH($Q$1&amp;"@125",MASTER!$AC$4:$AC$1463,0),"")</f>
        <v/>
      </c>
    </row>
    <row r="134" spans="1:16">
      <c r="A134" s="19" t="str">
        <f>IF($P134="","",126)</f>
        <v/>
      </c>
      <c r="B134" s="18" t="str">
        <f>IF($P134="","",IFERROR(IF(INDEX(MASTER!$C$4:$C$1463,$P134)="","",INDEX(MASTER!$C$4:$C$1463,$P134)),""))</f>
        <v/>
      </c>
      <c r="C134" s="19" t="str">
        <f>IF($P134="","",IFERROR(IF(INDEX(MASTER!$D$4:$D$1463,$P134)="","",INDEX(MASTER!$D$4:$D$1463,$P134)),""))</f>
        <v/>
      </c>
      <c r="D134" s="19" t="str">
        <f>IF($P134="","",IFERROR(IF(INDEX(MASTER!$E$4:$E$1463,$P134)="","",INDEX(MASTER!$E$4:$E$1463,$P134)),""))</f>
        <v/>
      </c>
      <c r="E134" s="19" t="str">
        <f>IF($P134="","",IFERROR(IF(INDEX(MASTER!$F$4:$F$1463,$P134)="","",INDEX(MASTER!$F$4:$F$1463,$P134)),""))</f>
        <v/>
      </c>
      <c r="F134" s="20" t="str">
        <f>IF($P134="","",IFERROR(IF(INDEX(MASTER!$G$4:$G$1463,$P134)="","",INDEX(MASTER!$G$4:$G$1463,$P134)),""))</f>
        <v/>
      </c>
      <c r="G134" s="19" t="str">
        <f>IF($P134="","",IFERROR(IF(INDEX(MASTER!$H$4:$H$1463,$P134)="","",INDEX(MASTER!$H$4:$H$1463,$P134)),""))</f>
        <v/>
      </c>
      <c r="H134" s="20" t="str">
        <f>IF($P134="","",IFERROR(IF(INDEX(MASTER!$I$4:$I$1463,$P134)="","",INDEX(MASTER!$I$4:$I$1463,$P134)),""))</f>
        <v/>
      </c>
      <c r="I134" s="19" t="str">
        <f>IF($P134="","",IFERROR(IF(INDEX(MASTER!$J$4:$J$1463,$P134)="","",INDEX(MASTER!$J$4:$J$1463,$P134)),""))</f>
        <v/>
      </c>
      <c r="J134" s="21" t="str">
        <f>IF($P134="","",IFERROR(IF(INDEX(MASTER!$L$4:$L$1463,$P134)="","",INDEX(MASTER!$L$4:$L$1463,$P134)),""))</f>
        <v/>
      </c>
      <c r="K134" s="21" t="str">
        <f>IF($P134="","",IFERROR(IF(INDEX(MASTER!$N$4:$N$1463,$P134)="","",INDEX(MASTER!$N$4:$N$1463,$P134)),""))</f>
        <v/>
      </c>
      <c r="L134" s="19" t="str">
        <f>IF($P134="","",IFERROR(IF(INDEX(MASTER!$O$4:$O$1463,$P134)="","",INDEX(MASTER!$O$4:$O$1463,$P134)),""))</f>
        <v/>
      </c>
      <c r="M134" s="19" t="str">
        <f>IF($P134="","",IFERROR(IF(INDEX(MASTER!$Q$4:$Q$1463,$P134)="","",INDEX(MASTER!$Q$4:$Q$1463,$P134)),""))</f>
        <v/>
      </c>
      <c r="N134" s="19" t="str">
        <f>IF($P134="","",IFERROR(IF(INDEX(MASTER!$S$4:$S$1463,$P134)="","",INDEX(MASTER!$S$4:$S$1463,$P134)),""))</f>
        <v/>
      </c>
      <c r="P134" t="str">
        <f>IFERROR(MATCH($Q$1&amp;"@126",MASTER!$AC$4:$AC$1463,0),"")</f>
        <v/>
      </c>
    </row>
    <row r="135" spans="1:16">
      <c r="A135" s="15" t="str">
        <f>IF($P135="","",127)</f>
        <v/>
      </c>
      <c r="B135" s="14" t="str">
        <f>IF($P135="","",IFERROR(IF(INDEX(MASTER!$C$4:$C$1463,$P135)="","",INDEX(MASTER!$C$4:$C$1463,$P135)),""))</f>
        <v/>
      </c>
      <c r="C135" s="15" t="str">
        <f>IF($P135="","",IFERROR(IF(INDEX(MASTER!$D$4:$D$1463,$P135)="","",INDEX(MASTER!$D$4:$D$1463,$P135)),""))</f>
        <v/>
      </c>
      <c r="D135" s="15" t="str">
        <f>IF($P135="","",IFERROR(IF(INDEX(MASTER!$E$4:$E$1463,$P135)="","",INDEX(MASTER!$E$4:$E$1463,$P135)),""))</f>
        <v/>
      </c>
      <c r="E135" s="15" t="str">
        <f>IF($P135="","",IFERROR(IF(INDEX(MASTER!$F$4:$F$1463,$P135)="","",INDEX(MASTER!$F$4:$F$1463,$P135)),""))</f>
        <v/>
      </c>
      <c r="F135" s="16" t="str">
        <f>IF($P135="","",IFERROR(IF(INDEX(MASTER!$G$4:$G$1463,$P135)="","",INDEX(MASTER!$G$4:$G$1463,$P135)),""))</f>
        <v/>
      </c>
      <c r="G135" s="15" t="str">
        <f>IF($P135="","",IFERROR(IF(INDEX(MASTER!$H$4:$H$1463,$P135)="","",INDEX(MASTER!$H$4:$H$1463,$P135)),""))</f>
        <v/>
      </c>
      <c r="H135" s="16" t="str">
        <f>IF($P135="","",IFERROR(IF(INDEX(MASTER!$I$4:$I$1463,$P135)="","",INDEX(MASTER!$I$4:$I$1463,$P135)),""))</f>
        <v/>
      </c>
      <c r="I135" s="15" t="str">
        <f>IF($P135="","",IFERROR(IF(INDEX(MASTER!$J$4:$J$1463,$P135)="","",INDEX(MASTER!$J$4:$J$1463,$P135)),""))</f>
        <v/>
      </c>
      <c r="J135" s="17" t="str">
        <f>IF($P135="","",IFERROR(IF(INDEX(MASTER!$L$4:$L$1463,$P135)="","",INDEX(MASTER!$L$4:$L$1463,$P135)),""))</f>
        <v/>
      </c>
      <c r="K135" s="17" t="str">
        <f>IF($P135="","",IFERROR(IF(INDEX(MASTER!$N$4:$N$1463,$P135)="","",INDEX(MASTER!$N$4:$N$1463,$P135)),""))</f>
        <v/>
      </c>
      <c r="L135" s="15" t="str">
        <f>IF($P135="","",IFERROR(IF(INDEX(MASTER!$O$4:$O$1463,$P135)="","",INDEX(MASTER!$O$4:$O$1463,$P135)),""))</f>
        <v/>
      </c>
      <c r="M135" s="15" t="str">
        <f>IF($P135="","",IFERROR(IF(INDEX(MASTER!$Q$4:$Q$1463,$P135)="","",INDEX(MASTER!$Q$4:$Q$1463,$P135)),""))</f>
        <v/>
      </c>
      <c r="N135" s="15" t="str">
        <f>IF($P135="","",IFERROR(IF(INDEX(MASTER!$S$4:$S$1463,$P135)="","",INDEX(MASTER!$S$4:$S$1463,$P135)),""))</f>
        <v/>
      </c>
      <c r="P135" t="str">
        <f>IFERROR(MATCH($Q$1&amp;"@127",MASTER!$AC$4:$AC$1463,0),"")</f>
        <v/>
      </c>
    </row>
    <row r="138" spans="1:16" ht="19.5" customHeight="1">
      <c r="B138" s="91" t="s">
        <v>488</v>
      </c>
      <c r="C138" s="91"/>
      <c r="D138" s="91"/>
      <c r="E138" s="91"/>
      <c r="F138" s="91"/>
      <c r="G138" s="91"/>
    </row>
    <row r="139" spans="1:16" ht="27.75" customHeight="1">
      <c r="B139" s="108" t="s">
        <v>68</v>
      </c>
      <c r="C139" s="108"/>
      <c r="D139" s="13" t="s">
        <v>69</v>
      </c>
      <c r="E139" s="13" t="s">
        <v>64</v>
      </c>
      <c r="F139" s="13" t="s">
        <v>50</v>
      </c>
      <c r="G139" s="13" t="s">
        <v>51</v>
      </c>
    </row>
    <row r="140" spans="1:16">
      <c r="B140" s="105" t="s">
        <v>71</v>
      </c>
      <c r="C140" s="105"/>
      <c r="D140" s="20" t="str">
        <f>IFERROR(INDEX(SETUP!$B$55:$B$64,MATCH($B140,SETUP!$A$55:$A$64,0)),"-")</f>
        <v>Frontline</v>
      </c>
      <c r="E140" s="20">
        <f>COUNTIFS(MASTER!$B:$B,$Q$1,MASTER!$E:$E,$B140)</f>
        <v>17</v>
      </c>
      <c r="F140" s="20">
        <f>IFERROR(ROUND(AVERAGEIFS(MASTER!$I:$I,MASTER!$B:$B,$Q$1,MASTER!$E:$E,$B140),0),"-")</f>
        <v>6360</v>
      </c>
      <c r="G140" s="20">
        <f>IF($E140=0,"-",IFERROR(_xlfn.MAXIFS(MASTER!$I:$I,MASTER!$B:$B,$Q$1,MASTER!$E:$E,$B140),"-"))</f>
        <v>10553</v>
      </c>
    </row>
    <row r="141" spans="1:16">
      <c r="B141" s="106" t="s">
        <v>72</v>
      </c>
      <c r="C141" s="106"/>
      <c r="D141" s="16" t="str">
        <f>IFERROR(INDEX(SETUP!$B$55:$B$64,MATCH($B141,SETUP!$A$55:$A$64,0)),"-")</f>
        <v>Frontline</v>
      </c>
      <c r="E141" s="16">
        <f>COUNTIFS(MASTER!$B:$B,$Q$1,MASTER!$E:$E,$B141)</f>
        <v>5</v>
      </c>
      <c r="F141" s="16">
        <f>IFERROR(ROUND(AVERAGEIFS(MASTER!$I:$I,MASTER!$B:$B,$Q$1,MASTER!$E:$E,$B141),0),"-")</f>
        <v>5165</v>
      </c>
      <c r="G141" s="16">
        <f>IF($E141=0,"-",IFERROR(_xlfn.MAXIFS(MASTER!$I:$I,MASTER!$B:$B,$Q$1,MASTER!$E:$E,$B141),"-"))</f>
        <v>8169</v>
      </c>
    </row>
    <row r="142" spans="1:16">
      <c r="B142" s="105" t="s">
        <v>73</v>
      </c>
      <c r="C142" s="105"/>
      <c r="D142" s="20" t="str">
        <f>IFERROR(INDEX(SETUP!$B$55:$B$64,MATCH($B142,SETUP!$A$55:$A$64,0)),"-")</f>
        <v>Frontline</v>
      </c>
      <c r="E142" s="20">
        <f>COUNTIFS(MASTER!$B:$B,$Q$1,MASTER!$E:$E,$B142)</f>
        <v>14</v>
      </c>
      <c r="F142" s="20">
        <f>IFERROR(ROUND(AVERAGEIFS(MASTER!$I:$I,MASTER!$B:$B,$Q$1,MASTER!$E:$E,$B142),0),"-")</f>
        <v>7030</v>
      </c>
      <c r="G142" s="20">
        <f>IF($E142=0,"-",IFERROR(_xlfn.MAXIFS(MASTER!$I:$I,MASTER!$B:$B,$Q$1,MASTER!$E:$E,$B142),"-"))</f>
        <v>12511</v>
      </c>
    </row>
    <row r="143" spans="1:16">
      <c r="B143" s="106" t="s">
        <v>74</v>
      </c>
      <c r="C143" s="106"/>
      <c r="D143" s="16" t="str">
        <f>IFERROR(INDEX(SETUP!$B$55:$B$64,MATCH($B143,SETUP!$A$55:$A$64,0)),"-")</f>
        <v>Ranged DPS</v>
      </c>
      <c r="E143" s="16">
        <f>COUNTIFS(MASTER!$B:$B,$Q$1,MASTER!$E:$E,$B143)</f>
        <v>16</v>
      </c>
      <c r="F143" s="16">
        <f>IFERROR(ROUND(AVERAGEIFS(MASTER!$I:$I,MASTER!$B:$B,$Q$1,MASTER!$E:$E,$B143),0),"-")</f>
        <v>6337</v>
      </c>
      <c r="G143" s="16">
        <f>IF($E143=0,"-",IFERROR(_xlfn.MAXIFS(MASTER!$I:$I,MASTER!$B:$B,$Q$1,MASTER!$E:$E,$B143),"-"))</f>
        <v>11863</v>
      </c>
    </row>
    <row r="144" spans="1:16">
      <c r="B144" s="105" t="s">
        <v>75</v>
      </c>
      <c r="C144" s="105"/>
      <c r="D144" s="20" t="str">
        <f>IFERROR(INDEX(SETUP!$B$55:$B$64,MATCH($B144,SETUP!$A$55:$A$64,0)),"-")</f>
        <v>Support</v>
      </c>
      <c r="E144" s="20">
        <f>COUNTIFS(MASTER!$B:$B,$Q$1,MASTER!$E:$E,$B144)</f>
        <v>3</v>
      </c>
      <c r="F144" s="20">
        <f>IFERROR(ROUND(AVERAGEIFS(MASTER!$I:$I,MASTER!$B:$B,$Q$1,MASTER!$E:$E,$B144),0),"-")</f>
        <v>8653</v>
      </c>
      <c r="G144" s="20">
        <f>IF($E144=0,"-",IFERROR(_xlfn.MAXIFS(MASTER!$I:$I,MASTER!$B:$B,$Q$1,MASTER!$E:$E,$B144),"-"))</f>
        <v>10522</v>
      </c>
    </row>
    <row r="145" spans="2:7">
      <c r="B145" s="106" t="s">
        <v>76</v>
      </c>
      <c r="C145" s="106"/>
      <c r="D145" s="16" t="str">
        <f>IFERROR(INDEX(SETUP!$B$55:$B$64,MATCH($B145,SETUP!$A$55:$A$64,0)),"-")</f>
        <v>Support</v>
      </c>
      <c r="E145" s="16">
        <f>COUNTIFS(MASTER!$B:$B,$Q$1,MASTER!$E:$E,$B145)</f>
        <v>2</v>
      </c>
      <c r="F145" s="16">
        <f>IFERROR(ROUND(AVERAGEIFS(MASTER!$I:$I,MASTER!$B:$B,$Q$1,MASTER!$E:$E,$B145),0),"-")</f>
        <v>3140</v>
      </c>
      <c r="G145" s="16">
        <f>IF($E145=0,"-",IFERROR(_xlfn.MAXIFS(MASTER!$I:$I,MASTER!$B:$B,$Q$1,MASTER!$E:$E,$B145),"-"))</f>
        <v>3292</v>
      </c>
    </row>
    <row r="146" spans="2:7">
      <c r="B146" s="105" t="s">
        <v>77</v>
      </c>
      <c r="C146" s="105"/>
      <c r="D146" s="20" t="str">
        <f>IFERROR(INDEX(SETUP!$B$55:$B$64,MATCH($B146,SETUP!$A$55:$A$64,0)),"-")</f>
        <v>Control</v>
      </c>
      <c r="E146" s="20">
        <f>COUNTIFS(MASTER!$B:$B,$Q$1,MASTER!$E:$E,$B146)</f>
        <v>3</v>
      </c>
      <c r="F146" s="20">
        <f>IFERROR(ROUND(AVERAGEIFS(MASTER!$I:$I,MASTER!$B:$B,$Q$1,MASTER!$E:$E,$B146),0),"-")</f>
        <v>4533</v>
      </c>
      <c r="G146" s="20">
        <f>IF($E146=0,"-",IFERROR(_xlfn.MAXIFS(MASTER!$I:$I,MASTER!$B:$B,$Q$1,MASTER!$E:$E,$B146),"-"))</f>
        <v>6778</v>
      </c>
    </row>
    <row r="147" spans="2:7">
      <c r="B147" s="106" t="s">
        <v>78</v>
      </c>
      <c r="C147" s="106"/>
      <c r="D147" s="16" t="str">
        <f>IFERROR(INDEX(SETUP!$B$55:$B$64,MATCH($B147,SETUP!$A$55:$A$64,0)),"-")</f>
        <v>Melee DPS</v>
      </c>
      <c r="E147" s="16">
        <f>COUNTIFS(MASTER!$B:$B,$Q$1,MASTER!$E:$E,$B147)</f>
        <v>8</v>
      </c>
      <c r="F147" s="16">
        <f>IFERROR(ROUND(AVERAGEIFS(MASTER!$I:$I,MASTER!$B:$B,$Q$1,MASTER!$E:$E,$B147),0),"-")</f>
        <v>4128</v>
      </c>
      <c r="G147" s="16">
        <f>IF($E147=0,"-",IFERROR(_xlfn.MAXIFS(MASTER!$I:$I,MASTER!$B:$B,$Q$1,MASTER!$E:$E,$B147),"-"))</f>
        <v>9796</v>
      </c>
    </row>
    <row r="148" spans="2:7">
      <c r="B148" s="105" t="s">
        <v>79</v>
      </c>
      <c r="C148" s="105"/>
      <c r="D148" s="20" t="str">
        <f>IFERROR(INDEX(SETUP!$B$55:$B$64,MATCH($B148,SETUP!$A$55:$A$64,0)),"-")</f>
        <v>Control</v>
      </c>
      <c r="E148" s="20">
        <f>COUNTIFS(MASTER!$B:$B,$Q$1,MASTER!$E:$E,$B148)</f>
        <v>25</v>
      </c>
      <c r="F148" s="20">
        <f>IFERROR(ROUND(AVERAGEIFS(MASTER!$I:$I,MASTER!$B:$B,$Q$1,MASTER!$E:$E,$B148),0),"-")</f>
        <v>4961</v>
      </c>
      <c r="G148" s="20">
        <f>IF($E148=0,"-",IFERROR(_xlfn.MAXIFS(MASTER!$I:$I,MASTER!$B:$B,$Q$1,MASTER!$E:$E,$B148),"-"))</f>
        <v>11506</v>
      </c>
    </row>
    <row r="149" spans="2:7">
      <c r="B149" s="106" t="s">
        <v>80</v>
      </c>
      <c r="C149" s="106"/>
      <c r="D149" s="16" t="str">
        <f>IFERROR(INDEX(SETUP!$B$55:$B$64,MATCH($B149,SETUP!$A$55:$A$64,0)),"-")</f>
        <v>Ranged DPS</v>
      </c>
      <c r="E149" s="16">
        <f>COUNTIFS(MASTER!$B:$B,$Q$1,MASTER!$E:$E,$B149)</f>
        <v>8</v>
      </c>
      <c r="F149" s="16">
        <f>IFERROR(ROUND(AVERAGEIFS(MASTER!$I:$I,MASTER!$B:$B,$Q$1,MASTER!$E:$E,$B149),0),"-")</f>
        <v>5560</v>
      </c>
      <c r="G149" s="16">
        <f>IF($E149=0,"-",IFERROR(_xlfn.MAXIFS(MASTER!$I:$I,MASTER!$B:$B,$Q$1,MASTER!$E:$E,$B149),"-"))</f>
        <v>11394</v>
      </c>
    </row>
  </sheetData>
  <autoFilter ref="A8:N135" xr:uid="{00000000-0009-0000-0000-00000E000000}"/>
  <mergeCells count="29">
    <mergeCell ref="A1:N1"/>
    <mergeCell ref="A2:N2"/>
    <mergeCell ref="A4:B4"/>
    <mergeCell ref="C4:D4"/>
    <mergeCell ref="E4:F4"/>
    <mergeCell ref="G4:H4"/>
    <mergeCell ref="I4:J4"/>
    <mergeCell ref="K4:L4"/>
    <mergeCell ref="M4:N4"/>
    <mergeCell ref="K5:L5"/>
    <mergeCell ref="M5:N5"/>
    <mergeCell ref="A7:N7"/>
    <mergeCell ref="B138:G138"/>
    <mergeCell ref="B139:C139"/>
    <mergeCell ref="A5:B5"/>
    <mergeCell ref="C5:D5"/>
    <mergeCell ref="E5:F5"/>
    <mergeCell ref="G5:H5"/>
    <mergeCell ref="I5:J5"/>
    <mergeCell ref="B140:C140"/>
    <mergeCell ref="B141:C141"/>
    <mergeCell ref="B142:C142"/>
    <mergeCell ref="B143:C143"/>
    <mergeCell ref="B144:C144"/>
    <mergeCell ref="B145:C145"/>
    <mergeCell ref="B146:C146"/>
    <mergeCell ref="B147:C147"/>
    <mergeCell ref="B148:C148"/>
    <mergeCell ref="B149:C149"/>
  </mergeCells>
  <conditionalFormatting sqref="H9:H135">
    <cfRule type="colorScale" priority="2">
      <colorScale>
        <cfvo type="num" val="0"/>
        <cfvo type="num" val="5000"/>
        <cfvo type="num" val="12600"/>
        <color rgb="FFF8CBAD"/>
        <color rgb="FFFFE699"/>
        <color rgb="FFA9D08E"/>
      </colorScale>
    </cfRule>
  </conditionalFormatting>
  <conditionalFormatting sqref="N9:N135">
    <cfRule type="cellIs" dxfId="10"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9" evalError="1" twoDigitTextYear="1" numberStoredAsText="1" formula="1" formulaRange="1" unlockedFormula="1" emptyCellReference="1" listDataValidation="1" calculatedColumn="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Q144"/>
  <sheetViews>
    <sheetView showGridLines="0" zoomScaleNormal="100" workbookViewId="0">
      <pane xSplit="1" ySplit="8" topLeftCell="B9" activePane="bottomRight" state="frozen"/>
      <selection pane="topRight" activeCell="B1" sqref="B1"/>
      <selection pane="bottomLeft" activeCell="A9" sqref="A9"/>
      <selection pane="bottomRight" sqref="A1:N1"/>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494</v>
      </c>
      <c r="B1" s="92"/>
      <c r="C1" s="92"/>
      <c r="D1" s="92"/>
      <c r="E1" s="92"/>
      <c r="F1" s="92"/>
      <c r="G1" s="92"/>
      <c r="H1" s="92"/>
      <c r="I1" s="92"/>
      <c r="J1" s="92"/>
      <c r="K1" s="92"/>
      <c r="L1" s="92"/>
      <c r="M1" s="92"/>
      <c r="N1" s="92"/>
      <c r="Q1" t="s">
        <v>111</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97</v>
      </c>
      <c r="B5" s="95"/>
      <c r="C5" s="95">
        <f>COUNTIFS(MASTER!$B:$B,$Q$1,MASTER!$S:$S,"Complete")</f>
        <v>97</v>
      </c>
      <c r="D5" s="95"/>
      <c r="E5" s="95">
        <f>IFERROR(ROUND(AVERAGEIFS(MASTER!$I:$I,MASTER!$B:$B,$Q$1),0),"-")</f>
        <v>5541</v>
      </c>
      <c r="F5" s="95"/>
      <c r="G5" s="95">
        <f>IFERROR(_xlfn.MAXIFS(MASTER!$I:$I,MASTER!$B:$B,$Q$1),"-")</f>
        <v>11024</v>
      </c>
      <c r="H5" s="95"/>
      <c r="I5" s="95">
        <f>COUNTIFS(MASTER!$B:$B,$Q$1,MASTER!$I:$I,"&gt;=10000")</f>
        <v>9</v>
      </c>
      <c r="J5" s="95"/>
      <c r="K5" s="107">
        <f>IFERROR(ROUND(AVERAGEIFS(MASTER!$N:$N,MASTER!$B:$B,$Q$1),1),"-")</f>
        <v>54.2</v>
      </c>
      <c r="L5" s="107"/>
      <c r="M5" s="95">
        <f>IF($Q$1="FUCT","- ours -",IFERROR(ROUND(AVERAGEIFS(MASTER!$I:$I,MASTER!$B:$B,$Q$1)-AVERAGEIF(MASTER!$B:$B,"FUCT",MASTER!$I:$I),0),"-"))</f>
        <v>328</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+TØPŞHŁKAZ+</v>
      </c>
      <c r="C9" s="15" t="str">
        <f>IF($P9="","",IFERROR(IF(INDEX(MASTER!$D$4:$D$1463,$P9)="","",INDEX(MASTER!$D$4:$D$1463,$P9)),""))</f>
        <v>RECK</v>
      </c>
      <c r="D9" s="15" t="str">
        <f>IF($P9="","",IFERROR(IF(INDEX(MASTER!$E$4:$E$1463,$P9)="","",INDEX(MASTER!$E$4:$E$1463,$P9)),""))</f>
        <v>WARLOCK</v>
      </c>
      <c r="E9" s="15" t="str">
        <f>IF($P9="","",IFERROR(IF(INDEX(MASTER!$F$4:$F$1463,$P9)="","",INDEX(MASTER!$F$4:$F$1463,$P9)),""))</f>
        <v>Control</v>
      </c>
      <c r="F9" s="16">
        <f>IF($P9="","",IFERROR(IF(INDEX(MASTER!$G$4:$G$1463,$P9)="","",INDEX(MASTER!$G$4:$G$1463,$P9)),""))</f>
        <v>62578</v>
      </c>
      <c r="G9" s="15" t="str">
        <f>IF($P9="","",IFERROR(IF(INDEX(MASTER!$H$4:$H$1463,$P9)="","",INDEX(MASTER!$H$4:$H$1463,$P9)),""))</f>
        <v>62,000 - 62,999</v>
      </c>
      <c r="H9" s="16">
        <f>IF($P9="","",IFERROR(IF(INDEX(MASTER!$I$4:$I$1463,$P9)="","",INDEX(MASTER!$I$4:$I$1463,$P9)),""))</f>
        <v>3877</v>
      </c>
      <c r="I9" s="15" t="str">
        <f>IF($P9="","",IFERROR(IF(INDEX(MASTER!$J$4:$J$1463,$P9)="","",INDEX(MASTER!$J$4:$J$1463,$P9)),""))</f>
        <v>DEVELOPING</v>
      </c>
      <c r="J9" s="17">
        <f>IF($P9="","",IFERROR(IF(INDEX(MASTER!$L$4:$L$1463,$P9)="","",INDEX(MASTER!$L$4:$L$1463,$P9)),""))</f>
        <v>4.5</v>
      </c>
      <c r="K9" s="17">
        <f>IF($P9="","",IFERROR(IF(INDEX(MASTER!$N$4:$N$1463,$P9)="","",INDEX(MASTER!$N$4:$N$1463,$P9)),""))</f>
        <v>44.4</v>
      </c>
      <c r="L9" s="15" t="str">
        <f>IF($P9="","",IFERROR(IF(INDEX(MASTER!$O$4:$O$1463,$P9)="","",INDEX(MASTER!$O$4:$O$1463,$P9)),""))</f>
        <v>B</v>
      </c>
      <c r="M9" s="15">
        <f>IF($P9="","",IFERROR(IF(INDEX(MASTER!$Q$4:$Q$1463,$P9)="","",INDEX(MASTER!$Q$4:$Q$1463,$P9)),""))</f>
        <v>68</v>
      </c>
      <c r="N9" s="15" t="str">
        <f>IF($P9="","",IFERROR(IF(INDEX(MASTER!$S$4:$S$1463,$P9)="","",INDEX(MASTER!$S$4:$S$1463,$P9)),""))</f>
        <v>Complete</v>
      </c>
      <c r="P9">
        <f>IFERROR(MATCH($Q$1&amp;"@1",MASTER!$AC$4:$AC$1463,0),"")</f>
        <v>1</v>
      </c>
    </row>
    <row r="10" spans="1:17">
      <c r="A10" s="19">
        <f>IF($P10="","",2)</f>
        <v>2</v>
      </c>
      <c r="B10" s="18" t="str">
        <f>IF($P10="","",IFERROR(IF(INDEX(MASTER!$C$4:$C$1463,$P10)="","",INDEX(MASTER!$C$4:$C$1463,$P10)),""))</f>
        <v>aak69</v>
      </c>
      <c r="C10" s="19" t="str">
        <f>IF($P10="","",IFERROR(IF(INDEX(MASTER!$D$4:$D$1463,$P10)="","",INDEX(MASTER!$D$4:$D$1463,$P10)),""))</f>
        <v>RECK</v>
      </c>
      <c r="D10" s="19" t="str">
        <f>IF($P10="","",IFERROR(IF(INDEX(MASTER!$E$4:$E$1463,$P10)="","",INDEX(MASTER!$E$4:$E$1463,$P10)),""))</f>
        <v>BLOOD KNIGHT</v>
      </c>
      <c r="E10" s="19" t="str">
        <f>IF($P10="","",IFERROR(IF(INDEX(MASTER!$F$4:$F$1463,$P10)="","",INDEX(MASTER!$F$4:$F$1463,$P10)),""))</f>
        <v>Frontline</v>
      </c>
      <c r="F10" s="20">
        <f>IF($P10="","",IFERROR(IF(INDEX(MASTER!$G$4:$G$1463,$P10)="","",INDEX(MASTER!$G$4:$G$1463,$P10)),""))</f>
        <v>62745</v>
      </c>
      <c r="G10" s="19" t="str">
        <f>IF($P10="","",IFERROR(IF(INDEX(MASTER!$H$4:$H$1463,$P10)="","",INDEX(MASTER!$H$4:$H$1463,$P10)),""))</f>
        <v>62,000 - 62,999</v>
      </c>
      <c r="H10" s="20">
        <f>IF($P10="","",IFERROR(IF(INDEX(MASTER!$I$4:$I$1463,$P10)="","",INDEX(MASTER!$I$4:$I$1463,$P10)),""))</f>
        <v>3014</v>
      </c>
      <c r="I10" s="19" t="str">
        <f>IF($P10="","",IFERROR(IF(INDEX(MASTER!$J$4:$J$1463,$P10)="","",INDEX(MASTER!$J$4:$J$1463,$P10)),""))</f>
        <v>DEVELOPING</v>
      </c>
      <c r="J10" s="21">
        <f>IF($P10="","",IFERROR(IF(INDEX(MASTER!$L$4:$L$1463,$P10)="","",INDEX(MASTER!$L$4:$L$1463,$P10)),""))</f>
        <v>4.8</v>
      </c>
      <c r="K10" s="21">
        <f>IF($P10="","",IFERROR(IF(INDEX(MASTER!$N$4:$N$1463,$P10)="","",INDEX(MASTER!$N$4:$N$1463,$P10)),""))</f>
        <v>41.5</v>
      </c>
      <c r="L10" s="19" t="str">
        <f>IF($P10="","",IFERROR(IF(INDEX(MASTER!$O$4:$O$1463,$P10)="","",INDEX(MASTER!$O$4:$O$1463,$P10)),""))</f>
        <v>B</v>
      </c>
      <c r="M10" s="19">
        <f>IF($P10="","",IFERROR(IF(INDEX(MASTER!$Q$4:$Q$1463,$P10)="","",INDEX(MASTER!$Q$4:$Q$1463,$P10)),""))</f>
        <v>88</v>
      </c>
      <c r="N10" s="19" t="str">
        <f>IF($P10="","",IFERROR(IF(INDEX(MASTER!$S$4:$S$1463,$P10)="","",INDEX(MASTER!$S$4:$S$1463,$P10)),""))</f>
        <v>Complete</v>
      </c>
      <c r="P10">
        <f>IFERROR(MATCH($Q$1&amp;"@2",MASTER!$AC$4:$AC$1463,0),"")</f>
        <v>11</v>
      </c>
    </row>
    <row r="11" spans="1:17">
      <c r="A11" s="15">
        <f>IF($P11="","",3)</f>
        <v>3</v>
      </c>
      <c r="B11" s="14" t="str">
        <f>IF($P11="","",IFERROR(IF(INDEX(MASTER!$C$4:$C$1463,$P11)="","",INDEX(MASTER!$C$4:$C$1463,$P11)),""))</f>
        <v>Aghogg</v>
      </c>
      <c r="C11" s="15" t="str">
        <f>IF($P11="","",IFERROR(IF(INDEX(MASTER!$D$4:$D$1463,$P11)="","",INDEX(MASTER!$D$4:$D$1463,$P11)),""))</f>
        <v>RECK</v>
      </c>
      <c r="D11" s="15" t="str">
        <f>IF($P11="","",IFERROR(IF(INDEX(MASTER!$E$4:$E$1463,$P11)="","",INDEX(MASTER!$E$4:$E$1463,$P11)),""))</f>
        <v>MONK</v>
      </c>
      <c r="E11" s="15" t="str">
        <f>IF($P11="","",IFERROR(IF(INDEX(MASTER!$F$4:$F$1463,$P11)="","",INDEX(MASTER!$F$4:$F$1463,$P11)),""))</f>
        <v>Support</v>
      </c>
      <c r="F11" s="16">
        <f>IF($P11="","",IFERROR(IF(INDEX(MASTER!$G$4:$G$1463,$P11)="","",INDEX(MASTER!$G$4:$G$1463,$P11)),""))</f>
        <v>63210</v>
      </c>
      <c r="G11" s="15" t="str">
        <f>IF($P11="","",IFERROR(IF(INDEX(MASTER!$H$4:$H$1463,$P11)="","",INDEX(MASTER!$H$4:$H$1463,$P11)),""))</f>
        <v>63,000 - 63,999</v>
      </c>
      <c r="H11" s="16">
        <f>IF($P11="","",IFERROR(IF(INDEX(MASTER!$I$4:$I$1463,$P11)="","",INDEX(MASTER!$I$4:$I$1463,$P11)),""))</f>
        <v>11000</v>
      </c>
      <c r="I11" s="15" t="str">
        <f>IF($P11="","",IFERROR(IF(INDEX(MASTER!$J$4:$J$1463,$P11)="","",INDEX(MASTER!$J$4:$J$1463,$P11)),""))</f>
        <v>APEX</v>
      </c>
      <c r="J11" s="17">
        <f>IF($P11="","",IFERROR(IF(INDEX(MASTER!$L$4:$L$1463,$P11)="","",INDEX(MASTER!$L$4:$L$1463,$P11)),""))</f>
        <v>8.0500000000000007</v>
      </c>
      <c r="K11" s="17">
        <f>IF($P11="","",IFERROR(IF(INDEX(MASTER!$N$4:$N$1463,$P11)="","",INDEX(MASTER!$N$4:$N$1463,$P11)),""))</f>
        <v>83</v>
      </c>
      <c r="L11" s="15" t="str">
        <f>IF($P11="","",IFERROR(IF(INDEX(MASTER!$O$4:$O$1463,$P11)="","",INDEX(MASTER!$O$4:$O$1463,$P11)),""))</f>
        <v>S+</v>
      </c>
      <c r="M11" s="15">
        <f>IF($P11="","",IFERROR(IF(INDEX(MASTER!$Q$4:$Q$1463,$P11)="","",INDEX(MASTER!$Q$4:$Q$1463,$P11)),""))</f>
        <v>2</v>
      </c>
      <c r="N11" s="15" t="str">
        <f>IF($P11="","",IFERROR(IF(INDEX(MASTER!$S$4:$S$1463,$P11)="","",INDEX(MASTER!$S$4:$S$1463,$P11)),""))</f>
        <v>Complete</v>
      </c>
      <c r="P11">
        <f>IFERROR(MATCH($Q$1&amp;"@3",MASTER!$AC$4:$AC$1463,0),"")</f>
        <v>26</v>
      </c>
    </row>
    <row r="12" spans="1:17">
      <c r="A12" s="19">
        <f>IF($P12="","",4)</f>
        <v>4</v>
      </c>
      <c r="B12" s="18" t="str">
        <f>IF($P12="","",IFERROR(IF(INDEX(MASTER!$C$4:$C$1463,$P12)="","",INDEX(MASTER!$C$4:$C$1463,$P12)),""))</f>
        <v>AÍKA</v>
      </c>
      <c r="C12" s="19" t="str">
        <f>IF($P12="","",IFERROR(IF(INDEX(MASTER!$D$4:$D$1463,$P12)="","",INDEX(MASTER!$D$4:$D$1463,$P12)),""))</f>
        <v>RECK</v>
      </c>
      <c r="D12" s="19" t="str">
        <f>IF($P12="","",IFERROR(IF(INDEX(MASTER!$E$4:$E$1463,$P12)="","",INDEX(MASTER!$E$4:$E$1463,$P12)),""))</f>
        <v>DEMON HUNTER</v>
      </c>
      <c r="E12" s="19" t="str">
        <f>IF($P12="","",IFERROR(IF(INDEX(MASTER!$F$4:$F$1463,$P12)="","",INDEX(MASTER!$F$4:$F$1463,$P12)),""))</f>
        <v>Ranged DPS</v>
      </c>
      <c r="F12" s="20">
        <f>IF($P12="","",IFERROR(IF(INDEX(MASTER!$G$4:$G$1463,$P12)="","",INDEX(MASTER!$G$4:$G$1463,$P12)),""))</f>
        <v>61423</v>
      </c>
      <c r="G12" s="19" t="str">
        <f>IF($P12="","",IFERROR(IF(INDEX(MASTER!$H$4:$H$1463,$P12)="","",INDEX(MASTER!$H$4:$H$1463,$P12)),""))</f>
        <v>61,000 - 61,999</v>
      </c>
      <c r="H12" s="20">
        <f>IF($P12="","",IFERROR(IF(INDEX(MASTER!$I$4:$I$1463,$P12)="","",INDEX(MASTER!$I$4:$I$1463,$P12)),""))</f>
        <v>5067</v>
      </c>
      <c r="I12" s="19" t="str">
        <f>IF($P12="","",IFERROR(IF(INDEX(MASTER!$J$4:$J$1463,$P12)="","",INDEX(MASTER!$J$4:$J$1463,$P12)),""))</f>
        <v>CORE</v>
      </c>
      <c r="J12" s="21">
        <f>IF($P12="","",IFERROR(IF(INDEX(MASTER!$L$4:$L$1463,$P12)="","",INDEX(MASTER!$L$4:$L$1463,$P12)),""))</f>
        <v>5.6</v>
      </c>
      <c r="K12" s="21">
        <f>IF($P12="","",IFERROR(IF(INDEX(MASTER!$N$4:$N$1463,$P12)="","",INDEX(MASTER!$N$4:$N$1463,$P12)),""))</f>
        <v>48.4</v>
      </c>
      <c r="L12" s="19" t="str">
        <f>IF($P12="","",IFERROR(IF(INDEX(MASTER!$O$4:$O$1463,$P12)="","",INDEX(MASTER!$O$4:$O$1463,$P12)),""))</f>
        <v>B</v>
      </c>
      <c r="M12" s="19">
        <f>IF($P12="","",IFERROR(IF(INDEX(MASTER!$Q$4:$Q$1463,$P12)="","",INDEX(MASTER!$Q$4:$Q$1463,$P12)),""))</f>
        <v>46</v>
      </c>
      <c r="N12" s="19" t="str">
        <f>IF($P12="","",IFERROR(IF(INDEX(MASTER!$S$4:$S$1463,$P12)="","",INDEX(MASTER!$S$4:$S$1463,$P12)),""))</f>
        <v>Complete</v>
      </c>
      <c r="P12">
        <f>IFERROR(MATCH($Q$1&amp;"@4",MASTER!$AC$4:$AC$1463,0),"")</f>
        <v>92</v>
      </c>
    </row>
    <row r="13" spans="1:17">
      <c r="A13" s="15">
        <f>IF($P13="","",5)</f>
        <v>5</v>
      </c>
      <c r="B13" s="14" t="str">
        <f>IF($P13="","",IFERROR(IF(INDEX(MASTER!$C$4:$C$1463,$P13)="","",INDEX(MASTER!$C$4:$C$1463,$P13)),""))</f>
        <v>Apshai</v>
      </c>
      <c r="C13" s="15" t="str">
        <f>IF($P13="","",IFERROR(IF(INDEX(MASTER!$D$4:$D$1463,$P13)="","",INDEX(MASTER!$D$4:$D$1463,$P13)),""))</f>
        <v>RECK</v>
      </c>
      <c r="D13" s="15" t="str">
        <f>IF($P13="","",IFERROR(IF(INDEX(MASTER!$E$4:$E$1463,$P13)="","",INDEX(MASTER!$E$4:$E$1463,$P13)),""))</f>
        <v>DEMON HUNTER</v>
      </c>
      <c r="E13" s="15" t="str">
        <f>IF($P13="","",IFERROR(IF(INDEX(MASTER!$F$4:$F$1463,$P13)="","",INDEX(MASTER!$F$4:$F$1463,$P13)),""))</f>
        <v>Ranged DPS</v>
      </c>
      <c r="F13" s="16">
        <f>IF($P13="","",IFERROR(IF(INDEX(MASTER!$G$4:$G$1463,$P13)="","",INDEX(MASTER!$G$4:$G$1463,$P13)),""))</f>
        <v>64325</v>
      </c>
      <c r="G13" s="15" t="str">
        <f>IF($P13="","",IFERROR(IF(INDEX(MASTER!$H$4:$H$1463,$P13)="","",INDEX(MASTER!$H$4:$H$1463,$P13)),""))</f>
        <v>64,000 +</v>
      </c>
      <c r="H13" s="16">
        <f>IF($P13="","",IFERROR(IF(INDEX(MASTER!$I$4:$I$1463,$P13)="","",INDEX(MASTER!$I$4:$I$1463,$P13)),""))</f>
        <v>10252</v>
      </c>
      <c r="I13" s="15" t="str">
        <f>IF($P13="","",IFERROR(IF(INDEX(MASTER!$J$4:$J$1463,$P13)="","",INDEX(MASTER!$J$4:$J$1463,$P13)),""))</f>
        <v>APEX</v>
      </c>
      <c r="J13" s="17">
        <f>IF($P13="","",IFERROR(IF(INDEX(MASTER!$L$4:$L$1463,$P13)="","",INDEX(MASTER!$L$4:$L$1463,$P13)),""))</f>
        <v>8.1</v>
      </c>
      <c r="K13" s="17">
        <f>IF($P13="","",IFERROR(IF(INDEX(MASTER!$N$4:$N$1463,$P13)="","",INDEX(MASTER!$N$4:$N$1463,$P13)),""))</f>
        <v>82.8</v>
      </c>
      <c r="L13" s="15" t="str">
        <f>IF($P13="","",IFERROR(IF(INDEX(MASTER!$O$4:$O$1463,$P13)="","",INDEX(MASTER!$O$4:$O$1463,$P13)),""))</f>
        <v>S+</v>
      </c>
      <c r="M13" s="15">
        <f>IF($P13="","",IFERROR(IF(INDEX(MASTER!$Q$4:$Q$1463,$P13)="","",INDEX(MASTER!$Q$4:$Q$1463,$P13)),""))</f>
        <v>8</v>
      </c>
      <c r="N13" s="15" t="str">
        <f>IF($P13="","",IFERROR(IF(INDEX(MASTER!$S$4:$S$1463,$P13)="","",INDEX(MASTER!$S$4:$S$1463,$P13)),""))</f>
        <v>Complete</v>
      </c>
      <c r="P13">
        <f>IFERROR(MATCH($Q$1&amp;"@5",MASTER!$AC$4:$AC$1463,0),"")</f>
        <v>53</v>
      </c>
    </row>
    <row r="14" spans="1:17">
      <c r="A14" s="19">
        <f>IF($P14="","",6)</f>
        <v>6</v>
      </c>
      <c r="B14" s="18" t="str">
        <f>IF($P14="","",IFERROR(IF(INDEX(MASTER!$C$4:$C$1463,$P14)="","",INDEX(MASTER!$C$4:$C$1463,$P14)),""))</f>
        <v>Athena619</v>
      </c>
      <c r="C14" s="19" t="str">
        <f>IF($P14="","",IFERROR(IF(INDEX(MASTER!$D$4:$D$1463,$P14)="","",INDEX(MASTER!$D$4:$D$1463,$P14)),""))</f>
        <v>RECK</v>
      </c>
      <c r="D14" s="19" t="str">
        <f>IF($P14="","",IFERROR(IF(INDEX(MASTER!$E$4:$E$1463,$P14)="","",INDEX(MASTER!$E$4:$E$1463,$P14)),""))</f>
        <v>BARBARIAN</v>
      </c>
      <c r="E14" s="19" t="str">
        <f>IF($P14="","",IFERROR(IF(INDEX(MASTER!$F$4:$F$1463,$P14)="","",INDEX(MASTER!$F$4:$F$1463,$P14)),""))</f>
        <v>Frontline</v>
      </c>
      <c r="F14" s="20">
        <f>IF($P14="","",IFERROR(IF(INDEX(MASTER!$G$4:$G$1463,$P14)="","",INDEX(MASTER!$G$4:$G$1463,$P14)),""))</f>
        <v>62387</v>
      </c>
      <c r="G14" s="19" t="str">
        <f>IF($P14="","",IFERROR(IF(INDEX(MASTER!$H$4:$H$1463,$P14)="","",INDEX(MASTER!$H$4:$H$1463,$P14)),""))</f>
        <v>62,000 - 62,999</v>
      </c>
      <c r="H14" s="20">
        <f>IF($P14="","",IFERROR(IF(INDEX(MASTER!$I$4:$I$1463,$P14)="","",INDEX(MASTER!$I$4:$I$1463,$P14)),""))</f>
        <v>5244</v>
      </c>
      <c r="I14" s="19" t="str">
        <f>IF($P14="","",IFERROR(IF(INDEX(MASTER!$J$4:$J$1463,$P14)="","",INDEX(MASTER!$J$4:$J$1463,$P14)),""))</f>
        <v>CORE</v>
      </c>
      <c r="J14" s="21">
        <f>IF($P14="","",IFERROR(IF(INDEX(MASTER!$L$4:$L$1463,$P14)="","",INDEX(MASTER!$L$4:$L$1463,$P14)),""))</f>
        <v>4.5999999999999996</v>
      </c>
      <c r="K14" s="21">
        <f>IF($P14="","",IFERROR(IF(INDEX(MASTER!$N$4:$N$1463,$P14)="","",INDEX(MASTER!$N$4:$N$1463,$P14)),""))</f>
        <v>50</v>
      </c>
      <c r="L14" s="19" t="str">
        <f>IF($P14="","",IFERROR(IF(INDEX(MASTER!$O$4:$O$1463,$P14)="","",INDEX(MASTER!$O$4:$O$1463,$P14)),""))</f>
        <v>A</v>
      </c>
      <c r="M14" s="19">
        <f>IF($P14="","",IFERROR(IF(INDEX(MASTER!$Q$4:$Q$1463,$P14)="","",INDEX(MASTER!$Q$4:$Q$1463,$P14)),""))</f>
        <v>44</v>
      </c>
      <c r="N14" s="19" t="str">
        <f>IF($P14="","",IFERROR(IF(INDEX(MASTER!$S$4:$S$1463,$P14)="","",INDEX(MASTER!$S$4:$S$1463,$P14)),""))</f>
        <v>Complete</v>
      </c>
      <c r="P14">
        <f>IFERROR(MATCH($Q$1&amp;"@6",MASTER!$AC$4:$AC$1463,0),"")</f>
        <v>71</v>
      </c>
    </row>
    <row r="15" spans="1:17">
      <c r="A15" s="15">
        <f>IF($P15="","",7)</f>
        <v>7</v>
      </c>
      <c r="B15" s="14" t="str">
        <f>IF($P15="","",IFERROR(IF(INDEX(MASTER!$C$4:$C$1463,$P15)="","",INDEX(MASTER!$C$4:$C$1463,$P15)),""))</f>
        <v>Ayhris</v>
      </c>
      <c r="C15" s="15" t="str">
        <f>IF($P15="","",IFERROR(IF(INDEX(MASTER!$D$4:$D$1463,$P15)="","",INDEX(MASTER!$D$4:$D$1463,$P15)),""))</f>
        <v>RECK</v>
      </c>
      <c r="D15" s="15" t="str">
        <f>IF($P15="","",IFERROR(IF(INDEX(MASTER!$E$4:$E$1463,$P15)="","",INDEX(MASTER!$E$4:$E$1463,$P15)),""))</f>
        <v>BLOOD KNIGHT</v>
      </c>
      <c r="E15" s="15" t="str">
        <f>IF($P15="","",IFERROR(IF(INDEX(MASTER!$F$4:$F$1463,$P15)="","",INDEX(MASTER!$F$4:$F$1463,$P15)),""))</f>
        <v>Frontline</v>
      </c>
      <c r="F15" s="16">
        <f>IF($P15="","",IFERROR(IF(INDEX(MASTER!$G$4:$G$1463,$P15)="","",INDEX(MASTER!$G$4:$G$1463,$P15)),""))</f>
        <v>62250</v>
      </c>
      <c r="G15" s="15" t="str">
        <f>IF($P15="","",IFERROR(IF(INDEX(MASTER!$H$4:$H$1463,$P15)="","",INDEX(MASTER!$H$4:$H$1463,$P15)),""))</f>
        <v>62,000 - 62,999</v>
      </c>
      <c r="H15" s="16">
        <f>IF($P15="","",IFERROR(IF(INDEX(MASTER!$I$4:$I$1463,$P15)="","",INDEX(MASTER!$I$4:$I$1463,$P15)),""))</f>
        <v>3094</v>
      </c>
      <c r="I15" s="15" t="str">
        <f>IF($P15="","",IFERROR(IF(INDEX(MASTER!$J$4:$J$1463,$P15)="","",INDEX(MASTER!$J$4:$J$1463,$P15)),""))</f>
        <v>DEVELOPING</v>
      </c>
      <c r="J15" s="17">
        <f>IF($P15="","",IFERROR(IF(INDEX(MASTER!$L$4:$L$1463,$P15)="","",INDEX(MASTER!$L$4:$L$1463,$P15)),""))</f>
        <v>5.5</v>
      </c>
      <c r="K15" s="17">
        <f>IF($P15="","",IFERROR(IF(INDEX(MASTER!$N$4:$N$1463,$P15)="","",INDEX(MASTER!$N$4:$N$1463,$P15)),""))</f>
        <v>41.8</v>
      </c>
      <c r="L15" s="15" t="str">
        <f>IF($P15="","",IFERROR(IF(INDEX(MASTER!$O$4:$O$1463,$P15)="","",INDEX(MASTER!$O$4:$O$1463,$P15)),""))</f>
        <v>B</v>
      </c>
      <c r="M15" s="15">
        <f>IF($P15="","",IFERROR(IF(INDEX(MASTER!$Q$4:$Q$1463,$P15)="","",INDEX(MASTER!$Q$4:$Q$1463,$P15)),""))</f>
        <v>87</v>
      </c>
      <c r="N15" s="15" t="str">
        <f>IF($P15="","",IFERROR(IF(INDEX(MASTER!$S$4:$S$1463,$P15)="","",INDEX(MASTER!$S$4:$S$1463,$P15)),""))</f>
        <v>Complete</v>
      </c>
      <c r="P15">
        <f>IFERROR(MATCH($Q$1&amp;"@7",MASTER!$AC$4:$AC$1463,0),"")</f>
        <v>84</v>
      </c>
    </row>
    <row r="16" spans="1:17">
      <c r="A16" s="19">
        <f>IF($P16="","",8)</f>
        <v>8</v>
      </c>
      <c r="B16" s="18" t="str">
        <f>IF($P16="","",IFERROR(IF(INDEX(MASTER!$C$4:$C$1463,$P16)="","",INDEX(MASTER!$C$4:$C$1463,$P16)),""))</f>
        <v>Azuwere</v>
      </c>
      <c r="C16" s="19" t="str">
        <f>IF($P16="","",IFERROR(IF(INDEX(MASTER!$D$4:$D$1463,$P16)="","",INDEX(MASTER!$D$4:$D$1463,$P16)),""))</f>
        <v>RECK</v>
      </c>
      <c r="D16" s="19" t="str">
        <f>IF($P16="","",IFERROR(IF(INDEX(MASTER!$E$4:$E$1463,$P16)="","",INDEX(MASTER!$E$4:$E$1463,$P16)),""))</f>
        <v>WARLOCK</v>
      </c>
      <c r="E16" s="19" t="str">
        <f>IF($P16="","",IFERROR(IF(INDEX(MASTER!$F$4:$F$1463,$P16)="","",INDEX(MASTER!$F$4:$F$1463,$P16)),""))</f>
        <v>Control</v>
      </c>
      <c r="F16" s="20">
        <f>IF($P16="","",IFERROR(IF(INDEX(MASTER!$G$4:$G$1463,$P16)="","",INDEX(MASTER!$G$4:$G$1463,$P16)),""))</f>
        <v>61872</v>
      </c>
      <c r="G16" s="19" t="str">
        <f>IF($P16="","",IFERROR(IF(INDEX(MASTER!$H$4:$H$1463,$P16)="","",INDEX(MASTER!$H$4:$H$1463,$P16)),""))</f>
        <v>61,000 - 61,999</v>
      </c>
      <c r="H16" s="20">
        <f>IF($P16="","",IFERROR(IF(INDEX(MASTER!$I$4:$I$1463,$P16)="","",INDEX(MASTER!$I$4:$I$1463,$P16)),""))</f>
        <v>2560</v>
      </c>
      <c r="I16" s="19" t="str">
        <f>IF($P16="","",IFERROR(IF(INDEX(MASTER!$J$4:$J$1463,$P16)="","",INDEX(MASTER!$J$4:$J$1463,$P16)),""))</f>
        <v>DEVELOPING</v>
      </c>
      <c r="J16" s="21">
        <f>IF($P16="","",IFERROR(IF(INDEX(MASTER!$L$4:$L$1463,$P16)="","",INDEX(MASTER!$L$4:$L$1463,$P16)),""))</f>
        <v>4.25</v>
      </c>
      <c r="K16" s="21">
        <f>IF($P16="","",IFERROR(IF(INDEX(MASTER!$N$4:$N$1463,$P16)="","",INDEX(MASTER!$N$4:$N$1463,$P16)),""))</f>
        <v>36.299999999999997</v>
      </c>
      <c r="L16" s="19" t="str">
        <f>IF($P16="","",IFERROR(IF(INDEX(MASTER!$O$4:$O$1463,$P16)="","",INDEX(MASTER!$O$4:$O$1463,$P16)),""))</f>
        <v>B</v>
      </c>
      <c r="M16" s="19">
        <f>IF($P16="","",IFERROR(IF(INDEX(MASTER!$Q$4:$Q$1463,$P16)="","",INDEX(MASTER!$Q$4:$Q$1463,$P16)),""))</f>
        <v>91</v>
      </c>
      <c r="N16" s="19" t="str">
        <f>IF($P16="","",IFERROR(IF(INDEX(MASTER!$S$4:$S$1463,$P16)="","",INDEX(MASTER!$S$4:$S$1463,$P16)),""))</f>
        <v>Complete</v>
      </c>
      <c r="P16">
        <f>IFERROR(MATCH($Q$1&amp;"@8",MASTER!$AC$4:$AC$1463,0),"")</f>
        <v>91</v>
      </c>
    </row>
    <row r="17" spans="1:16">
      <c r="A17" s="15">
        <f>IF($P17="","",9)</f>
        <v>9</v>
      </c>
      <c r="B17" s="14" t="str">
        <f>IF($P17="","",IFERROR(IF(INDEX(MASTER!$C$4:$C$1463,$P17)="","",INDEX(MASTER!$C$4:$C$1463,$P17)),""))</f>
        <v>BadAssn</v>
      </c>
      <c r="C17" s="15" t="str">
        <f>IF($P17="","",IFERROR(IF(INDEX(MASTER!$D$4:$D$1463,$P17)="","",INDEX(MASTER!$D$4:$D$1463,$P17)),""))</f>
        <v>RECK</v>
      </c>
      <c r="D17" s="15" t="str">
        <f>IF($P17="","",IFERROR(IF(INDEX(MASTER!$E$4:$E$1463,$P17)="","",INDEX(MASTER!$E$4:$E$1463,$P17)),""))</f>
        <v>BARBARIAN</v>
      </c>
      <c r="E17" s="15" t="str">
        <f>IF($P17="","",IFERROR(IF(INDEX(MASTER!$F$4:$F$1463,$P17)="","",INDEX(MASTER!$F$4:$F$1463,$P17)),""))</f>
        <v>Frontline</v>
      </c>
      <c r="F17" s="16">
        <f>IF($P17="","",IFERROR(IF(INDEX(MASTER!$G$4:$G$1463,$P17)="","",INDEX(MASTER!$G$4:$G$1463,$P17)),""))</f>
        <v>61695</v>
      </c>
      <c r="G17" s="15" t="str">
        <f>IF($P17="","",IFERROR(IF(INDEX(MASTER!$H$4:$H$1463,$P17)="","",INDEX(MASTER!$H$4:$H$1463,$P17)),""))</f>
        <v>61,000 - 61,999</v>
      </c>
      <c r="H17" s="16">
        <f>IF($P17="","",IFERROR(IF(INDEX(MASTER!$I$4:$I$1463,$P17)="","",INDEX(MASTER!$I$4:$I$1463,$P17)),""))</f>
        <v>5933</v>
      </c>
      <c r="I17" s="15" t="str">
        <f>IF($P17="","",IFERROR(IF(INDEX(MASTER!$J$4:$J$1463,$P17)="","",INDEX(MASTER!$J$4:$J$1463,$P17)),""))</f>
        <v>CORE</v>
      </c>
      <c r="J17" s="17">
        <f>IF($P17="","",IFERROR(IF(INDEX(MASTER!$L$4:$L$1463,$P17)="","",INDEX(MASTER!$L$4:$L$1463,$P17)),""))</f>
        <v>4.5999999999999996</v>
      </c>
      <c r="K17" s="17">
        <f>IF($P17="","",IFERROR(IF(INDEX(MASTER!$N$4:$N$1463,$P17)="","",INDEX(MASTER!$N$4:$N$1463,$P17)),""))</f>
        <v>51.2</v>
      </c>
      <c r="L17" s="15" t="str">
        <f>IF($P17="","",IFERROR(IF(INDEX(MASTER!$O$4:$O$1463,$P17)="","",INDEX(MASTER!$O$4:$O$1463,$P17)),""))</f>
        <v>A</v>
      </c>
      <c r="M17" s="15">
        <f>IF($P17="","",IFERROR(IF(INDEX(MASTER!$Q$4:$Q$1463,$P17)="","",INDEX(MASTER!$Q$4:$Q$1463,$P17)),""))</f>
        <v>33</v>
      </c>
      <c r="N17" s="15" t="str">
        <f>IF($P17="","",IFERROR(IF(INDEX(MASTER!$S$4:$S$1463,$P17)="","",INDEX(MASTER!$S$4:$S$1463,$P17)),""))</f>
        <v>Complete</v>
      </c>
      <c r="P17">
        <f>IFERROR(MATCH($Q$1&amp;"@9",MASTER!$AC$4:$AC$1463,0),"")</f>
        <v>98</v>
      </c>
    </row>
    <row r="18" spans="1:16">
      <c r="A18" s="19">
        <f>IF($P18="","",10)</f>
        <v>10</v>
      </c>
      <c r="B18" s="18" t="str">
        <f>IF($P18="","",IFERROR(IF(INDEX(MASTER!$C$4:$C$1463,$P18)="","",INDEX(MASTER!$C$4:$C$1463,$P18)),""))</f>
        <v>Bailian</v>
      </c>
      <c r="C18" s="19" t="str">
        <f>IF($P18="","",IFERROR(IF(INDEX(MASTER!$D$4:$D$1463,$P18)="","",INDEX(MASTER!$D$4:$D$1463,$P18)),""))</f>
        <v>RECK</v>
      </c>
      <c r="D18" s="19" t="str">
        <f>IF($P18="","",IFERROR(IF(INDEX(MASTER!$E$4:$E$1463,$P18)="","",INDEX(MASTER!$E$4:$E$1463,$P18)),""))</f>
        <v>CRUSADER</v>
      </c>
      <c r="E18" s="19" t="str">
        <f>IF($P18="","",IFERROR(IF(INDEX(MASTER!$F$4:$F$1463,$P18)="","",INDEX(MASTER!$F$4:$F$1463,$P18)),""))</f>
        <v>Frontline</v>
      </c>
      <c r="F18" s="20">
        <f>IF($P18="","",IFERROR(IF(INDEX(MASTER!$G$4:$G$1463,$P18)="","",INDEX(MASTER!$G$4:$G$1463,$P18)),""))</f>
        <v>61529</v>
      </c>
      <c r="G18" s="19" t="str">
        <f>IF($P18="","",IFERROR(IF(INDEX(MASTER!$H$4:$H$1463,$P18)="","",INDEX(MASTER!$H$4:$H$1463,$P18)),""))</f>
        <v>61,000 - 61,999</v>
      </c>
      <c r="H18" s="20">
        <f>IF($P18="","",IFERROR(IF(INDEX(MASTER!$I$4:$I$1463,$P18)="","",INDEX(MASTER!$I$4:$I$1463,$P18)),""))</f>
        <v>7032</v>
      </c>
      <c r="I18" s="19" t="str">
        <f>IF($P18="","",IFERROR(IF(INDEX(MASTER!$J$4:$J$1463,$P18)="","",INDEX(MASTER!$J$4:$J$1463,$P18)),""))</f>
        <v>VETERAN</v>
      </c>
      <c r="J18" s="21">
        <f>IF($P18="","",IFERROR(IF(INDEX(MASTER!$L$4:$L$1463,$P18)="","",INDEX(MASTER!$L$4:$L$1463,$P18)),""))</f>
        <v>6.5</v>
      </c>
      <c r="K18" s="21">
        <f>IF($P18="","",IFERROR(IF(INDEX(MASTER!$N$4:$N$1463,$P18)="","",INDEX(MASTER!$N$4:$N$1463,$P18)),""))</f>
        <v>58.7</v>
      </c>
      <c r="L18" s="19" t="str">
        <f>IF($P18="","",IFERROR(IF(INDEX(MASTER!$O$4:$O$1463,$P18)="","",INDEX(MASTER!$O$4:$O$1463,$P18)),""))</f>
        <v>A</v>
      </c>
      <c r="M18" s="19">
        <f>IF($P18="","",IFERROR(IF(INDEX(MASTER!$Q$4:$Q$1463,$P18)="","",INDEX(MASTER!$Q$4:$Q$1463,$P18)),""))</f>
        <v>26</v>
      </c>
      <c r="N18" s="19" t="str">
        <f>IF($P18="","",IFERROR(IF(INDEX(MASTER!$S$4:$S$1463,$P18)="","",INDEX(MASTER!$S$4:$S$1463,$P18)),""))</f>
        <v>Complete</v>
      </c>
      <c r="P18">
        <f>IFERROR(MATCH($Q$1&amp;"@10",MASTER!$AC$4:$AC$1463,0),"")</f>
        <v>103</v>
      </c>
    </row>
    <row r="19" spans="1:16">
      <c r="A19" s="15">
        <f>IF($P19="","",11)</f>
        <v>11</v>
      </c>
      <c r="B19" s="14" t="str">
        <f>IF($P19="","",IFERROR(IF(INDEX(MASTER!$C$4:$C$1463,$P19)="","",INDEX(MASTER!$C$4:$C$1463,$P19)),""))</f>
        <v>Bauchelain</v>
      </c>
      <c r="C19" s="15" t="str">
        <f>IF($P19="","",IFERROR(IF(INDEX(MASTER!$D$4:$D$1463,$P19)="","",INDEX(MASTER!$D$4:$D$1463,$P19)),""))</f>
        <v>RECK</v>
      </c>
      <c r="D19" s="15" t="str">
        <f>IF($P19="","",IFERROR(IF(INDEX(MASTER!$E$4:$E$1463,$P19)="","",INDEX(MASTER!$E$4:$E$1463,$P19)),""))</f>
        <v>CRUSADER</v>
      </c>
      <c r="E19" s="15" t="str">
        <f>IF($P19="","",IFERROR(IF(INDEX(MASTER!$F$4:$F$1463,$P19)="","",INDEX(MASTER!$F$4:$F$1463,$P19)),""))</f>
        <v>Frontline</v>
      </c>
      <c r="F19" s="16">
        <f>IF($P19="","",IFERROR(IF(INDEX(MASTER!$G$4:$G$1463,$P19)="","",INDEX(MASTER!$G$4:$G$1463,$P19)),""))</f>
        <v>62955</v>
      </c>
      <c r="G19" s="15" t="str">
        <f>IF($P19="","",IFERROR(IF(INDEX(MASTER!$H$4:$H$1463,$P19)="","",INDEX(MASTER!$H$4:$H$1463,$P19)),""))</f>
        <v>62,000 - 62,999</v>
      </c>
      <c r="H19" s="16">
        <f>IF($P19="","",IFERROR(IF(INDEX(MASTER!$I$4:$I$1463,$P19)="","",INDEX(MASTER!$I$4:$I$1463,$P19)),""))</f>
        <v>9033</v>
      </c>
      <c r="I19" s="15" t="str">
        <f>IF($P19="","",IFERROR(IF(INDEX(MASTER!$J$4:$J$1463,$P19)="","",INDEX(MASTER!$J$4:$J$1463,$P19)),""))</f>
        <v>ELITE</v>
      </c>
      <c r="J19" s="17">
        <f>IF($P19="","",IFERROR(IF(INDEX(MASTER!$L$4:$L$1463,$P19)="","",INDEX(MASTER!$L$4:$L$1463,$P19)),""))</f>
        <v>7.7</v>
      </c>
      <c r="K19" s="17">
        <f>IF($P19="","",IFERROR(IF(INDEX(MASTER!$N$4:$N$1463,$P19)="","",INDEX(MASTER!$N$4:$N$1463,$P19)),""))</f>
        <v>73.2</v>
      </c>
      <c r="L19" s="15" t="str">
        <f>IF($P19="","",IFERROR(IF(INDEX(MASTER!$O$4:$O$1463,$P19)="","",INDEX(MASTER!$O$4:$O$1463,$P19)),""))</f>
        <v>S</v>
      </c>
      <c r="M19" s="15">
        <f>IF($P19="","",IFERROR(IF(INDEX(MASTER!$Q$4:$Q$1463,$P19)="","",INDEX(MASTER!$Q$4:$Q$1463,$P19)),""))</f>
        <v>14</v>
      </c>
      <c r="N19" s="15" t="str">
        <f>IF($P19="","",IFERROR(IF(INDEX(MASTER!$S$4:$S$1463,$P19)="","",INDEX(MASTER!$S$4:$S$1463,$P19)),""))</f>
        <v>Complete</v>
      </c>
      <c r="P19">
        <f>IFERROR(MATCH($Q$1&amp;"@11",MASTER!$AC$4:$AC$1463,0),"")</f>
        <v>107</v>
      </c>
    </row>
    <row r="20" spans="1:16">
      <c r="A20" s="19">
        <f>IF($P20="","",12)</f>
        <v>12</v>
      </c>
      <c r="B20" s="18" t="str">
        <f>IF($P20="","",IFERROR(IF(INDEX(MASTER!$C$4:$C$1463,$P20)="","",INDEX(MASTER!$C$4:$C$1463,$P20)),""))</f>
        <v>Bellatrîx</v>
      </c>
      <c r="C20" s="19" t="str">
        <f>IF($P20="","",IFERROR(IF(INDEX(MASTER!$D$4:$D$1463,$P20)="","",INDEX(MASTER!$D$4:$D$1463,$P20)),""))</f>
        <v>RECK</v>
      </c>
      <c r="D20" s="19" t="str">
        <f>IF($P20="","",IFERROR(IF(INDEX(MASTER!$E$4:$E$1463,$P20)="","",INDEX(MASTER!$E$4:$E$1463,$P20)),""))</f>
        <v>WARLOCK</v>
      </c>
      <c r="E20" s="19" t="str">
        <f>IF($P20="","",IFERROR(IF(INDEX(MASTER!$F$4:$F$1463,$P20)="","",INDEX(MASTER!$F$4:$F$1463,$P20)),""))</f>
        <v>Control</v>
      </c>
      <c r="F20" s="20">
        <f>IF($P20="","",IFERROR(IF(INDEX(MASTER!$G$4:$G$1463,$P20)="","",INDEX(MASTER!$G$4:$G$1463,$P20)),""))</f>
        <v>63168</v>
      </c>
      <c r="G20" s="19" t="str">
        <f>IF($P20="","",IFERROR(IF(INDEX(MASTER!$H$4:$H$1463,$P20)="","",INDEX(MASTER!$H$4:$H$1463,$P20)),""))</f>
        <v>63,000 - 63,999</v>
      </c>
      <c r="H20" s="20">
        <f>IF($P20="","",IFERROR(IF(INDEX(MASTER!$I$4:$I$1463,$P20)="","",INDEX(MASTER!$I$4:$I$1463,$P20)),""))</f>
        <v>4000</v>
      </c>
      <c r="I20" s="19" t="str">
        <f>IF($P20="","",IFERROR(IF(INDEX(MASTER!$J$4:$J$1463,$P20)="","",INDEX(MASTER!$J$4:$J$1463,$P20)),""))</f>
        <v>CORE</v>
      </c>
      <c r="J20" s="21">
        <f>IF($P20="","",IFERROR(IF(INDEX(MASTER!$L$4:$L$1463,$P20)="","",INDEX(MASTER!$L$4:$L$1463,$P20)),""))</f>
        <v>4.5</v>
      </c>
      <c r="K20" s="21">
        <f>IF($P20="","",IFERROR(IF(INDEX(MASTER!$N$4:$N$1463,$P20)="","",INDEX(MASTER!$N$4:$N$1463,$P20)),""))</f>
        <v>46.5</v>
      </c>
      <c r="L20" s="19" t="str">
        <f>IF($P20="","",IFERROR(IF(INDEX(MASTER!$O$4:$O$1463,$P20)="","",INDEX(MASTER!$O$4:$O$1463,$P20)),""))</f>
        <v>B</v>
      </c>
      <c r="M20" s="19">
        <f>IF($P20="","",IFERROR(IF(INDEX(MASTER!$Q$4:$Q$1463,$P20)="","",INDEX(MASTER!$Q$4:$Q$1463,$P20)),""))</f>
        <v>63</v>
      </c>
      <c r="N20" s="19" t="str">
        <f>IF($P20="","",IFERROR(IF(INDEX(MASTER!$S$4:$S$1463,$P20)="","",INDEX(MASTER!$S$4:$S$1463,$P20)),""))</f>
        <v>Complete</v>
      </c>
      <c r="P20">
        <f>IFERROR(MATCH($Q$1&amp;"@12",MASTER!$AC$4:$AC$1463,0),"")</f>
        <v>120</v>
      </c>
    </row>
    <row r="21" spans="1:16">
      <c r="A21" s="15">
        <f>IF($P21="","",13)</f>
        <v>13</v>
      </c>
      <c r="B21" s="14" t="str">
        <f>IF($P21="","",IFERROR(IF(INDEX(MASTER!$C$4:$C$1463,$P21)="","",INDEX(MASTER!$C$4:$C$1463,$P21)),""))</f>
        <v>Büns</v>
      </c>
      <c r="C21" s="15" t="str">
        <f>IF($P21="","",IFERROR(IF(INDEX(MASTER!$D$4:$D$1463,$P21)="","",INDEX(MASTER!$D$4:$D$1463,$P21)),""))</f>
        <v>RECK</v>
      </c>
      <c r="D21" s="15" t="str">
        <f>IF($P21="","",IFERROR(IF(INDEX(MASTER!$E$4:$E$1463,$P21)="","",INDEX(MASTER!$E$4:$E$1463,$P21)),""))</f>
        <v>WARLOCK</v>
      </c>
      <c r="E21" s="15" t="str">
        <f>IF($P21="","",IFERROR(IF(INDEX(MASTER!$F$4:$F$1463,$P21)="","",INDEX(MASTER!$F$4:$F$1463,$P21)),""))</f>
        <v>Control</v>
      </c>
      <c r="F21" s="16">
        <f>IF($P21="","",IFERROR(IF(INDEX(MASTER!$G$4:$G$1463,$P21)="","",INDEX(MASTER!$G$4:$G$1463,$P21)),""))</f>
        <v>63339</v>
      </c>
      <c r="G21" s="15" t="str">
        <f>IF($P21="","",IFERROR(IF(INDEX(MASTER!$H$4:$H$1463,$P21)="","",INDEX(MASTER!$H$4:$H$1463,$P21)),""))</f>
        <v>63,000 - 63,999</v>
      </c>
      <c r="H21" s="16">
        <f>IF($P21="","",IFERROR(IF(INDEX(MASTER!$I$4:$I$1463,$P21)="","",INDEX(MASTER!$I$4:$I$1463,$P21)),""))</f>
        <v>5198</v>
      </c>
      <c r="I21" s="15" t="str">
        <f>IF($P21="","",IFERROR(IF(INDEX(MASTER!$J$4:$J$1463,$P21)="","",INDEX(MASTER!$J$4:$J$1463,$P21)),""))</f>
        <v>CORE</v>
      </c>
      <c r="J21" s="17">
        <f>IF($P21="","",IFERROR(IF(INDEX(MASTER!$L$4:$L$1463,$P21)="","",INDEX(MASTER!$L$4:$L$1463,$P21)),""))</f>
        <v>5.85</v>
      </c>
      <c r="K21" s="17">
        <f>IF($P21="","",IFERROR(IF(INDEX(MASTER!$N$4:$N$1463,$P21)="","",INDEX(MASTER!$N$4:$N$1463,$P21)),""))</f>
        <v>54.4</v>
      </c>
      <c r="L21" s="15" t="str">
        <f>IF($P21="","",IFERROR(IF(INDEX(MASTER!$O$4:$O$1463,$P21)="","",INDEX(MASTER!$O$4:$O$1463,$P21)),""))</f>
        <v>A</v>
      </c>
      <c r="M21" s="15">
        <f>IF($P21="","",IFERROR(IF(INDEX(MASTER!$Q$4:$Q$1463,$P21)="","",INDEX(MASTER!$Q$4:$Q$1463,$P21)),""))</f>
        <v>45</v>
      </c>
      <c r="N21" s="15" t="str">
        <f>IF($P21="","",IFERROR(IF(INDEX(MASTER!$S$4:$S$1463,$P21)="","",INDEX(MASTER!$S$4:$S$1463,$P21)),""))</f>
        <v>Complete</v>
      </c>
      <c r="P21">
        <f>IFERROR(MATCH($Q$1&amp;"@13",MASTER!$AC$4:$AC$1463,0),"")</f>
        <v>181</v>
      </c>
    </row>
    <row r="22" spans="1:16">
      <c r="A22" s="19">
        <f>IF($P22="","",14)</f>
        <v>14</v>
      </c>
      <c r="B22" s="18" t="str">
        <f>IF($P22="","",IFERROR(IF(INDEX(MASTER!$C$4:$C$1463,$P22)="","",INDEX(MASTER!$C$4:$C$1463,$P22)),""))</f>
        <v>CoochieJ</v>
      </c>
      <c r="C22" s="19" t="str">
        <f>IF($P22="","",IFERROR(IF(INDEX(MASTER!$D$4:$D$1463,$P22)="","",INDEX(MASTER!$D$4:$D$1463,$P22)),""))</f>
        <v>RECK</v>
      </c>
      <c r="D22" s="19" t="str">
        <f>IF($P22="","",IFERROR(IF(INDEX(MASTER!$E$4:$E$1463,$P22)="","",INDEX(MASTER!$E$4:$E$1463,$P22)),""))</f>
        <v>DEMON HUNTER</v>
      </c>
      <c r="E22" s="19" t="str">
        <f>IF($P22="","",IFERROR(IF(INDEX(MASTER!$F$4:$F$1463,$P22)="","",INDEX(MASTER!$F$4:$F$1463,$P22)),""))</f>
        <v>Ranged DPS</v>
      </c>
      <c r="F22" s="20">
        <f>IF($P22="","",IFERROR(IF(INDEX(MASTER!$G$4:$G$1463,$P22)="","",INDEX(MASTER!$G$4:$G$1463,$P22)),""))</f>
        <v>62625</v>
      </c>
      <c r="G22" s="19" t="str">
        <f>IF($P22="","",IFERROR(IF(INDEX(MASTER!$H$4:$H$1463,$P22)="","",INDEX(MASTER!$H$4:$H$1463,$P22)),""))</f>
        <v>62,000 - 62,999</v>
      </c>
      <c r="H22" s="20">
        <f>IF($P22="","",IFERROR(IF(INDEX(MASTER!$I$4:$I$1463,$P22)="","",INDEX(MASTER!$I$4:$I$1463,$P22)),""))</f>
        <v>6200</v>
      </c>
      <c r="I22" s="19" t="str">
        <f>IF($P22="","",IFERROR(IF(INDEX(MASTER!$J$4:$J$1463,$P22)="","",INDEX(MASTER!$J$4:$J$1463,$P22)),""))</f>
        <v>VETERAN</v>
      </c>
      <c r="J22" s="21">
        <f>IF($P22="","",IFERROR(IF(INDEX(MASTER!$L$4:$L$1463,$P22)="","",INDEX(MASTER!$L$4:$L$1463,$P22)),""))</f>
        <v>6.9</v>
      </c>
      <c r="K22" s="21">
        <f>IF($P22="","",IFERROR(IF(INDEX(MASTER!$N$4:$N$1463,$P22)="","",INDEX(MASTER!$N$4:$N$1463,$P22)),""))</f>
        <v>58.6</v>
      </c>
      <c r="L22" s="19" t="str">
        <f>IF($P22="","",IFERROR(IF(INDEX(MASTER!$O$4:$O$1463,$P22)="","",INDEX(MASTER!$O$4:$O$1463,$P22)),""))</f>
        <v>A</v>
      </c>
      <c r="M22" s="19">
        <f>IF($P22="","",IFERROR(IF(INDEX(MASTER!$Q$4:$Q$1463,$P22)="","",INDEX(MASTER!$Q$4:$Q$1463,$P22)),""))</f>
        <v>30</v>
      </c>
      <c r="N22" s="19" t="str">
        <f>IF($P22="","",IFERROR(IF(INDEX(MASTER!$S$4:$S$1463,$P22)="","",INDEX(MASTER!$S$4:$S$1463,$P22)),""))</f>
        <v>Complete</v>
      </c>
      <c r="P22">
        <f>IFERROR(MATCH($Q$1&amp;"@14",MASTER!$AC$4:$AC$1463,0),"")</f>
        <v>227</v>
      </c>
    </row>
    <row r="23" spans="1:16">
      <c r="A23" s="15">
        <f>IF($P23="","",15)</f>
        <v>15</v>
      </c>
      <c r="B23" s="14" t="str">
        <f>IF($P23="","",IFERROR(IF(INDEX(MASTER!$C$4:$C$1463,$P23)="","",INDEX(MASTER!$C$4:$C$1463,$P23)),""))</f>
        <v>CuppyCakes</v>
      </c>
      <c r="C23" s="15" t="str">
        <f>IF($P23="","",IFERROR(IF(INDEX(MASTER!$D$4:$D$1463,$P23)="","",INDEX(MASTER!$D$4:$D$1463,$P23)),""))</f>
        <v>RECK</v>
      </c>
      <c r="D23" s="15" t="str">
        <f>IF($P23="","",IFERROR(IF(INDEX(MASTER!$E$4:$E$1463,$P23)="","",INDEX(MASTER!$E$4:$E$1463,$P23)),""))</f>
        <v>CRUSADER</v>
      </c>
      <c r="E23" s="15" t="str">
        <f>IF($P23="","",IFERROR(IF(INDEX(MASTER!$F$4:$F$1463,$P23)="","",INDEX(MASTER!$F$4:$F$1463,$P23)),""))</f>
        <v>Frontline</v>
      </c>
      <c r="F23" s="16">
        <f>IF($P23="","",IFERROR(IF(INDEX(MASTER!$G$4:$G$1463,$P23)="","",INDEX(MASTER!$G$4:$G$1463,$P23)),""))</f>
        <v>63606</v>
      </c>
      <c r="G23" s="15" t="str">
        <f>IF($P23="","",IFERROR(IF(INDEX(MASTER!$H$4:$H$1463,$P23)="","",INDEX(MASTER!$H$4:$H$1463,$P23)),""))</f>
        <v>63,000 - 63,999</v>
      </c>
      <c r="H23" s="16">
        <f>IF($P23="","",IFERROR(IF(INDEX(MASTER!$I$4:$I$1463,$P23)="","",INDEX(MASTER!$I$4:$I$1463,$P23)),""))</f>
        <v>10392</v>
      </c>
      <c r="I23" s="15" t="str">
        <f>IF($P23="","",IFERROR(IF(INDEX(MASTER!$J$4:$J$1463,$P23)="","",INDEX(MASTER!$J$4:$J$1463,$P23)),""))</f>
        <v>APEX</v>
      </c>
      <c r="J23" s="17">
        <f>IF($P23="","",IFERROR(IF(INDEX(MASTER!$L$4:$L$1463,$P23)="","",INDEX(MASTER!$L$4:$L$1463,$P23)),""))</f>
        <v>7.5</v>
      </c>
      <c r="K23" s="17">
        <f>IF($P23="","",IFERROR(IF(INDEX(MASTER!$N$4:$N$1463,$P23)="","",INDEX(MASTER!$N$4:$N$1463,$P23)),""))</f>
        <v>80.5</v>
      </c>
      <c r="L23" s="15" t="str">
        <f>IF($P23="","",IFERROR(IF(INDEX(MASTER!$O$4:$O$1463,$P23)="","",INDEX(MASTER!$O$4:$O$1463,$P23)),""))</f>
        <v>S+</v>
      </c>
      <c r="M23" s="15">
        <f>IF($P23="","",IFERROR(IF(INDEX(MASTER!$Q$4:$Q$1463,$P23)="","",INDEX(MASTER!$Q$4:$Q$1463,$P23)),""))</f>
        <v>4</v>
      </c>
      <c r="N23" s="15" t="str">
        <f>IF($P23="","",IFERROR(IF(INDEX(MASTER!$S$4:$S$1463,$P23)="","",INDEX(MASTER!$S$4:$S$1463,$P23)),""))</f>
        <v>Complete</v>
      </c>
      <c r="P23">
        <f>IFERROR(MATCH($Q$1&amp;"@15",MASTER!$AC$4:$AC$1463,0),"")</f>
        <v>236</v>
      </c>
    </row>
    <row r="24" spans="1:16">
      <c r="A24" s="19">
        <f>IF($P24="","",16)</f>
        <v>16</v>
      </c>
      <c r="B24" s="18" t="str">
        <f>IF($P24="","",IFERROR(IF(INDEX(MASTER!$C$4:$C$1463,$P24)="","",INDEX(MASTER!$C$4:$C$1463,$P24)),""))</f>
        <v>Dáx</v>
      </c>
      <c r="C24" s="19" t="str">
        <f>IF($P24="","",IFERROR(IF(INDEX(MASTER!$D$4:$D$1463,$P24)="","",INDEX(MASTER!$D$4:$D$1463,$P24)),""))</f>
        <v>RECK</v>
      </c>
      <c r="D24" s="19" t="str">
        <f>IF($P24="","",IFERROR(IF(INDEX(MASTER!$E$4:$E$1463,$P24)="","",INDEX(MASTER!$E$4:$E$1463,$P24)),""))</f>
        <v>BARBARIAN</v>
      </c>
      <c r="E24" s="19" t="str">
        <f>IF($P24="","",IFERROR(IF(INDEX(MASTER!$F$4:$F$1463,$P24)="","",INDEX(MASTER!$F$4:$F$1463,$P24)),""))</f>
        <v>Frontline</v>
      </c>
      <c r="F24" s="20">
        <f>IF($P24="","",IFERROR(IF(INDEX(MASTER!$G$4:$G$1463,$P24)="","",INDEX(MASTER!$G$4:$G$1463,$P24)),""))</f>
        <v>62481</v>
      </c>
      <c r="G24" s="19" t="str">
        <f>IF($P24="","",IFERROR(IF(INDEX(MASTER!$H$4:$H$1463,$P24)="","",INDEX(MASTER!$H$4:$H$1463,$P24)),""))</f>
        <v>62,000 - 62,999</v>
      </c>
      <c r="H24" s="20">
        <f>IF($P24="","",IFERROR(IF(INDEX(MASTER!$I$4:$I$1463,$P24)="","",INDEX(MASTER!$I$4:$I$1463,$P24)),""))</f>
        <v>10376</v>
      </c>
      <c r="I24" s="19" t="str">
        <f>IF($P24="","",IFERROR(IF(INDEX(MASTER!$J$4:$J$1463,$P24)="","",INDEX(MASTER!$J$4:$J$1463,$P24)),""))</f>
        <v>APEX</v>
      </c>
      <c r="J24" s="21">
        <f>IF($P24="","",IFERROR(IF(INDEX(MASTER!$L$4:$L$1463,$P24)="","",INDEX(MASTER!$L$4:$L$1463,$P24)),""))</f>
        <v>7.3</v>
      </c>
      <c r="K24" s="21">
        <f>IF($P24="","",IFERROR(IF(INDEX(MASTER!$N$4:$N$1463,$P24)="","",INDEX(MASTER!$N$4:$N$1463,$P24)),""))</f>
        <v>77.099999999999994</v>
      </c>
      <c r="L24" s="19" t="str">
        <f>IF($P24="","",IFERROR(IF(INDEX(MASTER!$O$4:$O$1463,$P24)="","",INDEX(MASTER!$O$4:$O$1463,$P24)),""))</f>
        <v>S</v>
      </c>
      <c r="M24" s="19">
        <f>IF($P24="","",IFERROR(IF(INDEX(MASTER!$Q$4:$Q$1463,$P24)="","",INDEX(MASTER!$Q$4:$Q$1463,$P24)),""))</f>
        <v>6</v>
      </c>
      <c r="N24" s="19" t="str">
        <f>IF($P24="","",IFERROR(IF(INDEX(MASTER!$S$4:$S$1463,$P24)="","",INDEX(MASTER!$S$4:$S$1463,$P24)),""))</f>
        <v>Complete</v>
      </c>
      <c r="P24">
        <f>IFERROR(MATCH($Q$1&amp;"@16",MASTER!$AC$4:$AC$1463,0),"")</f>
        <v>335</v>
      </c>
    </row>
    <row r="25" spans="1:16">
      <c r="A25" s="15">
        <f>IF($P25="","",17)</f>
        <v>17</v>
      </c>
      <c r="B25" s="14" t="str">
        <f>IF($P25="","",IFERROR(IF(INDEX(MASTER!$C$4:$C$1463,$P25)="","",INDEX(MASTER!$C$4:$C$1463,$P25)),""))</f>
        <v>Dijazzle</v>
      </c>
      <c r="C25" s="15" t="str">
        <f>IF($P25="","",IFERROR(IF(INDEX(MASTER!$D$4:$D$1463,$P25)="","",INDEX(MASTER!$D$4:$D$1463,$P25)),""))</f>
        <v>RECK</v>
      </c>
      <c r="D25" s="15" t="str">
        <f>IF($P25="","",IFERROR(IF(INDEX(MASTER!$E$4:$E$1463,$P25)="","",INDEX(MASTER!$E$4:$E$1463,$P25)),""))</f>
        <v>WARLOCK</v>
      </c>
      <c r="E25" s="15" t="str">
        <f>IF($P25="","",IFERROR(IF(INDEX(MASTER!$F$4:$F$1463,$P25)="","",INDEX(MASTER!$F$4:$F$1463,$P25)),""))</f>
        <v>Control</v>
      </c>
      <c r="F25" s="16">
        <f>IF($P25="","",IFERROR(IF(INDEX(MASTER!$G$4:$G$1463,$P25)="","",INDEX(MASTER!$G$4:$G$1463,$P25)),""))</f>
        <v>61331</v>
      </c>
      <c r="G25" s="15" t="str">
        <f>IF($P25="","",IFERROR(IF(INDEX(MASTER!$H$4:$H$1463,$P25)="","",INDEX(MASTER!$H$4:$H$1463,$P25)),""))</f>
        <v>61,000 - 61,999</v>
      </c>
      <c r="H25" s="16">
        <f>IF($P25="","",IFERROR(IF(INDEX(MASTER!$I$4:$I$1463,$P25)="","",INDEX(MASTER!$I$4:$I$1463,$P25)),""))</f>
        <v>5524</v>
      </c>
      <c r="I25" s="15" t="str">
        <f>IF($P25="","",IFERROR(IF(INDEX(MASTER!$J$4:$J$1463,$P25)="","",INDEX(MASTER!$J$4:$J$1463,$P25)),""))</f>
        <v>CORE</v>
      </c>
      <c r="J25" s="17">
        <f>IF($P25="","",IFERROR(IF(INDEX(MASTER!$L$4:$L$1463,$P25)="","",INDEX(MASTER!$L$4:$L$1463,$P25)),""))</f>
        <v>6.3</v>
      </c>
      <c r="K25" s="17">
        <f>IF($P25="","",IFERROR(IF(INDEX(MASTER!$N$4:$N$1463,$P25)="","",INDEX(MASTER!$N$4:$N$1463,$P25)),""))</f>
        <v>51.3</v>
      </c>
      <c r="L25" s="15" t="str">
        <f>IF($P25="","",IFERROR(IF(INDEX(MASTER!$O$4:$O$1463,$P25)="","",INDEX(MASTER!$O$4:$O$1463,$P25)),""))</f>
        <v>A</v>
      </c>
      <c r="M25" s="15">
        <f>IF($P25="","",IFERROR(IF(INDEX(MASTER!$Q$4:$Q$1463,$P25)="","",INDEX(MASTER!$Q$4:$Q$1463,$P25)),""))</f>
        <v>37</v>
      </c>
      <c r="N25" s="15" t="str">
        <f>IF($P25="","",IFERROR(IF(INDEX(MASTER!$S$4:$S$1463,$P25)="","",INDEX(MASTER!$S$4:$S$1463,$P25)),""))</f>
        <v>Complete</v>
      </c>
      <c r="P25">
        <f>IFERROR(MATCH($Q$1&amp;"@17",MASTER!$AC$4:$AC$1463,0),"")</f>
        <v>290</v>
      </c>
    </row>
    <row r="26" spans="1:16">
      <c r="A26" s="19">
        <f>IF($P26="","",18)</f>
        <v>18</v>
      </c>
      <c r="B26" s="18" t="str">
        <f>IF($P26="","",IFERROR(IF(INDEX(MASTER!$C$4:$C$1463,$P26)="","",INDEX(MASTER!$C$4:$C$1463,$P26)),""))</f>
        <v>DirtyOldBroad</v>
      </c>
      <c r="C26" s="19" t="str">
        <f>IF($P26="","",IFERROR(IF(INDEX(MASTER!$D$4:$D$1463,$P26)="","",INDEX(MASTER!$D$4:$D$1463,$P26)),""))</f>
        <v>RECK</v>
      </c>
      <c r="D26" s="19" t="str">
        <f>IF($P26="","",IFERROR(IF(INDEX(MASTER!$E$4:$E$1463,$P26)="","",INDEX(MASTER!$E$4:$E$1463,$P26)),""))</f>
        <v>DRUID</v>
      </c>
      <c r="E26" s="19" t="str">
        <f>IF($P26="","",IFERROR(IF(INDEX(MASTER!$F$4:$F$1463,$P26)="","",INDEX(MASTER!$F$4:$F$1463,$P26)),""))</f>
        <v>Support</v>
      </c>
      <c r="F26" s="20">
        <f>IF($P26="","",IFERROR(IF(INDEX(MASTER!$G$4:$G$1463,$P26)="","",INDEX(MASTER!$G$4:$G$1463,$P26)),""))</f>
        <v>61124</v>
      </c>
      <c r="G26" s="19" t="str">
        <f>IF($P26="","",IFERROR(IF(INDEX(MASTER!$H$4:$H$1463,$P26)="","",INDEX(MASTER!$H$4:$H$1463,$P26)),""))</f>
        <v>61,000 - 61,999</v>
      </c>
      <c r="H26" s="20">
        <f>IF($P26="","",IFERROR(IF(INDEX(MASTER!$I$4:$I$1463,$P26)="","",INDEX(MASTER!$I$4:$I$1463,$P26)),""))</f>
        <v>2015</v>
      </c>
      <c r="I26" s="19" t="str">
        <f>IF($P26="","",IFERROR(IF(INDEX(MASTER!$J$4:$J$1463,$P26)="","",INDEX(MASTER!$J$4:$J$1463,$P26)),""))</f>
        <v>DEVELOPING</v>
      </c>
      <c r="J26" s="21">
        <f>IF($P26="","",IFERROR(IF(INDEX(MASTER!$L$4:$L$1463,$P26)="","",INDEX(MASTER!$L$4:$L$1463,$P26)),""))</f>
        <v>3</v>
      </c>
      <c r="K26" s="21">
        <f>IF($P26="","",IFERROR(IF(INDEX(MASTER!$N$4:$N$1463,$P26)="","",INDEX(MASTER!$N$4:$N$1463,$P26)),""))</f>
        <v>29.9</v>
      </c>
      <c r="L26" s="19" t="str">
        <f>IF($P26="","",IFERROR(IF(INDEX(MASTER!$O$4:$O$1463,$P26)="","",INDEX(MASTER!$O$4:$O$1463,$P26)),""))</f>
        <v>C</v>
      </c>
      <c r="M26" s="19">
        <f>IF($P26="","",IFERROR(IF(INDEX(MASTER!$Q$4:$Q$1463,$P26)="","",INDEX(MASTER!$Q$4:$Q$1463,$P26)),""))</f>
        <v>95</v>
      </c>
      <c r="N26" s="19" t="str">
        <f>IF($P26="","",IFERROR(IF(INDEX(MASTER!$S$4:$S$1463,$P26)="","",INDEX(MASTER!$S$4:$S$1463,$P26)),""))</f>
        <v>Complete</v>
      </c>
      <c r="P26">
        <f>IFERROR(MATCH($Q$1&amp;"@18",MASTER!$AC$4:$AC$1463,0),"")</f>
        <v>295</v>
      </c>
    </row>
    <row r="27" spans="1:16">
      <c r="A27" s="15">
        <f>IF($P27="","",19)</f>
        <v>19</v>
      </c>
      <c r="B27" s="14" t="str">
        <f>IF($P27="","",IFERROR(IF(INDEX(MASTER!$C$4:$C$1463,$P27)="","",INDEX(MASTER!$C$4:$C$1463,$P27)),""))</f>
        <v>DRAHC</v>
      </c>
      <c r="C27" s="15" t="str">
        <f>IF($P27="","",IFERROR(IF(INDEX(MASTER!$D$4:$D$1463,$P27)="","",INDEX(MASTER!$D$4:$D$1463,$P27)),""))</f>
        <v>RECK</v>
      </c>
      <c r="D27" s="15" t="str">
        <f>IF($P27="","",IFERROR(IF(INDEX(MASTER!$E$4:$E$1463,$P27)="","",INDEX(MASTER!$E$4:$E$1463,$P27)),""))</f>
        <v>DEMON HUNTER</v>
      </c>
      <c r="E27" s="15" t="str">
        <f>IF($P27="","",IFERROR(IF(INDEX(MASTER!$F$4:$F$1463,$P27)="","",INDEX(MASTER!$F$4:$F$1463,$P27)),""))</f>
        <v>Ranged DPS</v>
      </c>
      <c r="F27" s="16">
        <f>IF($P27="","",IFERROR(IF(INDEX(MASTER!$G$4:$G$1463,$P27)="","",INDEX(MASTER!$G$4:$G$1463,$P27)),""))</f>
        <v>61725</v>
      </c>
      <c r="G27" s="15" t="str">
        <f>IF($P27="","",IFERROR(IF(INDEX(MASTER!$H$4:$H$1463,$P27)="","",INDEX(MASTER!$H$4:$H$1463,$P27)),""))</f>
        <v>61,000 - 61,999</v>
      </c>
      <c r="H27" s="16">
        <f>IF($P27="","",IFERROR(IF(INDEX(MASTER!$I$4:$I$1463,$P27)="","",INDEX(MASTER!$I$4:$I$1463,$P27)),""))</f>
        <v>3918</v>
      </c>
      <c r="I27" s="15" t="str">
        <f>IF($P27="","",IFERROR(IF(INDEX(MASTER!$J$4:$J$1463,$P27)="","",INDEX(MASTER!$J$4:$J$1463,$P27)),""))</f>
        <v>DEVELOPING</v>
      </c>
      <c r="J27" s="17">
        <f>IF($P27="","",IFERROR(IF(INDEX(MASTER!$L$4:$L$1463,$P27)="","",INDEX(MASTER!$L$4:$L$1463,$P27)),""))</f>
        <v>4.6500000000000004</v>
      </c>
      <c r="K27" s="17">
        <f>IF($P27="","",IFERROR(IF(INDEX(MASTER!$N$4:$N$1463,$P27)="","",INDEX(MASTER!$N$4:$N$1463,$P27)),""))</f>
        <v>42.5</v>
      </c>
      <c r="L27" s="15" t="str">
        <f>IF($P27="","",IFERROR(IF(INDEX(MASTER!$O$4:$O$1463,$P27)="","",INDEX(MASTER!$O$4:$O$1463,$P27)),""))</f>
        <v>B</v>
      </c>
      <c r="M27" s="15">
        <f>IF($P27="","",IFERROR(IF(INDEX(MASTER!$Q$4:$Q$1463,$P27)="","",INDEX(MASTER!$Q$4:$Q$1463,$P27)),""))</f>
        <v>65</v>
      </c>
      <c r="N27" s="15" t="str">
        <f>IF($P27="","",IFERROR(IF(INDEX(MASTER!$S$4:$S$1463,$P27)="","",INDEX(MASTER!$S$4:$S$1463,$P27)),""))</f>
        <v>Complete</v>
      </c>
      <c r="P27">
        <f>IFERROR(MATCH($Q$1&amp;"@19",MASTER!$AC$4:$AC$1463,0),"")</f>
        <v>310</v>
      </c>
    </row>
    <row r="28" spans="1:16">
      <c r="A28" s="19">
        <f>IF($P28="","",20)</f>
        <v>20</v>
      </c>
      <c r="B28" s="18" t="str">
        <f>IF($P28="","",IFERROR(IF(INDEX(MASTER!$C$4:$C$1463,$P28)="","",INDEX(MASTER!$C$4:$C$1463,$P28)),""))</f>
        <v>DREEMON</v>
      </c>
      <c r="C28" s="19" t="str">
        <f>IF($P28="","",IFERROR(IF(INDEX(MASTER!$D$4:$D$1463,$P28)="","",INDEX(MASTER!$D$4:$D$1463,$P28)),""))</f>
        <v>RECK</v>
      </c>
      <c r="D28" s="19" t="str">
        <f>IF($P28="","",IFERROR(IF(INDEX(MASTER!$E$4:$E$1463,$P28)="","",INDEX(MASTER!$E$4:$E$1463,$P28)),""))</f>
        <v>TEMPEST</v>
      </c>
      <c r="E28" s="19" t="str">
        <f>IF($P28="","",IFERROR(IF(INDEX(MASTER!$F$4:$F$1463,$P28)="","",INDEX(MASTER!$F$4:$F$1463,$P28)),""))</f>
        <v>Melee DPS</v>
      </c>
      <c r="F28" s="20">
        <f>IF($P28="","",IFERROR(IF(INDEX(MASTER!$G$4:$G$1463,$P28)="","",INDEX(MASTER!$G$4:$G$1463,$P28)),""))</f>
        <v>61320</v>
      </c>
      <c r="G28" s="19" t="str">
        <f>IF($P28="","",IFERROR(IF(INDEX(MASTER!$H$4:$H$1463,$P28)="","",INDEX(MASTER!$H$4:$H$1463,$P28)),""))</f>
        <v>61,000 - 61,999</v>
      </c>
      <c r="H28" s="20">
        <f>IF($P28="","",IFERROR(IF(INDEX(MASTER!$I$4:$I$1463,$P28)="","",INDEX(MASTER!$I$4:$I$1463,$P28)),""))</f>
        <v>3948</v>
      </c>
      <c r="I28" s="19" t="str">
        <f>IF($P28="","",IFERROR(IF(INDEX(MASTER!$J$4:$J$1463,$P28)="","",INDEX(MASTER!$J$4:$J$1463,$P28)),""))</f>
        <v>DEVELOPING</v>
      </c>
      <c r="J28" s="21">
        <f>IF($P28="","",IFERROR(IF(INDEX(MASTER!$L$4:$L$1463,$P28)="","",INDEX(MASTER!$L$4:$L$1463,$P28)),""))</f>
        <v>5.5</v>
      </c>
      <c r="K28" s="21">
        <f>IF($P28="","",IFERROR(IF(INDEX(MASTER!$N$4:$N$1463,$P28)="","",INDEX(MASTER!$N$4:$N$1463,$P28)),""))</f>
        <v>43</v>
      </c>
      <c r="L28" s="19" t="str">
        <f>IF($P28="","",IFERROR(IF(INDEX(MASTER!$O$4:$O$1463,$P28)="","",INDEX(MASTER!$O$4:$O$1463,$P28)),""))</f>
        <v>B</v>
      </c>
      <c r="M28" s="19">
        <f>IF($P28="","",IFERROR(IF(INDEX(MASTER!$Q$4:$Q$1463,$P28)="","",INDEX(MASTER!$Q$4:$Q$1463,$P28)),""))</f>
        <v>64</v>
      </c>
      <c r="N28" s="19" t="str">
        <f>IF($P28="","",IFERROR(IF(INDEX(MASTER!$S$4:$S$1463,$P28)="","",INDEX(MASTER!$S$4:$S$1463,$P28)),""))</f>
        <v>Complete</v>
      </c>
      <c r="P28">
        <f>IFERROR(MATCH($Q$1&amp;"@20",MASTER!$AC$4:$AC$1463,0),"")</f>
        <v>316</v>
      </c>
    </row>
    <row r="29" spans="1:16">
      <c r="A29" s="15">
        <f>IF($P29="","",21)</f>
        <v>21</v>
      </c>
      <c r="B29" s="14" t="str">
        <f>IF($P29="","",IFERROR(IF(INDEX(MASTER!$C$4:$C$1463,$P29)="","",INDEX(MASTER!$C$4:$C$1463,$P29)),""))</f>
        <v>dstfate</v>
      </c>
      <c r="C29" s="15" t="str">
        <f>IF($P29="","",IFERROR(IF(INDEX(MASTER!$D$4:$D$1463,$P29)="","",INDEX(MASTER!$D$4:$D$1463,$P29)),""))</f>
        <v>RECK</v>
      </c>
      <c r="D29" s="15" t="str">
        <f>IF($P29="","",IFERROR(IF(INDEX(MASTER!$E$4:$E$1463,$P29)="","",INDEX(MASTER!$E$4:$E$1463,$P29)),""))</f>
        <v>TEMPEST</v>
      </c>
      <c r="E29" s="15" t="str">
        <f>IF($P29="","",IFERROR(IF(INDEX(MASTER!$F$4:$F$1463,$P29)="","",INDEX(MASTER!$F$4:$F$1463,$P29)),""))</f>
        <v>Melee DPS</v>
      </c>
      <c r="F29" s="16">
        <f>IF($P29="","",IFERROR(IF(INDEX(MASTER!$G$4:$G$1463,$P29)="","",INDEX(MASTER!$G$4:$G$1463,$P29)),""))</f>
        <v>64197</v>
      </c>
      <c r="G29" s="15" t="str">
        <f>IF($P29="","",IFERROR(IF(INDEX(MASTER!$H$4:$H$1463,$P29)="","",INDEX(MASTER!$H$4:$H$1463,$P29)),""))</f>
        <v>64,000 +</v>
      </c>
      <c r="H29" s="16">
        <f>IF($P29="","",IFERROR(IF(INDEX(MASTER!$I$4:$I$1463,$P29)="","",INDEX(MASTER!$I$4:$I$1463,$P29)),""))</f>
        <v>10388</v>
      </c>
      <c r="I29" s="15" t="str">
        <f>IF($P29="","",IFERROR(IF(INDEX(MASTER!$J$4:$J$1463,$P29)="","",INDEX(MASTER!$J$4:$J$1463,$P29)),""))</f>
        <v>APEX</v>
      </c>
      <c r="J29" s="17">
        <f>IF($P29="","",IFERROR(IF(INDEX(MASTER!$L$4:$L$1463,$P29)="","",INDEX(MASTER!$L$4:$L$1463,$P29)),""))</f>
        <v>10</v>
      </c>
      <c r="K29" s="17">
        <f>IF($P29="","",IFERROR(IF(INDEX(MASTER!$N$4:$N$1463,$P29)="","",INDEX(MASTER!$N$4:$N$1463,$P29)),""))</f>
        <v>86.2</v>
      </c>
      <c r="L29" s="15" t="str">
        <f>IF($P29="","",IFERROR(IF(INDEX(MASTER!$O$4:$O$1463,$P29)="","",INDEX(MASTER!$O$4:$O$1463,$P29)),""))</f>
        <v>S+</v>
      </c>
      <c r="M29" s="15">
        <f>IF($P29="","",IFERROR(IF(INDEX(MASTER!$Q$4:$Q$1463,$P29)="","",INDEX(MASTER!$Q$4:$Q$1463,$P29)),""))</f>
        <v>5</v>
      </c>
      <c r="N29" s="15" t="str">
        <f>IF($P29="","",IFERROR(IF(INDEX(MASTER!$S$4:$S$1463,$P29)="","",INDEX(MASTER!$S$4:$S$1463,$P29)),""))</f>
        <v>Complete</v>
      </c>
      <c r="P29">
        <f>IFERROR(MATCH($Q$1&amp;"@21",MASTER!$AC$4:$AC$1463,0),"")</f>
        <v>322</v>
      </c>
    </row>
    <row r="30" spans="1:16">
      <c r="A30" s="19">
        <f>IF($P30="","",22)</f>
        <v>22</v>
      </c>
      <c r="B30" s="18" t="str">
        <f>IF($P30="","",IFERROR(IF(INDEX(MASTER!$C$4:$C$1463,$P30)="","",INDEX(MASTER!$C$4:$C$1463,$P30)),""))</f>
        <v>EŁ¥SIØN</v>
      </c>
      <c r="C30" s="19" t="str">
        <f>IF($P30="","",IFERROR(IF(INDEX(MASTER!$D$4:$D$1463,$P30)="","",INDEX(MASTER!$D$4:$D$1463,$P30)),""))</f>
        <v>RECK</v>
      </c>
      <c r="D30" s="19" t="str">
        <f>IF($P30="","",IFERROR(IF(INDEX(MASTER!$E$4:$E$1463,$P30)="","",INDEX(MASTER!$E$4:$E$1463,$P30)),""))</f>
        <v>WARLOCK</v>
      </c>
      <c r="E30" s="19" t="str">
        <f>IF($P30="","",IFERROR(IF(INDEX(MASTER!$F$4:$F$1463,$P30)="","",INDEX(MASTER!$F$4:$F$1463,$P30)),""))</f>
        <v>Control</v>
      </c>
      <c r="F30" s="20">
        <f>IF($P30="","",IFERROR(IF(INDEX(MASTER!$G$4:$G$1463,$P30)="","",INDEX(MASTER!$G$4:$G$1463,$P30)),""))</f>
        <v>63112</v>
      </c>
      <c r="G30" s="19" t="str">
        <f>IF($P30="","",IFERROR(IF(INDEX(MASTER!$H$4:$H$1463,$P30)="","",INDEX(MASTER!$H$4:$H$1463,$P30)),""))</f>
        <v>63,000 - 63,999</v>
      </c>
      <c r="H30" s="20">
        <f>IF($P30="","",IFERROR(IF(INDEX(MASTER!$I$4:$I$1463,$P30)="","",INDEX(MASTER!$I$4:$I$1463,$P30)),""))</f>
        <v>4209</v>
      </c>
      <c r="I30" s="19" t="str">
        <f>IF($P30="","",IFERROR(IF(INDEX(MASTER!$J$4:$J$1463,$P30)="","",INDEX(MASTER!$J$4:$J$1463,$P30)),""))</f>
        <v>CORE</v>
      </c>
      <c r="J30" s="21">
        <f>IF($P30="","",IFERROR(IF(INDEX(MASTER!$L$4:$L$1463,$P30)="","",INDEX(MASTER!$L$4:$L$1463,$P30)),""))</f>
        <v>7</v>
      </c>
      <c r="K30" s="21">
        <f>IF($P30="","",IFERROR(IF(INDEX(MASTER!$N$4:$N$1463,$P30)="","",INDEX(MASTER!$N$4:$N$1463,$P30)),""))</f>
        <v>51.4</v>
      </c>
      <c r="L30" s="19" t="str">
        <f>IF($P30="","",IFERROR(IF(INDEX(MASTER!$O$4:$O$1463,$P30)="","",INDEX(MASTER!$O$4:$O$1463,$P30)),""))</f>
        <v>A</v>
      </c>
      <c r="M30" s="19">
        <f>IF($P30="","",IFERROR(IF(INDEX(MASTER!$Q$4:$Q$1463,$P30)="","",INDEX(MASTER!$Q$4:$Q$1463,$P30)),""))</f>
        <v>59</v>
      </c>
      <c r="N30" s="19" t="str">
        <f>IF($P30="","",IFERROR(IF(INDEX(MASTER!$S$4:$S$1463,$P30)="","",INDEX(MASTER!$S$4:$S$1463,$P30)),""))</f>
        <v>Complete</v>
      </c>
      <c r="P30">
        <f>IFERROR(MATCH($Q$1&amp;"@22",MASTER!$AC$4:$AC$1463,0),"")</f>
        <v>377</v>
      </c>
    </row>
    <row r="31" spans="1:16">
      <c r="A31" s="15">
        <f>IF($P31="","",23)</f>
        <v>23</v>
      </c>
      <c r="B31" s="14" t="str">
        <f>IF($P31="","",IFERROR(IF(INDEX(MASTER!$C$4:$C$1463,$P31)="","",INDEX(MASTER!$C$4:$C$1463,$P31)),""))</f>
        <v>Elend</v>
      </c>
      <c r="C31" s="15" t="str">
        <f>IF($P31="","",IFERROR(IF(INDEX(MASTER!$D$4:$D$1463,$P31)="","",INDEX(MASTER!$D$4:$D$1463,$P31)),""))</f>
        <v>RECK</v>
      </c>
      <c r="D31" s="15" t="str">
        <f>IF($P31="","",IFERROR(IF(INDEX(MASTER!$E$4:$E$1463,$P31)="","",INDEX(MASTER!$E$4:$E$1463,$P31)),""))</f>
        <v>BARBARIAN</v>
      </c>
      <c r="E31" s="15" t="str">
        <f>IF($P31="","",IFERROR(IF(INDEX(MASTER!$F$4:$F$1463,$P31)="","",INDEX(MASTER!$F$4:$F$1463,$P31)),""))</f>
        <v>Frontline</v>
      </c>
      <c r="F31" s="16">
        <f>IF($P31="","",IFERROR(IF(INDEX(MASTER!$G$4:$G$1463,$P31)="","",INDEX(MASTER!$G$4:$G$1463,$P31)),""))</f>
        <v>63525</v>
      </c>
      <c r="G31" s="15" t="str">
        <f>IF($P31="","",IFERROR(IF(INDEX(MASTER!$H$4:$H$1463,$P31)="","",INDEX(MASTER!$H$4:$H$1463,$P31)),""))</f>
        <v>63,000 - 63,999</v>
      </c>
      <c r="H31" s="16">
        <f>IF($P31="","",IFERROR(IF(INDEX(MASTER!$I$4:$I$1463,$P31)="","",INDEX(MASTER!$I$4:$I$1463,$P31)),""))</f>
        <v>4771</v>
      </c>
      <c r="I31" s="15" t="str">
        <f>IF($P31="","",IFERROR(IF(INDEX(MASTER!$J$4:$J$1463,$P31)="","",INDEX(MASTER!$J$4:$J$1463,$P31)),""))</f>
        <v>CORE</v>
      </c>
      <c r="J31" s="17">
        <f>IF($P31="","",IFERROR(IF(INDEX(MASTER!$L$4:$L$1463,$P31)="","",INDEX(MASTER!$L$4:$L$1463,$P31)),""))</f>
        <v>5</v>
      </c>
      <c r="K31" s="17">
        <f>IF($P31="","",IFERROR(IF(INDEX(MASTER!$N$4:$N$1463,$P31)="","",INDEX(MASTER!$N$4:$N$1463,$P31)),""))</f>
        <v>51.6</v>
      </c>
      <c r="L31" s="15" t="str">
        <f>IF($P31="","",IFERROR(IF(INDEX(MASTER!$O$4:$O$1463,$P31)="","",INDEX(MASTER!$O$4:$O$1463,$P31)),""))</f>
        <v>A</v>
      </c>
      <c r="M31" s="15">
        <f>IF($P31="","",IFERROR(IF(INDEX(MASTER!$Q$4:$Q$1463,$P31)="","",INDEX(MASTER!$Q$4:$Q$1463,$P31)),""))</f>
        <v>51</v>
      </c>
      <c r="N31" s="15" t="str">
        <f>IF($P31="","",IFERROR(IF(INDEX(MASTER!$S$4:$S$1463,$P31)="","",INDEX(MASTER!$S$4:$S$1463,$P31)),""))</f>
        <v>Complete</v>
      </c>
      <c r="P31">
        <f>IFERROR(MATCH($Q$1&amp;"@23",MASTER!$AC$4:$AC$1463,0),"")</f>
        <v>348</v>
      </c>
    </row>
    <row r="32" spans="1:16">
      <c r="A32" s="19">
        <f>IF($P32="","",24)</f>
        <v>24</v>
      </c>
      <c r="B32" s="18" t="str">
        <f>IF($P32="","",IFERROR(IF(INDEX(MASTER!$C$4:$C$1463,$P32)="","",INDEX(MASTER!$C$4:$C$1463,$P32)),""))</f>
        <v>ElricTheGray</v>
      </c>
      <c r="C32" s="19" t="str">
        <f>IF($P32="","",IFERROR(IF(INDEX(MASTER!$D$4:$D$1463,$P32)="","",INDEX(MASTER!$D$4:$D$1463,$P32)),""))</f>
        <v>RECK</v>
      </c>
      <c r="D32" s="19" t="str">
        <f>IF($P32="","",IFERROR(IF(INDEX(MASTER!$E$4:$E$1463,$P32)="","",INDEX(MASTER!$E$4:$E$1463,$P32)),""))</f>
        <v>DEMON HUNTER</v>
      </c>
      <c r="E32" s="19" t="str">
        <f>IF($P32="","",IFERROR(IF(INDEX(MASTER!$F$4:$F$1463,$P32)="","",INDEX(MASTER!$F$4:$F$1463,$P32)),""))</f>
        <v>Ranged DPS</v>
      </c>
      <c r="F32" s="20">
        <f>IF($P32="","",IFERROR(IF(INDEX(MASTER!$G$4:$G$1463,$P32)="","",INDEX(MASTER!$G$4:$G$1463,$P32)),""))</f>
        <v>62977</v>
      </c>
      <c r="G32" s="19" t="str">
        <f>IF($P32="","",IFERROR(IF(INDEX(MASTER!$H$4:$H$1463,$P32)="","",INDEX(MASTER!$H$4:$H$1463,$P32)),""))</f>
        <v>62,000 - 62,999</v>
      </c>
      <c r="H32" s="20">
        <f>IF($P32="","",IFERROR(IF(INDEX(MASTER!$I$4:$I$1463,$P32)="","",INDEX(MASTER!$I$4:$I$1463,$P32)),""))</f>
        <v>5045</v>
      </c>
      <c r="I32" s="19" t="str">
        <f>IF($P32="","",IFERROR(IF(INDEX(MASTER!$J$4:$J$1463,$P32)="","",INDEX(MASTER!$J$4:$J$1463,$P32)),""))</f>
        <v>CORE</v>
      </c>
      <c r="J32" s="21">
        <f>IF($P32="","",IFERROR(IF(INDEX(MASTER!$L$4:$L$1463,$P32)="","",INDEX(MASTER!$L$4:$L$1463,$P32)),""))</f>
        <v>5.35</v>
      </c>
      <c r="K32" s="21">
        <f>IF($P32="","",IFERROR(IF(INDEX(MASTER!$N$4:$N$1463,$P32)="","",INDEX(MASTER!$N$4:$N$1463,$P32)),""))</f>
        <v>51.9</v>
      </c>
      <c r="L32" s="19" t="str">
        <f>IF($P32="","",IFERROR(IF(INDEX(MASTER!$O$4:$O$1463,$P32)="","",INDEX(MASTER!$O$4:$O$1463,$P32)),""))</f>
        <v>A</v>
      </c>
      <c r="M32" s="19">
        <f>IF($P32="","",IFERROR(IF(INDEX(MASTER!$Q$4:$Q$1463,$P32)="","",INDEX(MASTER!$Q$4:$Q$1463,$P32)),""))</f>
        <v>47</v>
      </c>
      <c r="N32" s="19" t="str">
        <f>IF($P32="","",IFERROR(IF(INDEX(MASTER!$S$4:$S$1463,$P32)="","",INDEX(MASTER!$S$4:$S$1463,$P32)),""))</f>
        <v>Complete</v>
      </c>
      <c r="P32">
        <f>IFERROR(MATCH($Q$1&amp;"@24",MASTER!$AC$4:$AC$1463,0),"")</f>
        <v>353</v>
      </c>
    </row>
    <row r="33" spans="1:16">
      <c r="A33" s="15">
        <f>IF($P33="","",25)</f>
        <v>25</v>
      </c>
      <c r="B33" s="14" t="str">
        <f>IF($P33="","",IFERROR(IF(INDEX(MASTER!$C$4:$C$1463,$P33)="","",INDEX(MASTER!$C$4:$C$1463,$P33)),""))</f>
        <v>EnticerII</v>
      </c>
      <c r="C33" s="15" t="str">
        <f>IF($P33="","",IFERROR(IF(INDEX(MASTER!$D$4:$D$1463,$P33)="","",INDEX(MASTER!$D$4:$D$1463,$P33)),""))</f>
        <v>RECK</v>
      </c>
      <c r="D33" s="15" t="str">
        <f>IF($P33="","",IFERROR(IF(INDEX(MASTER!$E$4:$E$1463,$P33)="","",INDEX(MASTER!$E$4:$E$1463,$P33)),""))</f>
        <v>CRUSADER</v>
      </c>
      <c r="E33" s="15" t="str">
        <f>IF($P33="","",IFERROR(IF(INDEX(MASTER!$F$4:$F$1463,$P33)="","",INDEX(MASTER!$F$4:$F$1463,$P33)),""))</f>
        <v>Frontline</v>
      </c>
      <c r="F33" s="16">
        <f>IF($P33="","",IFERROR(IF(INDEX(MASTER!$G$4:$G$1463,$P33)="","",INDEX(MASTER!$G$4:$G$1463,$P33)),""))</f>
        <v>62236</v>
      </c>
      <c r="G33" s="15" t="str">
        <f>IF($P33="","",IFERROR(IF(INDEX(MASTER!$H$4:$H$1463,$P33)="","",INDEX(MASTER!$H$4:$H$1463,$P33)),""))</f>
        <v>62,000 - 62,999</v>
      </c>
      <c r="H33" s="16">
        <f>IF($P33="","",IFERROR(IF(INDEX(MASTER!$I$4:$I$1463,$P33)="","",INDEX(MASTER!$I$4:$I$1463,$P33)),""))</f>
        <v>4872</v>
      </c>
      <c r="I33" s="15" t="str">
        <f>IF($P33="","",IFERROR(IF(INDEX(MASTER!$J$4:$J$1463,$P33)="","",INDEX(MASTER!$J$4:$J$1463,$P33)),""))</f>
        <v>CORE</v>
      </c>
      <c r="J33" s="17">
        <f>IF($P33="","",IFERROR(IF(INDEX(MASTER!$L$4:$L$1463,$P33)="","",INDEX(MASTER!$L$4:$L$1463,$P33)),""))</f>
        <v>4.8499999999999996</v>
      </c>
      <c r="K33" s="17">
        <f>IF($P33="","",IFERROR(IF(INDEX(MASTER!$N$4:$N$1463,$P33)="","",INDEX(MASTER!$N$4:$N$1463,$P33)),""))</f>
        <v>48.4</v>
      </c>
      <c r="L33" s="15" t="str">
        <f>IF($P33="","",IFERROR(IF(INDEX(MASTER!$O$4:$O$1463,$P33)="","",INDEX(MASTER!$O$4:$O$1463,$P33)),""))</f>
        <v>B</v>
      </c>
      <c r="M33" s="15">
        <f>IF($P33="","",IFERROR(IF(INDEX(MASTER!$Q$4:$Q$1463,$P33)="","",INDEX(MASTER!$Q$4:$Q$1463,$P33)),""))</f>
        <v>48</v>
      </c>
      <c r="N33" s="15" t="str">
        <f>IF($P33="","",IFERROR(IF(INDEX(MASTER!$S$4:$S$1463,$P33)="","",INDEX(MASTER!$S$4:$S$1463,$P33)),""))</f>
        <v>Complete</v>
      </c>
      <c r="P33">
        <f>IFERROR(MATCH($Q$1&amp;"@25",MASTER!$AC$4:$AC$1463,0),"")</f>
        <v>359</v>
      </c>
    </row>
    <row r="34" spans="1:16">
      <c r="A34" s="19">
        <f>IF($P34="","",26)</f>
        <v>26</v>
      </c>
      <c r="B34" s="18" t="str">
        <f>IF($P34="","",IFERROR(IF(INDEX(MASTER!$C$4:$C$1463,$P34)="","",INDEX(MASTER!$C$4:$C$1463,$P34)),""))</f>
        <v>Eotec</v>
      </c>
      <c r="C34" s="19" t="str">
        <f>IF($P34="","",IFERROR(IF(INDEX(MASTER!$D$4:$D$1463,$P34)="","",INDEX(MASTER!$D$4:$D$1463,$P34)),""))</f>
        <v>RECK</v>
      </c>
      <c r="D34" s="19" t="str">
        <f>IF($P34="","",IFERROR(IF(INDEX(MASTER!$E$4:$E$1463,$P34)="","",INDEX(MASTER!$E$4:$E$1463,$P34)),""))</f>
        <v>DEMON HUNTER</v>
      </c>
      <c r="E34" s="19" t="str">
        <f>IF($P34="","",IFERROR(IF(INDEX(MASTER!$F$4:$F$1463,$P34)="","",INDEX(MASTER!$F$4:$F$1463,$P34)),""))</f>
        <v>Ranged DPS</v>
      </c>
      <c r="F34" s="20">
        <f>IF($P34="","",IFERROR(IF(INDEX(MASTER!$G$4:$G$1463,$P34)="","",INDEX(MASTER!$G$4:$G$1463,$P34)),""))</f>
        <v>64010</v>
      </c>
      <c r="G34" s="19" t="str">
        <f>IF($P34="","",IFERROR(IF(INDEX(MASTER!$H$4:$H$1463,$P34)="","",INDEX(MASTER!$H$4:$H$1463,$P34)),""))</f>
        <v>64,000 +</v>
      </c>
      <c r="H34" s="20">
        <f>IF($P34="","",IFERROR(IF(INDEX(MASTER!$I$4:$I$1463,$P34)="","",INDEX(MASTER!$I$4:$I$1463,$P34)),""))</f>
        <v>9398</v>
      </c>
      <c r="I34" s="19" t="str">
        <f>IF($P34="","",IFERROR(IF(INDEX(MASTER!$J$4:$J$1463,$P34)="","",INDEX(MASTER!$J$4:$J$1463,$P34)),""))</f>
        <v>ELITE</v>
      </c>
      <c r="J34" s="21">
        <f>IF($P34="","",IFERROR(IF(INDEX(MASTER!$L$4:$L$1463,$P34)="","",INDEX(MASTER!$L$4:$L$1463,$P34)),""))</f>
        <v>9.6</v>
      </c>
      <c r="K34" s="21">
        <f>IF($P34="","",IFERROR(IF(INDEX(MASTER!$N$4:$N$1463,$P34)="","",INDEX(MASTER!$N$4:$N$1463,$P34)),""))</f>
        <v>80.7</v>
      </c>
      <c r="L34" s="19" t="str">
        <f>IF($P34="","",IFERROR(IF(INDEX(MASTER!$O$4:$O$1463,$P34)="","",INDEX(MASTER!$O$4:$O$1463,$P34)),""))</f>
        <v>S+</v>
      </c>
      <c r="M34" s="19">
        <f>IF($P34="","",IFERROR(IF(INDEX(MASTER!$Q$4:$Q$1463,$P34)="","",INDEX(MASTER!$Q$4:$Q$1463,$P34)),""))</f>
        <v>12</v>
      </c>
      <c r="N34" s="19" t="str">
        <f>IF($P34="","",IFERROR(IF(INDEX(MASTER!$S$4:$S$1463,$P34)="","",INDEX(MASTER!$S$4:$S$1463,$P34)),""))</f>
        <v>Complete</v>
      </c>
      <c r="P34">
        <f>IFERROR(MATCH($Q$1&amp;"@26",MASTER!$AC$4:$AC$1463,0),"")</f>
        <v>361</v>
      </c>
    </row>
    <row r="35" spans="1:16">
      <c r="A35" s="15">
        <f>IF($P35="","",27)</f>
        <v>27</v>
      </c>
      <c r="B35" s="14" t="str">
        <f>IF($P35="","",IFERROR(IF(INDEX(MASTER!$C$4:$C$1463,$P35)="","",INDEX(MASTER!$C$4:$C$1463,$P35)),""))</f>
        <v>FÆR</v>
      </c>
      <c r="C35" s="15" t="str">
        <f>IF($P35="","",IFERROR(IF(INDEX(MASTER!$D$4:$D$1463,$P35)="","",INDEX(MASTER!$D$4:$D$1463,$P35)),""))</f>
        <v>RECK</v>
      </c>
      <c r="D35" s="15" t="str">
        <f>IF($P35="","",IFERROR(IF(INDEX(MASTER!$E$4:$E$1463,$P35)="","",INDEX(MASTER!$E$4:$E$1463,$P35)),""))</f>
        <v>WARLOCK</v>
      </c>
      <c r="E35" s="15" t="str">
        <f>IF($P35="","",IFERROR(IF(INDEX(MASTER!$F$4:$F$1463,$P35)="","",INDEX(MASTER!$F$4:$F$1463,$P35)),""))</f>
        <v>Control</v>
      </c>
      <c r="F35" s="16">
        <f>IF($P35="","",IFERROR(IF(INDEX(MASTER!$G$4:$G$1463,$P35)="","",INDEX(MASTER!$G$4:$G$1463,$P35)),""))</f>
        <v>63688</v>
      </c>
      <c r="G35" s="15" t="str">
        <f>IF($P35="","",IFERROR(IF(INDEX(MASTER!$H$4:$H$1463,$P35)="","",INDEX(MASTER!$H$4:$H$1463,$P35)),""))</f>
        <v>63,000 - 63,999</v>
      </c>
      <c r="H35" s="16">
        <f>IF($P35="","",IFERROR(IF(INDEX(MASTER!$I$4:$I$1463,$P35)="","",INDEX(MASTER!$I$4:$I$1463,$P35)),""))</f>
        <v>8970</v>
      </c>
      <c r="I35" s="15" t="str">
        <f>IF($P35="","",IFERROR(IF(INDEX(MASTER!$J$4:$J$1463,$P35)="","",INDEX(MASTER!$J$4:$J$1463,$P35)),""))</f>
        <v>ELITE</v>
      </c>
      <c r="J35" s="17">
        <f>IF($P35="","",IFERROR(IF(INDEX(MASTER!$L$4:$L$1463,$P35)="","",INDEX(MASTER!$L$4:$L$1463,$P35)),""))</f>
        <v>8.25</v>
      </c>
      <c r="K35" s="17">
        <f>IF($P35="","",IFERROR(IF(INDEX(MASTER!$N$4:$N$1463,$P35)="","",INDEX(MASTER!$N$4:$N$1463,$P35)),""))</f>
        <v>75.8</v>
      </c>
      <c r="L35" s="15" t="str">
        <f>IF($P35="","",IFERROR(IF(INDEX(MASTER!$O$4:$O$1463,$P35)="","",INDEX(MASTER!$O$4:$O$1463,$P35)),""))</f>
        <v>S</v>
      </c>
      <c r="M35" s="15">
        <f>IF($P35="","",IFERROR(IF(INDEX(MASTER!$Q$4:$Q$1463,$P35)="","",INDEX(MASTER!$Q$4:$Q$1463,$P35)),""))</f>
        <v>15</v>
      </c>
      <c r="N35" s="15" t="str">
        <f>IF($P35="","",IFERROR(IF(INDEX(MASTER!$S$4:$S$1463,$P35)="","",INDEX(MASTER!$S$4:$S$1463,$P35)),""))</f>
        <v>Complete</v>
      </c>
      <c r="P35">
        <f>IFERROR(MATCH($Q$1&amp;"@27",MASTER!$AC$4:$AC$1463,0),"")</f>
        <v>412</v>
      </c>
    </row>
    <row r="36" spans="1:16">
      <c r="A36" s="19">
        <f>IF($P36="","",28)</f>
        <v>28</v>
      </c>
      <c r="B36" s="18" t="str">
        <f>IF($P36="","",IFERROR(IF(INDEX(MASTER!$C$4:$C$1463,$P36)="","",INDEX(MASTER!$C$4:$C$1463,$P36)),""))</f>
        <v>FŁAŴ</v>
      </c>
      <c r="C36" s="19" t="str">
        <f>IF($P36="","",IFERROR(IF(INDEX(MASTER!$D$4:$D$1463,$P36)="","",INDEX(MASTER!$D$4:$D$1463,$P36)),""))</f>
        <v>RECK</v>
      </c>
      <c r="D36" s="19" t="str">
        <f>IF($P36="","",IFERROR(IF(INDEX(MASTER!$E$4:$E$1463,$P36)="","",INDEX(MASTER!$E$4:$E$1463,$P36)),""))</f>
        <v>DEMON HUNTER</v>
      </c>
      <c r="E36" s="19" t="str">
        <f>IF($P36="","",IFERROR(IF(INDEX(MASTER!$F$4:$F$1463,$P36)="","",INDEX(MASTER!$F$4:$F$1463,$P36)),""))</f>
        <v>Ranged DPS</v>
      </c>
      <c r="F36" s="20">
        <f>IF($P36="","",IFERROR(IF(INDEX(MASTER!$G$4:$G$1463,$P36)="","",INDEX(MASTER!$G$4:$G$1463,$P36)),""))</f>
        <v>63612</v>
      </c>
      <c r="G36" s="19" t="str">
        <f>IF($P36="","",IFERROR(IF(INDEX(MASTER!$H$4:$H$1463,$P36)="","",INDEX(MASTER!$H$4:$H$1463,$P36)),""))</f>
        <v>63,000 - 63,999</v>
      </c>
      <c r="H36" s="20">
        <f>IF($P36="","",IFERROR(IF(INDEX(MASTER!$I$4:$I$1463,$P36)="","",INDEX(MASTER!$I$4:$I$1463,$P36)),""))</f>
        <v>9229</v>
      </c>
      <c r="I36" s="19" t="str">
        <f>IF($P36="","",IFERROR(IF(INDEX(MASTER!$J$4:$J$1463,$P36)="","",INDEX(MASTER!$J$4:$J$1463,$P36)),""))</f>
        <v>ELITE</v>
      </c>
      <c r="J36" s="21">
        <f>IF($P36="","",IFERROR(IF(INDEX(MASTER!$L$4:$L$1463,$P36)="","",INDEX(MASTER!$L$4:$L$1463,$P36)),""))</f>
        <v>9.0500000000000007</v>
      </c>
      <c r="K36" s="21">
        <f>IF($P36="","",IFERROR(IF(INDEX(MASTER!$N$4:$N$1463,$P36)="","",INDEX(MASTER!$N$4:$N$1463,$P36)),""))</f>
        <v>78</v>
      </c>
      <c r="L36" s="19" t="str">
        <f>IF($P36="","",IFERROR(IF(INDEX(MASTER!$O$4:$O$1463,$P36)="","",INDEX(MASTER!$O$4:$O$1463,$P36)),""))</f>
        <v>S</v>
      </c>
      <c r="M36" s="19">
        <f>IF($P36="","",IFERROR(IF(INDEX(MASTER!$Q$4:$Q$1463,$P36)="","",INDEX(MASTER!$Q$4:$Q$1463,$P36)),""))</f>
        <v>13</v>
      </c>
      <c r="N36" s="19" t="str">
        <f>IF($P36="","",IFERROR(IF(INDEX(MASTER!$S$4:$S$1463,$P36)="","",INDEX(MASTER!$S$4:$S$1463,$P36)),""))</f>
        <v>Complete</v>
      </c>
      <c r="P36">
        <f>IFERROR(MATCH($Q$1&amp;"@28",MASTER!$AC$4:$AC$1463,0),"")</f>
        <v>414</v>
      </c>
    </row>
    <row r="37" spans="1:16">
      <c r="A37" s="15">
        <f>IF($P37="","",29)</f>
        <v>29</v>
      </c>
      <c r="B37" s="14" t="str">
        <f>IF($P37="","",IFERROR(IF(INDEX(MASTER!$C$4:$C$1463,$P37)="","",INDEX(MASTER!$C$4:$C$1463,$P37)),""))</f>
        <v>GMP2K</v>
      </c>
      <c r="C37" s="15" t="str">
        <f>IF($P37="","",IFERROR(IF(INDEX(MASTER!$D$4:$D$1463,$P37)="","",INDEX(MASTER!$D$4:$D$1463,$P37)),""))</f>
        <v>RECK</v>
      </c>
      <c r="D37" s="15" t="str">
        <f>IF($P37="","",IFERROR(IF(INDEX(MASTER!$E$4:$E$1463,$P37)="","",INDEX(MASTER!$E$4:$E$1463,$P37)),""))</f>
        <v>CRUSADER</v>
      </c>
      <c r="E37" s="15" t="str">
        <f>IF($P37="","",IFERROR(IF(INDEX(MASTER!$F$4:$F$1463,$P37)="","",INDEX(MASTER!$F$4:$F$1463,$P37)),""))</f>
        <v>Frontline</v>
      </c>
      <c r="F37" s="16">
        <f>IF($P37="","",IFERROR(IF(INDEX(MASTER!$G$4:$G$1463,$P37)="","",INDEX(MASTER!$G$4:$G$1463,$P37)),""))</f>
        <v>59826</v>
      </c>
      <c r="G37" s="15" t="str">
        <f>IF($P37="","",IFERROR(IF(INDEX(MASTER!$H$4:$H$1463,$P37)="","",INDEX(MASTER!$H$4:$H$1463,$P37)),""))</f>
        <v>58,000 - 59,999</v>
      </c>
      <c r="H37" s="16">
        <f>IF($P37="","",IFERROR(IF(INDEX(MASTER!$I$4:$I$1463,$P37)="","",INDEX(MASTER!$I$4:$I$1463,$P37)),""))</f>
        <v>2273</v>
      </c>
      <c r="I37" s="15" t="str">
        <f>IF($P37="","",IFERROR(IF(INDEX(MASTER!$J$4:$J$1463,$P37)="","",INDEX(MASTER!$J$4:$J$1463,$P37)),""))</f>
        <v>DEVELOPING</v>
      </c>
      <c r="J37" s="17">
        <f>IF($P37="","",IFERROR(IF(INDEX(MASTER!$L$4:$L$1463,$P37)="","",INDEX(MASTER!$L$4:$L$1463,$P37)),""))</f>
        <v>5.3</v>
      </c>
      <c r="K37" s="17">
        <f>IF($P37="","",IFERROR(IF(INDEX(MASTER!$N$4:$N$1463,$P37)="","",INDEX(MASTER!$N$4:$N$1463,$P37)),""))</f>
        <v>31.5</v>
      </c>
      <c r="L37" s="15" t="str">
        <f>IF($P37="","",IFERROR(IF(INDEX(MASTER!$O$4:$O$1463,$P37)="","",INDEX(MASTER!$O$4:$O$1463,$P37)),""))</f>
        <v>C</v>
      </c>
      <c r="M37" s="15">
        <f>IF($P37="","",IFERROR(IF(INDEX(MASTER!$Q$4:$Q$1463,$P37)="","",INDEX(MASTER!$Q$4:$Q$1463,$P37)),""))</f>
        <v>94</v>
      </c>
      <c r="N37" s="15" t="str">
        <f>IF($P37="","",IFERROR(IF(INDEX(MASTER!$S$4:$S$1463,$P37)="","",INDEX(MASTER!$S$4:$S$1463,$P37)),""))</f>
        <v>Complete</v>
      </c>
      <c r="P37">
        <f>IFERROR(MATCH($Q$1&amp;"@29",MASTER!$AC$4:$AC$1463,0),"")</f>
        <v>437</v>
      </c>
    </row>
    <row r="38" spans="1:16">
      <c r="A38" s="19">
        <f>IF($P38="","",30)</f>
        <v>30</v>
      </c>
      <c r="B38" s="18" t="str">
        <f>IF($P38="","",IFERROR(IF(INDEX(MASTER!$C$4:$C$1463,$P38)="","",INDEX(MASTER!$C$4:$C$1463,$P38)),""))</f>
        <v>Grangerッ</v>
      </c>
      <c r="C38" s="19" t="str">
        <f>IF($P38="","",IFERROR(IF(INDEX(MASTER!$D$4:$D$1463,$P38)="","",INDEX(MASTER!$D$4:$D$1463,$P38)),""))</f>
        <v>RECK</v>
      </c>
      <c r="D38" s="19" t="str">
        <f>IF($P38="","",IFERROR(IF(INDEX(MASTER!$E$4:$E$1463,$P38)="","",INDEX(MASTER!$E$4:$E$1463,$P38)),""))</f>
        <v>WIZARD</v>
      </c>
      <c r="E38" s="19" t="str">
        <f>IF($P38="","",IFERROR(IF(INDEX(MASTER!$F$4:$F$1463,$P38)="","",INDEX(MASTER!$F$4:$F$1463,$P38)),""))</f>
        <v>Ranged DPS</v>
      </c>
      <c r="F38" s="20">
        <f>IF($P38="","",IFERROR(IF(INDEX(MASTER!$G$4:$G$1463,$P38)="","",INDEX(MASTER!$G$4:$G$1463,$P38)),""))</f>
        <v>63186</v>
      </c>
      <c r="G38" s="19" t="str">
        <f>IF($P38="","",IFERROR(IF(INDEX(MASTER!$H$4:$H$1463,$P38)="","",INDEX(MASTER!$H$4:$H$1463,$P38)),""))</f>
        <v>63,000 - 63,999</v>
      </c>
      <c r="H38" s="20">
        <f>IF($P38="","",IFERROR(IF(INDEX(MASTER!$I$4:$I$1463,$P38)="","",INDEX(MASTER!$I$4:$I$1463,$P38)),""))</f>
        <v>5897</v>
      </c>
      <c r="I38" s="19" t="str">
        <f>IF($P38="","",IFERROR(IF(INDEX(MASTER!$J$4:$J$1463,$P38)="","",INDEX(MASTER!$J$4:$J$1463,$P38)),""))</f>
        <v>CORE</v>
      </c>
      <c r="J38" s="21">
        <f>IF($P38="","",IFERROR(IF(INDEX(MASTER!$L$4:$L$1463,$P38)="","",INDEX(MASTER!$L$4:$L$1463,$P38)),""))</f>
        <v>6.56</v>
      </c>
      <c r="K38" s="21">
        <f>IF($P38="","",IFERROR(IF(INDEX(MASTER!$N$4:$N$1463,$P38)="","",INDEX(MASTER!$N$4:$N$1463,$P38)),""))</f>
        <v>58.2</v>
      </c>
      <c r="L38" s="19" t="str">
        <f>IF($P38="","",IFERROR(IF(INDEX(MASTER!$O$4:$O$1463,$P38)="","",INDEX(MASTER!$O$4:$O$1463,$P38)),""))</f>
        <v>A</v>
      </c>
      <c r="M38" s="19">
        <f>IF($P38="","",IFERROR(IF(INDEX(MASTER!$Q$4:$Q$1463,$P38)="","",INDEX(MASTER!$Q$4:$Q$1463,$P38)),""))</f>
        <v>34</v>
      </c>
      <c r="N38" s="19" t="str">
        <f>IF($P38="","",IFERROR(IF(INDEX(MASTER!$S$4:$S$1463,$P38)="","",INDEX(MASTER!$S$4:$S$1463,$P38)),""))</f>
        <v>Complete</v>
      </c>
      <c r="P38">
        <f>IFERROR(MATCH($Q$1&amp;"@30",MASTER!$AC$4:$AC$1463,0),"")</f>
        <v>450</v>
      </c>
    </row>
    <row r="39" spans="1:16">
      <c r="A39" s="15">
        <f>IF($P39="","",31)</f>
        <v>31</v>
      </c>
      <c r="B39" s="14" t="str">
        <f>IF($P39="","",IFERROR(IF(INDEX(MASTER!$C$4:$C$1463,$P39)="","",INDEX(MASTER!$C$4:$C$1463,$P39)),""))</f>
        <v>Hailey</v>
      </c>
      <c r="C39" s="15" t="str">
        <f>IF($P39="","",IFERROR(IF(INDEX(MASTER!$D$4:$D$1463,$P39)="","",INDEX(MASTER!$D$4:$D$1463,$P39)),""))</f>
        <v>RECK</v>
      </c>
      <c r="D39" s="15" t="str">
        <f>IF($P39="","",IFERROR(IF(INDEX(MASTER!$E$4:$E$1463,$P39)="","",INDEX(MASTER!$E$4:$E$1463,$P39)),""))</f>
        <v>WARLOCK</v>
      </c>
      <c r="E39" s="15" t="str">
        <f>IF($P39="","",IFERROR(IF(INDEX(MASTER!$F$4:$F$1463,$P39)="","",INDEX(MASTER!$F$4:$F$1463,$P39)),""))</f>
        <v>Control</v>
      </c>
      <c r="F39" s="16">
        <f>IF($P39="","",IFERROR(IF(INDEX(MASTER!$G$4:$G$1463,$P39)="","",INDEX(MASTER!$G$4:$G$1463,$P39)),""))</f>
        <v>62767</v>
      </c>
      <c r="G39" s="15" t="str">
        <f>IF($P39="","",IFERROR(IF(INDEX(MASTER!$H$4:$H$1463,$P39)="","",INDEX(MASTER!$H$4:$H$1463,$P39)),""))</f>
        <v>62,000 - 62,999</v>
      </c>
      <c r="H39" s="16">
        <f>IF($P39="","",IFERROR(IF(INDEX(MASTER!$I$4:$I$1463,$P39)="","",INDEX(MASTER!$I$4:$I$1463,$P39)),""))</f>
        <v>2480</v>
      </c>
      <c r="I39" s="15" t="str">
        <f>IF($P39="","",IFERROR(IF(INDEX(MASTER!$J$4:$J$1463,$P39)="","",INDEX(MASTER!$J$4:$J$1463,$P39)),""))</f>
        <v>DEVELOPING</v>
      </c>
      <c r="J39" s="17">
        <f>IF($P39="","",IFERROR(IF(INDEX(MASTER!$L$4:$L$1463,$P39)="","",INDEX(MASTER!$L$4:$L$1463,$P39)),""))</f>
        <v>4.5999999999999996</v>
      </c>
      <c r="K39" s="17">
        <f>IF($P39="","",IFERROR(IF(INDEX(MASTER!$N$4:$N$1463,$P39)="","",INDEX(MASTER!$N$4:$N$1463,$P39)),""))</f>
        <v>38.9</v>
      </c>
      <c r="L39" s="15" t="str">
        <f>IF($P39="","",IFERROR(IF(INDEX(MASTER!$O$4:$O$1463,$P39)="","",INDEX(MASTER!$O$4:$O$1463,$P39)),""))</f>
        <v>B</v>
      </c>
      <c r="M39" s="15">
        <f>IF($P39="","",IFERROR(IF(INDEX(MASTER!$Q$4:$Q$1463,$P39)="","",INDEX(MASTER!$Q$4:$Q$1463,$P39)),""))</f>
        <v>92</v>
      </c>
      <c r="N39" s="15" t="str">
        <f>IF($P39="","",IFERROR(IF(INDEX(MASTER!$S$4:$S$1463,$P39)="","",INDEX(MASTER!$S$4:$S$1463,$P39)),""))</f>
        <v>Complete</v>
      </c>
      <c r="P39">
        <f>IFERROR(MATCH($Q$1&amp;"@31",MASTER!$AC$4:$AC$1463,0),"")</f>
        <v>468</v>
      </c>
    </row>
    <row r="40" spans="1:16">
      <c r="A40" s="19">
        <f>IF($P40="","",32)</f>
        <v>32</v>
      </c>
      <c r="B40" s="18" t="str">
        <f>IF($P40="","",IFERROR(IF(INDEX(MASTER!$C$4:$C$1463,$P40)="","",INDEX(MASTER!$C$4:$C$1463,$P40)),""))</f>
        <v>HawkȚuăh</v>
      </c>
      <c r="C40" s="19" t="str">
        <f>IF($P40="","",IFERROR(IF(INDEX(MASTER!$D$4:$D$1463,$P40)="","",INDEX(MASTER!$D$4:$D$1463,$P40)),""))</f>
        <v>RECK</v>
      </c>
      <c r="D40" s="19" t="str">
        <f>IF($P40="","",IFERROR(IF(INDEX(MASTER!$E$4:$E$1463,$P40)="","",INDEX(MASTER!$E$4:$E$1463,$P40)),""))</f>
        <v>NECROMANCER</v>
      </c>
      <c r="E40" s="19" t="str">
        <f>IF($P40="","",IFERROR(IF(INDEX(MASTER!$F$4:$F$1463,$P40)="","",INDEX(MASTER!$F$4:$F$1463,$P40)),""))</f>
        <v>Control</v>
      </c>
      <c r="F40" s="20">
        <f>IF($P40="","",IFERROR(IF(INDEX(MASTER!$G$4:$G$1463,$P40)="","",INDEX(MASTER!$G$4:$G$1463,$P40)),""))</f>
        <v>61447</v>
      </c>
      <c r="G40" s="19" t="str">
        <f>IF($P40="","",IFERROR(IF(INDEX(MASTER!$H$4:$H$1463,$P40)="","",INDEX(MASTER!$H$4:$H$1463,$P40)),""))</f>
        <v>61,000 - 61,999</v>
      </c>
      <c r="H40" s="20">
        <f>IF($P40="","",IFERROR(IF(INDEX(MASTER!$I$4:$I$1463,$P40)="","",INDEX(MASTER!$I$4:$I$1463,$P40)),""))</f>
        <v>4075</v>
      </c>
      <c r="I40" s="19" t="str">
        <f>IF($P40="","",IFERROR(IF(INDEX(MASTER!$J$4:$J$1463,$P40)="","",INDEX(MASTER!$J$4:$J$1463,$P40)),""))</f>
        <v>CORE</v>
      </c>
      <c r="J40" s="21">
        <f>IF($P40="","",IFERROR(IF(INDEX(MASTER!$L$4:$L$1463,$P40)="","",INDEX(MASTER!$L$4:$L$1463,$P40)),""))</f>
        <v>4.0999999999999996</v>
      </c>
      <c r="K40" s="21">
        <f>IF($P40="","",IFERROR(IF(INDEX(MASTER!$N$4:$N$1463,$P40)="","",INDEX(MASTER!$N$4:$N$1463,$P40)),""))</f>
        <v>41.6</v>
      </c>
      <c r="L40" s="19" t="str">
        <f>IF($P40="","",IFERROR(IF(INDEX(MASTER!$O$4:$O$1463,$P40)="","",INDEX(MASTER!$O$4:$O$1463,$P40)),""))</f>
        <v>B</v>
      </c>
      <c r="M40" s="19">
        <f>IF($P40="","",IFERROR(IF(INDEX(MASTER!$Q$4:$Q$1463,$P40)="","",INDEX(MASTER!$Q$4:$Q$1463,$P40)),""))</f>
        <v>61</v>
      </c>
      <c r="N40" s="19" t="str">
        <f>IF($P40="","",IFERROR(IF(INDEX(MASTER!$S$4:$S$1463,$P40)="","",INDEX(MASTER!$S$4:$S$1463,$P40)),""))</f>
        <v>Complete</v>
      </c>
      <c r="P40">
        <f>IFERROR(MATCH($Q$1&amp;"@32",MASTER!$AC$4:$AC$1463,0),"")</f>
        <v>478</v>
      </c>
    </row>
    <row r="41" spans="1:16">
      <c r="A41" s="15">
        <f>IF($P41="","",33)</f>
        <v>33</v>
      </c>
      <c r="B41" s="14" t="str">
        <f>IF($P41="","",IFERROR(IF(INDEX(MASTER!$C$4:$C$1463,$P41)="","",INDEX(MASTER!$C$4:$C$1463,$P41)),""))</f>
        <v>Heathcliff-1</v>
      </c>
      <c r="C41" s="15" t="str">
        <f>IF($P41="","",IFERROR(IF(INDEX(MASTER!$D$4:$D$1463,$P41)="","",INDEX(MASTER!$D$4:$D$1463,$P41)),""))</f>
        <v>RECK</v>
      </c>
      <c r="D41" s="15" t="str">
        <f>IF($P41="","",IFERROR(IF(INDEX(MASTER!$E$4:$E$1463,$P41)="","",INDEX(MASTER!$E$4:$E$1463,$P41)),""))</f>
        <v>DEMON HUNTER</v>
      </c>
      <c r="E41" s="15" t="str">
        <f>IF($P41="","",IFERROR(IF(INDEX(MASTER!$F$4:$F$1463,$P41)="","",INDEX(MASTER!$F$4:$F$1463,$P41)),""))</f>
        <v>Ranged DPS</v>
      </c>
      <c r="F41" s="16">
        <f>IF($P41="","",IFERROR(IF(INDEX(MASTER!$G$4:$G$1463,$P41)="","",INDEX(MASTER!$G$4:$G$1463,$P41)),""))</f>
        <v>62853</v>
      </c>
      <c r="G41" s="15" t="str">
        <f>IF($P41="","",IFERROR(IF(INDEX(MASTER!$H$4:$H$1463,$P41)="","",INDEX(MASTER!$H$4:$H$1463,$P41)),""))</f>
        <v>62,000 - 62,999</v>
      </c>
      <c r="H41" s="16">
        <f>IF($P41="","",IFERROR(IF(INDEX(MASTER!$I$4:$I$1463,$P41)="","",INDEX(MASTER!$I$4:$I$1463,$P41)),""))</f>
        <v>2674</v>
      </c>
      <c r="I41" s="15" t="str">
        <f>IF($P41="","",IFERROR(IF(INDEX(MASTER!$J$4:$J$1463,$P41)="","",INDEX(MASTER!$J$4:$J$1463,$P41)),""))</f>
        <v>DEVELOPING</v>
      </c>
      <c r="J41" s="17">
        <f>IF($P41="","",IFERROR(IF(INDEX(MASTER!$L$4:$L$1463,$P41)="","",INDEX(MASTER!$L$4:$L$1463,$P41)),""))</f>
        <v>3.75</v>
      </c>
      <c r="K41" s="17">
        <f>IF($P41="","",IFERROR(IF(INDEX(MASTER!$N$4:$N$1463,$P41)="","",INDEX(MASTER!$N$4:$N$1463,$P41)),""))</f>
        <v>38.6</v>
      </c>
      <c r="L41" s="15" t="str">
        <f>IF($P41="","",IFERROR(IF(INDEX(MASTER!$O$4:$O$1463,$P41)="","",INDEX(MASTER!$O$4:$O$1463,$P41)),""))</f>
        <v>B</v>
      </c>
      <c r="M41" s="15">
        <f>IF($P41="","",IFERROR(IF(INDEX(MASTER!$Q$4:$Q$1463,$P41)="","",INDEX(MASTER!$Q$4:$Q$1463,$P41)),""))</f>
        <v>90</v>
      </c>
      <c r="N41" s="15" t="str">
        <f>IF($P41="","",IFERROR(IF(INDEX(MASTER!$S$4:$S$1463,$P41)="","",INDEX(MASTER!$S$4:$S$1463,$P41)),""))</f>
        <v>Complete</v>
      </c>
      <c r="P41">
        <f>IFERROR(MATCH($Q$1&amp;"@33",MASTER!$AC$4:$AC$1463,0),"")</f>
        <v>481</v>
      </c>
    </row>
    <row r="42" spans="1:16">
      <c r="A42" s="19">
        <f>IF($P42="","",34)</f>
        <v>34</v>
      </c>
      <c r="B42" s="18" t="str">
        <f>IF($P42="","",IFERROR(IF(INDEX(MASTER!$C$4:$C$1463,$P42)="","",INDEX(MASTER!$C$4:$C$1463,$P42)),""))</f>
        <v>Helman</v>
      </c>
      <c r="C42" s="19" t="str">
        <f>IF($P42="","",IFERROR(IF(INDEX(MASTER!$D$4:$D$1463,$P42)="","",INDEX(MASTER!$D$4:$D$1463,$P42)),""))</f>
        <v>RECK</v>
      </c>
      <c r="D42" s="19" t="str">
        <f>IF($P42="","",IFERROR(IF(INDEX(MASTER!$E$4:$E$1463,$P42)="","",INDEX(MASTER!$E$4:$E$1463,$P42)),""))</f>
        <v>WARLOCK</v>
      </c>
      <c r="E42" s="19" t="str">
        <f>IF($P42="","",IFERROR(IF(INDEX(MASTER!$F$4:$F$1463,$P42)="","",INDEX(MASTER!$F$4:$F$1463,$P42)),""))</f>
        <v>Control</v>
      </c>
      <c r="F42" s="20">
        <f>IF($P42="","",IFERROR(IF(INDEX(MASTER!$G$4:$G$1463,$P42)="","",INDEX(MASTER!$G$4:$G$1463,$P42)),""))</f>
        <v>62497</v>
      </c>
      <c r="G42" s="19" t="str">
        <f>IF($P42="","",IFERROR(IF(INDEX(MASTER!$H$4:$H$1463,$P42)="","",INDEX(MASTER!$H$4:$H$1463,$P42)),""))</f>
        <v>62,000 - 62,999</v>
      </c>
      <c r="H42" s="20">
        <f>IF($P42="","",IFERROR(IF(INDEX(MASTER!$I$4:$I$1463,$P42)="","",INDEX(MASTER!$I$4:$I$1463,$P42)),""))</f>
        <v>7165</v>
      </c>
      <c r="I42" s="19" t="str">
        <f>IF($P42="","",IFERROR(IF(INDEX(MASTER!$J$4:$J$1463,$P42)="","",INDEX(MASTER!$J$4:$J$1463,$P42)),""))</f>
        <v>VETERAN</v>
      </c>
      <c r="J42" s="21">
        <f>IF($P42="","",IFERROR(IF(INDEX(MASTER!$L$4:$L$1463,$P42)="","",INDEX(MASTER!$L$4:$L$1463,$P42)),""))</f>
        <v>5.0999999999999996</v>
      </c>
      <c r="K42" s="21">
        <f>IF($P42="","",IFERROR(IF(INDEX(MASTER!$N$4:$N$1463,$P42)="","",INDEX(MASTER!$N$4:$N$1463,$P42)),""))</f>
        <v>59.5</v>
      </c>
      <c r="L42" s="19" t="str">
        <f>IF($P42="","",IFERROR(IF(INDEX(MASTER!$O$4:$O$1463,$P42)="","",INDEX(MASTER!$O$4:$O$1463,$P42)),""))</f>
        <v>A</v>
      </c>
      <c r="M42" s="19">
        <f>IF($P42="","",IFERROR(IF(INDEX(MASTER!$Q$4:$Q$1463,$P42)="","",INDEX(MASTER!$Q$4:$Q$1463,$P42)),""))</f>
        <v>25</v>
      </c>
      <c r="N42" s="19" t="str">
        <f>IF($P42="","",IFERROR(IF(INDEX(MASTER!$S$4:$S$1463,$P42)="","",INDEX(MASTER!$S$4:$S$1463,$P42)),""))</f>
        <v>Complete</v>
      </c>
      <c r="P42">
        <f>IFERROR(MATCH($Q$1&amp;"@34",MASTER!$AC$4:$AC$1463,0),"")</f>
        <v>491</v>
      </c>
    </row>
    <row r="43" spans="1:16">
      <c r="A43" s="15">
        <f>IF($P43="","",35)</f>
        <v>35</v>
      </c>
      <c r="B43" s="14" t="str">
        <f>IF($P43="","",IFERROR(IF(INDEX(MASTER!$C$4:$C$1463,$P43)="","",INDEX(MASTER!$C$4:$C$1463,$P43)),""))</f>
        <v>Hexvita</v>
      </c>
      <c r="C43" s="15" t="str">
        <f>IF($P43="","",IFERROR(IF(INDEX(MASTER!$D$4:$D$1463,$P43)="","",INDEX(MASTER!$D$4:$D$1463,$P43)),""))</f>
        <v>RECK</v>
      </c>
      <c r="D43" s="15" t="str">
        <f>IF($P43="","",IFERROR(IF(INDEX(MASTER!$E$4:$E$1463,$P43)="","",INDEX(MASTER!$E$4:$E$1463,$P43)),""))</f>
        <v>WARLOCK</v>
      </c>
      <c r="E43" s="15" t="str">
        <f>IF($P43="","",IFERROR(IF(INDEX(MASTER!$F$4:$F$1463,$P43)="","",INDEX(MASTER!$F$4:$F$1463,$P43)),""))</f>
        <v>Control</v>
      </c>
      <c r="F43" s="16">
        <f>IF($P43="","",IFERROR(IF(INDEX(MASTER!$G$4:$G$1463,$P43)="","",INDEX(MASTER!$G$4:$G$1463,$P43)),""))</f>
        <v>64031</v>
      </c>
      <c r="G43" s="15" t="str">
        <f>IF($P43="","",IFERROR(IF(INDEX(MASTER!$H$4:$H$1463,$P43)="","",INDEX(MASTER!$H$4:$H$1463,$P43)),""))</f>
        <v>64,000 +</v>
      </c>
      <c r="H43" s="16">
        <f>IF($P43="","",IFERROR(IF(INDEX(MASTER!$I$4:$I$1463,$P43)="","",INDEX(MASTER!$I$4:$I$1463,$P43)),""))</f>
        <v>8627</v>
      </c>
      <c r="I43" s="15" t="str">
        <f>IF($P43="","",IFERROR(IF(INDEX(MASTER!$J$4:$J$1463,$P43)="","",INDEX(MASTER!$J$4:$J$1463,$P43)),""))</f>
        <v>ELITE</v>
      </c>
      <c r="J43" s="17">
        <f>IF($P43="","",IFERROR(IF(INDEX(MASTER!$L$4:$L$1463,$P43)="","",INDEX(MASTER!$L$4:$L$1463,$P43)),""))</f>
        <v>7.75</v>
      </c>
      <c r="K43" s="17">
        <f>IF($P43="","",IFERROR(IF(INDEX(MASTER!$N$4:$N$1463,$P43)="","",INDEX(MASTER!$N$4:$N$1463,$P43)),""))</f>
        <v>74.3</v>
      </c>
      <c r="L43" s="15" t="str">
        <f>IF($P43="","",IFERROR(IF(INDEX(MASTER!$O$4:$O$1463,$P43)="","",INDEX(MASTER!$O$4:$O$1463,$P43)),""))</f>
        <v>S</v>
      </c>
      <c r="M43" s="15">
        <f>IF($P43="","",IFERROR(IF(INDEX(MASTER!$Q$4:$Q$1463,$P43)="","",INDEX(MASTER!$Q$4:$Q$1463,$P43)),""))</f>
        <v>18</v>
      </c>
      <c r="N43" s="15" t="str">
        <f>IF($P43="","",IFERROR(IF(INDEX(MASTER!$S$4:$S$1463,$P43)="","",INDEX(MASTER!$S$4:$S$1463,$P43)),""))</f>
        <v>Complete</v>
      </c>
      <c r="P43">
        <f>IFERROR(MATCH($Q$1&amp;"@35",MASTER!$AC$4:$AC$1463,0),"")</f>
        <v>503</v>
      </c>
    </row>
    <row r="44" spans="1:16">
      <c r="A44" s="19">
        <f>IF($P44="","",36)</f>
        <v>36</v>
      </c>
      <c r="B44" s="18" t="str">
        <f>IF($P44="","",IFERROR(IF(INDEX(MASTER!$C$4:$C$1463,$P44)="","",INDEX(MASTER!$C$4:$C$1463,$P44)),""))</f>
        <v>Honeylicious</v>
      </c>
      <c r="C44" s="19" t="str">
        <f>IF($P44="","",IFERROR(IF(INDEX(MASTER!$D$4:$D$1463,$P44)="","",INDEX(MASTER!$D$4:$D$1463,$P44)),""))</f>
        <v>RECK</v>
      </c>
      <c r="D44" s="19" t="str">
        <f>IF($P44="","",IFERROR(IF(INDEX(MASTER!$E$4:$E$1463,$P44)="","",INDEX(MASTER!$E$4:$E$1463,$P44)),""))</f>
        <v>WARLOCK</v>
      </c>
      <c r="E44" s="19" t="str">
        <f>IF($P44="","",IFERROR(IF(INDEX(MASTER!$F$4:$F$1463,$P44)="","",INDEX(MASTER!$F$4:$F$1463,$P44)),""))</f>
        <v>Control</v>
      </c>
      <c r="F44" s="20">
        <f>IF($P44="","",IFERROR(IF(INDEX(MASTER!$G$4:$G$1463,$P44)="","",INDEX(MASTER!$G$4:$G$1463,$P44)),""))</f>
        <v>62050</v>
      </c>
      <c r="G44" s="19" t="str">
        <f>IF($P44="","",IFERROR(IF(INDEX(MASTER!$H$4:$H$1463,$P44)="","",INDEX(MASTER!$H$4:$H$1463,$P44)),""))</f>
        <v>62,000 - 62,999</v>
      </c>
      <c r="H44" s="20">
        <f>IF($P44="","",IFERROR(IF(INDEX(MASTER!$I$4:$I$1463,$P44)="","",INDEX(MASTER!$I$4:$I$1463,$P44)),""))</f>
        <v>3877</v>
      </c>
      <c r="I44" s="19" t="str">
        <f>IF($P44="","",IFERROR(IF(INDEX(MASTER!$J$4:$J$1463,$P44)="","",INDEX(MASTER!$J$4:$J$1463,$P44)),""))</f>
        <v>DEVELOPING</v>
      </c>
      <c r="J44" s="21">
        <f>IF($P44="","",IFERROR(IF(INDEX(MASTER!$L$4:$L$1463,$P44)="","",INDEX(MASTER!$L$4:$L$1463,$P44)),""))</f>
        <v>5.95</v>
      </c>
      <c r="K44" s="21">
        <f>IF($P44="","",IFERROR(IF(INDEX(MASTER!$N$4:$N$1463,$P44)="","",INDEX(MASTER!$N$4:$N$1463,$P44)),""))</f>
        <v>45.4</v>
      </c>
      <c r="L44" s="19" t="str">
        <f>IF($P44="","",IFERROR(IF(INDEX(MASTER!$O$4:$O$1463,$P44)="","",INDEX(MASTER!$O$4:$O$1463,$P44)),""))</f>
        <v>B</v>
      </c>
      <c r="M44" s="19">
        <f>IF($P44="","",IFERROR(IF(INDEX(MASTER!$Q$4:$Q$1463,$P44)="","",INDEX(MASTER!$Q$4:$Q$1463,$P44)),""))</f>
        <v>69</v>
      </c>
      <c r="N44" s="19" t="str">
        <f>IF($P44="","",IFERROR(IF(INDEX(MASTER!$S$4:$S$1463,$P44)="","",INDEX(MASTER!$S$4:$S$1463,$P44)),""))</f>
        <v>Complete</v>
      </c>
      <c r="P44">
        <f>IFERROR(MATCH($Q$1&amp;"@36",MASTER!$AC$4:$AC$1463,0),"")</f>
        <v>510</v>
      </c>
    </row>
    <row r="45" spans="1:16">
      <c r="A45" s="15">
        <f>IF($P45="","",37)</f>
        <v>37</v>
      </c>
      <c r="B45" s="14" t="str">
        <f>IF($P45="","",IFERROR(IF(INDEX(MASTER!$C$4:$C$1463,$P45)="","",INDEX(MASTER!$C$4:$C$1463,$P45)),""))</f>
        <v>IKORA</v>
      </c>
      <c r="C45" s="15" t="str">
        <f>IF($P45="","",IFERROR(IF(INDEX(MASTER!$D$4:$D$1463,$P45)="","",INDEX(MASTER!$D$4:$D$1463,$P45)),""))</f>
        <v>RECK</v>
      </c>
      <c r="D45" s="15" t="str">
        <f>IF($P45="","",IFERROR(IF(INDEX(MASTER!$E$4:$E$1463,$P45)="","",INDEX(MASTER!$E$4:$E$1463,$P45)),""))</f>
        <v>WARLOCK</v>
      </c>
      <c r="E45" s="15" t="str">
        <f>IF($P45="","",IFERROR(IF(INDEX(MASTER!$F$4:$F$1463,$P45)="","",INDEX(MASTER!$F$4:$F$1463,$P45)),""))</f>
        <v>Control</v>
      </c>
      <c r="F45" s="16">
        <f>IF($P45="","",IFERROR(IF(INDEX(MASTER!$G$4:$G$1463,$P45)="","",INDEX(MASTER!$G$4:$G$1463,$P45)),""))</f>
        <v>63168</v>
      </c>
      <c r="G45" s="15" t="str">
        <f>IF($P45="","",IFERROR(IF(INDEX(MASTER!$H$4:$H$1463,$P45)="","",INDEX(MASTER!$H$4:$H$1463,$P45)),""))</f>
        <v>63,000 - 63,999</v>
      </c>
      <c r="H45" s="16">
        <f>IF($P45="","",IFERROR(IF(INDEX(MASTER!$I$4:$I$1463,$P45)="","",INDEX(MASTER!$I$4:$I$1463,$P45)),""))</f>
        <v>4278</v>
      </c>
      <c r="I45" s="15" t="str">
        <f>IF($P45="","",IFERROR(IF(INDEX(MASTER!$J$4:$J$1463,$P45)="","",INDEX(MASTER!$J$4:$J$1463,$P45)),""))</f>
        <v>CORE</v>
      </c>
      <c r="J45" s="17">
        <f>IF($P45="","",IFERROR(IF(INDEX(MASTER!$L$4:$L$1463,$P45)="","",INDEX(MASTER!$L$4:$L$1463,$P45)),""))</f>
        <v>5.0999999999999996</v>
      </c>
      <c r="K45" s="17">
        <f>IF($P45="","",IFERROR(IF(INDEX(MASTER!$N$4:$N$1463,$P45)="","",INDEX(MASTER!$N$4:$N$1463,$P45)),""))</f>
        <v>48.7</v>
      </c>
      <c r="L45" s="15" t="str">
        <f>IF($P45="","",IFERROR(IF(INDEX(MASTER!$O$4:$O$1463,$P45)="","",INDEX(MASTER!$O$4:$O$1463,$P45)),""))</f>
        <v>B</v>
      </c>
      <c r="M45" s="15">
        <f>IF($P45="","",IFERROR(IF(INDEX(MASTER!$Q$4:$Q$1463,$P45)="","",INDEX(MASTER!$Q$4:$Q$1463,$P45)),""))</f>
        <v>56</v>
      </c>
      <c r="N45" s="15" t="str">
        <f>IF($P45="","",IFERROR(IF(INDEX(MASTER!$S$4:$S$1463,$P45)="","",INDEX(MASTER!$S$4:$S$1463,$P45)),""))</f>
        <v>Complete</v>
      </c>
      <c r="P45">
        <f>IFERROR(MATCH($Q$1&amp;"@37",MASTER!$AC$4:$AC$1463,0),"")</f>
        <v>530</v>
      </c>
    </row>
    <row r="46" spans="1:16">
      <c r="A46" s="19">
        <f>IF($P46="","",38)</f>
        <v>38</v>
      </c>
      <c r="B46" s="18" t="str">
        <f>IF($P46="","",IFERROR(IF(INDEX(MASTER!$C$4:$C$1463,$P46)="","",INDEX(MASTER!$C$4:$C$1463,$P46)),""))</f>
        <v>IḲOŘA</v>
      </c>
      <c r="C46" s="19" t="str">
        <f>IF($P46="","",IFERROR(IF(INDEX(MASTER!$D$4:$D$1463,$P46)="","",INDEX(MASTER!$D$4:$D$1463,$P46)),""))</f>
        <v>RECK</v>
      </c>
      <c r="D46" s="19" t="str">
        <f>IF($P46="","",IFERROR(IF(INDEX(MASTER!$E$4:$E$1463,$P46)="","",INDEX(MASTER!$E$4:$E$1463,$P46)),""))</f>
        <v>WARLOCK</v>
      </c>
      <c r="E46" s="19" t="str">
        <f>IF($P46="","",IFERROR(IF(INDEX(MASTER!$F$4:$F$1463,$P46)="","",INDEX(MASTER!$F$4:$F$1463,$P46)),""))</f>
        <v>Control</v>
      </c>
      <c r="F46" s="20">
        <f>IF($P46="","",IFERROR(IF(INDEX(MASTER!$G$4:$G$1463,$P46)="","",INDEX(MASTER!$G$4:$G$1463,$P46)),""))</f>
        <v>63145</v>
      </c>
      <c r="G46" s="19" t="str">
        <f>IF($P46="","",IFERROR(IF(INDEX(MASTER!$H$4:$H$1463,$P46)="","",INDEX(MASTER!$H$4:$H$1463,$P46)),""))</f>
        <v>63,000 - 63,999</v>
      </c>
      <c r="H46" s="20">
        <f>IF($P46="","",IFERROR(IF(INDEX(MASTER!$I$4:$I$1463,$P46)="","",INDEX(MASTER!$I$4:$I$1463,$P46)),""))</f>
        <v>4278</v>
      </c>
      <c r="I46" s="19" t="str">
        <f>IF($P46="","",IFERROR(IF(INDEX(MASTER!$J$4:$J$1463,$P46)="","",INDEX(MASTER!$J$4:$J$1463,$P46)),""))</f>
        <v>CORE</v>
      </c>
      <c r="J46" s="21">
        <f>IF($P46="","",IFERROR(IF(INDEX(MASTER!$L$4:$L$1463,$P46)="","",INDEX(MASTER!$L$4:$L$1463,$P46)),""))</f>
        <v>5</v>
      </c>
      <c r="K46" s="21">
        <f>IF($P46="","",IFERROR(IF(INDEX(MASTER!$N$4:$N$1463,$P46)="","",INDEX(MASTER!$N$4:$N$1463,$P46)),""))</f>
        <v>48.4</v>
      </c>
      <c r="L46" s="19" t="str">
        <f>IF($P46="","",IFERROR(IF(INDEX(MASTER!$O$4:$O$1463,$P46)="","",INDEX(MASTER!$O$4:$O$1463,$P46)),""))</f>
        <v>B</v>
      </c>
      <c r="M46" s="19">
        <f>IF($P46="","",IFERROR(IF(INDEX(MASTER!$Q$4:$Q$1463,$P46)="","",INDEX(MASTER!$Q$4:$Q$1463,$P46)),""))</f>
        <v>57</v>
      </c>
      <c r="N46" s="19" t="str">
        <f>IF($P46="","",IFERROR(IF(INDEX(MASTER!$S$4:$S$1463,$P46)="","",INDEX(MASTER!$S$4:$S$1463,$P46)),""))</f>
        <v>Complete</v>
      </c>
      <c r="P46">
        <f>IFERROR(MATCH($Q$1&amp;"@38",MASTER!$AC$4:$AC$1463,0),"")</f>
        <v>544</v>
      </c>
    </row>
    <row r="47" spans="1:16">
      <c r="A47" s="15">
        <f>IF($P47="","",39)</f>
        <v>39</v>
      </c>
      <c r="B47" s="14" t="str">
        <f>IF($P47="","",IFERROR(IF(INDEX(MASTER!$C$4:$C$1463,$P47)="","",INDEX(MASTER!$C$4:$C$1463,$P47)),""))</f>
        <v>J1B</v>
      </c>
      <c r="C47" s="15" t="str">
        <f>IF($P47="","",IFERROR(IF(INDEX(MASTER!$D$4:$D$1463,$P47)="","",INDEX(MASTER!$D$4:$D$1463,$P47)),""))</f>
        <v>RECK</v>
      </c>
      <c r="D47" s="15" t="str">
        <f>IF($P47="","",IFERROR(IF(INDEX(MASTER!$E$4:$E$1463,$P47)="","",INDEX(MASTER!$E$4:$E$1463,$P47)),""))</f>
        <v>DRUID</v>
      </c>
      <c r="E47" s="15" t="str">
        <f>IF($P47="","",IFERROR(IF(INDEX(MASTER!$F$4:$F$1463,$P47)="","",INDEX(MASTER!$F$4:$F$1463,$P47)),""))</f>
        <v>Support</v>
      </c>
      <c r="F47" s="16">
        <f>IF($P47="","",IFERROR(IF(INDEX(MASTER!$G$4:$G$1463,$P47)="","",INDEX(MASTER!$G$4:$G$1463,$P47)),""))</f>
        <v>62804</v>
      </c>
      <c r="G47" s="15" t="str">
        <f>IF($P47="","",IFERROR(IF(INDEX(MASTER!$H$4:$H$1463,$P47)="","",INDEX(MASTER!$H$4:$H$1463,$P47)),""))</f>
        <v>62,000 - 62,999</v>
      </c>
      <c r="H47" s="16">
        <f>IF($P47="","",IFERROR(IF(INDEX(MASTER!$I$4:$I$1463,$P47)="","",INDEX(MASTER!$I$4:$I$1463,$P47)),""))</f>
        <v>3308</v>
      </c>
      <c r="I47" s="15" t="str">
        <f>IF($P47="","",IFERROR(IF(INDEX(MASTER!$J$4:$J$1463,$P47)="","",INDEX(MASTER!$J$4:$J$1463,$P47)),""))</f>
        <v>DEVELOPING</v>
      </c>
      <c r="J47" s="17">
        <f>IF($P47="","",IFERROR(IF(INDEX(MASTER!$L$4:$L$1463,$P47)="","",INDEX(MASTER!$L$4:$L$1463,$P47)),""))</f>
        <v>5</v>
      </c>
      <c r="K47" s="17">
        <f>IF($P47="","",IFERROR(IF(INDEX(MASTER!$N$4:$N$1463,$P47)="","",INDEX(MASTER!$N$4:$N$1463,$P47)),""))</f>
        <v>43.3</v>
      </c>
      <c r="L47" s="15" t="str">
        <f>IF($P47="","",IFERROR(IF(INDEX(MASTER!$O$4:$O$1463,$P47)="","",INDEX(MASTER!$O$4:$O$1463,$P47)),""))</f>
        <v>B</v>
      </c>
      <c r="M47" s="15">
        <f>IF($P47="","",IFERROR(IF(INDEX(MASTER!$Q$4:$Q$1463,$P47)="","",INDEX(MASTER!$Q$4:$Q$1463,$P47)),""))</f>
        <v>82</v>
      </c>
      <c r="N47" s="15" t="str">
        <f>IF($P47="","",IFERROR(IF(INDEX(MASTER!$S$4:$S$1463,$P47)="","",INDEX(MASTER!$S$4:$S$1463,$P47)),""))</f>
        <v>Complete</v>
      </c>
      <c r="P47">
        <f>IFERROR(MATCH($Q$1&amp;"@39",MASTER!$AC$4:$AC$1463,0),"")</f>
        <v>545</v>
      </c>
    </row>
    <row r="48" spans="1:16">
      <c r="A48" s="19">
        <f>IF($P48="","",40)</f>
        <v>40</v>
      </c>
      <c r="B48" s="18" t="str">
        <f>IF($P48="","",IFERROR(IF(INDEX(MASTER!$C$4:$C$1463,$P48)="","",INDEX(MASTER!$C$4:$C$1463,$P48)),""))</f>
        <v>JeanGrey</v>
      </c>
      <c r="C48" s="19" t="str">
        <f>IF($P48="","",IFERROR(IF(INDEX(MASTER!$D$4:$D$1463,$P48)="","",INDEX(MASTER!$D$4:$D$1463,$P48)),""))</f>
        <v>RECK</v>
      </c>
      <c r="D48" s="19" t="str">
        <f>IF($P48="","",IFERROR(IF(INDEX(MASTER!$E$4:$E$1463,$P48)="","",INDEX(MASTER!$E$4:$E$1463,$P48)),""))</f>
        <v>WARLOCK</v>
      </c>
      <c r="E48" s="19" t="str">
        <f>IF($P48="","",IFERROR(IF(INDEX(MASTER!$F$4:$F$1463,$P48)="","",INDEX(MASTER!$F$4:$F$1463,$P48)),""))</f>
        <v>Control</v>
      </c>
      <c r="F48" s="20">
        <f>IF($P48="","",IFERROR(IF(INDEX(MASTER!$G$4:$G$1463,$P48)="","",INDEX(MASTER!$G$4:$G$1463,$P48)),""))</f>
        <v>63058</v>
      </c>
      <c r="G48" s="19" t="str">
        <f>IF($P48="","",IFERROR(IF(INDEX(MASTER!$H$4:$H$1463,$P48)="","",INDEX(MASTER!$H$4:$H$1463,$P48)),""))</f>
        <v>63,000 - 63,999</v>
      </c>
      <c r="H48" s="20">
        <f>IF($P48="","",IFERROR(IF(INDEX(MASTER!$I$4:$I$1463,$P48)="","",INDEX(MASTER!$I$4:$I$1463,$P48)),""))</f>
        <v>3738</v>
      </c>
      <c r="I48" s="19" t="str">
        <f>IF($P48="","",IFERROR(IF(INDEX(MASTER!$J$4:$J$1463,$P48)="","",INDEX(MASTER!$J$4:$J$1463,$P48)),""))</f>
        <v>DEVELOPING</v>
      </c>
      <c r="J48" s="21">
        <f>IF($P48="","",IFERROR(IF(INDEX(MASTER!$L$4:$L$1463,$P48)="","",INDEX(MASTER!$L$4:$L$1463,$P48)),""))</f>
        <v>4.5999999999999996</v>
      </c>
      <c r="K48" s="21">
        <f>IF($P48="","",IFERROR(IF(INDEX(MASTER!$N$4:$N$1463,$P48)="","",INDEX(MASTER!$N$4:$N$1463,$P48)),""))</f>
        <v>45.2</v>
      </c>
      <c r="L48" s="19" t="str">
        <f>IF($P48="","",IFERROR(IF(INDEX(MASTER!$O$4:$O$1463,$P48)="","",INDEX(MASTER!$O$4:$O$1463,$P48)),""))</f>
        <v>B</v>
      </c>
      <c r="M48" s="19">
        <f>IF($P48="","",IFERROR(IF(INDEX(MASTER!$Q$4:$Q$1463,$P48)="","",INDEX(MASTER!$Q$4:$Q$1463,$P48)),""))</f>
        <v>75</v>
      </c>
      <c r="N48" s="19" t="str">
        <f>IF($P48="","",IFERROR(IF(INDEX(MASTER!$S$4:$S$1463,$P48)="","",INDEX(MASTER!$S$4:$S$1463,$P48)),""))</f>
        <v>Complete</v>
      </c>
      <c r="P48">
        <f>IFERROR(MATCH($Q$1&amp;"@40",MASTER!$AC$4:$AC$1463,0),"")</f>
        <v>556</v>
      </c>
    </row>
    <row r="49" spans="1:16">
      <c r="A49" s="15">
        <f>IF($P49="","",41)</f>
        <v>41</v>
      </c>
      <c r="B49" s="14" t="str">
        <f>IF($P49="","",IFERROR(IF(INDEX(MASTER!$C$4:$C$1463,$P49)="","",INDEX(MASTER!$C$4:$C$1463,$P49)),""))</f>
        <v>Jin</v>
      </c>
      <c r="C49" s="15" t="str">
        <f>IF($P49="","",IFERROR(IF(INDEX(MASTER!$D$4:$D$1463,$P49)="","",INDEX(MASTER!$D$4:$D$1463,$P49)),""))</f>
        <v>RECK</v>
      </c>
      <c r="D49" s="15" t="str">
        <f>IF($P49="","",IFERROR(IF(INDEX(MASTER!$E$4:$E$1463,$P49)="","",INDEX(MASTER!$E$4:$E$1463,$P49)),""))</f>
        <v>BARBARIAN</v>
      </c>
      <c r="E49" s="15" t="str">
        <f>IF($P49="","",IFERROR(IF(INDEX(MASTER!$F$4:$F$1463,$P49)="","",INDEX(MASTER!$F$4:$F$1463,$P49)),""))</f>
        <v>Frontline</v>
      </c>
      <c r="F49" s="16">
        <f>IF($P49="","",IFERROR(IF(INDEX(MASTER!$G$4:$G$1463,$P49)="","",INDEX(MASTER!$G$4:$G$1463,$P49)),""))</f>
        <v>64143</v>
      </c>
      <c r="G49" s="15" t="str">
        <f>IF($P49="","",IFERROR(IF(INDEX(MASTER!$H$4:$H$1463,$P49)="","",INDEX(MASTER!$H$4:$H$1463,$P49)),""))</f>
        <v>64,000 +</v>
      </c>
      <c r="H49" s="16">
        <f>IF($P49="","",IFERROR(IF(INDEX(MASTER!$I$4:$I$1463,$P49)="","",INDEX(MASTER!$I$4:$I$1463,$P49)),""))</f>
        <v>8218</v>
      </c>
      <c r="I49" s="15" t="str">
        <f>IF($P49="","",IFERROR(IF(INDEX(MASTER!$J$4:$J$1463,$P49)="","",INDEX(MASTER!$J$4:$J$1463,$P49)),""))</f>
        <v>ELITE</v>
      </c>
      <c r="J49" s="17">
        <f>IF($P49="","",IFERROR(IF(INDEX(MASTER!$L$4:$L$1463,$P49)="","",INDEX(MASTER!$L$4:$L$1463,$P49)),""))</f>
        <v>6.4</v>
      </c>
      <c r="K49" s="17">
        <f>IF($P49="","",IFERROR(IF(INDEX(MASTER!$N$4:$N$1463,$P49)="","",INDEX(MASTER!$N$4:$N$1463,$P49)),""))</f>
        <v>70.599999999999994</v>
      </c>
      <c r="L49" s="15" t="str">
        <f>IF($P49="","",IFERROR(IF(INDEX(MASTER!$O$4:$O$1463,$P49)="","",INDEX(MASTER!$O$4:$O$1463,$P49)),""))</f>
        <v>S</v>
      </c>
      <c r="M49" s="15">
        <f>IF($P49="","",IFERROR(IF(INDEX(MASTER!$Q$4:$Q$1463,$P49)="","",INDEX(MASTER!$Q$4:$Q$1463,$P49)),""))</f>
        <v>21</v>
      </c>
      <c r="N49" s="15" t="str">
        <f>IF($P49="","",IFERROR(IF(INDEX(MASTER!$S$4:$S$1463,$P49)="","",INDEX(MASTER!$S$4:$S$1463,$P49)),""))</f>
        <v>Complete</v>
      </c>
      <c r="P49">
        <f>IFERROR(MATCH($Q$1&amp;"@41",MASTER!$AC$4:$AC$1463,0),"")</f>
        <v>562</v>
      </c>
    </row>
    <row r="50" spans="1:16">
      <c r="A50" s="19">
        <f>IF($P50="","",42)</f>
        <v>42</v>
      </c>
      <c r="B50" s="18" t="str">
        <f>IF($P50="","",IFERROR(IF(INDEX(MASTER!$C$4:$C$1463,$P50)="","",INDEX(MASTER!$C$4:$C$1463,$P50)),""))</f>
        <v>jkw487</v>
      </c>
      <c r="C50" s="19" t="str">
        <f>IF($P50="","",IFERROR(IF(INDEX(MASTER!$D$4:$D$1463,$P50)="","",INDEX(MASTER!$D$4:$D$1463,$P50)),""))</f>
        <v>RECK</v>
      </c>
      <c r="D50" s="19" t="str">
        <f>IF($P50="","",IFERROR(IF(INDEX(MASTER!$E$4:$E$1463,$P50)="","",INDEX(MASTER!$E$4:$E$1463,$P50)),""))</f>
        <v>WARLOCK</v>
      </c>
      <c r="E50" s="19" t="str">
        <f>IF($P50="","",IFERROR(IF(INDEX(MASTER!$F$4:$F$1463,$P50)="","",INDEX(MASTER!$F$4:$F$1463,$P50)),""))</f>
        <v>Control</v>
      </c>
      <c r="F50" s="20">
        <f>IF($P50="","",IFERROR(IF(INDEX(MASTER!$G$4:$G$1463,$P50)="","",INDEX(MASTER!$G$4:$G$1463,$P50)),""))</f>
        <v>61136</v>
      </c>
      <c r="G50" s="19" t="str">
        <f>IF($P50="","",IFERROR(IF(INDEX(MASTER!$H$4:$H$1463,$P50)="","",INDEX(MASTER!$H$4:$H$1463,$P50)),""))</f>
        <v>61,000 - 61,999</v>
      </c>
      <c r="H50" s="20">
        <f>IF($P50="","",IFERROR(IF(INDEX(MASTER!$I$4:$I$1463,$P50)="","",INDEX(MASTER!$I$4:$I$1463,$P50)),""))</f>
        <v>3590</v>
      </c>
      <c r="I50" s="19" t="str">
        <f>IF($P50="","",IFERROR(IF(INDEX(MASTER!$J$4:$J$1463,$P50)="","",INDEX(MASTER!$J$4:$J$1463,$P50)),""))</f>
        <v>DEVELOPING</v>
      </c>
      <c r="J50" s="21">
        <f>IF($P50="","",IFERROR(IF(INDEX(MASTER!$L$4:$L$1463,$P50)="","",INDEX(MASTER!$L$4:$L$1463,$P50)),""))</f>
        <v>6.65</v>
      </c>
      <c r="K50" s="21">
        <f>IF($P50="","",IFERROR(IF(INDEX(MASTER!$N$4:$N$1463,$P50)="","",INDEX(MASTER!$N$4:$N$1463,$P50)),""))</f>
        <v>42.9</v>
      </c>
      <c r="L50" s="19" t="str">
        <f>IF($P50="","",IFERROR(IF(INDEX(MASTER!$O$4:$O$1463,$P50)="","",INDEX(MASTER!$O$4:$O$1463,$P50)),""))</f>
        <v>B</v>
      </c>
      <c r="M50" s="19">
        <f>IF($P50="","",IFERROR(IF(INDEX(MASTER!$Q$4:$Q$1463,$P50)="","",INDEX(MASTER!$Q$4:$Q$1463,$P50)),""))</f>
        <v>79</v>
      </c>
      <c r="N50" s="19" t="str">
        <f>IF($P50="","",IFERROR(IF(INDEX(MASTER!$S$4:$S$1463,$P50)="","",INDEX(MASTER!$S$4:$S$1463,$P50)),""))</f>
        <v>Complete</v>
      </c>
      <c r="P50">
        <f>IFERROR(MATCH($Q$1&amp;"@42",MASTER!$AC$4:$AC$1463,0),"")</f>
        <v>567</v>
      </c>
    </row>
    <row r="51" spans="1:16">
      <c r="A51" s="15">
        <f>IF($P51="","",43)</f>
        <v>43</v>
      </c>
      <c r="B51" s="14" t="str">
        <f>IF($P51="","",IFERROR(IF(INDEX(MASTER!$C$4:$C$1463,$P51)="","",INDEX(MASTER!$C$4:$C$1463,$P51)),""))</f>
        <v>K00T</v>
      </c>
      <c r="C51" s="15" t="str">
        <f>IF($P51="","",IFERROR(IF(INDEX(MASTER!$D$4:$D$1463,$P51)="","",INDEX(MASTER!$D$4:$D$1463,$P51)),""))</f>
        <v>RECK</v>
      </c>
      <c r="D51" s="15" t="str">
        <f>IF($P51="","",IFERROR(IF(INDEX(MASTER!$E$4:$E$1463,$P51)="","",INDEX(MASTER!$E$4:$E$1463,$P51)),""))</f>
        <v>DEMON HUNTER</v>
      </c>
      <c r="E51" s="15" t="str">
        <f>IF($P51="","",IFERROR(IF(INDEX(MASTER!$F$4:$F$1463,$P51)="","",INDEX(MASTER!$F$4:$F$1463,$P51)),""))</f>
        <v>Ranged DPS</v>
      </c>
      <c r="F51" s="16">
        <f>IF($P51="","",IFERROR(IF(INDEX(MASTER!$G$4:$G$1463,$P51)="","",INDEX(MASTER!$G$4:$G$1463,$P51)),""))</f>
        <v>63732</v>
      </c>
      <c r="G51" s="15" t="str">
        <f>IF($P51="","",IFERROR(IF(INDEX(MASTER!$H$4:$H$1463,$P51)="","",INDEX(MASTER!$H$4:$H$1463,$P51)),""))</f>
        <v>63,000 - 63,999</v>
      </c>
      <c r="H51" s="16">
        <f>IF($P51="","",IFERROR(IF(INDEX(MASTER!$I$4:$I$1463,$P51)="","",INDEX(MASTER!$I$4:$I$1463,$P51)),""))</f>
        <v>8751</v>
      </c>
      <c r="I51" s="15" t="str">
        <f>IF($P51="","",IFERROR(IF(INDEX(MASTER!$J$4:$J$1463,$P51)="","",INDEX(MASTER!$J$4:$J$1463,$P51)),""))</f>
        <v>ELITE</v>
      </c>
      <c r="J51" s="17">
        <f>IF($P51="","",IFERROR(IF(INDEX(MASTER!$L$4:$L$1463,$P51)="","",INDEX(MASTER!$L$4:$L$1463,$P51)),""))</f>
        <v>7.25</v>
      </c>
      <c r="K51" s="17">
        <f>IF($P51="","",IFERROR(IF(INDEX(MASTER!$N$4:$N$1463,$P51)="","",INDEX(MASTER!$N$4:$N$1463,$P51)),""))</f>
        <v>73.3</v>
      </c>
      <c r="L51" s="15" t="str">
        <f>IF($P51="","",IFERROR(IF(INDEX(MASTER!$O$4:$O$1463,$P51)="","",INDEX(MASTER!$O$4:$O$1463,$P51)),""))</f>
        <v>S</v>
      </c>
      <c r="M51" s="15">
        <f>IF($P51="","",IFERROR(IF(INDEX(MASTER!$Q$4:$Q$1463,$P51)="","",INDEX(MASTER!$Q$4:$Q$1463,$P51)),""))</f>
        <v>16</v>
      </c>
      <c r="N51" s="15" t="str">
        <f>IF($P51="","",IFERROR(IF(INDEX(MASTER!$S$4:$S$1463,$P51)="","",INDEX(MASTER!$S$4:$S$1463,$P51)),""))</f>
        <v>Complete</v>
      </c>
      <c r="P51">
        <f>IFERROR(MATCH($Q$1&amp;"@43",MASTER!$AC$4:$AC$1463,0),"")</f>
        <v>580</v>
      </c>
    </row>
    <row r="52" spans="1:16">
      <c r="A52" s="19">
        <f>IF($P52="","",44)</f>
        <v>44</v>
      </c>
      <c r="B52" s="18" t="str">
        <f>IF($P52="","",IFERROR(IF(INDEX(MASTER!$C$4:$C$1463,$P52)="","",INDEX(MASTER!$C$4:$C$1463,$P52)),""))</f>
        <v>Kellan</v>
      </c>
      <c r="C52" s="19" t="str">
        <f>IF($P52="","",IFERROR(IF(INDEX(MASTER!$D$4:$D$1463,$P52)="","",INDEX(MASTER!$D$4:$D$1463,$P52)),""))</f>
        <v>RECK</v>
      </c>
      <c r="D52" s="19" t="str">
        <f>IF($P52="","",IFERROR(IF(INDEX(MASTER!$E$4:$E$1463,$P52)="","",INDEX(MASTER!$E$4:$E$1463,$P52)),""))</f>
        <v>WARLOCK</v>
      </c>
      <c r="E52" s="19" t="str">
        <f>IF($P52="","",IFERROR(IF(INDEX(MASTER!$F$4:$F$1463,$P52)="","",INDEX(MASTER!$F$4:$F$1463,$P52)),""))</f>
        <v>Control</v>
      </c>
      <c r="F52" s="20">
        <f>IF($P52="","",IFERROR(IF(INDEX(MASTER!$G$4:$G$1463,$P52)="","",INDEX(MASTER!$G$4:$G$1463,$P52)),""))</f>
        <v>63098</v>
      </c>
      <c r="G52" s="19" t="str">
        <f>IF($P52="","",IFERROR(IF(INDEX(MASTER!$H$4:$H$1463,$P52)="","",INDEX(MASTER!$H$4:$H$1463,$P52)),""))</f>
        <v>63,000 - 63,999</v>
      </c>
      <c r="H52" s="20">
        <f>IF($P52="","",IFERROR(IF(INDEX(MASTER!$I$4:$I$1463,$P52)="","",INDEX(MASTER!$I$4:$I$1463,$P52)),""))</f>
        <v>5364</v>
      </c>
      <c r="I52" s="19" t="str">
        <f>IF($P52="","",IFERROR(IF(INDEX(MASTER!$J$4:$J$1463,$P52)="","",INDEX(MASTER!$J$4:$J$1463,$P52)),""))</f>
        <v>CORE</v>
      </c>
      <c r="J52" s="21">
        <f>IF($P52="","",IFERROR(IF(INDEX(MASTER!$L$4:$L$1463,$P52)="","",INDEX(MASTER!$L$4:$L$1463,$P52)),""))</f>
        <v>5.95</v>
      </c>
      <c r="K52" s="21">
        <f>IF($P52="","",IFERROR(IF(INDEX(MASTER!$N$4:$N$1463,$P52)="","",INDEX(MASTER!$N$4:$N$1463,$P52)),""))</f>
        <v>54.6</v>
      </c>
      <c r="L52" s="19" t="str">
        <f>IF($P52="","",IFERROR(IF(INDEX(MASTER!$O$4:$O$1463,$P52)="","",INDEX(MASTER!$O$4:$O$1463,$P52)),""))</f>
        <v>A</v>
      </c>
      <c r="M52" s="19">
        <f>IF($P52="","",IFERROR(IF(INDEX(MASTER!$Q$4:$Q$1463,$P52)="","",INDEX(MASTER!$Q$4:$Q$1463,$P52)),""))</f>
        <v>40</v>
      </c>
      <c r="N52" s="19" t="str">
        <f>IF($P52="","",IFERROR(IF(INDEX(MASTER!$S$4:$S$1463,$P52)="","",INDEX(MASTER!$S$4:$S$1463,$P52)),""))</f>
        <v>Complete</v>
      </c>
      <c r="P52">
        <f>IFERROR(MATCH($Q$1&amp;"@44",MASTER!$AC$4:$AC$1463,0),"")</f>
        <v>598</v>
      </c>
    </row>
    <row r="53" spans="1:16">
      <c r="A53" s="15">
        <f>IF($P53="","",45)</f>
        <v>45</v>
      </c>
      <c r="B53" s="14" t="str">
        <f>IF($P53="","",IFERROR(IF(INDEX(MASTER!$C$4:$C$1463,$P53)="","",INDEX(MASTER!$C$4:$C$1463,$P53)),""))</f>
        <v>KnightPain</v>
      </c>
      <c r="C53" s="15" t="str">
        <f>IF($P53="","",IFERROR(IF(INDEX(MASTER!$D$4:$D$1463,$P53)="","",INDEX(MASTER!$D$4:$D$1463,$P53)),""))</f>
        <v>RECK</v>
      </c>
      <c r="D53" s="15" t="str">
        <f>IF($P53="","",IFERROR(IF(INDEX(MASTER!$E$4:$E$1463,$P53)="","",INDEX(MASTER!$E$4:$E$1463,$P53)),""))</f>
        <v>CRUSADER</v>
      </c>
      <c r="E53" s="15" t="str">
        <f>IF($P53="","",IFERROR(IF(INDEX(MASTER!$F$4:$F$1463,$P53)="","",INDEX(MASTER!$F$4:$F$1463,$P53)),""))</f>
        <v>Frontline</v>
      </c>
      <c r="F53" s="16">
        <f>IF($P53="","",IFERROR(IF(INDEX(MASTER!$G$4:$G$1463,$P53)="","",INDEX(MASTER!$G$4:$G$1463,$P53)),""))</f>
        <v>63270</v>
      </c>
      <c r="G53" s="15" t="str">
        <f>IF($P53="","",IFERROR(IF(INDEX(MASTER!$H$4:$H$1463,$P53)="","",INDEX(MASTER!$H$4:$H$1463,$P53)),""))</f>
        <v>63,000 - 63,999</v>
      </c>
      <c r="H53" s="16">
        <f>IF($P53="","",IFERROR(IF(INDEX(MASTER!$I$4:$I$1463,$P53)="","",INDEX(MASTER!$I$4:$I$1463,$P53)),""))</f>
        <v>3759</v>
      </c>
      <c r="I53" s="15" t="str">
        <f>IF($P53="","",IFERROR(IF(INDEX(MASTER!$J$4:$J$1463,$P53)="","",INDEX(MASTER!$J$4:$J$1463,$P53)),""))</f>
        <v>DEVELOPING</v>
      </c>
      <c r="J53" s="17">
        <f>IF($P53="","",IFERROR(IF(INDEX(MASTER!$L$4:$L$1463,$P53)="","",INDEX(MASTER!$L$4:$L$1463,$P53)),""))</f>
        <v>5</v>
      </c>
      <c r="K53" s="17">
        <f>IF($P53="","",IFERROR(IF(INDEX(MASTER!$N$4:$N$1463,$P53)="","",INDEX(MASTER!$N$4:$N$1463,$P53)),""))</f>
        <v>46.5</v>
      </c>
      <c r="L53" s="15" t="str">
        <f>IF($P53="","",IFERROR(IF(INDEX(MASTER!$O$4:$O$1463,$P53)="","",INDEX(MASTER!$O$4:$O$1463,$P53)),""))</f>
        <v>B</v>
      </c>
      <c r="M53" s="15">
        <f>IF($P53="","",IFERROR(IF(INDEX(MASTER!$Q$4:$Q$1463,$P53)="","",INDEX(MASTER!$Q$4:$Q$1463,$P53)),""))</f>
        <v>74</v>
      </c>
      <c r="N53" s="15" t="str">
        <f>IF($P53="","",IFERROR(IF(INDEX(MASTER!$S$4:$S$1463,$P53)="","",INDEX(MASTER!$S$4:$S$1463,$P53)),""))</f>
        <v>Complete</v>
      </c>
      <c r="P53">
        <f>IFERROR(MATCH($Q$1&amp;"@45",MASTER!$AC$4:$AC$1463,0),"")</f>
        <v>616</v>
      </c>
    </row>
    <row r="54" spans="1:16">
      <c r="A54" s="19">
        <f>IF($P54="","",46)</f>
        <v>46</v>
      </c>
      <c r="B54" s="18" t="str">
        <f>IF($P54="","",IFERROR(IF(INDEX(MASTER!$C$4:$C$1463,$P54)="","",INDEX(MASTER!$C$4:$C$1463,$P54)),""))</f>
        <v>kolz</v>
      </c>
      <c r="C54" s="19" t="str">
        <f>IF($P54="","",IFERROR(IF(INDEX(MASTER!$D$4:$D$1463,$P54)="","",INDEX(MASTER!$D$4:$D$1463,$P54)),""))</f>
        <v>RECK</v>
      </c>
      <c r="D54" s="19" t="str">
        <f>IF($P54="","",IFERROR(IF(INDEX(MASTER!$E$4:$E$1463,$P54)="","",INDEX(MASTER!$E$4:$E$1463,$P54)),""))</f>
        <v>BLOOD KNIGHT</v>
      </c>
      <c r="E54" s="19" t="str">
        <f>IF($P54="","",IFERROR(IF(INDEX(MASTER!$F$4:$F$1463,$P54)="","",INDEX(MASTER!$F$4:$F$1463,$P54)),""))</f>
        <v>Frontline</v>
      </c>
      <c r="F54" s="20">
        <f>IF($P54="","",IFERROR(IF(INDEX(MASTER!$G$4:$G$1463,$P54)="","",INDEX(MASTER!$G$4:$G$1463,$P54)),""))</f>
        <v>61704</v>
      </c>
      <c r="G54" s="19" t="str">
        <f>IF($P54="","",IFERROR(IF(INDEX(MASTER!$H$4:$H$1463,$P54)="","",INDEX(MASTER!$H$4:$H$1463,$P54)),""))</f>
        <v>61,000 - 61,999</v>
      </c>
      <c r="H54" s="20">
        <f>IF($P54="","",IFERROR(IF(INDEX(MASTER!$I$4:$I$1463,$P54)="","",INDEX(MASTER!$I$4:$I$1463,$P54)),""))</f>
        <v>3763</v>
      </c>
      <c r="I54" s="19" t="str">
        <f>IF($P54="","",IFERROR(IF(INDEX(MASTER!$J$4:$J$1463,$P54)="","",INDEX(MASTER!$J$4:$J$1463,$P54)),""))</f>
        <v>DEVELOPING</v>
      </c>
      <c r="J54" s="21">
        <f>IF($P54="","",IFERROR(IF(INDEX(MASTER!$L$4:$L$1463,$P54)="","",INDEX(MASTER!$L$4:$L$1463,$P54)),""))</f>
        <v>5.35</v>
      </c>
      <c r="K54" s="21">
        <f>IF($P54="","",IFERROR(IF(INDEX(MASTER!$N$4:$N$1463,$P54)="","",INDEX(MASTER!$N$4:$N$1463,$P54)),""))</f>
        <v>43</v>
      </c>
      <c r="L54" s="19" t="str">
        <f>IF($P54="","",IFERROR(IF(INDEX(MASTER!$O$4:$O$1463,$P54)="","",INDEX(MASTER!$O$4:$O$1463,$P54)),""))</f>
        <v>B</v>
      </c>
      <c r="M54" s="19">
        <f>IF($P54="","",IFERROR(IF(INDEX(MASTER!$Q$4:$Q$1463,$P54)="","",INDEX(MASTER!$Q$4:$Q$1463,$P54)),""))</f>
        <v>72</v>
      </c>
      <c r="N54" s="19" t="str">
        <f>IF($P54="","",IFERROR(IF(INDEX(MASTER!$S$4:$S$1463,$P54)="","",INDEX(MASTER!$S$4:$S$1463,$P54)),""))</f>
        <v>Complete</v>
      </c>
      <c r="P54">
        <f>IFERROR(MATCH($Q$1&amp;"@46",MASTER!$AC$4:$AC$1463,0),"")</f>
        <v>619</v>
      </c>
    </row>
    <row r="55" spans="1:16">
      <c r="A55" s="15">
        <f>IF($P55="","",47)</f>
        <v>47</v>
      </c>
      <c r="B55" s="14" t="str">
        <f>IF($P55="","",IFERROR(IF(INDEX(MASTER!$C$4:$C$1463,$P55)="","",INDEX(MASTER!$C$4:$C$1463,$P55)),""))</f>
        <v>Koyaanisqatsi</v>
      </c>
      <c r="C55" s="15" t="str">
        <f>IF($P55="","",IFERROR(IF(INDEX(MASTER!$D$4:$D$1463,$P55)="","",INDEX(MASTER!$D$4:$D$1463,$P55)),""))</f>
        <v>RECK</v>
      </c>
      <c r="D55" s="15" t="str">
        <f>IF($P55="","",IFERROR(IF(INDEX(MASTER!$E$4:$E$1463,$P55)="","",INDEX(MASTER!$E$4:$E$1463,$P55)),""))</f>
        <v>BARBARIAN</v>
      </c>
      <c r="E55" s="15" t="str">
        <f>IF($P55="","",IFERROR(IF(INDEX(MASTER!$F$4:$F$1463,$P55)="","",INDEX(MASTER!$F$4:$F$1463,$P55)),""))</f>
        <v>Frontline</v>
      </c>
      <c r="F55" s="16">
        <f>IF($P55="","",IFERROR(IF(INDEX(MASTER!$G$4:$G$1463,$P55)="","",INDEX(MASTER!$G$4:$G$1463,$P55)),""))</f>
        <v>63125</v>
      </c>
      <c r="G55" s="15" t="str">
        <f>IF($P55="","",IFERROR(IF(INDEX(MASTER!$H$4:$H$1463,$P55)="","",INDEX(MASTER!$H$4:$H$1463,$P55)),""))</f>
        <v>63,000 - 63,999</v>
      </c>
      <c r="H55" s="16">
        <f>IF($P55="","",IFERROR(IF(INDEX(MASTER!$I$4:$I$1463,$P55)="","",INDEX(MASTER!$I$4:$I$1463,$P55)),""))</f>
        <v>4031</v>
      </c>
      <c r="I55" s="15" t="str">
        <f>IF($P55="","",IFERROR(IF(INDEX(MASTER!$J$4:$J$1463,$P55)="","",INDEX(MASTER!$J$4:$J$1463,$P55)),""))</f>
        <v>CORE</v>
      </c>
      <c r="J55" s="17">
        <f>IF($P55="","",IFERROR(IF(INDEX(MASTER!$L$4:$L$1463,$P55)="","",INDEX(MASTER!$L$4:$L$1463,$P55)),""))</f>
        <v>5.85</v>
      </c>
      <c r="K55" s="17">
        <f>IF($P55="","",IFERROR(IF(INDEX(MASTER!$N$4:$N$1463,$P55)="","",INDEX(MASTER!$N$4:$N$1463,$P55)),""))</f>
        <v>48.7</v>
      </c>
      <c r="L55" s="15" t="str">
        <f>IF($P55="","",IFERROR(IF(INDEX(MASTER!$O$4:$O$1463,$P55)="","",INDEX(MASTER!$O$4:$O$1463,$P55)),""))</f>
        <v>B</v>
      </c>
      <c r="M55" s="15">
        <f>IF($P55="","",IFERROR(IF(INDEX(MASTER!$Q$4:$Q$1463,$P55)="","",INDEX(MASTER!$Q$4:$Q$1463,$P55)),""))</f>
        <v>62</v>
      </c>
      <c r="N55" s="15" t="str">
        <f>IF($P55="","",IFERROR(IF(INDEX(MASTER!$S$4:$S$1463,$P55)="","",INDEX(MASTER!$S$4:$S$1463,$P55)),""))</f>
        <v>Complete</v>
      </c>
      <c r="P55">
        <f>IFERROR(MATCH($Q$1&amp;"@47",MASTER!$AC$4:$AC$1463,0),"")</f>
        <v>624</v>
      </c>
    </row>
    <row r="56" spans="1:16">
      <c r="A56" s="19">
        <f>IF($P56="","",48)</f>
        <v>48</v>
      </c>
      <c r="B56" s="18" t="str">
        <f>IF($P56="","",IFERROR(IF(INDEX(MASTER!$C$4:$C$1463,$P56)="","",INDEX(MASTER!$C$4:$C$1463,$P56)),""))</f>
        <v>KREEM</v>
      </c>
      <c r="C56" s="19" t="str">
        <f>IF($P56="","",IFERROR(IF(INDEX(MASTER!$D$4:$D$1463,$P56)="","",INDEX(MASTER!$D$4:$D$1463,$P56)),""))</f>
        <v>RECK</v>
      </c>
      <c r="D56" s="19" t="str">
        <f>IF($P56="","",IFERROR(IF(INDEX(MASTER!$E$4:$E$1463,$P56)="","",INDEX(MASTER!$E$4:$E$1463,$P56)),""))</f>
        <v>DEMON HUNTER</v>
      </c>
      <c r="E56" s="19" t="str">
        <f>IF($P56="","",IFERROR(IF(INDEX(MASTER!$F$4:$F$1463,$P56)="","",INDEX(MASTER!$F$4:$F$1463,$P56)),""))</f>
        <v>Ranged DPS</v>
      </c>
      <c r="F56" s="20">
        <f>IF($P56="","",IFERROR(IF(INDEX(MASTER!$G$4:$G$1463,$P56)="","",INDEX(MASTER!$G$4:$G$1463,$P56)),""))</f>
        <v>63285</v>
      </c>
      <c r="G56" s="19" t="str">
        <f>IF($P56="","",IFERROR(IF(INDEX(MASTER!$H$4:$H$1463,$P56)="","",INDEX(MASTER!$H$4:$H$1463,$P56)),""))</f>
        <v>63,000 - 63,999</v>
      </c>
      <c r="H56" s="20">
        <f>IF($P56="","",IFERROR(IF(INDEX(MASTER!$I$4:$I$1463,$P56)="","",INDEX(MASTER!$I$4:$I$1463,$P56)),""))</f>
        <v>4680</v>
      </c>
      <c r="I56" s="19" t="str">
        <f>IF($P56="","",IFERROR(IF(INDEX(MASTER!$J$4:$J$1463,$P56)="","",INDEX(MASTER!$J$4:$J$1463,$P56)),""))</f>
        <v>CORE</v>
      </c>
      <c r="J56" s="21">
        <f>IF($P56="","",IFERROR(IF(INDEX(MASTER!$L$4:$L$1463,$P56)="","",INDEX(MASTER!$L$4:$L$1463,$P56)),""))</f>
        <v>5.3</v>
      </c>
      <c r="K56" s="21">
        <f>IF($P56="","",IFERROR(IF(INDEX(MASTER!$N$4:$N$1463,$P56)="","",INDEX(MASTER!$N$4:$N$1463,$P56)),""))</f>
        <v>51.1</v>
      </c>
      <c r="L56" s="19" t="str">
        <f>IF($P56="","",IFERROR(IF(INDEX(MASTER!$O$4:$O$1463,$P56)="","",INDEX(MASTER!$O$4:$O$1463,$P56)),""))</f>
        <v>A</v>
      </c>
      <c r="M56" s="19">
        <f>IF($P56="","",IFERROR(IF(INDEX(MASTER!$Q$4:$Q$1463,$P56)="","",INDEX(MASTER!$Q$4:$Q$1463,$P56)),""))</f>
        <v>52</v>
      </c>
      <c r="N56" s="19" t="str">
        <f>IF($P56="","",IFERROR(IF(INDEX(MASTER!$S$4:$S$1463,$P56)="","",INDEX(MASTER!$S$4:$S$1463,$P56)),""))</f>
        <v>Complete</v>
      </c>
      <c r="P56">
        <f>IFERROR(MATCH($Q$1&amp;"@48",MASTER!$AC$4:$AC$1463,0),"")</f>
        <v>628</v>
      </c>
    </row>
    <row r="57" spans="1:16">
      <c r="A57" s="15">
        <f>IF($P57="","",49)</f>
        <v>49</v>
      </c>
      <c r="B57" s="14" t="str">
        <f>IF($P57="","",IFERROR(IF(INDEX(MASTER!$C$4:$C$1463,$P57)="","",INDEX(MASTER!$C$4:$C$1463,$P57)),""))</f>
        <v>Kromsul</v>
      </c>
      <c r="C57" s="15" t="str">
        <f>IF($P57="","",IFERROR(IF(INDEX(MASTER!$D$4:$D$1463,$P57)="","",INDEX(MASTER!$D$4:$D$1463,$P57)),""))</f>
        <v>RECK</v>
      </c>
      <c r="D57" s="15" t="str">
        <f>IF($P57="","",IFERROR(IF(INDEX(MASTER!$E$4:$E$1463,$P57)="","",INDEX(MASTER!$E$4:$E$1463,$P57)),""))</f>
        <v>CRUSADER</v>
      </c>
      <c r="E57" s="15" t="str">
        <f>IF($P57="","",IFERROR(IF(INDEX(MASTER!$F$4:$F$1463,$P57)="","",INDEX(MASTER!$F$4:$F$1463,$P57)),""))</f>
        <v>Frontline</v>
      </c>
      <c r="F57" s="16">
        <f>IF($P57="","",IFERROR(IF(INDEX(MASTER!$G$4:$G$1463,$P57)="","",INDEX(MASTER!$G$4:$G$1463,$P57)),""))</f>
        <v>62867</v>
      </c>
      <c r="G57" s="15" t="str">
        <f>IF($P57="","",IFERROR(IF(INDEX(MASTER!$H$4:$H$1463,$P57)="","",INDEX(MASTER!$H$4:$H$1463,$P57)),""))</f>
        <v>62,000 - 62,999</v>
      </c>
      <c r="H57" s="16">
        <f>IF($P57="","",IFERROR(IF(INDEX(MASTER!$I$4:$I$1463,$P57)="","",INDEX(MASTER!$I$4:$I$1463,$P57)),""))</f>
        <v>4454</v>
      </c>
      <c r="I57" s="15" t="str">
        <f>IF($P57="","",IFERROR(IF(INDEX(MASTER!$J$4:$J$1463,$P57)="","",INDEX(MASTER!$J$4:$J$1463,$P57)),""))</f>
        <v>CORE</v>
      </c>
      <c r="J57" s="17">
        <f>IF($P57="","",IFERROR(IF(INDEX(MASTER!$L$4:$L$1463,$P57)="","",INDEX(MASTER!$L$4:$L$1463,$P57)),""))</f>
        <v>4.5</v>
      </c>
      <c r="K57" s="17">
        <f>IF($P57="","",IFERROR(IF(INDEX(MASTER!$N$4:$N$1463,$P57)="","",INDEX(MASTER!$N$4:$N$1463,$P57)),""))</f>
        <v>47.6</v>
      </c>
      <c r="L57" s="15" t="str">
        <f>IF($P57="","",IFERROR(IF(INDEX(MASTER!$O$4:$O$1463,$P57)="","",INDEX(MASTER!$O$4:$O$1463,$P57)),""))</f>
        <v>B</v>
      </c>
      <c r="M57" s="15">
        <f>IF($P57="","",IFERROR(IF(INDEX(MASTER!$Q$4:$Q$1463,$P57)="","",INDEX(MASTER!$Q$4:$Q$1463,$P57)),""))</f>
        <v>54</v>
      </c>
      <c r="N57" s="15" t="str">
        <f>IF($P57="","",IFERROR(IF(INDEX(MASTER!$S$4:$S$1463,$P57)="","",INDEX(MASTER!$S$4:$S$1463,$P57)),""))</f>
        <v>Complete</v>
      </c>
      <c r="P57">
        <f>IFERROR(MATCH($Q$1&amp;"@49",MASTER!$AC$4:$AC$1463,0),"")</f>
        <v>630</v>
      </c>
    </row>
    <row r="58" spans="1:16">
      <c r="A58" s="19">
        <f>IF($P58="","",50)</f>
        <v>50</v>
      </c>
      <c r="B58" s="18" t="str">
        <f>IF($P58="","",IFERROR(IF(INDEX(MASTER!$C$4:$C$1463,$P58)="","",INDEX(MASTER!$C$4:$C$1463,$P58)),""))</f>
        <v>Kuka_0</v>
      </c>
      <c r="C58" s="19" t="str">
        <f>IF($P58="","",IFERROR(IF(INDEX(MASTER!$D$4:$D$1463,$P58)="","",INDEX(MASTER!$D$4:$D$1463,$P58)),""))</f>
        <v>RECK</v>
      </c>
      <c r="D58" s="19" t="str">
        <f>IF($P58="","",IFERROR(IF(INDEX(MASTER!$E$4:$E$1463,$P58)="","",INDEX(MASTER!$E$4:$E$1463,$P58)),""))</f>
        <v>CRUSADER</v>
      </c>
      <c r="E58" s="19" t="str">
        <f>IF($P58="","",IFERROR(IF(INDEX(MASTER!$F$4:$F$1463,$P58)="","",INDEX(MASTER!$F$4:$F$1463,$P58)),""))</f>
        <v>Frontline</v>
      </c>
      <c r="F58" s="20">
        <f>IF($P58="","",IFERROR(IF(INDEX(MASTER!$G$4:$G$1463,$P58)="","",INDEX(MASTER!$G$4:$G$1463,$P58)),""))</f>
        <v>62578</v>
      </c>
      <c r="G58" s="19" t="str">
        <f>IF($P58="","",IFERROR(IF(INDEX(MASTER!$H$4:$H$1463,$P58)="","",INDEX(MASTER!$H$4:$H$1463,$P58)),""))</f>
        <v>62,000 - 62,999</v>
      </c>
      <c r="H58" s="20">
        <f>IF($P58="","",IFERROR(IF(INDEX(MASTER!$I$4:$I$1463,$P58)="","",INDEX(MASTER!$I$4:$I$1463,$P58)),""))</f>
        <v>2414</v>
      </c>
      <c r="I58" s="19" t="str">
        <f>IF($P58="","",IFERROR(IF(INDEX(MASTER!$J$4:$J$1463,$P58)="","",INDEX(MASTER!$J$4:$J$1463,$P58)),""))</f>
        <v>DEVELOPING</v>
      </c>
      <c r="J58" s="21">
        <f>IF($P58="","",IFERROR(IF(INDEX(MASTER!$L$4:$L$1463,$P58)="","",INDEX(MASTER!$L$4:$L$1463,$P58)),""))</f>
        <v>4</v>
      </c>
      <c r="K58" s="21">
        <f>IF($P58="","",IFERROR(IF(INDEX(MASTER!$N$4:$N$1463,$P58)="","",INDEX(MASTER!$N$4:$N$1463,$P58)),""))</f>
        <v>37.1</v>
      </c>
      <c r="L58" s="19" t="str">
        <f>IF($P58="","",IFERROR(IF(INDEX(MASTER!$O$4:$O$1463,$P58)="","",INDEX(MASTER!$O$4:$O$1463,$P58)),""))</f>
        <v>B</v>
      </c>
      <c r="M58" s="19">
        <f>IF($P58="","",IFERROR(IF(INDEX(MASTER!$Q$4:$Q$1463,$P58)="","",INDEX(MASTER!$Q$4:$Q$1463,$P58)),""))</f>
        <v>93</v>
      </c>
      <c r="N58" s="19" t="str">
        <f>IF($P58="","",IFERROR(IF(INDEX(MASTER!$S$4:$S$1463,$P58)="","",INDEX(MASTER!$S$4:$S$1463,$P58)),""))</f>
        <v>Complete</v>
      </c>
      <c r="P58">
        <f>IFERROR(MATCH($Q$1&amp;"@50",MASTER!$AC$4:$AC$1463,0),"")</f>
        <v>634</v>
      </c>
    </row>
    <row r="59" spans="1:16">
      <c r="A59" s="15">
        <f>IF($P59="","",51)</f>
        <v>51</v>
      </c>
      <c r="B59" s="14" t="str">
        <f>IF($P59="","",IFERROR(IF(INDEX(MASTER!$C$4:$C$1463,$P59)="","",INDEX(MASTER!$C$4:$C$1463,$P59)),""))</f>
        <v>LadyPoundcake</v>
      </c>
      <c r="C59" s="15" t="str">
        <f>IF($P59="","",IFERROR(IF(INDEX(MASTER!$D$4:$D$1463,$P59)="","",INDEX(MASTER!$D$4:$D$1463,$P59)),""))</f>
        <v>RECK</v>
      </c>
      <c r="D59" s="15" t="str">
        <f>IF($P59="","",IFERROR(IF(INDEX(MASTER!$E$4:$E$1463,$P59)="","",INDEX(MASTER!$E$4:$E$1463,$P59)),""))</f>
        <v>WARLOCK</v>
      </c>
      <c r="E59" s="15" t="str">
        <f>IF($P59="","",IFERROR(IF(INDEX(MASTER!$F$4:$F$1463,$P59)="","",INDEX(MASTER!$F$4:$F$1463,$P59)),""))</f>
        <v>Control</v>
      </c>
      <c r="F59" s="16">
        <f>IF($P59="","",IFERROR(IF(INDEX(MASTER!$G$4:$G$1463,$P59)="","",INDEX(MASTER!$G$4:$G$1463,$P59)),""))</f>
        <v>62626</v>
      </c>
      <c r="G59" s="15" t="str">
        <f>IF($P59="","",IFERROR(IF(INDEX(MASTER!$H$4:$H$1463,$P59)="","",INDEX(MASTER!$H$4:$H$1463,$P59)),""))</f>
        <v>62,000 - 62,999</v>
      </c>
      <c r="H59" s="16">
        <f>IF($P59="","",IFERROR(IF(INDEX(MASTER!$I$4:$I$1463,$P59)="","",INDEX(MASTER!$I$4:$I$1463,$P59)),""))</f>
        <v>6000</v>
      </c>
      <c r="I59" s="15" t="str">
        <f>IF($P59="","",IFERROR(IF(INDEX(MASTER!$J$4:$J$1463,$P59)="","",INDEX(MASTER!$J$4:$J$1463,$P59)),""))</f>
        <v>VETERAN</v>
      </c>
      <c r="J59" s="17">
        <f>IF($P59="","",IFERROR(IF(INDEX(MASTER!$L$4:$L$1463,$P59)="","",INDEX(MASTER!$L$4:$L$1463,$P59)),""))</f>
        <v>6.35</v>
      </c>
      <c r="K59" s="17">
        <f>IF($P59="","",IFERROR(IF(INDEX(MASTER!$N$4:$N$1463,$P59)="","",INDEX(MASTER!$N$4:$N$1463,$P59)),""))</f>
        <v>56.8</v>
      </c>
      <c r="L59" s="15" t="str">
        <f>IF($P59="","",IFERROR(IF(INDEX(MASTER!$O$4:$O$1463,$P59)="","",INDEX(MASTER!$O$4:$O$1463,$P59)),""))</f>
        <v>A</v>
      </c>
      <c r="M59" s="15">
        <f>IF($P59="","",IFERROR(IF(INDEX(MASTER!$Q$4:$Q$1463,$P59)="","",INDEX(MASTER!$Q$4:$Q$1463,$P59)),""))</f>
        <v>32</v>
      </c>
      <c r="N59" s="15" t="str">
        <f>IF($P59="","",IFERROR(IF(INDEX(MASTER!$S$4:$S$1463,$P59)="","",INDEX(MASTER!$S$4:$S$1463,$P59)),""))</f>
        <v>Complete</v>
      </c>
      <c r="P59">
        <f>IFERROR(MATCH($Q$1&amp;"@51",MASTER!$AC$4:$AC$1463,0),"")</f>
        <v>646</v>
      </c>
    </row>
    <row r="60" spans="1:16">
      <c r="A60" s="19">
        <f>IF($P60="","",52)</f>
        <v>52</v>
      </c>
      <c r="B60" s="18" t="str">
        <f>IF($P60="","",IFERROR(IF(INDEX(MASTER!$C$4:$C$1463,$P60)="","",INDEX(MASTER!$C$4:$C$1463,$P60)),""))</f>
        <v>LĘGIØN</v>
      </c>
      <c r="C60" s="19" t="str">
        <f>IF($P60="","",IFERROR(IF(INDEX(MASTER!$D$4:$D$1463,$P60)="","",INDEX(MASTER!$D$4:$D$1463,$P60)),""))</f>
        <v>RECK</v>
      </c>
      <c r="D60" s="19" t="str">
        <f>IF($P60="","",IFERROR(IF(INDEX(MASTER!$E$4:$E$1463,$P60)="","",INDEX(MASTER!$E$4:$E$1463,$P60)),""))</f>
        <v>DRUID</v>
      </c>
      <c r="E60" s="19" t="str">
        <f>IF($P60="","",IFERROR(IF(INDEX(MASTER!$F$4:$F$1463,$P60)="","",INDEX(MASTER!$F$4:$F$1463,$P60)),""))</f>
        <v>Support</v>
      </c>
      <c r="F60" s="20">
        <f>IF($P60="","",IFERROR(IF(INDEX(MASTER!$G$4:$G$1463,$P60)="","",INDEX(MASTER!$G$4:$G$1463,$P60)),""))</f>
        <v>63415</v>
      </c>
      <c r="G60" s="19" t="str">
        <f>IF($P60="","",IFERROR(IF(INDEX(MASTER!$H$4:$H$1463,$P60)="","",INDEX(MASTER!$H$4:$H$1463,$P60)),""))</f>
        <v>63,000 - 63,999</v>
      </c>
      <c r="H60" s="20">
        <f>IF($P60="","",IFERROR(IF(INDEX(MASTER!$I$4:$I$1463,$P60)="","",INDEX(MASTER!$I$4:$I$1463,$P60)),""))</f>
        <v>4520</v>
      </c>
      <c r="I60" s="19" t="str">
        <f>IF($P60="","",IFERROR(IF(INDEX(MASTER!$J$4:$J$1463,$P60)="","",INDEX(MASTER!$J$4:$J$1463,$P60)),""))</f>
        <v>CORE</v>
      </c>
      <c r="J60" s="21">
        <f>IF($P60="","",IFERROR(IF(INDEX(MASTER!$L$4:$L$1463,$P60)="","",INDEX(MASTER!$L$4:$L$1463,$P60)),""))</f>
        <v>5.3</v>
      </c>
      <c r="K60" s="21">
        <f>IF($P60="","",IFERROR(IF(INDEX(MASTER!$N$4:$N$1463,$P60)="","",INDEX(MASTER!$N$4:$N$1463,$P60)),""))</f>
        <v>50.7</v>
      </c>
      <c r="L60" s="19" t="str">
        <f>IF($P60="","",IFERROR(IF(INDEX(MASTER!$O$4:$O$1463,$P60)="","",INDEX(MASTER!$O$4:$O$1463,$P60)),""))</f>
        <v>A</v>
      </c>
      <c r="M60" s="19">
        <f>IF($P60="","",IFERROR(IF(INDEX(MASTER!$Q$4:$Q$1463,$P60)="","",INDEX(MASTER!$Q$4:$Q$1463,$P60)),""))</f>
        <v>53</v>
      </c>
      <c r="N60" s="19" t="str">
        <f>IF($P60="","",IFERROR(IF(INDEX(MASTER!$S$4:$S$1463,$P60)="","",INDEX(MASTER!$S$4:$S$1463,$P60)),""))</f>
        <v>Complete</v>
      </c>
      <c r="P60">
        <f>IFERROR(MATCH($Q$1&amp;"@52",MASTER!$AC$4:$AC$1463,0),"")</f>
        <v>706</v>
      </c>
    </row>
    <row r="61" spans="1:16">
      <c r="A61" s="15">
        <f>IF($P61="","",53)</f>
        <v>53</v>
      </c>
      <c r="B61" s="14" t="str">
        <f>IF($P61="","",IFERROR(IF(INDEX(MASTER!$C$4:$C$1463,$P61)="","",INDEX(MASTER!$C$4:$C$1463,$P61)),""))</f>
        <v>LegionOfFury</v>
      </c>
      <c r="C61" s="15" t="str">
        <f>IF($P61="","",IFERROR(IF(INDEX(MASTER!$D$4:$D$1463,$P61)="","",INDEX(MASTER!$D$4:$D$1463,$P61)),""))</f>
        <v>RECK</v>
      </c>
      <c r="D61" s="15" t="str">
        <f>IF($P61="","",IFERROR(IF(INDEX(MASTER!$E$4:$E$1463,$P61)="","",INDEX(MASTER!$E$4:$E$1463,$P61)),""))</f>
        <v>WARLOCK</v>
      </c>
      <c r="E61" s="15" t="str">
        <f>IF($P61="","",IFERROR(IF(INDEX(MASTER!$F$4:$F$1463,$P61)="","",INDEX(MASTER!$F$4:$F$1463,$P61)),""))</f>
        <v>Control</v>
      </c>
      <c r="F61" s="16">
        <f>IF($P61="","",IFERROR(IF(INDEX(MASTER!$G$4:$G$1463,$P61)="","",INDEX(MASTER!$G$4:$G$1463,$P61)),""))</f>
        <v>62792</v>
      </c>
      <c r="G61" s="15" t="str">
        <f>IF($P61="","",IFERROR(IF(INDEX(MASTER!$H$4:$H$1463,$P61)="","",INDEX(MASTER!$H$4:$H$1463,$P61)),""))</f>
        <v>62,000 - 62,999</v>
      </c>
      <c r="H61" s="16">
        <f>IF($P61="","",IFERROR(IF(INDEX(MASTER!$I$4:$I$1463,$P61)="","",INDEX(MASTER!$I$4:$I$1463,$P61)),""))</f>
        <v>5260</v>
      </c>
      <c r="I61" s="15" t="str">
        <f>IF($P61="","",IFERROR(IF(INDEX(MASTER!$J$4:$J$1463,$P61)="","",INDEX(MASTER!$J$4:$J$1463,$P61)),""))</f>
        <v>CORE</v>
      </c>
      <c r="J61" s="17">
        <f>IF($P61="","",IFERROR(IF(INDEX(MASTER!$L$4:$L$1463,$P61)="","",INDEX(MASTER!$L$4:$L$1463,$P61)),""))</f>
        <v>5.0999999999999996</v>
      </c>
      <c r="K61" s="17">
        <f>IF($P61="","",IFERROR(IF(INDEX(MASTER!$N$4:$N$1463,$P61)="","",INDEX(MASTER!$N$4:$N$1463,$P61)),""))</f>
        <v>52</v>
      </c>
      <c r="L61" s="15" t="str">
        <f>IF($P61="","",IFERROR(IF(INDEX(MASTER!$O$4:$O$1463,$P61)="","",INDEX(MASTER!$O$4:$O$1463,$P61)),""))</f>
        <v>A</v>
      </c>
      <c r="M61" s="15">
        <f>IF($P61="","",IFERROR(IF(INDEX(MASTER!$Q$4:$Q$1463,$P61)="","",INDEX(MASTER!$Q$4:$Q$1463,$P61)),""))</f>
        <v>43</v>
      </c>
      <c r="N61" s="15" t="str">
        <f>IF($P61="","",IFERROR(IF(INDEX(MASTER!$S$4:$S$1463,$P61)="","",INDEX(MASTER!$S$4:$S$1463,$P61)),""))</f>
        <v>Complete</v>
      </c>
      <c r="P61">
        <f>IFERROR(MATCH($Q$1&amp;"@53",MASTER!$AC$4:$AC$1463,0),"")</f>
        <v>656</v>
      </c>
    </row>
    <row r="62" spans="1:16">
      <c r="A62" s="19">
        <f>IF($P62="","",54)</f>
        <v>54</v>
      </c>
      <c r="B62" s="18" t="str">
        <f>IF($P62="","",IFERROR(IF(INDEX(MASTER!$C$4:$C$1463,$P62)="","",INDEX(MASTER!$C$4:$C$1463,$P62)),""))</f>
        <v>Macoo</v>
      </c>
      <c r="C62" s="19" t="str">
        <f>IF($P62="","",IFERROR(IF(INDEX(MASTER!$D$4:$D$1463,$P62)="","",INDEX(MASTER!$D$4:$D$1463,$P62)),""))</f>
        <v>RECK</v>
      </c>
      <c r="D62" s="19" t="str">
        <f>IF($P62="","",IFERROR(IF(INDEX(MASTER!$E$4:$E$1463,$P62)="","",INDEX(MASTER!$E$4:$E$1463,$P62)),""))</f>
        <v>WARLOCK</v>
      </c>
      <c r="E62" s="19" t="str">
        <f>IF($P62="","",IFERROR(IF(INDEX(MASTER!$F$4:$F$1463,$P62)="","",INDEX(MASTER!$F$4:$F$1463,$P62)),""))</f>
        <v>Control</v>
      </c>
      <c r="F62" s="20">
        <f>IF($P62="","",IFERROR(IF(INDEX(MASTER!$G$4:$G$1463,$P62)="","",INDEX(MASTER!$G$4:$G$1463,$P62)),""))</f>
        <v>62800</v>
      </c>
      <c r="G62" s="19" t="str">
        <f>IF($P62="","",IFERROR(IF(INDEX(MASTER!$H$4:$H$1463,$P62)="","",INDEX(MASTER!$H$4:$H$1463,$P62)),""))</f>
        <v>62,000 - 62,999</v>
      </c>
      <c r="H62" s="20">
        <f>IF($P62="","",IFERROR(IF(INDEX(MASTER!$I$4:$I$1463,$P62)="","",INDEX(MASTER!$I$4:$I$1463,$P62)),""))</f>
        <v>3910</v>
      </c>
      <c r="I62" s="19" t="str">
        <f>IF($P62="","",IFERROR(IF(INDEX(MASTER!$J$4:$J$1463,$P62)="","",INDEX(MASTER!$J$4:$J$1463,$P62)),""))</f>
        <v>DEVELOPING</v>
      </c>
      <c r="J62" s="21">
        <f>IF($P62="","",IFERROR(IF(INDEX(MASTER!$L$4:$L$1463,$P62)="","",INDEX(MASTER!$L$4:$L$1463,$P62)),""))</f>
        <v>5.15</v>
      </c>
      <c r="K62" s="21">
        <f>IF($P62="","",IFERROR(IF(INDEX(MASTER!$N$4:$N$1463,$P62)="","",INDEX(MASTER!$N$4:$N$1463,$P62)),""))</f>
        <v>46.2</v>
      </c>
      <c r="L62" s="19" t="str">
        <f>IF($P62="","",IFERROR(IF(INDEX(MASTER!$O$4:$O$1463,$P62)="","",INDEX(MASTER!$O$4:$O$1463,$P62)),""))</f>
        <v>B</v>
      </c>
      <c r="M62" s="19">
        <f>IF($P62="","",IFERROR(IF(INDEX(MASTER!$Q$4:$Q$1463,$P62)="","",INDEX(MASTER!$Q$4:$Q$1463,$P62)),""))</f>
        <v>66</v>
      </c>
      <c r="N62" s="19" t="str">
        <f>IF($P62="","",IFERROR(IF(INDEX(MASTER!$S$4:$S$1463,$P62)="","",INDEX(MASTER!$S$4:$S$1463,$P62)),""))</f>
        <v>Complete</v>
      </c>
      <c r="P62">
        <f>IFERROR(MATCH($Q$1&amp;"@54",MASTER!$AC$4:$AC$1463,0),"")</f>
        <v>712</v>
      </c>
    </row>
    <row r="63" spans="1:16">
      <c r="A63" s="15">
        <f>IF($P63="","",55)</f>
        <v>55</v>
      </c>
      <c r="B63" s="14" t="str">
        <f>IF($P63="","",IFERROR(IF(INDEX(MASTER!$C$4:$C$1463,$P63)="","",INDEX(MASTER!$C$4:$C$1463,$P63)),""))</f>
        <v>MamaFae</v>
      </c>
      <c r="C63" s="15" t="str">
        <f>IF($P63="","",IFERROR(IF(INDEX(MASTER!$D$4:$D$1463,$P63)="","",INDEX(MASTER!$D$4:$D$1463,$P63)),""))</f>
        <v>RECK</v>
      </c>
      <c r="D63" s="15" t="str">
        <f>IF($P63="","",IFERROR(IF(INDEX(MASTER!$E$4:$E$1463,$P63)="","",INDEX(MASTER!$E$4:$E$1463,$P63)),""))</f>
        <v>WIZARD</v>
      </c>
      <c r="E63" s="15" t="str">
        <f>IF($P63="","",IFERROR(IF(INDEX(MASTER!$F$4:$F$1463,$P63)="","",INDEX(MASTER!$F$4:$F$1463,$P63)),""))</f>
        <v>Ranged DPS</v>
      </c>
      <c r="F63" s="16">
        <f>IF($P63="","",IFERROR(IF(INDEX(MASTER!$G$4:$G$1463,$P63)="","",INDEX(MASTER!$G$4:$G$1463,$P63)),""))</f>
        <v>62352</v>
      </c>
      <c r="G63" s="15" t="str">
        <f>IF($P63="","",IFERROR(IF(INDEX(MASTER!$H$4:$H$1463,$P63)="","",INDEX(MASTER!$H$4:$H$1463,$P63)),""))</f>
        <v>62,000 - 62,999</v>
      </c>
      <c r="H63" s="16">
        <f>IF($P63="","",IFERROR(IF(INDEX(MASTER!$I$4:$I$1463,$P63)="","",INDEX(MASTER!$I$4:$I$1463,$P63)),""))</f>
        <v>5429</v>
      </c>
      <c r="I63" s="15" t="str">
        <f>IF($P63="","",IFERROR(IF(INDEX(MASTER!$J$4:$J$1463,$P63)="","",INDEX(MASTER!$J$4:$J$1463,$P63)),""))</f>
        <v>CORE</v>
      </c>
      <c r="J63" s="17">
        <f>IF($P63="","",IFERROR(IF(INDEX(MASTER!$L$4:$L$1463,$P63)="","",INDEX(MASTER!$L$4:$L$1463,$P63)),""))</f>
        <v>5</v>
      </c>
      <c r="K63" s="17">
        <f>IF($P63="","",IFERROR(IF(INDEX(MASTER!$N$4:$N$1463,$P63)="","",INDEX(MASTER!$N$4:$N$1463,$P63)),""))</f>
        <v>51.4</v>
      </c>
      <c r="L63" s="15" t="str">
        <f>IF($P63="","",IFERROR(IF(INDEX(MASTER!$O$4:$O$1463,$P63)="","",INDEX(MASTER!$O$4:$O$1463,$P63)),""))</f>
        <v>A</v>
      </c>
      <c r="M63" s="15">
        <f>IF($P63="","",IFERROR(IF(INDEX(MASTER!$Q$4:$Q$1463,$P63)="","",INDEX(MASTER!$Q$4:$Q$1463,$P63)),""))</f>
        <v>39</v>
      </c>
      <c r="N63" s="15" t="str">
        <f>IF($P63="","",IFERROR(IF(INDEX(MASTER!$S$4:$S$1463,$P63)="","",INDEX(MASTER!$S$4:$S$1463,$P63)),""))</f>
        <v>Complete</v>
      </c>
      <c r="P63">
        <f>IFERROR(MATCH($Q$1&amp;"@55",MASTER!$AC$4:$AC$1463,0),"")</f>
        <v>726</v>
      </c>
    </row>
    <row r="64" spans="1:16">
      <c r="A64" s="19">
        <f>IF($P64="","",56)</f>
        <v>56</v>
      </c>
      <c r="B64" s="18" t="str">
        <f>IF($P64="","",IFERROR(IF(INDEX(MASTER!$C$4:$C$1463,$P64)="","",INDEX(MASTER!$C$4:$C$1463,$P64)),""))</f>
        <v>Man86</v>
      </c>
      <c r="C64" s="19" t="str">
        <f>IF($P64="","",IFERROR(IF(INDEX(MASTER!$D$4:$D$1463,$P64)="","",INDEX(MASTER!$D$4:$D$1463,$P64)),""))</f>
        <v>RECK</v>
      </c>
      <c r="D64" s="19" t="str">
        <f>IF($P64="","",IFERROR(IF(INDEX(MASTER!$E$4:$E$1463,$P64)="","",INDEX(MASTER!$E$4:$E$1463,$P64)),""))</f>
        <v>BARBARIAN</v>
      </c>
      <c r="E64" s="19" t="str">
        <f>IF($P64="","",IFERROR(IF(INDEX(MASTER!$F$4:$F$1463,$P64)="","",INDEX(MASTER!$F$4:$F$1463,$P64)),""))</f>
        <v>Frontline</v>
      </c>
      <c r="F64" s="20">
        <f>IF($P64="","",IFERROR(IF(INDEX(MASTER!$G$4:$G$1463,$P64)="","",INDEX(MASTER!$G$4:$G$1463,$P64)),""))</f>
        <v>62758</v>
      </c>
      <c r="G64" s="19" t="str">
        <f>IF($P64="","",IFERROR(IF(INDEX(MASTER!$H$4:$H$1463,$P64)="","",INDEX(MASTER!$H$4:$H$1463,$P64)),""))</f>
        <v>62,000 - 62,999</v>
      </c>
      <c r="H64" s="20">
        <f>IF($P64="","",IFERROR(IF(INDEX(MASTER!$I$4:$I$1463,$P64)="","",INDEX(MASTER!$I$4:$I$1463,$P64)),""))</f>
        <v>3644</v>
      </c>
      <c r="I64" s="19" t="str">
        <f>IF($P64="","",IFERROR(IF(INDEX(MASTER!$J$4:$J$1463,$P64)="","",INDEX(MASTER!$J$4:$J$1463,$P64)),""))</f>
        <v>DEVELOPING</v>
      </c>
      <c r="J64" s="21">
        <f>IF($P64="","",IFERROR(IF(INDEX(MASTER!$L$4:$L$1463,$P64)="","",INDEX(MASTER!$L$4:$L$1463,$P64)),""))</f>
        <v>3.9</v>
      </c>
      <c r="K64" s="21">
        <f>IF($P64="","",IFERROR(IF(INDEX(MASTER!$N$4:$N$1463,$P64)="","",INDEX(MASTER!$N$4:$N$1463,$P64)),""))</f>
        <v>42.8</v>
      </c>
      <c r="L64" s="19" t="str">
        <f>IF($P64="","",IFERROR(IF(INDEX(MASTER!$O$4:$O$1463,$P64)="","",INDEX(MASTER!$O$4:$O$1463,$P64)),""))</f>
        <v>B</v>
      </c>
      <c r="M64" s="19">
        <f>IF($P64="","",IFERROR(IF(INDEX(MASTER!$Q$4:$Q$1463,$P64)="","",INDEX(MASTER!$Q$4:$Q$1463,$P64)),""))</f>
        <v>77</v>
      </c>
      <c r="N64" s="19" t="str">
        <f>IF($P64="","",IFERROR(IF(INDEX(MASTER!$S$4:$S$1463,$P64)="","",INDEX(MASTER!$S$4:$S$1463,$P64)),""))</f>
        <v>Complete</v>
      </c>
      <c r="P64">
        <f>IFERROR(MATCH($Q$1&amp;"@56",MASTER!$AC$4:$AC$1463,0),"")</f>
        <v>727</v>
      </c>
    </row>
    <row r="65" spans="1:16">
      <c r="A65" s="15">
        <f>IF($P65="","",57)</f>
        <v>57</v>
      </c>
      <c r="B65" s="14" t="str">
        <f>IF($P65="","",IFERROR(IF(INDEX(MASTER!$C$4:$C$1463,$P65)="","",INDEX(MASTER!$C$4:$C$1463,$P65)),""))</f>
        <v>MÁNIMÁL</v>
      </c>
      <c r="C65" s="15" t="str">
        <f>IF($P65="","",IFERROR(IF(INDEX(MASTER!$D$4:$D$1463,$P65)="","",INDEX(MASTER!$D$4:$D$1463,$P65)),""))</f>
        <v>RECK</v>
      </c>
      <c r="D65" s="15" t="str">
        <f>IF($P65="","",IFERROR(IF(INDEX(MASTER!$E$4:$E$1463,$P65)="","",INDEX(MASTER!$E$4:$E$1463,$P65)),""))</f>
        <v>MONK</v>
      </c>
      <c r="E65" s="15" t="str">
        <f>IF($P65="","",IFERROR(IF(INDEX(MASTER!$F$4:$F$1463,$P65)="","",INDEX(MASTER!$F$4:$F$1463,$P65)),""))</f>
        <v>Support</v>
      </c>
      <c r="F65" s="16">
        <f>IF($P65="","",IFERROR(IF(INDEX(MASTER!$G$4:$G$1463,$P65)="","",INDEX(MASTER!$G$4:$G$1463,$P65)),""))</f>
        <v>63626</v>
      </c>
      <c r="G65" s="15" t="str">
        <f>IF($P65="","",IFERROR(IF(INDEX(MASTER!$H$4:$H$1463,$P65)="","",INDEX(MASTER!$H$4:$H$1463,$P65)),""))</f>
        <v>63,000 - 63,999</v>
      </c>
      <c r="H65" s="16">
        <f>IF($P65="","",IFERROR(IF(INDEX(MASTER!$I$4:$I$1463,$P65)="","",INDEX(MASTER!$I$4:$I$1463,$P65)),""))</f>
        <v>8529</v>
      </c>
      <c r="I65" s="15" t="str">
        <f>IF($P65="","",IFERROR(IF(INDEX(MASTER!$J$4:$J$1463,$P65)="","",INDEX(MASTER!$J$4:$J$1463,$P65)),""))</f>
        <v>ELITE</v>
      </c>
      <c r="J65" s="17">
        <f>IF($P65="","",IFERROR(IF(INDEX(MASTER!$L$4:$L$1463,$P65)="","",INDEX(MASTER!$L$4:$L$1463,$P65)),""))</f>
        <v>7.6</v>
      </c>
      <c r="K65" s="17">
        <f>IF($P65="","",IFERROR(IF(INDEX(MASTER!$N$4:$N$1463,$P65)="","",INDEX(MASTER!$N$4:$N$1463,$P65)),""))</f>
        <v>72.599999999999994</v>
      </c>
      <c r="L65" s="15" t="str">
        <f>IF($P65="","",IFERROR(IF(INDEX(MASTER!$O$4:$O$1463,$P65)="","",INDEX(MASTER!$O$4:$O$1463,$P65)),""))</f>
        <v>S</v>
      </c>
      <c r="M65" s="15">
        <f>IF($P65="","",IFERROR(IF(INDEX(MASTER!$Q$4:$Q$1463,$P65)="","",INDEX(MASTER!$Q$4:$Q$1463,$P65)),""))</f>
        <v>19</v>
      </c>
      <c r="N65" s="15" t="str">
        <f>IF($P65="","",IFERROR(IF(INDEX(MASTER!$S$4:$S$1463,$P65)="","",INDEX(MASTER!$S$4:$S$1463,$P65)),""))</f>
        <v>Complete</v>
      </c>
      <c r="P65">
        <f>IFERROR(MATCH($Q$1&amp;"@57",MASTER!$AC$4:$AC$1463,0),"")</f>
        <v>803</v>
      </c>
    </row>
    <row r="66" spans="1:16">
      <c r="A66" s="19">
        <f>IF($P66="","",58)</f>
        <v>58</v>
      </c>
      <c r="B66" s="18" t="str">
        <f>IF($P66="","",IFERROR(IF(INDEX(MASTER!$C$4:$C$1463,$P66)="","",INDEX(MASTER!$C$4:$C$1463,$P66)),""))</f>
        <v>MissNikø</v>
      </c>
      <c r="C66" s="19" t="str">
        <f>IF($P66="","",IFERROR(IF(INDEX(MASTER!$D$4:$D$1463,$P66)="","",INDEX(MASTER!$D$4:$D$1463,$P66)),""))</f>
        <v>RECK</v>
      </c>
      <c r="D66" s="19" t="str">
        <f>IF($P66="","",IFERROR(IF(INDEX(MASTER!$E$4:$E$1463,$P66)="","",INDEX(MASTER!$E$4:$E$1463,$P66)),""))</f>
        <v>WIZARD</v>
      </c>
      <c r="E66" s="19" t="str">
        <f>IF($P66="","",IFERROR(IF(INDEX(MASTER!$F$4:$F$1463,$P66)="","",INDEX(MASTER!$F$4:$F$1463,$P66)),""))</f>
        <v>Ranged DPS</v>
      </c>
      <c r="F66" s="20">
        <f>IF($P66="","",IFERROR(IF(INDEX(MASTER!$G$4:$G$1463,$P66)="","",INDEX(MASTER!$G$4:$G$1463,$P66)),""))</f>
        <v>63503</v>
      </c>
      <c r="G66" s="19" t="str">
        <f>IF($P66="","",IFERROR(IF(INDEX(MASTER!$H$4:$H$1463,$P66)="","",INDEX(MASTER!$H$4:$H$1463,$P66)),""))</f>
        <v>63,000 - 63,999</v>
      </c>
      <c r="H66" s="20">
        <f>IF($P66="","",IFERROR(IF(INDEX(MASTER!$I$4:$I$1463,$P66)="","",INDEX(MASTER!$I$4:$I$1463,$P66)),""))</f>
        <v>6809</v>
      </c>
      <c r="I66" s="19" t="str">
        <f>IF($P66="","",IFERROR(IF(INDEX(MASTER!$J$4:$J$1463,$P66)="","",INDEX(MASTER!$J$4:$J$1463,$P66)),""))</f>
        <v>VETERAN</v>
      </c>
      <c r="J66" s="21">
        <f>IF($P66="","",IFERROR(IF(INDEX(MASTER!$L$4:$L$1463,$P66)="","",INDEX(MASTER!$L$4:$L$1463,$P66)),""))</f>
        <v>7.05</v>
      </c>
      <c r="K66" s="21">
        <f>IF($P66="","",IFERROR(IF(INDEX(MASTER!$N$4:$N$1463,$P66)="","",INDEX(MASTER!$N$4:$N$1463,$P66)),""))</f>
        <v>63.8</v>
      </c>
      <c r="L66" s="19" t="str">
        <f>IF($P66="","",IFERROR(IF(INDEX(MASTER!$O$4:$O$1463,$P66)="","",INDEX(MASTER!$O$4:$O$1463,$P66)),""))</f>
        <v>A</v>
      </c>
      <c r="M66" s="19">
        <f>IF($P66="","",IFERROR(IF(INDEX(MASTER!$Q$4:$Q$1463,$P66)="","",INDEX(MASTER!$Q$4:$Q$1463,$P66)),""))</f>
        <v>27</v>
      </c>
      <c r="N66" s="19" t="str">
        <f>IF($P66="","",IFERROR(IF(INDEX(MASTER!$S$4:$S$1463,$P66)="","",INDEX(MASTER!$S$4:$S$1463,$P66)),""))</f>
        <v>Complete</v>
      </c>
      <c r="P66">
        <f>IFERROR(MATCH($Q$1&amp;"@58",MASTER!$AC$4:$AC$1463,0),"")</f>
        <v>771</v>
      </c>
    </row>
    <row r="67" spans="1:16">
      <c r="A67" s="15">
        <f>IF($P67="","",59)</f>
        <v>59</v>
      </c>
      <c r="B67" s="14" t="str">
        <f>IF($P67="","",IFERROR(IF(INDEX(MASTER!$C$4:$C$1463,$P67)="","",INDEX(MASTER!$C$4:$C$1463,$P67)),""))</f>
        <v>Nightwingz</v>
      </c>
      <c r="C67" s="15" t="str">
        <f>IF($P67="","",IFERROR(IF(INDEX(MASTER!$D$4:$D$1463,$P67)="","",INDEX(MASTER!$D$4:$D$1463,$P67)),""))</f>
        <v>RECK</v>
      </c>
      <c r="D67" s="15" t="str">
        <f>IF($P67="","",IFERROR(IF(INDEX(MASTER!$E$4:$E$1463,$P67)="","",INDEX(MASTER!$E$4:$E$1463,$P67)),""))</f>
        <v>TEMPEST</v>
      </c>
      <c r="E67" s="15" t="str">
        <f>IF($P67="","",IFERROR(IF(INDEX(MASTER!$F$4:$F$1463,$P67)="","",INDEX(MASTER!$F$4:$F$1463,$P67)),""))</f>
        <v>Melee DPS</v>
      </c>
      <c r="F67" s="16">
        <f>IF($P67="","",IFERROR(IF(INDEX(MASTER!$G$4:$G$1463,$P67)="","",INDEX(MASTER!$G$4:$G$1463,$P67)),""))</f>
        <v>63207</v>
      </c>
      <c r="G67" s="15" t="str">
        <f>IF($P67="","",IFERROR(IF(INDEX(MASTER!$H$4:$H$1463,$P67)="","",INDEX(MASTER!$H$4:$H$1463,$P67)),""))</f>
        <v>63,000 - 63,999</v>
      </c>
      <c r="H67" s="16">
        <f>IF($P67="","",IFERROR(IF(INDEX(MASTER!$I$4:$I$1463,$P67)="","",INDEX(MASTER!$I$4:$I$1463,$P67)),""))</f>
        <v>4305</v>
      </c>
      <c r="I67" s="15" t="str">
        <f>IF($P67="","",IFERROR(IF(INDEX(MASTER!$J$4:$J$1463,$P67)="","",INDEX(MASTER!$J$4:$J$1463,$P67)),""))</f>
        <v>CORE</v>
      </c>
      <c r="J67" s="17">
        <f>IF($P67="","",IFERROR(IF(INDEX(MASTER!$L$4:$L$1463,$P67)="","",INDEX(MASTER!$L$4:$L$1463,$P67)),""))</f>
        <v>5.45</v>
      </c>
      <c r="K67" s="17">
        <f>IF($P67="","",IFERROR(IF(INDEX(MASTER!$N$4:$N$1463,$P67)="","",INDEX(MASTER!$N$4:$N$1463,$P67)),""))</f>
        <v>49.5</v>
      </c>
      <c r="L67" s="15" t="str">
        <f>IF($P67="","",IFERROR(IF(INDEX(MASTER!$O$4:$O$1463,$P67)="","",INDEX(MASTER!$O$4:$O$1463,$P67)),""))</f>
        <v>B</v>
      </c>
      <c r="M67" s="15">
        <f>IF($P67="","",IFERROR(IF(INDEX(MASTER!$Q$4:$Q$1463,$P67)="","",INDEX(MASTER!$Q$4:$Q$1463,$P67)),""))</f>
        <v>55</v>
      </c>
      <c r="N67" s="15" t="str">
        <f>IF($P67="","",IFERROR(IF(INDEX(MASTER!$S$4:$S$1463,$P67)="","",INDEX(MASTER!$S$4:$S$1463,$P67)),""))</f>
        <v>Complete</v>
      </c>
      <c r="P67">
        <f>IFERROR(MATCH($Q$1&amp;"@59",MASTER!$AC$4:$AC$1463,0),"")</f>
        <v>819</v>
      </c>
    </row>
    <row r="68" spans="1:16">
      <c r="A68" s="19">
        <f>IF($P68="","",60)</f>
        <v>60</v>
      </c>
      <c r="B68" s="18" t="str">
        <f>IF($P68="","",IFERROR(IF(INDEX(MASTER!$C$4:$C$1463,$P68)="","",INDEX(MASTER!$C$4:$C$1463,$P68)),""))</f>
        <v>OfJawasAndBacon</v>
      </c>
      <c r="C68" s="19" t="str">
        <f>IF($P68="","",IFERROR(IF(INDEX(MASTER!$D$4:$D$1463,$P68)="","",INDEX(MASTER!$D$4:$D$1463,$P68)),""))</f>
        <v>RECK</v>
      </c>
      <c r="D68" s="19" t="str">
        <f>IF($P68="","",IFERROR(IF(INDEX(MASTER!$E$4:$E$1463,$P68)="","",INDEX(MASTER!$E$4:$E$1463,$P68)),""))</f>
        <v>MONK</v>
      </c>
      <c r="E68" s="19" t="str">
        <f>IF($P68="","",IFERROR(IF(INDEX(MASTER!$F$4:$F$1463,$P68)="","",INDEX(MASTER!$F$4:$F$1463,$P68)),""))</f>
        <v>Support</v>
      </c>
      <c r="F68" s="20">
        <f>IF($P68="","",IFERROR(IF(INDEX(MASTER!$G$4:$G$1463,$P68)="","",INDEX(MASTER!$G$4:$G$1463,$P68)),""))</f>
        <v>63312</v>
      </c>
      <c r="G68" s="19" t="str">
        <f>IF($P68="","",IFERROR(IF(INDEX(MASTER!$H$4:$H$1463,$P68)="","",INDEX(MASTER!$H$4:$H$1463,$P68)),""))</f>
        <v>63,000 - 63,999</v>
      </c>
      <c r="H68" s="20">
        <f>IF($P68="","",IFERROR(IF(INDEX(MASTER!$I$4:$I$1463,$P68)="","",INDEX(MASTER!$I$4:$I$1463,$P68)),""))</f>
        <v>5284</v>
      </c>
      <c r="I68" s="19" t="str">
        <f>IF($P68="","",IFERROR(IF(INDEX(MASTER!$J$4:$J$1463,$P68)="","",INDEX(MASTER!$J$4:$J$1463,$P68)),""))</f>
        <v>CORE</v>
      </c>
      <c r="J68" s="21">
        <f>IF($P68="","",IFERROR(IF(INDEX(MASTER!$L$4:$L$1463,$P68)="","",INDEX(MASTER!$L$4:$L$1463,$P68)),""))</f>
        <v>5.3</v>
      </c>
      <c r="K68" s="21">
        <f>IF($P68="","",IFERROR(IF(INDEX(MASTER!$N$4:$N$1463,$P68)="","",INDEX(MASTER!$N$4:$N$1463,$P68)),""))</f>
        <v>53.8</v>
      </c>
      <c r="L68" s="19" t="str">
        <f>IF($P68="","",IFERROR(IF(INDEX(MASTER!$O$4:$O$1463,$P68)="","",INDEX(MASTER!$O$4:$O$1463,$P68)),""))</f>
        <v>A</v>
      </c>
      <c r="M68" s="19">
        <f>IF($P68="","",IFERROR(IF(INDEX(MASTER!$Q$4:$Q$1463,$P68)="","",INDEX(MASTER!$Q$4:$Q$1463,$P68)),""))</f>
        <v>42</v>
      </c>
      <c r="N68" s="19" t="str">
        <f>IF($P68="","",IFERROR(IF(INDEX(MASTER!$S$4:$S$1463,$P68)="","",INDEX(MASTER!$S$4:$S$1463,$P68)),""))</f>
        <v>Complete</v>
      </c>
      <c r="P68">
        <f>IFERROR(MATCH($Q$1&amp;"@60",MASTER!$AC$4:$AC$1463,0),"")</f>
        <v>840</v>
      </c>
    </row>
    <row r="69" spans="1:16">
      <c r="A69" s="15">
        <f>IF($P69="","",61)</f>
        <v>61</v>
      </c>
      <c r="B69" s="14" t="str">
        <f>IF($P69="","",IFERROR(IF(INDEX(MASTER!$C$4:$C$1463,$P69)="","",INDEX(MASTER!$C$4:$C$1463,$P69)),""))</f>
        <v>Oliver</v>
      </c>
      <c r="C69" s="15" t="str">
        <f>IF($P69="","",IFERROR(IF(INDEX(MASTER!$D$4:$D$1463,$P69)="","",INDEX(MASTER!$D$4:$D$1463,$P69)),""))</f>
        <v>RECK</v>
      </c>
      <c r="D69" s="15" t="str">
        <f>IF($P69="","",IFERROR(IF(INDEX(MASTER!$E$4:$E$1463,$P69)="","",INDEX(MASTER!$E$4:$E$1463,$P69)),""))</f>
        <v>NECROMANCER</v>
      </c>
      <c r="E69" s="15" t="str">
        <f>IF($P69="","",IFERROR(IF(INDEX(MASTER!$F$4:$F$1463,$P69)="","",INDEX(MASTER!$F$4:$F$1463,$P69)),""))</f>
        <v>Control</v>
      </c>
      <c r="F69" s="16">
        <f>IF($P69="","",IFERROR(IF(INDEX(MASTER!$G$4:$G$1463,$P69)="","",INDEX(MASTER!$G$4:$G$1463,$P69)),""))</f>
        <v>61398</v>
      </c>
      <c r="G69" s="15" t="str">
        <f>IF($P69="","",IFERROR(IF(INDEX(MASTER!$H$4:$H$1463,$P69)="","",INDEX(MASTER!$H$4:$H$1463,$P69)),""))</f>
        <v>61,000 - 61,999</v>
      </c>
      <c r="H69" s="16">
        <f>IF($P69="","",IFERROR(IF(INDEX(MASTER!$I$4:$I$1463,$P69)="","",INDEX(MASTER!$I$4:$I$1463,$P69)),""))</f>
        <v>1350</v>
      </c>
      <c r="I69" s="15" t="str">
        <f>IF($P69="","",IFERROR(IF(INDEX(MASTER!$J$4:$J$1463,$P69)="","",INDEX(MASTER!$J$4:$J$1463,$P69)),""))</f>
        <v>ROOKIE</v>
      </c>
      <c r="J69" s="17">
        <f>IF($P69="","",IFERROR(IF(INDEX(MASTER!$L$4:$L$1463,$P69)="","",INDEX(MASTER!$L$4:$L$1463,$P69)),""))</f>
        <v>3</v>
      </c>
      <c r="K69" s="17">
        <f>IF($P69="","",IFERROR(IF(INDEX(MASTER!$N$4:$N$1463,$P69)="","",INDEX(MASTER!$N$4:$N$1463,$P69)),""))</f>
        <v>27.7</v>
      </c>
      <c r="L69" s="15" t="str">
        <f>IF($P69="","",IFERROR(IF(INDEX(MASTER!$O$4:$O$1463,$P69)="","",INDEX(MASTER!$O$4:$O$1463,$P69)),""))</f>
        <v>C</v>
      </c>
      <c r="M69" s="15">
        <f>IF($P69="","",IFERROR(IF(INDEX(MASTER!$Q$4:$Q$1463,$P69)="","",INDEX(MASTER!$Q$4:$Q$1463,$P69)),""))</f>
        <v>96</v>
      </c>
      <c r="N69" s="15" t="str">
        <f>IF($P69="","",IFERROR(IF(INDEX(MASTER!$S$4:$S$1463,$P69)="","",INDEX(MASTER!$S$4:$S$1463,$P69)),""))</f>
        <v>Complete</v>
      </c>
      <c r="P69">
        <f>IFERROR(MATCH($Q$1&amp;"@61",MASTER!$AC$4:$AC$1463,0),"")</f>
        <v>848</v>
      </c>
    </row>
    <row r="70" spans="1:16">
      <c r="A70" s="19">
        <f>IF($P70="","",62)</f>
        <v>62</v>
      </c>
      <c r="B70" s="18" t="str">
        <f>IF($P70="","",IFERROR(IF(INDEX(MASTER!$C$4:$C$1463,$P70)="","",INDEX(MASTER!$C$4:$C$1463,$P70)),""))</f>
        <v>Omnichan</v>
      </c>
      <c r="C70" s="19" t="str">
        <f>IF($P70="","",IFERROR(IF(INDEX(MASTER!$D$4:$D$1463,$P70)="","",INDEX(MASTER!$D$4:$D$1463,$P70)),""))</f>
        <v>RECK</v>
      </c>
      <c r="D70" s="19" t="str">
        <f>IF($P70="","",IFERROR(IF(INDEX(MASTER!$E$4:$E$1463,$P70)="","",INDEX(MASTER!$E$4:$E$1463,$P70)),""))</f>
        <v>BARBARIAN</v>
      </c>
      <c r="E70" s="19" t="str">
        <f>IF($P70="","",IFERROR(IF(INDEX(MASTER!$F$4:$F$1463,$P70)="","",INDEX(MASTER!$F$4:$F$1463,$P70)),""))</f>
        <v>Frontline</v>
      </c>
      <c r="F70" s="20">
        <f>IF($P70="","",IFERROR(IF(INDEX(MASTER!$G$4:$G$1463,$P70)="","",INDEX(MASTER!$G$4:$G$1463,$P70)),""))</f>
        <v>63374</v>
      </c>
      <c r="G70" s="19" t="str">
        <f>IF($P70="","",IFERROR(IF(INDEX(MASTER!$H$4:$H$1463,$P70)="","",INDEX(MASTER!$H$4:$H$1463,$P70)),""))</f>
        <v>63,000 - 63,999</v>
      </c>
      <c r="H70" s="20">
        <f>IF($P70="","",IFERROR(IF(INDEX(MASTER!$I$4:$I$1463,$P70)="","",INDEX(MASTER!$I$4:$I$1463,$P70)),""))</f>
        <v>4276</v>
      </c>
      <c r="I70" s="19" t="str">
        <f>IF($P70="","",IFERROR(IF(INDEX(MASTER!$J$4:$J$1463,$P70)="","",INDEX(MASTER!$J$4:$J$1463,$P70)),""))</f>
        <v>CORE</v>
      </c>
      <c r="J70" s="21">
        <f>IF($P70="","",IFERROR(IF(INDEX(MASTER!$L$4:$L$1463,$P70)="","",INDEX(MASTER!$L$4:$L$1463,$P70)),""))</f>
        <v>4.45</v>
      </c>
      <c r="K70" s="21">
        <f>IF($P70="","",IFERROR(IF(INDEX(MASTER!$N$4:$N$1463,$P70)="","",INDEX(MASTER!$N$4:$N$1463,$P70)),""))</f>
        <v>48.1</v>
      </c>
      <c r="L70" s="19" t="str">
        <f>IF($P70="","",IFERROR(IF(INDEX(MASTER!$O$4:$O$1463,$P70)="","",INDEX(MASTER!$O$4:$O$1463,$P70)),""))</f>
        <v>B</v>
      </c>
      <c r="M70" s="19">
        <f>IF($P70="","",IFERROR(IF(INDEX(MASTER!$Q$4:$Q$1463,$P70)="","",INDEX(MASTER!$Q$4:$Q$1463,$P70)),""))</f>
        <v>58</v>
      </c>
      <c r="N70" s="19" t="str">
        <f>IF($P70="","",IFERROR(IF(INDEX(MASTER!$S$4:$S$1463,$P70)="","",INDEX(MASTER!$S$4:$S$1463,$P70)),""))</f>
        <v>Complete</v>
      </c>
      <c r="P70">
        <f>IFERROR(MATCH($Q$1&amp;"@62",MASTER!$AC$4:$AC$1463,0),"")</f>
        <v>853</v>
      </c>
    </row>
    <row r="71" spans="1:16">
      <c r="A71" s="15">
        <f>IF($P71="","",63)</f>
        <v>63</v>
      </c>
      <c r="B71" s="14" t="str">
        <f>IF($P71="","",IFERROR(IF(INDEX(MASTER!$C$4:$C$1463,$P71)="","",INDEX(MASTER!$C$4:$C$1463,$P71)),""))</f>
        <v>Oruu</v>
      </c>
      <c r="C71" s="15" t="str">
        <f>IF($P71="","",IFERROR(IF(INDEX(MASTER!$D$4:$D$1463,$P71)="","",INDEX(MASTER!$D$4:$D$1463,$P71)),""))</f>
        <v>RECK</v>
      </c>
      <c r="D71" s="15" t="str">
        <f>IF($P71="","",IFERROR(IF(INDEX(MASTER!$E$4:$E$1463,$P71)="","",INDEX(MASTER!$E$4:$E$1463,$P71)),""))</f>
        <v>NECROMANCER</v>
      </c>
      <c r="E71" s="15" t="str">
        <f>IF($P71="","",IFERROR(IF(INDEX(MASTER!$F$4:$F$1463,$P71)="","",INDEX(MASTER!$F$4:$F$1463,$P71)),""))</f>
        <v>Control</v>
      </c>
      <c r="F71" s="16">
        <f>IF($P71="","",IFERROR(IF(INDEX(MASTER!$G$4:$G$1463,$P71)="","",INDEX(MASTER!$G$4:$G$1463,$P71)),""))</f>
        <v>62956</v>
      </c>
      <c r="G71" s="15" t="str">
        <f>IF($P71="","",IFERROR(IF(INDEX(MASTER!$H$4:$H$1463,$P71)="","",INDEX(MASTER!$H$4:$H$1463,$P71)),""))</f>
        <v>62,000 - 62,999</v>
      </c>
      <c r="H71" s="16">
        <f>IF($P71="","",IFERROR(IF(INDEX(MASTER!$I$4:$I$1463,$P71)="","",INDEX(MASTER!$I$4:$I$1463,$P71)),""))</f>
        <v>3796</v>
      </c>
      <c r="I71" s="15" t="str">
        <f>IF($P71="","",IFERROR(IF(INDEX(MASTER!$J$4:$J$1463,$P71)="","",INDEX(MASTER!$J$4:$J$1463,$P71)),""))</f>
        <v>DEVELOPING</v>
      </c>
      <c r="J71" s="17">
        <f>IF($P71="","",IFERROR(IF(INDEX(MASTER!$L$4:$L$1463,$P71)="","",INDEX(MASTER!$L$4:$L$1463,$P71)),""))</f>
        <v>6.15</v>
      </c>
      <c r="K71" s="17">
        <f>IF($P71="","",IFERROR(IF(INDEX(MASTER!$N$4:$N$1463,$P71)="","",INDEX(MASTER!$N$4:$N$1463,$P71)),""))</f>
        <v>47.8</v>
      </c>
      <c r="L71" s="15" t="str">
        <f>IF($P71="","",IFERROR(IF(INDEX(MASTER!$O$4:$O$1463,$P71)="","",INDEX(MASTER!$O$4:$O$1463,$P71)),""))</f>
        <v>B</v>
      </c>
      <c r="M71" s="15">
        <f>IF($P71="","",IFERROR(IF(INDEX(MASTER!$Q$4:$Q$1463,$P71)="","",INDEX(MASTER!$Q$4:$Q$1463,$P71)),""))</f>
        <v>70</v>
      </c>
      <c r="N71" s="15" t="str">
        <f>IF($P71="","",IFERROR(IF(INDEX(MASTER!$S$4:$S$1463,$P71)="","",INDEX(MASTER!$S$4:$S$1463,$P71)),""))</f>
        <v>Complete</v>
      </c>
      <c r="P71">
        <f>IFERROR(MATCH($Q$1&amp;"@63",MASTER!$AC$4:$AC$1463,0),"")</f>
        <v>864</v>
      </c>
    </row>
    <row r="72" spans="1:16">
      <c r="A72" s="19">
        <f>IF($P72="","",64)</f>
        <v>64</v>
      </c>
      <c r="B72" s="18" t="str">
        <f>IF($P72="","",IFERROR(IF(INDEX(MASTER!$C$4:$C$1463,$P72)="","",INDEX(MASTER!$C$4:$C$1463,$P72)),""))</f>
        <v>Øsírís</v>
      </c>
      <c r="C72" s="19" t="str">
        <f>IF($P72="","",IFERROR(IF(INDEX(MASTER!$D$4:$D$1463,$P72)="","",INDEX(MASTER!$D$4:$D$1463,$P72)),""))</f>
        <v>RECK</v>
      </c>
      <c r="D72" s="19" t="str">
        <f>IF($P72="","",IFERROR(IF(INDEX(MASTER!$E$4:$E$1463,$P72)="","",INDEX(MASTER!$E$4:$E$1463,$P72)),""))</f>
        <v>WARLOCK</v>
      </c>
      <c r="E72" s="19" t="str">
        <f>IF($P72="","",IFERROR(IF(INDEX(MASTER!$F$4:$F$1463,$P72)="","",INDEX(MASTER!$F$4:$F$1463,$P72)),""))</f>
        <v>Control</v>
      </c>
      <c r="F72" s="20">
        <f>IF($P72="","",IFERROR(IF(INDEX(MASTER!$G$4:$G$1463,$P72)="","",INDEX(MASTER!$G$4:$G$1463,$P72)),""))</f>
        <v>62397</v>
      </c>
      <c r="G72" s="19" t="str">
        <f>IF($P72="","",IFERROR(IF(INDEX(MASTER!$H$4:$H$1463,$P72)="","",INDEX(MASTER!$H$4:$H$1463,$P72)),""))</f>
        <v>62,000 - 62,999</v>
      </c>
      <c r="H72" s="20">
        <f>IF($P72="","",IFERROR(IF(INDEX(MASTER!$I$4:$I$1463,$P72)="","",INDEX(MASTER!$I$4:$I$1463,$P72)),""))</f>
        <v>7352</v>
      </c>
      <c r="I72" s="19" t="str">
        <f>IF($P72="","",IFERROR(IF(INDEX(MASTER!$J$4:$J$1463,$P72)="","",INDEX(MASTER!$J$4:$J$1463,$P72)),""))</f>
        <v>VETERAN</v>
      </c>
      <c r="J72" s="21">
        <f>IF($P72="","",IFERROR(IF(INDEX(MASTER!$L$4:$L$1463,$P72)="","",INDEX(MASTER!$L$4:$L$1463,$P72)),""))</f>
        <v>5</v>
      </c>
      <c r="K72" s="21">
        <f>IF($P72="","",IFERROR(IF(INDEX(MASTER!$N$4:$N$1463,$P72)="","",INDEX(MASTER!$N$4:$N$1463,$P72)),""))</f>
        <v>59.9</v>
      </c>
      <c r="L72" s="19" t="str">
        <f>IF($P72="","",IFERROR(IF(INDEX(MASTER!$O$4:$O$1463,$P72)="","",INDEX(MASTER!$O$4:$O$1463,$P72)),""))</f>
        <v>A</v>
      </c>
      <c r="M72" s="19">
        <f>IF($P72="","",IFERROR(IF(INDEX(MASTER!$Q$4:$Q$1463,$P72)="","",INDEX(MASTER!$Q$4:$Q$1463,$P72)),""))</f>
        <v>24</v>
      </c>
      <c r="N72" s="19" t="str">
        <f>IF($P72="","",IFERROR(IF(INDEX(MASTER!$S$4:$S$1463,$P72)="","",INDEX(MASTER!$S$4:$S$1463,$P72)),""))</f>
        <v>Complete</v>
      </c>
      <c r="P72">
        <f>IFERROR(MATCH($Q$1&amp;"@64",MASTER!$AC$4:$AC$1463,0),"")</f>
        <v>1341</v>
      </c>
    </row>
    <row r="73" spans="1:16">
      <c r="A73" s="15">
        <f>IF($P73="","",65)</f>
        <v>65</v>
      </c>
      <c r="B73" s="14" t="str">
        <f>IF($P73="","",IFERROR(IF(INDEX(MASTER!$C$4:$C$1463,$P73)="","",INDEX(MASTER!$C$4:$C$1463,$P73)),""))</f>
        <v>PaleWingEDF</v>
      </c>
      <c r="C73" s="15" t="str">
        <f>IF($P73="","",IFERROR(IF(INDEX(MASTER!$D$4:$D$1463,$P73)="","",INDEX(MASTER!$D$4:$D$1463,$P73)),""))</f>
        <v>RECK</v>
      </c>
      <c r="D73" s="15" t="str">
        <f>IF($P73="","",IFERROR(IF(INDEX(MASTER!$E$4:$E$1463,$P73)="","",INDEX(MASTER!$E$4:$E$1463,$P73)),""))</f>
        <v>BARBARIAN</v>
      </c>
      <c r="E73" s="15" t="str">
        <f>IF($P73="","",IFERROR(IF(INDEX(MASTER!$F$4:$F$1463,$P73)="","",INDEX(MASTER!$F$4:$F$1463,$P73)),""))</f>
        <v>Frontline</v>
      </c>
      <c r="F73" s="16">
        <f>IF($P73="","",IFERROR(IF(INDEX(MASTER!$G$4:$G$1463,$P73)="","",INDEX(MASTER!$G$4:$G$1463,$P73)),""))</f>
        <v>58651</v>
      </c>
      <c r="G73" s="15" t="str">
        <f>IF($P73="","",IFERROR(IF(INDEX(MASTER!$H$4:$H$1463,$P73)="","",INDEX(MASTER!$H$4:$H$1463,$P73)),""))</f>
        <v>58,000 - 59,999</v>
      </c>
      <c r="H73" s="16">
        <f>IF($P73="","",IFERROR(IF(INDEX(MASTER!$I$4:$I$1463,$P73)="","",INDEX(MASTER!$I$4:$I$1463,$P73)),""))</f>
        <v>5482</v>
      </c>
      <c r="I73" s="15" t="str">
        <f>IF($P73="","",IFERROR(IF(INDEX(MASTER!$J$4:$J$1463,$P73)="","",INDEX(MASTER!$J$4:$J$1463,$P73)),""))</f>
        <v>CORE</v>
      </c>
      <c r="J73" s="17">
        <f>IF($P73="","",IFERROR(IF(INDEX(MASTER!$L$4:$L$1463,$P73)="","",INDEX(MASTER!$L$4:$L$1463,$P73)),""))</f>
        <v>5.05</v>
      </c>
      <c r="K73" s="17">
        <f>IF($P73="","",IFERROR(IF(INDEX(MASTER!$N$4:$N$1463,$P73)="","",INDEX(MASTER!$N$4:$N$1463,$P73)),""))</f>
        <v>42</v>
      </c>
      <c r="L73" s="15" t="str">
        <f>IF($P73="","",IFERROR(IF(INDEX(MASTER!$O$4:$O$1463,$P73)="","",INDEX(MASTER!$O$4:$O$1463,$P73)),""))</f>
        <v>B</v>
      </c>
      <c r="M73" s="15">
        <f>IF($P73="","",IFERROR(IF(INDEX(MASTER!$Q$4:$Q$1463,$P73)="","",INDEX(MASTER!$Q$4:$Q$1463,$P73)),""))</f>
        <v>38</v>
      </c>
      <c r="N73" s="15" t="str">
        <f>IF($P73="","",IFERROR(IF(INDEX(MASTER!$S$4:$S$1463,$P73)="","",INDEX(MASTER!$S$4:$S$1463,$P73)),""))</f>
        <v>Complete</v>
      </c>
      <c r="P73">
        <f>IFERROR(MATCH($Q$1&amp;"@65",MASTER!$AC$4:$AC$1463,0),"")</f>
        <v>871</v>
      </c>
    </row>
    <row r="74" spans="1:16">
      <c r="A74" s="19">
        <f>IF($P74="","",66)</f>
        <v>66</v>
      </c>
      <c r="B74" s="18" t="str">
        <f>IF($P74="","",IFERROR(IF(INDEX(MASTER!$C$4:$C$1463,$P74)="","",INDEX(MASTER!$C$4:$C$1463,$P74)),""))</f>
        <v>Pandamonium</v>
      </c>
      <c r="C74" s="19" t="str">
        <f>IF($P74="","",IFERROR(IF(INDEX(MASTER!$D$4:$D$1463,$P74)="","",INDEX(MASTER!$D$4:$D$1463,$P74)),""))</f>
        <v>RECK</v>
      </c>
      <c r="D74" s="19" t="str">
        <f>IF($P74="","",IFERROR(IF(INDEX(MASTER!$E$4:$E$1463,$P74)="","",INDEX(MASTER!$E$4:$E$1463,$P74)),""))</f>
        <v>WARLOCK</v>
      </c>
      <c r="E74" s="19" t="str">
        <f>IF($P74="","",IFERROR(IF(INDEX(MASTER!$F$4:$F$1463,$P74)="","",INDEX(MASTER!$F$4:$F$1463,$P74)),""))</f>
        <v>Control</v>
      </c>
      <c r="F74" s="20">
        <f>IF($P74="","",IFERROR(IF(INDEX(MASTER!$G$4:$G$1463,$P74)="","",INDEX(MASTER!$G$4:$G$1463,$P74)),""))</f>
        <v>62203</v>
      </c>
      <c r="G74" s="19" t="str">
        <f>IF($P74="","",IFERROR(IF(INDEX(MASTER!$H$4:$H$1463,$P74)="","",INDEX(MASTER!$H$4:$H$1463,$P74)),""))</f>
        <v>62,000 - 62,999</v>
      </c>
      <c r="H74" s="20">
        <f>IF($P74="","",IFERROR(IF(INDEX(MASTER!$I$4:$I$1463,$P74)="","",INDEX(MASTER!$I$4:$I$1463,$P74)),""))</f>
        <v>5362</v>
      </c>
      <c r="I74" s="19" t="str">
        <f>IF($P74="","",IFERROR(IF(INDEX(MASTER!$J$4:$J$1463,$P74)="","",INDEX(MASTER!$J$4:$J$1463,$P74)),""))</f>
        <v>CORE</v>
      </c>
      <c r="J74" s="21">
        <f>IF($P74="","",IFERROR(IF(INDEX(MASTER!$L$4:$L$1463,$P74)="","",INDEX(MASTER!$L$4:$L$1463,$P74)),""))</f>
        <v>6.5</v>
      </c>
      <c r="K74" s="21">
        <f>IF($P74="","",IFERROR(IF(INDEX(MASTER!$N$4:$N$1463,$P74)="","",INDEX(MASTER!$N$4:$N$1463,$P74)),""))</f>
        <v>53.2</v>
      </c>
      <c r="L74" s="19" t="str">
        <f>IF($P74="","",IFERROR(IF(INDEX(MASTER!$O$4:$O$1463,$P74)="","",INDEX(MASTER!$O$4:$O$1463,$P74)),""))</f>
        <v>A</v>
      </c>
      <c r="M74" s="19">
        <f>IF($P74="","",IFERROR(IF(INDEX(MASTER!$Q$4:$Q$1463,$P74)="","",INDEX(MASTER!$Q$4:$Q$1463,$P74)),""))</f>
        <v>41</v>
      </c>
      <c r="N74" s="19" t="str">
        <f>IF($P74="","",IFERROR(IF(INDEX(MASTER!$S$4:$S$1463,$P74)="","",INDEX(MASTER!$S$4:$S$1463,$P74)),""))</f>
        <v>Complete</v>
      </c>
      <c r="P74">
        <f>IFERROR(MATCH($Q$1&amp;"@66",MASTER!$AC$4:$AC$1463,0),"")</f>
        <v>874</v>
      </c>
    </row>
    <row r="75" spans="1:16">
      <c r="A75" s="15">
        <f>IF($P75="","",67)</f>
        <v>67</v>
      </c>
      <c r="B75" s="14" t="str">
        <f>IF($P75="","",IFERROR(IF(INDEX(MASTER!$C$4:$C$1463,$P75)="","",INDEX(MASTER!$C$4:$C$1463,$P75)),""))</f>
        <v>Pandii</v>
      </c>
      <c r="C75" s="15" t="str">
        <f>IF($P75="","",IFERROR(IF(INDEX(MASTER!$D$4:$D$1463,$P75)="","",INDEX(MASTER!$D$4:$D$1463,$P75)),""))</f>
        <v>RECK</v>
      </c>
      <c r="D75" s="15" t="str">
        <f>IF($P75="","",IFERROR(IF(INDEX(MASTER!$E$4:$E$1463,$P75)="","",INDEX(MASTER!$E$4:$E$1463,$P75)),""))</f>
        <v>WARLOCK</v>
      </c>
      <c r="E75" s="15" t="str">
        <f>IF($P75="","",IFERROR(IF(INDEX(MASTER!$F$4:$F$1463,$P75)="","",INDEX(MASTER!$F$4:$F$1463,$P75)),""))</f>
        <v>Control</v>
      </c>
      <c r="F75" s="16">
        <f>IF($P75="","",IFERROR(IF(INDEX(MASTER!$G$4:$G$1463,$P75)="","",INDEX(MASTER!$G$4:$G$1463,$P75)),""))</f>
        <v>61909</v>
      </c>
      <c r="G75" s="15" t="str">
        <f>IF($P75="","",IFERROR(IF(INDEX(MASTER!$H$4:$H$1463,$P75)="","",INDEX(MASTER!$H$4:$H$1463,$P75)),""))</f>
        <v>61,000 - 61,999</v>
      </c>
      <c r="H75" s="16">
        <f>IF($P75="","",IFERROR(IF(INDEX(MASTER!$I$4:$I$1463,$P75)="","",INDEX(MASTER!$I$4:$I$1463,$P75)),""))</f>
        <v>3591</v>
      </c>
      <c r="I75" s="15" t="str">
        <f>IF($P75="","",IFERROR(IF(INDEX(MASTER!$J$4:$J$1463,$P75)="","",INDEX(MASTER!$J$4:$J$1463,$P75)),""))</f>
        <v>DEVELOPING</v>
      </c>
      <c r="J75" s="17">
        <f>IF($P75="","",IFERROR(IF(INDEX(MASTER!$L$4:$L$1463,$P75)="","",INDEX(MASTER!$L$4:$L$1463,$P75)),""))</f>
        <v>6.3</v>
      </c>
      <c r="K75" s="17">
        <f>IF($P75="","",IFERROR(IF(INDEX(MASTER!$N$4:$N$1463,$P75)="","",INDEX(MASTER!$N$4:$N$1463,$P75)),""))</f>
        <v>44.4</v>
      </c>
      <c r="L75" s="15" t="str">
        <f>IF($P75="","",IFERROR(IF(INDEX(MASTER!$O$4:$O$1463,$P75)="","",INDEX(MASTER!$O$4:$O$1463,$P75)),""))</f>
        <v>B</v>
      </c>
      <c r="M75" s="15">
        <f>IF($P75="","",IFERROR(IF(INDEX(MASTER!$Q$4:$Q$1463,$P75)="","",INDEX(MASTER!$Q$4:$Q$1463,$P75)),""))</f>
        <v>78</v>
      </c>
      <c r="N75" s="15" t="str">
        <f>IF($P75="","",IFERROR(IF(INDEX(MASTER!$S$4:$S$1463,$P75)="","",INDEX(MASTER!$S$4:$S$1463,$P75)),""))</f>
        <v>Complete</v>
      </c>
      <c r="P75">
        <f>IFERROR(MATCH($Q$1&amp;"@67",MASTER!$AC$4:$AC$1463,0),"")</f>
        <v>876</v>
      </c>
    </row>
    <row r="76" spans="1:16">
      <c r="A76" s="19">
        <f>IF($P76="","",68)</f>
        <v>68</v>
      </c>
      <c r="B76" s="18" t="str">
        <f>IF($P76="","",IFERROR(IF(INDEX(MASTER!$C$4:$C$1463,$P76)="","",INDEX(MASTER!$C$4:$C$1463,$P76)),""))</f>
        <v>Patchezz</v>
      </c>
      <c r="C76" s="19" t="str">
        <f>IF($P76="","",IFERROR(IF(INDEX(MASTER!$D$4:$D$1463,$P76)="","",INDEX(MASTER!$D$4:$D$1463,$P76)),""))</f>
        <v>RECK</v>
      </c>
      <c r="D76" s="19" t="str">
        <f>IF($P76="","",IFERROR(IF(INDEX(MASTER!$E$4:$E$1463,$P76)="","",INDEX(MASTER!$E$4:$E$1463,$P76)),""))</f>
        <v>WARLOCK</v>
      </c>
      <c r="E76" s="19" t="str">
        <f>IF($P76="","",IFERROR(IF(INDEX(MASTER!$F$4:$F$1463,$P76)="","",INDEX(MASTER!$F$4:$F$1463,$P76)),""))</f>
        <v>Control</v>
      </c>
      <c r="F76" s="20">
        <f>IF($P76="","",IFERROR(IF(INDEX(MASTER!$G$4:$G$1463,$P76)="","",INDEX(MASTER!$G$4:$G$1463,$P76)),""))</f>
        <v>63392</v>
      </c>
      <c r="G76" s="19" t="str">
        <f>IF($P76="","",IFERROR(IF(INDEX(MASTER!$H$4:$H$1463,$P76)="","",INDEX(MASTER!$H$4:$H$1463,$P76)),""))</f>
        <v>63,000 - 63,999</v>
      </c>
      <c r="H76" s="20">
        <f>IF($P76="","",IFERROR(IF(INDEX(MASTER!$I$4:$I$1463,$P76)="","",INDEX(MASTER!$I$4:$I$1463,$P76)),""))</f>
        <v>4850</v>
      </c>
      <c r="I76" s="19" t="str">
        <f>IF($P76="","",IFERROR(IF(INDEX(MASTER!$J$4:$J$1463,$P76)="","",INDEX(MASTER!$J$4:$J$1463,$P76)),""))</f>
        <v>CORE</v>
      </c>
      <c r="J76" s="21">
        <f>IF($P76="","",IFERROR(IF(INDEX(MASTER!$L$4:$L$1463,$P76)="","",INDEX(MASTER!$L$4:$L$1463,$P76)),""))</f>
        <v>6.25</v>
      </c>
      <c r="K76" s="21">
        <f>IF($P76="","",IFERROR(IF(INDEX(MASTER!$N$4:$N$1463,$P76)="","",INDEX(MASTER!$N$4:$N$1463,$P76)),""))</f>
        <v>53.7</v>
      </c>
      <c r="L76" s="19" t="str">
        <f>IF($P76="","",IFERROR(IF(INDEX(MASTER!$O$4:$O$1463,$P76)="","",INDEX(MASTER!$O$4:$O$1463,$P76)),""))</f>
        <v>A</v>
      </c>
      <c r="M76" s="19">
        <f>IF($P76="","",IFERROR(IF(INDEX(MASTER!$Q$4:$Q$1463,$P76)="","",INDEX(MASTER!$Q$4:$Q$1463,$P76)),""))</f>
        <v>49</v>
      </c>
      <c r="N76" s="19" t="str">
        <f>IF($P76="","",IFERROR(IF(INDEX(MASTER!$S$4:$S$1463,$P76)="","",INDEX(MASTER!$S$4:$S$1463,$P76)),""))</f>
        <v>Complete</v>
      </c>
      <c r="P76">
        <f>IFERROR(MATCH($Q$1&amp;"@68",MASTER!$AC$4:$AC$1463,0),"")</f>
        <v>882</v>
      </c>
    </row>
    <row r="77" spans="1:16">
      <c r="A77" s="15">
        <f>IF($P77="","",69)</f>
        <v>69</v>
      </c>
      <c r="B77" s="14" t="str">
        <f>IF($P77="","",IFERROR(IF(INDEX(MASTER!$C$4:$C$1463,$P77)="","",INDEX(MASTER!$C$4:$C$1463,$P77)),""))</f>
        <v>Raif</v>
      </c>
      <c r="C77" s="15" t="str">
        <f>IF($P77="","",IFERROR(IF(INDEX(MASTER!$D$4:$D$1463,$P77)="","",INDEX(MASTER!$D$4:$D$1463,$P77)),""))</f>
        <v>RECK</v>
      </c>
      <c r="D77" s="15" t="str">
        <f>IF($P77="","",IFERROR(IF(INDEX(MASTER!$E$4:$E$1463,$P77)="","",INDEX(MASTER!$E$4:$E$1463,$P77)),""))</f>
        <v>NECROMANCER</v>
      </c>
      <c r="E77" s="15" t="str">
        <f>IF($P77="","",IFERROR(IF(INDEX(MASTER!$F$4:$F$1463,$P77)="","",INDEX(MASTER!$F$4:$F$1463,$P77)),""))</f>
        <v>Control</v>
      </c>
      <c r="F77" s="16">
        <f>IF($P77="","",IFERROR(IF(INDEX(MASTER!$G$4:$G$1463,$P77)="","",INDEX(MASTER!$G$4:$G$1463,$P77)),""))</f>
        <v>61247</v>
      </c>
      <c r="G77" s="15" t="str">
        <f>IF($P77="","",IFERROR(IF(INDEX(MASTER!$H$4:$H$1463,$P77)="","",INDEX(MASTER!$H$4:$H$1463,$P77)),""))</f>
        <v>61,000 - 61,999</v>
      </c>
      <c r="H77" s="16">
        <f>IF($P77="","",IFERROR(IF(INDEX(MASTER!$I$4:$I$1463,$P77)="","",INDEX(MASTER!$I$4:$I$1463,$P77)),""))</f>
        <v>3558</v>
      </c>
      <c r="I77" s="15" t="str">
        <f>IF($P77="","",IFERROR(IF(INDEX(MASTER!$J$4:$J$1463,$P77)="","",INDEX(MASTER!$J$4:$J$1463,$P77)),""))</f>
        <v>DEVELOPING</v>
      </c>
      <c r="J77" s="17">
        <f>IF($P77="","",IFERROR(IF(INDEX(MASTER!$L$4:$L$1463,$P77)="","",INDEX(MASTER!$L$4:$L$1463,$P77)),""))</f>
        <v>4.5999999999999996</v>
      </c>
      <c r="K77" s="17">
        <f>IF($P77="","",IFERROR(IF(INDEX(MASTER!$N$4:$N$1463,$P77)="","",INDEX(MASTER!$N$4:$N$1463,$P77)),""))</f>
        <v>39.6</v>
      </c>
      <c r="L77" s="15" t="str">
        <f>IF($P77="","",IFERROR(IF(INDEX(MASTER!$O$4:$O$1463,$P77)="","",INDEX(MASTER!$O$4:$O$1463,$P77)),""))</f>
        <v>B</v>
      </c>
      <c r="M77" s="15">
        <f>IF($P77="","",IFERROR(IF(INDEX(MASTER!$Q$4:$Q$1463,$P77)="","",INDEX(MASTER!$Q$4:$Q$1463,$P77)),""))</f>
        <v>80</v>
      </c>
      <c r="N77" s="15" t="str">
        <f>IF($P77="","",IFERROR(IF(INDEX(MASTER!$S$4:$S$1463,$P77)="","",INDEX(MASTER!$S$4:$S$1463,$P77)),""))</f>
        <v>Complete</v>
      </c>
      <c r="P77">
        <f>IFERROR(MATCH($Q$1&amp;"@69",MASTER!$AC$4:$AC$1463,0),"")</f>
        <v>922</v>
      </c>
    </row>
    <row r="78" spans="1:16">
      <c r="A78" s="19">
        <f>IF($P78="","",70)</f>
        <v>70</v>
      </c>
      <c r="B78" s="18" t="str">
        <f>IF($P78="","",IFERROR(IF(INDEX(MASTER!$C$4:$C$1463,$P78)="","",INDEX(MASTER!$C$4:$C$1463,$P78)),""))</f>
        <v>Rakeem</v>
      </c>
      <c r="C78" s="19" t="str">
        <f>IF($P78="","",IFERROR(IF(INDEX(MASTER!$D$4:$D$1463,$P78)="","",INDEX(MASTER!$D$4:$D$1463,$P78)),""))</f>
        <v>RECK</v>
      </c>
      <c r="D78" s="19" t="str">
        <f>IF($P78="","",IFERROR(IF(INDEX(MASTER!$E$4:$E$1463,$P78)="","",INDEX(MASTER!$E$4:$E$1463,$P78)),""))</f>
        <v>BARBARIAN</v>
      </c>
      <c r="E78" s="19" t="str">
        <f>IF($P78="","",IFERROR(IF(INDEX(MASTER!$F$4:$F$1463,$P78)="","",INDEX(MASTER!$F$4:$F$1463,$P78)),""))</f>
        <v>Frontline</v>
      </c>
      <c r="F78" s="20">
        <f>IF($P78="","",IFERROR(IF(INDEX(MASTER!$G$4:$G$1463,$P78)="","",INDEX(MASTER!$G$4:$G$1463,$P78)),""))</f>
        <v>62471</v>
      </c>
      <c r="G78" s="19" t="str">
        <f>IF($P78="","",IFERROR(IF(INDEX(MASTER!$H$4:$H$1463,$P78)="","",INDEX(MASTER!$H$4:$H$1463,$P78)),""))</f>
        <v>62,000 - 62,999</v>
      </c>
      <c r="H78" s="20">
        <f>IF($P78="","",IFERROR(IF(INDEX(MASTER!$I$4:$I$1463,$P78)="","",INDEX(MASTER!$I$4:$I$1463,$P78)),""))</f>
        <v>3408</v>
      </c>
      <c r="I78" s="19" t="str">
        <f>IF($P78="","",IFERROR(IF(INDEX(MASTER!$J$4:$J$1463,$P78)="","",INDEX(MASTER!$J$4:$J$1463,$P78)),""))</f>
        <v>DEVELOPING</v>
      </c>
      <c r="J78" s="21">
        <f>IF($P78="","",IFERROR(IF(INDEX(MASTER!$L$4:$L$1463,$P78)="","",INDEX(MASTER!$L$4:$L$1463,$P78)),""))</f>
        <v>4.4000000000000004</v>
      </c>
      <c r="K78" s="21">
        <f>IF($P78="","",IFERROR(IF(INDEX(MASTER!$N$4:$N$1463,$P78)="","",INDEX(MASTER!$N$4:$N$1463,$P78)),""))</f>
        <v>41.9</v>
      </c>
      <c r="L78" s="19" t="str">
        <f>IF($P78="","",IFERROR(IF(INDEX(MASTER!$O$4:$O$1463,$P78)="","",INDEX(MASTER!$O$4:$O$1463,$P78)),""))</f>
        <v>B</v>
      </c>
      <c r="M78" s="19">
        <f>IF($P78="","",IFERROR(IF(INDEX(MASTER!$Q$4:$Q$1463,$P78)="","",INDEX(MASTER!$Q$4:$Q$1463,$P78)),""))</f>
        <v>81</v>
      </c>
      <c r="N78" s="19" t="str">
        <f>IF($P78="","",IFERROR(IF(INDEX(MASTER!$S$4:$S$1463,$P78)="","",INDEX(MASTER!$S$4:$S$1463,$P78)),""))</f>
        <v>Complete</v>
      </c>
      <c r="P78">
        <f>IFERROR(MATCH($Q$1&amp;"@70",MASTER!$AC$4:$AC$1463,0),"")</f>
        <v>924</v>
      </c>
    </row>
    <row r="79" spans="1:16">
      <c r="A79" s="15">
        <f>IF($P79="","",71)</f>
        <v>71</v>
      </c>
      <c r="B79" s="14" t="str">
        <f>IF($P79="","",IFERROR(IF(INDEX(MASTER!$C$4:$C$1463,$P79)="","",INDEX(MASTER!$C$4:$C$1463,$P79)),""))</f>
        <v>RavenRane</v>
      </c>
      <c r="C79" s="15" t="str">
        <f>IF($P79="","",IFERROR(IF(INDEX(MASTER!$D$4:$D$1463,$P79)="","",INDEX(MASTER!$D$4:$D$1463,$P79)),""))</f>
        <v>RECK</v>
      </c>
      <c r="D79" s="15" t="str">
        <f>IF($P79="","",IFERROR(IF(INDEX(MASTER!$E$4:$E$1463,$P79)="","",INDEX(MASTER!$E$4:$E$1463,$P79)),""))</f>
        <v>DEMON HUNTER</v>
      </c>
      <c r="E79" s="15" t="str">
        <f>IF($P79="","",IFERROR(IF(INDEX(MASTER!$F$4:$F$1463,$P79)="","",INDEX(MASTER!$F$4:$F$1463,$P79)),""))</f>
        <v>Ranged DPS</v>
      </c>
      <c r="F79" s="16">
        <f>IF($P79="","",IFERROR(IF(INDEX(MASTER!$G$4:$G$1463,$P79)="","",INDEX(MASTER!$G$4:$G$1463,$P79)),""))</f>
        <v>63875</v>
      </c>
      <c r="G79" s="15" t="str">
        <f>IF($P79="","",IFERROR(IF(INDEX(MASTER!$H$4:$H$1463,$P79)="","",INDEX(MASTER!$H$4:$H$1463,$P79)),""))</f>
        <v>63,000 - 63,999</v>
      </c>
      <c r="H79" s="16">
        <f>IF($P79="","",IFERROR(IF(INDEX(MASTER!$I$4:$I$1463,$P79)="","",INDEX(MASTER!$I$4:$I$1463,$P79)),""))</f>
        <v>6704</v>
      </c>
      <c r="I79" s="15" t="str">
        <f>IF($P79="","",IFERROR(IF(INDEX(MASTER!$J$4:$J$1463,$P79)="","",INDEX(MASTER!$J$4:$J$1463,$P79)),""))</f>
        <v>VETERAN</v>
      </c>
      <c r="J79" s="17">
        <f>IF($P79="","",IFERROR(IF(INDEX(MASTER!$L$4:$L$1463,$P79)="","",INDEX(MASTER!$L$4:$L$1463,$P79)),""))</f>
        <v>6.8</v>
      </c>
      <c r="K79" s="17">
        <f>IF($P79="","",IFERROR(IF(INDEX(MASTER!$N$4:$N$1463,$P79)="","",INDEX(MASTER!$N$4:$N$1463,$P79)),""))</f>
        <v>64</v>
      </c>
      <c r="L79" s="15" t="str">
        <f>IF($P79="","",IFERROR(IF(INDEX(MASTER!$O$4:$O$1463,$P79)="","",INDEX(MASTER!$O$4:$O$1463,$P79)),""))</f>
        <v>A</v>
      </c>
      <c r="M79" s="15">
        <f>IF($P79="","",IFERROR(IF(INDEX(MASTER!$Q$4:$Q$1463,$P79)="","",INDEX(MASTER!$Q$4:$Q$1463,$P79)),""))</f>
        <v>28</v>
      </c>
      <c r="N79" s="15" t="str">
        <f>IF($P79="","",IFERROR(IF(INDEX(MASTER!$S$4:$S$1463,$P79)="","",INDEX(MASTER!$S$4:$S$1463,$P79)),""))</f>
        <v>Complete</v>
      </c>
      <c r="P79">
        <f>IFERROR(MATCH($Q$1&amp;"@71",MASTER!$AC$4:$AC$1463,0),"")</f>
        <v>932</v>
      </c>
    </row>
    <row r="80" spans="1:16">
      <c r="A80" s="19">
        <f>IF($P80="","",72)</f>
        <v>72</v>
      </c>
      <c r="B80" s="18" t="str">
        <f>IF($P80="","",IFERROR(IF(INDEX(MASTER!$C$4:$C$1463,$P80)="","",INDEX(MASTER!$C$4:$C$1463,$P80)),""))</f>
        <v>Redvixxen</v>
      </c>
      <c r="C80" s="19" t="str">
        <f>IF($P80="","",IFERROR(IF(INDEX(MASTER!$D$4:$D$1463,$P80)="","",INDEX(MASTER!$D$4:$D$1463,$P80)),""))</f>
        <v>RECK</v>
      </c>
      <c r="D80" s="19" t="str">
        <f>IF($P80="","",IFERROR(IF(INDEX(MASTER!$E$4:$E$1463,$P80)="","",INDEX(MASTER!$E$4:$E$1463,$P80)),""))</f>
        <v>WARLOCK</v>
      </c>
      <c r="E80" s="19" t="str">
        <f>IF($P80="","",IFERROR(IF(INDEX(MASTER!$F$4:$F$1463,$P80)="","",INDEX(MASTER!$F$4:$F$1463,$P80)),""))</f>
        <v>Control</v>
      </c>
      <c r="F80" s="20">
        <f>IF($P80="","",IFERROR(IF(INDEX(MASTER!$G$4:$G$1463,$P80)="","",INDEX(MASTER!$G$4:$G$1463,$P80)),""))</f>
        <v>62268</v>
      </c>
      <c r="G80" s="19" t="str">
        <f>IF($P80="","",IFERROR(IF(INDEX(MASTER!$H$4:$H$1463,$P80)="","",INDEX(MASTER!$H$4:$H$1463,$P80)),""))</f>
        <v>62,000 - 62,999</v>
      </c>
      <c r="H80" s="20">
        <f>IF($P80="","",IFERROR(IF(INDEX(MASTER!$I$4:$I$1463,$P80)="","",INDEX(MASTER!$I$4:$I$1463,$P80)),""))</f>
        <v>3762</v>
      </c>
      <c r="I80" s="19" t="str">
        <f>IF($P80="","",IFERROR(IF(INDEX(MASTER!$J$4:$J$1463,$P80)="","",INDEX(MASTER!$J$4:$J$1463,$P80)),""))</f>
        <v>DEVELOPING</v>
      </c>
      <c r="J80" s="21">
        <f>IF($P80="","",IFERROR(IF(INDEX(MASTER!$L$4:$L$1463,$P80)="","",INDEX(MASTER!$L$4:$L$1463,$P80)),""))</f>
        <v>4.25</v>
      </c>
      <c r="K80" s="21">
        <f>IF($P80="","",IFERROR(IF(INDEX(MASTER!$N$4:$N$1463,$P80)="","",INDEX(MASTER!$N$4:$N$1463,$P80)),""))</f>
        <v>42.6</v>
      </c>
      <c r="L80" s="19" t="str">
        <f>IF($P80="","",IFERROR(IF(INDEX(MASTER!$O$4:$O$1463,$P80)="","",INDEX(MASTER!$O$4:$O$1463,$P80)),""))</f>
        <v>B</v>
      </c>
      <c r="M80" s="19">
        <f>IF($P80="","",IFERROR(IF(INDEX(MASTER!$Q$4:$Q$1463,$P80)="","",INDEX(MASTER!$Q$4:$Q$1463,$P80)),""))</f>
        <v>73</v>
      </c>
      <c r="N80" s="19" t="str">
        <f>IF($P80="","",IFERROR(IF(INDEX(MASTER!$S$4:$S$1463,$P80)="","",INDEX(MASTER!$S$4:$S$1463,$P80)),""))</f>
        <v>Complete</v>
      </c>
      <c r="P80">
        <f>IFERROR(MATCH($Q$1&amp;"@72",MASTER!$AC$4:$AC$1463,0),"")</f>
        <v>941</v>
      </c>
    </row>
    <row r="81" spans="1:16">
      <c r="A81" s="15">
        <f>IF($P81="","",73)</f>
        <v>73</v>
      </c>
      <c r="B81" s="14" t="str">
        <f>IF($P81="","",IFERROR(IF(INDEX(MASTER!$C$4:$C$1463,$P81)="","",INDEX(MASTER!$C$4:$C$1463,$P81)),""))</f>
        <v>Remorah</v>
      </c>
      <c r="C81" s="15" t="str">
        <f>IF($P81="","",IFERROR(IF(INDEX(MASTER!$D$4:$D$1463,$P81)="","",INDEX(MASTER!$D$4:$D$1463,$P81)),""))</f>
        <v>RECK</v>
      </c>
      <c r="D81" s="15" t="str">
        <f>IF($P81="","",IFERROR(IF(INDEX(MASTER!$E$4:$E$1463,$P81)="","",INDEX(MASTER!$E$4:$E$1463,$P81)),""))</f>
        <v>BARBARIAN</v>
      </c>
      <c r="E81" s="15" t="str">
        <f>IF($P81="","",IFERROR(IF(INDEX(MASTER!$F$4:$F$1463,$P81)="","",INDEX(MASTER!$F$4:$F$1463,$P81)),""))</f>
        <v>Frontline</v>
      </c>
      <c r="F81" s="16">
        <f>IF($P81="","",IFERROR(IF(INDEX(MASTER!$G$4:$G$1463,$P81)="","",INDEX(MASTER!$G$4:$G$1463,$P81)),""))</f>
        <v>61293</v>
      </c>
      <c r="G81" s="15" t="str">
        <f>IF($P81="","",IFERROR(IF(INDEX(MASTER!$H$4:$H$1463,$P81)="","",INDEX(MASTER!$H$4:$H$1463,$P81)),""))</f>
        <v>61,000 - 61,999</v>
      </c>
      <c r="H81" s="16">
        <f>IF($P81="","",IFERROR(IF(INDEX(MASTER!$I$4:$I$1463,$P81)="","",INDEX(MASTER!$I$4:$I$1463,$P81)),""))</f>
        <v>3182</v>
      </c>
      <c r="I81" s="15" t="str">
        <f>IF($P81="","",IFERROR(IF(INDEX(MASTER!$J$4:$J$1463,$P81)="","",INDEX(MASTER!$J$4:$J$1463,$P81)),""))</f>
        <v>DEVELOPING</v>
      </c>
      <c r="J81" s="17">
        <f>IF($P81="","",IFERROR(IF(INDEX(MASTER!$L$4:$L$1463,$P81)="","",INDEX(MASTER!$L$4:$L$1463,$P81)),""))</f>
        <v>3.9</v>
      </c>
      <c r="K81" s="17">
        <f>IF($P81="","",IFERROR(IF(INDEX(MASTER!$N$4:$N$1463,$P81)="","",INDEX(MASTER!$N$4:$N$1463,$P81)),""))</f>
        <v>37</v>
      </c>
      <c r="L81" s="15" t="str">
        <f>IF($P81="","",IFERROR(IF(INDEX(MASTER!$O$4:$O$1463,$P81)="","",INDEX(MASTER!$O$4:$O$1463,$P81)),""))</f>
        <v>B</v>
      </c>
      <c r="M81" s="15">
        <f>IF($P81="","",IFERROR(IF(INDEX(MASTER!$Q$4:$Q$1463,$P81)="","",INDEX(MASTER!$Q$4:$Q$1463,$P81)),""))</f>
        <v>84</v>
      </c>
      <c r="N81" s="15" t="str">
        <f>IF($P81="","",IFERROR(IF(INDEX(MASTER!$S$4:$S$1463,$P81)="","",INDEX(MASTER!$S$4:$S$1463,$P81)),""))</f>
        <v>Complete</v>
      </c>
      <c r="P81">
        <f>IFERROR(MATCH($Q$1&amp;"@73",MASTER!$AC$4:$AC$1463,0),"")</f>
        <v>944</v>
      </c>
    </row>
    <row r="82" spans="1:16">
      <c r="A82" s="19">
        <f>IF($P82="","",74)</f>
        <v>74</v>
      </c>
      <c r="B82" s="18" t="str">
        <f>IF($P82="","",IFERROR(IF(INDEX(MASTER!$C$4:$C$1463,$P82)="","",INDEX(MASTER!$C$4:$C$1463,$P82)),""))</f>
        <v>Ron</v>
      </c>
      <c r="C82" s="19" t="str">
        <f>IF($P82="","",IFERROR(IF(INDEX(MASTER!$D$4:$D$1463,$P82)="","",INDEX(MASTER!$D$4:$D$1463,$P82)),""))</f>
        <v>RECK</v>
      </c>
      <c r="D82" s="19" t="str">
        <f>IF($P82="","",IFERROR(IF(INDEX(MASTER!$E$4:$E$1463,$P82)="","",INDEX(MASTER!$E$4:$E$1463,$P82)),""))</f>
        <v>CRUSADER</v>
      </c>
      <c r="E82" s="19" t="str">
        <f>IF($P82="","",IFERROR(IF(INDEX(MASTER!$F$4:$F$1463,$P82)="","",INDEX(MASTER!$F$4:$F$1463,$P82)),""))</f>
        <v>Frontline</v>
      </c>
      <c r="F82" s="20">
        <f>IF($P82="","",IFERROR(IF(INDEX(MASTER!$G$4:$G$1463,$P82)="","",INDEX(MASTER!$G$4:$G$1463,$P82)),""))</f>
        <v>63950</v>
      </c>
      <c r="G82" s="19" t="str">
        <f>IF($P82="","",IFERROR(IF(INDEX(MASTER!$H$4:$H$1463,$P82)="","",INDEX(MASTER!$H$4:$H$1463,$P82)),""))</f>
        <v>63,000 - 63,999</v>
      </c>
      <c r="H82" s="20">
        <f>IF($P82="","",IFERROR(IF(INDEX(MASTER!$I$4:$I$1463,$P82)="","",INDEX(MASTER!$I$4:$I$1463,$P82)),""))</f>
        <v>10069</v>
      </c>
      <c r="I82" s="19" t="str">
        <f>IF($P82="","",IFERROR(IF(INDEX(MASTER!$J$4:$J$1463,$P82)="","",INDEX(MASTER!$J$4:$J$1463,$P82)),""))</f>
        <v>APEX</v>
      </c>
      <c r="J82" s="21">
        <f>IF($P82="","",IFERROR(IF(INDEX(MASTER!$L$4:$L$1463,$P82)="","",INDEX(MASTER!$L$4:$L$1463,$P82)),""))</f>
        <v>8.0500000000000007</v>
      </c>
      <c r="K82" s="21">
        <f>IF($P82="","",IFERROR(IF(INDEX(MASTER!$N$4:$N$1463,$P82)="","",INDEX(MASTER!$N$4:$N$1463,$P82)),""))</f>
        <v>80.900000000000006</v>
      </c>
      <c r="L82" s="19" t="str">
        <f>IF($P82="","",IFERROR(IF(INDEX(MASTER!$O$4:$O$1463,$P82)="","",INDEX(MASTER!$O$4:$O$1463,$P82)),""))</f>
        <v>S+</v>
      </c>
      <c r="M82" s="19">
        <f>IF($P82="","",IFERROR(IF(INDEX(MASTER!$Q$4:$Q$1463,$P82)="","",INDEX(MASTER!$Q$4:$Q$1463,$P82)),""))</f>
        <v>9</v>
      </c>
      <c r="N82" s="19" t="str">
        <f>IF($P82="","",IFERROR(IF(INDEX(MASTER!$S$4:$S$1463,$P82)="","",INDEX(MASTER!$S$4:$S$1463,$P82)),""))</f>
        <v>Complete</v>
      </c>
      <c r="P82">
        <f>IFERROR(MATCH($Q$1&amp;"@74",MASTER!$AC$4:$AC$1463,0),"")</f>
        <v>962</v>
      </c>
    </row>
    <row r="83" spans="1:16">
      <c r="A83" s="15">
        <f>IF($P83="","",75)</f>
        <v>75</v>
      </c>
      <c r="B83" s="14" t="str">
        <f>IF($P83="","",IFERROR(IF(INDEX(MASTER!$C$4:$C$1463,$P83)="","",INDEX(MASTER!$C$4:$C$1463,$P83)),""))</f>
        <v>Rydog</v>
      </c>
      <c r="C83" s="15" t="str">
        <f>IF($P83="","",IFERROR(IF(INDEX(MASTER!$D$4:$D$1463,$P83)="","",INDEX(MASTER!$D$4:$D$1463,$P83)),""))</f>
        <v>RECK</v>
      </c>
      <c r="D83" s="15" t="str">
        <f>IF($P83="","",IFERROR(IF(INDEX(MASTER!$E$4:$E$1463,$P83)="","",INDEX(MASTER!$E$4:$E$1463,$P83)),""))</f>
        <v>DEMON HUNTER</v>
      </c>
      <c r="E83" s="15" t="str">
        <f>IF($P83="","",IFERROR(IF(INDEX(MASTER!$F$4:$F$1463,$P83)="","",INDEX(MASTER!$F$4:$F$1463,$P83)),""))</f>
        <v>Ranged DPS</v>
      </c>
      <c r="F83" s="16">
        <f>IF($P83="","",IFERROR(IF(INDEX(MASTER!$G$4:$G$1463,$P83)="","",INDEX(MASTER!$G$4:$G$1463,$P83)),""))</f>
        <v>64202</v>
      </c>
      <c r="G83" s="15" t="str">
        <f>IF($P83="","",IFERROR(IF(INDEX(MASTER!$H$4:$H$1463,$P83)="","",INDEX(MASTER!$H$4:$H$1463,$P83)),""))</f>
        <v>64,000 +</v>
      </c>
      <c r="H83" s="16">
        <f>IF($P83="","",IFERROR(IF(INDEX(MASTER!$I$4:$I$1463,$P83)="","",INDEX(MASTER!$I$4:$I$1463,$P83)),""))</f>
        <v>11024</v>
      </c>
      <c r="I83" s="15" t="str">
        <f>IF($P83="","",IFERROR(IF(INDEX(MASTER!$J$4:$J$1463,$P83)="","",INDEX(MASTER!$J$4:$J$1463,$P83)),""))</f>
        <v>APEX</v>
      </c>
      <c r="J83" s="17">
        <f>IF($P83="","",IFERROR(IF(INDEX(MASTER!$L$4:$L$1463,$P83)="","",INDEX(MASTER!$L$4:$L$1463,$P83)),""))</f>
        <v>8.1300000000000008</v>
      </c>
      <c r="K83" s="17">
        <f>IF($P83="","",IFERROR(IF(INDEX(MASTER!$N$4:$N$1463,$P83)="","",INDEX(MASTER!$N$4:$N$1463,$P83)),""))</f>
        <v>85.9</v>
      </c>
      <c r="L83" s="15" t="str">
        <f>IF($P83="","",IFERROR(IF(INDEX(MASTER!$O$4:$O$1463,$P83)="","",INDEX(MASTER!$O$4:$O$1463,$P83)),""))</f>
        <v>S+</v>
      </c>
      <c r="M83" s="15">
        <f>IF($P83="","",IFERROR(IF(INDEX(MASTER!$Q$4:$Q$1463,$P83)="","",INDEX(MASTER!$Q$4:$Q$1463,$P83)),""))</f>
        <v>1</v>
      </c>
      <c r="N83" s="15" t="str">
        <f>IF($P83="","",IFERROR(IF(INDEX(MASTER!$S$4:$S$1463,$P83)="","",INDEX(MASTER!$S$4:$S$1463,$P83)),""))</f>
        <v>Complete</v>
      </c>
      <c r="P83">
        <f>IFERROR(MATCH($Q$1&amp;"@75",MASTER!$AC$4:$AC$1463,0),"")</f>
        <v>977</v>
      </c>
    </row>
    <row r="84" spans="1:16">
      <c r="A84" s="19">
        <f>IF($P84="","",76)</f>
        <v>76</v>
      </c>
      <c r="B84" s="18" t="str">
        <f>IF($P84="","",IFERROR(IF(INDEX(MASTER!$C$4:$C$1463,$P84)="","",INDEX(MASTER!$C$4:$C$1463,$P84)),""))</f>
        <v>Shadoebane</v>
      </c>
      <c r="C84" s="19" t="str">
        <f>IF($P84="","",IFERROR(IF(INDEX(MASTER!$D$4:$D$1463,$P84)="","",INDEX(MASTER!$D$4:$D$1463,$P84)),""))</f>
        <v>RECK</v>
      </c>
      <c r="D84" s="19" t="str">
        <f>IF($P84="","",IFERROR(IF(INDEX(MASTER!$E$4:$E$1463,$P84)="","",INDEX(MASTER!$E$4:$E$1463,$P84)),""))</f>
        <v>BARBARIAN</v>
      </c>
      <c r="E84" s="19" t="str">
        <f>IF($P84="","",IFERROR(IF(INDEX(MASTER!$F$4:$F$1463,$P84)="","",INDEX(MASTER!$F$4:$F$1463,$P84)),""))</f>
        <v>Frontline</v>
      </c>
      <c r="F84" s="20">
        <f>IF($P84="","",IFERROR(IF(INDEX(MASTER!$G$4:$G$1463,$P84)="","",INDEX(MASTER!$G$4:$G$1463,$P84)),""))</f>
        <v>63793</v>
      </c>
      <c r="G84" s="19" t="str">
        <f>IF($P84="","",IFERROR(IF(INDEX(MASTER!$H$4:$H$1463,$P84)="","",INDEX(MASTER!$H$4:$H$1463,$P84)),""))</f>
        <v>63,000 - 63,999</v>
      </c>
      <c r="H84" s="20">
        <f>IF($P84="","",IFERROR(IF(INDEX(MASTER!$I$4:$I$1463,$P84)="","",INDEX(MASTER!$I$4:$I$1463,$P84)),""))</f>
        <v>7475</v>
      </c>
      <c r="I84" s="19" t="str">
        <f>IF($P84="","",IFERROR(IF(INDEX(MASTER!$J$4:$J$1463,$P84)="","",INDEX(MASTER!$J$4:$J$1463,$P84)),""))</f>
        <v>VETERAN</v>
      </c>
      <c r="J84" s="21">
        <f>IF($P84="","",IFERROR(IF(INDEX(MASTER!$L$4:$L$1463,$P84)="","",INDEX(MASTER!$L$4:$L$1463,$P84)),""))</f>
        <v>8.35</v>
      </c>
      <c r="K84" s="21">
        <f>IF($P84="","",IFERROR(IF(INDEX(MASTER!$N$4:$N$1463,$P84)="","",INDEX(MASTER!$N$4:$N$1463,$P84)),""))</f>
        <v>69.7</v>
      </c>
      <c r="L84" s="19" t="str">
        <f>IF($P84="","",IFERROR(IF(INDEX(MASTER!$O$4:$O$1463,$P84)="","",INDEX(MASTER!$O$4:$O$1463,$P84)),""))</f>
        <v>S</v>
      </c>
      <c r="M84" s="19">
        <f>IF($P84="","",IFERROR(IF(INDEX(MASTER!$Q$4:$Q$1463,$P84)="","",INDEX(MASTER!$Q$4:$Q$1463,$P84)),""))</f>
        <v>22</v>
      </c>
      <c r="N84" s="19" t="str">
        <f>IF($P84="","",IFERROR(IF(INDEX(MASTER!$S$4:$S$1463,$P84)="","",INDEX(MASTER!$S$4:$S$1463,$P84)),""))</f>
        <v>Complete</v>
      </c>
      <c r="P84">
        <f>IFERROR(MATCH($Q$1&amp;"@76",MASTER!$AC$4:$AC$1463,0),"")</f>
        <v>999</v>
      </c>
    </row>
    <row r="85" spans="1:16">
      <c r="A85" s="15">
        <f>IF($P85="","",77)</f>
        <v>77</v>
      </c>
      <c r="B85" s="14" t="str">
        <f>IF($P85="","",IFERROR(IF(INDEX(MASTER!$C$4:$C$1463,$P85)="","",INDEX(MASTER!$C$4:$C$1463,$P85)),""))</f>
        <v>SinjunSmite</v>
      </c>
      <c r="C85" s="15" t="str">
        <f>IF($P85="","",IFERROR(IF(INDEX(MASTER!$D$4:$D$1463,$P85)="","",INDEX(MASTER!$D$4:$D$1463,$P85)),""))</f>
        <v>RECK</v>
      </c>
      <c r="D85" s="15" t="str">
        <f>IF($P85="","",IFERROR(IF(INDEX(MASTER!$E$4:$E$1463,$P85)="","",INDEX(MASTER!$E$4:$E$1463,$P85)),""))</f>
        <v>NECROMANCER</v>
      </c>
      <c r="E85" s="15" t="str">
        <f>IF($P85="","",IFERROR(IF(INDEX(MASTER!$F$4:$F$1463,$P85)="","",INDEX(MASTER!$F$4:$F$1463,$P85)),""))</f>
        <v>Control</v>
      </c>
      <c r="F85" s="16">
        <f>IF($P85="","",IFERROR(IF(INDEX(MASTER!$G$4:$G$1463,$P85)="","",INDEX(MASTER!$G$4:$G$1463,$P85)),""))</f>
        <v>62038</v>
      </c>
      <c r="G85" s="15" t="str">
        <f>IF($P85="","",IFERROR(IF(INDEX(MASTER!$H$4:$H$1463,$P85)="","",INDEX(MASTER!$H$4:$H$1463,$P85)),""))</f>
        <v>62,000 - 62,999</v>
      </c>
      <c r="H85" s="16">
        <f>IF($P85="","",IFERROR(IF(INDEX(MASTER!$I$4:$I$1463,$P85)="","",INDEX(MASTER!$I$4:$I$1463,$P85)),""))</f>
        <v>6504</v>
      </c>
      <c r="I85" s="15" t="str">
        <f>IF($P85="","",IFERROR(IF(INDEX(MASTER!$J$4:$J$1463,$P85)="","",INDEX(MASTER!$J$4:$J$1463,$P85)),""))</f>
        <v>VETERAN</v>
      </c>
      <c r="J85" s="17">
        <f>IF($P85="","",IFERROR(IF(INDEX(MASTER!$L$4:$L$1463,$P85)="","",INDEX(MASTER!$L$4:$L$1463,$P85)),""))</f>
        <v>6.65</v>
      </c>
      <c r="K85" s="17">
        <f>IF($P85="","",IFERROR(IF(INDEX(MASTER!$N$4:$N$1463,$P85)="","",INDEX(MASTER!$N$4:$N$1463,$P85)),""))</f>
        <v>58</v>
      </c>
      <c r="L85" s="15" t="str">
        <f>IF($P85="","",IFERROR(IF(INDEX(MASTER!$O$4:$O$1463,$P85)="","",INDEX(MASTER!$O$4:$O$1463,$P85)),""))</f>
        <v>A</v>
      </c>
      <c r="M85" s="15">
        <f>IF($P85="","",IFERROR(IF(INDEX(MASTER!$Q$4:$Q$1463,$P85)="","",INDEX(MASTER!$Q$4:$Q$1463,$P85)),""))</f>
        <v>29</v>
      </c>
      <c r="N85" s="15" t="str">
        <f>IF($P85="","",IFERROR(IF(INDEX(MASTER!$S$4:$S$1463,$P85)="","",INDEX(MASTER!$S$4:$S$1463,$P85)),""))</f>
        <v>Complete</v>
      </c>
      <c r="P85">
        <f>IFERROR(MATCH($Q$1&amp;"@77",MASTER!$AC$4:$AC$1463,0),"")</f>
        <v>1025</v>
      </c>
    </row>
    <row r="86" spans="1:16">
      <c r="A86" s="19">
        <f>IF($P86="","",78)</f>
        <v>78</v>
      </c>
      <c r="B86" s="18" t="str">
        <f>IF($P86="","",IFERROR(IF(INDEX(MASTER!$C$4:$C$1463,$P86)="","",INDEX(MASTER!$C$4:$C$1463,$P86)),""))</f>
        <v>Sman</v>
      </c>
      <c r="C86" s="19" t="str">
        <f>IF($P86="","",IFERROR(IF(INDEX(MASTER!$D$4:$D$1463,$P86)="","",INDEX(MASTER!$D$4:$D$1463,$P86)),""))</f>
        <v>RECK</v>
      </c>
      <c r="D86" s="19" t="str">
        <f>IF($P86="","",IFERROR(IF(INDEX(MASTER!$E$4:$E$1463,$P86)="","",INDEX(MASTER!$E$4:$E$1463,$P86)),""))</f>
        <v>BARBARIAN</v>
      </c>
      <c r="E86" s="19" t="str">
        <f>IF($P86="","",IFERROR(IF(INDEX(MASTER!$F$4:$F$1463,$P86)="","",INDEX(MASTER!$F$4:$F$1463,$P86)),""))</f>
        <v>Frontline</v>
      </c>
      <c r="F86" s="20">
        <f>IF($P86="","",IFERROR(IF(INDEX(MASTER!$G$4:$G$1463,$P86)="","",INDEX(MASTER!$G$4:$G$1463,$P86)),""))</f>
        <v>63890</v>
      </c>
      <c r="G86" s="19" t="str">
        <f>IF($P86="","",IFERROR(IF(INDEX(MASTER!$H$4:$H$1463,$P86)="","",INDEX(MASTER!$H$4:$H$1463,$P86)),""))</f>
        <v>63,000 - 63,999</v>
      </c>
      <c r="H86" s="20">
        <f>IF($P86="","",IFERROR(IF(INDEX(MASTER!$I$4:$I$1463,$P86)="","",INDEX(MASTER!$I$4:$I$1463,$P86)),""))</f>
        <v>10339</v>
      </c>
      <c r="I86" s="19" t="str">
        <f>IF($P86="","",IFERROR(IF(INDEX(MASTER!$J$4:$J$1463,$P86)="","",INDEX(MASTER!$J$4:$J$1463,$P86)),""))</f>
        <v>APEX</v>
      </c>
      <c r="J86" s="21">
        <f>IF($P86="","",IFERROR(IF(INDEX(MASTER!$L$4:$L$1463,$P86)="","",INDEX(MASTER!$L$4:$L$1463,$P86)),""))</f>
        <v>5.7</v>
      </c>
      <c r="K86" s="21">
        <f>IF($P86="","",IFERROR(IF(INDEX(MASTER!$N$4:$N$1463,$P86)="","",INDEX(MASTER!$N$4:$N$1463,$P86)),""))</f>
        <v>78</v>
      </c>
      <c r="L86" s="19" t="str">
        <f>IF($P86="","",IFERROR(IF(INDEX(MASTER!$O$4:$O$1463,$P86)="","",INDEX(MASTER!$O$4:$O$1463,$P86)),""))</f>
        <v>S</v>
      </c>
      <c r="M86" s="19">
        <f>IF($P86="","",IFERROR(IF(INDEX(MASTER!$Q$4:$Q$1463,$P86)="","",INDEX(MASTER!$Q$4:$Q$1463,$P86)),""))</f>
        <v>7</v>
      </c>
      <c r="N86" s="19" t="str">
        <f>IF($P86="","",IFERROR(IF(INDEX(MASTER!$S$4:$S$1463,$P86)="","",INDEX(MASTER!$S$4:$S$1463,$P86)),""))</f>
        <v>Complete</v>
      </c>
      <c r="P86">
        <f>IFERROR(MATCH($Q$1&amp;"@78",MASTER!$AC$4:$AC$1463,0),"")</f>
        <v>1045</v>
      </c>
    </row>
    <row r="87" spans="1:16">
      <c r="A87" s="15">
        <f>IF($P87="","",79)</f>
        <v>79</v>
      </c>
      <c r="B87" s="14" t="str">
        <f>IF($P87="","",IFERROR(IF(INDEX(MASTER!$C$4:$C$1463,$P87)="","",INDEX(MASTER!$C$4:$C$1463,$P87)),""))</f>
        <v>Smoky</v>
      </c>
      <c r="C87" s="15" t="str">
        <f>IF($P87="","",IFERROR(IF(INDEX(MASTER!$D$4:$D$1463,$P87)="","",INDEX(MASTER!$D$4:$D$1463,$P87)),""))</f>
        <v>RECK</v>
      </c>
      <c r="D87" s="15" t="str">
        <f>IF($P87="","",IFERROR(IF(INDEX(MASTER!$E$4:$E$1463,$P87)="","",INDEX(MASTER!$E$4:$E$1463,$P87)),""))</f>
        <v>NECROMANCER</v>
      </c>
      <c r="E87" s="15" t="str">
        <f>IF($P87="","",IFERROR(IF(INDEX(MASTER!$F$4:$F$1463,$P87)="","",INDEX(MASTER!$F$4:$F$1463,$P87)),""))</f>
        <v>Control</v>
      </c>
      <c r="F87" s="16">
        <f>IF($P87="","",IFERROR(IF(INDEX(MASTER!$G$4:$G$1463,$P87)="","",INDEX(MASTER!$G$4:$G$1463,$P87)),""))</f>
        <v>63893</v>
      </c>
      <c r="G87" s="15" t="str">
        <f>IF($P87="","",IFERROR(IF(INDEX(MASTER!$H$4:$H$1463,$P87)="","",INDEX(MASTER!$H$4:$H$1463,$P87)),""))</f>
        <v>63,000 - 63,999</v>
      </c>
      <c r="H87" s="16">
        <f>IF($P87="","",IFERROR(IF(INDEX(MASTER!$I$4:$I$1463,$P87)="","",INDEX(MASTER!$I$4:$I$1463,$P87)),""))</f>
        <v>7367</v>
      </c>
      <c r="I87" s="15" t="str">
        <f>IF($P87="","",IFERROR(IF(INDEX(MASTER!$J$4:$J$1463,$P87)="","",INDEX(MASTER!$J$4:$J$1463,$P87)),""))</f>
        <v>VETERAN</v>
      </c>
      <c r="J87" s="17">
        <f>IF($P87="","",IFERROR(IF(INDEX(MASTER!$L$4:$L$1463,$P87)="","",INDEX(MASTER!$L$4:$L$1463,$P87)),""))</f>
        <v>5.75</v>
      </c>
      <c r="K87" s="17">
        <f>IF($P87="","",IFERROR(IF(INDEX(MASTER!$N$4:$N$1463,$P87)="","",INDEX(MASTER!$N$4:$N$1463,$P87)),""))</f>
        <v>65.099999999999994</v>
      </c>
      <c r="L87" s="15" t="str">
        <f>IF($P87="","",IFERROR(IF(INDEX(MASTER!$O$4:$O$1463,$P87)="","",INDEX(MASTER!$O$4:$O$1463,$P87)),""))</f>
        <v>S</v>
      </c>
      <c r="M87" s="15">
        <f>IF($P87="","",IFERROR(IF(INDEX(MASTER!$Q$4:$Q$1463,$P87)="","",INDEX(MASTER!$Q$4:$Q$1463,$P87)),""))</f>
        <v>23</v>
      </c>
      <c r="N87" s="15" t="str">
        <f>IF($P87="","",IFERROR(IF(INDEX(MASTER!$S$4:$S$1463,$P87)="","",INDEX(MASTER!$S$4:$S$1463,$P87)),""))</f>
        <v>Complete</v>
      </c>
      <c r="P87">
        <f>IFERROR(MATCH($Q$1&amp;"@79",MASTER!$AC$4:$AC$1463,0),"")</f>
        <v>1047</v>
      </c>
    </row>
    <row r="88" spans="1:16">
      <c r="A88" s="19">
        <f>IF($P88="","",80)</f>
        <v>80</v>
      </c>
      <c r="B88" s="18" t="str">
        <f>IF($P88="","",IFERROR(IF(INDEX(MASTER!$C$4:$C$1463,$P88)="","",INDEX(MASTER!$C$4:$C$1463,$P88)),""))</f>
        <v>Tarrick</v>
      </c>
      <c r="C88" s="19" t="str">
        <f>IF($P88="","",IFERROR(IF(INDEX(MASTER!$D$4:$D$1463,$P88)="","",INDEX(MASTER!$D$4:$D$1463,$P88)),""))</f>
        <v>RECK</v>
      </c>
      <c r="D88" s="19" t="str">
        <f>IF($P88="","",IFERROR(IF(INDEX(MASTER!$E$4:$E$1463,$P88)="","",INDEX(MASTER!$E$4:$E$1463,$P88)),""))</f>
        <v>BLOOD KNIGHT</v>
      </c>
      <c r="E88" s="19" t="str">
        <f>IF($P88="","",IFERROR(IF(INDEX(MASTER!$F$4:$F$1463,$P88)="","",INDEX(MASTER!$F$4:$F$1463,$P88)),""))</f>
        <v>Frontline</v>
      </c>
      <c r="F88" s="20">
        <f>IF($P88="","",IFERROR(IF(INDEX(MASTER!$G$4:$G$1463,$P88)="","",INDEX(MASTER!$G$4:$G$1463,$P88)),""))</f>
        <v>62326</v>
      </c>
      <c r="G88" s="19" t="str">
        <f>IF($P88="","",IFERROR(IF(INDEX(MASTER!$H$4:$H$1463,$P88)="","",INDEX(MASTER!$H$4:$H$1463,$P88)),""))</f>
        <v>62,000 - 62,999</v>
      </c>
      <c r="H88" s="20">
        <f>IF($P88="","",IFERROR(IF(INDEX(MASTER!$I$4:$I$1463,$P88)="","",INDEX(MASTER!$I$4:$I$1463,$P88)),""))</f>
        <v>3175</v>
      </c>
      <c r="I88" s="19" t="str">
        <f>IF($P88="","",IFERROR(IF(INDEX(MASTER!$J$4:$J$1463,$P88)="","",INDEX(MASTER!$J$4:$J$1463,$P88)),""))</f>
        <v>DEVELOPING</v>
      </c>
      <c r="J88" s="21">
        <f>IF($P88="","",IFERROR(IF(INDEX(MASTER!$L$4:$L$1463,$P88)="","",INDEX(MASTER!$L$4:$L$1463,$P88)),""))</f>
        <v>5.15</v>
      </c>
      <c r="K88" s="21">
        <f>IF($P88="","",IFERROR(IF(INDEX(MASTER!$N$4:$N$1463,$P88)="","",INDEX(MASTER!$N$4:$N$1463,$P88)),""))</f>
        <v>41.7</v>
      </c>
      <c r="L88" s="19" t="str">
        <f>IF($P88="","",IFERROR(IF(INDEX(MASTER!$O$4:$O$1463,$P88)="","",INDEX(MASTER!$O$4:$O$1463,$P88)),""))</f>
        <v>B</v>
      </c>
      <c r="M88" s="19">
        <f>IF($P88="","",IFERROR(IF(INDEX(MASTER!$Q$4:$Q$1463,$P88)="","",INDEX(MASTER!$Q$4:$Q$1463,$P88)),""))</f>
        <v>85</v>
      </c>
      <c r="N88" s="19" t="str">
        <f>IF($P88="","",IFERROR(IF(INDEX(MASTER!$S$4:$S$1463,$P88)="","",INDEX(MASTER!$S$4:$S$1463,$P88)),""))</f>
        <v>Complete</v>
      </c>
      <c r="P88">
        <f>IFERROR(MATCH($Q$1&amp;"@80",MASTER!$AC$4:$AC$1463,0),"")</f>
        <v>1120</v>
      </c>
    </row>
    <row r="89" spans="1:16">
      <c r="A89" s="15">
        <f>IF($P89="","",81)</f>
        <v>81</v>
      </c>
      <c r="B89" s="14" t="str">
        <f>IF($P89="","",IFERROR(IF(INDEX(MASTER!$C$4:$C$1463,$P89)="","",INDEX(MASTER!$C$4:$C$1463,$P89)),""))</f>
        <v>Theseus擒住绿竹</v>
      </c>
      <c r="C89" s="15" t="str">
        <f>IF($P89="","",IFERROR(IF(INDEX(MASTER!$D$4:$D$1463,$P89)="","",INDEX(MASTER!$D$4:$D$1463,$P89)),""))</f>
        <v>RECK</v>
      </c>
      <c r="D89" s="15" t="str">
        <f>IF($P89="","",IFERROR(IF(INDEX(MASTER!$E$4:$E$1463,$P89)="","",INDEX(MASTER!$E$4:$E$1463,$P89)),""))</f>
        <v>MONK</v>
      </c>
      <c r="E89" s="15" t="str">
        <f>IF($P89="","",IFERROR(IF(INDEX(MASTER!$F$4:$F$1463,$P89)="","",INDEX(MASTER!$F$4:$F$1463,$P89)),""))</f>
        <v>Support</v>
      </c>
      <c r="F89" s="16">
        <f>IF($P89="","",IFERROR(IF(INDEX(MASTER!$G$4:$G$1463,$P89)="","",INDEX(MASTER!$G$4:$G$1463,$P89)),""))</f>
        <v>62021</v>
      </c>
      <c r="G89" s="15" t="str">
        <f>IF($P89="","",IFERROR(IF(INDEX(MASTER!$H$4:$H$1463,$P89)="","",INDEX(MASTER!$H$4:$H$1463,$P89)),""))</f>
        <v>62,000 - 62,999</v>
      </c>
      <c r="H89" s="16">
        <f>IF($P89="","",IFERROR(IF(INDEX(MASTER!$I$4:$I$1463,$P89)="","",INDEX(MASTER!$I$4:$I$1463,$P89)),""))</f>
        <v>1310</v>
      </c>
      <c r="I89" s="15" t="str">
        <f>IF($P89="","",IFERROR(IF(INDEX(MASTER!$J$4:$J$1463,$P89)="","",INDEX(MASTER!$J$4:$J$1463,$P89)),""))</f>
        <v>ROOKIE</v>
      </c>
      <c r="J89" s="17">
        <f>IF($P89="","",IFERROR(IF(INDEX(MASTER!$L$4:$L$1463,$P89)="","",INDEX(MASTER!$L$4:$L$1463,$P89)),""))</f>
        <v>4.95</v>
      </c>
      <c r="K89" s="17">
        <f>IF($P89="","",IFERROR(IF(INDEX(MASTER!$N$4:$N$1463,$P89)="","",INDEX(MASTER!$N$4:$N$1463,$P89)),""))</f>
        <v>32.4</v>
      </c>
      <c r="L89" s="15" t="str">
        <f>IF($P89="","",IFERROR(IF(INDEX(MASTER!$O$4:$O$1463,$P89)="","",INDEX(MASTER!$O$4:$O$1463,$P89)),""))</f>
        <v>C</v>
      </c>
      <c r="M89" s="15">
        <f>IF($P89="","",IFERROR(IF(INDEX(MASTER!$Q$4:$Q$1463,$P89)="","",INDEX(MASTER!$Q$4:$Q$1463,$P89)),""))</f>
        <v>97</v>
      </c>
      <c r="N89" s="15" t="str">
        <f>IF($P89="","",IFERROR(IF(INDEX(MASTER!$S$4:$S$1463,$P89)="","",INDEX(MASTER!$S$4:$S$1463,$P89)),""))</f>
        <v>Complete</v>
      </c>
      <c r="P89">
        <f>IFERROR(MATCH($Q$1&amp;"@81",MASTER!$AC$4:$AC$1463,0),"")</f>
        <v>1143</v>
      </c>
    </row>
    <row r="90" spans="1:16">
      <c r="A90" s="19">
        <f>IF($P90="","",82)</f>
        <v>82</v>
      </c>
      <c r="B90" s="18" t="str">
        <f>IF($P90="","",IFERROR(IF(INDEX(MASTER!$C$4:$C$1463,$P90)="","",INDEX(MASTER!$C$4:$C$1463,$P90)),""))</f>
        <v>TheShrike</v>
      </c>
      <c r="C90" s="19" t="str">
        <f>IF($P90="","",IFERROR(IF(INDEX(MASTER!$D$4:$D$1463,$P90)="","",INDEX(MASTER!$D$4:$D$1463,$P90)),""))</f>
        <v>RECK</v>
      </c>
      <c r="D90" s="19" t="str">
        <f>IF($P90="","",IFERROR(IF(INDEX(MASTER!$E$4:$E$1463,$P90)="","",INDEX(MASTER!$E$4:$E$1463,$P90)),""))</f>
        <v>WARLOCK</v>
      </c>
      <c r="E90" s="19" t="str">
        <f>IF($P90="","",IFERROR(IF(INDEX(MASTER!$F$4:$F$1463,$P90)="","",INDEX(MASTER!$F$4:$F$1463,$P90)),""))</f>
        <v>Control</v>
      </c>
      <c r="F90" s="20">
        <f>IF($P90="","",IFERROR(IF(INDEX(MASTER!$G$4:$G$1463,$P90)="","",INDEX(MASTER!$G$4:$G$1463,$P90)),""))</f>
        <v>63369</v>
      </c>
      <c r="G90" s="19" t="str">
        <f>IF($P90="","",IFERROR(IF(INDEX(MASTER!$H$4:$H$1463,$P90)="","",INDEX(MASTER!$H$4:$H$1463,$P90)),""))</f>
        <v>63,000 - 63,999</v>
      </c>
      <c r="H90" s="20">
        <f>IF($P90="","",IFERROR(IF(INDEX(MASTER!$I$4:$I$1463,$P90)="","",INDEX(MASTER!$I$4:$I$1463,$P90)),""))</f>
        <v>6173</v>
      </c>
      <c r="I90" s="19" t="str">
        <f>IF($P90="","",IFERROR(IF(INDEX(MASTER!$J$4:$J$1463,$P90)="","",INDEX(MASTER!$J$4:$J$1463,$P90)),""))</f>
        <v>VETERAN</v>
      </c>
      <c r="J90" s="21">
        <f>IF($P90="","",IFERROR(IF(INDEX(MASTER!$L$4:$L$1463,$P90)="","",INDEX(MASTER!$L$4:$L$1463,$P90)),""))</f>
        <v>4.95</v>
      </c>
      <c r="K90" s="21">
        <f>IF($P90="","",IFERROR(IF(INDEX(MASTER!$N$4:$N$1463,$P90)="","",INDEX(MASTER!$N$4:$N$1463,$P90)),""))</f>
        <v>57.2</v>
      </c>
      <c r="L90" s="19" t="str">
        <f>IF($P90="","",IFERROR(IF(INDEX(MASTER!$O$4:$O$1463,$P90)="","",INDEX(MASTER!$O$4:$O$1463,$P90)),""))</f>
        <v>A</v>
      </c>
      <c r="M90" s="19">
        <f>IF($P90="","",IFERROR(IF(INDEX(MASTER!$Q$4:$Q$1463,$P90)="","",INDEX(MASTER!$Q$4:$Q$1463,$P90)),""))</f>
        <v>31</v>
      </c>
      <c r="N90" s="19" t="str">
        <f>IF($P90="","",IFERROR(IF(INDEX(MASTER!$S$4:$S$1463,$P90)="","",INDEX(MASTER!$S$4:$S$1463,$P90)),""))</f>
        <v>Complete</v>
      </c>
      <c r="P90">
        <f>IFERROR(MATCH($Q$1&amp;"@82",MASTER!$AC$4:$AC$1463,0),"")</f>
        <v>1144</v>
      </c>
    </row>
    <row r="91" spans="1:16">
      <c r="A91" s="15">
        <f>IF($P91="","",83)</f>
        <v>83</v>
      </c>
      <c r="B91" s="14" t="str">
        <f>IF($P91="","",IFERROR(IF(INDEX(MASTER!$C$4:$C$1463,$P91)="","",INDEX(MASTER!$C$4:$C$1463,$P91)),""))</f>
        <v>TheTrevorBelmont</v>
      </c>
      <c r="C91" s="15" t="str">
        <f>IF($P91="","",IFERROR(IF(INDEX(MASTER!$D$4:$D$1463,$P91)="","",INDEX(MASTER!$D$4:$D$1463,$P91)),""))</f>
        <v>RECK</v>
      </c>
      <c r="D91" s="15" t="str">
        <f>IF($P91="","",IFERROR(IF(INDEX(MASTER!$E$4:$E$1463,$P91)="","",INDEX(MASTER!$E$4:$E$1463,$P91)),""))</f>
        <v>BARBARIAN</v>
      </c>
      <c r="E91" s="15" t="str">
        <f>IF($P91="","",IFERROR(IF(INDEX(MASTER!$F$4:$F$1463,$P91)="","",INDEX(MASTER!$F$4:$F$1463,$P91)),""))</f>
        <v>Frontline</v>
      </c>
      <c r="F91" s="16">
        <f>IF($P91="","",IFERROR(IF(INDEX(MASTER!$G$4:$G$1463,$P91)="","",INDEX(MASTER!$G$4:$G$1463,$P91)),""))</f>
        <v>62819</v>
      </c>
      <c r="G91" s="15" t="str">
        <f>IF($P91="","",IFERROR(IF(INDEX(MASTER!$H$4:$H$1463,$P91)="","",INDEX(MASTER!$H$4:$H$1463,$P91)),""))</f>
        <v>62,000 - 62,999</v>
      </c>
      <c r="H91" s="16">
        <f>IF($P91="","",IFERROR(IF(INDEX(MASTER!$I$4:$I$1463,$P91)="","",INDEX(MASTER!$I$4:$I$1463,$P91)),""))</f>
        <v>3285</v>
      </c>
      <c r="I91" s="15" t="str">
        <f>IF($P91="","",IFERROR(IF(INDEX(MASTER!$J$4:$J$1463,$P91)="","",INDEX(MASTER!$J$4:$J$1463,$P91)),""))</f>
        <v>DEVELOPING</v>
      </c>
      <c r="J91" s="17">
        <f>IF($P91="","",IFERROR(IF(INDEX(MASTER!$L$4:$L$1463,$P91)="","",INDEX(MASTER!$L$4:$L$1463,$P91)),""))</f>
        <v>5.3</v>
      </c>
      <c r="K91" s="17">
        <f>IF($P91="","",IFERROR(IF(INDEX(MASTER!$N$4:$N$1463,$P91)="","",INDEX(MASTER!$N$4:$N$1463,$P91)),""))</f>
        <v>43.7</v>
      </c>
      <c r="L91" s="15" t="str">
        <f>IF($P91="","",IFERROR(IF(INDEX(MASTER!$O$4:$O$1463,$P91)="","",INDEX(MASTER!$O$4:$O$1463,$P91)),""))</f>
        <v>B</v>
      </c>
      <c r="M91" s="15">
        <f>IF($P91="","",IFERROR(IF(INDEX(MASTER!$Q$4:$Q$1463,$P91)="","",INDEX(MASTER!$Q$4:$Q$1463,$P91)),""))</f>
        <v>83</v>
      </c>
      <c r="N91" s="15" t="str">
        <f>IF($P91="","",IFERROR(IF(INDEX(MASTER!$S$4:$S$1463,$P91)="","",INDEX(MASTER!$S$4:$S$1463,$P91)),""))</f>
        <v>Complete</v>
      </c>
      <c r="P91">
        <f>IFERROR(MATCH($Q$1&amp;"@83",MASTER!$AC$4:$AC$1463,0),"")</f>
        <v>1145</v>
      </c>
    </row>
    <row r="92" spans="1:16">
      <c r="A92" s="19">
        <f>IF($P92="","",84)</f>
        <v>84</v>
      </c>
      <c r="B92" s="18" t="str">
        <f>IF($P92="","",IFERROR(IF(INDEX(MASTER!$C$4:$C$1463,$P92)="","",INDEX(MASTER!$C$4:$C$1463,$P92)),""))</f>
        <v>Töastt</v>
      </c>
      <c r="C92" s="19" t="str">
        <f>IF($P92="","",IFERROR(IF(INDEX(MASTER!$D$4:$D$1463,$P92)="","",INDEX(MASTER!$D$4:$D$1463,$P92)),""))</f>
        <v>RECK</v>
      </c>
      <c r="D92" s="19" t="str">
        <f>IF($P92="","",IFERROR(IF(INDEX(MASTER!$E$4:$E$1463,$P92)="","",INDEX(MASTER!$E$4:$E$1463,$P92)),""))</f>
        <v>CRUSADER</v>
      </c>
      <c r="E92" s="19" t="str">
        <f>IF($P92="","",IFERROR(IF(INDEX(MASTER!$F$4:$F$1463,$P92)="","",INDEX(MASTER!$F$4:$F$1463,$P92)),""))</f>
        <v>Frontline</v>
      </c>
      <c r="F92" s="20">
        <f>IF($P92="","",IFERROR(IF(INDEX(MASTER!$G$4:$G$1463,$P92)="","",INDEX(MASTER!$G$4:$G$1463,$P92)),""))</f>
        <v>64077</v>
      </c>
      <c r="G92" s="19" t="str">
        <f>IF($P92="","",IFERROR(IF(INDEX(MASTER!$H$4:$H$1463,$P92)="","",INDEX(MASTER!$H$4:$H$1463,$P92)),""))</f>
        <v>64,000 +</v>
      </c>
      <c r="H92" s="20">
        <f>IF($P92="","",IFERROR(IF(INDEX(MASTER!$I$4:$I$1463,$P92)="","",INDEX(MASTER!$I$4:$I$1463,$P92)),""))</f>
        <v>8316</v>
      </c>
      <c r="I92" s="19" t="str">
        <f>IF($P92="","",IFERROR(IF(INDEX(MASTER!$J$4:$J$1463,$P92)="","",INDEX(MASTER!$J$4:$J$1463,$P92)),""))</f>
        <v>ELITE</v>
      </c>
      <c r="J92" s="21">
        <f>IF($P92="","",IFERROR(IF(INDEX(MASTER!$L$4:$L$1463,$P92)="","",INDEX(MASTER!$L$4:$L$1463,$P92)),""))</f>
        <v>7.4</v>
      </c>
      <c r="K92" s="21">
        <f>IF($P92="","",IFERROR(IF(INDEX(MASTER!$N$4:$N$1463,$P92)="","",INDEX(MASTER!$N$4:$N$1463,$P92)),""))</f>
        <v>72.5</v>
      </c>
      <c r="L92" s="19" t="str">
        <f>IF($P92="","",IFERROR(IF(INDEX(MASTER!$O$4:$O$1463,$P92)="","",INDEX(MASTER!$O$4:$O$1463,$P92)),""))</f>
        <v>S</v>
      </c>
      <c r="M92" s="19">
        <f>IF($P92="","",IFERROR(IF(INDEX(MASTER!$Q$4:$Q$1463,$P92)="","",INDEX(MASTER!$Q$4:$Q$1463,$P92)),""))</f>
        <v>20</v>
      </c>
      <c r="N92" s="19" t="str">
        <f>IF($P92="","",IFERROR(IF(INDEX(MASTER!$S$4:$S$1463,$P92)="","",INDEX(MASTER!$S$4:$S$1463,$P92)),""))</f>
        <v>Complete</v>
      </c>
      <c r="P92">
        <f>IFERROR(MATCH($Q$1&amp;"@84",MASTER!$AC$4:$AC$1463,0),"")</f>
        <v>1185</v>
      </c>
    </row>
    <row r="93" spans="1:16">
      <c r="A93" s="15">
        <f>IF($P93="","",85)</f>
        <v>85</v>
      </c>
      <c r="B93" s="14" t="str">
        <f>IF($P93="","",IFERROR(IF(INDEX(MASTER!$C$4:$C$1463,$P93)="","",INDEX(MASTER!$C$4:$C$1463,$P93)),""))</f>
        <v>TØXŽIḲ</v>
      </c>
      <c r="C93" s="15" t="str">
        <f>IF($P93="","",IFERROR(IF(INDEX(MASTER!$D$4:$D$1463,$P93)="","",INDEX(MASTER!$D$4:$D$1463,$P93)),""))</f>
        <v>RECK</v>
      </c>
      <c r="D93" s="15" t="str">
        <f>IF($P93="","",IFERROR(IF(INDEX(MASTER!$E$4:$E$1463,$P93)="","",INDEX(MASTER!$E$4:$E$1463,$P93)),""))</f>
        <v>WARLOCK</v>
      </c>
      <c r="E93" s="15" t="str">
        <f>IF($P93="","",IFERROR(IF(INDEX(MASTER!$F$4:$F$1463,$P93)="","",INDEX(MASTER!$F$4:$F$1463,$P93)),""))</f>
        <v>Control</v>
      </c>
      <c r="F93" s="16">
        <f>IF($P93="","",IFERROR(IF(INDEX(MASTER!$G$4:$G$1463,$P93)="","",INDEX(MASTER!$G$4:$G$1463,$P93)),""))</f>
        <v>61878</v>
      </c>
      <c r="G93" s="15" t="str">
        <f>IF($P93="","",IFERROR(IF(INDEX(MASTER!$H$4:$H$1463,$P93)="","",INDEX(MASTER!$H$4:$H$1463,$P93)),""))</f>
        <v>61,000 - 61,999</v>
      </c>
      <c r="H93" s="16">
        <f>IF($P93="","",IFERROR(IF(INDEX(MASTER!$I$4:$I$1463,$P93)="","",INDEX(MASTER!$I$4:$I$1463,$P93)),""))</f>
        <v>3101</v>
      </c>
      <c r="I93" s="15" t="str">
        <f>IF($P93="","",IFERROR(IF(INDEX(MASTER!$J$4:$J$1463,$P93)="","",INDEX(MASTER!$J$4:$J$1463,$P93)),""))</f>
        <v>DEVELOPING</v>
      </c>
      <c r="J93" s="17">
        <f>IF($P93="","",IFERROR(IF(INDEX(MASTER!$L$4:$L$1463,$P93)="","",INDEX(MASTER!$L$4:$L$1463,$P93)),""))</f>
        <v>3.75</v>
      </c>
      <c r="K93" s="17">
        <f>IF($P93="","",IFERROR(IF(INDEX(MASTER!$N$4:$N$1463,$P93)="","",INDEX(MASTER!$N$4:$N$1463,$P93)),""))</f>
        <v>37.9</v>
      </c>
      <c r="L93" s="15" t="str">
        <f>IF($P93="","",IFERROR(IF(INDEX(MASTER!$O$4:$O$1463,$P93)="","",INDEX(MASTER!$O$4:$O$1463,$P93)),""))</f>
        <v>B</v>
      </c>
      <c r="M93" s="15">
        <f>IF($P93="","",IFERROR(IF(INDEX(MASTER!$Q$4:$Q$1463,$P93)="","",INDEX(MASTER!$Q$4:$Q$1463,$P93)),""))</f>
        <v>86</v>
      </c>
      <c r="N93" s="15" t="str">
        <f>IF($P93="","",IFERROR(IF(INDEX(MASTER!$S$4:$S$1463,$P93)="","",INDEX(MASTER!$S$4:$S$1463,$P93)),""))</f>
        <v>Complete</v>
      </c>
      <c r="P93">
        <f>IFERROR(MATCH($Q$1&amp;"@85",MASTER!$AC$4:$AC$1463,0),"")</f>
        <v>1186</v>
      </c>
    </row>
    <row r="94" spans="1:16">
      <c r="A94" s="19">
        <f>IF($P94="","",86)</f>
        <v>86</v>
      </c>
      <c r="B94" s="18" t="str">
        <f>IF($P94="","",IFERROR(IF(INDEX(MASTER!$C$4:$C$1463,$P94)="","",INDEX(MASTER!$C$4:$C$1463,$P94)),""))</f>
        <v>Ťriv</v>
      </c>
      <c r="C94" s="19" t="str">
        <f>IF($P94="","",IFERROR(IF(INDEX(MASTER!$D$4:$D$1463,$P94)="","",INDEX(MASTER!$D$4:$D$1463,$P94)),""))</f>
        <v>RECK</v>
      </c>
      <c r="D94" s="19" t="str">
        <f>IF($P94="","",IFERROR(IF(INDEX(MASTER!$E$4:$E$1463,$P94)="","",INDEX(MASTER!$E$4:$E$1463,$P94)),""))</f>
        <v>WIZARD</v>
      </c>
      <c r="E94" s="19" t="str">
        <f>IF($P94="","",IFERROR(IF(INDEX(MASTER!$F$4:$F$1463,$P94)="","",INDEX(MASTER!$F$4:$F$1463,$P94)),""))</f>
        <v>Ranged DPS</v>
      </c>
      <c r="F94" s="20">
        <f>IF($P94="","",IFERROR(IF(INDEX(MASTER!$G$4:$G$1463,$P94)="","",INDEX(MASTER!$G$4:$G$1463,$P94)),""))</f>
        <v>63846</v>
      </c>
      <c r="G94" s="19" t="str">
        <f>IF($P94="","",IFERROR(IF(INDEX(MASTER!$H$4:$H$1463,$P94)="","",INDEX(MASTER!$H$4:$H$1463,$P94)),""))</f>
        <v>63,000 - 63,999</v>
      </c>
      <c r="H94" s="20">
        <f>IF($P94="","",IFERROR(IF(INDEX(MASTER!$I$4:$I$1463,$P94)="","",INDEX(MASTER!$I$4:$I$1463,$P94)),""))</f>
        <v>8685</v>
      </c>
      <c r="I94" s="19" t="str">
        <f>IF($P94="","",IFERROR(IF(INDEX(MASTER!$J$4:$J$1463,$P94)="","",INDEX(MASTER!$J$4:$J$1463,$P94)),""))</f>
        <v>ELITE</v>
      </c>
      <c r="J94" s="21">
        <f>IF($P94="","",IFERROR(IF(INDEX(MASTER!$L$4:$L$1463,$P94)="","",INDEX(MASTER!$L$4:$L$1463,$P94)),""))</f>
        <v>9.75</v>
      </c>
      <c r="K94" s="21">
        <f>IF($P94="","",IFERROR(IF(INDEX(MASTER!$N$4:$N$1463,$P94)="","",INDEX(MASTER!$N$4:$N$1463,$P94)),""))</f>
        <v>77.400000000000006</v>
      </c>
      <c r="L94" s="19" t="str">
        <f>IF($P94="","",IFERROR(IF(INDEX(MASTER!$O$4:$O$1463,$P94)="","",INDEX(MASTER!$O$4:$O$1463,$P94)),""))</f>
        <v>S</v>
      </c>
      <c r="M94" s="19">
        <f>IF($P94="","",IFERROR(IF(INDEX(MASTER!$Q$4:$Q$1463,$P94)="","",INDEX(MASTER!$Q$4:$Q$1463,$P94)),""))</f>
        <v>17</v>
      </c>
      <c r="N94" s="19" t="str">
        <f>IF($P94="","",IFERROR(IF(INDEX(MASTER!$S$4:$S$1463,$P94)="","",INDEX(MASTER!$S$4:$S$1463,$P94)),""))</f>
        <v>Complete</v>
      </c>
      <c r="P94">
        <f>IFERROR(MATCH($Q$1&amp;"@86",MASTER!$AC$4:$AC$1463,0),"")</f>
        <v>1348</v>
      </c>
    </row>
    <row r="95" spans="1:16">
      <c r="A95" s="15">
        <f>IF($P95="","",87)</f>
        <v>87</v>
      </c>
      <c r="B95" s="14" t="str">
        <f>IF($P95="","",IFERROR(IF(INDEX(MASTER!$C$4:$C$1463,$P95)="","",INDEX(MASTER!$C$4:$C$1463,$P95)),""))</f>
        <v>Vajazzle</v>
      </c>
      <c r="C95" s="15" t="str">
        <f>IF($P95="","",IFERROR(IF(INDEX(MASTER!$D$4:$D$1463,$P95)="","",INDEX(MASTER!$D$4:$D$1463,$P95)),""))</f>
        <v>RECK</v>
      </c>
      <c r="D95" s="15" t="str">
        <f>IF($P95="","",IFERROR(IF(INDEX(MASTER!$E$4:$E$1463,$P95)="","",INDEX(MASTER!$E$4:$E$1463,$P95)),""))</f>
        <v>WARLOCK</v>
      </c>
      <c r="E95" s="15" t="str">
        <f>IF($P95="","",IFERROR(IF(INDEX(MASTER!$F$4:$F$1463,$P95)="","",INDEX(MASTER!$F$4:$F$1463,$P95)),""))</f>
        <v>Control</v>
      </c>
      <c r="F95" s="16">
        <f>IF($P95="","",IFERROR(IF(INDEX(MASTER!$G$4:$G$1463,$P95)="","",INDEX(MASTER!$G$4:$G$1463,$P95)),""))</f>
        <v>62040</v>
      </c>
      <c r="G95" s="15" t="str">
        <f>IF($P95="","",IFERROR(IF(INDEX(MASTER!$H$4:$H$1463,$P95)="","",INDEX(MASTER!$H$4:$H$1463,$P95)),""))</f>
        <v>62,000 - 62,999</v>
      </c>
      <c r="H95" s="16">
        <f>IF($P95="","",IFERROR(IF(INDEX(MASTER!$I$4:$I$1463,$P95)="","",INDEX(MASTER!$I$4:$I$1463,$P95)),""))</f>
        <v>9867</v>
      </c>
      <c r="I95" s="15" t="str">
        <f>IF($P95="","",IFERROR(IF(INDEX(MASTER!$J$4:$J$1463,$P95)="","",INDEX(MASTER!$J$4:$J$1463,$P95)),""))</f>
        <v>ELITE</v>
      </c>
      <c r="J95" s="17">
        <f>IF($P95="","",IFERROR(IF(INDEX(MASTER!$L$4:$L$1463,$P95)="","",INDEX(MASTER!$L$4:$L$1463,$P95)),""))</f>
        <v>8.4</v>
      </c>
      <c r="K95" s="17">
        <f>IF($P95="","",IFERROR(IF(INDEX(MASTER!$N$4:$N$1463,$P95)="","",INDEX(MASTER!$N$4:$N$1463,$P95)),""))</f>
        <v>75.599999999999994</v>
      </c>
      <c r="L95" s="15" t="str">
        <f>IF($P95="","",IFERROR(IF(INDEX(MASTER!$O$4:$O$1463,$P95)="","",INDEX(MASTER!$O$4:$O$1463,$P95)),""))</f>
        <v>S</v>
      </c>
      <c r="M95" s="15">
        <f>IF($P95="","",IFERROR(IF(INDEX(MASTER!$Q$4:$Q$1463,$P95)="","",INDEX(MASTER!$Q$4:$Q$1463,$P95)),""))</f>
        <v>10</v>
      </c>
      <c r="N95" s="15" t="str">
        <f>IF($P95="","",IFERROR(IF(INDEX(MASTER!$S$4:$S$1463,$P95)="","",INDEX(MASTER!$S$4:$S$1463,$P95)),""))</f>
        <v>Complete</v>
      </c>
      <c r="P95">
        <f>IFERROR(MATCH($Q$1&amp;"@87",MASTER!$AC$4:$AC$1463,0),"")</f>
        <v>1203</v>
      </c>
    </row>
    <row r="96" spans="1:16">
      <c r="A96" s="19">
        <f>IF($P96="","",88)</f>
        <v>88</v>
      </c>
      <c r="B96" s="18" t="str">
        <f>IF($P96="","",IFERROR(IF(INDEX(MASTER!$C$4:$C$1463,$P96)="","",INDEX(MASTER!$C$4:$C$1463,$P96)),""))</f>
        <v>Vestige</v>
      </c>
      <c r="C96" s="19" t="str">
        <f>IF($P96="","",IFERROR(IF(INDEX(MASTER!$D$4:$D$1463,$P96)="","",INDEX(MASTER!$D$4:$D$1463,$P96)),""))</f>
        <v>RECK</v>
      </c>
      <c r="D96" s="19" t="str">
        <f>IF($P96="","",IFERROR(IF(INDEX(MASTER!$E$4:$E$1463,$P96)="","",INDEX(MASTER!$E$4:$E$1463,$P96)),""))</f>
        <v>WIZARD</v>
      </c>
      <c r="E96" s="19" t="str">
        <f>IF($P96="","",IFERROR(IF(INDEX(MASTER!$F$4:$F$1463,$P96)="","",INDEX(MASTER!$F$4:$F$1463,$P96)),""))</f>
        <v>Ranged DPS</v>
      </c>
      <c r="F96" s="20">
        <f>IF($P96="","",IFERROR(IF(INDEX(MASTER!$G$4:$G$1463,$P96)="","",INDEX(MASTER!$G$4:$G$1463,$P96)),""))</f>
        <v>60651</v>
      </c>
      <c r="G96" s="19" t="str">
        <f>IF($P96="","",IFERROR(IF(INDEX(MASTER!$H$4:$H$1463,$P96)="","",INDEX(MASTER!$H$4:$H$1463,$P96)),""))</f>
        <v>60,000 - 60,999</v>
      </c>
      <c r="H96" s="20">
        <f>IF($P96="","",IFERROR(IF(INDEX(MASTER!$I$4:$I$1463,$P96)="","",INDEX(MASTER!$I$4:$I$1463,$P96)),""))</f>
        <v>5788</v>
      </c>
      <c r="I96" s="19" t="str">
        <f>IF($P96="","",IFERROR(IF(INDEX(MASTER!$J$4:$J$1463,$P96)="","",INDEX(MASTER!$J$4:$J$1463,$P96)),""))</f>
        <v>CORE</v>
      </c>
      <c r="J96" s="21">
        <f>IF($P96="","",IFERROR(IF(INDEX(MASTER!$L$4:$L$1463,$P96)="","",INDEX(MASTER!$L$4:$L$1463,$P96)),""))</f>
        <v>7.8</v>
      </c>
      <c r="K96" s="21">
        <f>IF($P96="","",IFERROR(IF(INDEX(MASTER!$N$4:$N$1463,$P96)="","",INDEX(MASTER!$N$4:$N$1463,$P96)),""))</f>
        <v>53.1</v>
      </c>
      <c r="L96" s="19" t="str">
        <f>IF($P96="","",IFERROR(IF(INDEX(MASTER!$O$4:$O$1463,$P96)="","",INDEX(MASTER!$O$4:$O$1463,$P96)),""))</f>
        <v>A</v>
      </c>
      <c r="M96" s="19">
        <f>IF($P96="","",IFERROR(IF(INDEX(MASTER!$Q$4:$Q$1463,$P96)="","",INDEX(MASTER!$Q$4:$Q$1463,$P96)),""))</f>
        <v>35</v>
      </c>
      <c r="N96" s="19" t="str">
        <f>IF($P96="","",IFERROR(IF(INDEX(MASTER!$S$4:$S$1463,$P96)="","",INDEX(MASTER!$S$4:$S$1463,$P96)),""))</f>
        <v>Complete</v>
      </c>
      <c r="P96">
        <f>IFERROR(MATCH($Q$1&amp;"@88",MASTER!$AC$4:$AC$1463,0),"")</f>
        <v>1216</v>
      </c>
    </row>
    <row r="97" spans="1:16">
      <c r="A97" s="15">
        <f>IF($P97="","",89)</f>
        <v>89</v>
      </c>
      <c r="B97" s="14" t="str">
        <f>IF($P97="","",IFERROR(IF(INDEX(MASTER!$C$4:$C$1463,$P97)="","",INDEX(MASTER!$C$4:$C$1463,$P97)),""))</f>
        <v>Vicalla</v>
      </c>
      <c r="C97" s="15" t="str">
        <f>IF($P97="","",IFERROR(IF(INDEX(MASTER!$D$4:$D$1463,$P97)="","",INDEX(MASTER!$D$4:$D$1463,$P97)),""))</f>
        <v>RECK</v>
      </c>
      <c r="D97" s="15" t="str">
        <f>IF($P97="","",IFERROR(IF(INDEX(MASTER!$E$4:$E$1463,$P97)="","",INDEX(MASTER!$E$4:$E$1463,$P97)),""))</f>
        <v>WARLOCK</v>
      </c>
      <c r="E97" s="15" t="str">
        <f>IF($P97="","",IFERROR(IF(INDEX(MASTER!$F$4:$F$1463,$P97)="","",INDEX(MASTER!$F$4:$F$1463,$P97)),""))</f>
        <v>Control</v>
      </c>
      <c r="F97" s="16">
        <f>IF($P97="","",IFERROR(IF(INDEX(MASTER!$G$4:$G$1463,$P97)="","",INDEX(MASTER!$G$4:$G$1463,$P97)),""))</f>
        <v>61420</v>
      </c>
      <c r="G97" s="15" t="str">
        <f>IF($P97="","",IFERROR(IF(INDEX(MASTER!$H$4:$H$1463,$P97)="","",INDEX(MASTER!$H$4:$H$1463,$P97)),""))</f>
        <v>61,000 - 61,999</v>
      </c>
      <c r="H97" s="16">
        <f>IF($P97="","",IFERROR(IF(INDEX(MASTER!$I$4:$I$1463,$P97)="","",INDEX(MASTER!$I$4:$I$1463,$P97)),""))</f>
        <v>3782</v>
      </c>
      <c r="I97" s="15" t="str">
        <f>IF($P97="","",IFERROR(IF(INDEX(MASTER!$J$4:$J$1463,$P97)="","",INDEX(MASTER!$J$4:$J$1463,$P97)),""))</f>
        <v>DEVELOPING</v>
      </c>
      <c r="J97" s="17">
        <f>IF($P97="","",IFERROR(IF(INDEX(MASTER!$L$4:$L$1463,$P97)="","",INDEX(MASTER!$L$4:$L$1463,$P97)),""))</f>
        <v>6.25</v>
      </c>
      <c r="K97" s="17">
        <f>IF($P97="","",IFERROR(IF(INDEX(MASTER!$N$4:$N$1463,$P97)="","",INDEX(MASTER!$N$4:$N$1463,$P97)),""))</f>
        <v>43.8</v>
      </c>
      <c r="L97" s="15" t="str">
        <f>IF($P97="","",IFERROR(IF(INDEX(MASTER!$O$4:$O$1463,$P97)="","",INDEX(MASTER!$O$4:$O$1463,$P97)),""))</f>
        <v>B</v>
      </c>
      <c r="M97" s="15">
        <f>IF($P97="","",IFERROR(IF(INDEX(MASTER!$Q$4:$Q$1463,$P97)="","",INDEX(MASTER!$Q$4:$Q$1463,$P97)),""))</f>
        <v>71</v>
      </c>
      <c r="N97" s="15" t="str">
        <f>IF($P97="","",IFERROR(IF(INDEX(MASTER!$S$4:$S$1463,$P97)="","",INDEX(MASTER!$S$4:$S$1463,$P97)),""))</f>
        <v>Complete</v>
      </c>
      <c r="P97">
        <f>IFERROR(MATCH($Q$1&amp;"@89",MASTER!$AC$4:$AC$1463,0),"")</f>
        <v>1220</v>
      </c>
    </row>
    <row r="98" spans="1:16">
      <c r="A98" s="19">
        <f>IF($P98="","",90)</f>
        <v>90</v>
      </c>
      <c r="B98" s="18" t="str">
        <f>IF($P98="","",IFERROR(IF(INDEX(MASTER!$C$4:$C$1463,$P98)="","",INDEX(MASTER!$C$4:$C$1463,$P98)),""))</f>
        <v>Witcher</v>
      </c>
      <c r="C98" s="19" t="str">
        <f>IF($P98="","",IFERROR(IF(INDEX(MASTER!$D$4:$D$1463,$P98)="","",INDEX(MASTER!$D$4:$D$1463,$P98)),""))</f>
        <v>RECK</v>
      </c>
      <c r="D98" s="19" t="str">
        <f>IF($P98="","",IFERROR(IF(INDEX(MASTER!$E$4:$E$1463,$P98)="","",INDEX(MASTER!$E$4:$E$1463,$P98)),""))</f>
        <v>BLOOD KNIGHT</v>
      </c>
      <c r="E98" s="19" t="str">
        <f>IF($P98="","",IFERROR(IF(INDEX(MASTER!$F$4:$F$1463,$P98)="","",INDEX(MASTER!$F$4:$F$1463,$P98)),""))</f>
        <v>Frontline</v>
      </c>
      <c r="F98" s="20">
        <f>IF($P98="","",IFERROR(IF(INDEX(MASTER!$G$4:$G$1463,$P98)="","",INDEX(MASTER!$G$4:$G$1463,$P98)),""))</f>
        <v>61217</v>
      </c>
      <c r="G98" s="19" t="str">
        <f>IF($P98="","",IFERROR(IF(INDEX(MASTER!$H$4:$H$1463,$P98)="","",INDEX(MASTER!$H$4:$H$1463,$P98)),""))</f>
        <v>61,000 - 61,999</v>
      </c>
      <c r="H98" s="20">
        <f>IF($P98="","",IFERROR(IF(INDEX(MASTER!$I$4:$I$1463,$P98)="","",INDEX(MASTER!$I$4:$I$1463,$P98)),""))</f>
        <v>3674</v>
      </c>
      <c r="I98" s="19" t="str">
        <f>IF($P98="","",IFERROR(IF(INDEX(MASTER!$J$4:$J$1463,$P98)="","",INDEX(MASTER!$J$4:$J$1463,$P98)),""))</f>
        <v>DEVELOPING</v>
      </c>
      <c r="J98" s="21">
        <f>IF($P98="","",IFERROR(IF(INDEX(MASTER!$L$4:$L$1463,$P98)="","",INDEX(MASTER!$L$4:$L$1463,$P98)),""))</f>
        <v>5.05</v>
      </c>
      <c r="K98" s="21">
        <f>IF($P98="","",IFERROR(IF(INDEX(MASTER!$N$4:$N$1463,$P98)="","",INDEX(MASTER!$N$4:$N$1463,$P98)),""))</f>
        <v>40.799999999999997</v>
      </c>
      <c r="L98" s="19" t="str">
        <f>IF($P98="","",IFERROR(IF(INDEX(MASTER!$O$4:$O$1463,$P98)="","",INDEX(MASTER!$O$4:$O$1463,$P98)),""))</f>
        <v>B</v>
      </c>
      <c r="M98" s="19">
        <f>IF($P98="","",IFERROR(IF(INDEX(MASTER!$Q$4:$Q$1463,$P98)="","",INDEX(MASTER!$Q$4:$Q$1463,$P98)),""))</f>
        <v>76</v>
      </c>
      <c r="N98" s="19" t="str">
        <f>IF($P98="","",IFERROR(IF(INDEX(MASTER!$S$4:$S$1463,$P98)="","",INDEX(MASTER!$S$4:$S$1463,$P98)),""))</f>
        <v>Complete</v>
      </c>
      <c r="P98">
        <f>IFERROR(MATCH($Q$1&amp;"@90",MASTER!$AC$4:$AC$1463,0),"")</f>
        <v>1260</v>
      </c>
    </row>
    <row r="99" spans="1:16">
      <c r="A99" s="15">
        <f>IF($P99="","",91)</f>
        <v>91</v>
      </c>
      <c r="B99" s="14" t="str">
        <f>IF($P99="","",IFERROR(IF(INDEX(MASTER!$C$4:$C$1463,$P99)="","",INDEX(MASTER!$C$4:$C$1463,$P99)),""))</f>
        <v>Wynterkiss</v>
      </c>
      <c r="C99" s="15" t="str">
        <f>IF($P99="","",IFERROR(IF(INDEX(MASTER!$D$4:$D$1463,$P99)="","",INDEX(MASTER!$D$4:$D$1463,$P99)),""))</f>
        <v>RECK</v>
      </c>
      <c r="D99" s="15" t="str">
        <f>IF($P99="","",IFERROR(IF(INDEX(MASTER!$E$4:$E$1463,$P99)="","",INDEX(MASTER!$E$4:$E$1463,$P99)),""))</f>
        <v>WARLOCK</v>
      </c>
      <c r="E99" s="15" t="str">
        <f>IF($P99="","",IFERROR(IF(INDEX(MASTER!$F$4:$F$1463,$P99)="","",INDEX(MASTER!$F$4:$F$1463,$P99)),""))</f>
        <v>Control</v>
      </c>
      <c r="F99" s="16">
        <f>IF($P99="","",IFERROR(IF(INDEX(MASTER!$G$4:$G$1463,$P99)="","",INDEX(MASTER!$G$4:$G$1463,$P99)),""))</f>
        <v>64464</v>
      </c>
      <c r="G99" s="15" t="str">
        <f>IF($P99="","",IFERROR(IF(INDEX(MASTER!$H$4:$H$1463,$P99)="","",INDEX(MASTER!$H$4:$H$1463,$P99)),""))</f>
        <v>64,000 +</v>
      </c>
      <c r="H99" s="16">
        <f>IF($P99="","",IFERROR(IF(INDEX(MASTER!$I$4:$I$1463,$P99)="","",INDEX(MASTER!$I$4:$I$1463,$P99)),""))</f>
        <v>10435</v>
      </c>
      <c r="I99" s="15" t="str">
        <f>IF($P99="","",IFERROR(IF(INDEX(MASTER!$J$4:$J$1463,$P99)="","",INDEX(MASTER!$J$4:$J$1463,$P99)),""))</f>
        <v>APEX</v>
      </c>
      <c r="J99" s="17">
        <f>IF($P99="","",IFERROR(IF(INDEX(MASTER!$L$4:$L$1463,$P99)="","",INDEX(MASTER!$L$4:$L$1463,$P99)),""))</f>
        <v>9.4</v>
      </c>
      <c r="K99" s="17">
        <f>IF($P99="","",IFERROR(IF(INDEX(MASTER!$N$4:$N$1463,$P99)="","",INDEX(MASTER!$N$4:$N$1463,$P99)),""))</f>
        <v>86.1</v>
      </c>
      <c r="L99" s="15" t="str">
        <f>IF($P99="","",IFERROR(IF(INDEX(MASTER!$O$4:$O$1463,$P99)="","",INDEX(MASTER!$O$4:$O$1463,$P99)),""))</f>
        <v>S+</v>
      </c>
      <c r="M99" s="15">
        <f>IF($P99="","",IFERROR(IF(INDEX(MASTER!$Q$4:$Q$1463,$P99)="","",INDEX(MASTER!$Q$4:$Q$1463,$P99)),""))</f>
        <v>3</v>
      </c>
      <c r="N99" s="15" t="str">
        <f>IF($P99="","",IFERROR(IF(INDEX(MASTER!$S$4:$S$1463,$P99)="","",INDEX(MASTER!$S$4:$S$1463,$P99)),""))</f>
        <v>Complete</v>
      </c>
      <c r="P99">
        <f>IFERROR(MATCH($Q$1&amp;"@91",MASTER!$AC$4:$AC$1463,0),"")</f>
        <v>1271</v>
      </c>
    </row>
    <row r="100" spans="1:16">
      <c r="A100" s="19">
        <f>IF($P100="","",92)</f>
        <v>92</v>
      </c>
      <c r="B100" s="18" t="str">
        <f>IF($P100="","",IFERROR(IF(INDEX(MASTER!$C$4:$C$1463,$P100)="","",INDEX(MASTER!$C$4:$C$1463,$P100)),""))</f>
        <v>xXSindorXx</v>
      </c>
      <c r="C100" s="19" t="str">
        <f>IF($P100="","",IFERROR(IF(INDEX(MASTER!$D$4:$D$1463,$P100)="","",INDEX(MASTER!$D$4:$D$1463,$P100)),""))</f>
        <v>RECK</v>
      </c>
      <c r="D100" s="19" t="str">
        <f>IF($P100="","",IFERROR(IF(INDEX(MASTER!$E$4:$E$1463,$P100)="","",INDEX(MASTER!$E$4:$E$1463,$P100)),""))</f>
        <v>CRUSADER</v>
      </c>
      <c r="E100" s="19" t="str">
        <f>IF($P100="","",IFERROR(IF(INDEX(MASTER!$F$4:$F$1463,$P100)="","",INDEX(MASTER!$F$4:$F$1463,$P100)),""))</f>
        <v>Frontline</v>
      </c>
      <c r="F100" s="20">
        <f>IF($P100="","",IFERROR(IF(INDEX(MASTER!$G$4:$G$1463,$P100)="","",INDEX(MASTER!$G$4:$G$1463,$P100)),""))</f>
        <v>62019</v>
      </c>
      <c r="G100" s="19" t="str">
        <f>IF($P100="","",IFERROR(IF(INDEX(MASTER!$H$4:$H$1463,$P100)="","",INDEX(MASTER!$H$4:$H$1463,$P100)),""))</f>
        <v>62,000 - 62,999</v>
      </c>
      <c r="H100" s="20">
        <f>IF($P100="","",IFERROR(IF(INDEX(MASTER!$I$4:$I$1463,$P100)="","",INDEX(MASTER!$I$4:$I$1463,$P100)),""))</f>
        <v>2730</v>
      </c>
      <c r="I100" s="19" t="str">
        <f>IF($P100="","",IFERROR(IF(INDEX(MASTER!$J$4:$J$1463,$P100)="","",INDEX(MASTER!$J$4:$J$1463,$P100)),""))</f>
        <v>DEVELOPING</v>
      </c>
      <c r="J100" s="21">
        <f>IF($P100="","",IFERROR(IF(INDEX(MASTER!$L$4:$L$1463,$P100)="","",INDEX(MASTER!$L$4:$L$1463,$P100)),""))</f>
        <v>3.5</v>
      </c>
      <c r="K100" s="21">
        <f>IF($P100="","",IFERROR(IF(INDEX(MASTER!$N$4:$N$1463,$P100)="","",INDEX(MASTER!$N$4:$N$1463,$P100)),""))</f>
        <v>36.200000000000003</v>
      </c>
      <c r="L100" s="19" t="str">
        <f>IF($P100="","",IFERROR(IF(INDEX(MASTER!$O$4:$O$1463,$P100)="","",INDEX(MASTER!$O$4:$O$1463,$P100)),""))</f>
        <v>B</v>
      </c>
      <c r="M100" s="19">
        <f>IF($P100="","",IFERROR(IF(INDEX(MASTER!$Q$4:$Q$1463,$P100)="","",INDEX(MASTER!$Q$4:$Q$1463,$P100)),""))</f>
        <v>89</v>
      </c>
      <c r="N100" s="19" t="str">
        <f>IF($P100="","",IFERROR(IF(INDEX(MASTER!$S$4:$S$1463,$P100)="","",INDEX(MASTER!$S$4:$S$1463,$P100)),""))</f>
        <v>Complete</v>
      </c>
      <c r="P100">
        <f>IFERROR(MATCH($Q$1&amp;"@92",MASTER!$AC$4:$AC$1463,0),"")</f>
        <v>1291</v>
      </c>
    </row>
    <row r="101" spans="1:16">
      <c r="A101" s="15">
        <f>IF($P101="","",93)</f>
        <v>93</v>
      </c>
      <c r="B101" s="14" t="str">
        <f>IF($P101="","",IFERROR(IF(INDEX(MASTER!$C$4:$C$1463,$P101)="","",INDEX(MASTER!$C$4:$C$1463,$P101)),""))</f>
        <v>YiYii</v>
      </c>
      <c r="C101" s="15" t="str">
        <f>IF($P101="","",IFERROR(IF(INDEX(MASTER!$D$4:$D$1463,$P101)="","",INDEX(MASTER!$D$4:$D$1463,$P101)),""))</f>
        <v>RECK</v>
      </c>
      <c r="D101" s="15" t="str">
        <f>IF($P101="","",IFERROR(IF(INDEX(MASTER!$E$4:$E$1463,$P101)="","",INDEX(MASTER!$E$4:$E$1463,$P101)),""))</f>
        <v>NECROMANCER</v>
      </c>
      <c r="E101" s="15" t="str">
        <f>IF($P101="","",IFERROR(IF(INDEX(MASTER!$F$4:$F$1463,$P101)="","",INDEX(MASTER!$F$4:$F$1463,$P101)),""))</f>
        <v>Control</v>
      </c>
      <c r="F101" s="16">
        <f>IF($P101="","",IFERROR(IF(INDEX(MASTER!$G$4:$G$1463,$P101)="","",INDEX(MASTER!$G$4:$G$1463,$P101)),""))</f>
        <v>62963</v>
      </c>
      <c r="G101" s="15" t="str">
        <f>IF($P101="","",IFERROR(IF(INDEX(MASTER!$H$4:$H$1463,$P101)="","",INDEX(MASTER!$H$4:$H$1463,$P101)),""))</f>
        <v>62,000 - 62,999</v>
      </c>
      <c r="H101" s="16">
        <f>IF($P101="","",IFERROR(IF(INDEX(MASTER!$I$4:$I$1463,$P101)="","",INDEX(MASTER!$I$4:$I$1463,$P101)),""))</f>
        <v>3878</v>
      </c>
      <c r="I101" s="15" t="str">
        <f>IF($P101="","",IFERROR(IF(INDEX(MASTER!$J$4:$J$1463,$P101)="","",INDEX(MASTER!$J$4:$J$1463,$P101)),""))</f>
        <v>DEVELOPING</v>
      </c>
      <c r="J101" s="17">
        <f>IF($P101="","",IFERROR(IF(INDEX(MASTER!$L$4:$L$1463,$P101)="","",INDEX(MASTER!$L$4:$L$1463,$P101)),""))</f>
        <v>4.5</v>
      </c>
      <c r="K101" s="17">
        <f>IF($P101="","",IFERROR(IF(INDEX(MASTER!$N$4:$N$1463,$P101)="","",INDEX(MASTER!$N$4:$N$1463,$P101)),""))</f>
        <v>45.4</v>
      </c>
      <c r="L101" s="15" t="str">
        <f>IF($P101="","",IFERROR(IF(INDEX(MASTER!$O$4:$O$1463,$P101)="","",INDEX(MASTER!$O$4:$O$1463,$P101)),""))</f>
        <v>B</v>
      </c>
      <c r="M101" s="15">
        <f>IF($P101="","",IFERROR(IF(INDEX(MASTER!$Q$4:$Q$1463,$P101)="","",INDEX(MASTER!$Q$4:$Q$1463,$P101)),""))</f>
        <v>67</v>
      </c>
      <c r="N101" s="15" t="str">
        <f>IF($P101="","",IFERROR(IF(INDEX(MASTER!$S$4:$S$1463,$P101)="","",INDEX(MASTER!$S$4:$S$1463,$P101)),""))</f>
        <v>Complete</v>
      </c>
      <c r="P101">
        <f>IFERROR(MATCH($Q$1&amp;"@93",MASTER!$AC$4:$AC$1463,0),"")</f>
        <v>1302</v>
      </c>
    </row>
    <row r="102" spans="1:16">
      <c r="A102" s="19">
        <f>IF($P102="","",94)</f>
        <v>94</v>
      </c>
      <c r="B102" s="18" t="str">
        <f>IF($P102="","",IFERROR(IF(INDEX(MASTER!$C$4:$C$1463,$P102)="","",INDEX(MASTER!$C$4:$C$1463,$P102)),""))</f>
        <v>YøurMøm</v>
      </c>
      <c r="C102" s="19" t="str">
        <f>IF($P102="","",IFERROR(IF(INDEX(MASTER!$D$4:$D$1463,$P102)="","",INDEX(MASTER!$D$4:$D$1463,$P102)),""))</f>
        <v>RECK</v>
      </c>
      <c r="D102" s="19" t="str">
        <f>IF($P102="","",IFERROR(IF(INDEX(MASTER!$E$4:$E$1463,$P102)="","",INDEX(MASTER!$E$4:$E$1463,$P102)),""))</f>
        <v>WARLOCK</v>
      </c>
      <c r="E102" s="19" t="str">
        <f>IF($P102="","",IFERROR(IF(INDEX(MASTER!$F$4:$F$1463,$P102)="","",INDEX(MASTER!$F$4:$F$1463,$P102)),""))</f>
        <v>Control</v>
      </c>
      <c r="F102" s="20">
        <f>IF($P102="","",IFERROR(IF(INDEX(MASTER!$G$4:$G$1463,$P102)="","",INDEX(MASTER!$G$4:$G$1463,$P102)),""))</f>
        <v>61720</v>
      </c>
      <c r="G102" s="19" t="str">
        <f>IF($P102="","",IFERROR(IF(INDEX(MASTER!$H$4:$H$1463,$P102)="","",INDEX(MASTER!$H$4:$H$1463,$P102)),""))</f>
        <v>61,000 - 61,999</v>
      </c>
      <c r="H102" s="20">
        <f>IF($P102="","",IFERROR(IF(INDEX(MASTER!$I$4:$I$1463,$P102)="","",INDEX(MASTER!$I$4:$I$1463,$P102)),""))</f>
        <v>4144</v>
      </c>
      <c r="I102" s="19" t="str">
        <f>IF($P102="","",IFERROR(IF(INDEX(MASTER!$J$4:$J$1463,$P102)="","",INDEX(MASTER!$J$4:$J$1463,$P102)),""))</f>
        <v>CORE</v>
      </c>
      <c r="J102" s="21">
        <f>IF($P102="","",IFERROR(IF(INDEX(MASTER!$L$4:$L$1463,$P102)="","",INDEX(MASTER!$L$4:$L$1463,$P102)),""))</f>
        <v>5.55</v>
      </c>
      <c r="K102" s="21">
        <f>IF($P102="","",IFERROR(IF(INDEX(MASTER!$N$4:$N$1463,$P102)="","",INDEX(MASTER!$N$4:$N$1463,$P102)),""))</f>
        <v>45</v>
      </c>
      <c r="L102" s="19" t="str">
        <f>IF($P102="","",IFERROR(IF(INDEX(MASTER!$O$4:$O$1463,$P102)="","",INDEX(MASTER!$O$4:$O$1463,$P102)),""))</f>
        <v>B</v>
      </c>
      <c r="M102" s="19">
        <f>IF($P102="","",IFERROR(IF(INDEX(MASTER!$Q$4:$Q$1463,$P102)="","",INDEX(MASTER!$Q$4:$Q$1463,$P102)),""))</f>
        <v>60</v>
      </c>
      <c r="N102" s="19" t="str">
        <f>IF($P102="","",IFERROR(IF(INDEX(MASTER!$S$4:$S$1463,$P102)="","",INDEX(MASTER!$S$4:$S$1463,$P102)),""))</f>
        <v>Complete</v>
      </c>
      <c r="P102">
        <f>IFERROR(MATCH($Q$1&amp;"@94",MASTER!$AC$4:$AC$1463,0),"")</f>
        <v>1307</v>
      </c>
    </row>
    <row r="103" spans="1:16">
      <c r="A103" s="15">
        <f>IF($P103="","",95)</f>
        <v>95</v>
      </c>
      <c r="B103" s="14" t="str">
        <f>IF($P103="","",IFERROR(IF(INDEX(MASTER!$C$4:$C$1463,$P103)="","",INDEX(MASTER!$C$4:$C$1463,$P103)),""))</f>
        <v>Zel</v>
      </c>
      <c r="C103" s="15" t="str">
        <f>IF($P103="","",IFERROR(IF(INDEX(MASTER!$D$4:$D$1463,$P103)="","",INDEX(MASTER!$D$4:$D$1463,$P103)),""))</f>
        <v>RECK</v>
      </c>
      <c r="D103" s="15" t="str">
        <f>IF($P103="","",IFERROR(IF(INDEX(MASTER!$E$4:$E$1463,$P103)="","",INDEX(MASTER!$E$4:$E$1463,$P103)),""))</f>
        <v>WARLOCK</v>
      </c>
      <c r="E103" s="15" t="str">
        <f>IF($P103="","",IFERROR(IF(INDEX(MASTER!$F$4:$F$1463,$P103)="","",INDEX(MASTER!$F$4:$F$1463,$P103)),""))</f>
        <v>Control</v>
      </c>
      <c r="F103" s="16">
        <f>IF($P103="","",IFERROR(IF(INDEX(MASTER!$G$4:$G$1463,$P103)="","",INDEX(MASTER!$G$4:$G$1463,$P103)),""))</f>
        <v>63277</v>
      </c>
      <c r="G103" s="15" t="str">
        <f>IF($P103="","",IFERROR(IF(INDEX(MASTER!$H$4:$H$1463,$P103)="","",INDEX(MASTER!$H$4:$H$1463,$P103)),""))</f>
        <v>63,000 - 63,999</v>
      </c>
      <c r="H103" s="16">
        <f>IF($P103="","",IFERROR(IF(INDEX(MASTER!$I$4:$I$1463,$P103)="","",INDEX(MASTER!$I$4:$I$1463,$P103)),""))</f>
        <v>4786</v>
      </c>
      <c r="I103" s="15" t="str">
        <f>IF($P103="","",IFERROR(IF(INDEX(MASTER!$J$4:$J$1463,$P103)="","",INDEX(MASTER!$J$4:$J$1463,$P103)),""))</f>
        <v>CORE</v>
      </c>
      <c r="J103" s="17">
        <f>IF($P103="","",IFERROR(IF(INDEX(MASTER!$L$4:$L$1463,$P103)="","",INDEX(MASTER!$L$4:$L$1463,$P103)),""))</f>
        <v>5.7</v>
      </c>
      <c r="K103" s="17">
        <f>IF($P103="","",IFERROR(IF(INDEX(MASTER!$N$4:$N$1463,$P103)="","",INDEX(MASTER!$N$4:$N$1463,$P103)),""))</f>
        <v>52.2</v>
      </c>
      <c r="L103" s="15" t="str">
        <f>IF($P103="","",IFERROR(IF(INDEX(MASTER!$O$4:$O$1463,$P103)="","",INDEX(MASTER!$O$4:$O$1463,$P103)),""))</f>
        <v>A</v>
      </c>
      <c r="M103" s="15">
        <f>IF($P103="","",IFERROR(IF(INDEX(MASTER!$Q$4:$Q$1463,$P103)="","",INDEX(MASTER!$Q$4:$Q$1463,$P103)),""))</f>
        <v>50</v>
      </c>
      <c r="N103" s="15" t="str">
        <f>IF($P103="","",IFERROR(IF(INDEX(MASTER!$S$4:$S$1463,$P103)="","",INDEX(MASTER!$S$4:$S$1463,$P103)),""))</f>
        <v>Complete</v>
      </c>
      <c r="P103">
        <f>IFERROR(MATCH($Q$1&amp;"@95",MASTER!$AC$4:$AC$1463,0),"")</f>
        <v>1316</v>
      </c>
    </row>
    <row r="104" spans="1:16">
      <c r="A104" s="19">
        <f>IF($P104="","",96)</f>
        <v>96</v>
      </c>
      <c r="B104" s="18" t="str">
        <f>IF($P104="","",IFERROR(IF(INDEX(MASTER!$C$4:$C$1463,$P104)="","",INDEX(MASTER!$C$4:$C$1463,$P104)),""))</f>
        <v>Zesto</v>
      </c>
      <c r="C104" s="19" t="str">
        <f>IF($P104="","",IFERROR(IF(INDEX(MASTER!$D$4:$D$1463,$P104)="","",INDEX(MASTER!$D$4:$D$1463,$P104)),""))</f>
        <v>RECK</v>
      </c>
      <c r="D104" s="19" t="str">
        <f>IF($P104="","",IFERROR(IF(INDEX(MASTER!$E$4:$E$1463,$P104)="","",INDEX(MASTER!$E$4:$E$1463,$P104)),""))</f>
        <v>NECROMANCER</v>
      </c>
      <c r="E104" s="19" t="str">
        <f>IF($P104="","",IFERROR(IF(INDEX(MASTER!$F$4:$F$1463,$P104)="","",INDEX(MASTER!$F$4:$F$1463,$P104)),""))</f>
        <v>Control</v>
      </c>
      <c r="F104" s="20">
        <f>IF($P104="","",IFERROR(IF(INDEX(MASTER!$G$4:$G$1463,$P104)="","",INDEX(MASTER!$G$4:$G$1463,$P104)),""))</f>
        <v>64007</v>
      </c>
      <c r="G104" s="19" t="str">
        <f>IF($P104="","",IFERROR(IF(INDEX(MASTER!$H$4:$H$1463,$P104)="","",INDEX(MASTER!$H$4:$H$1463,$P104)),""))</f>
        <v>64,000 +</v>
      </c>
      <c r="H104" s="20">
        <f>IF($P104="","",IFERROR(IF(INDEX(MASTER!$I$4:$I$1463,$P104)="","",INDEX(MASTER!$I$4:$I$1463,$P104)),""))</f>
        <v>9414</v>
      </c>
      <c r="I104" s="19" t="str">
        <f>IF($P104="","",IFERROR(IF(INDEX(MASTER!$J$4:$J$1463,$P104)="","",INDEX(MASTER!$J$4:$J$1463,$P104)),""))</f>
        <v>ELITE</v>
      </c>
      <c r="J104" s="21">
        <f>IF($P104="","",IFERROR(IF(INDEX(MASTER!$L$4:$L$1463,$P104)="","",INDEX(MASTER!$L$4:$L$1463,$P104)),""))</f>
        <v>9.0500000000000007</v>
      </c>
      <c r="K104" s="21">
        <f>IF($P104="","",IFERROR(IF(INDEX(MASTER!$N$4:$N$1463,$P104)="","",INDEX(MASTER!$N$4:$N$1463,$P104)),""))</f>
        <v>79.900000000000006</v>
      </c>
      <c r="L104" s="19" t="str">
        <f>IF($P104="","",IFERROR(IF(INDEX(MASTER!$O$4:$O$1463,$P104)="","",INDEX(MASTER!$O$4:$O$1463,$P104)),""))</f>
        <v>S</v>
      </c>
      <c r="M104" s="19">
        <f>IF($P104="","",IFERROR(IF(INDEX(MASTER!$Q$4:$Q$1463,$P104)="","",INDEX(MASTER!$Q$4:$Q$1463,$P104)),""))</f>
        <v>11</v>
      </c>
      <c r="N104" s="19" t="str">
        <f>IF($P104="","",IFERROR(IF(INDEX(MASTER!$S$4:$S$1463,$P104)="","",INDEX(MASTER!$S$4:$S$1463,$P104)),""))</f>
        <v>Complete</v>
      </c>
      <c r="P104">
        <f>IFERROR(MATCH($Q$1&amp;"@96",MASTER!$AC$4:$AC$1463,0),"")</f>
        <v>1319</v>
      </c>
    </row>
    <row r="105" spans="1:16">
      <c r="A105" s="15">
        <f>IF($P105="","",97)</f>
        <v>97</v>
      </c>
      <c r="B105" s="14" t="str">
        <f>IF($P105="","",IFERROR(IF(INDEX(MASTER!$C$4:$C$1463,$P105)="","",INDEX(MASTER!$C$4:$C$1463,$P105)),""))</f>
        <v>尺乇D乇Y乇Z</v>
      </c>
      <c r="C105" s="15" t="str">
        <f>IF($P105="","",IFERROR(IF(INDEX(MASTER!$D$4:$D$1463,$P105)="","",INDEX(MASTER!$D$4:$D$1463,$P105)),""))</f>
        <v>RECK</v>
      </c>
      <c r="D105" s="15" t="str">
        <f>IF($P105="","",IFERROR(IF(INDEX(MASTER!$E$4:$E$1463,$P105)="","",INDEX(MASTER!$E$4:$E$1463,$P105)),""))</f>
        <v>TEMPEST</v>
      </c>
      <c r="E105" s="15" t="str">
        <f>IF($P105="","",IFERROR(IF(INDEX(MASTER!$F$4:$F$1463,$P105)="","",INDEX(MASTER!$F$4:$F$1463,$P105)),""))</f>
        <v>Melee DPS</v>
      </c>
      <c r="F105" s="16">
        <f>IF($P105="","",IFERROR(IF(INDEX(MASTER!$G$4:$G$1463,$P105)="","",INDEX(MASTER!$G$4:$G$1463,$P105)),""))</f>
        <v>60078</v>
      </c>
      <c r="G105" s="15" t="str">
        <f>IF($P105="","",IFERROR(IF(INDEX(MASTER!$H$4:$H$1463,$P105)="","",INDEX(MASTER!$H$4:$H$1463,$P105)),""))</f>
        <v>60,000 - 60,999</v>
      </c>
      <c r="H105" s="16">
        <f>IF($P105="","",IFERROR(IF(INDEX(MASTER!$I$4:$I$1463,$P105)="","",INDEX(MASTER!$I$4:$I$1463,$P105)),""))</f>
        <v>5574</v>
      </c>
      <c r="I105" s="15" t="str">
        <f>IF($P105="","",IFERROR(IF(INDEX(MASTER!$J$4:$J$1463,$P105)="","",INDEX(MASTER!$J$4:$J$1463,$P105)),""))</f>
        <v>CORE</v>
      </c>
      <c r="J105" s="17">
        <f>IF($P105="","",IFERROR(IF(INDEX(MASTER!$L$4:$L$1463,$P105)="","",INDEX(MASTER!$L$4:$L$1463,$P105)),""))</f>
        <v>5</v>
      </c>
      <c r="K105" s="17">
        <f>IF($P105="","",IFERROR(IF(INDEX(MASTER!$N$4:$N$1463,$P105)="","",INDEX(MASTER!$N$4:$N$1463,$P105)),""))</f>
        <v>46</v>
      </c>
      <c r="L105" s="15" t="str">
        <f>IF($P105="","",IFERROR(IF(INDEX(MASTER!$O$4:$O$1463,$P105)="","",INDEX(MASTER!$O$4:$O$1463,$P105)),""))</f>
        <v>B</v>
      </c>
      <c r="M105" s="15">
        <f>IF($P105="","",IFERROR(IF(INDEX(MASTER!$Q$4:$Q$1463,$P105)="","",INDEX(MASTER!$Q$4:$Q$1463,$P105)),""))</f>
        <v>36</v>
      </c>
      <c r="N105" s="15" t="str">
        <f>IF($P105="","",IFERROR(IF(INDEX(MASTER!$S$4:$S$1463,$P105)="","",INDEX(MASTER!$S$4:$S$1463,$P105)),""))</f>
        <v>Complete</v>
      </c>
      <c r="P105">
        <f>IFERROR(MATCH($Q$1&amp;"@97",MASTER!$AC$4:$AC$1463,0),"")</f>
        <v>1359</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3" spans="1:16" ht="19.5" customHeight="1">
      <c r="B133" s="91" t="s">
        <v>488</v>
      </c>
      <c r="C133" s="91"/>
      <c r="D133" s="91"/>
      <c r="E133" s="91"/>
      <c r="F133" s="91"/>
      <c r="G133" s="91"/>
    </row>
    <row r="134" spans="1:16" ht="27.75" customHeight="1">
      <c r="B134" s="108" t="s">
        <v>68</v>
      </c>
      <c r="C134" s="108"/>
      <c r="D134" s="13" t="s">
        <v>69</v>
      </c>
      <c r="E134" s="13" t="s">
        <v>64</v>
      </c>
      <c r="F134" s="13" t="s">
        <v>50</v>
      </c>
      <c r="G134" s="13" t="s">
        <v>51</v>
      </c>
    </row>
    <row r="135" spans="1:16">
      <c r="B135" s="106" t="s">
        <v>71</v>
      </c>
      <c r="C135" s="106"/>
      <c r="D135" s="16" t="str">
        <f>IFERROR(INDEX(SETUP!$B$55:$B$64,MATCH($B135,SETUP!$A$55:$A$64,0)),"-")</f>
        <v>Frontline</v>
      </c>
      <c r="E135" s="16">
        <f>COUNTIFS(MASTER!$B:$B,$Q$1,MASTER!$E:$E,$B135)</f>
        <v>14</v>
      </c>
      <c r="F135" s="16">
        <f>IFERROR(ROUND(AVERAGEIFS(MASTER!$I:$I,MASTER!$B:$B,$Q$1,MASTER!$E:$E,$B135),0),"-")</f>
        <v>5690</v>
      </c>
      <c r="G135" s="16">
        <f>IF($E135=0,"-",IFERROR(_xlfn.MAXIFS(MASTER!$I:$I,MASTER!$B:$B,$Q$1,MASTER!$E:$E,$B135),"-"))</f>
        <v>10376</v>
      </c>
    </row>
    <row r="136" spans="1:16">
      <c r="B136" s="105" t="s">
        <v>72</v>
      </c>
      <c r="C136" s="105"/>
      <c r="D136" s="20" t="str">
        <f>IFERROR(INDEX(SETUP!$B$55:$B$64,MATCH($B136,SETUP!$A$55:$A$64,0)),"-")</f>
        <v>Frontline</v>
      </c>
      <c r="E136" s="20">
        <f>COUNTIFS(MASTER!$B:$B,$Q$1,MASTER!$E:$E,$B136)</f>
        <v>5</v>
      </c>
      <c r="F136" s="20">
        <f>IFERROR(ROUND(AVERAGEIFS(MASTER!$I:$I,MASTER!$B:$B,$Q$1,MASTER!$E:$E,$B136),0),"-")</f>
        <v>3344</v>
      </c>
      <c r="G136" s="20">
        <f>IF($E136=0,"-",IFERROR(_xlfn.MAXIFS(MASTER!$I:$I,MASTER!$B:$B,$Q$1,MASTER!$E:$E,$B136),"-"))</f>
        <v>3763</v>
      </c>
    </row>
    <row r="137" spans="1:16">
      <c r="B137" s="106" t="s">
        <v>73</v>
      </c>
      <c r="C137" s="106"/>
      <c r="D137" s="16" t="str">
        <f>IFERROR(INDEX(SETUP!$B$55:$B$64,MATCH($B137,SETUP!$A$55:$A$64,0)),"-")</f>
        <v>Frontline</v>
      </c>
      <c r="E137" s="16">
        <f>COUNTIFS(MASTER!$B:$B,$Q$1,MASTER!$E:$E,$B137)</f>
        <v>11</v>
      </c>
      <c r="F137" s="16">
        <f>IFERROR(ROUND(AVERAGEIFS(MASTER!$I:$I,MASTER!$B:$B,$Q$1,MASTER!$E:$E,$B137),0),"-")</f>
        <v>5940</v>
      </c>
      <c r="G137" s="16">
        <f>IF($E137=0,"-",IFERROR(_xlfn.MAXIFS(MASTER!$I:$I,MASTER!$B:$B,$Q$1,MASTER!$E:$E,$B137),"-"))</f>
        <v>10392</v>
      </c>
    </row>
    <row r="138" spans="1:16">
      <c r="B138" s="105" t="s">
        <v>74</v>
      </c>
      <c r="C138" s="105"/>
      <c r="D138" s="20" t="str">
        <f>IFERROR(INDEX(SETUP!$B$55:$B$64,MATCH($B138,SETUP!$A$55:$A$64,0)),"-")</f>
        <v>Ranged DPS</v>
      </c>
      <c r="E138" s="20">
        <f>COUNTIFS(MASTER!$B:$B,$Q$1,MASTER!$E:$E,$B138)</f>
        <v>12</v>
      </c>
      <c r="F138" s="20">
        <f>IFERROR(ROUND(AVERAGEIFS(MASTER!$I:$I,MASTER!$B:$B,$Q$1,MASTER!$E:$E,$B138),0),"-")</f>
        <v>6912</v>
      </c>
      <c r="G138" s="20">
        <f>IF($E138=0,"-",IFERROR(_xlfn.MAXIFS(MASTER!$I:$I,MASTER!$B:$B,$Q$1,MASTER!$E:$E,$B138),"-"))</f>
        <v>11024</v>
      </c>
    </row>
    <row r="139" spans="1:16">
      <c r="B139" s="106" t="s">
        <v>75</v>
      </c>
      <c r="C139" s="106"/>
      <c r="D139" s="16" t="str">
        <f>IFERROR(INDEX(SETUP!$B$55:$B$64,MATCH($B139,SETUP!$A$55:$A$64,0)),"-")</f>
        <v>Support</v>
      </c>
      <c r="E139" s="16">
        <f>COUNTIFS(MASTER!$B:$B,$Q$1,MASTER!$E:$E,$B139)</f>
        <v>3</v>
      </c>
      <c r="F139" s="16">
        <f>IFERROR(ROUND(AVERAGEIFS(MASTER!$I:$I,MASTER!$B:$B,$Q$1,MASTER!$E:$E,$B139),0),"-")</f>
        <v>3281</v>
      </c>
      <c r="G139" s="16">
        <f>IF($E139=0,"-",IFERROR(_xlfn.MAXIFS(MASTER!$I:$I,MASTER!$B:$B,$Q$1,MASTER!$E:$E,$B139),"-"))</f>
        <v>4520</v>
      </c>
    </row>
    <row r="140" spans="1:16">
      <c r="B140" s="105" t="s">
        <v>76</v>
      </c>
      <c r="C140" s="105"/>
      <c r="D140" s="20" t="str">
        <f>IFERROR(INDEX(SETUP!$B$55:$B$64,MATCH($B140,SETUP!$A$55:$A$64,0)),"-")</f>
        <v>Support</v>
      </c>
      <c r="E140" s="20">
        <f>COUNTIFS(MASTER!$B:$B,$Q$1,MASTER!$E:$E,$B140)</f>
        <v>4</v>
      </c>
      <c r="F140" s="20">
        <f>IFERROR(ROUND(AVERAGEIFS(MASTER!$I:$I,MASTER!$B:$B,$Q$1,MASTER!$E:$E,$B140),0),"-")</f>
        <v>6531</v>
      </c>
      <c r="G140" s="20">
        <f>IF($E140=0,"-",IFERROR(_xlfn.MAXIFS(MASTER!$I:$I,MASTER!$B:$B,$Q$1,MASTER!$E:$E,$B140),"-"))</f>
        <v>11000</v>
      </c>
    </row>
    <row r="141" spans="1:16">
      <c r="B141" s="106" t="s">
        <v>77</v>
      </c>
      <c r="C141" s="106"/>
      <c r="D141" s="16" t="str">
        <f>IFERROR(INDEX(SETUP!$B$55:$B$64,MATCH($B141,SETUP!$A$55:$A$64,0)),"-")</f>
        <v>Control</v>
      </c>
      <c r="E141" s="16">
        <f>COUNTIFS(MASTER!$B:$B,$Q$1,MASTER!$E:$E,$B141)</f>
        <v>8</v>
      </c>
      <c r="F141" s="16">
        <f>IFERROR(ROUND(AVERAGEIFS(MASTER!$I:$I,MASTER!$B:$B,$Q$1,MASTER!$E:$E,$B141),0),"-")</f>
        <v>4993</v>
      </c>
      <c r="G141" s="16">
        <f>IF($E141=0,"-",IFERROR(_xlfn.MAXIFS(MASTER!$I:$I,MASTER!$B:$B,$Q$1,MASTER!$E:$E,$B141),"-"))</f>
        <v>9414</v>
      </c>
    </row>
    <row r="142" spans="1:16">
      <c r="B142" s="105" t="s">
        <v>78</v>
      </c>
      <c r="C142" s="105"/>
      <c r="D142" s="20" t="str">
        <f>IFERROR(INDEX(SETUP!$B$55:$B$64,MATCH($B142,SETUP!$A$55:$A$64,0)),"-")</f>
        <v>Melee DPS</v>
      </c>
      <c r="E142" s="20">
        <f>COUNTIFS(MASTER!$B:$B,$Q$1,MASTER!$E:$E,$B142)</f>
        <v>4</v>
      </c>
      <c r="F142" s="20">
        <f>IFERROR(ROUND(AVERAGEIFS(MASTER!$I:$I,MASTER!$B:$B,$Q$1,MASTER!$E:$E,$B142),0),"-")</f>
        <v>6054</v>
      </c>
      <c r="G142" s="20">
        <f>IF($E142=0,"-",IFERROR(_xlfn.MAXIFS(MASTER!$I:$I,MASTER!$B:$B,$Q$1,MASTER!$E:$E,$B142),"-"))</f>
        <v>10388</v>
      </c>
    </row>
    <row r="143" spans="1:16">
      <c r="B143" s="106" t="s">
        <v>79</v>
      </c>
      <c r="C143" s="106"/>
      <c r="D143" s="16" t="str">
        <f>IFERROR(INDEX(SETUP!$B$55:$B$64,MATCH($B143,SETUP!$A$55:$A$64,0)),"-")</f>
        <v>Control</v>
      </c>
      <c r="E143" s="16">
        <f>COUNTIFS(MASTER!$B:$B,$Q$1,MASTER!$E:$E,$B143)</f>
        <v>31</v>
      </c>
      <c r="F143" s="16">
        <f>IFERROR(ROUND(AVERAGEIFS(MASTER!$I:$I,MASTER!$B:$B,$Q$1,MASTER!$E:$E,$B143),0),"-")</f>
        <v>5165</v>
      </c>
      <c r="G143" s="16">
        <f>IF($E143=0,"-",IFERROR(_xlfn.MAXIFS(MASTER!$I:$I,MASTER!$B:$B,$Q$1,MASTER!$E:$E,$B143),"-"))</f>
        <v>10435</v>
      </c>
    </row>
    <row r="144" spans="1:16">
      <c r="B144" s="105" t="s">
        <v>80</v>
      </c>
      <c r="C144" s="105"/>
      <c r="D144" s="20" t="str">
        <f>IFERROR(INDEX(SETUP!$B$55:$B$64,MATCH($B144,SETUP!$A$55:$A$64,0)),"-")</f>
        <v>Ranged DPS</v>
      </c>
      <c r="E144" s="20">
        <f>COUNTIFS(MASTER!$B:$B,$Q$1,MASTER!$E:$E,$B144)</f>
        <v>5</v>
      </c>
      <c r="F144" s="20">
        <f>IFERROR(ROUND(AVERAGEIFS(MASTER!$I:$I,MASTER!$B:$B,$Q$1,MASTER!$E:$E,$B144),0),"-")</f>
        <v>6522</v>
      </c>
      <c r="G144" s="20">
        <f>IF($E144=0,"-",IFERROR(_xlfn.MAXIFS(MASTER!$I:$I,MASTER!$B:$B,$Q$1,MASTER!$E:$E,$B144),"-"))</f>
        <v>8685</v>
      </c>
    </row>
  </sheetData>
  <autoFilter ref="A8:N130" xr:uid="{00000000-0009-0000-0000-00000F000000}"/>
  <mergeCells count="29">
    <mergeCell ref="A1:N1"/>
    <mergeCell ref="A2:N2"/>
    <mergeCell ref="A4:B4"/>
    <mergeCell ref="C4:D4"/>
    <mergeCell ref="E4:F4"/>
    <mergeCell ref="G4:H4"/>
    <mergeCell ref="I4:J4"/>
    <mergeCell ref="K4:L4"/>
    <mergeCell ref="M4:N4"/>
    <mergeCell ref="K5:L5"/>
    <mergeCell ref="M5:N5"/>
    <mergeCell ref="A7:N7"/>
    <mergeCell ref="B133:G133"/>
    <mergeCell ref="B134:C134"/>
    <mergeCell ref="A5:B5"/>
    <mergeCell ref="C5:D5"/>
    <mergeCell ref="E5:F5"/>
    <mergeCell ref="G5:H5"/>
    <mergeCell ref="I5:J5"/>
    <mergeCell ref="B135:C135"/>
    <mergeCell ref="B136:C136"/>
    <mergeCell ref="B137:C137"/>
    <mergeCell ref="B138:C138"/>
    <mergeCell ref="B139:C139"/>
    <mergeCell ref="B140:C140"/>
    <mergeCell ref="B141:C141"/>
    <mergeCell ref="B142:C142"/>
    <mergeCell ref="B143:C143"/>
    <mergeCell ref="B144:C144"/>
  </mergeCells>
  <conditionalFormatting sqref="H9:H130">
    <cfRule type="colorScale" priority="2">
      <colorScale>
        <cfvo type="num" val="0"/>
        <cfvo type="num" val="5000"/>
        <cfvo type="num" val="12600"/>
        <color rgb="FFF8CBAD"/>
        <color rgb="FFFFE699"/>
        <color rgb="FFA9D08E"/>
      </colorScale>
    </cfRule>
  </conditionalFormatting>
  <conditionalFormatting sqref="N9:N130">
    <cfRule type="cellIs" dxfId="9"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4" evalError="1" twoDigitTextYear="1" numberStoredAsText="1" formula="1" formulaRange="1" unlockedFormula="1" emptyCellReference="1" listDataValidation="1" calculatedColumn="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Q143"/>
  <sheetViews>
    <sheetView showGridLines="0" zoomScaleNormal="100" workbookViewId="0">
      <pane xSplit="1" ySplit="8" topLeftCell="B9" activePane="bottomRight" state="frozen"/>
      <selection pane="topRight" activeCell="B1" sqref="B1"/>
      <selection pane="bottomLeft" activeCell="A9" sqref="A9"/>
      <selection pane="bottomRight" activeCell="I30" sqref="I30"/>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495</v>
      </c>
      <c r="B1" s="92"/>
      <c r="C1" s="92"/>
      <c r="D1" s="92"/>
      <c r="E1" s="92"/>
      <c r="F1" s="92"/>
      <c r="G1" s="92"/>
      <c r="H1" s="92"/>
      <c r="I1" s="92"/>
      <c r="J1" s="92"/>
      <c r="K1" s="92"/>
      <c r="L1" s="92"/>
      <c r="M1" s="92"/>
      <c r="N1" s="92"/>
      <c r="Q1" t="s">
        <v>112</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96</v>
      </c>
      <c r="B5" s="95"/>
      <c r="C5" s="95">
        <f>COUNTIFS(MASTER!$B:$B,$Q$1,MASTER!$S:$S,"Complete")</f>
        <v>94</v>
      </c>
      <c r="D5" s="95"/>
      <c r="E5" s="95">
        <f>IFERROR(ROUND(AVERAGEIFS(MASTER!$I:$I,MASTER!$B:$B,$Q$1),0),"-")</f>
        <v>4133</v>
      </c>
      <c r="F5" s="95"/>
      <c r="G5" s="95">
        <f>IFERROR(_xlfn.MAXIFS(MASTER!$I:$I,MASTER!$B:$B,$Q$1),"-")</f>
        <v>10705</v>
      </c>
      <c r="H5" s="95"/>
      <c r="I5" s="95">
        <f>COUNTIFS(MASTER!$B:$B,$Q$1,MASTER!$I:$I,"&gt;=10000")</f>
        <v>1</v>
      </c>
      <c r="J5" s="95"/>
      <c r="K5" s="107">
        <f>IFERROR(ROUND(AVERAGEIFS(MASTER!$N:$N,MASTER!$B:$B,$Q$1),1),"-")</f>
        <v>46</v>
      </c>
      <c r="L5" s="107"/>
      <c r="M5" s="95">
        <f>IF($Q$1="FUCT","- ours -",IFERROR(ROUND(AVERAGEIFS(MASTER!$I:$I,MASTER!$B:$B,$Q$1)-AVERAGEIF(MASTER!$B:$B,"FUCT",MASTER!$I:$I),0),"-"))</f>
        <v>-1080</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AdiraRose</v>
      </c>
      <c r="C9" s="15" t="str">
        <f>IF($P9="","",IFERROR(IF(INDEX(MASTER!$D$4:$D$1463,$P9)="","",INDEX(MASTER!$D$4:$D$1463,$P9)),""))</f>
        <v>Acheron</v>
      </c>
      <c r="D9" s="15" t="str">
        <f>IF($P9="","",IFERROR(IF(INDEX(MASTER!$E$4:$E$1463,$P9)="","",INDEX(MASTER!$E$4:$E$1463,$P9)),""))</f>
        <v>BLOOD KNIGHT</v>
      </c>
      <c r="E9" s="15" t="str">
        <f>IF($P9="","",IFERROR(IF(INDEX(MASTER!$F$4:$F$1463,$P9)="","",INDEX(MASTER!$F$4:$F$1463,$P9)),""))</f>
        <v>Frontline</v>
      </c>
      <c r="F9" s="16">
        <f>IF($P9="","",IFERROR(IF(INDEX(MASTER!$G$4:$G$1463,$P9)="","",INDEX(MASTER!$G$4:$G$1463,$P9)),""))</f>
        <v>61346</v>
      </c>
      <c r="G9" s="15" t="str">
        <f>IF($P9="","",IFERROR(IF(INDEX(MASTER!$H$4:$H$1463,$P9)="","",INDEX(MASTER!$H$4:$H$1463,$P9)),""))</f>
        <v>61,000 - 61,999</v>
      </c>
      <c r="H9" s="16">
        <f>IF($P9="","",IFERROR(IF(INDEX(MASTER!$I$4:$I$1463,$P9)="","",INDEX(MASTER!$I$4:$I$1463,$P9)),""))</f>
        <v>1127</v>
      </c>
      <c r="I9" s="15" t="str">
        <f>IF($P9="","",IFERROR(IF(INDEX(MASTER!$J$4:$J$1463,$P9)="","",INDEX(MASTER!$J$4:$J$1463,$P9)),""))</f>
        <v>ROOKIE</v>
      </c>
      <c r="J9" s="17">
        <f>IF($P9="","",IFERROR(IF(INDEX(MASTER!$L$4:$L$1463,$P9)="","",INDEX(MASTER!$L$4:$L$1463,$P9)),""))</f>
        <v>3.5</v>
      </c>
      <c r="K9" s="17">
        <f>IF($P9="","",IFERROR(IF(INDEX(MASTER!$N$4:$N$1463,$P9)="","",INDEX(MASTER!$N$4:$N$1463,$P9)),""))</f>
        <v>27.5</v>
      </c>
      <c r="L9" s="15" t="str">
        <f>IF($P9="","",IFERROR(IF(INDEX(MASTER!$O$4:$O$1463,$P9)="","",INDEX(MASTER!$O$4:$O$1463,$P9)),""))</f>
        <v>C</v>
      </c>
      <c r="M9" s="15">
        <f>IF($P9="","",IFERROR(IF(INDEX(MASTER!$Q$4:$Q$1463,$P9)="","",INDEX(MASTER!$Q$4:$Q$1463,$P9)),""))</f>
        <v>90</v>
      </c>
      <c r="N9" s="15" t="str">
        <f>IF($P9="","",IFERROR(IF(INDEX(MASTER!$S$4:$S$1463,$P9)="","",INDEX(MASTER!$S$4:$S$1463,$P9)),""))</f>
        <v>Complete</v>
      </c>
      <c r="P9">
        <f>IFERROR(MATCH($Q$1&amp;"@1",MASTER!$AC$4:$AC$1463,0),"")</f>
        <v>19</v>
      </c>
    </row>
    <row r="10" spans="1:17">
      <c r="A10" s="19">
        <f>IF($P10="","",2)</f>
        <v>2</v>
      </c>
      <c r="B10" s="18" t="str">
        <f>IF($P10="","",IFERROR(IF(INDEX(MASTER!$C$4:$C$1463,$P10)="","",INDEX(MASTER!$C$4:$C$1463,$P10)),""))</f>
        <v>Aetherna</v>
      </c>
      <c r="C10" s="19" t="str">
        <f>IF($P10="","",IFERROR(IF(INDEX(MASTER!$D$4:$D$1463,$P10)="","",INDEX(MASTER!$D$4:$D$1463,$P10)),""))</f>
        <v/>
      </c>
      <c r="D10" s="19" t="str">
        <f>IF($P10="","",IFERROR(IF(INDEX(MASTER!$E$4:$E$1463,$P10)="","",INDEX(MASTER!$E$4:$E$1463,$P10)),""))</f>
        <v>WARLOCK</v>
      </c>
      <c r="E10" s="19" t="str">
        <f>IF($P10="","",IFERROR(IF(INDEX(MASTER!$F$4:$F$1463,$P10)="","",INDEX(MASTER!$F$4:$F$1463,$P10)),""))</f>
        <v>Control</v>
      </c>
      <c r="F10" s="20">
        <f>IF($P10="","",IFERROR(IF(INDEX(MASTER!$G$4:$G$1463,$P10)="","",INDEX(MASTER!$G$4:$G$1463,$P10)),""))</f>
        <v>62100</v>
      </c>
      <c r="G10" s="19" t="str">
        <f>IF($P10="","",IFERROR(IF(INDEX(MASTER!$H$4:$H$1463,$P10)="","",INDEX(MASTER!$H$4:$H$1463,$P10)),""))</f>
        <v>62,000 - 62,999</v>
      </c>
      <c r="H10" s="20">
        <f>IF($P10="","",IFERROR(IF(INDEX(MASTER!$I$4:$I$1463,$P10)="","",INDEX(MASTER!$I$4:$I$1463,$P10)),""))</f>
        <v>6285</v>
      </c>
      <c r="I10" s="19" t="str">
        <f>IF($P10="","",IFERROR(IF(INDEX(MASTER!$J$4:$J$1463,$P10)="","",INDEX(MASTER!$J$4:$J$1463,$P10)),""))</f>
        <v>VETERAN</v>
      </c>
      <c r="J10" s="21">
        <f>IF($P10="","",IFERROR(IF(INDEX(MASTER!$L$4:$L$1463,$P10)="","",INDEX(MASTER!$L$4:$L$1463,$P10)),""))</f>
        <v>5.7</v>
      </c>
      <c r="K10" s="21">
        <f>IF($P10="","",IFERROR(IF(INDEX(MASTER!$N$4:$N$1463,$P10)="","",INDEX(MASTER!$N$4:$N$1463,$P10)),""))</f>
        <v>55.6</v>
      </c>
      <c r="L10" s="19" t="str">
        <f>IF($P10="","",IFERROR(IF(INDEX(MASTER!$O$4:$O$1463,$P10)="","",INDEX(MASTER!$O$4:$O$1463,$P10)),""))</f>
        <v>A</v>
      </c>
      <c r="M10" s="19">
        <f>IF($P10="","",IFERROR(IF(INDEX(MASTER!$Q$4:$Q$1463,$P10)="","",INDEX(MASTER!$Q$4:$Q$1463,$P10)),""))</f>
        <v>12</v>
      </c>
      <c r="N10" s="19" t="str">
        <f>IF($P10="","",IFERROR(IF(INDEX(MASTER!$S$4:$S$1463,$P10)="","",INDEX(MASTER!$S$4:$S$1463,$P10)),""))</f>
        <v>Complete</v>
      </c>
      <c r="P10">
        <f>IFERROR(MATCH($Q$1&amp;"@2",MASTER!$AC$4:$AC$1463,0),"")</f>
        <v>24</v>
      </c>
    </row>
    <row r="11" spans="1:17">
      <c r="A11" s="15">
        <f>IF($P11="","",3)</f>
        <v>3</v>
      </c>
      <c r="B11" s="14" t="str">
        <f>IF($P11="","",IFERROR(IF(INDEX(MASTER!$C$4:$C$1463,$P11)="","",INDEX(MASTER!$C$4:$C$1463,$P11)),""))</f>
        <v>Andør</v>
      </c>
      <c r="C11" s="15" t="str">
        <f>IF($P11="","",IFERROR(IF(INDEX(MASTER!$D$4:$D$1463,$P11)="","",INDEX(MASTER!$D$4:$D$1463,$P11)),""))</f>
        <v>Acheron</v>
      </c>
      <c r="D11" s="15" t="str">
        <f>IF($P11="","",IFERROR(IF(INDEX(MASTER!$E$4:$E$1463,$P11)="","",INDEX(MASTER!$E$4:$E$1463,$P11)),""))</f>
        <v>WARLOCK</v>
      </c>
      <c r="E11" s="15" t="str">
        <f>IF($P11="","",IFERROR(IF(INDEX(MASTER!$F$4:$F$1463,$P11)="","",INDEX(MASTER!$F$4:$F$1463,$P11)),""))</f>
        <v>Control</v>
      </c>
      <c r="F11" s="16">
        <f>IF($P11="","",IFERROR(IF(INDEX(MASTER!$G$4:$G$1463,$P11)="","",INDEX(MASTER!$G$4:$G$1463,$P11)),""))</f>
        <v>61936</v>
      </c>
      <c r="G11" s="15" t="str">
        <f>IF($P11="","",IFERROR(IF(INDEX(MASTER!$H$4:$H$1463,$P11)="","",INDEX(MASTER!$H$4:$H$1463,$P11)),""))</f>
        <v>61,000 - 61,999</v>
      </c>
      <c r="H11" s="16">
        <f>IF($P11="","",IFERROR(IF(INDEX(MASTER!$I$4:$I$1463,$P11)="","",INDEX(MASTER!$I$4:$I$1463,$P11)),""))</f>
        <v>4692</v>
      </c>
      <c r="I11" s="15" t="str">
        <f>IF($P11="","",IFERROR(IF(INDEX(MASTER!$J$4:$J$1463,$P11)="","",INDEX(MASTER!$J$4:$J$1463,$P11)),""))</f>
        <v>CORE</v>
      </c>
      <c r="J11" s="17">
        <f>IF($P11="","",IFERROR(IF(INDEX(MASTER!$L$4:$L$1463,$P11)="","",INDEX(MASTER!$L$4:$L$1463,$P11)),""))</f>
        <v>4.75</v>
      </c>
      <c r="K11" s="17">
        <f>IF($P11="","",IFERROR(IF(INDEX(MASTER!$N$4:$N$1463,$P11)="","",INDEX(MASTER!$N$4:$N$1463,$P11)),""))</f>
        <v>46.7</v>
      </c>
      <c r="L11" s="15" t="str">
        <f>IF($P11="","",IFERROR(IF(INDEX(MASTER!$O$4:$O$1463,$P11)="","",INDEX(MASTER!$O$4:$O$1463,$P11)),""))</f>
        <v>B</v>
      </c>
      <c r="M11" s="15">
        <f>IF($P11="","",IFERROR(IF(INDEX(MASTER!$Q$4:$Q$1463,$P11)="","",INDEX(MASTER!$Q$4:$Q$1463,$P11)),""))</f>
        <v>30</v>
      </c>
      <c r="N11" s="15" t="str">
        <f>IF($P11="","",IFERROR(IF(INDEX(MASTER!$S$4:$S$1463,$P11)="","",INDEX(MASTER!$S$4:$S$1463,$P11)),""))</f>
        <v>Complete</v>
      </c>
      <c r="P11">
        <f>IFERROR(MATCH($Q$1&amp;"@3",MASTER!$AC$4:$AC$1463,0),"")</f>
        <v>45</v>
      </c>
    </row>
    <row r="12" spans="1:17">
      <c r="A12" s="19">
        <f>IF($P12="","",4)</f>
        <v>4</v>
      </c>
      <c r="B12" s="18" t="str">
        <f>IF($P12="","",IFERROR(IF(INDEX(MASTER!$C$4:$C$1463,$P12)="","",INDEX(MASTER!$C$4:$C$1463,$P12)),""))</f>
        <v>AnneORexia187</v>
      </c>
      <c r="C12" s="19" t="str">
        <f>IF($P12="","",IFERROR(IF(INDEX(MASTER!$D$4:$D$1463,$P12)="","",INDEX(MASTER!$D$4:$D$1463,$P12)),""))</f>
        <v>Acheron</v>
      </c>
      <c r="D12" s="19" t="str">
        <f>IF($P12="","",IFERROR(IF(INDEX(MASTER!$E$4:$E$1463,$P12)="","",INDEX(MASTER!$E$4:$E$1463,$P12)),""))</f>
        <v>BARBARIAN</v>
      </c>
      <c r="E12" s="19" t="str">
        <f>IF($P12="","",IFERROR(IF(INDEX(MASTER!$F$4:$F$1463,$P12)="","",INDEX(MASTER!$F$4:$F$1463,$P12)),""))</f>
        <v>Frontline</v>
      </c>
      <c r="F12" s="20">
        <f>IF($P12="","",IFERROR(IF(INDEX(MASTER!$G$4:$G$1463,$P12)="","",INDEX(MASTER!$G$4:$G$1463,$P12)),""))</f>
        <v>61435</v>
      </c>
      <c r="G12" s="19" t="str">
        <f>IF($P12="","",IFERROR(IF(INDEX(MASTER!$H$4:$H$1463,$P12)="","",INDEX(MASTER!$H$4:$H$1463,$P12)),""))</f>
        <v>61,000 - 61,999</v>
      </c>
      <c r="H12" s="20">
        <f>IF($P12="","",IFERROR(IF(INDEX(MASTER!$I$4:$I$1463,$P12)="","",INDEX(MASTER!$I$4:$I$1463,$P12)),""))</f>
        <v>2646</v>
      </c>
      <c r="I12" s="19" t="str">
        <f>IF($P12="","",IFERROR(IF(INDEX(MASTER!$J$4:$J$1463,$P12)="","",INDEX(MASTER!$J$4:$J$1463,$P12)),""))</f>
        <v>DEVELOPING</v>
      </c>
      <c r="J12" s="21">
        <f>IF($P12="","",IFERROR(IF(INDEX(MASTER!$L$4:$L$1463,$P12)="","",INDEX(MASTER!$L$4:$L$1463,$P12)),""))</f>
        <v>4.75</v>
      </c>
      <c r="K12" s="21">
        <f>IF($P12="","",IFERROR(IF(INDEX(MASTER!$N$4:$N$1463,$P12)="","",INDEX(MASTER!$N$4:$N$1463,$P12)),""))</f>
        <v>36.4</v>
      </c>
      <c r="L12" s="19" t="str">
        <f>IF($P12="","",IFERROR(IF(INDEX(MASTER!$O$4:$O$1463,$P12)="","",INDEX(MASTER!$O$4:$O$1463,$P12)),""))</f>
        <v>B</v>
      </c>
      <c r="M12" s="19">
        <f>IF($P12="","",IFERROR(IF(INDEX(MASTER!$Q$4:$Q$1463,$P12)="","",INDEX(MASTER!$Q$4:$Q$1463,$P12)),""))</f>
        <v>75</v>
      </c>
      <c r="N12" s="19" t="str">
        <f>IF($P12="","",IFERROR(IF(INDEX(MASTER!$S$4:$S$1463,$P12)="","",INDEX(MASTER!$S$4:$S$1463,$P12)),""))</f>
        <v>Complete</v>
      </c>
      <c r="P12">
        <f>IFERROR(MATCH($Q$1&amp;"@4",MASTER!$AC$4:$AC$1463,0),"")</f>
        <v>48</v>
      </c>
    </row>
    <row r="13" spans="1:17">
      <c r="A13" s="15">
        <f>IF($P13="","",5)</f>
        <v>5</v>
      </c>
      <c r="B13" s="14" t="str">
        <f>IF($P13="","",IFERROR(IF(INDEX(MASTER!$C$4:$C$1463,$P13)="","",INDEX(MASTER!$C$4:$C$1463,$P13)),""))</f>
        <v>Ayden</v>
      </c>
      <c r="C13" s="15" t="str">
        <f>IF($P13="","",IFERROR(IF(INDEX(MASTER!$D$4:$D$1463,$P13)="","",INDEX(MASTER!$D$4:$D$1463,$P13)),""))</f>
        <v>Acheron</v>
      </c>
      <c r="D13" s="15" t="str">
        <f>IF($P13="","",IFERROR(IF(INDEX(MASTER!$E$4:$E$1463,$P13)="","",INDEX(MASTER!$E$4:$E$1463,$P13)),""))</f>
        <v>BLOOD KNIGHT</v>
      </c>
      <c r="E13" s="15" t="str">
        <f>IF($P13="","",IFERROR(IF(INDEX(MASTER!$F$4:$F$1463,$P13)="","",INDEX(MASTER!$F$4:$F$1463,$P13)),""))</f>
        <v>Frontline</v>
      </c>
      <c r="F13" s="16">
        <f>IF($P13="","",IFERROR(IF(INDEX(MASTER!$G$4:$G$1463,$P13)="","",INDEX(MASTER!$G$4:$G$1463,$P13)),""))</f>
        <v>63500</v>
      </c>
      <c r="G13" s="15" t="str">
        <f>IF($P13="","",IFERROR(IF(INDEX(MASTER!$H$4:$H$1463,$P13)="","",INDEX(MASTER!$H$4:$H$1463,$P13)),""))</f>
        <v>63,000 - 63,999</v>
      </c>
      <c r="H13" s="16">
        <f>IF($P13="","",IFERROR(IF(INDEX(MASTER!$I$4:$I$1463,$P13)="","",INDEX(MASTER!$I$4:$I$1463,$P13)),""))</f>
        <v>4610</v>
      </c>
      <c r="I13" s="15" t="str">
        <f>IF($P13="","",IFERROR(IF(INDEX(MASTER!$J$4:$J$1463,$P13)="","",INDEX(MASTER!$J$4:$J$1463,$P13)),""))</f>
        <v>CORE</v>
      </c>
      <c r="J13" s="17">
        <f>IF($P13="","",IFERROR(IF(INDEX(MASTER!$L$4:$L$1463,$P13)="","",INDEX(MASTER!$L$4:$L$1463,$P13)),""))</f>
        <v>5.55</v>
      </c>
      <c r="K13" s="17">
        <f>IF($P13="","",IFERROR(IF(INDEX(MASTER!$N$4:$N$1463,$P13)="","",INDEX(MASTER!$N$4:$N$1463,$P13)),""))</f>
        <v>51.7</v>
      </c>
      <c r="L13" s="15" t="str">
        <f>IF($P13="","",IFERROR(IF(INDEX(MASTER!$O$4:$O$1463,$P13)="","",INDEX(MASTER!$O$4:$O$1463,$P13)),""))</f>
        <v>A</v>
      </c>
      <c r="M13" s="15">
        <f>IF($P13="","",IFERROR(IF(INDEX(MASTER!$Q$4:$Q$1463,$P13)="","",INDEX(MASTER!$Q$4:$Q$1463,$P13)),""))</f>
        <v>33</v>
      </c>
      <c r="N13" s="15" t="str">
        <f>IF($P13="","",IFERROR(IF(INDEX(MASTER!$S$4:$S$1463,$P13)="","",INDEX(MASTER!$S$4:$S$1463,$P13)),""))</f>
        <v>Complete</v>
      </c>
      <c r="P13">
        <f>IFERROR(MATCH($Q$1&amp;"@5",MASTER!$AC$4:$AC$1463,0),"")</f>
        <v>83</v>
      </c>
    </row>
    <row r="14" spans="1:17">
      <c r="A14" s="19">
        <f>IF($P14="","",6)</f>
        <v>6</v>
      </c>
      <c r="B14" s="18" t="str">
        <f>IF($P14="","",IFERROR(IF(INDEX(MASTER!$C$4:$C$1463,$P14)="","",INDEX(MASTER!$C$4:$C$1463,$P14)),""))</f>
        <v>Ayrtney</v>
      </c>
      <c r="C14" s="19" t="str">
        <f>IF($P14="","",IFERROR(IF(INDEX(MASTER!$D$4:$D$1463,$P14)="","",INDEX(MASTER!$D$4:$D$1463,$P14)),""))</f>
        <v>Acheron</v>
      </c>
      <c r="D14" s="19" t="str">
        <f>IF($P14="","",IFERROR(IF(INDEX(MASTER!$E$4:$E$1463,$P14)="","",INDEX(MASTER!$E$4:$E$1463,$P14)),""))</f>
        <v>WARLOCK</v>
      </c>
      <c r="E14" s="19" t="str">
        <f>IF($P14="","",IFERROR(IF(INDEX(MASTER!$F$4:$F$1463,$P14)="","",INDEX(MASTER!$F$4:$F$1463,$P14)),""))</f>
        <v>Control</v>
      </c>
      <c r="F14" s="20">
        <f>IF($P14="","",IFERROR(IF(INDEX(MASTER!$G$4:$G$1463,$P14)="","",INDEX(MASTER!$G$4:$G$1463,$P14)),""))</f>
        <v>61754</v>
      </c>
      <c r="G14" s="19" t="str">
        <f>IF($P14="","",IFERROR(IF(INDEX(MASTER!$H$4:$H$1463,$P14)="","",INDEX(MASTER!$H$4:$H$1463,$P14)),""))</f>
        <v>61,000 - 61,999</v>
      </c>
      <c r="H14" s="20">
        <f>IF($P14="","",IFERROR(IF(INDEX(MASTER!$I$4:$I$1463,$P14)="","",INDEX(MASTER!$I$4:$I$1463,$P14)),""))</f>
        <v>2881</v>
      </c>
      <c r="I14" s="19" t="str">
        <f>IF($P14="","",IFERROR(IF(INDEX(MASTER!$J$4:$J$1463,$P14)="","",INDEX(MASTER!$J$4:$J$1463,$P14)),""))</f>
        <v>DEVELOPING</v>
      </c>
      <c r="J14" s="21">
        <f>IF($P14="","",IFERROR(IF(INDEX(MASTER!$L$4:$L$1463,$P14)="","",INDEX(MASTER!$L$4:$L$1463,$P14)),""))</f>
        <v>3.25</v>
      </c>
      <c r="K14" s="21">
        <f>IF($P14="","",IFERROR(IF(INDEX(MASTER!$N$4:$N$1463,$P14)="","",INDEX(MASTER!$N$4:$N$1463,$P14)),""))</f>
        <v>35.799999999999997</v>
      </c>
      <c r="L14" s="19" t="str">
        <f>IF($P14="","",IFERROR(IF(INDEX(MASTER!$O$4:$O$1463,$P14)="","",INDEX(MASTER!$O$4:$O$1463,$P14)),""))</f>
        <v>B</v>
      </c>
      <c r="M14" s="19">
        <f>IF($P14="","",IFERROR(IF(INDEX(MASTER!$Q$4:$Q$1463,$P14)="","",INDEX(MASTER!$Q$4:$Q$1463,$P14)),""))</f>
        <v>69</v>
      </c>
      <c r="N14" s="19" t="str">
        <f>IF($P14="","",IFERROR(IF(INDEX(MASTER!$S$4:$S$1463,$P14)="","",INDEX(MASTER!$S$4:$S$1463,$P14)),""))</f>
        <v>Complete</v>
      </c>
      <c r="P14">
        <f>IFERROR(MATCH($Q$1&amp;"@6",MASTER!$AC$4:$AC$1463,0),"")</f>
        <v>85</v>
      </c>
    </row>
    <row r="15" spans="1:17">
      <c r="A15" s="15">
        <f>IF($P15="","",7)</f>
        <v>7</v>
      </c>
      <c r="B15" s="14" t="str">
        <f>IF($P15="","",IFERROR(IF(INDEX(MASTER!$C$4:$C$1463,$P15)="","",INDEX(MASTER!$C$4:$C$1463,$P15)),""))</f>
        <v>BellamyEmbers</v>
      </c>
      <c r="C15" s="15" t="str">
        <f>IF($P15="","",IFERROR(IF(INDEX(MASTER!$D$4:$D$1463,$P15)="","",INDEX(MASTER!$D$4:$D$1463,$P15)),""))</f>
        <v>Acheron</v>
      </c>
      <c r="D15" s="15" t="str">
        <f>IF($P15="","",IFERROR(IF(INDEX(MASTER!$E$4:$E$1463,$P15)="","",INDEX(MASTER!$E$4:$E$1463,$P15)),""))</f>
        <v>TEMPEST</v>
      </c>
      <c r="E15" s="15" t="str">
        <f>IF($P15="","",IFERROR(IF(INDEX(MASTER!$F$4:$F$1463,$P15)="","",INDEX(MASTER!$F$4:$F$1463,$P15)),""))</f>
        <v>Melee DPS</v>
      </c>
      <c r="F15" s="16">
        <f>IF($P15="","",IFERROR(IF(INDEX(MASTER!$G$4:$G$1463,$P15)="","",INDEX(MASTER!$G$4:$G$1463,$P15)),""))</f>
        <v>61221</v>
      </c>
      <c r="G15" s="15" t="str">
        <f>IF($P15="","",IFERROR(IF(INDEX(MASTER!$H$4:$H$1463,$P15)="","",INDEX(MASTER!$H$4:$H$1463,$P15)),""))</f>
        <v>61,000 - 61,999</v>
      </c>
      <c r="H15" s="16">
        <f>IF($P15="","",IFERROR(IF(INDEX(MASTER!$I$4:$I$1463,$P15)="","",INDEX(MASTER!$I$4:$I$1463,$P15)),""))</f>
        <v>782</v>
      </c>
      <c r="I15" s="15" t="str">
        <f>IF($P15="","",IFERROR(IF(INDEX(MASTER!$J$4:$J$1463,$P15)="","",INDEX(MASTER!$J$4:$J$1463,$P15)),""))</f>
        <v>ROOKIE</v>
      </c>
      <c r="J15" s="17">
        <f>IF($P15="","",IFERROR(IF(INDEX(MASTER!$L$4:$L$1463,$P15)="","",INDEX(MASTER!$L$4:$L$1463,$P15)),""))</f>
        <v>2.85</v>
      </c>
      <c r="K15" s="17">
        <f>IF($P15="","",IFERROR(IF(INDEX(MASTER!$N$4:$N$1463,$P15)="","",INDEX(MASTER!$N$4:$N$1463,$P15)),""))</f>
        <v>24.5</v>
      </c>
      <c r="L15" s="15" t="str">
        <f>IF($P15="","",IFERROR(IF(INDEX(MASTER!$O$4:$O$1463,$P15)="","",INDEX(MASTER!$O$4:$O$1463,$P15)),""))</f>
        <v>C</v>
      </c>
      <c r="M15" s="15">
        <f>IF($P15="","",IFERROR(IF(INDEX(MASTER!$Q$4:$Q$1463,$P15)="","",INDEX(MASTER!$Q$4:$Q$1463,$P15)),""))</f>
        <v>93</v>
      </c>
      <c r="N15" s="15" t="str">
        <f>IF($P15="","",IFERROR(IF(INDEX(MASTER!$S$4:$S$1463,$P15)="","",INDEX(MASTER!$S$4:$S$1463,$P15)),""))</f>
        <v>Complete</v>
      </c>
      <c r="P15">
        <f>IFERROR(MATCH($Q$1&amp;"@7",MASTER!$AC$4:$AC$1463,0),"")</f>
        <v>119</v>
      </c>
    </row>
    <row r="16" spans="1:17">
      <c r="A16" s="19">
        <f>IF($P16="","",8)</f>
        <v>8</v>
      </c>
      <c r="B16" s="18" t="str">
        <f>IF($P16="","",IFERROR(IF(INDEX(MASTER!$C$4:$C$1463,$P16)="","",INDEX(MASTER!$C$4:$C$1463,$P16)),""))</f>
        <v>Blooddrayner</v>
      </c>
      <c r="C16" s="19" t="str">
        <f>IF($P16="","",IFERROR(IF(INDEX(MASTER!$D$4:$D$1463,$P16)="","",INDEX(MASTER!$D$4:$D$1463,$P16)),""))</f>
        <v>Acheron</v>
      </c>
      <c r="D16" s="19" t="str">
        <f>IF($P16="","",IFERROR(IF(INDEX(MASTER!$E$4:$E$1463,$P16)="","",INDEX(MASTER!$E$4:$E$1463,$P16)),""))</f>
        <v>BLOOD KNIGHT</v>
      </c>
      <c r="E16" s="19" t="str">
        <f>IF($P16="","",IFERROR(IF(INDEX(MASTER!$F$4:$F$1463,$P16)="","",INDEX(MASTER!$F$4:$F$1463,$P16)),""))</f>
        <v>Frontline</v>
      </c>
      <c r="F16" s="20">
        <f>IF($P16="","",IFERROR(IF(INDEX(MASTER!$G$4:$G$1463,$P16)="","",INDEX(MASTER!$G$4:$G$1463,$P16)),""))</f>
        <v>63190</v>
      </c>
      <c r="G16" s="19" t="str">
        <f>IF($P16="","",IFERROR(IF(INDEX(MASTER!$H$4:$H$1463,$P16)="","",INDEX(MASTER!$H$4:$H$1463,$P16)),""))</f>
        <v>63,000 - 63,999</v>
      </c>
      <c r="H16" s="20">
        <f>IF($P16="","",IFERROR(IF(INDEX(MASTER!$I$4:$I$1463,$P16)="","",INDEX(MASTER!$I$4:$I$1463,$P16)),""))</f>
        <v>3435</v>
      </c>
      <c r="I16" s="19" t="str">
        <f>IF($P16="","",IFERROR(IF(INDEX(MASTER!$J$4:$J$1463,$P16)="","",INDEX(MASTER!$J$4:$J$1463,$P16)),""))</f>
        <v>DEVELOPING</v>
      </c>
      <c r="J16" s="21">
        <f>IF($P16="","",IFERROR(IF(INDEX(MASTER!$L$4:$L$1463,$P16)="","",INDEX(MASTER!$L$4:$L$1463,$P16)),""))</f>
        <v>4</v>
      </c>
      <c r="K16" s="21">
        <f>IF($P16="","",IFERROR(IF(INDEX(MASTER!$N$4:$N$1463,$P16)="","",INDEX(MASTER!$N$4:$N$1463,$P16)),""))</f>
        <v>43.2</v>
      </c>
      <c r="L16" s="19" t="str">
        <f>IF($P16="","",IFERROR(IF(INDEX(MASTER!$O$4:$O$1463,$P16)="","",INDEX(MASTER!$O$4:$O$1463,$P16)),""))</f>
        <v>B</v>
      </c>
      <c r="M16" s="19">
        <f>IF($P16="","",IFERROR(IF(INDEX(MASTER!$Q$4:$Q$1463,$P16)="","",INDEX(MASTER!$Q$4:$Q$1463,$P16)),""))</f>
        <v>54</v>
      </c>
      <c r="N16" s="19" t="str">
        <f>IF($P16="","",IFERROR(IF(INDEX(MASTER!$S$4:$S$1463,$P16)="","",INDEX(MASTER!$S$4:$S$1463,$P16)),""))</f>
        <v>Complete</v>
      </c>
      <c r="P16">
        <f>IFERROR(MATCH($Q$1&amp;"@8",MASTER!$AC$4:$AC$1463,0),"")</f>
        <v>145</v>
      </c>
    </row>
    <row r="17" spans="1:16">
      <c r="A17" s="15">
        <f>IF($P17="","",9)</f>
        <v>9</v>
      </c>
      <c r="B17" s="14" t="str">
        <f>IF($P17="","",IFERROR(IF(INDEX(MASTER!$C$4:$C$1463,$P17)="","",INDEX(MASTER!$C$4:$C$1463,$P17)),""))</f>
        <v>Blǔd</v>
      </c>
      <c r="C17" s="15" t="str">
        <f>IF($P17="","",IFERROR(IF(INDEX(MASTER!$D$4:$D$1463,$P17)="","",INDEX(MASTER!$D$4:$D$1463,$P17)),""))</f>
        <v/>
      </c>
      <c r="D17" s="15" t="str">
        <f>IF($P17="","",IFERROR(IF(INDEX(MASTER!$E$4:$E$1463,$P17)="","",INDEX(MASTER!$E$4:$E$1463,$P17)),""))</f>
        <v>WIZARD</v>
      </c>
      <c r="E17" s="15" t="str">
        <f>IF($P17="","",IFERROR(IF(INDEX(MASTER!$F$4:$F$1463,$P17)="","",INDEX(MASTER!$F$4:$F$1463,$P17)),""))</f>
        <v>Ranged DPS</v>
      </c>
      <c r="F17" s="16">
        <f>IF($P17="","",IFERROR(IF(INDEX(MASTER!$G$4:$G$1463,$P17)="","",INDEX(MASTER!$G$4:$G$1463,$P17)),""))</f>
        <v>62966</v>
      </c>
      <c r="G17" s="15" t="str">
        <f>IF($P17="","",IFERROR(IF(INDEX(MASTER!$H$4:$H$1463,$P17)="","",INDEX(MASTER!$H$4:$H$1463,$P17)),""))</f>
        <v>62,000 - 62,999</v>
      </c>
      <c r="H17" s="16">
        <f>IF($P17="","",IFERROR(IF(INDEX(MASTER!$I$4:$I$1463,$P17)="","",INDEX(MASTER!$I$4:$I$1463,$P17)),""))</f>
        <v>4956</v>
      </c>
      <c r="I17" s="15" t="str">
        <f>IF($P17="","",IFERROR(IF(INDEX(MASTER!$J$4:$J$1463,$P17)="","",INDEX(MASTER!$J$4:$J$1463,$P17)),""))</f>
        <v>CORE</v>
      </c>
      <c r="J17" s="17">
        <f>IF($P17="","",IFERROR(IF(INDEX(MASTER!$L$4:$L$1463,$P17)="","",INDEX(MASTER!$L$4:$L$1463,$P17)),""))</f>
        <v>7.25</v>
      </c>
      <c r="K17" s="17">
        <f>IF($P17="","",IFERROR(IF(INDEX(MASTER!$N$4:$N$1463,$P17)="","",INDEX(MASTER!$N$4:$N$1463,$P17)),""))</f>
        <v>54.7</v>
      </c>
      <c r="L17" s="15" t="str">
        <f>IF($P17="","",IFERROR(IF(INDEX(MASTER!$O$4:$O$1463,$P17)="","",INDEX(MASTER!$O$4:$O$1463,$P17)),""))</f>
        <v>A</v>
      </c>
      <c r="M17" s="15">
        <f>IF($P17="","",IFERROR(IF(INDEX(MASTER!$Q$4:$Q$1463,$P17)="","",INDEX(MASTER!$Q$4:$Q$1463,$P17)),""))</f>
        <v>27</v>
      </c>
      <c r="N17" s="15" t="str">
        <f>IF($P17="","",IFERROR(IF(INDEX(MASTER!$S$4:$S$1463,$P17)="","",INDEX(MASTER!$S$4:$S$1463,$P17)),""))</f>
        <v>Complete</v>
      </c>
      <c r="P17">
        <f>IFERROR(MATCH($Q$1&amp;"@9",MASTER!$AC$4:$AC$1463,0),"")</f>
        <v>155</v>
      </c>
    </row>
    <row r="18" spans="1:16">
      <c r="A18" s="19">
        <f>IF($P18="","",10)</f>
        <v>10</v>
      </c>
      <c r="B18" s="18" t="str">
        <f>IF($P18="","",IFERROR(IF(INDEX(MASTER!$C$4:$C$1463,$P18)="","",INDEX(MASTER!$C$4:$C$1463,$P18)),""))</f>
        <v>D0ct0rjay</v>
      </c>
      <c r="C18" s="19" t="str">
        <f>IF($P18="","",IFERROR(IF(INDEX(MASTER!$D$4:$D$1463,$P18)="","",INDEX(MASTER!$D$4:$D$1463,$P18)),""))</f>
        <v>Acheron</v>
      </c>
      <c r="D18" s="19" t="str">
        <f>IF($P18="","",IFERROR(IF(INDEX(MASTER!$E$4:$E$1463,$P18)="","",INDEX(MASTER!$E$4:$E$1463,$P18)),""))</f>
        <v>BARBARIAN</v>
      </c>
      <c r="E18" s="19" t="str">
        <f>IF($P18="","",IFERROR(IF(INDEX(MASTER!$F$4:$F$1463,$P18)="","",INDEX(MASTER!$F$4:$F$1463,$P18)),""))</f>
        <v>Frontline</v>
      </c>
      <c r="F18" s="20">
        <f>IF($P18="","",IFERROR(IF(INDEX(MASTER!$G$4:$G$1463,$P18)="","",INDEX(MASTER!$G$4:$G$1463,$P18)),""))</f>
        <v>62316</v>
      </c>
      <c r="G18" s="19" t="str">
        <f>IF($P18="","",IFERROR(IF(INDEX(MASTER!$H$4:$H$1463,$P18)="","",INDEX(MASTER!$H$4:$H$1463,$P18)),""))</f>
        <v>62,000 - 62,999</v>
      </c>
      <c r="H18" s="20">
        <f>IF($P18="","",IFERROR(IF(INDEX(MASTER!$I$4:$I$1463,$P18)="","",INDEX(MASTER!$I$4:$I$1463,$P18)),""))</f>
        <v>3423</v>
      </c>
      <c r="I18" s="19" t="str">
        <f>IF($P18="","",IFERROR(IF(INDEX(MASTER!$J$4:$J$1463,$P18)="","",INDEX(MASTER!$J$4:$J$1463,$P18)),""))</f>
        <v>DEVELOPING</v>
      </c>
      <c r="J18" s="21">
        <f>IF($P18="","",IFERROR(IF(INDEX(MASTER!$L$4:$L$1463,$P18)="","",INDEX(MASTER!$L$4:$L$1463,$P18)),""))</f>
        <v>4.05</v>
      </c>
      <c r="K18" s="21">
        <f>IF($P18="","",IFERROR(IF(INDEX(MASTER!$N$4:$N$1463,$P18)="","",INDEX(MASTER!$N$4:$N$1463,$P18)),""))</f>
        <v>40.9</v>
      </c>
      <c r="L18" s="19" t="str">
        <f>IF($P18="","",IFERROR(IF(INDEX(MASTER!$O$4:$O$1463,$P18)="","",INDEX(MASTER!$O$4:$O$1463,$P18)),""))</f>
        <v>B</v>
      </c>
      <c r="M18" s="19">
        <f>IF($P18="","",IFERROR(IF(INDEX(MASTER!$Q$4:$Q$1463,$P18)="","",INDEX(MASTER!$Q$4:$Q$1463,$P18)),""))</f>
        <v>55</v>
      </c>
      <c r="N18" s="19" t="str">
        <f>IF($P18="","",IFERROR(IF(INDEX(MASTER!$S$4:$S$1463,$P18)="","",INDEX(MASTER!$S$4:$S$1463,$P18)),""))</f>
        <v>Complete</v>
      </c>
      <c r="P18">
        <f>IFERROR(MATCH($Q$1&amp;"@10",MASTER!$AC$4:$AC$1463,0),"")</f>
        <v>244</v>
      </c>
    </row>
    <row r="19" spans="1:16">
      <c r="A19" s="15">
        <f>IF($P19="","",11)</f>
        <v>11</v>
      </c>
      <c r="B19" s="14" t="str">
        <f>IF($P19="","",IFERROR(IF(INDEX(MASTER!$C$4:$C$1463,$P19)="","",INDEX(MASTER!$C$4:$C$1463,$P19)),""))</f>
        <v>DariaNöcturne</v>
      </c>
      <c r="C19" s="15" t="str">
        <f>IF($P19="","",IFERROR(IF(INDEX(MASTER!$D$4:$D$1463,$P19)="","",INDEX(MASTER!$D$4:$D$1463,$P19)),""))</f>
        <v>Acheron</v>
      </c>
      <c r="D19" s="15" t="str">
        <f>IF($P19="","",IFERROR(IF(INDEX(MASTER!$E$4:$E$1463,$P19)="","",INDEX(MASTER!$E$4:$E$1463,$P19)),""))</f>
        <v>WARLOCK</v>
      </c>
      <c r="E19" s="15" t="str">
        <f>IF($P19="","",IFERROR(IF(INDEX(MASTER!$F$4:$F$1463,$P19)="","",INDEX(MASTER!$F$4:$F$1463,$P19)),""))</f>
        <v>Control</v>
      </c>
      <c r="F19" s="16">
        <f>IF($P19="","",IFERROR(IF(INDEX(MASTER!$G$4:$G$1463,$P19)="","",INDEX(MASTER!$G$4:$G$1463,$P19)),""))</f>
        <v>63304</v>
      </c>
      <c r="G19" s="15" t="str">
        <f>IF($P19="","",IFERROR(IF(INDEX(MASTER!$H$4:$H$1463,$P19)="","",INDEX(MASTER!$H$4:$H$1463,$P19)),""))</f>
        <v>63,000 - 63,999</v>
      </c>
      <c r="H19" s="16">
        <f>IF($P19="","",IFERROR(IF(INDEX(MASTER!$I$4:$I$1463,$P19)="","",INDEX(MASTER!$I$4:$I$1463,$P19)),""))</f>
        <v>5504</v>
      </c>
      <c r="I19" s="15" t="str">
        <f>IF($P19="","",IFERROR(IF(INDEX(MASTER!$J$4:$J$1463,$P19)="","",INDEX(MASTER!$J$4:$J$1463,$P19)),""))</f>
        <v>CORE</v>
      </c>
      <c r="J19" s="17">
        <f>IF($P19="","",IFERROR(IF(INDEX(MASTER!$L$4:$L$1463,$P19)="","",INDEX(MASTER!$L$4:$L$1463,$P19)),""))</f>
        <v>5.95</v>
      </c>
      <c r="K19" s="17">
        <f>IF($P19="","",IFERROR(IF(INDEX(MASTER!$N$4:$N$1463,$P19)="","",INDEX(MASTER!$N$4:$N$1463,$P19)),""))</f>
        <v>55.8</v>
      </c>
      <c r="L19" s="15" t="str">
        <f>IF($P19="","",IFERROR(IF(INDEX(MASTER!$O$4:$O$1463,$P19)="","",INDEX(MASTER!$O$4:$O$1463,$P19)),""))</f>
        <v>A</v>
      </c>
      <c r="M19" s="15">
        <f>IF($P19="","",IFERROR(IF(INDEX(MASTER!$Q$4:$Q$1463,$P19)="","",INDEX(MASTER!$Q$4:$Q$1463,$P19)),""))</f>
        <v>18</v>
      </c>
      <c r="N19" s="15" t="str">
        <f>IF($P19="","",IFERROR(IF(INDEX(MASTER!$S$4:$S$1463,$P19)="","",INDEX(MASTER!$S$4:$S$1463,$P19)),""))</f>
        <v>Complete</v>
      </c>
      <c r="P19">
        <f>IFERROR(MATCH($Q$1&amp;"@11",MASTER!$AC$4:$AC$1463,0),"")</f>
        <v>251</v>
      </c>
    </row>
    <row r="20" spans="1:16">
      <c r="A20" s="19">
        <f>IF($P20="","",12)</f>
        <v>12</v>
      </c>
      <c r="B20" s="18" t="str">
        <f>IF($P20="","",IFERROR(IF(INDEX(MASTER!$C$4:$C$1463,$P20)="","",INDEX(MASTER!$C$4:$C$1463,$P20)),""))</f>
        <v>Dealbrakz</v>
      </c>
      <c r="C20" s="19" t="str">
        <f>IF($P20="","",IFERROR(IF(INDEX(MASTER!$D$4:$D$1463,$P20)="","",INDEX(MASTER!$D$4:$D$1463,$P20)),""))</f>
        <v>Acheron</v>
      </c>
      <c r="D20" s="19" t="str">
        <f>IF($P20="","",IFERROR(IF(INDEX(MASTER!$E$4:$E$1463,$P20)="","",INDEX(MASTER!$E$4:$E$1463,$P20)),""))</f>
        <v>DEMON HUNTER</v>
      </c>
      <c r="E20" s="19" t="str">
        <f>IF($P20="","",IFERROR(IF(INDEX(MASTER!$F$4:$F$1463,$P20)="","",INDEX(MASTER!$F$4:$F$1463,$P20)),""))</f>
        <v>Ranged DPS</v>
      </c>
      <c r="F20" s="20">
        <f>IF($P20="","",IFERROR(IF(INDEX(MASTER!$G$4:$G$1463,$P20)="","",INDEX(MASTER!$G$4:$G$1463,$P20)),""))</f>
        <v>61740</v>
      </c>
      <c r="G20" s="19" t="str">
        <f>IF($P20="","",IFERROR(IF(INDEX(MASTER!$H$4:$H$1463,$P20)="","",INDEX(MASTER!$H$4:$H$1463,$P20)),""))</f>
        <v>61,000 - 61,999</v>
      </c>
      <c r="H20" s="20">
        <f>IF($P20="","",IFERROR(IF(INDEX(MASTER!$I$4:$I$1463,$P20)="","",INDEX(MASTER!$I$4:$I$1463,$P20)),""))</f>
        <v>2536</v>
      </c>
      <c r="I20" s="19" t="str">
        <f>IF($P20="","",IFERROR(IF(INDEX(MASTER!$J$4:$J$1463,$P20)="","",INDEX(MASTER!$J$4:$J$1463,$P20)),""))</f>
        <v>DEVELOPING</v>
      </c>
      <c r="J20" s="21">
        <f>IF($P20="","",IFERROR(IF(INDEX(MASTER!$L$4:$L$1463,$P20)="","",INDEX(MASTER!$L$4:$L$1463,$P20)),""))</f>
        <v>3.8</v>
      </c>
      <c r="K20" s="21">
        <f>IF($P20="","",IFERROR(IF(INDEX(MASTER!$N$4:$N$1463,$P20)="","",INDEX(MASTER!$N$4:$N$1463,$P20)),""))</f>
        <v>35.1</v>
      </c>
      <c r="L20" s="19" t="str">
        <f>IF($P20="","",IFERROR(IF(INDEX(MASTER!$O$4:$O$1463,$P20)="","",INDEX(MASTER!$O$4:$O$1463,$P20)),""))</f>
        <v>B</v>
      </c>
      <c r="M20" s="19">
        <f>IF($P20="","",IFERROR(IF(INDEX(MASTER!$Q$4:$Q$1463,$P20)="","",INDEX(MASTER!$Q$4:$Q$1463,$P20)),""))</f>
        <v>78</v>
      </c>
      <c r="N20" s="19" t="str">
        <f>IF($P20="","",IFERROR(IF(INDEX(MASTER!$S$4:$S$1463,$P20)="","",INDEX(MASTER!$S$4:$S$1463,$P20)),""))</f>
        <v>Complete</v>
      </c>
      <c r="P20">
        <f>IFERROR(MATCH($Q$1&amp;"@12",MASTER!$AC$4:$AC$1463,0),"")</f>
        <v>265</v>
      </c>
    </row>
    <row r="21" spans="1:16">
      <c r="A21" s="15">
        <f>IF($P21="","",13)</f>
        <v>13</v>
      </c>
      <c r="B21" s="14" t="str">
        <f>IF($P21="","",IFERROR(IF(INDEX(MASTER!$C$4:$C$1463,$P21)="","",INDEX(MASTER!$C$4:$C$1463,$P21)),""))</f>
        <v>Demoness363</v>
      </c>
      <c r="C21" s="15" t="str">
        <f>IF($P21="","",IFERROR(IF(INDEX(MASTER!$D$4:$D$1463,$P21)="","",INDEX(MASTER!$D$4:$D$1463,$P21)),""))</f>
        <v>Acheron</v>
      </c>
      <c r="D21" s="15" t="str">
        <f>IF($P21="","",IFERROR(IF(INDEX(MASTER!$E$4:$E$1463,$P21)="","",INDEX(MASTER!$E$4:$E$1463,$P21)),""))</f>
        <v>DEMON HUNTER</v>
      </c>
      <c r="E21" s="15" t="str">
        <f>IF($P21="","",IFERROR(IF(INDEX(MASTER!$F$4:$F$1463,$P21)="","",INDEX(MASTER!$F$4:$F$1463,$P21)),""))</f>
        <v>Ranged DPS</v>
      </c>
      <c r="F21" s="16">
        <f>IF($P21="","",IFERROR(IF(INDEX(MASTER!$G$4:$G$1463,$P21)="","",INDEX(MASTER!$G$4:$G$1463,$P21)),""))</f>
        <v>54351</v>
      </c>
      <c r="G21" s="15" t="str">
        <f>IF($P21="","",IFERROR(IF(INDEX(MASTER!$H$4:$H$1463,$P21)="","",INDEX(MASTER!$H$4:$H$1463,$P21)),""))</f>
        <v>Under 58,000</v>
      </c>
      <c r="H21" s="16">
        <f>IF($P21="","",IFERROR(IF(INDEX(MASTER!$I$4:$I$1463,$P21)="","",INDEX(MASTER!$I$4:$I$1463,$P21)),""))</f>
        <v>285</v>
      </c>
      <c r="I21" s="15" t="str">
        <f>IF($P21="","",IFERROR(IF(INDEX(MASTER!$J$4:$J$1463,$P21)="","",INDEX(MASTER!$J$4:$J$1463,$P21)),""))</f>
        <v>ROOKIE</v>
      </c>
      <c r="J21" s="17">
        <f>IF($P21="","",IFERROR(IF(INDEX(MASTER!$L$4:$L$1463,$P21)="","",INDEX(MASTER!$L$4:$L$1463,$P21)),""))</f>
        <v>2.15</v>
      </c>
      <c r="K21" s="17">
        <f>IF($P21="","",IFERROR(IF(INDEX(MASTER!$N$4:$N$1463,$P21)="","",INDEX(MASTER!$N$4:$N$1463,$P21)),""))</f>
        <v>4.8</v>
      </c>
      <c r="L21" s="15" t="str">
        <f>IF($P21="","",IFERROR(IF(INDEX(MASTER!$O$4:$O$1463,$P21)="","",INDEX(MASTER!$O$4:$O$1463,$P21)),""))</f>
        <v>D</v>
      </c>
      <c r="M21" s="15">
        <f>IF($P21="","",IFERROR(IF(INDEX(MASTER!$Q$4:$Q$1463,$P21)="","",INDEX(MASTER!$Q$4:$Q$1463,$P21)),""))</f>
        <v>94</v>
      </c>
      <c r="N21" s="15" t="str">
        <f>IF($P21="","",IFERROR(IF(INDEX(MASTER!$S$4:$S$1463,$P21)="","",INDEX(MASTER!$S$4:$S$1463,$P21)),""))</f>
        <v>Complete</v>
      </c>
      <c r="P21">
        <f>IFERROR(MATCH($Q$1&amp;"@13",MASTER!$AC$4:$AC$1463,0),"")</f>
        <v>276</v>
      </c>
    </row>
    <row r="22" spans="1:16">
      <c r="A22" s="19">
        <f>IF($P22="","",14)</f>
        <v>14</v>
      </c>
      <c r="B22" s="18" t="str">
        <f>IF($P22="","",IFERROR(IF(INDEX(MASTER!$C$4:$C$1463,$P22)="","",INDEX(MASTER!$C$4:$C$1463,$P22)),""))</f>
        <v>DiabloGPT</v>
      </c>
      <c r="C22" s="19" t="str">
        <f>IF($P22="","",IFERROR(IF(INDEX(MASTER!$D$4:$D$1463,$P22)="","",INDEX(MASTER!$D$4:$D$1463,$P22)),""))</f>
        <v>Acheron</v>
      </c>
      <c r="D22" s="19" t="str">
        <f>IF($P22="","",IFERROR(IF(INDEX(MASTER!$E$4:$E$1463,$P22)="","",INDEX(MASTER!$E$4:$E$1463,$P22)),""))</f>
        <v>WARLOCK</v>
      </c>
      <c r="E22" s="19" t="str">
        <f>IF($P22="","",IFERROR(IF(INDEX(MASTER!$F$4:$F$1463,$P22)="","",INDEX(MASTER!$F$4:$F$1463,$P22)),""))</f>
        <v>Control</v>
      </c>
      <c r="F22" s="20">
        <f>IF($P22="","",IFERROR(IF(INDEX(MASTER!$G$4:$G$1463,$P22)="","",INDEX(MASTER!$G$4:$G$1463,$P22)),""))</f>
        <v>62287</v>
      </c>
      <c r="G22" s="19" t="str">
        <f>IF($P22="","",IFERROR(IF(INDEX(MASTER!$H$4:$H$1463,$P22)="","",INDEX(MASTER!$H$4:$H$1463,$P22)),""))</f>
        <v>62,000 - 62,999</v>
      </c>
      <c r="H22" s="20">
        <f>IF($P22="","",IFERROR(IF(INDEX(MASTER!$I$4:$I$1463,$P22)="","",INDEX(MASTER!$I$4:$I$1463,$P22)),""))</f>
        <v>5988</v>
      </c>
      <c r="I22" s="19" t="str">
        <f>IF($P22="","",IFERROR(IF(INDEX(MASTER!$J$4:$J$1463,$P22)="","",INDEX(MASTER!$J$4:$J$1463,$P22)),""))</f>
        <v>CORE</v>
      </c>
      <c r="J22" s="21">
        <f>IF($P22="","",IFERROR(IF(INDEX(MASTER!$L$4:$L$1463,$P22)="","",INDEX(MASTER!$L$4:$L$1463,$P22)),""))</f>
        <v>25.1</v>
      </c>
      <c r="K22" s="21">
        <f>IF($P22="","",IFERROR(IF(INDEX(MASTER!$N$4:$N$1463,$P22)="","",INDEX(MASTER!$N$4:$N$1463,$P22)),""))</f>
        <v>65.3</v>
      </c>
      <c r="L22" s="19" t="str">
        <f>IF($P22="","",IFERROR(IF(INDEX(MASTER!$O$4:$O$1463,$P22)="","",INDEX(MASTER!$O$4:$O$1463,$P22)),""))</f>
        <v>S</v>
      </c>
      <c r="M22" s="19">
        <f>IF($P22="","",IFERROR(IF(INDEX(MASTER!$Q$4:$Q$1463,$P22)="","",INDEX(MASTER!$Q$4:$Q$1463,$P22)),""))</f>
        <v>14</v>
      </c>
      <c r="N22" s="19" t="str">
        <f>IF($P22="","",IFERROR(IF(INDEX(MASTER!$S$4:$S$1463,$P22)="","",INDEX(MASTER!$S$4:$S$1463,$P22)),""))</f>
        <v>Complete</v>
      </c>
      <c r="P22">
        <f>IFERROR(MATCH($Q$1&amp;"@14",MASTER!$AC$4:$AC$1463,0),"")</f>
        <v>287</v>
      </c>
    </row>
    <row r="23" spans="1:16">
      <c r="A23" s="15">
        <f>IF($P23="","",15)</f>
        <v>15</v>
      </c>
      <c r="B23" s="14" t="str">
        <f>IF($P23="","",IFERROR(IF(INDEX(MASTER!$C$4:$C$1463,$P23)="","",INDEX(MASTER!$C$4:$C$1463,$P23)),""))</f>
        <v>Djangus</v>
      </c>
      <c r="C23" s="15" t="str">
        <f>IF($P23="","",IFERROR(IF(INDEX(MASTER!$D$4:$D$1463,$P23)="","",INDEX(MASTER!$D$4:$D$1463,$P23)),""))</f>
        <v>Acheron</v>
      </c>
      <c r="D23" s="15" t="str">
        <f>IF($P23="","",IFERROR(IF(INDEX(MASTER!$E$4:$E$1463,$P23)="","",INDEX(MASTER!$E$4:$E$1463,$P23)),""))</f>
        <v>MONK</v>
      </c>
      <c r="E23" s="15" t="str">
        <f>IF($P23="","",IFERROR(IF(INDEX(MASTER!$F$4:$F$1463,$P23)="","",INDEX(MASTER!$F$4:$F$1463,$P23)),""))</f>
        <v>Support</v>
      </c>
      <c r="F23" s="16">
        <f>IF($P23="","",IFERROR(IF(INDEX(MASTER!$G$4:$G$1463,$P23)="","",INDEX(MASTER!$G$4:$G$1463,$P23)),""))</f>
        <v>62268</v>
      </c>
      <c r="G23" s="15" t="str">
        <f>IF($P23="","",IFERROR(IF(INDEX(MASTER!$H$4:$H$1463,$P23)="","",INDEX(MASTER!$H$4:$H$1463,$P23)),""))</f>
        <v>62,000 - 62,999</v>
      </c>
      <c r="H23" s="16">
        <f>IF($P23="","",IFERROR(IF(INDEX(MASTER!$I$4:$I$1463,$P23)="","",INDEX(MASTER!$I$4:$I$1463,$P23)),""))</f>
        <v>4897</v>
      </c>
      <c r="I23" s="15" t="str">
        <f>IF($P23="","",IFERROR(IF(INDEX(MASTER!$J$4:$J$1463,$P23)="","",INDEX(MASTER!$J$4:$J$1463,$P23)),""))</f>
        <v>CORE</v>
      </c>
      <c r="J23" s="17">
        <f>IF($P23="","",IFERROR(IF(INDEX(MASTER!$L$4:$L$1463,$P23)="","",INDEX(MASTER!$L$4:$L$1463,$P23)),""))</f>
        <v>5</v>
      </c>
      <c r="K23" s="17">
        <f>IF($P23="","",IFERROR(IF(INDEX(MASTER!$N$4:$N$1463,$P23)="","",INDEX(MASTER!$N$4:$N$1463,$P23)),""))</f>
        <v>48.8</v>
      </c>
      <c r="L23" s="15" t="str">
        <f>IF($P23="","",IFERROR(IF(INDEX(MASTER!$O$4:$O$1463,$P23)="","",INDEX(MASTER!$O$4:$O$1463,$P23)),""))</f>
        <v>B</v>
      </c>
      <c r="M23" s="15">
        <f>IF($P23="","",IFERROR(IF(INDEX(MASTER!$Q$4:$Q$1463,$P23)="","",INDEX(MASTER!$Q$4:$Q$1463,$P23)),""))</f>
        <v>28</v>
      </c>
      <c r="N23" s="15" t="str">
        <f>IF($P23="","",IFERROR(IF(INDEX(MASTER!$S$4:$S$1463,$P23)="","",INDEX(MASTER!$S$4:$S$1463,$P23)),""))</f>
        <v>Complete</v>
      </c>
      <c r="P23">
        <f>IFERROR(MATCH($Q$1&amp;"@15",MASTER!$AC$4:$AC$1463,0),"")</f>
        <v>296</v>
      </c>
    </row>
    <row r="24" spans="1:16">
      <c r="A24" s="19">
        <f>IF($P24="","",16)</f>
        <v>16</v>
      </c>
      <c r="B24" s="18" t="str">
        <f>IF($P24="","",IFERROR(IF(INDEX(MASTER!$C$4:$C$1463,$P24)="","",INDEX(MASTER!$C$4:$C$1463,$P24)),""))</f>
        <v>DM26</v>
      </c>
      <c r="C24" s="19" t="str">
        <f>IF($P24="","",IFERROR(IF(INDEX(MASTER!$D$4:$D$1463,$P24)="","",INDEX(MASTER!$D$4:$D$1463,$P24)),""))</f>
        <v>Acheron</v>
      </c>
      <c r="D24" s="19" t="str">
        <f>IF($P24="","",IFERROR(IF(INDEX(MASTER!$E$4:$E$1463,$P24)="","",INDEX(MASTER!$E$4:$E$1463,$P24)),""))</f>
        <v>WIZARD</v>
      </c>
      <c r="E24" s="19" t="str">
        <f>IF($P24="","",IFERROR(IF(INDEX(MASTER!$F$4:$F$1463,$P24)="","",INDEX(MASTER!$F$4:$F$1463,$P24)),""))</f>
        <v>Ranged DPS</v>
      </c>
      <c r="F24" s="20">
        <f>IF($P24="","",IFERROR(IF(INDEX(MASTER!$G$4:$G$1463,$P24)="","",INDEX(MASTER!$G$4:$G$1463,$P24)),""))</f>
        <v>58259</v>
      </c>
      <c r="G24" s="19" t="str">
        <f>IF($P24="","",IFERROR(IF(INDEX(MASTER!$H$4:$H$1463,$P24)="","",INDEX(MASTER!$H$4:$H$1463,$P24)),""))</f>
        <v>58,000 - 59,999</v>
      </c>
      <c r="H24" s="20">
        <f>IF($P24="","",IFERROR(IF(INDEX(MASTER!$I$4:$I$1463,$P24)="","",INDEX(MASTER!$I$4:$I$1463,$P24)),""))</f>
        <v>2880</v>
      </c>
      <c r="I24" s="19" t="str">
        <f>IF($P24="","",IFERROR(IF(INDEX(MASTER!$J$4:$J$1463,$P24)="","",INDEX(MASTER!$J$4:$J$1463,$P24)),""))</f>
        <v>DEVELOPING</v>
      </c>
      <c r="J24" s="21">
        <f>IF($P24="","",IFERROR(IF(INDEX(MASTER!$L$4:$L$1463,$P24)="","",INDEX(MASTER!$L$4:$L$1463,$P24)),""))</f>
        <v>5.3</v>
      </c>
      <c r="K24" s="21">
        <f>IF($P24="","",IFERROR(IF(INDEX(MASTER!$N$4:$N$1463,$P24)="","",INDEX(MASTER!$N$4:$N$1463,$P24)),""))</f>
        <v>30</v>
      </c>
      <c r="L24" s="19" t="str">
        <f>IF($P24="","",IFERROR(IF(INDEX(MASTER!$O$4:$O$1463,$P24)="","",INDEX(MASTER!$O$4:$O$1463,$P24)),""))</f>
        <v>C</v>
      </c>
      <c r="M24" s="19">
        <f>IF($P24="","",IFERROR(IF(INDEX(MASTER!$Q$4:$Q$1463,$P24)="","",INDEX(MASTER!$Q$4:$Q$1463,$P24)),""))</f>
        <v>70</v>
      </c>
      <c r="N24" s="19" t="str">
        <f>IF($P24="","",IFERROR(IF(INDEX(MASTER!$S$4:$S$1463,$P24)="","",INDEX(MASTER!$S$4:$S$1463,$P24)),""))</f>
        <v>Complete</v>
      </c>
      <c r="P24">
        <f>IFERROR(MATCH($Q$1&amp;"@16",MASTER!$AC$4:$AC$1463,0),"")</f>
        <v>298</v>
      </c>
    </row>
    <row r="25" spans="1:16">
      <c r="A25" s="15">
        <f>IF($P25="","",17)</f>
        <v>17</v>
      </c>
      <c r="B25" s="14" t="str">
        <f>IF($P25="","",IFERROR(IF(INDEX(MASTER!$C$4:$C$1463,$P25)="","",INDEX(MASTER!$C$4:$C$1463,$P25)),""))</f>
        <v>Dominick380</v>
      </c>
      <c r="C25" s="15" t="str">
        <f>IF($P25="","",IFERROR(IF(INDEX(MASTER!$D$4:$D$1463,$P25)="","",INDEX(MASTER!$D$4:$D$1463,$P25)),""))</f>
        <v>Acheron</v>
      </c>
      <c r="D25" s="15" t="str">
        <f>IF($P25="","",IFERROR(IF(INDEX(MASTER!$E$4:$E$1463,$P25)="","",INDEX(MASTER!$E$4:$E$1463,$P25)),""))</f>
        <v>DEMON HUNTER</v>
      </c>
      <c r="E25" s="15" t="str">
        <f>IF($P25="","",IFERROR(IF(INDEX(MASTER!$F$4:$F$1463,$P25)="","",INDEX(MASTER!$F$4:$F$1463,$P25)),""))</f>
        <v>Ranged DPS</v>
      </c>
      <c r="F25" s="16">
        <f>IF($P25="","",IFERROR(IF(INDEX(MASTER!$G$4:$G$1463,$P25)="","",INDEX(MASTER!$G$4:$G$1463,$P25)),""))</f>
        <v>61891</v>
      </c>
      <c r="G25" s="15" t="str">
        <f>IF($P25="","",IFERROR(IF(INDEX(MASTER!$H$4:$H$1463,$P25)="","",INDEX(MASTER!$H$4:$H$1463,$P25)),""))</f>
        <v>61,000 - 61,999</v>
      </c>
      <c r="H25" s="16">
        <f>IF($P25="","",IFERROR(IF(INDEX(MASTER!$I$4:$I$1463,$P25)="","",INDEX(MASTER!$I$4:$I$1463,$P25)),""))</f>
        <v>3470</v>
      </c>
      <c r="I25" s="15" t="str">
        <f>IF($P25="","",IFERROR(IF(INDEX(MASTER!$J$4:$J$1463,$P25)="","",INDEX(MASTER!$J$4:$J$1463,$P25)),""))</f>
        <v>DEVELOPING</v>
      </c>
      <c r="J25" s="17">
        <f>IF($P25="","",IFERROR(IF(INDEX(MASTER!$L$4:$L$1463,$P25)="","",INDEX(MASTER!$L$4:$L$1463,$P25)),""))</f>
        <v>5.9</v>
      </c>
      <c r="K25" s="17">
        <f>IF($P25="","",IFERROR(IF(INDEX(MASTER!$N$4:$N$1463,$P25)="","",INDEX(MASTER!$N$4:$N$1463,$P25)),""))</f>
        <v>43.1</v>
      </c>
      <c r="L25" s="15" t="str">
        <f>IF($P25="","",IFERROR(IF(INDEX(MASTER!$O$4:$O$1463,$P25)="","",INDEX(MASTER!$O$4:$O$1463,$P25)),""))</f>
        <v>B</v>
      </c>
      <c r="M25" s="15">
        <f>IF($P25="","",IFERROR(IF(INDEX(MASTER!$Q$4:$Q$1463,$P25)="","",INDEX(MASTER!$Q$4:$Q$1463,$P25)),""))</f>
        <v>52</v>
      </c>
      <c r="N25" s="15" t="str">
        <f>IF($P25="","",IFERROR(IF(INDEX(MASTER!$S$4:$S$1463,$P25)="","",INDEX(MASTER!$S$4:$S$1463,$P25)),""))</f>
        <v>Complete</v>
      </c>
      <c r="P25">
        <f>IFERROR(MATCH($Q$1&amp;"@17",MASTER!$AC$4:$AC$1463,0),"")</f>
        <v>302</v>
      </c>
    </row>
    <row r="26" spans="1:16">
      <c r="A26" s="19">
        <f>IF($P26="","",18)</f>
        <v>18</v>
      </c>
      <c r="B26" s="18" t="str">
        <f>IF($P26="","",IFERROR(IF(INDEX(MASTER!$C$4:$C$1463,$P26)="","",INDEX(MASTER!$C$4:$C$1463,$P26)),""))</f>
        <v>Dominick381</v>
      </c>
      <c r="C26" s="19" t="str">
        <f>IF($P26="","",IFERROR(IF(INDEX(MASTER!$D$4:$D$1463,$P26)="","",INDEX(MASTER!$D$4:$D$1463,$P26)),""))</f>
        <v>Acheron</v>
      </c>
      <c r="D26" s="19" t="str">
        <f>IF($P26="","",IFERROR(IF(INDEX(MASTER!$E$4:$E$1463,$P26)="","",INDEX(MASTER!$E$4:$E$1463,$P26)),""))</f>
        <v>DRUID</v>
      </c>
      <c r="E26" s="19" t="str">
        <f>IF($P26="","",IFERROR(IF(INDEX(MASTER!$F$4:$F$1463,$P26)="","",INDEX(MASTER!$F$4:$F$1463,$P26)),""))</f>
        <v>Support</v>
      </c>
      <c r="F26" s="20">
        <f>IF($P26="","",IFERROR(IF(INDEX(MASTER!$G$4:$G$1463,$P26)="","",INDEX(MASTER!$G$4:$G$1463,$P26)),""))</f>
        <v>59762</v>
      </c>
      <c r="G26" s="19" t="str">
        <f>IF($P26="","",IFERROR(IF(INDEX(MASTER!$H$4:$H$1463,$P26)="","",INDEX(MASTER!$H$4:$H$1463,$P26)),""))</f>
        <v>58,000 - 59,999</v>
      </c>
      <c r="H26" s="20">
        <f>IF($P26="","",IFERROR(IF(INDEX(MASTER!$I$4:$I$1463,$P26)="","",INDEX(MASTER!$I$4:$I$1463,$P26)),""))</f>
        <v>1271</v>
      </c>
      <c r="I26" s="19" t="str">
        <f>IF($P26="","",IFERROR(IF(INDEX(MASTER!$J$4:$J$1463,$P26)="","",INDEX(MASTER!$J$4:$J$1463,$P26)),""))</f>
        <v>ROOKIE</v>
      </c>
      <c r="J26" s="21">
        <f>IF($P26="","",IFERROR(IF(INDEX(MASTER!$L$4:$L$1463,$P26)="","",INDEX(MASTER!$L$4:$L$1463,$P26)),""))</f>
        <v>3.95</v>
      </c>
      <c r="K26" s="21">
        <f>IF($P26="","",IFERROR(IF(INDEX(MASTER!$N$4:$N$1463,$P26)="","",INDEX(MASTER!$N$4:$N$1463,$P26)),""))</f>
        <v>24.7</v>
      </c>
      <c r="L26" s="19" t="str">
        <f>IF($P26="","",IFERROR(IF(INDEX(MASTER!$O$4:$O$1463,$P26)="","",INDEX(MASTER!$O$4:$O$1463,$P26)),""))</f>
        <v>C</v>
      </c>
      <c r="M26" s="19">
        <f>IF($P26="","",IFERROR(IF(INDEX(MASTER!$Q$4:$Q$1463,$P26)="","",INDEX(MASTER!$Q$4:$Q$1463,$P26)),""))</f>
        <v>88</v>
      </c>
      <c r="N26" s="19" t="str">
        <f>IF($P26="","",IFERROR(IF(INDEX(MASTER!$S$4:$S$1463,$P26)="","",INDEX(MASTER!$S$4:$S$1463,$P26)),""))</f>
        <v>Complete</v>
      </c>
      <c r="P26">
        <f>IFERROR(MATCH($Q$1&amp;"@18",MASTER!$AC$4:$AC$1463,0),"")</f>
        <v>303</v>
      </c>
    </row>
    <row r="27" spans="1:16">
      <c r="A27" s="15">
        <f>IF($P27="","",19)</f>
        <v>19</v>
      </c>
      <c r="B27" s="14" t="str">
        <f>IF($P27="","",IFERROR(IF(INDEX(MASTER!$C$4:$C$1463,$P27)="","",INDEX(MASTER!$C$4:$C$1463,$P27)),""))</f>
        <v>DøømBlade</v>
      </c>
      <c r="C27" s="15" t="str">
        <f>IF($P27="","",IFERROR(IF(INDEX(MASTER!$D$4:$D$1463,$P27)="","",INDEX(MASTER!$D$4:$D$1463,$P27)),""))</f>
        <v>Acheron</v>
      </c>
      <c r="D27" s="15" t="str">
        <f>IF($P27="","",IFERROR(IF(INDEX(MASTER!$E$4:$E$1463,$P27)="","",INDEX(MASTER!$E$4:$E$1463,$P27)),""))</f>
        <v>BARBARIAN</v>
      </c>
      <c r="E27" s="15" t="str">
        <f>IF($P27="","",IFERROR(IF(INDEX(MASTER!$F$4:$F$1463,$P27)="","",INDEX(MASTER!$F$4:$F$1463,$P27)),""))</f>
        <v>Frontline</v>
      </c>
      <c r="F27" s="16">
        <f>IF($P27="","",IFERROR(IF(INDEX(MASTER!$G$4:$G$1463,$P27)="","",INDEX(MASTER!$G$4:$G$1463,$P27)),""))</f>
        <v>62030</v>
      </c>
      <c r="G27" s="15" t="str">
        <f>IF($P27="","",IFERROR(IF(INDEX(MASTER!$H$4:$H$1463,$P27)="","",INDEX(MASTER!$H$4:$H$1463,$P27)),""))</f>
        <v>62,000 - 62,999</v>
      </c>
      <c r="H27" s="16">
        <f>IF($P27="","",IFERROR(IF(INDEX(MASTER!$I$4:$I$1463,$P27)="","",INDEX(MASTER!$I$4:$I$1463,$P27)),""))</f>
        <v>7214</v>
      </c>
      <c r="I27" s="15" t="str">
        <f>IF($P27="","",IFERROR(IF(INDEX(MASTER!$J$4:$J$1463,$P27)="","",INDEX(MASTER!$J$4:$J$1463,$P27)),""))</f>
        <v>VETERAN</v>
      </c>
      <c r="J27" s="17">
        <f>IF($P27="","",IFERROR(IF(INDEX(MASTER!$L$4:$L$1463,$P27)="","",INDEX(MASTER!$L$4:$L$1463,$P27)),""))</f>
        <v>6.7</v>
      </c>
      <c r="K27" s="17">
        <f>IF($P27="","",IFERROR(IF(INDEX(MASTER!$N$4:$N$1463,$P27)="","",INDEX(MASTER!$N$4:$N$1463,$P27)),""))</f>
        <v>61.2</v>
      </c>
      <c r="L27" s="15" t="str">
        <f>IF($P27="","",IFERROR(IF(INDEX(MASTER!$O$4:$O$1463,$P27)="","",INDEX(MASTER!$O$4:$O$1463,$P27)),""))</f>
        <v>A</v>
      </c>
      <c r="M27" s="15">
        <f>IF($P27="","",IFERROR(IF(INDEX(MASTER!$Q$4:$Q$1463,$P27)="","",INDEX(MASTER!$Q$4:$Q$1463,$P27)),""))</f>
        <v>10</v>
      </c>
      <c r="N27" s="15" t="str">
        <f>IF($P27="","",IFERROR(IF(INDEX(MASTER!$S$4:$S$1463,$P27)="","",INDEX(MASTER!$S$4:$S$1463,$P27)),""))</f>
        <v>Complete</v>
      </c>
      <c r="P27">
        <f>IFERROR(MATCH($Q$1&amp;"@19",MASTER!$AC$4:$AC$1463,0),"")</f>
        <v>336</v>
      </c>
    </row>
    <row r="28" spans="1:16">
      <c r="A28" s="19">
        <f>IF($P28="","",20)</f>
        <v>20</v>
      </c>
      <c r="B28" s="18" t="str">
        <f>IF($P28="","",IFERROR(IF(INDEX(MASTER!$C$4:$C$1463,$P28)="","",INDEX(MASTER!$C$4:$C$1463,$P28)),""))</f>
        <v>Dualblader</v>
      </c>
      <c r="C28" s="19" t="str">
        <f>IF($P28="","",IFERROR(IF(INDEX(MASTER!$D$4:$D$1463,$P28)="","",INDEX(MASTER!$D$4:$D$1463,$P28)),""))</f>
        <v/>
      </c>
      <c r="D28" s="19" t="str">
        <f>IF($P28="","",IFERROR(IF(INDEX(MASTER!$E$4:$E$1463,$P28)="","",INDEX(MASTER!$E$4:$E$1463,$P28)),""))</f>
        <v>WIZARD</v>
      </c>
      <c r="E28" s="19" t="str">
        <f>IF($P28="","",IFERROR(IF(INDEX(MASTER!$F$4:$F$1463,$P28)="","",INDEX(MASTER!$F$4:$F$1463,$P28)),""))</f>
        <v>Ranged DPS</v>
      </c>
      <c r="F28" s="20">
        <f>IF($P28="","",IFERROR(IF(INDEX(MASTER!$G$4:$G$1463,$P28)="","",INDEX(MASTER!$G$4:$G$1463,$P28)),""))</f>
        <v>62341</v>
      </c>
      <c r="G28" s="19" t="str">
        <f>IF($P28="","",IFERROR(IF(INDEX(MASTER!$H$4:$H$1463,$P28)="","",INDEX(MASTER!$H$4:$H$1463,$P28)),""))</f>
        <v>62,000 - 62,999</v>
      </c>
      <c r="H28" s="20">
        <f>IF($P28="","",IFERROR(IF(INDEX(MASTER!$I$4:$I$1463,$P28)="","",INDEX(MASTER!$I$4:$I$1463,$P28)),""))</f>
        <v>1440</v>
      </c>
      <c r="I28" s="19" t="str">
        <f>IF($P28="","",IFERROR(IF(INDEX(MASTER!$J$4:$J$1463,$P28)="","",INDEX(MASTER!$J$4:$J$1463,$P28)),""))</f>
        <v>ROOKIE</v>
      </c>
      <c r="J28" s="21">
        <f>IF($P28="","",IFERROR(IF(INDEX(MASTER!$L$4:$L$1463,$P28)="","",INDEX(MASTER!$L$4:$L$1463,$P28)),""))</f>
        <v>5</v>
      </c>
      <c r="K28" s="21">
        <f>IF($P28="","",IFERROR(IF(INDEX(MASTER!$N$4:$N$1463,$P28)="","",INDEX(MASTER!$N$4:$N$1463,$P28)),""))</f>
        <v>33.9</v>
      </c>
      <c r="L28" s="19" t="str">
        <f>IF($P28="","",IFERROR(IF(INDEX(MASTER!$O$4:$O$1463,$P28)="","",INDEX(MASTER!$O$4:$O$1463,$P28)),""))</f>
        <v>C</v>
      </c>
      <c r="M28" s="19">
        <f>IF($P28="","",IFERROR(IF(INDEX(MASTER!$Q$4:$Q$1463,$P28)="","",INDEX(MASTER!$Q$4:$Q$1463,$P28)),""))</f>
        <v>87</v>
      </c>
      <c r="N28" s="19" t="str">
        <f>IF($P28="","",IFERROR(IF(INDEX(MASTER!$S$4:$S$1463,$P28)="","",INDEX(MASTER!$S$4:$S$1463,$P28)),""))</f>
        <v>Complete</v>
      </c>
      <c r="P28">
        <f>IFERROR(MATCH($Q$1&amp;"@20",MASTER!$AC$4:$AC$1463,0),"")</f>
        <v>323</v>
      </c>
    </row>
    <row r="29" spans="1:16">
      <c r="A29" s="15">
        <f>IF($P29="","",21)</f>
        <v>21</v>
      </c>
      <c r="B29" s="14" t="str">
        <f>IF($P29="","",IFERROR(IF(INDEX(MASTER!$C$4:$C$1463,$P29)="","",INDEX(MASTER!$C$4:$C$1463,$P29)),""))</f>
        <v>Ekekeke</v>
      </c>
      <c r="C29" s="15" t="str">
        <f>IF($P29="","",IFERROR(IF(INDEX(MASTER!$D$4:$D$1463,$P29)="","",INDEX(MASTER!$D$4:$D$1463,$P29)),""))</f>
        <v>Acheron</v>
      </c>
      <c r="D29" s="15" t="str">
        <f>IF($P29="","",IFERROR(IF(INDEX(MASTER!$E$4:$E$1463,$P29)="","",INDEX(MASTER!$E$4:$E$1463,$P29)),""))</f>
        <v>BLOOD KNIGHT</v>
      </c>
      <c r="E29" s="15" t="str">
        <f>IF($P29="","",IFERROR(IF(INDEX(MASTER!$F$4:$F$1463,$P29)="","",INDEX(MASTER!$F$4:$F$1463,$P29)),""))</f>
        <v>Frontline</v>
      </c>
      <c r="F29" s="16">
        <f>IF($P29="","",IFERROR(IF(INDEX(MASTER!$G$4:$G$1463,$P29)="","",INDEX(MASTER!$G$4:$G$1463,$P29)),""))</f>
        <v>62993</v>
      </c>
      <c r="G29" s="15" t="str">
        <f>IF($P29="","",IFERROR(IF(INDEX(MASTER!$H$4:$H$1463,$P29)="","",INDEX(MASTER!$H$4:$H$1463,$P29)),""))</f>
        <v>62,000 - 62,999</v>
      </c>
      <c r="H29" s="16">
        <f>IF($P29="","",IFERROR(IF(INDEX(MASTER!$I$4:$I$1463,$P29)="","",INDEX(MASTER!$I$4:$I$1463,$P29)),""))</f>
        <v>3023</v>
      </c>
      <c r="I29" s="15" t="str">
        <f>IF($P29="","",IFERROR(IF(INDEX(MASTER!$J$4:$J$1463,$P29)="","",INDEX(MASTER!$J$4:$J$1463,$P29)),""))</f>
        <v>DEVELOPING</v>
      </c>
      <c r="J29" s="17">
        <f>IF($P29="","",IFERROR(IF(INDEX(MASTER!$L$4:$L$1463,$P29)="","",INDEX(MASTER!$L$4:$L$1463,$P29)),""))</f>
        <v>4</v>
      </c>
      <c r="K29" s="17">
        <f>IF($P29="","",IFERROR(IF(INDEX(MASTER!$N$4:$N$1463,$P29)="","",INDEX(MASTER!$N$4:$N$1463,$P29)),""))</f>
        <v>40.9</v>
      </c>
      <c r="L29" s="15" t="str">
        <f>IF($P29="","",IFERROR(IF(INDEX(MASTER!$O$4:$O$1463,$P29)="","",INDEX(MASTER!$O$4:$O$1463,$P29)),""))</f>
        <v>B</v>
      </c>
      <c r="M29" s="15">
        <f>IF($P29="","",IFERROR(IF(INDEX(MASTER!$Q$4:$Q$1463,$P29)="","",INDEX(MASTER!$Q$4:$Q$1463,$P29)),""))</f>
        <v>67</v>
      </c>
      <c r="N29" s="15" t="str">
        <f>IF($P29="","",IFERROR(IF(INDEX(MASTER!$S$4:$S$1463,$P29)="","",INDEX(MASTER!$S$4:$S$1463,$P29)),""))</f>
        <v>Complete</v>
      </c>
      <c r="P29">
        <f>IFERROR(MATCH($Q$1&amp;"@21",MASTER!$AC$4:$AC$1463,0),"")</f>
        <v>345</v>
      </c>
    </row>
    <row r="30" spans="1:16">
      <c r="A30" s="19">
        <f>IF($P30="","",22)</f>
        <v>22</v>
      </c>
      <c r="B30" s="18" t="str">
        <f>IF($P30="","",IFERROR(IF(INDEX(MASTER!$C$4:$C$1463,$P30)="","",INDEX(MASTER!$C$4:$C$1463,$P30)),""))</f>
        <v>EmPeRoR777</v>
      </c>
      <c r="C30" s="19" t="str">
        <f>IF($P30="","",IFERROR(IF(INDEX(MASTER!$D$4:$D$1463,$P30)="","",INDEX(MASTER!$D$4:$D$1463,$P30)),""))</f>
        <v>Acheron</v>
      </c>
      <c r="D30" s="19" t="str">
        <f>IF($P30="","",IFERROR(IF(INDEX(MASTER!$E$4:$E$1463,$P30)="","",INDEX(MASTER!$E$4:$E$1463,$P30)),""))</f>
        <v>CRUSADER</v>
      </c>
      <c r="E30" s="19" t="str">
        <f>IF($P30="","",IFERROR(IF(INDEX(MASTER!$F$4:$F$1463,$P30)="","",INDEX(MASTER!$F$4:$F$1463,$P30)),""))</f>
        <v>Frontline</v>
      </c>
      <c r="F30" s="20">
        <f>IF($P30="","",IFERROR(IF(INDEX(MASTER!$G$4:$G$1463,$P30)="","",INDEX(MASTER!$G$4:$G$1463,$P30)),""))</f>
        <v>63339</v>
      </c>
      <c r="G30" s="19" t="str">
        <f>IF($P30="","",IFERROR(IF(INDEX(MASTER!$H$4:$H$1463,$P30)="","",INDEX(MASTER!$H$4:$H$1463,$P30)),""))</f>
        <v>63,000 - 63,999</v>
      </c>
      <c r="H30" s="20">
        <f>IF($P30="","",IFERROR(IF(INDEX(MASTER!$I$4:$I$1463,$P30)="","",INDEX(MASTER!$I$4:$I$1463,$P30)),""))</f>
        <v>3863</v>
      </c>
      <c r="I30" s="19" t="str">
        <f>IF($P30="","",IFERROR(IF(INDEX(MASTER!$J$4:$J$1463,$P30)="","",INDEX(MASTER!$J$4:$J$1463,$P30)),""))</f>
        <v>DEVELOPING</v>
      </c>
      <c r="J30" s="21">
        <f>IF($P30="","",IFERROR(IF(INDEX(MASTER!$L$4:$L$1463,$P30)="","",INDEX(MASTER!$L$4:$L$1463,$P30)),""))</f>
        <v>5.25</v>
      </c>
      <c r="K30" s="21">
        <f>IF($P30="","",IFERROR(IF(INDEX(MASTER!$N$4:$N$1463,$P30)="","",INDEX(MASTER!$N$4:$N$1463,$P30)),""))</f>
        <v>47.6</v>
      </c>
      <c r="L30" s="19" t="str">
        <f>IF($P30="","",IFERROR(IF(INDEX(MASTER!$O$4:$O$1463,$P30)="","",INDEX(MASTER!$O$4:$O$1463,$P30)),""))</f>
        <v>B</v>
      </c>
      <c r="M30" s="19">
        <f>IF($P30="","",IFERROR(IF(INDEX(MASTER!$Q$4:$Q$1463,$P30)="","",INDEX(MASTER!$Q$4:$Q$1463,$P30)),""))</f>
        <v>48</v>
      </c>
      <c r="N30" s="19" t="str">
        <f>IF($P30="","",IFERROR(IF(INDEX(MASTER!$S$4:$S$1463,$P30)="","",INDEX(MASTER!$S$4:$S$1463,$P30)),""))</f>
        <v>Complete</v>
      </c>
      <c r="P30">
        <f>IFERROR(MATCH($Q$1&amp;"@22",MASTER!$AC$4:$AC$1463,0),"")</f>
        <v>357</v>
      </c>
    </row>
    <row r="31" spans="1:16">
      <c r="A31" s="15">
        <f>IF($P31="","",23)</f>
        <v>23</v>
      </c>
      <c r="B31" s="14" t="str">
        <f>IF($P31="","",IFERROR(IF(INDEX(MASTER!$C$4:$C$1463,$P31)="","",INDEX(MASTER!$C$4:$C$1463,$P31)),""))</f>
        <v>Epepepe</v>
      </c>
      <c r="C31" s="15" t="str">
        <f>IF($P31="","",IFERROR(IF(INDEX(MASTER!$D$4:$D$1463,$P31)="","",INDEX(MASTER!$D$4:$D$1463,$P31)),""))</f>
        <v>Acheron</v>
      </c>
      <c r="D31" s="15" t="str">
        <f>IF($P31="","",IFERROR(IF(INDEX(MASTER!$E$4:$E$1463,$P31)="","",INDEX(MASTER!$E$4:$E$1463,$P31)),""))</f>
        <v>WARLOCK</v>
      </c>
      <c r="E31" s="15" t="str">
        <f>IF($P31="","",IFERROR(IF(INDEX(MASTER!$F$4:$F$1463,$P31)="","",INDEX(MASTER!$F$4:$F$1463,$P31)),""))</f>
        <v>Control</v>
      </c>
      <c r="F31" s="16">
        <f>IF($P31="","",IFERROR(IF(INDEX(MASTER!$G$4:$G$1463,$P31)="","",INDEX(MASTER!$G$4:$G$1463,$P31)),""))</f>
        <v>63082</v>
      </c>
      <c r="G31" s="15" t="str">
        <f>IF($P31="","",IFERROR(IF(INDEX(MASTER!$H$4:$H$1463,$P31)="","",INDEX(MASTER!$H$4:$H$1463,$P31)),""))</f>
        <v>63,000 - 63,999</v>
      </c>
      <c r="H31" s="16">
        <f>IF($P31="","",IFERROR(IF(INDEX(MASTER!$I$4:$I$1463,$P31)="","",INDEX(MASTER!$I$4:$I$1463,$P31)),""))</f>
        <v>3214</v>
      </c>
      <c r="I31" s="15" t="str">
        <f>IF($P31="","",IFERROR(IF(INDEX(MASTER!$J$4:$J$1463,$P31)="","",INDEX(MASTER!$J$4:$J$1463,$P31)),""))</f>
        <v>DEVELOPING</v>
      </c>
      <c r="J31" s="17">
        <f>IF($P31="","",IFERROR(IF(INDEX(MASTER!$L$4:$L$1463,$P31)="","",INDEX(MASTER!$L$4:$L$1463,$P31)),""))</f>
        <v>3.5</v>
      </c>
      <c r="K31" s="17">
        <f>IF($P31="","",IFERROR(IF(INDEX(MASTER!$N$4:$N$1463,$P31)="","",INDEX(MASTER!$N$4:$N$1463,$P31)),""))</f>
        <v>41.1</v>
      </c>
      <c r="L31" s="15" t="str">
        <f>IF($P31="","",IFERROR(IF(INDEX(MASTER!$O$4:$O$1463,$P31)="","",INDEX(MASTER!$O$4:$O$1463,$P31)),""))</f>
        <v>B</v>
      </c>
      <c r="M31" s="15">
        <f>IF($P31="","",IFERROR(IF(INDEX(MASTER!$Q$4:$Q$1463,$P31)="","",INDEX(MASTER!$Q$4:$Q$1463,$P31)),""))</f>
        <v>61</v>
      </c>
      <c r="N31" s="15" t="str">
        <f>IF($P31="","",IFERROR(IF(INDEX(MASTER!$S$4:$S$1463,$P31)="","",INDEX(MASTER!$S$4:$S$1463,$P31)),""))</f>
        <v>Complete</v>
      </c>
      <c r="P31">
        <f>IFERROR(MATCH($Q$1&amp;"@23",MASTER!$AC$4:$AC$1463,0),"")</f>
        <v>362</v>
      </c>
    </row>
    <row r="32" spans="1:16">
      <c r="A32" s="19">
        <f>IF($P32="","",24)</f>
        <v>24</v>
      </c>
      <c r="B32" s="18" t="str">
        <f>IF($P32="","",IFERROR(IF(INDEX(MASTER!$C$4:$C$1463,$P32)="","",INDEX(MASTER!$C$4:$C$1463,$P32)),""))</f>
        <v>Ernie</v>
      </c>
      <c r="C32" s="19" t="str">
        <f>IF($P32="","",IFERROR(IF(INDEX(MASTER!$D$4:$D$1463,$P32)="","",INDEX(MASTER!$D$4:$D$1463,$P32)),""))</f>
        <v>Acheron</v>
      </c>
      <c r="D32" s="19" t="str">
        <f>IF($P32="","",IFERROR(IF(INDEX(MASTER!$E$4:$E$1463,$P32)="","",INDEX(MASTER!$E$4:$E$1463,$P32)),""))</f>
        <v>NECROMANCER</v>
      </c>
      <c r="E32" s="19" t="str">
        <f>IF($P32="","",IFERROR(IF(INDEX(MASTER!$F$4:$F$1463,$P32)="","",INDEX(MASTER!$F$4:$F$1463,$P32)),""))</f>
        <v>Control</v>
      </c>
      <c r="F32" s="20">
        <f>IF($P32="","",IFERROR(IF(INDEX(MASTER!$G$4:$G$1463,$P32)="","",INDEX(MASTER!$G$4:$G$1463,$P32)),""))</f>
        <v>62734</v>
      </c>
      <c r="G32" s="19" t="str">
        <f>IF($P32="","",IFERROR(IF(INDEX(MASTER!$H$4:$H$1463,$P32)="","",INDEX(MASTER!$H$4:$H$1463,$P32)),""))</f>
        <v>62,000 - 62,999</v>
      </c>
      <c r="H32" s="20">
        <f>IF($P32="","",IFERROR(IF(INDEX(MASTER!$I$4:$I$1463,$P32)="","",INDEX(MASTER!$I$4:$I$1463,$P32)),""))</f>
        <v>4559</v>
      </c>
      <c r="I32" s="19" t="str">
        <f>IF($P32="","",IFERROR(IF(INDEX(MASTER!$J$4:$J$1463,$P32)="","",INDEX(MASTER!$J$4:$J$1463,$P32)),""))</f>
        <v>CORE</v>
      </c>
      <c r="J32" s="21">
        <f>IF($P32="","",IFERROR(IF(INDEX(MASTER!$L$4:$L$1463,$P32)="","",INDEX(MASTER!$L$4:$L$1463,$P32)),""))</f>
        <v>6.65</v>
      </c>
      <c r="K32" s="21">
        <f>IF($P32="","",IFERROR(IF(INDEX(MASTER!$N$4:$N$1463,$P32)="","",INDEX(MASTER!$N$4:$N$1463,$P32)),""))</f>
        <v>51.3</v>
      </c>
      <c r="L32" s="19" t="str">
        <f>IF($P32="","",IFERROR(IF(INDEX(MASTER!$O$4:$O$1463,$P32)="","",INDEX(MASTER!$O$4:$O$1463,$P32)),""))</f>
        <v>A</v>
      </c>
      <c r="M32" s="19">
        <f>IF($P32="","",IFERROR(IF(INDEX(MASTER!$Q$4:$Q$1463,$P32)="","",INDEX(MASTER!$Q$4:$Q$1463,$P32)),""))</f>
        <v>34</v>
      </c>
      <c r="N32" s="19" t="str">
        <f>IF($P32="","",IFERROR(IF(INDEX(MASTER!$S$4:$S$1463,$P32)="","",INDEX(MASTER!$S$4:$S$1463,$P32)),""))</f>
        <v>Complete</v>
      </c>
      <c r="P32">
        <f>IFERROR(MATCH($Q$1&amp;"@24",MASTER!$AC$4:$AC$1463,0),"")</f>
        <v>366</v>
      </c>
    </row>
    <row r="33" spans="1:16">
      <c r="A33" s="15">
        <f>IF($P33="","",25)</f>
        <v>25</v>
      </c>
      <c r="B33" s="14" t="str">
        <f>IF($P33="","",IFERROR(IF(INDEX(MASTER!$C$4:$C$1463,$P33)="","",INDEX(MASTER!$C$4:$C$1463,$P33)),""))</f>
        <v>Fatslob187</v>
      </c>
      <c r="C33" s="15" t="str">
        <f>IF($P33="","",IFERROR(IF(INDEX(MASTER!$D$4:$D$1463,$P33)="","",INDEX(MASTER!$D$4:$D$1463,$P33)),""))</f>
        <v>Acheron</v>
      </c>
      <c r="D33" s="15" t="str">
        <f>IF($P33="","",IFERROR(IF(INDEX(MASTER!$E$4:$E$1463,$P33)="","",INDEX(MASTER!$E$4:$E$1463,$P33)),""))</f>
        <v>BARBARIAN</v>
      </c>
      <c r="E33" s="15" t="str">
        <f>IF($P33="","",IFERROR(IF(INDEX(MASTER!$F$4:$F$1463,$P33)="","",INDEX(MASTER!$F$4:$F$1463,$P33)),""))</f>
        <v>Frontline</v>
      </c>
      <c r="F33" s="16">
        <f>IF($P33="","",IFERROR(IF(INDEX(MASTER!$G$4:$G$1463,$P33)="","",INDEX(MASTER!$G$4:$G$1463,$P33)),""))</f>
        <v>62145</v>
      </c>
      <c r="G33" s="15" t="str">
        <f>IF($P33="","",IFERROR(IF(INDEX(MASTER!$H$4:$H$1463,$P33)="","",INDEX(MASTER!$H$4:$H$1463,$P33)),""))</f>
        <v>62,000 - 62,999</v>
      </c>
      <c r="H33" s="16">
        <f>IF($P33="","",IFERROR(IF(INDEX(MASTER!$I$4:$I$1463,$P33)="","",INDEX(MASTER!$I$4:$I$1463,$P33)),""))</f>
        <v>3166</v>
      </c>
      <c r="I33" s="15" t="str">
        <f>IF($P33="","",IFERROR(IF(INDEX(MASTER!$J$4:$J$1463,$P33)="","",INDEX(MASTER!$J$4:$J$1463,$P33)),""))</f>
        <v>DEVELOPING</v>
      </c>
      <c r="J33" s="17">
        <f>IF($P33="","",IFERROR(IF(INDEX(MASTER!$L$4:$L$1463,$P33)="","",INDEX(MASTER!$L$4:$L$1463,$P33)),""))</f>
        <v>5.25</v>
      </c>
      <c r="K33" s="17">
        <f>IF($P33="","",IFERROR(IF(INDEX(MASTER!$N$4:$N$1463,$P33)="","",INDEX(MASTER!$N$4:$N$1463,$P33)),""))</f>
        <v>41.4</v>
      </c>
      <c r="L33" s="15" t="str">
        <f>IF($P33="","",IFERROR(IF(INDEX(MASTER!$O$4:$O$1463,$P33)="","",INDEX(MASTER!$O$4:$O$1463,$P33)),""))</f>
        <v>B</v>
      </c>
      <c r="M33" s="15">
        <f>IF($P33="","",IFERROR(IF(INDEX(MASTER!$Q$4:$Q$1463,$P33)="","",INDEX(MASTER!$Q$4:$Q$1463,$P33)),""))</f>
        <v>63</v>
      </c>
      <c r="N33" s="15" t="str">
        <f>IF($P33="","",IFERROR(IF(INDEX(MASTER!$S$4:$S$1463,$P33)="","",INDEX(MASTER!$S$4:$S$1463,$P33)),""))</f>
        <v>Complete</v>
      </c>
      <c r="P33">
        <f>IFERROR(MATCH($Q$1&amp;"@25",MASTER!$AC$4:$AC$1463,0),"")</f>
        <v>382</v>
      </c>
    </row>
    <row r="34" spans="1:16">
      <c r="A34" s="19">
        <f>IF($P34="","",26)</f>
        <v>26</v>
      </c>
      <c r="B34" s="18" t="str">
        <f>IF($P34="","",IFERROR(IF(INDEX(MASTER!$C$4:$C$1463,$P34)="","",INDEX(MASTER!$C$4:$C$1463,$P34)),""))</f>
        <v>Ghk142000</v>
      </c>
      <c r="C34" s="19" t="str">
        <f>IF($P34="","",IFERROR(IF(INDEX(MASTER!$D$4:$D$1463,$P34)="","",INDEX(MASTER!$D$4:$D$1463,$P34)),""))</f>
        <v>Acheron</v>
      </c>
      <c r="D34" s="19" t="str">
        <f>IF($P34="","",IFERROR(IF(INDEX(MASTER!$E$4:$E$1463,$P34)="","",INDEX(MASTER!$E$4:$E$1463,$P34)),""))</f>
        <v>BARBARIAN</v>
      </c>
      <c r="E34" s="19" t="str">
        <f>IF($P34="","",IFERROR(IF(INDEX(MASTER!$F$4:$F$1463,$P34)="","",INDEX(MASTER!$F$4:$F$1463,$P34)),""))</f>
        <v>Frontline</v>
      </c>
      <c r="F34" s="20">
        <f>IF($P34="","",IFERROR(IF(INDEX(MASTER!$G$4:$G$1463,$P34)="","",INDEX(MASTER!$G$4:$G$1463,$P34)),""))</f>
        <v>63000</v>
      </c>
      <c r="G34" s="19" t="str">
        <f>IF($P34="","",IFERROR(IF(INDEX(MASTER!$H$4:$H$1463,$P34)="","",INDEX(MASTER!$H$4:$H$1463,$P34)),""))</f>
        <v>63,000 - 63,999</v>
      </c>
      <c r="H34" s="20">
        <f>IF($P34="","",IFERROR(IF(INDEX(MASTER!$I$4:$I$1463,$P34)="","",INDEX(MASTER!$I$4:$I$1463,$P34)),""))</f>
        <v>4001</v>
      </c>
      <c r="I34" s="19" t="str">
        <f>IF($P34="","",IFERROR(IF(INDEX(MASTER!$J$4:$J$1463,$P34)="","",INDEX(MASTER!$J$4:$J$1463,$P34)),""))</f>
        <v>CORE</v>
      </c>
      <c r="J34" s="21">
        <f>IF($P34="","",IFERROR(IF(INDEX(MASTER!$L$4:$L$1463,$P34)="","",INDEX(MASTER!$L$4:$L$1463,$P34)),""))</f>
        <v>5.55</v>
      </c>
      <c r="K34" s="21">
        <f>IF($P34="","",IFERROR(IF(INDEX(MASTER!$N$4:$N$1463,$P34)="","",INDEX(MASTER!$N$4:$N$1463,$P34)),""))</f>
        <v>47.8</v>
      </c>
      <c r="L34" s="19" t="str">
        <f>IF($P34="","",IFERROR(IF(INDEX(MASTER!$O$4:$O$1463,$P34)="","",INDEX(MASTER!$O$4:$O$1463,$P34)),""))</f>
        <v>B</v>
      </c>
      <c r="M34" s="19">
        <f>IF($P34="","",IFERROR(IF(INDEX(MASTER!$Q$4:$Q$1463,$P34)="","",INDEX(MASTER!$Q$4:$Q$1463,$P34)),""))</f>
        <v>45</v>
      </c>
      <c r="N34" s="19" t="str">
        <f>IF($P34="","",IFERROR(IF(INDEX(MASTER!$S$4:$S$1463,$P34)="","",INDEX(MASTER!$S$4:$S$1463,$P34)),""))</f>
        <v>Complete</v>
      </c>
      <c r="P34">
        <f>IFERROR(MATCH($Q$1&amp;"@26",MASTER!$AC$4:$AC$1463,0),"")</f>
        <v>422</v>
      </c>
    </row>
    <row r="35" spans="1:16">
      <c r="A35" s="15">
        <f>IF($P35="","",27)</f>
        <v>27</v>
      </c>
      <c r="B35" s="14" t="str">
        <f>IF($P35="","",IFERROR(IF(INDEX(MASTER!$C$4:$C$1463,$P35)="","",INDEX(MASTER!$C$4:$C$1463,$P35)),""))</f>
        <v>Gilligan</v>
      </c>
      <c r="C35" s="15" t="str">
        <f>IF($P35="","",IFERROR(IF(INDEX(MASTER!$D$4:$D$1463,$P35)="","",INDEX(MASTER!$D$4:$D$1463,$P35)),""))</f>
        <v>Acheron</v>
      </c>
      <c r="D35" s="15" t="str">
        <f>IF($P35="","",IFERROR(IF(INDEX(MASTER!$E$4:$E$1463,$P35)="","",INDEX(MASTER!$E$4:$E$1463,$P35)),""))</f>
        <v>BARBARIAN</v>
      </c>
      <c r="E35" s="15" t="str">
        <f>IF($P35="","",IFERROR(IF(INDEX(MASTER!$F$4:$F$1463,$P35)="","",INDEX(MASTER!$F$4:$F$1463,$P35)),""))</f>
        <v>Frontline</v>
      </c>
      <c r="F35" s="16">
        <f>IF($P35="","",IFERROR(IF(INDEX(MASTER!$G$4:$G$1463,$P35)="","",INDEX(MASTER!$G$4:$G$1463,$P35)),""))</f>
        <v>61363</v>
      </c>
      <c r="G35" s="15" t="str">
        <f>IF($P35="","",IFERROR(IF(INDEX(MASTER!$H$4:$H$1463,$P35)="","",INDEX(MASTER!$H$4:$H$1463,$P35)),""))</f>
        <v>61,000 - 61,999</v>
      </c>
      <c r="H35" s="16">
        <f>IF($P35="","",IFERROR(IF(INDEX(MASTER!$I$4:$I$1463,$P35)="","",INDEX(MASTER!$I$4:$I$1463,$P35)),""))</f>
        <v>2582</v>
      </c>
      <c r="I35" s="15" t="str">
        <f>IF($P35="","",IFERROR(IF(INDEX(MASTER!$J$4:$J$1463,$P35)="","",INDEX(MASTER!$J$4:$J$1463,$P35)),""))</f>
        <v>DEVELOPING</v>
      </c>
      <c r="J35" s="17">
        <f>IF($P35="","",IFERROR(IF(INDEX(MASTER!$L$4:$L$1463,$P35)="","",INDEX(MASTER!$L$4:$L$1463,$P35)),""))</f>
        <v>4.2</v>
      </c>
      <c r="K35" s="17">
        <f>IF($P35="","",IFERROR(IF(INDEX(MASTER!$N$4:$N$1463,$P35)="","",INDEX(MASTER!$N$4:$N$1463,$P35)),""))</f>
        <v>35</v>
      </c>
      <c r="L35" s="15" t="str">
        <f>IF($P35="","",IFERROR(IF(INDEX(MASTER!$O$4:$O$1463,$P35)="","",INDEX(MASTER!$O$4:$O$1463,$P35)),""))</f>
        <v>B</v>
      </c>
      <c r="M35" s="15">
        <f>IF($P35="","",IFERROR(IF(INDEX(MASTER!$Q$4:$Q$1463,$P35)="","",INDEX(MASTER!$Q$4:$Q$1463,$P35)),""))</f>
        <v>76</v>
      </c>
      <c r="N35" s="15" t="str">
        <f>IF($P35="","",IFERROR(IF(INDEX(MASTER!$S$4:$S$1463,$P35)="","",INDEX(MASTER!$S$4:$S$1463,$P35)),""))</f>
        <v>Complete</v>
      </c>
      <c r="P35">
        <f>IFERROR(MATCH($Q$1&amp;"@27",MASTER!$AC$4:$AC$1463,0),"")</f>
        <v>431</v>
      </c>
    </row>
    <row r="36" spans="1:16">
      <c r="A36" s="19">
        <f>IF($P36="","",28)</f>
        <v>28</v>
      </c>
      <c r="B36" s="18" t="str">
        <f>IF($P36="","",IFERROR(IF(INDEX(MASTER!$C$4:$C$1463,$P36)="","",INDEX(MASTER!$C$4:$C$1463,$P36)),""))</f>
        <v>GOGETA</v>
      </c>
      <c r="C36" s="19" t="str">
        <f>IF($P36="","",IFERROR(IF(INDEX(MASTER!$D$4:$D$1463,$P36)="","",INDEX(MASTER!$D$4:$D$1463,$P36)),""))</f>
        <v>DBZ</v>
      </c>
      <c r="D36" s="19" t="str">
        <f>IF($P36="","",IFERROR(IF(INDEX(MASTER!$E$4:$E$1463,$P36)="","",INDEX(MASTER!$E$4:$E$1463,$P36)),""))</f>
        <v>BLOOD KNIGHT</v>
      </c>
      <c r="E36" s="19" t="str">
        <f>IF($P36="","",IFERROR(IF(INDEX(MASTER!$F$4:$F$1463,$P36)="","",INDEX(MASTER!$F$4:$F$1463,$P36)),""))</f>
        <v>Frontline</v>
      </c>
      <c r="F36" s="20">
        <f>IF($P36="","",IFERROR(IF(INDEX(MASTER!$G$4:$G$1463,$P36)="","",INDEX(MASTER!$G$4:$G$1463,$P36)),""))</f>
        <v>64228</v>
      </c>
      <c r="G36" s="19" t="str">
        <f>IF($P36="","",IFERROR(IF(INDEX(MASTER!$H$4:$H$1463,$P36)="","",INDEX(MASTER!$H$4:$H$1463,$P36)),""))</f>
        <v>64,000 +</v>
      </c>
      <c r="H36" s="20">
        <f>IF($P36="","",IFERROR(IF(INDEX(MASTER!$I$4:$I$1463,$P36)="","",INDEX(MASTER!$I$4:$I$1463,$P36)),""))</f>
        <v>9608</v>
      </c>
      <c r="I36" s="19" t="str">
        <f>IF($P36="","",IFERROR(IF(INDEX(MASTER!$J$4:$J$1463,$P36)="","",INDEX(MASTER!$J$4:$J$1463,$P36)),""))</f>
        <v>ELITE</v>
      </c>
      <c r="J36" s="21">
        <f>IF($P36="","",IFERROR(IF(INDEX(MASTER!$L$4:$L$1463,$P36)="","",INDEX(MASTER!$L$4:$L$1463,$P36)),""))</f>
        <v>8.1</v>
      </c>
      <c r="K36" s="21">
        <f>IF($P36="","",IFERROR(IF(INDEX(MASTER!$N$4:$N$1463,$P36)="","",INDEX(MASTER!$N$4:$N$1463,$P36)),""))</f>
        <v>79.7</v>
      </c>
      <c r="L36" s="19" t="str">
        <f>IF($P36="","",IFERROR(IF(INDEX(MASTER!$O$4:$O$1463,$P36)="","",INDEX(MASTER!$O$4:$O$1463,$P36)),""))</f>
        <v>S</v>
      </c>
      <c r="M36" s="19">
        <f>IF($P36="","",IFERROR(IF(INDEX(MASTER!$Q$4:$Q$1463,$P36)="","",INDEX(MASTER!$Q$4:$Q$1463,$P36)),""))</f>
        <v>2</v>
      </c>
      <c r="N36" s="19" t="str">
        <f>IF($P36="","",IFERROR(IF(INDEX(MASTER!$S$4:$S$1463,$P36)="","",INDEX(MASTER!$S$4:$S$1463,$P36)),""))</f>
        <v>Complete</v>
      </c>
      <c r="P36">
        <f>IFERROR(MATCH($Q$1&amp;"@28",MASTER!$AC$4:$AC$1463,0),"")</f>
        <v>439</v>
      </c>
    </row>
    <row r="37" spans="1:16">
      <c r="A37" s="15">
        <f>IF($P37="","",29)</f>
        <v>29</v>
      </c>
      <c r="B37" s="14" t="str">
        <f>IF($P37="","",IFERROR(IF(INDEX(MASTER!$C$4:$C$1463,$P37)="","",INDEX(MASTER!$C$4:$C$1463,$P37)),""))</f>
        <v>Hermaphroditey</v>
      </c>
      <c r="C37" s="15" t="str">
        <f>IF($P37="","",IFERROR(IF(INDEX(MASTER!$D$4:$D$1463,$P37)="","",INDEX(MASTER!$D$4:$D$1463,$P37)),""))</f>
        <v>Acheron</v>
      </c>
      <c r="D37" s="15" t="str">
        <f>IF($P37="","",IFERROR(IF(INDEX(MASTER!$E$4:$E$1463,$P37)="","",INDEX(MASTER!$E$4:$E$1463,$P37)),""))</f>
        <v>BLOOD KNIGHT</v>
      </c>
      <c r="E37" s="15" t="str">
        <f>IF($P37="","",IFERROR(IF(INDEX(MASTER!$F$4:$F$1463,$P37)="","",INDEX(MASTER!$F$4:$F$1463,$P37)),""))</f>
        <v>Frontline</v>
      </c>
      <c r="F37" s="16">
        <f>IF($P37="","",IFERROR(IF(INDEX(MASTER!$G$4:$G$1463,$P37)="","",INDEX(MASTER!$G$4:$G$1463,$P37)),""))</f>
        <v>61665</v>
      </c>
      <c r="G37" s="15" t="str">
        <f>IF($P37="","",IFERROR(IF(INDEX(MASTER!$H$4:$H$1463,$P37)="","",INDEX(MASTER!$H$4:$H$1463,$P37)),""))</f>
        <v>61,000 - 61,999</v>
      </c>
      <c r="H37" s="16">
        <f>IF($P37="","",IFERROR(IF(INDEX(MASTER!$I$4:$I$1463,$P37)="","",INDEX(MASTER!$I$4:$I$1463,$P37)),""))</f>
        <v>3221</v>
      </c>
      <c r="I37" s="15" t="str">
        <f>IF($P37="","",IFERROR(IF(INDEX(MASTER!$J$4:$J$1463,$P37)="","",INDEX(MASTER!$J$4:$J$1463,$P37)),""))</f>
        <v>DEVELOPING</v>
      </c>
      <c r="J37" s="17">
        <f>IF($P37="","",IFERROR(IF(INDEX(MASTER!$L$4:$L$1463,$P37)="","",INDEX(MASTER!$L$4:$L$1463,$P37)),""))</f>
        <v>4.6500000000000004</v>
      </c>
      <c r="K37" s="17">
        <f>IF($P37="","",IFERROR(IF(INDEX(MASTER!$N$4:$N$1463,$P37)="","",INDEX(MASTER!$N$4:$N$1463,$P37)),""))</f>
        <v>39.299999999999997</v>
      </c>
      <c r="L37" s="15" t="str">
        <f>IF($P37="","",IFERROR(IF(INDEX(MASTER!$O$4:$O$1463,$P37)="","",INDEX(MASTER!$O$4:$O$1463,$P37)),""))</f>
        <v>B</v>
      </c>
      <c r="M37" s="15">
        <f>IF($P37="","",IFERROR(IF(INDEX(MASTER!$Q$4:$Q$1463,$P37)="","",INDEX(MASTER!$Q$4:$Q$1463,$P37)),""))</f>
        <v>60</v>
      </c>
      <c r="N37" s="15" t="str">
        <f>IF($P37="","",IFERROR(IF(INDEX(MASTER!$S$4:$S$1463,$P37)="","",INDEX(MASTER!$S$4:$S$1463,$P37)),""))</f>
        <v>Complete</v>
      </c>
      <c r="P37">
        <f>IFERROR(MATCH($Q$1&amp;"@29",MASTER!$AC$4:$AC$1463,0),"")</f>
        <v>499</v>
      </c>
    </row>
    <row r="38" spans="1:16">
      <c r="A38" s="19">
        <f>IF($P38="","",30)</f>
        <v>30</v>
      </c>
      <c r="B38" s="18" t="str">
        <f>IF($P38="","",IFERROR(IF(INDEX(MASTER!$C$4:$C$1463,$P38)="","",INDEX(MASTER!$C$4:$C$1463,$P38)),""))</f>
        <v>HexOffender</v>
      </c>
      <c r="C38" s="19" t="str">
        <f>IF($P38="","",IFERROR(IF(INDEX(MASTER!$D$4:$D$1463,$P38)="","",INDEX(MASTER!$D$4:$D$1463,$P38)),""))</f>
        <v>Acheron</v>
      </c>
      <c r="D38" s="19" t="str">
        <f>IF($P38="","",IFERROR(IF(INDEX(MASTER!$E$4:$E$1463,$P38)="","",INDEX(MASTER!$E$4:$E$1463,$P38)),""))</f>
        <v>BLOOD KNIGHT</v>
      </c>
      <c r="E38" s="19" t="str">
        <f>IF($P38="","",IFERROR(IF(INDEX(MASTER!$F$4:$F$1463,$P38)="","",INDEX(MASTER!$F$4:$F$1463,$P38)),""))</f>
        <v>Frontline</v>
      </c>
      <c r="F38" s="20">
        <f>IF($P38="","",IFERROR(IF(INDEX(MASTER!$G$4:$G$1463,$P38)="","",INDEX(MASTER!$G$4:$G$1463,$P38)),""))</f>
        <v>62680</v>
      </c>
      <c r="G38" s="19" t="str">
        <f>IF($P38="","",IFERROR(IF(INDEX(MASTER!$H$4:$H$1463,$P38)="","",INDEX(MASTER!$H$4:$H$1463,$P38)),""))</f>
        <v>62,000 - 62,999</v>
      </c>
      <c r="H38" s="20">
        <f>IF($P38="","",IFERROR(IF(INDEX(MASTER!$I$4:$I$1463,$P38)="","",INDEX(MASTER!$I$4:$I$1463,$P38)),""))</f>
        <v>6089</v>
      </c>
      <c r="I38" s="19" t="str">
        <f>IF($P38="","",IFERROR(IF(INDEX(MASTER!$J$4:$J$1463,$P38)="","",INDEX(MASTER!$J$4:$J$1463,$P38)),""))</f>
        <v>VETERAN</v>
      </c>
      <c r="J38" s="21">
        <f>IF($P38="","",IFERROR(IF(INDEX(MASTER!$L$4:$L$1463,$P38)="","",INDEX(MASTER!$L$4:$L$1463,$P38)),""))</f>
        <v>7.85</v>
      </c>
      <c r="K38" s="21">
        <f>IF($P38="","",IFERROR(IF(INDEX(MASTER!$N$4:$N$1463,$P38)="","",INDEX(MASTER!$N$4:$N$1463,$P38)),""))</f>
        <v>59.9</v>
      </c>
      <c r="L38" s="19" t="str">
        <f>IF($P38="","",IFERROR(IF(INDEX(MASTER!$O$4:$O$1463,$P38)="","",INDEX(MASTER!$O$4:$O$1463,$P38)),""))</f>
        <v>A</v>
      </c>
      <c r="M38" s="19">
        <f>IF($P38="","",IFERROR(IF(INDEX(MASTER!$Q$4:$Q$1463,$P38)="","",INDEX(MASTER!$Q$4:$Q$1463,$P38)),""))</f>
        <v>13</v>
      </c>
      <c r="N38" s="19" t="str">
        <f>IF($P38="","",IFERROR(IF(INDEX(MASTER!$S$4:$S$1463,$P38)="","",INDEX(MASTER!$S$4:$S$1463,$P38)),""))</f>
        <v>Complete</v>
      </c>
      <c r="P38">
        <f>IFERROR(MATCH($Q$1&amp;"@30",MASTER!$AC$4:$AC$1463,0),"")</f>
        <v>502</v>
      </c>
    </row>
    <row r="39" spans="1:16">
      <c r="A39" s="15">
        <f>IF($P39="","",31)</f>
        <v>31</v>
      </c>
      <c r="B39" s="14" t="str">
        <f>IF($P39="","",IFERROR(IF(INDEX(MASTER!$C$4:$C$1463,$P39)="","",INDEX(MASTER!$C$4:$C$1463,$P39)),""))</f>
        <v>Irís</v>
      </c>
      <c r="C39" s="15" t="str">
        <f>IF($P39="","",IFERROR(IF(INDEX(MASTER!$D$4:$D$1463,$P39)="","",INDEX(MASTER!$D$4:$D$1463,$P39)),""))</f>
        <v>Acheron</v>
      </c>
      <c r="D39" s="15" t="str">
        <f>IF($P39="","",IFERROR(IF(INDEX(MASTER!$E$4:$E$1463,$P39)="","",INDEX(MASTER!$E$4:$E$1463,$P39)),""))</f>
        <v>DEMON HUNTER</v>
      </c>
      <c r="E39" s="15" t="str">
        <f>IF($P39="","",IFERROR(IF(INDEX(MASTER!$F$4:$F$1463,$P39)="","",INDEX(MASTER!$F$4:$F$1463,$P39)),""))</f>
        <v>Ranged DPS</v>
      </c>
      <c r="F39" s="16">
        <f>IF($P39="","",IFERROR(IF(INDEX(MASTER!$G$4:$G$1463,$P39)="","",INDEX(MASTER!$G$4:$G$1463,$P39)),""))</f>
        <v>60681</v>
      </c>
      <c r="G39" s="15" t="str">
        <f>IF($P39="","",IFERROR(IF(INDEX(MASTER!$H$4:$H$1463,$P39)="","",INDEX(MASTER!$H$4:$H$1463,$P39)),""))</f>
        <v>60,000 - 60,999</v>
      </c>
      <c r="H39" s="16">
        <f>IF($P39="","",IFERROR(IF(INDEX(MASTER!$I$4:$I$1463,$P39)="","",INDEX(MASTER!$I$4:$I$1463,$P39)),""))</f>
        <v>2019</v>
      </c>
      <c r="I39" s="15" t="str">
        <f>IF($P39="","",IFERROR(IF(INDEX(MASTER!$J$4:$J$1463,$P39)="","",INDEX(MASTER!$J$4:$J$1463,$P39)),""))</f>
        <v>DEVELOPING</v>
      </c>
      <c r="J39" s="17">
        <f>IF($P39="","",IFERROR(IF(INDEX(MASTER!$L$4:$L$1463,$P39)="","",INDEX(MASTER!$L$4:$L$1463,$P39)),""))</f>
        <v>3.95</v>
      </c>
      <c r="K39" s="17">
        <f>IF($P39="","",IFERROR(IF(INDEX(MASTER!$N$4:$N$1463,$P39)="","",INDEX(MASTER!$N$4:$N$1463,$P39)),""))</f>
        <v>30.3</v>
      </c>
      <c r="L39" s="15" t="str">
        <f>IF($P39="","",IFERROR(IF(INDEX(MASTER!$O$4:$O$1463,$P39)="","",INDEX(MASTER!$O$4:$O$1463,$P39)),""))</f>
        <v>C</v>
      </c>
      <c r="M39" s="15">
        <f>IF($P39="","",IFERROR(IF(INDEX(MASTER!$Q$4:$Q$1463,$P39)="","",INDEX(MASTER!$Q$4:$Q$1463,$P39)),""))</f>
        <v>86</v>
      </c>
      <c r="N39" s="15" t="str">
        <f>IF($P39="","",IFERROR(IF(INDEX(MASTER!$S$4:$S$1463,$P39)="","",INDEX(MASTER!$S$4:$S$1463,$P39)),""))</f>
        <v>Complete</v>
      </c>
      <c r="P39">
        <f>IFERROR(MATCH($Q$1&amp;"@31",MASTER!$AC$4:$AC$1463,0),"")</f>
        <v>537</v>
      </c>
    </row>
    <row r="40" spans="1:16">
      <c r="A40" s="19">
        <f>IF($P40="","",32)</f>
        <v>32</v>
      </c>
      <c r="B40" s="18" t="str">
        <f>IF($P40="","",IFERROR(IF(INDEX(MASTER!$C$4:$C$1463,$P40)="","",INDEX(MASTER!$C$4:$C$1463,$P40)),""))</f>
        <v>ItsGOATMI</v>
      </c>
      <c r="C40" s="19" t="str">
        <f>IF($P40="","",IFERROR(IF(INDEX(MASTER!$D$4:$D$1463,$P40)="","",INDEX(MASTER!$D$4:$D$1463,$P40)),""))</f>
        <v>Acheron</v>
      </c>
      <c r="D40" s="19" t="str">
        <f>IF($P40="","",IFERROR(IF(INDEX(MASTER!$E$4:$E$1463,$P40)="","",INDEX(MASTER!$E$4:$E$1463,$P40)),""))</f>
        <v>DEMON HUNTER</v>
      </c>
      <c r="E40" s="19" t="str">
        <f>IF($P40="","",IFERROR(IF(INDEX(MASTER!$F$4:$F$1463,$P40)="","",INDEX(MASTER!$F$4:$F$1463,$P40)),""))</f>
        <v>Ranged DPS</v>
      </c>
      <c r="F40" s="20">
        <f>IF($P40="","",IFERROR(IF(INDEX(MASTER!$G$4:$G$1463,$P40)="","",INDEX(MASTER!$G$4:$G$1463,$P40)),""))</f>
        <v>62343</v>
      </c>
      <c r="G40" s="19" t="str">
        <f>IF($P40="","",IFERROR(IF(INDEX(MASTER!$H$4:$H$1463,$P40)="","",INDEX(MASTER!$H$4:$H$1463,$P40)),""))</f>
        <v>62,000 - 62,999</v>
      </c>
      <c r="H40" s="20">
        <f>IF($P40="","",IFERROR(IF(INDEX(MASTER!$I$4:$I$1463,$P40)="","",INDEX(MASTER!$I$4:$I$1463,$P40)),""))</f>
        <v>4044</v>
      </c>
      <c r="I40" s="19" t="str">
        <f>IF($P40="","",IFERROR(IF(INDEX(MASTER!$J$4:$J$1463,$P40)="","",INDEX(MASTER!$J$4:$J$1463,$P40)),""))</f>
        <v>CORE</v>
      </c>
      <c r="J40" s="21">
        <f>IF($P40="","",IFERROR(IF(INDEX(MASTER!$L$4:$L$1463,$P40)="","",INDEX(MASTER!$L$4:$L$1463,$P40)),""))</f>
        <v>6.7</v>
      </c>
      <c r="K40" s="21">
        <f>IF($P40="","",IFERROR(IF(INDEX(MASTER!$N$4:$N$1463,$P40)="","",INDEX(MASTER!$N$4:$N$1463,$P40)),""))</f>
        <v>48.1</v>
      </c>
      <c r="L40" s="19" t="str">
        <f>IF($P40="","",IFERROR(IF(INDEX(MASTER!$O$4:$O$1463,$P40)="","",INDEX(MASTER!$O$4:$O$1463,$P40)),""))</f>
        <v>B</v>
      </c>
      <c r="M40" s="19">
        <f>IF($P40="","",IFERROR(IF(INDEX(MASTER!$Q$4:$Q$1463,$P40)="","",INDEX(MASTER!$Q$4:$Q$1463,$P40)),""))</f>
        <v>42</v>
      </c>
      <c r="N40" s="19" t="str">
        <f>IF($P40="","",IFERROR(IF(INDEX(MASTER!$S$4:$S$1463,$P40)="","",INDEX(MASTER!$S$4:$S$1463,$P40)),""))</f>
        <v>Complete</v>
      </c>
      <c r="P40">
        <f>IFERROR(MATCH($Q$1&amp;"@32",MASTER!$AC$4:$AC$1463,0),"")</f>
        <v>539</v>
      </c>
    </row>
    <row r="41" spans="1:16">
      <c r="A41" s="15">
        <f>IF($P41="","",33)</f>
        <v>33</v>
      </c>
      <c r="B41" s="14" t="str">
        <f>IF($P41="","",IFERROR(IF(INDEX(MASTER!$C$4:$C$1463,$P41)="","",INDEX(MASTER!$C$4:$C$1463,$P41)),""))</f>
        <v>Jefflegend</v>
      </c>
      <c r="C41" s="15" t="str">
        <f>IF($P41="","",IFERROR(IF(INDEX(MASTER!$D$4:$D$1463,$P41)="","",INDEX(MASTER!$D$4:$D$1463,$P41)),""))</f>
        <v>Acheron</v>
      </c>
      <c r="D41" s="15" t="str">
        <f>IF($P41="","",IFERROR(IF(INDEX(MASTER!$E$4:$E$1463,$P41)="","",INDEX(MASTER!$E$4:$E$1463,$P41)),""))</f>
        <v>BLOOD KNIGHT</v>
      </c>
      <c r="E41" s="15" t="str">
        <f>IF($P41="","",IFERROR(IF(INDEX(MASTER!$F$4:$F$1463,$P41)="","",INDEX(MASTER!$F$4:$F$1463,$P41)),""))</f>
        <v>Frontline</v>
      </c>
      <c r="F41" s="16">
        <f>IF($P41="","",IFERROR(IF(INDEX(MASTER!$G$4:$G$1463,$P41)="","",INDEX(MASTER!$G$4:$G$1463,$P41)),""))</f>
        <v>62771</v>
      </c>
      <c r="G41" s="15" t="str">
        <f>IF($P41="","",IFERROR(IF(INDEX(MASTER!$H$4:$H$1463,$P41)="","",INDEX(MASTER!$H$4:$H$1463,$P41)),""))</f>
        <v>62,000 - 62,999</v>
      </c>
      <c r="H41" s="16">
        <f>IF($P41="","",IFERROR(IF(INDEX(MASTER!$I$4:$I$1463,$P41)="","",INDEX(MASTER!$I$4:$I$1463,$P41)),""))</f>
        <v>4968</v>
      </c>
      <c r="I41" s="15" t="str">
        <f>IF($P41="","",IFERROR(IF(INDEX(MASTER!$J$4:$J$1463,$P41)="","",INDEX(MASTER!$J$4:$J$1463,$P41)),""))</f>
        <v>CORE</v>
      </c>
      <c r="J41" s="17">
        <f>IF($P41="","",IFERROR(IF(INDEX(MASTER!$L$4:$L$1463,$P41)="","",INDEX(MASTER!$L$4:$L$1463,$P41)),""))</f>
        <v>3.8</v>
      </c>
      <c r="K41" s="17">
        <f>IF($P41="","",IFERROR(IF(INDEX(MASTER!$N$4:$N$1463,$P41)="","",INDEX(MASTER!$N$4:$N$1463,$P41)),""))</f>
        <v>48.5</v>
      </c>
      <c r="L41" s="15" t="str">
        <f>IF($P41="","",IFERROR(IF(INDEX(MASTER!$O$4:$O$1463,$P41)="","",INDEX(MASTER!$O$4:$O$1463,$P41)),""))</f>
        <v>B</v>
      </c>
      <c r="M41" s="15">
        <f>IF($P41="","",IFERROR(IF(INDEX(MASTER!$Q$4:$Q$1463,$P41)="","",INDEX(MASTER!$Q$4:$Q$1463,$P41)),""))</f>
        <v>26</v>
      </c>
      <c r="N41" s="15" t="str">
        <f>IF($P41="","",IFERROR(IF(INDEX(MASTER!$S$4:$S$1463,$P41)="","",INDEX(MASTER!$S$4:$S$1463,$P41)),""))</f>
        <v>Complete</v>
      </c>
      <c r="P41">
        <f>IFERROR(MATCH($Q$1&amp;"@33",MASTER!$AC$4:$AC$1463,0),"")</f>
        <v>557</v>
      </c>
    </row>
    <row r="42" spans="1:16">
      <c r="A42" s="19">
        <f>IF($P42="","",34)</f>
        <v>34</v>
      </c>
      <c r="B42" s="18" t="str">
        <f>IF($P42="","",IFERROR(IF(INDEX(MASTER!$C$4:$C$1463,$P42)="","",INDEX(MASTER!$C$4:$C$1463,$P42)),""))</f>
        <v>Joeyju</v>
      </c>
      <c r="C42" s="19" t="str">
        <f>IF($P42="","",IFERROR(IF(INDEX(MASTER!$D$4:$D$1463,$P42)="","",INDEX(MASTER!$D$4:$D$1463,$P42)),""))</f>
        <v>Acheron</v>
      </c>
      <c r="D42" s="19" t="str">
        <f>IF($P42="","",IFERROR(IF(INDEX(MASTER!$E$4:$E$1463,$P42)="","",INDEX(MASTER!$E$4:$E$1463,$P42)),""))</f>
        <v>BLOOD KNIGHT</v>
      </c>
      <c r="E42" s="19" t="str">
        <f>IF($P42="","",IFERROR(IF(INDEX(MASTER!$F$4:$F$1463,$P42)="","",INDEX(MASTER!$F$4:$F$1463,$P42)),""))</f>
        <v>Frontline</v>
      </c>
      <c r="F42" s="20">
        <f>IF($P42="","",IFERROR(IF(INDEX(MASTER!$G$4:$G$1463,$P42)="","",INDEX(MASTER!$G$4:$G$1463,$P42)),""))</f>
        <v>63381</v>
      </c>
      <c r="G42" s="19" t="str">
        <f>IF($P42="","",IFERROR(IF(INDEX(MASTER!$H$4:$H$1463,$P42)="","",INDEX(MASTER!$H$4:$H$1463,$P42)),""))</f>
        <v>63,000 - 63,999</v>
      </c>
      <c r="H42" s="20">
        <f>IF($P42="","",IFERROR(IF(INDEX(MASTER!$I$4:$I$1463,$P42)="","",INDEX(MASTER!$I$4:$I$1463,$P42)),""))</f>
        <v>5080</v>
      </c>
      <c r="I42" s="19" t="str">
        <f>IF($P42="","",IFERROR(IF(INDEX(MASTER!$J$4:$J$1463,$P42)="","",INDEX(MASTER!$J$4:$J$1463,$P42)),""))</f>
        <v>CORE</v>
      </c>
      <c r="J42" s="21">
        <f>IF($P42="","",IFERROR(IF(INDEX(MASTER!$L$4:$L$1463,$P42)="","",INDEX(MASTER!$L$4:$L$1463,$P42)),""))</f>
        <v>3.8</v>
      </c>
      <c r="K42" s="21">
        <f>IF($P42="","",IFERROR(IF(INDEX(MASTER!$N$4:$N$1463,$P42)="","",INDEX(MASTER!$N$4:$N$1463,$P42)),""))</f>
        <v>50.6</v>
      </c>
      <c r="L42" s="19" t="str">
        <f>IF($P42="","",IFERROR(IF(INDEX(MASTER!$O$4:$O$1463,$P42)="","",INDEX(MASTER!$O$4:$O$1463,$P42)),""))</f>
        <v>A</v>
      </c>
      <c r="M42" s="19">
        <f>IF($P42="","",IFERROR(IF(INDEX(MASTER!$Q$4:$Q$1463,$P42)="","",INDEX(MASTER!$Q$4:$Q$1463,$P42)),""))</f>
        <v>25</v>
      </c>
      <c r="N42" s="19" t="str">
        <f>IF($P42="","",IFERROR(IF(INDEX(MASTER!$S$4:$S$1463,$P42)="","",INDEX(MASTER!$S$4:$S$1463,$P42)),""))</f>
        <v>Complete</v>
      </c>
      <c r="P42">
        <f>IFERROR(MATCH($Q$1&amp;"@34",MASTER!$AC$4:$AC$1463,0),"")</f>
        <v>570</v>
      </c>
    </row>
    <row r="43" spans="1:16">
      <c r="A43" s="15">
        <f>IF($P43="","",35)</f>
        <v>35</v>
      </c>
      <c r="B43" s="14" t="str">
        <f>IF($P43="","",IFERROR(IF(INDEX(MASTER!$C$4:$C$1463,$P43)="","",INDEX(MASTER!$C$4:$C$1463,$P43)),""))</f>
        <v>Kaulana</v>
      </c>
      <c r="C43" s="15" t="str">
        <f>IF($P43="","",IFERROR(IF(INDEX(MASTER!$D$4:$D$1463,$P43)="","",INDEX(MASTER!$D$4:$D$1463,$P43)),""))</f>
        <v>Acheron</v>
      </c>
      <c r="D43" s="15" t="str">
        <f>IF($P43="","",IFERROR(IF(INDEX(MASTER!$E$4:$E$1463,$P43)="","",INDEX(MASTER!$E$4:$E$1463,$P43)),""))</f>
        <v>NECROMANCER</v>
      </c>
      <c r="E43" s="15" t="str">
        <f>IF($P43="","",IFERROR(IF(INDEX(MASTER!$F$4:$F$1463,$P43)="","",INDEX(MASTER!$F$4:$F$1463,$P43)),""))</f>
        <v>Control</v>
      </c>
      <c r="F43" s="16">
        <f>IF($P43="","",IFERROR(IF(INDEX(MASTER!$G$4:$G$1463,$P43)="","",INDEX(MASTER!$G$4:$G$1463,$P43)),""))</f>
        <v>62867</v>
      </c>
      <c r="G43" s="15" t="str">
        <f>IF($P43="","",IFERROR(IF(INDEX(MASTER!$H$4:$H$1463,$P43)="","",INDEX(MASTER!$H$4:$H$1463,$P43)),""))</f>
        <v>62,000 - 62,999</v>
      </c>
      <c r="H43" s="16">
        <f>IF($P43="","",IFERROR(IF(INDEX(MASTER!$I$4:$I$1463,$P43)="","",INDEX(MASTER!$I$4:$I$1463,$P43)),""))</f>
        <v>2696</v>
      </c>
      <c r="I43" s="15" t="str">
        <f>IF($P43="","",IFERROR(IF(INDEX(MASTER!$J$4:$J$1463,$P43)="","",INDEX(MASTER!$J$4:$J$1463,$P43)),""))</f>
        <v>DEVELOPING</v>
      </c>
      <c r="J43" s="17">
        <f>IF($P43="","",IFERROR(IF(INDEX(MASTER!$L$4:$L$1463,$P43)="","",INDEX(MASTER!$L$4:$L$1463,$P43)),""))</f>
        <v>3.6</v>
      </c>
      <c r="K43" s="17">
        <f>IF($P43="","",IFERROR(IF(INDEX(MASTER!$N$4:$N$1463,$P43)="","",INDEX(MASTER!$N$4:$N$1463,$P43)),""))</f>
        <v>38.5</v>
      </c>
      <c r="L43" s="15" t="str">
        <f>IF($P43="","",IFERROR(IF(INDEX(MASTER!$O$4:$O$1463,$P43)="","",INDEX(MASTER!$O$4:$O$1463,$P43)),""))</f>
        <v>B</v>
      </c>
      <c r="M43" s="15">
        <f>IF($P43="","",IFERROR(IF(INDEX(MASTER!$Q$4:$Q$1463,$P43)="","",INDEX(MASTER!$Q$4:$Q$1463,$P43)),""))</f>
        <v>73</v>
      </c>
      <c r="N43" s="15" t="str">
        <f>IF($P43="","",IFERROR(IF(INDEX(MASTER!$S$4:$S$1463,$P43)="","",INDEX(MASTER!$S$4:$S$1463,$P43)),""))</f>
        <v>Complete</v>
      </c>
      <c r="P43">
        <f>IFERROR(MATCH($Q$1&amp;"@35",MASTER!$AC$4:$AC$1463,0),"")</f>
        <v>591</v>
      </c>
    </row>
    <row r="44" spans="1:16">
      <c r="A44" s="19">
        <f>IF($P44="","",36)</f>
        <v>36</v>
      </c>
      <c r="B44" s="18" t="str">
        <f>IF($P44="","",IFERROR(IF(INDEX(MASTER!$C$4:$C$1463,$P44)="","",INDEX(MASTER!$C$4:$C$1463,$P44)),""))</f>
        <v>KillJoyIII</v>
      </c>
      <c r="C44" s="19" t="str">
        <f>IF($P44="","",IFERROR(IF(INDEX(MASTER!$D$4:$D$1463,$P44)="","",INDEX(MASTER!$D$4:$D$1463,$P44)),""))</f>
        <v>Acheron</v>
      </c>
      <c r="D44" s="19" t="str">
        <f>IF($P44="","",IFERROR(IF(INDEX(MASTER!$E$4:$E$1463,$P44)="","",INDEX(MASTER!$E$4:$E$1463,$P44)),""))</f>
        <v>BLOOD KNIGHT</v>
      </c>
      <c r="E44" s="19" t="str">
        <f>IF($P44="","",IFERROR(IF(INDEX(MASTER!$F$4:$F$1463,$P44)="","",INDEX(MASTER!$F$4:$F$1463,$P44)),""))</f>
        <v>Frontline</v>
      </c>
      <c r="F44" s="20">
        <f>IF($P44="","",IFERROR(IF(INDEX(MASTER!$G$4:$G$1463,$P44)="","",INDEX(MASTER!$G$4:$G$1463,$P44)),""))</f>
        <v>62408</v>
      </c>
      <c r="G44" s="19" t="str">
        <f>IF($P44="","",IFERROR(IF(INDEX(MASTER!$H$4:$H$1463,$P44)="","",INDEX(MASTER!$H$4:$H$1463,$P44)),""))</f>
        <v>62,000 - 62,999</v>
      </c>
      <c r="H44" s="20">
        <f>IF($P44="","",IFERROR(IF(INDEX(MASTER!$I$4:$I$1463,$P44)="","",INDEX(MASTER!$I$4:$I$1463,$P44)),""))</f>
        <v>1095</v>
      </c>
      <c r="I44" s="19" t="str">
        <f>IF($P44="","",IFERROR(IF(INDEX(MASTER!$J$4:$J$1463,$P44)="","",INDEX(MASTER!$J$4:$J$1463,$P44)),""))</f>
        <v>ROOKIE</v>
      </c>
      <c r="J44" s="21">
        <f>IF($P44="","",IFERROR(IF(INDEX(MASTER!$L$4:$L$1463,$P44)="","",INDEX(MASTER!$L$4:$L$1463,$P44)),""))</f>
        <v>3.1</v>
      </c>
      <c r="K44" s="21">
        <f>IF($P44="","",IFERROR(IF(INDEX(MASTER!$N$4:$N$1463,$P44)="","",INDEX(MASTER!$N$4:$N$1463,$P44)),""))</f>
        <v>29.4</v>
      </c>
      <c r="L44" s="19" t="str">
        <f>IF($P44="","",IFERROR(IF(INDEX(MASTER!$O$4:$O$1463,$P44)="","",INDEX(MASTER!$O$4:$O$1463,$P44)),""))</f>
        <v>C</v>
      </c>
      <c r="M44" s="19">
        <f>IF($P44="","",IFERROR(IF(INDEX(MASTER!$Q$4:$Q$1463,$P44)="","",INDEX(MASTER!$Q$4:$Q$1463,$P44)),""))</f>
        <v>91</v>
      </c>
      <c r="N44" s="19" t="str">
        <f>IF($P44="","",IFERROR(IF(INDEX(MASTER!$S$4:$S$1463,$P44)="","",INDEX(MASTER!$S$4:$S$1463,$P44)),""))</f>
        <v>Complete</v>
      </c>
      <c r="P44">
        <f>IFERROR(MATCH($Q$1&amp;"@36",MASTER!$AC$4:$AC$1463,0),"")</f>
        <v>608</v>
      </c>
    </row>
    <row r="45" spans="1:16">
      <c r="A45" s="15">
        <f>IF($P45="","",37)</f>
        <v>37</v>
      </c>
      <c r="B45" s="14" t="str">
        <f>IF($P45="","",IFERROR(IF(INDEX(MASTER!$C$4:$C$1463,$P45)="","",INDEX(MASTER!$C$4:$C$1463,$P45)),""))</f>
        <v>KnownYapper</v>
      </c>
      <c r="C45" s="15" t="str">
        <f>IF($P45="","",IFERROR(IF(INDEX(MASTER!$D$4:$D$1463,$P45)="","",INDEX(MASTER!$D$4:$D$1463,$P45)),""))</f>
        <v>Acheron</v>
      </c>
      <c r="D45" s="15" t="str">
        <f>IF($P45="","",IFERROR(IF(INDEX(MASTER!$E$4:$E$1463,$P45)="","",INDEX(MASTER!$E$4:$E$1463,$P45)),""))</f>
        <v>DEMON HUNTER</v>
      </c>
      <c r="E45" s="15" t="str">
        <f>IF($P45="","",IFERROR(IF(INDEX(MASTER!$F$4:$F$1463,$P45)="","",INDEX(MASTER!$F$4:$F$1463,$P45)),""))</f>
        <v>Ranged DPS</v>
      </c>
      <c r="F45" s="16">
        <f>IF($P45="","",IFERROR(IF(INDEX(MASTER!$G$4:$G$1463,$P45)="","",INDEX(MASTER!$G$4:$G$1463,$P45)),""))</f>
        <v>62785</v>
      </c>
      <c r="G45" s="15" t="str">
        <f>IF($P45="","",IFERROR(IF(INDEX(MASTER!$H$4:$H$1463,$P45)="","",INDEX(MASTER!$H$4:$H$1463,$P45)),""))</f>
        <v>62,000 - 62,999</v>
      </c>
      <c r="H45" s="16">
        <f>IF($P45="","",IFERROR(IF(INDEX(MASTER!$I$4:$I$1463,$P45)="","",INDEX(MASTER!$I$4:$I$1463,$P45)),""))</f>
        <v>5483</v>
      </c>
      <c r="I45" s="15" t="str">
        <f>IF($P45="","",IFERROR(IF(INDEX(MASTER!$J$4:$J$1463,$P45)="","",INDEX(MASTER!$J$4:$J$1463,$P45)),""))</f>
        <v>CORE</v>
      </c>
      <c r="J45" s="17">
        <f>IF($P45="","",IFERROR(IF(INDEX(MASTER!$L$4:$L$1463,$P45)="","",INDEX(MASTER!$L$4:$L$1463,$P45)),""))</f>
        <v>5.43</v>
      </c>
      <c r="K45" s="17">
        <f>IF($P45="","",IFERROR(IF(INDEX(MASTER!$N$4:$N$1463,$P45)="","",INDEX(MASTER!$N$4:$N$1463,$P45)),""))</f>
        <v>53.5</v>
      </c>
      <c r="L45" s="15" t="str">
        <f>IF($P45="","",IFERROR(IF(INDEX(MASTER!$O$4:$O$1463,$P45)="","",INDEX(MASTER!$O$4:$O$1463,$P45)),""))</f>
        <v>A</v>
      </c>
      <c r="M45" s="15">
        <f>IF($P45="","",IFERROR(IF(INDEX(MASTER!$Q$4:$Q$1463,$P45)="","",INDEX(MASTER!$Q$4:$Q$1463,$P45)),""))</f>
        <v>19</v>
      </c>
      <c r="N45" s="15" t="str">
        <f>IF($P45="","",IFERROR(IF(INDEX(MASTER!$S$4:$S$1463,$P45)="","",INDEX(MASTER!$S$4:$S$1463,$P45)),""))</f>
        <v>Complete</v>
      </c>
      <c r="P45">
        <f>IFERROR(MATCH($Q$1&amp;"@37",MASTER!$AC$4:$AC$1463,0),"")</f>
        <v>618</v>
      </c>
    </row>
    <row r="46" spans="1:16">
      <c r="A46" s="19">
        <f>IF($P46="","",38)</f>
        <v>38</v>
      </c>
      <c r="B46" s="18" t="str">
        <f>IF($P46="","",IFERROR(IF(INDEX(MASTER!$C$4:$C$1463,$P46)="","",INDEX(MASTER!$C$4:$C$1463,$P46)),""))</f>
        <v>Lazattack</v>
      </c>
      <c r="C46" s="19" t="str">
        <f>IF($P46="","",IFERROR(IF(INDEX(MASTER!$D$4:$D$1463,$P46)="","",INDEX(MASTER!$D$4:$D$1463,$P46)),""))</f>
        <v>Acheron</v>
      </c>
      <c r="D46" s="19" t="str">
        <f>IF($P46="","",IFERROR(IF(INDEX(MASTER!$E$4:$E$1463,$P46)="","",INDEX(MASTER!$E$4:$E$1463,$P46)),""))</f>
        <v>BARBARIAN</v>
      </c>
      <c r="E46" s="19" t="str">
        <f>IF($P46="","",IFERROR(IF(INDEX(MASTER!$F$4:$F$1463,$P46)="","",INDEX(MASTER!$F$4:$F$1463,$P46)),""))</f>
        <v>Frontline</v>
      </c>
      <c r="F46" s="20">
        <f>IF($P46="","",IFERROR(IF(INDEX(MASTER!$G$4:$G$1463,$P46)="","",INDEX(MASTER!$G$4:$G$1463,$P46)),""))</f>
        <v>62672</v>
      </c>
      <c r="G46" s="19" t="str">
        <f>IF($P46="","",IFERROR(IF(INDEX(MASTER!$H$4:$H$1463,$P46)="","",INDEX(MASTER!$H$4:$H$1463,$P46)),""))</f>
        <v>62,000 - 62,999</v>
      </c>
      <c r="H46" s="20">
        <f>IF($P46="","",IFERROR(IF(INDEX(MASTER!$I$4:$I$1463,$P46)="","",INDEX(MASTER!$I$4:$I$1463,$P46)),""))</f>
        <v>3150</v>
      </c>
      <c r="I46" s="19" t="str">
        <f>IF($P46="","",IFERROR(IF(INDEX(MASTER!$J$4:$J$1463,$P46)="","",INDEX(MASTER!$J$4:$J$1463,$P46)),""))</f>
        <v>DEVELOPING</v>
      </c>
      <c r="J46" s="21">
        <f>IF($P46="","",IFERROR(IF(INDEX(MASTER!$L$4:$L$1463,$P46)="","",INDEX(MASTER!$L$4:$L$1463,$P46)),""))</f>
        <v>4.33</v>
      </c>
      <c r="K46" s="21">
        <f>IF($P46="","",IFERROR(IF(INDEX(MASTER!$N$4:$N$1463,$P46)="","",INDEX(MASTER!$N$4:$N$1463,$P46)),""))</f>
        <v>41.2</v>
      </c>
      <c r="L46" s="19" t="str">
        <f>IF($P46="","",IFERROR(IF(INDEX(MASTER!$O$4:$O$1463,$P46)="","",INDEX(MASTER!$O$4:$O$1463,$P46)),""))</f>
        <v>B</v>
      </c>
      <c r="M46" s="19">
        <f>IF($P46="","",IFERROR(IF(INDEX(MASTER!$Q$4:$Q$1463,$P46)="","",INDEX(MASTER!$Q$4:$Q$1463,$P46)),""))</f>
        <v>64</v>
      </c>
      <c r="N46" s="19" t="str">
        <f>IF($P46="","",IFERROR(IF(INDEX(MASTER!$S$4:$S$1463,$P46)="","",INDEX(MASTER!$S$4:$S$1463,$P46)),""))</f>
        <v>Complete</v>
      </c>
      <c r="P46">
        <f>IFERROR(MATCH($Q$1&amp;"@38",MASTER!$AC$4:$AC$1463,0),"")</f>
        <v>651</v>
      </c>
    </row>
    <row r="47" spans="1:16">
      <c r="A47" s="15">
        <f>IF($P47="","",39)</f>
        <v>39</v>
      </c>
      <c r="B47" s="14" t="str">
        <f>IF($P47="","",IFERROR(IF(INDEX(MASTER!$C$4:$C$1463,$P47)="","",INDEX(MASTER!$C$4:$C$1463,$P47)),""))</f>
        <v>LethalStrike</v>
      </c>
      <c r="C47" s="15" t="str">
        <f>IF($P47="","",IFERROR(IF(INDEX(MASTER!$D$4:$D$1463,$P47)="","",INDEX(MASTER!$D$4:$D$1463,$P47)),""))</f>
        <v>Acheron</v>
      </c>
      <c r="D47" s="15" t="str">
        <f>IF($P47="","",IFERROR(IF(INDEX(MASTER!$E$4:$E$1463,$P47)="","",INDEX(MASTER!$E$4:$E$1463,$P47)),""))</f>
        <v>WARLOCK</v>
      </c>
      <c r="E47" s="15" t="str">
        <f>IF($P47="","",IFERROR(IF(INDEX(MASTER!$F$4:$F$1463,$P47)="","",INDEX(MASTER!$F$4:$F$1463,$P47)),""))</f>
        <v>Control</v>
      </c>
      <c r="F47" s="16">
        <f>IF($P47="","",IFERROR(IF(INDEX(MASTER!$G$4:$G$1463,$P47)="","",INDEX(MASTER!$G$4:$G$1463,$P47)),""))</f>
        <v>63703</v>
      </c>
      <c r="G47" s="15" t="str">
        <f>IF($P47="","",IFERROR(IF(INDEX(MASTER!$H$4:$H$1463,$P47)="","",INDEX(MASTER!$H$4:$H$1463,$P47)),""))</f>
        <v>63,000 - 63,999</v>
      </c>
      <c r="H47" s="16">
        <f>IF($P47="","",IFERROR(IF(INDEX(MASTER!$I$4:$I$1463,$P47)="","",INDEX(MASTER!$I$4:$I$1463,$P47)),""))</f>
        <v>7224</v>
      </c>
      <c r="I47" s="15" t="str">
        <f>IF($P47="","",IFERROR(IF(INDEX(MASTER!$J$4:$J$1463,$P47)="","",INDEX(MASTER!$J$4:$J$1463,$P47)),""))</f>
        <v>VETERAN</v>
      </c>
      <c r="J47" s="17">
        <f>IF($P47="","",IFERROR(IF(INDEX(MASTER!$L$4:$L$1463,$P47)="","",INDEX(MASTER!$L$4:$L$1463,$P47)),""))</f>
        <v>4.63</v>
      </c>
      <c r="K47" s="17">
        <f>IF($P47="","",IFERROR(IF(INDEX(MASTER!$N$4:$N$1463,$P47)="","",INDEX(MASTER!$N$4:$N$1463,$P47)),""))</f>
        <v>62.2</v>
      </c>
      <c r="L47" s="15" t="str">
        <f>IF($P47="","",IFERROR(IF(INDEX(MASTER!$O$4:$O$1463,$P47)="","",INDEX(MASTER!$O$4:$O$1463,$P47)),""))</f>
        <v>A</v>
      </c>
      <c r="M47" s="15">
        <f>IF($P47="","",IFERROR(IF(INDEX(MASTER!$Q$4:$Q$1463,$P47)="","",INDEX(MASTER!$Q$4:$Q$1463,$P47)),""))</f>
        <v>8</v>
      </c>
      <c r="N47" s="15" t="str">
        <f>IF($P47="","",IFERROR(IF(INDEX(MASTER!$S$4:$S$1463,$P47)="","",INDEX(MASTER!$S$4:$S$1463,$P47)),""))</f>
        <v>Complete</v>
      </c>
      <c r="P47">
        <f>IFERROR(MATCH($Q$1&amp;"@39",MASTER!$AC$4:$AC$1463,0),"")</f>
        <v>660</v>
      </c>
    </row>
    <row r="48" spans="1:16">
      <c r="A48" s="19">
        <f>IF($P48="","",40)</f>
        <v>40</v>
      </c>
      <c r="B48" s="18" t="str">
        <f>IF($P48="","",IFERROR(IF(INDEX(MASTER!$C$4:$C$1463,$P48)="","",INDEX(MASTER!$C$4:$C$1463,$P48)),""))</f>
        <v>Ligaya</v>
      </c>
      <c r="C48" s="19" t="str">
        <f>IF($P48="","",IFERROR(IF(INDEX(MASTER!$D$4:$D$1463,$P48)="","",INDEX(MASTER!$D$4:$D$1463,$P48)),""))</f>
        <v>Acheron</v>
      </c>
      <c r="D48" s="19" t="str">
        <f>IF($P48="","",IFERROR(IF(INDEX(MASTER!$E$4:$E$1463,$P48)="","",INDEX(MASTER!$E$4:$E$1463,$P48)),""))</f>
        <v>DEMON HUNTER</v>
      </c>
      <c r="E48" s="19" t="str">
        <f>IF($P48="","",IFERROR(IF(INDEX(MASTER!$F$4:$F$1463,$P48)="","",INDEX(MASTER!$F$4:$F$1463,$P48)),""))</f>
        <v>Ranged DPS</v>
      </c>
      <c r="F48" s="20">
        <f>IF($P48="","",IFERROR(IF(INDEX(MASTER!$G$4:$G$1463,$P48)="","",INDEX(MASTER!$G$4:$G$1463,$P48)),""))</f>
        <v>62956</v>
      </c>
      <c r="G48" s="19" t="str">
        <f>IF($P48="","",IFERROR(IF(INDEX(MASTER!$H$4:$H$1463,$P48)="","",INDEX(MASTER!$H$4:$H$1463,$P48)),""))</f>
        <v>62,000 - 62,999</v>
      </c>
      <c r="H48" s="20">
        <f>IF($P48="","",IFERROR(IF(INDEX(MASTER!$I$4:$I$1463,$P48)="","",INDEX(MASTER!$I$4:$I$1463,$P48)),""))</f>
        <v>3702</v>
      </c>
      <c r="I48" s="19" t="str">
        <f>IF($P48="","",IFERROR(IF(INDEX(MASTER!$J$4:$J$1463,$P48)="","",INDEX(MASTER!$J$4:$J$1463,$P48)),""))</f>
        <v>DEVELOPING</v>
      </c>
      <c r="J48" s="21">
        <f>IF($P48="","",IFERROR(IF(INDEX(MASTER!$L$4:$L$1463,$P48)="","",INDEX(MASTER!$L$4:$L$1463,$P48)),""))</f>
        <v>4.25</v>
      </c>
      <c r="K48" s="21">
        <f>IF($P48="","",IFERROR(IF(INDEX(MASTER!$N$4:$N$1463,$P48)="","",INDEX(MASTER!$N$4:$N$1463,$P48)),""))</f>
        <v>44.2</v>
      </c>
      <c r="L48" s="19" t="str">
        <f>IF($P48="","",IFERROR(IF(INDEX(MASTER!$O$4:$O$1463,$P48)="","",INDEX(MASTER!$O$4:$O$1463,$P48)),""))</f>
        <v>B</v>
      </c>
      <c r="M48" s="19">
        <f>IF($P48="","",IFERROR(IF(INDEX(MASTER!$Q$4:$Q$1463,$P48)="","",INDEX(MASTER!$Q$4:$Q$1463,$P48)),""))</f>
        <v>50</v>
      </c>
      <c r="N48" s="19" t="str">
        <f>IF($P48="","",IFERROR(IF(INDEX(MASTER!$S$4:$S$1463,$P48)="","",INDEX(MASTER!$S$4:$S$1463,$P48)),""))</f>
        <v>Complete</v>
      </c>
      <c r="P48">
        <f>IFERROR(MATCH($Q$1&amp;"@40",MASTER!$AC$4:$AC$1463,0),"")</f>
        <v>666</v>
      </c>
    </row>
    <row r="49" spans="1:16">
      <c r="A49" s="15">
        <f>IF($P49="","",41)</f>
        <v>41</v>
      </c>
      <c r="B49" s="14" t="str">
        <f>IF($P49="","",IFERROR(IF(INDEX(MASTER!$C$4:$C$1463,$P49)="","",INDEX(MASTER!$C$4:$C$1463,$P49)),""))</f>
        <v>LostDog</v>
      </c>
      <c r="C49" s="15" t="str">
        <f>IF($P49="","",IFERROR(IF(INDEX(MASTER!$D$4:$D$1463,$P49)="","",INDEX(MASTER!$D$4:$D$1463,$P49)),""))</f>
        <v>Acheron</v>
      </c>
      <c r="D49" s="15" t="str">
        <f>IF($P49="","",IFERROR(IF(INDEX(MASTER!$E$4:$E$1463,$P49)="","",INDEX(MASTER!$E$4:$E$1463,$P49)),""))</f>
        <v>MONK</v>
      </c>
      <c r="E49" s="15" t="str">
        <f>IF($P49="","",IFERROR(IF(INDEX(MASTER!$F$4:$F$1463,$P49)="","",INDEX(MASTER!$F$4:$F$1463,$P49)),""))</f>
        <v>Support</v>
      </c>
      <c r="F49" s="16">
        <f>IF($P49="","",IFERROR(IF(INDEX(MASTER!$G$4:$G$1463,$P49)="","",INDEX(MASTER!$G$4:$G$1463,$P49)),""))</f>
        <v>61642</v>
      </c>
      <c r="G49" s="15" t="str">
        <f>IF($P49="","",IFERROR(IF(INDEX(MASTER!$H$4:$H$1463,$P49)="","",INDEX(MASTER!$H$4:$H$1463,$P49)),""))</f>
        <v>61,000 - 61,999</v>
      </c>
      <c r="H49" s="16">
        <f>IF($P49="","",IFERROR(IF(INDEX(MASTER!$I$4:$I$1463,$P49)="","",INDEX(MASTER!$I$4:$I$1463,$P49)),""))</f>
        <v>3343</v>
      </c>
      <c r="I49" s="15" t="str">
        <f>IF($P49="","",IFERROR(IF(INDEX(MASTER!$J$4:$J$1463,$P49)="","",INDEX(MASTER!$J$4:$J$1463,$P49)),""))</f>
        <v>DEVELOPING</v>
      </c>
      <c r="J49" s="17">
        <f>IF($P49="","",IFERROR(IF(INDEX(MASTER!$L$4:$L$1463,$P49)="","",INDEX(MASTER!$L$4:$L$1463,$P49)),""))</f>
        <v>4.1500000000000004</v>
      </c>
      <c r="K49" s="17">
        <f>IF($P49="","",IFERROR(IF(INDEX(MASTER!$N$4:$N$1463,$P49)="","",INDEX(MASTER!$N$4:$N$1463,$P49)),""))</f>
        <v>39</v>
      </c>
      <c r="L49" s="15" t="str">
        <f>IF($P49="","",IFERROR(IF(INDEX(MASTER!$O$4:$O$1463,$P49)="","",INDEX(MASTER!$O$4:$O$1463,$P49)),""))</f>
        <v>B</v>
      </c>
      <c r="M49" s="15">
        <f>IF($P49="","",IFERROR(IF(INDEX(MASTER!$Q$4:$Q$1463,$P49)="","",INDEX(MASTER!$Q$4:$Q$1463,$P49)),""))</f>
        <v>58</v>
      </c>
      <c r="N49" s="15" t="str">
        <f>IF($P49="","",IFERROR(IF(INDEX(MASTER!$S$4:$S$1463,$P49)="","",INDEX(MASTER!$S$4:$S$1463,$P49)),""))</f>
        <v>Complete</v>
      </c>
      <c r="P49">
        <f>IFERROR(MATCH($Q$1&amp;"@41",MASTER!$AC$4:$AC$1463,0),"")</f>
        <v>687</v>
      </c>
    </row>
    <row r="50" spans="1:16">
      <c r="A50" s="19">
        <f>IF($P50="","",42)</f>
        <v>42</v>
      </c>
      <c r="B50" s="18" t="str">
        <f>IF($P50="","",IFERROR(IF(INDEX(MASTER!$C$4:$C$1463,$P50)="","",INDEX(MASTER!$C$4:$C$1463,$P50)),""))</f>
        <v>Luciferhea</v>
      </c>
      <c r="C50" s="19" t="str">
        <f>IF($P50="","",IFERROR(IF(INDEX(MASTER!$D$4:$D$1463,$P50)="","",INDEX(MASTER!$D$4:$D$1463,$P50)),""))</f>
        <v>Acheron</v>
      </c>
      <c r="D50" s="19" t="str">
        <f>IF($P50="","",IFERROR(IF(INDEX(MASTER!$E$4:$E$1463,$P50)="","",INDEX(MASTER!$E$4:$E$1463,$P50)),""))</f>
        <v>BLOOD KNIGHT</v>
      </c>
      <c r="E50" s="19" t="str">
        <f>IF($P50="","",IFERROR(IF(INDEX(MASTER!$F$4:$F$1463,$P50)="","",INDEX(MASTER!$F$4:$F$1463,$P50)),""))</f>
        <v>Frontline</v>
      </c>
      <c r="F50" s="20">
        <f>IF($P50="","",IFERROR(IF(INDEX(MASTER!$G$4:$G$1463,$P50)="","",INDEX(MASTER!$G$4:$G$1463,$P50)),""))</f>
        <v>62717</v>
      </c>
      <c r="G50" s="19" t="str">
        <f>IF($P50="","",IFERROR(IF(INDEX(MASTER!$H$4:$H$1463,$P50)="","",INDEX(MASTER!$H$4:$H$1463,$P50)),""))</f>
        <v>62,000 - 62,999</v>
      </c>
      <c r="H50" s="20">
        <f>IF($P50="","",IFERROR(IF(INDEX(MASTER!$I$4:$I$1463,$P50)="","",INDEX(MASTER!$I$4:$I$1463,$P50)),""))</f>
        <v>3347</v>
      </c>
      <c r="I50" s="19" t="str">
        <f>IF($P50="","",IFERROR(IF(INDEX(MASTER!$J$4:$J$1463,$P50)="","",INDEX(MASTER!$J$4:$J$1463,$P50)),""))</f>
        <v>DEVELOPING</v>
      </c>
      <c r="J50" s="21">
        <f>IF($P50="","",IFERROR(IF(INDEX(MASTER!$L$4:$L$1463,$P50)="","",INDEX(MASTER!$L$4:$L$1463,$P50)),""))</f>
        <v>4.55</v>
      </c>
      <c r="K50" s="21">
        <f>IF($P50="","",IFERROR(IF(INDEX(MASTER!$N$4:$N$1463,$P50)="","",INDEX(MASTER!$N$4:$N$1463,$P50)),""))</f>
        <v>42.5</v>
      </c>
      <c r="L50" s="19" t="str">
        <f>IF($P50="","",IFERROR(IF(INDEX(MASTER!$O$4:$O$1463,$P50)="","",INDEX(MASTER!$O$4:$O$1463,$P50)),""))</f>
        <v>B</v>
      </c>
      <c r="M50" s="19">
        <f>IF($P50="","",IFERROR(IF(INDEX(MASTER!$Q$4:$Q$1463,$P50)="","",INDEX(MASTER!$Q$4:$Q$1463,$P50)),""))</f>
        <v>57</v>
      </c>
      <c r="N50" s="19" t="str">
        <f>IF($P50="","",IFERROR(IF(INDEX(MASTER!$S$4:$S$1463,$P50)="","",INDEX(MASTER!$S$4:$S$1463,$P50)),""))</f>
        <v>Complete</v>
      </c>
      <c r="P50">
        <f>IFERROR(MATCH($Q$1&amp;"@42",MASTER!$AC$4:$AC$1463,0),"")</f>
        <v>690</v>
      </c>
    </row>
    <row r="51" spans="1:16">
      <c r="A51" s="15">
        <f>IF($P51="","",43)</f>
        <v>43</v>
      </c>
      <c r="B51" s="14" t="str">
        <f>IF($P51="","",IFERROR(IF(INDEX(MASTER!$C$4:$C$1463,$P51)="","",INDEX(MASTER!$C$4:$C$1463,$P51)),""))</f>
        <v>LunaAzul</v>
      </c>
      <c r="C51" s="15" t="str">
        <f>IF($P51="","",IFERROR(IF(INDEX(MASTER!$D$4:$D$1463,$P51)="","",INDEX(MASTER!$D$4:$D$1463,$P51)),""))</f>
        <v>Acheron</v>
      </c>
      <c r="D51" s="15" t="str">
        <f>IF($P51="","",IFERROR(IF(INDEX(MASTER!$E$4:$E$1463,$P51)="","",INDEX(MASTER!$E$4:$E$1463,$P51)),""))</f>
        <v>WARLOCK</v>
      </c>
      <c r="E51" s="15" t="str">
        <f>IF($P51="","",IFERROR(IF(INDEX(MASTER!$F$4:$F$1463,$P51)="","",INDEX(MASTER!$F$4:$F$1463,$P51)),""))</f>
        <v>Control</v>
      </c>
      <c r="F51" s="16">
        <f>IF($P51="","",IFERROR(IF(INDEX(MASTER!$G$4:$G$1463,$P51)="","",INDEX(MASTER!$G$4:$G$1463,$P51)),""))</f>
        <v>63741</v>
      </c>
      <c r="G51" s="15" t="str">
        <f>IF($P51="","",IFERROR(IF(INDEX(MASTER!$H$4:$H$1463,$P51)="","",INDEX(MASTER!$H$4:$H$1463,$P51)),""))</f>
        <v>63,000 - 63,999</v>
      </c>
      <c r="H51" s="16">
        <f>IF($P51="","",IFERROR(IF(INDEX(MASTER!$I$4:$I$1463,$P51)="","",INDEX(MASTER!$I$4:$I$1463,$P51)),""))</f>
        <v>8372</v>
      </c>
      <c r="I51" s="15" t="str">
        <f>IF($P51="","",IFERROR(IF(INDEX(MASTER!$J$4:$J$1463,$P51)="","",INDEX(MASTER!$J$4:$J$1463,$P51)),""))</f>
        <v>ELITE</v>
      </c>
      <c r="J51" s="17">
        <f>IF($P51="","",IFERROR(IF(INDEX(MASTER!$L$4:$L$1463,$P51)="","",INDEX(MASTER!$L$4:$L$1463,$P51)),""))</f>
        <v>7.8</v>
      </c>
      <c r="K51" s="17">
        <f>IF($P51="","",IFERROR(IF(INDEX(MASTER!$N$4:$N$1463,$P51)="","",INDEX(MASTER!$N$4:$N$1463,$P51)),""))</f>
        <v>72.5</v>
      </c>
      <c r="L51" s="15" t="str">
        <f>IF($P51="","",IFERROR(IF(INDEX(MASTER!$O$4:$O$1463,$P51)="","",INDEX(MASTER!$O$4:$O$1463,$P51)),""))</f>
        <v>S</v>
      </c>
      <c r="M51" s="15">
        <f>IF($P51="","",IFERROR(IF(INDEX(MASTER!$Q$4:$Q$1463,$P51)="","",INDEX(MASTER!$Q$4:$Q$1463,$P51)),""))</f>
        <v>5</v>
      </c>
      <c r="N51" s="15" t="str">
        <f>IF($P51="","",IFERROR(IF(INDEX(MASTER!$S$4:$S$1463,$P51)="","",INDEX(MASTER!$S$4:$S$1463,$P51)),""))</f>
        <v>Complete</v>
      </c>
      <c r="P51">
        <f>IFERROR(MATCH($Q$1&amp;"@43",MASTER!$AC$4:$AC$1463,0),"")</f>
        <v>693</v>
      </c>
    </row>
    <row r="52" spans="1:16">
      <c r="A52" s="19">
        <f>IF($P52="","",44)</f>
        <v>44</v>
      </c>
      <c r="B52" s="18" t="str">
        <f>IF($P52="","",IFERROR(IF(INDEX(MASTER!$C$4:$C$1463,$P52)="","",INDEX(MASTER!$C$4:$C$1463,$P52)),""))</f>
        <v>Lunâris</v>
      </c>
      <c r="C52" s="19" t="str">
        <f>IF($P52="","",IFERROR(IF(INDEX(MASTER!$D$4:$D$1463,$P52)="","",INDEX(MASTER!$D$4:$D$1463,$P52)),""))</f>
        <v>Acheron</v>
      </c>
      <c r="D52" s="19" t="str">
        <f>IF($P52="","",IFERROR(IF(INDEX(MASTER!$E$4:$E$1463,$P52)="","",INDEX(MASTER!$E$4:$E$1463,$P52)),""))</f>
        <v>WARLOCK</v>
      </c>
      <c r="E52" s="19" t="str">
        <f>IF($P52="","",IFERROR(IF(INDEX(MASTER!$F$4:$F$1463,$P52)="","",INDEX(MASTER!$F$4:$F$1463,$P52)),""))</f>
        <v>Control</v>
      </c>
      <c r="F52" s="20">
        <f>IF($P52="","",IFERROR(IF(INDEX(MASTER!$G$4:$G$1463,$P52)="","",INDEX(MASTER!$G$4:$G$1463,$P52)),""))</f>
        <v>62697</v>
      </c>
      <c r="G52" s="19" t="str">
        <f>IF($P52="","",IFERROR(IF(INDEX(MASTER!$H$4:$H$1463,$P52)="","",INDEX(MASTER!$H$4:$H$1463,$P52)),""))</f>
        <v>62,000 - 62,999</v>
      </c>
      <c r="H52" s="20">
        <f>IF($P52="","",IFERROR(IF(INDEX(MASTER!$I$4:$I$1463,$P52)="","",INDEX(MASTER!$I$4:$I$1463,$P52)),""))</f>
        <v>4259</v>
      </c>
      <c r="I52" s="19" t="str">
        <f>IF($P52="","",IFERROR(IF(INDEX(MASTER!$J$4:$J$1463,$P52)="","",INDEX(MASTER!$J$4:$J$1463,$P52)),""))</f>
        <v>CORE</v>
      </c>
      <c r="J52" s="21">
        <f>IF($P52="","",IFERROR(IF(INDEX(MASTER!$L$4:$L$1463,$P52)="","",INDEX(MASTER!$L$4:$L$1463,$P52)),""))</f>
        <v>5.8</v>
      </c>
      <c r="K52" s="21">
        <f>IF($P52="","",IFERROR(IF(INDEX(MASTER!$N$4:$N$1463,$P52)="","",INDEX(MASTER!$N$4:$N$1463,$P52)),""))</f>
        <v>48.5</v>
      </c>
      <c r="L52" s="19" t="str">
        <f>IF($P52="","",IFERROR(IF(INDEX(MASTER!$O$4:$O$1463,$P52)="","",INDEX(MASTER!$O$4:$O$1463,$P52)),""))</f>
        <v>B</v>
      </c>
      <c r="M52" s="19">
        <f>IF($P52="","",IFERROR(IF(INDEX(MASTER!$Q$4:$Q$1463,$P52)="","",INDEX(MASTER!$Q$4:$Q$1463,$P52)),""))</f>
        <v>40</v>
      </c>
      <c r="N52" s="19" t="str">
        <f>IF($P52="","",IFERROR(IF(INDEX(MASTER!$S$4:$S$1463,$P52)="","",INDEX(MASTER!$S$4:$S$1463,$P52)),""))</f>
        <v>Complete</v>
      </c>
      <c r="P52">
        <f>IFERROR(MATCH($Q$1&amp;"@44",MASTER!$AC$4:$AC$1463,0),"")</f>
        <v>695</v>
      </c>
    </row>
    <row r="53" spans="1:16">
      <c r="A53" s="15">
        <f>IF($P53="","",45)</f>
        <v>45</v>
      </c>
      <c r="B53" s="14" t="str">
        <f>IF($P53="","",IFERROR(IF(INDEX(MASTER!$C$4:$C$1463,$P53)="","",INDEX(MASTER!$C$4:$C$1463,$P53)),""))</f>
        <v>Lupynesht</v>
      </c>
      <c r="C53" s="15" t="str">
        <f>IF($P53="","",IFERROR(IF(INDEX(MASTER!$D$4:$D$1463,$P53)="","",INDEX(MASTER!$D$4:$D$1463,$P53)),""))</f>
        <v/>
      </c>
      <c r="D53" s="15" t="str">
        <f>IF($P53="","",IFERROR(IF(INDEX(MASTER!$E$4:$E$1463,$P53)="","",INDEX(MASTER!$E$4:$E$1463,$P53)),""))</f>
        <v>WARLOCK</v>
      </c>
      <c r="E53" s="15" t="str">
        <f>IF($P53="","",IFERROR(IF(INDEX(MASTER!$F$4:$F$1463,$P53)="","",INDEX(MASTER!$F$4:$F$1463,$P53)),""))</f>
        <v>Control</v>
      </c>
      <c r="F53" s="16">
        <f>IF($P53="","",IFERROR(IF(INDEX(MASTER!$G$4:$G$1463,$P53)="","",INDEX(MASTER!$G$4:$G$1463,$P53)),""))</f>
        <v>63658</v>
      </c>
      <c r="G53" s="15" t="str">
        <f>IF($P53="","",IFERROR(IF(INDEX(MASTER!$H$4:$H$1463,$P53)="","",INDEX(MASTER!$H$4:$H$1463,$P53)),""))</f>
        <v>63,000 - 63,999</v>
      </c>
      <c r="H53" s="16">
        <f>IF($P53="","",IFERROR(IF(INDEX(MASTER!$I$4:$I$1463,$P53)="","",INDEX(MASTER!$I$4:$I$1463,$P53)),""))</f>
        <v>5345</v>
      </c>
      <c r="I53" s="15" t="str">
        <f>IF($P53="","",IFERROR(IF(INDEX(MASTER!$J$4:$J$1463,$P53)="","",INDEX(MASTER!$J$4:$J$1463,$P53)),""))</f>
        <v>CORE</v>
      </c>
      <c r="J53" s="17">
        <f>IF($P53="","",IFERROR(IF(INDEX(MASTER!$L$4:$L$1463,$P53)="","",INDEX(MASTER!$L$4:$L$1463,$P53)),""))</f>
        <v>4.5999999999999996</v>
      </c>
      <c r="K53" s="17">
        <f>IF($P53="","",IFERROR(IF(INDEX(MASTER!$N$4:$N$1463,$P53)="","",INDEX(MASTER!$N$4:$N$1463,$P53)),""))</f>
        <v>53.8</v>
      </c>
      <c r="L53" s="15" t="str">
        <f>IF($P53="","",IFERROR(IF(INDEX(MASTER!$O$4:$O$1463,$P53)="","",INDEX(MASTER!$O$4:$O$1463,$P53)),""))</f>
        <v>A</v>
      </c>
      <c r="M53" s="15">
        <f>IF($P53="","",IFERROR(IF(INDEX(MASTER!$Q$4:$Q$1463,$P53)="","",INDEX(MASTER!$Q$4:$Q$1463,$P53)),""))</f>
        <v>21</v>
      </c>
      <c r="N53" s="15" t="str">
        <f>IF($P53="","",IFERROR(IF(INDEX(MASTER!$S$4:$S$1463,$P53)="","",INDEX(MASTER!$S$4:$S$1463,$P53)),""))</f>
        <v>Complete</v>
      </c>
      <c r="P53">
        <f>IFERROR(MATCH($Q$1&amp;"@45",MASTER!$AC$4:$AC$1463,0),"")</f>
        <v>696</v>
      </c>
    </row>
    <row r="54" spans="1:16">
      <c r="A54" s="19">
        <f>IF($P54="","",46)</f>
        <v>46</v>
      </c>
      <c r="B54" s="18" t="str">
        <f>IF($P54="","",IFERROR(IF(INDEX(MASTER!$C$4:$C$1463,$P54)="","",INDEX(MASTER!$C$4:$C$1463,$P54)),""))</f>
        <v>LZyBear</v>
      </c>
      <c r="C54" s="19" t="str">
        <f>IF($P54="","",IFERROR(IF(INDEX(MASTER!$D$4:$D$1463,$P54)="","",INDEX(MASTER!$D$4:$D$1463,$P54)),""))</f>
        <v>Acheron</v>
      </c>
      <c r="D54" s="19" t="str">
        <f>IF($P54="","",IFERROR(IF(INDEX(MASTER!$E$4:$E$1463,$P54)="","",INDEX(MASTER!$E$4:$E$1463,$P54)),""))</f>
        <v>DRUID</v>
      </c>
      <c r="E54" s="19" t="str">
        <f>IF($P54="","",IFERROR(IF(INDEX(MASTER!$F$4:$F$1463,$P54)="","",INDEX(MASTER!$F$4:$F$1463,$P54)),""))</f>
        <v>Support</v>
      </c>
      <c r="F54" s="20">
        <f>IF($P54="","",IFERROR(IF(INDEX(MASTER!$G$4:$G$1463,$P54)="","",INDEX(MASTER!$G$4:$G$1463,$P54)),""))</f>
        <v>63340</v>
      </c>
      <c r="G54" s="19" t="str">
        <f>IF($P54="","",IFERROR(IF(INDEX(MASTER!$H$4:$H$1463,$P54)="","",INDEX(MASTER!$H$4:$H$1463,$P54)),""))</f>
        <v>63,000 - 63,999</v>
      </c>
      <c r="H54" s="20">
        <f>IF($P54="","",IFERROR(IF(INDEX(MASTER!$I$4:$I$1463,$P54)="","",INDEX(MASTER!$I$4:$I$1463,$P54)),""))</f>
        <v>5283</v>
      </c>
      <c r="I54" s="19" t="str">
        <f>IF($P54="","",IFERROR(IF(INDEX(MASTER!$J$4:$J$1463,$P54)="","",INDEX(MASTER!$J$4:$J$1463,$P54)),""))</f>
        <v>CORE</v>
      </c>
      <c r="J54" s="21">
        <f>IF($P54="","",IFERROR(IF(INDEX(MASTER!$L$4:$L$1463,$P54)="","",INDEX(MASTER!$L$4:$L$1463,$P54)),""))</f>
        <v>5.6</v>
      </c>
      <c r="K54" s="21">
        <f>IF($P54="","",IFERROR(IF(INDEX(MASTER!$N$4:$N$1463,$P54)="","",INDEX(MASTER!$N$4:$N$1463,$P54)),""))</f>
        <v>54.3</v>
      </c>
      <c r="L54" s="19" t="str">
        <f>IF($P54="","",IFERROR(IF(INDEX(MASTER!$O$4:$O$1463,$P54)="","",INDEX(MASTER!$O$4:$O$1463,$P54)),""))</f>
        <v>A</v>
      </c>
      <c r="M54" s="19">
        <f>IF($P54="","",IFERROR(IF(INDEX(MASTER!$Q$4:$Q$1463,$P54)="","",INDEX(MASTER!$Q$4:$Q$1463,$P54)),""))</f>
        <v>22</v>
      </c>
      <c r="N54" s="19" t="str">
        <f>IF($P54="","",IFERROR(IF(INDEX(MASTER!$S$4:$S$1463,$P54)="","",INDEX(MASTER!$S$4:$S$1463,$P54)),""))</f>
        <v>Complete</v>
      </c>
      <c r="P54">
        <f>IFERROR(MATCH($Q$1&amp;"@46",MASTER!$AC$4:$AC$1463,0),"")</f>
        <v>703</v>
      </c>
    </row>
    <row r="55" spans="1:16">
      <c r="A55" s="15">
        <f>IF($P55="","",47)</f>
        <v>47</v>
      </c>
      <c r="B55" s="14" t="str">
        <f>IF($P55="","",IFERROR(IF(INDEX(MASTER!$C$4:$C$1463,$P55)="","",INDEX(MASTER!$C$4:$C$1463,$P55)),""))</f>
        <v>Maevys</v>
      </c>
      <c r="C55" s="15" t="str">
        <f>IF($P55="","",IFERROR(IF(INDEX(MASTER!$D$4:$D$1463,$P55)="","",INDEX(MASTER!$D$4:$D$1463,$P55)),""))</f>
        <v>Acheron</v>
      </c>
      <c r="D55" s="15" t="str">
        <f>IF($P55="","",IFERROR(IF(INDEX(MASTER!$E$4:$E$1463,$P55)="","",INDEX(MASTER!$E$4:$E$1463,$P55)),""))</f>
        <v>WARLOCK</v>
      </c>
      <c r="E55" s="15" t="str">
        <f>IF($P55="","",IFERROR(IF(INDEX(MASTER!$F$4:$F$1463,$P55)="","",INDEX(MASTER!$F$4:$F$1463,$P55)),""))</f>
        <v>Control</v>
      </c>
      <c r="F55" s="16">
        <f>IF($P55="","",IFERROR(IF(INDEX(MASTER!$G$4:$G$1463,$P55)="","",INDEX(MASTER!$G$4:$G$1463,$P55)),""))</f>
        <v>62542</v>
      </c>
      <c r="G55" s="15" t="str">
        <f>IF($P55="","",IFERROR(IF(INDEX(MASTER!$H$4:$H$1463,$P55)="","",INDEX(MASTER!$H$4:$H$1463,$P55)),""))</f>
        <v>62,000 - 62,999</v>
      </c>
      <c r="H55" s="16">
        <f>IF($P55="","",IFERROR(IF(INDEX(MASTER!$I$4:$I$1463,$P55)="","",INDEX(MASTER!$I$4:$I$1463,$P55)),""))</f>
        <v>4481</v>
      </c>
      <c r="I55" s="15" t="str">
        <f>IF($P55="","",IFERROR(IF(INDEX(MASTER!$J$4:$J$1463,$P55)="","",INDEX(MASTER!$J$4:$J$1463,$P55)),""))</f>
        <v>CORE</v>
      </c>
      <c r="J55" s="17">
        <f>IF($P55="","",IFERROR(IF(INDEX(MASTER!$L$4:$L$1463,$P55)="","",INDEX(MASTER!$L$4:$L$1463,$P55)),""))</f>
        <v>4.05</v>
      </c>
      <c r="K55" s="17">
        <f>IF($P55="","",IFERROR(IF(INDEX(MASTER!$N$4:$N$1463,$P55)="","",INDEX(MASTER!$N$4:$N$1463,$P55)),""))</f>
        <v>46.2</v>
      </c>
      <c r="L55" s="15" t="str">
        <f>IF($P55="","",IFERROR(IF(INDEX(MASTER!$O$4:$O$1463,$P55)="","",INDEX(MASTER!$O$4:$O$1463,$P55)),""))</f>
        <v>B</v>
      </c>
      <c r="M55" s="15">
        <f>IF($P55="","",IFERROR(IF(INDEX(MASTER!$Q$4:$Q$1463,$P55)="","",INDEX(MASTER!$Q$4:$Q$1463,$P55)),""))</f>
        <v>36</v>
      </c>
      <c r="N55" s="15" t="str">
        <f>IF($P55="","",IFERROR(IF(INDEX(MASTER!$S$4:$S$1463,$P55)="","",INDEX(MASTER!$S$4:$S$1463,$P55)),""))</f>
        <v>Complete</v>
      </c>
      <c r="P55">
        <f>IFERROR(MATCH($Q$1&amp;"@47",MASTER!$AC$4:$AC$1463,0),"")</f>
        <v>717</v>
      </c>
    </row>
    <row r="56" spans="1:16">
      <c r="A56" s="19">
        <f>IF($P56="","",48)</f>
        <v>48</v>
      </c>
      <c r="B56" s="18" t="str">
        <f>IF($P56="","",IFERROR(IF(INDEX(MASTER!$C$4:$C$1463,$P56)="","",INDEX(MASTER!$C$4:$C$1463,$P56)),""))</f>
        <v>Mahpiya</v>
      </c>
      <c r="C56" s="19" t="str">
        <f>IF($P56="","",IFERROR(IF(INDEX(MASTER!$D$4:$D$1463,$P56)="","",INDEX(MASTER!$D$4:$D$1463,$P56)),""))</f>
        <v>Acheron</v>
      </c>
      <c r="D56" s="19" t="str">
        <f>IF($P56="","",IFERROR(IF(INDEX(MASTER!$E$4:$E$1463,$P56)="","",INDEX(MASTER!$E$4:$E$1463,$P56)),""))</f>
        <v>WIZARD</v>
      </c>
      <c r="E56" s="19" t="str">
        <f>IF($P56="","",IFERROR(IF(INDEX(MASTER!$F$4:$F$1463,$P56)="","",INDEX(MASTER!$F$4:$F$1463,$P56)),""))</f>
        <v>Ranged DPS</v>
      </c>
      <c r="F56" s="20">
        <f>IF($P56="","",IFERROR(IF(INDEX(MASTER!$G$4:$G$1463,$P56)="","",INDEX(MASTER!$G$4:$G$1463,$P56)),""))</f>
        <v>63175</v>
      </c>
      <c r="G56" s="19" t="str">
        <f>IF($P56="","",IFERROR(IF(INDEX(MASTER!$H$4:$H$1463,$P56)="","",INDEX(MASTER!$H$4:$H$1463,$P56)),""))</f>
        <v>63,000 - 63,999</v>
      </c>
      <c r="H56" s="20">
        <f>IF($P56="","",IFERROR(IF(INDEX(MASTER!$I$4:$I$1463,$P56)="","",INDEX(MASTER!$I$4:$I$1463,$P56)),""))</f>
        <v>4361</v>
      </c>
      <c r="I56" s="19" t="str">
        <f>IF($P56="","",IFERROR(IF(INDEX(MASTER!$J$4:$J$1463,$P56)="","",INDEX(MASTER!$J$4:$J$1463,$P56)),""))</f>
        <v>CORE</v>
      </c>
      <c r="J56" s="21">
        <f>IF($P56="","",IFERROR(IF(INDEX(MASTER!$L$4:$L$1463,$P56)="","",INDEX(MASTER!$L$4:$L$1463,$P56)),""))</f>
        <v>3.7</v>
      </c>
      <c r="K56" s="21">
        <f>IF($P56="","",IFERROR(IF(INDEX(MASTER!$N$4:$N$1463,$P56)="","",INDEX(MASTER!$N$4:$N$1463,$P56)),""))</f>
        <v>46.7</v>
      </c>
      <c r="L56" s="19" t="str">
        <f>IF($P56="","",IFERROR(IF(INDEX(MASTER!$O$4:$O$1463,$P56)="","",INDEX(MASTER!$O$4:$O$1463,$P56)),""))</f>
        <v>B</v>
      </c>
      <c r="M56" s="19">
        <f>IF($P56="","",IFERROR(IF(INDEX(MASTER!$Q$4:$Q$1463,$P56)="","",INDEX(MASTER!$Q$4:$Q$1463,$P56)),""))</f>
        <v>39</v>
      </c>
      <c r="N56" s="19" t="str">
        <f>IF($P56="","",IFERROR(IF(INDEX(MASTER!$S$4:$S$1463,$P56)="","",INDEX(MASTER!$S$4:$S$1463,$P56)),""))</f>
        <v>Complete</v>
      </c>
      <c r="P56">
        <f>IFERROR(MATCH($Q$1&amp;"@48",MASTER!$AC$4:$AC$1463,0),"")</f>
        <v>720</v>
      </c>
    </row>
    <row r="57" spans="1:16">
      <c r="A57" s="15">
        <f>IF($P57="","",49)</f>
        <v>49</v>
      </c>
      <c r="B57" s="14" t="str">
        <f>IF($P57="","",IFERROR(IF(INDEX(MASTER!$C$4:$C$1463,$P57)="","",INDEX(MASTER!$C$4:$C$1463,$P57)),""))</f>
        <v>MasterCreeper</v>
      </c>
      <c r="C57" s="15" t="str">
        <f>IF($P57="","",IFERROR(IF(INDEX(MASTER!$D$4:$D$1463,$P57)="","",INDEX(MASTER!$D$4:$D$1463,$P57)),""))</f>
        <v>Acheron</v>
      </c>
      <c r="D57" s="15" t="str">
        <f>IF($P57="","",IFERROR(IF(INDEX(MASTER!$E$4:$E$1463,$P57)="","",INDEX(MASTER!$E$4:$E$1463,$P57)),""))</f>
        <v>WARLOCK</v>
      </c>
      <c r="E57" s="15" t="str">
        <f>IF($P57="","",IFERROR(IF(INDEX(MASTER!$F$4:$F$1463,$P57)="","",INDEX(MASTER!$F$4:$F$1463,$P57)),""))</f>
        <v>Control</v>
      </c>
      <c r="F57" s="16">
        <f>IF($P57="","",IFERROR(IF(INDEX(MASTER!$G$4:$G$1463,$P57)="","",INDEX(MASTER!$G$4:$G$1463,$P57)),""))</f>
        <v>63311</v>
      </c>
      <c r="G57" s="15" t="str">
        <f>IF($P57="","",IFERROR(IF(INDEX(MASTER!$H$4:$H$1463,$P57)="","",INDEX(MASTER!$H$4:$H$1463,$P57)),""))</f>
        <v>63,000 - 63,999</v>
      </c>
      <c r="H57" s="16">
        <f>IF($P57="","",IFERROR(IF(INDEX(MASTER!$I$4:$I$1463,$P57)="","",INDEX(MASTER!$I$4:$I$1463,$P57)),""))</f>
        <v>3926</v>
      </c>
      <c r="I57" s="15" t="str">
        <f>IF($P57="","",IFERROR(IF(INDEX(MASTER!$J$4:$J$1463,$P57)="","",INDEX(MASTER!$J$4:$J$1463,$P57)),""))</f>
        <v>DEVELOPING</v>
      </c>
      <c r="J57" s="17">
        <f>IF($P57="","",IFERROR(IF(INDEX(MASTER!$L$4:$L$1463,$P57)="","",INDEX(MASTER!$L$4:$L$1463,$P57)),""))</f>
        <v>5.3</v>
      </c>
      <c r="K57" s="17">
        <f>IF($P57="","",IFERROR(IF(INDEX(MASTER!$N$4:$N$1463,$P57)="","",INDEX(MASTER!$N$4:$N$1463,$P57)),""))</f>
        <v>47.8</v>
      </c>
      <c r="L57" s="15" t="str">
        <f>IF($P57="","",IFERROR(IF(INDEX(MASTER!$O$4:$O$1463,$P57)="","",INDEX(MASTER!$O$4:$O$1463,$P57)),""))</f>
        <v>B</v>
      </c>
      <c r="M57" s="15">
        <f>IF($P57="","",IFERROR(IF(INDEX(MASTER!$Q$4:$Q$1463,$P57)="","",INDEX(MASTER!$Q$4:$Q$1463,$P57)),""))</f>
        <v>47</v>
      </c>
      <c r="N57" s="15" t="str">
        <f>IF($P57="","",IFERROR(IF(INDEX(MASTER!$S$4:$S$1463,$P57)="","",INDEX(MASTER!$S$4:$S$1463,$P57)),""))</f>
        <v>Complete</v>
      </c>
      <c r="P57">
        <f>IFERROR(MATCH($Q$1&amp;"@49",MASTER!$AC$4:$AC$1463,0),"")</f>
        <v>735</v>
      </c>
    </row>
    <row r="58" spans="1:16">
      <c r="A58" s="19">
        <f>IF($P58="","",50)</f>
        <v>50</v>
      </c>
      <c r="B58" s="18" t="str">
        <f>IF($P58="","",IFERROR(IF(INDEX(MASTER!$C$4:$C$1463,$P58)="","",INDEX(MASTER!$C$4:$C$1463,$P58)),""))</f>
        <v>Moe</v>
      </c>
      <c r="C58" s="19" t="str">
        <f>IF($P58="","",IFERROR(IF(INDEX(MASTER!$D$4:$D$1463,$P58)="","",INDEX(MASTER!$D$4:$D$1463,$P58)),""))</f>
        <v>Acheron</v>
      </c>
      <c r="D58" s="19" t="str">
        <f>IF($P58="","",IFERROR(IF(INDEX(MASTER!$E$4:$E$1463,$P58)="","",INDEX(MASTER!$E$4:$E$1463,$P58)),""))</f>
        <v>BLOOD KNIGHT</v>
      </c>
      <c r="E58" s="19" t="str">
        <f>IF($P58="","",IFERROR(IF(INDEX(MASTER!$F$4:$F$1463,$P58)="","",INDEX(MASTER!$F$4:$F$1463,$P58)),""))</f>
        <v>Frontline</v>
      </c>
      <c r="F58" s="20">
        <f>IF($P58="","",IFERROR(IF(INDEX(MASTER!$G$4:$G$1463,$P58)="","",INDEX(MASTER!$G$4:$G$1463,$P58)),""))</f>
        <v>61137</v>
      </c>
      <c r="G58" s="19" t="str">
        <f>IF($P58="","",IFERROR(IF(INDEX(MASTER!$H$4:$H$1463,$P58)="","",INDEX(MASTER!$H$4:$H$1463,$P58)),""))</f>
        <v>61,000 - 61,999</v>
      </c>
      <c r="H58" s="20">
        <f>IF($P58="","",IFERROR(IF(INDEX(MASTER!$I$4:$I$1463,$P58)="","",INDEX(MASTER!$I$4:$I$1463,$P58)),""))</f>
        <v>3454</v>
      </c>
      <c r="I58" s="19" t="str">
        <f>IF($P58="","",IFERROR(IF(INDEX(MASTER!$J$4:$J$1463,$P58)="","",INDEX(MASTER!$J$4:$J$1463,$P58)),""))</f>
        <v>DEVELOPING</v>
      </c>
      <c r="J58" s="21">
        <f>IF($P58="","",IFERROR(IF(INDEX(MASTER!$L$4:$L$1463,$P58)="","",INDEX(MASTER!$L$4:$L$1463,$P58)),""))</f>
        <v>5.45</v>
      </c>
      <c r="K58" s="21">
        <f>IF($P58="","",IFERROR(IF(INDEX(MASTER!$N$4:$N$1463,$P58)="","",INDEX(MASTER!$N$4:$N$1463,$P58)),""))</f>
        <v>40.299999999999997</v>
      </c>
      <c r="L58" s="19" t="str">
        <f>IF($P58="","",IFERROR(IF(INDEX(MASTER!$O$4:$O$1463,$P58)="","",INDEX(MASTER!$O$4:$O$1463,$P58)),""))</f>
        <v>B</v>
      </c>
      <c r="M58" s="19">
        <f>IF($P58="","",IFERROR(IF(INDEX(MASTER!$Q$4:$Q$1463,$P58)="","",INDEX(MASTER!$Q$4:$Q$1463,$P58)),""))</f>
        <v>53</v>
      </c>
      <c r="N58" s="19" t="str">
        <f>IF($P58="","",IFERROR(IF(INDEX(MASTER!$S$4:$S$1463,$P58)="","",INDEX(MASTER!$S$4:$S$1463,$P58)),""))</f>
        <v>Complete</v>
      </c>
      <c r="P58">
        <f>IFERROR(MATCH($Q$1&amp;"@50",MASTER!$AC$4:$AC$1463,0),"")</f>
        <v>778</v>
      </c>
    </row>
    <row r="59" spans="1:16">
      <c r="A59" s="15">
        <f>IF($P59="","",51)</f>
        <v>51</v>
      </c>
      <c r="B59" s="14" t="str">
        <f>IF($P59="","",IFERROR(IF(INDEX(MASTER!$C$4:$C$1463,$P59)="","",INDEX(MASTER!$C$4:$C$1463,$P59)),""))</f>
        <v>MrBerserko</v>
      </c>
      <c r="C59" s="15" t="str">
        <f>IF($P59="","",IFERROR(IF(INDEX(MASTER!$D$4:$D$1463,$P59)="","",INDEX(MASTER!$D$4:$D$1463,$P59)),""))</f>
        <v>Acheron</v>
      </c>
      <c r="D59" s="15" t="str">
        <f>IF($P59="","",IFERROR(IF(INDEX(MASTER!$E$4:$E$1463,$P59)="","",INDEX(MASTER!$E$4:$E$1463,$P59)),""))</f>
        <v>BARBARIAN</v>
      </c>
      <c r="E59" s="15" t="str">
        <f>IF($P59="","",IFERROR(IF(INDEX(MASTER!$F$4:$F$1463,$P59)="","",INDEX(MASTER!$F$4:$F$1463,$P59)),""))</f>
        <v>Frontline</v>
      </c>
      <c r="F59" s="16">
        <f>IF($P59="","",IFERROR(IF(INDEX(MASTER!$G$4:$G$1463,$P59)="","",INDEX(MASTER!$G$4:$G$1463,$P59)),""))</f>
        <v>60751</v>
      </c>
      <c r="G59" s="15" t="str">
        <f>IF($P59="","",IFERROR(IF(INDEX(MASTER!$H$4:$H$1463,$P59)="","",INDEX(MASTER!$H$4:$H$1463,$P59)),""))</f>
        <v>60,000 - 60,999</v>
      </c>
      <c r="H59" s="16">
        <f>IF($P59="","",IFERROR(IF(INDEX(MASTER!$I$4:$I$1463,$P59)="","",INDEX(MASTER!$I$4:$I$1463,$P59)),""))</f>
        <v>2246</v>
      </c>
      <c r="I59" s="15" t="str">
        <f>IF($P59="","",IFERROR(IF(INDEX(MASTER!$J$4:$J$1463,$P59)="","",INDEX(MASTER!$J$4:$J$1463,$P59)),""))</f>
        <v>DEVELOPING</v>
      </c>
      <c r="J59" s="17">
        <f>IF($P59="","",IFERROR(IF(INDEX(MASTER!$L$4:$L$1463,$P59)="","",INDEX(MASTER!$L$4:$L$1463,$P59)),""))</f>
        <v>4.8</v>
      </c>
      <c r="K59" s="17">
        <f>IF($P59="","",IFERROR(IF(INDEX(MASTER!$N$4:$N$1463,$P59)="","",INDEX(MASTER!$N$4:$N$1463,$P59)),""))</f>
        <v>32.9</v>
      </c>
      <c r="L59" s="15" t="str">
        <f>IF($P59="","",IFERROR(IF(INDEX(MASTER!$O$4:$O$1463,$P59)="","",INDEX(MASTER!$O$4:$O$1463,$P59)),""))</f>
        <v>C</v>
      </c>
      <c r="M59" s="15">
        <f>IF($P59="","",IFERROR(IF(INDEX(MASTER!$Q$4:$Q$1463,$P59)="","",INDEX(MASTER!$Q$4:$Q$1463,$P59)),""))</f>
        <v>82</v>
      </c>
      <c r="N59" s="15" t="str">
        <f>IF($P59="","",IFERROR(IF(INDEX(MASTER!$S$4:$S$1463,$P59)="","",INDEX(MASTER!$S$4:$S$1463,$P59)),""))</f>
        <v>Complete</v>
      </c>
      <c r="P59">
        <f>IFERROR(MATCH($Q$1&amp;"@51",MASTER!$AC$4:$AC$1463,0),"")</f>
        <v>794</v>
      </c>
    </row>
    <row r="60" spans="1:16">
      <c r="A60" s="19">
        <f>IF($P60="","",52)</f>
        <v>52</v>
      </c>
      <c r="B60" s="18" t="str">
        <f>IF($P60="","",IFERROR(IF(INDEX(MASTER!$C$4:$C$1463,$P60)="","",INDEX(MASTER!$C$4:$C$1463,$P60)),""))</f>
        <v>Nárley</v>
      </c>
      <c r="C60" s="19" t="str">
        <f>IF($P60="","",IFERROR(IF(INDEX(MASTER!$D$4:$D$1463,$P60)="","",INDEX(MASTER!$D$4:$D$1463,$P60)),""))</f>
        <v>Acheron</v>
      </c>
      <c r="D60" s="19" t="str">
        <f>IF($P60="","",IFERROR(IF(INDEX(MASTER!$E$4:$E$1463,$P60)="","",INDEX(MASTER!$E$4:$E$1463,$P60)),""))</f>
        <v>CRUSADER</v>
      </c>
      <c r="E60" s="19" t="str">
        <f>IF($P60="","",IFERROR(IF(INDEX(MASTER!$F$4:$F$1463,$P60)="","",INDEX(MASTER!$F$4:$F$1463,$P60)),""))</f>
        <v>Frontline</v>
      </c>
      <c r="F60" s="20">
        <f>IF($P60="","",IFERROR(IF(INDEX(MASTER!$G$4:$G$1463,$P60)="","",INDEX(MASTER!$G$4:$G$1463,$P60)),""))</f>
        <v>62603</v>
      </c>
      <c r="G60" s="19" t="str">
        <f>IF($P60="","",IFERROR(IF(INDEX(MASTER!$H$4:$H$1463,$P60)="","",INDEX(MASTER!$H$4:$H$1463,$P60)),""))</f>
        <v>62,000 - 62,999</v>
      </c>
      <c r="H60" s="20">
        <f>IF($P60="","",IFERROR(IF(INDEX(MASTER!$I$4:$I$1463,$P60)="","",INDEX(MASTER!$I$4:$I$1463,$P60)),""))</f>
        <v>8042</v>
      </c>
      <c r="I60" s="19" t="str">
        <f>IF($P60="","",IFERROR(IF(INDEX(MASTER!$J$4:$J$1463,$P60)="","",INDEX(MASTER!$J$4:$J$1463,$P60)),""))</f>
        <v>ELITE</v>
      </c>
      <c r="J60" s="21">
        <f>IF($P60="","",IFERROR(IF(INDEX(MASTER!$L$4:$L$1463,$P60)="","",INDEX(MASTER!$L$4:$L$1463,$P60)),""))</f>
        <v>5.87</v>
      </c>
      <c r="K60" s="21">
        <f>IF($P60="","",IFERROR(IF(INDEX(MASTER!$N$4:$N$1463,$P60)="","",INDEX(MASTER!$N$4:$N$1463,$P60)),""))</f>
        <v>64.900000000000006</v>
      </c>
      <c r="L60" s="19" t="str">
        <f>IF($P60="","",IFERROR(IF(INDEX(MASTER!$O$4:$O$1463,$P60)="","",INDEX(MASTER!$O$4:$O$1463,$P60)),""))</f>
        <v>A</v>
      </c>
      <c r="M60" s="19">
        <f>IF($P60="","",IFERROR(IF(INDEX(MASTER!$Q$4:$Q$1463,$P60)="","",INDEX(MASTER!$Q$4:$Q$1463,$P60)),""))</f>
        <v>6</v>
      </c>
      <c r="N60" s="19" t="str">
        <f>IF($P60="","",IFERROR(IF(INDEX(MASTER!$S$4:$S$1463,$P60)="","",INDEX(MASTER!$S$4:$S$1463,$P60)),""))</f>
        <v>Complete</v>
      </c>
      <c r="P60">
        <f>IFERROR(MATCH($Q$1&amp;"@52",MASTER!$AC$4:$AC$1463,0),"")</f>
        <v>835</v>
      </c>
    </row>
    <row r="61" spans="1:16">
      <c r="A61" s="15">
        <f>IF($P61="","",53)</f>
        <v>53</v>
      </c>
      <c r="B61" s="14" t="str">
        <f>IF($P61="","",IFERROR(IF(INDEX(MASTER!$C$4:$C$1463,$P61)="","",INDEX(MASTER!$C$4:$C$1463,$P61)),""))</f>
        <v>Obscurà</v>
      </c>
      <c r="C61" s="15" t="str">
        <f>IF($P61="","",IFERROR(IF(INDEX(MASTER!$D$4:$D$1463,$P61)="","",INDEX(MASTER!$D$4:$D$1463,$P61)),""))</f>
        <v>Acheron</v>
      </c>
      <c r="D61" s="15" t="str">
        <f>IF($P61="","",IFERROR(IF(INDEX(MASTER!$E$4:$E$1463,$P61)="","",INDEX(MASTER!$E$4:$E$1463,$P61)),""))</f>
        <v>NECROMANCER</v>
      </c>
      <c r="E61" s="15" t="str">
        <f>IF($P61="","",IFERROR(IF(INDEX(MASTER!$F$4:$F$1463,$P61)="","",INDEX(MASTER!$F$4:$F$1463,$P61)),""))</f>
        <v>Control</v>
      </c>
      <c r="F61" s="16">
        <f>IF($P61="","",IFERROR(IF(INDEX(MASTER!$G$4:$G$1463,$P61)="","",INDEX(MASTER!$G$4:$G$1463,$P61)),""))</f>
        <v>63345</v>
      </c>
      <c r="G61" s="15" t="str">
        <f>IF($P61="","",IFERROR(IF(INDEX(MASTER!$H$4:$H$1463,$P61)="","",INDEX(MASTER!$H$4:$H$1463,$P61)),""))</f>
        <v>63,000 - 63,999</v>
      </c>
      <c r="H61" s="16">
        <f>IF($P61="","",IFERROR(IF(INDEX(MASTER!$I$4:$I$1463,$P61)="","",INDEX(MASTER!$I$4:$I$1463,$P61)),""))</f>
        <v>5096</v>
      </c>
      <c r="I61" s="15" t="str">
        <f>IF($P61="","",IFERROR(IF(INDEX(MASTER!$J$4:$J$1463,$P61)="","",INDEX(MASTER!$J$4:$J$1463,$P61)),""))</f>
        <v>CORE</v>
      </c>
      <c r="J61" s="17">
        <f>IF($P61="","",IFERROR(IF(INDEX(MASTER!$L$4:$L$1463,$P61)="","",INDEX(MASTER!$L$4:$L$1463,$P61)),""))</f>
        <v>4.8499999999999996</v>
      </c>
      <c r="K61" s="17">
        <f>IF($P61="","",IFERROR(IF(INDEX(MASTER!$N$4:$N$1463,$P61)="","",INDEX(MASTER!$N$4:$N$1463,$P61)),""))</f>
        <v>52.3</v>
      </c>
      <c r="L61" s="15" t="str">
        <f>IF($P61="","",IFERROR(IF(INDEX(MASTER!$O$4:$O$1463,$P61)="","",INDEX(MASTER!$O$4:$O$1463,$P61)),""))</f>
        <v>A</v>
      </c>
      <c r="M61" s="15">
        <f>IF($P61="","",IFERROR(IF(INDEX(MASTER!$Q$4:$Q$1463,$P61)="","",INDEX(MASTER!$Q$4:$Q$1463,$P61)),""))</f>
        <v>24</v>
      </c>
      <c r="N61" s="15" t="str">
        <f>IF($P61="","",IFERROR(IF(INDEX(MASTER!$S$4:$S$1463,$P61)="","",INDEX(MASTER!$S$4:$S$1463,$P61)),""))</f>
        <v>Complete</v>
      </c>
      <c r="P61">
        <f>IFERROR(MATCH($Q$1&amp;"@53",MASTER!$AC$4:$AC$1463,0),"")</f>
        <v>838</v>
      </c>
    </row>
    <row r="62" spans="1:16">
      <c r="A62" s="19">
        <f>IF($P62="","",54)</f>
        <v>54</v>
      </c>
      <c r="B62" s="18" t="str">
        <f>IF($P62="","",IFERROR(IF(INDEX(MASTER!$C$4:$C$1463,$P62)="","",INDEX(MASTER!$C$4:$C$1463,$P62)),""))</f>
        <v>Ogmama</v>
      </c>
      <c r="C62" s="19" t="str">
        <f>IF($P62="","",IFERROR(IF(INDEX(MASTER!$D$4:$D$1463,$P62)="","",INDEX(MASTER!$D$4:$D$1463,$P62)),""))</f>
        <v>Acheron</v>
      </c>
      <c r="D62" s="19" t="str">
        <f>IF($P62="","",IFERROR(IF(INDEX(MASTER!$E$4:$E$1463,$P62)="","",INDEX(MASTER!$E$4:$E$1463,$P62)),""))</f>
        <v>BARBARIAN</v>
      </c>
      <c r="E62" s="19" t="str">
        <f>IF($P62="","",IFERROR(IF(INDEX(MASTER!$F$4:$F$1463,$P62)="","",INDEX(MASTER!$F$4:$F$1463,$P62)),""))</f>
        <v>Frontline</v>
      </c>
      <c r="F62" s="20">
        <f>IF($P62="","",IFERROR(IF(INDEX(MASTER!$G$4:$G$1463,$P62)="","",INDEX(MASTER!$G$4:$G$1463,$P62)),""))</f>
        <v>62989</v>
      </c>
      <c r="G62" s="19" t="str">
        <f>IF($P62="","",IFERROR(IF(INDEX(MASTER!$H$4:$H$1463,$P62)="","",INDEX(MASTER!$H$4:$H$1463,$P62)),""))</f>
        <v>62,000 - 62,999</v>
      </c>
      <c r="H62" s="20">
        <f>IF($P62="","",IFERROR(IF(INDEX(MASTER!$I$4:$I$1463,$P62)="","",INDEX(MASTER!$I$4:$I$1463,$P62)),""))</f>
        <v>5699</v>
      </c>
      <c r="I62" s="19" t="str">
        <f>IF($P62="","",IFERROR(IF(INDEX(MASTER!$J$4:$J$1463,$P62)="","",INDEX(MASTER!$J$4:$J$1463,$P62)),""))</f>
        <v>CORE</v>
      </c>
      <c r="J62" s="21">
        <f>IF($P62="","",IFERROR(IF(INDEX(MASTER!$L$4:$L$1463,$P62)="","",INDEX(MASTER!$L$4:$L$1463,$P62)),""))</f>
        <v>5.85</v>
      </c>
      <c r="K62" s="21">
        <f>IF($P62="","",IFERROR(IF(INDEX(MASTER!$N$4:$N$1463,$P62)="","",INDEX(MASTER!$N$4:$N$1463,$P62)),""))</f>
        <v>55.7</v>
      </c>
      <c r="L62" s="19" t="str">
        <f>IF($P62="","",IFERROR(IF(INDEX(MASTER!$O$4:$O$1463,$P62)="","",INDEX(MASTER!$O$4:$O$1463,$P62)),""))</f>
        <v>A</v>
      </c>
      <c r="M62" s="19">
        <f>IF($P62="","",IFERROR(IF(INDEX(MASTER!$Q$4:$Q$1463,$P62)="","",INDEX(MASTER!$Q$4:$Q$1463,$P62)),""))</f>
        <v>16</v>
      </c>
      <c r="N62" s="19" t="str">
        <f>IF($P62="","",IFERROR(IF(INDEX(MASTER!$S$4:$S$1463,$P62)="","",INDEX(MASTER!$S$4:$S$1463,$P62)),""))</f>
        <v>Complete</v>
      </c>
      <c r="P62">
        <f>IFERROR(MATCH($Q$1&amp;"@54",MASTER!$AC$4:$AC$1463,0),"")</f>
        <v>843</v>
      </c>
    </row>
    <row r="63" spans="1:16">
      <c r="A63" s="15">
        <f>IF($P63="","",55)</f>
        <v>55</v>
      </c>
      <c r="B63" s="14" t="str">
        <f>IF($P63="","",IFERROR(IF(INDEX(MASTER!$C$4:$C$1463,$P63)="","",INDEX(MASTER!$C$4:$C$1463,$P63)),""))</f>
        <v>Palmer123</v>
      </c>
      <c r="C63" s="15" t="str">
        <f>IF($P63="","",IFERROR(IF(INDEX(MASTER!$D$4:$D$1463,$P63)="","",INDEX(MASTER!$D$4:$D$1463,$P63)),""))</f>
        <v>Acheron</v>
      </c>
      <c r="D63" s="15" t="str">
        <f>IF($P63="","",IFERROR(IF(INDEX(MASTER!$E$4:$E$1463,$P63)="","",INDEX(MASTER!$E$4:$E$1463,$P63)),""))</f>
        <v>DEMON HUNTER</v>
      </c>
      <c r="E63" s="15" t="str">
        <f>IF($P63="","",IFERROR(IF(INDEX(MASTER!$F$4:$F$1463,$P63)="","",INDEX(MASTER!$F$4:$F$1463,$P63)),""))</f>
        <v>Ranged DPS</v>
      </c>
      <c r="F63" s="16">
        <f>IF($P63="","",IFERROR(IF(INDEX(MASTER!$G$4:$G$1463,$P63)="","",INDEX(MASTER!$G$4:$G$1463,$P63)),""))</f>
        <v>62251</v>
      </c>
      <c r="G63" s="15" t="str">
        <f>IF($P63="","",IFERROR(IF(INDEX(MASTER!$H$4:$H$1463,$P63)="","",INDEX(MASTER!$H$4:$H$1463,$P63)),""))</f>
        <v>62,000 - 62,999</v>
      </c>
      <c r="H63" s="16">
        <f>IF($P63="","",IFERROR(IF(INDEX(MASTER!$I$4:$I$1463,$P63)="","",INDEX(MASTER!$I$4:$I$1463,$P63)),""))</f>
        <v>4533</v>
      </c>
      <c r="I63" s="15" t="str">
        <f>IF($P63="","",IFERROR(IF(INDEX(MASTER!$J$4:$J$1463,$P63)="","",INDEX(MASTER!$J$4:$J$1463,$P63)),""))</f>
        <v>CORE</v>
      </c>
      <c r="J63" s="17">
        <f>IF($P63="","",IFERROR(IF(INDEX(MASTER!$L$4:$L$1463,$P63)="","",INDEX(MASTER!$L$4:$L$1463,$P63)),""))</f>
        <v>6.65</v>
      </c>
      <c r="K63" s="17">
        <f>IF($P63="","",IFERROR(IF(INDEX(MASTER!$N$4:$N$1463,$P63)="","",INDEX(MASTER!$N$4:$N$1463,$P63)),""))</f>
        <v>50</v>
      </c>
      <c r="L63" s="15" t="str">
        <f>IF($P63="","",IFERROR(IF(INDEX(MASTER!$O$4:$O$1463,$P63)="","",INDEX(MASTER!$O$4:$O$1463,$P63)),""))</f>
        <v>A</v>
      </c>
      <c r="M63" s="15">
        <f>IF($P63="","",IFERROR(IF(INDEX(MASTER!$Q$4:$Q$1463,$P63)="","",INDEX(MASTER!$Q$4:$Q$1463,$P63)),""))</f>
        <v>35</v>
      </c>
      <c r="N63" s="15" t="str">
        <f>IF($P63="","",IFERROR(IF(INDEX(MASTER!$S$4:$S$1463,$P63)="","",INDEX(MASTER!$S$4:$S$1463,$P63)),""))</f>
        <v>Complete</v>
      </c>
      <c r="P63">
        <f>IFERROR(MATCH($Q$1&amp;"@55",MASTER!$AC$4:$AC$1463,0),"")</f>
        <v>872</v>
      </c>
    </row>
    <row r="64" spans="1:16">
      <c r="A64" s="19">
        <f>IF($P64="","",56)</f>
        <v>56</v>
      </c>
      <c r="B64" s="18" t="str">
        <f>IF($P64="","",IFERROR(IF(INDEX(MASTER!$C$4:$C$1463,$P64)="","",INDEX(MASTER!$C$4:$C$1463,$P64)),""))</f>
        <v>PepeTortilla</v>
      </c>
      <c r="C64" s="19" t="str">
        <f>IF($P64="","",IFERROR(IF(INDEX(MASTER!$D$4:$D$1463,$P64)="","",INDEX(MASTER!$D$4:$D$1463,$P64)),""))</f>
        <v>Acheron</v>
      </c>
      <c r="D64" s="19" t="str">
        <f>IF($P64="","",IFERROR(IF(INDEX(MASTER!$E$4:$E$1463,$P64)="","",INDEX(MASTER!$E$4:$E$1463,$P64)),""))</f>
        <v>BLOOD KNIGHT</v>
      </c>
      <c r="E64" s="19" t="str">
        <f>IF($P64="","",IFERROR(IF(INDEX(MASTER!$F$4:$F$1463,$P64)="","",INDEX(MASTER!$F$4:$F$1463,$P64)),""))</f>
        <v>Frontline</v>
      </c>
      <c r="F64" s="20">
        <f>IF($P64="","",IFERROR(IF(INDEX(MASTER!$G$4:$G$1463,$P64)="","",INDEX(MASTER!$G$4:$G$1463,$P64)),""))</f>
        <v>62134</v>
      </c>
      <c r="G64" s="19" t="str">
        <f>IF($P64="","",IFERROR(IF(INDEX(MASTER!$H$4:$H$1463,$P64)="","",INDEX(MASTER!$H$4:$H$1463,$P64)),""))</f>
        <v>62,000 - 62,999</v>
      </c>
      <c r="H64" s="20">
        <f>IF($P64="","",IFERROR(IF(INDEX(MASTER!$I$4:$I$1463,$P64)="","",INDEX(MASTER!$I$4:$I$1463,$P64)),""))</f>
        <v>4023</v>
      </c>
      <c r="I64" s="19" t="str">
        <f>IF($P64="","",IFERROR(IF(INDEX(MASTER!$J$4:$J$1463,$P64)="","",INDEX(MASTER!$J$4:$J$1463,$P64)),""))</f>
        <v>CORE</v>
      </c>
      <c r="J64" s="21">
        <f>IF($P64="","",IFERROR(IF(INDEX(MASTER!$L$4:$L$1463,$P64)="","",INDEX(MASTER!$L$4:$L$1463,$P64)),""))</f>
        <v>5.4</v>
      </c>
      <c r="K64" s="21">
        <f>IF($P64="","",IFERROR(IF(INDEX(MASTER!$N$4:$N$1463,$P64)="","",INDEX(MASTER!$N$4:$N$1463,$P64)),""))</f>
        <v>45.3</v>
      </c>
      <c r="L64" s="19" t="str">
        <f>IF($P64="","",IFERROR(IF(INDEX(MASTER!$O$4:$O$1463,$P64)="","",INDEX(MASTER!$O$4:$O$1463,$P64)),""))</f>
        <v>B</v>
      </c>
      <c r="M64" s="19">
        <f>IF($P64="","",IFERROR(IF(INDEX(MASTER!$Q$4:$Q$1463,$P64)="","",INDEX(MASTER!$Q$4:$Q$1463,$P64)),""))</f>
        <v>43</v>
      </c>
      <c r="N64" s="19" t="str">
        <f>IF($P64="","",IFERROR(IF(INDEX(MASTER!$S$4:$S$1463,$P64)="","",INDEX(MASTER!$S$4:$S$1463,$P64)),""))</f>
        <v>Complete</v>
      </c>
      <c r="P64">
        <f>IFERROR(MATCH($Q$1&amp;"@56",MASTER!$AC$4:$AC$1463,0),"")</f>
        <v>884</v>
      </c>
    </row>
    <row r="65" spans="1:16">
      <c r="A65" s="15">
        <f>IF($P65="","",57)</f>
        <v>57</v>
      </c>
      <c r="B65" s="14" t="str">
        <f>IF($P65="","",IFERROR(IF(INDEX(MASTER!$C$4:$C$1463,$P65)="","",INDEX(MASTER!$C$4:$C$1463,$P65)),""))</f>
        <v>Philos</v>
      </c>
      <c r="C65" s="15" t="str">
        <f>IF($P65="","",IFERROR(IF(INDEX(MASTER!$D$4:$D$1463,$P65)="","",INDEX(MASTER!$D$4:$D$1463,$P65)),""))</f>
        <v>Acheron</v>
      </c>
      <c r="D65" s="15" t="str">
        <f>IF($P65="","",IFERROR(IF(INDEX(MASTER!$E$4:$E$1463,$P65)="","",INDEX(MASTER!$E$4:$E$1463,$P65)),""))</f>
        <v>WIZARD</v>
      </c>
      <c r="E65" s="15" t="str">
        <f>IF($P65="","",IFERROR(IF(INDEX(MASTER!$F$4:$F$1463,$P65)="","",INDEX(MASTER!$F$4:$F$1463,$P65)),""))</f>
        <v>Ranged DPS</v>
      </c>
      <c r="F65" s="16">
        <f>IF($P65="","",IFERROR(IF(INDEX(MASTER!$G$4:$G$1463,$P65)="","",INDEX(MASTER!$G$4:$G$1463,$P65)),""))</f>
        <v>62974</v>
      </c>
      <c r="G65" s="15" t="str">
        <f>IF($P65="","",IFERROR(IF(INDEX(MASTER!$H$4:$H$1463,$P65)="","",INDEX(MASTER!$H$4:$H$1463,$P65)),""))</f>
        <v>62,000 - 62,999</v>
      </c>
      <c r="H65" s="16">
        <f>IF($P65="","",IFERROR(IF(INDEX(MASTER!$I$4:$I$1463,$P65)="","",INDEX(MASTER!$I$4:$I$1463,$P65)),""))</f>
        <v>3172</v>
      </c>
      <c r="I65" s="15" t="str">
        <f>IF($P65="","",IFERROR(IF(INDEX(MASTER!$J$4:$J$1463,$P65)="","",INDEX(MASTER!$J$4:$J$1463,$P65)),""))</f>
        <v>DEVELOPING</v>
      </c>
      <c r="J65" s="17">
        <f>IF($P65="","",IFERROR(IF(INDEX(MASTER!$L$4:$L$1463,$P65)="","",INDEX(MASTER!$L$4:$L$1463,$P65)),""))</f>
        <v>4.5999999999999996</v>
      </c>
      <c r="K65" s="17">
        <f>IF($P65="","",IFERROR(IF(INDEX(MASTER!$N$4:$N$1463,$P65)="","",INDEX(MASTER!$N$4:$N$1463,$P65)),""))</f>
        <v>42.5</v>
      </c>
      <c r="L65" s="15" t="str">
        <f>IF($P65="","",IFERROR(IF(INDEX(MASTER!$O$4:$O$1463,$P65)="","",INDEX(MASTER!$O$4:$O$1463,$P65)),""))</f>
        <v>B</v>
      </c>
      <c r="M65" s="15">
        <f>IF($P65="","",IFERROR(IF(INDEX(MASTER!$Q$4:$Q$1463,$P65)="","",INDEX(MASTER!$Q$4:$Q$1463,$P65)),""))</f>
        <v>62</v>
      </c>
      <c r="N65" s="15" t="str">
        <f>IF($P65="","",IFERROR(IF(INDEX(MASTER!$S$4:$S$1463,$P65)="","",INDEX(MASTER!$S$4:$S$1463,$P65)),""))</f>
        <v>Complete</v>
      </c>
      <c r="P65">
        <f>IFERROR(MATCH($Q$1&amp;"@57",MASTER!$AC$4:$AC$1463,0),"")</f>
        <v>889</v>
      </c>
    </row>
    <row r="66" spans="1:16">
      <c r="A66" s="19">
        <f>IF($P66="","",58)</f>
        <v>58</v>
      </c>
      <c r="B66" s="18" t="str">
        <f>IF($P66="","",IFERROR(IF(INDEX(MASTER!$C$4:$C$1463,$P66)="","",INDEX(MASTER!$C$4:$C$1463,$P66)),""))</f>
        <v>PINCHIvato</v>
      </c>
      <c r="C66" s="19" t="str">
        <f>IF($P66="","",IFERROR(IF(INDEX(MASTER!$D$4:$D$1463,$P66)="","",INDEX(MASTER!$D$4:$D$1463,$P66)),""))</f>
        <v>Acheron</v>
      </c>
      <c r="D66" s="19" t="str">
        <f>IF($P66="","",IFERROR(IF(INDEX(MASTER!$E$4:$E$1463,$P66)="","",INDEX(MASTER!$E$4:$E$1463,$P66)),""))</f>
        <v>WARLOCK</v>
      </c>
      <c r="E66" s="19" t="str">
        <f>IF($P66="","",IFERROR(IF(INDEX(MASTER!$F$4:$F$1463,$P66)="","",INDEX(MASTER!$F$4:$F$1463,$P66)),""))</f>
        <v>Control</v>
      </c>
      <c r="F66" s="20">
        <f>IF($P66="","",IFERROR(IF(INDEX(MASTER!$G$4:$G$1463,$P66)="","",INDEX(MASTER!$G$4:$G$1463,$P66)),""))</f>
        <v>63292</v>
      </c>
      <c r="G66" s="19" t="str">
        <f>IF($P66="","",IFERROR(IF(INDEX(MASTER!$H$4:$H$1463,$P66)="","",INDEX(MASTER!$H$4:$H$1463,$P66)),""))</f>
        <v>63,000 - 63,999</v>
      </c>
      <c r="H66" s="20">
        <f>IF($P66="","",IFERROR(IF(INDEX(MASTER!$I$4:$I$1463,$P66)="","",INDEX(MASTER!$I$4:$I$1463,$P66)),""))</f>
        <v>4883</v>
      </c>
      <c r="I66" s="19" t="str">
        <f>IF($P66="","",IFERROR(IF(INDEX(MASTER!$J$4:$J$1463,$P66)="","",INDEX(MASTER!$J$4:$J$1463,$P66)),""))</f>
        <v>CORE</v>
      </c>
      <c r="J66" s="21">
        <f>IF($P66="","",IFERROR(IF(INDEX(MASTER!$L$4:$L$1463,$P66)="","",INDEX(MASTER!$L$4:$L$1463,$P66)),""))</f>
        <v>5.5</v>
      </c>
      <c r="K66" s="21">
        <f>IF($P66="","",IFERROR(IF(INDEX(MASTER!$N$4:$N$1463,$P66)="","",INDEX(MASTER!$N$4:$N$1463,$P66)),""))</f>
        <v>52.3</v>
      </c>
      <c r="L66" s="19" t="str">
        <f>IF($P66="","",IFERROR(IF(INDEX(MASTER!$O$4:$O$1463,$P66)="","",INDEX(MASTER!$O$4:$O$1463,$P66)),""))</f>
        <v>A</v>
      </c>
      <c r="M66" s="19">
        <f>IF($P66="","",IFERROR(IF(INDEX(MASTER!$Q$4:$Q$1463,$P66)="","",INDEX(MASTER!$Q$4:$Q$1463,$P66)),""))</f>
        <v>29</v>
      </c>
      <c r="N66" s="19" t="str">
        <f>IF($P66="","",IFERROR(IF(INDEX(MASTER!$S$4:$S$1463,$P66)="","",INDEX(MASTER!$S$4:$S$1463,$P66)),""))</f>
        <v>Complete</v>
      </c>
      <c r="P66">
        <f>IFERROR(MATCH($Q$1&amp;"@58",MASTER!$AC$4:$AC$1463,0),"")</f>
        <v>892</v>
      </c>
    </row>
    <row r="67" spans="1:16">
      <c r="A67" s="15">
        <f>IF($P67="","",59)</f>
        <v>59</v>
      </c>
      <c r="B67" s="14" t="str">
        <f>IF($P67="","",IFERROR(IF(INDEX(MASTER!$C$4:$C$1463,$P67)="","",INDEX(MASTER!$C$4:$C$1463,$P67)),""))</f>
        <v>PurpleWolf</v>
      </c>
      <c r="C67" s="15" t="str">
        <f>IF($P67="","",IFERROR(IF(INDEX(MASTER!$D$4:$D$1463,$P67)="","",INDEX(MASTER!$D$4:$D$1463,$P67)),""))</f>
        <v>Acheron</v>
      </c>
      <c r="D67" s="15" t="str">
        <f>IF($P67="","",IFERROR(IF(INDEX(MASTER!$E$4:$E$1463,$P67)="","",INDEX(MASTER!$E$4:$E$1463,$P67)),""))</f>
        <v>BLOOD KNIGHT</v>
      </c>
      <c r="E67" s="15" t="str">
        <f>IF($P67="","",IFERROR(IF(INDEX(MASTER!$F$4:$F$1463,$P67)="","",INDEX(MASTER!$F$4:$F$1463,$P67)),""))</f>
        <v>Frontline</v>
      </c>
      <c r="F67" s="16">
        <f>IF($P67="","",IFERROR(IF(INDEX(MASTER!$G$4:$G$1463,$P67)="","",INDEX(MASTER!$G$4:$G$1463,$P67)),""))</f>
        <v>63083</v>
      </c>
      <c r="G67" s="15" t="str">
        <f>IF($P67="","",IFERROR(IF(INDEX(MASTER!$H$4:$H$1463,$P67)="","",INDEX(MASTER!$H$4:$H$1463,$P67)),""))</f>
        <v>63,000 - 63,999</v>
      </c>
      <c r="H67" s="16">
        <f>IF($P67="","",IFERROR(IF(INDEX(MASTER!$I$4:$I$1463,$P67)="","",INDEX(MASTER!$I$4:$I$1463,$P67)),""))</f>
        <v>3933</v>
      </c>
      <c r="I67" s="15" t="str">
        <f>IF($P67="","",IFERROR(IF(INDEX(MASTER!$J$4:$J$1463,$P67)="","",INDEX(MASTER!$J$4:$J$1463,$P67)),""))</f>
        <v>DEVELOPING</v>
      </c>
      <c r="J67" s="17">
        <f>IF($P67="","",IFERROR(IF(INDEX(MASTER!$L$4:$L$1463,$P67)="","",INDEX(MASTER!$L$4:$L$1463,$P67)),""))</f>
        <v>5.85</v>
      </c>
      <c r="K67" s="17">
        <f>IF($P67="","",IFERROR(IF(INDEX(MASTER!$N$4:$N$1463,$P67)="","",INDEX(MASTER!$N$4:$N$1463,$P67)),""))</f>
        <v>48.2</v>
      </c>
      <c r="L67" s="15" t="str">
        <f>IF($P67="","",IFERROR(IF(INDEX(MASTER!$O$4:$O$1463,$P67)="","",INDEX(MASTER!$O$4:$O$1463,$P67)),""))</f>
        <v>B</v>
      </c>
      <c r="M67" s="15">
        <f>IF($P67="","",IFERROR(IF(INDEX(MASTER!$Q$4:$Q$1463,$P67)="","",INDEX(MASTER!$Q$4:$Q$1463,$P67)),""))</f>
        <v>46</v>
      </c>
      <c r="N67" s="15" t="str">
        <f>IF($P67="","",IFERROR(IF(INDEX(MASTER!$S$4:$S$1463,$P67)="","",INDEX(MASTER!$S$4:$S$1463,$P67)),""))</f>
        <v>Complete</v>
      </c>
      <c r="P67">
        <f>IFERROR(MATCH($Q$1&amp;"@59",MASTER!$AC$4:$AC$1463,0),"")</f>
        <v>910</v>
      </c>
    </row>
    <row r="68" spans="1:16">
      <c r="A68" s="19">
        <f>IF($P68="","",60)</f>
        <v>60</v>
      </c>
      <c r="B68" s="18" t="str">
        <f>IF($P68="","",IFERROR(IF(INDEX(MASTER!$C$4:$C$1463,$P68)="","",INDEX(MASTER!$C$4:$C$1463,$P68)),""))</f>
        <v>Quintos</v>
      </c>
      <c r="C68" s="19" t="str">
        <f>IF($P68="","",IFERROR(IF(INDEX(MASTER!$D$4:$D$1463,$P68)="","",INDEX(MASTER!$D$4:$D$1463,$P68)),""))</f>
        <v>Acheron</v>
      </c>
      <c r="D68" s="19" t="str">
        <f>IF($P68="","",IFERROR(IF(INDEX(MASTER!$E$4:$E$1463,$P68)="","",INDEX(MASTER!$E$4:$E$1463,$P68)),""))</f>
        <v>CRUSADER</v>
      </c>
      <c r="E68" s="19" t="str">
        <f>IF($P68="","",IFERROR(IF(INDEX(MASTER!$F$4:$F$1463,$P68)="","",INDEX(MASTER!$F$4:$F$1463,$P68)),""))</f>
        <v>Frontline</v>
      </c>
      <c r="F68" s="20">
        <f>IF($P68="","",IFERROR(IF(INDEX(MASTER!$G$4:$G$1463,$P68)="","",INDEX(MASTER!$G$4:$G$1463,$P68)),""))</f>
        <v>62164</v>
      </c>
      <c r="G68" s="19" t="str">
        <f>IF($P68="","",IFERROR(IF(INDEX(MASTER!$H$4:$H$1463,$P68)="","",INDEX(MASTER!$H$4:$H$1463,$P68)),""))</f>
        <v>62,000 - 62,999</v>
      </c>
      <c r="H68" s="20">
        <f>IF($P68="","",IFERROR(IF(INDEX(MASTER!$I$4:$I$1463,$P68)="","",INDEX(MASTER!$I$4:$I$1463,$P68)),""))</f>
        <v>4217</v>
      </c>
      <c r="I68" s="19" t="str">
        <f>IF($P68="","",IFERROR(IF(INDEX(MASTER!$J$4:$J$1463,$P68)="","",INDEX(MASTER!$J$4:$J$1463,$P68)),""))</f>
        <v>CORE</v>
      </c>
      <c r="J68" s="21">
        <f>IF($P68="","",IFERROR(IF(INDEX(MASTER!$L$4:$L$1463,$P68)="","",INDEX(MASTER!$L$4:$L$1463,$P68)),""))</f>
        <v>4.93</v>
      </c>
      <c r="K68" s="21">
        <f>IF($P68="","",IFERROR(IF(INDEX(MASTER!$N$4:$N$1463,$P68)="","",INDEX(MASTER!$N$4:$N$1463,$P68)),""))</f>
        <v>45.5</v>
      </c>
      <c r="L68" s="19" t="str">
        <f>IF($P68="","",IFERROR(IF(INDEX(MASTER!$O$4:$O$1463,$P68)="","",INDEX(MASTER!$O$4:$O$1463,$P68)),""))</f>
        <v>B</v>
      </c>
      <c r="M68" s="19">
        <f>IF($P68="","",IFERROR(IF(INDEX(MASTER!$Q$4:$Q$1463,$P68)="","",INDEX(MASTER!$Q$4:$Q$1463,$P68)),""))</f>
        <v>41</v>
      </c>
      <c r="N68" s="19" t="str">
        <f>IF($P68="","",IFERROR(IF(INDEX(MASTER!$S$4:$S$1463,$P68)="","",INDEX(MASTER!$S$4:$S$1463,$P68)),""))</f>
        <v>Complete</v>
      </c>
      <c r="P68">
        <f>IFERROR(MATCH($Q$1&amp;"@60",MASTER!$AC$4:$AC$1463,0),"")</f>
        <v>915</v>
      </c>
    </row>
    <row r="69" spans="1:16">
      <c r="A69" s="15">
        <f>IF($P69="","",61)</f>
        <v>61</v>
      </c>
      <c r="B69" s="14" t="str">
        <f>IF($P69="","",IFERROR(IF(INDEX(MASTER!$C$4:$C$1463,$P69)="","",INDEX(MASTER!$C$4:$C$1463,$P69)),""))</f>
        <v>R0Nik</v>
      </c>
      <c r="C69" s="15" t="str">
        <f>IF($P69="","",IFERROR(IF(INDEX(MASTER!$D$4:$D$1463,$P69)="","",INDEX(MASTER!$D$4:$D$1463,$P69)),""))</f>
        <v>Acheron</v>
      </c>
      <c r="D69" s="15" t="str">
        <f>IF($P69="","",IFERROR(IF(INDEX(MASTER!$E$4:$E$1463,$P69)="","",INDEX(MASTER!$E$4:$E$1463,$P69)),""))</f>
        <v>DEMON HUNTER</v>
      </c>
      <c r="E69" s="15" t="str">
        <f>IF($P69="","",IFERROR(IF(INDEX(MASTER!$F$4:$F$1463,$P69)="","",INDEX(MASTER!$F$4:$F$1463,$P69)),""))</f>
        <v>Ranged DPS</v>
      </c>
      <c r="F69" s="16">
        <f>IF($P69="","",IFERROR(IF(INDEX(MASTER!$G$4:$G$1463,$P69)="","",INDEX(MASTER!$G$4:$G$1463,$P69)),""))</f>
        <v>63183</v>
      </c>
      <c r="G69" s="15" t="str">
        <f>IF($P69="","",IFERROR(IF(INDEX(MASTER!$H$4:$H$1463,$P69)="","",INDEX(MASTER!$H$4:$H$1463,$P69)),""))</f>
        <v>63,000 - 63,999</v>
      </c>
      <c r="H69" s="16">
        <f>IF($P69="","",IFERROR(IF(INDEX(MASTER!$I$4:$I$1463,$P69)="","",INDEX(MASTER!$I$4:$I$1463,$P69)),""))</f>
        <v>3368</v>
      </c>
      <c r="I69" s="15" t="str">
        <f>IF($P69="","",IFERROR(IF(INDEX(MASTER!$J$4:$J$1463,$P69)="","",INDEX(MASTER!$J$4:$J$1463,$P69)),""))</f>
        <v>DEVELOPING</v>
      </c>
      <c r="J69" s="17">
        <f>IF($P69="","",IFERROR(IF(INDEX(MASTER!$L$4:$L$1463,$P69)="","",INDEX(MASTER!$L$4:$L$1463,$P69)),""))</f>
        <v>4.55</v>
      </c>
      <c r="K69" s="17">
        <f>IF($P69="","",IFERROR(IF(INDEX(MASTER!$N$4:$N$1463,$P69)="","",INDEX(MASTER!$N$4:$N$1463,$P69)),""))</f>
        <v>43.8</v>
      </c>
      <c r="L69" s="15" t="str">
        <f>IF($P69="","",IFERROR(IF(INDEX(MASTER!$O$4:$O$1463,$P69)="","",INDEX(MASTER!$O$4:$O$1463,$P69)),""))</f>
        <v>B</v>
      </c>
      <c r="M69" s="15">
        <f>IF($P69="","",IFERROR(IF(INDEX(MASTER!$Q$4:$Q$1463,$P69)="","",INDEX(MASTER!$Q$4:$Q$1463,$P69)),""))</f>
        <v>56</v>
      </c>
      <c r="N69" s="15" t="str">
        <f>IF($P69="","",IFERROR(IF(INDEX(MASTER!$S$4:$S$1463,$P69)="","",INDEX(MASTER!$S$4:$S$1463,$P69)),""))</f>
        <v>Complete</v>
      </c>
      <c r="P69">
        <f>IFERROR(MATCH($Q$1&amp;"@61",MASTER!$AC$4:$AC$1463,0),"")</f>
        <v>917</v>
      </c>
    </row>
    <row r="70" spans="1:16">
      <c r="A70" s="19">
        <f>IF($P70="","",62)</f>
        <v>62</v>
      </c>
      <c r="B70" s="18" t="str">
        <f>IF($P70="","",IFERROR(IF(INDEX(MASTER!$C$4:$C$1463,$P70)="","",INDEX(MASTER!$C$4:$C$1463,$P70)),""))</f>
        <v>ReVolution83</v>
      </c>
      <c r="C70" s="19" t="str">
        <f>IF($P70="","",IFERROR(IF(INDEX(MASTER!$D$4:$D$1463,$P70)="","",INDEX(MASTER!$D$4:$D$1463,$P70)),""))</f>
        <v>Acheron</v>
      </c>
      <c r="D70" s="19" t="str">
        <f>IF($P70="","",IFERROR(IF(INDEX(MASTER!$E$4:$E$1463,$P70)="","",INDEX(MASTER!$E$4:$E$1463,$P70)),""))</f>
        <v>BARBARIAN</v>
      </c>
      <c r="E70" s="19" t="str">
        <f>IF($P70="","",IFERROR(IF(INDEX(MASTER!$F$4:$F$1463,$P70)="","",INDEX(MASTER!$F$4:$F$1463,$P70)),""))</f>
        <v>Frontline</v>
      </c>
      <c r="F70" s="20">
        <f>IF($P70="","",IFERROR(IF(INDEX(MASTER!$G$4:$G$1463,$P70)="","",INDEX(MASTER!$G$4:$G$1463,$P70)),""))</f>
        <v>63404</v>
      </c>
      <c r="G70" s="19" t="str">
        <f>IF($P70="","",IFERROR(IF(INDEX(MASTER!$H$4:$H$1463,$P70)="","",INDEX(MASTER!$H$4:$H$1463,$P70)),""))</f>
        <v>63,000 - 63,999</v>
      </c>
      <c r="H70" s="20">
        <f>IF($P70="","",IFERROR(IF(INDEX(MASTER!$I$4:$I$1463,$P70)="","",INDEX(MASTER!$I$4:$I$1463,$P70)),""))</f>
        <v>5432</v>
      </c>
      <c r="I70" s="19" t="str">
        <f>IF($P70="","",IFERROR(IF(INDEX(MASTER!$J$4:$J$1463,$P70)="","",INDEX(MASTER!$J$4:$J$1463,$P70)),""))</f>
        <v>CORE</v>
      </c>
      <c r="J70" s="21">
        <f>IF($P70="","",IFERROR(IF(INDEX(MASTER!$L$4:$L$1463,$P70)="","",INDEX(MASTER!$L$4:$L$1463,$P70)),""))</f>
        <v>5.53</v>
      </c>
      <c r="K70" s="21">
        <f>IF($P70="","",IFERROR(IF(INDEX(MASTER!$N$4:$N$1463,$P70)="","",INDEX(MASTER!$N$4:$N$1463,$P70)),""))</f>
        <v>55</v>
      </c>
      <c r="L70" s="19" t="str">
        <f>IF($P70="","",IFERROR(IF(INDEX(MASTER!$O$4:$O$1463,$P70)="","",INDEX(MASTER!$O$4:$O$1463,$P70)),""))</f>
        <v>A</v>
      </c>
      <c r="M70" s="19">
        <f>IF($P70="","",IFERROR(IF(INDEX(MASTER!$Q$4:$Q$1463,$P70)="","",INDEX(MASTER!$Q$4:$Q$1463,$P70)),""))</f>
        <v>20</v>
      </c>
      <c r="N70" s="19" t="str">
        <f>IF($P70="","",IFERROR(IF(INDEX(MASTER!$S$4:$S$1463,$P70)="","",INDEX(MASTER!$S$4:$S$1463,$P70)),""))</f>
        <v>Complete</v>
      </c>
      <c r="P70">
        <f>IFERROR(MATCH($Q$1&amp;"@62",MASTER!$AC$4:$AC$1463,0),"")</f>
        <v>950</v>
      </c>
    </row>
    <row r="71" spans="1:16">
      <c r="A71" s="15">
        <f>IF($P71="","",63)</f>
        <v>63</v>
      </c>
      <c r="B71" s="14" t="str">
        <f>IF($P71="","",IFERROR(IF(INDEX(MASTER!$C$4:$C$1463,$P71)="","",INDEX(MASTER!$C$4:$C$1463,$P71)),""))</f>
        <v>Robo123</v>
      </c>
      <c r="C71" s="15" t="str">
        <f>IF($P71="","",IFERROR(IF(INDEX(MASTER!$D$4:$D$1463,$P71)="","",INDEX(MASTER!$D$4:$D$1463,$P71)),""))</f>
        <v>Acheron</v>
      </c>
      <c r="D71" s="15" t="str">
        <f>IF($P71="","",IFERROR(IF(INDEX(MASTER!$E$4:$E$1463,$P71)="","",INDEX(MASTER!$E$4:$E$1463,$P71)),""))</f>
        <v>WIZARD</v>
      </c>
      <c r="E71" s="15" t="str">
        <f>IF($P71="","",IFERROR(IF(INDEX(MASTER!$F$4:$F$1463,$P71)="","",INDEX(MASTER!$F$4:$F$1463,$P71)),""))</f>
        <v>Ranged DPS</v>
      </c>
      <c r="F71" s="16">
        <f>IF($P71="","",IFERROR(IF(INDEX(MASTER!$G$4:$G$1463,$P71)="","",INDEX(MASTER!$G$4:$G$1463,$P71)),""))</f>
        <v>62976</v>
      </c>
      <c r="G71" s="15" t="str">
        <f>IF($P71="","",IFERROR(IF(INDEX(MASTER!$H$4:$H$1463,$P71)="","",INDEX(MASTER!$H$4:$H$1463,$P71)),""))</f>
        <v>62,000 - 62,999</v>
      </c>
      <c r="H71" s="16">
        <f>IF($P71="","",IFERROR(IF(INDEX(MASTER!$I$4:$I$1463,$P71)="","",INDEX(MASTER!$I$4:$I$1463,$P71)),""))</f>
        <v>4019</v>
      </c>
      <c r="I71" s="15" t="str">
        <f>IF($P71="","",IFERROR(IF(INDEX(MASTER!$J$4:$J$1463,$P71)="","",INDEX(MASTER!$J$4:$J$1463,$P71)),""))</f>
        <v>CORE</v>
      </c>
      <c r="J71" s="17">
        <f>IF($P71="","",IFERROR(IF(INDEX(MASTER!$L$4:$L$1463,$P71)="","",INDEX(MASTER!$L$4:$L$1463,$P71)),""))</f>
        <v>5.27</v>
      </c>
      <c r="K71" s="17">
        <f>IF($P71="","",IFERROR(IF(INDEX(MASTER!$N$4:$N$1463,$P71)="","",INDEX(MASTER!$N$4:$N$1463,$P71)),""))</f>
        <v>47.3</v>
      </c>
      <c r="L71" s="15" t="str">
        <f>IF($P71="","",IFERROR(IF(INDEX(MASTER!$O$4:$O$1463,$P71)="","",INDEX(MASTER!$O$4:$O$1463,$P71)),""))</f>
        <v>B</v>
      </c>
      <c r="M71" s="15">
        <f>IF($P71="","",IFERROR(IF(INDEX(MASTER!$Q$4:$Q$1463,$P71)="","",INDEX(MASTER!$Q$4:$Q$1463,$P71)),""))</f>
        <v>44</v>
      </c>
      <c r="N71" s="15" t="str">
        <f>IF($P71="","",IFERROR(IF(INDEX(MASTER!$S$4:$S$1463,$P71)="","",INDEX(MASTER!$S$4:$S$1463,$P71)),""))</f>
        <v>Complete</v>
      </c>
      <c r="P71">
        <f>IFERROR(MATCH($Q$1&amp;"@63",MASTER!$AC$4:$AC$1463,0),"")</f>
        <v>956</v>
      </c>
    </row>
    <row r="72" spans="1:16">
      <c r="A72" s="19">
        <f>IF($P72="","",64)</f>
        <v>64</v>
      </c>
      <c r="B72" s="18" t="str">
        <f>IF($P72="","",IFERROR(IF(INDEX(MASTER!$C$4:$C$1463,$P72)="","",INDEX(MASTER!$C$4:$C$1463,$P72)),""))</f>
        <v>RyuzoSan</v>
      </c>
      <c r="C72" s="19" t="str">
        <f>IF($P72="","",IFERROR(IF(INDEX(MASTER!$D$4:$D$1463,$P72)="","",INDEX(MASTER!$D$4:$D$1463,$P72)),""))</f>
        <v>Acheron</v>
      </c>
      <c r="D72" s="19" t="str">
        <f>IF($P72="","",IFERROR(IF(INDEX(MASTER!$E$4:$E$1463,$P72)="","",INDEX(MASTER!$E$4:$E$1463,$P72)),""))</f>
        <v>BARBARIAN</v>
      </c>
      <c r="E72" s="19" t="str">
        <f>IF($P72="","",IFERROR(IF(INDEX(MASTER!$F$4:$F$1463,$P72)="","",INDEX(MASTER!$F$4:$F$1463,$P72)),""))</f>
        <v>Frontline</v>
      </c>
      <c r="F72" s="20">
        <f>IF($P72="","",IFERROR(IF(INDEX(MASTER!$G$4:$G$1463,$P72)="","",INDEX(MASTER!$G$4:$G$1463,$P72)),""))</f>
        <v>62787</v>
      </c>
      <c r="G72" s="19" t="str">
        <f>IF($P72="","",IFERROR(IF(INDEX(MASTER!$H$4:$H$1463,$P72)="","",INDEX(MASTER!$H$4:$H$1463,$P72)),""))</f>
        <v>62,000 - 62,999</v>
      </c>
      <c r="H72" s="20">
        <f>IF($P72="","",IFERROR(IF(INDEX(MASTER!$I$4:$I$1463,$P72)="","",INDEX(MASTER!$I$4:$I$1463,$P72)),""))</f>
        <v>4455</v>
      </c>
      <c r="I72" s="19" t="str">
        <f>IF($P72="","",IFERROR(IF(INDEX(MASTER!$J$4:$J$1463,$P72)="","",INDEX(MASTER!$J$4:$J$1463,$P72)),""))</f>
        <v>CORE</v>
      </c>
      <c r="J72" s="21">
        <f>IF($P72="","",IFERROR(IF(INDEX(MASTER!$L$4:$L$1463,$P72)="","",INDEX(MASTER!$L$4:$L$1463,$P72)),""))</f>
        <v>5.95</v>
      </c>
      <c r="K72" s="21">
        <f>IF($P72="","",IFERROR(IF(INDEX(MASTER!$N$4:$N$1463,$P72)="","",INDEX(MASTER!$N$4:$N$1463,$P72)),""))</f>
        <v>49.9</v>
      </c>
      <c r="L72" s="19" t="str">
        <f>IF($P72="","",IFERROR(IF(INDEX(MASTER!$O$4:$O$1463,$P72)="","",INDEX(MASTER!$O$4:$O$1463,$P72)),""))</f>
        <v>B</v>
      </c>
      <c r="M72" s="19">
        <f>IF($P72="","",IFERROR(IF(INDEX(MASTER!$Q$4:$Q$1463,$P72)="","",INDEX(MASTER!$Q$4:$Q$1463,$P72)),""))</f>
        <v>37</v>
      </c>
      <c r="N72" s="19" t="str">
        <f>IF($P72="","",IFERROR(IF(INDEX(MASTER!$S$4:$S$1463,$P72)="","",INDEX(MASTER!$S$4:$S$1463,$P72)),""))</f>
        <v>Complete</v>
      </c>
      <c r="P72">
        <f>IFERROR(MATCH($Q$1&amp;"@64",MASTER!$AC$4:$AC$1463,0),"")</f>
        <v>978</v>
      </c>
    </row>
    <row r="73" spans="1:16">
      <c r="A73" s="15">
        <f>IF($P73="","",65)</f>
        <v>65</v>
      </c>
      <c r="B73" s="14" t="str">
        <f>IF($P73="","",IFERROR(IF(INDEX(MASTER!$C$4:$C$1463,$P73)="","",INDEX(MASTER!$C$4:$C$1463,$P73)),""))</f>
        <v>S 工爪亡丹 S 工口</v>
      </c>
      <c r="C73" s="15" t="str">
        <f>IF($P73="","",IFERROR(IF(INDEX(MASTER!$D$4:$D$1463,$P73)="","",INDEX(MASTER!$D$4:$D$1463,$P73)),""))</f>
        <v>Acheron</v>
      </c>
      <c r="D73" s="15" t="str">
        <f>IF($P73="","",IFERROR(IF(INDEX(MASTER!$E$4:$E$1463,$P73)="","",INDEX(MASTER!$E$4:$E$1463,$P73)),""))</f>
        <v>WARLOCK</v>
      </c>
      <c r="E73" s="15" t="str">
        <f>IF($P73="","",IFERROR(IF(INDEX(MASTER!$F$4:$F$1463,$P73)="","",INDEX(MASTER!$F$4:$F$1463,$P73)),""))</f>
        <v>Control</v>
      </c>
      <c r="F73" s="16">
        <f>IF($P73="","",IFERROR(IF(INDEX(MASTER!$G$4:$G$1463,$P73)="","",INDEX(MASTER!$G$4:$G$1463,$P73)),""))</f>
        <v>62195</v>
      </c>
      <c r="G73" s="15" t="str">
        <f>IF($P73="","",IFERROR(IF(INDEX(MASTER!$H$4:$H$1463,$P73)="","",INDEX(MASTER!$H$4:$H$1463,$P73)),""))</f>
        <v>62,000 - 62,999</v>
      </c>
      <c r="H73" s="16">
        <f>IF($P73="","",IFERROR(IF(INDEX(MASTER!$I$4:$I$1463,$P73)="","",INDEX(MASTER!$I$4:$I$1463,$P73)),""))</f>
        <v>5232</v>
      </c>
      <c r="I73" s="15" t="str">
        <f>IF($P73="","",IFERROR(IF(INDEX(MASTER!$J$4:$J$1463,$P73)="","",INDEX(MASTER!$J$4:$J$1463,$P73)),""))</f>
        <v>CORE</v>
      </c>
      <c r="J73" s="17">
        <f>IF($P73="","",IFERROR(IF(INDEX(MASTER!$L$4:$L$1463,$P73)="","",INDEX(MASTER!$L$4:$L$1463,$P73)),""))</f>
        <v>5.65</v>
      </c>
      <c r="K73" s="17">
        <f>IF($P73="","",IFERROR(IF(INDEX(MASTER!$N$4:$N$1463,$P73)="","",INDEX(MASTER!$N$4:$N$1463,$P73)),""))</f>
        <v>51.2</v>
      </c>
      <c r="L73" s="15" t="str">
        <f>IF($P73="","",IFERROR(IF(INDEX(MASTER!$O$4:$O$1463,$P73)="","",INDEX(MASTER!$O$4:$O$1463,$P73)),""))</f>
        <v>A</v>
      </c>
      <c r="M73" s="15">
        <f>IF($P73="","",IFERROR(IF(INDEX(MASTER!$Q$4:$Q$1463,$P73)="","",INDEX(MASTER!$Q$4:$Q$1463,$P73)),""))</f>
        <v>23</v>
      </c>
      <c r="N73" s="15" t="str">
        <f>IF($P73="","",IFERROR(IF(INDEX(MASTER!$S$4:$S$1463,$P73)="","",INDEX(MASTER!$S$4:$S$1463,$P73)),""))</f>
        <v>Complete</v>
      </c>
      <c r="P73">
        <f>IFERROR(MATCH($Q$1&amp;"@65",MASTER!$AC$4:$AC$1463,0),"")</f>
        <v>980</v>
      </c>
    </row>
    <row r="74" spans="1:16">
      <c r="A74" s="19">
        <f>IF($P74="","",66)</f>
        <v>66</v>
      </c>
      <c r="B74" s="18" t="str">
        <f>IF($P74="","",IFERROR(IF(INDEX(MASTER!$C$4:$C$1463,$P74)="","",INDEX(MASTER!$C$4:$C$1463,$P74)),""))</f>
        <v>Shōgun</v>
      </c>
      <c r="C74" s="19" t="str">
        <f>IF($P74="","",IFERROR(IF(INDEX(MASTER!$D$4:$D$1463,$P74)="","",INDEX(MASTER!$D$4:$D$1463,$P74)),""))</f>
        <v>Acheron</v>
      </c>
      <c r="D74" s="19" t="str">
        <f>IF($P74="","",IFERROR(IF(INDEX(MASTER!$E$4:$E$1463,$P74)="","",INDEX(MASTER!$E$4:$E$1463,$P74)),""))</f>
        <v/>
      </c>
      <c r="E74" s="19" t="str">
        <f>IF($P74="","",IFERROR(IF(INDEX(MASTER!$F$4:$F$1463,$P74)="","",INDEX(MASTER!$F$4:$F$1463,$P74)),""))</f>
        <v>-</v>
      </c>
      <c r="F74" s="20" t="str">
        <f>IF($P74="","",IFERROR(IF(INDEX(MASTER!$G$4:$G$1463,$P74)="","",INDEX(MASTER!$G$4:$G$1463,$P74)),""))</f>
        <v/>
      </c>
      <c r="G74" s="19" t="str">
        <f>IF($P74="","",IFERROR(IF(INDEX(MASTER!$H$4:$H$1463,$P74)="","",INDEX(MASTER!$H$4:$H$1463,$P74)),""))</f>
        <v>-</v>
      </c>
      <c r="H74" s="20" t="str">
        <f>IF($P74="","",IFERROR(IF(INDEX(MASTER!$I$4:$I$1463,$P74)="","",INDEX(MASTER!$I$4:$I$1463,$P74)),""))</f>
        <v/>
      </c>
      <c r="I74" s="19" t="str">
        <f>IF($P74="","",IFERROR(IF(INDEX(MASTER!$J$4:$J$1463,$P74)="","",INDEX(MASTER!$J$4:$J$1463,$P74)),""))</f>
        <v>-</v>
      </c>
      <c r="J74" s="21" t="str">
        <f>IF($P74="","",IFERROR(IF(INDEX(MASTER!$L$4:$L$1463,$P74)="","",INDEX(MASTER!$L$4:$L$1463,$P74)),""))</f>
        <v/>
      </c>
      <c r="K74" s="21" t="str">
        <f>IF($P74="","",IFERROR(IF(INDEX(MASTER!$N$4:$N$1463,$P74)="","",INDEX(MASTER!$N$4:$N$1463,$P74)),""))</f>
        <v/>
      </c>
      <c r="L74" s="19" t="str">
        <f>IF($P74="","",IFERROR(IF(INDEX(MASTER!$O$4:$O$1463,$P74)="","",INDEX(MASTER!$O$4:$O$1463,$P74)),""))</f>
        <v>-</v>
      </c>
      <c r="M74" s="19">
        <f>IF($P74="","",IFERROR(IF(INDEX(MASTER!$Q$4:$Q$1463,$P74)="","",INDEX(MASTER!$Q$4:$Q$1463,$P74)),""))</f>
        <v>95</v>
      </c>
      <c r="N74" s="19" t="str">
        <f>IF($P74="","",IFERROR(IF(INDEX(MASTER!$S$4:$S$1463,$P74)="","",INDEX(MASTER!$S$4:$S$1463,$P74)),""))</f>
        <v>Name only</v>
      </c>
      <c r="P74">
        <f>IFERROR(MATCH($Q$1&amp;"@66",MASTER!$AC$4:$AC$1463,0),"")</f>
        <v>1014</v>
      </c>
    </row>
    <row r="75" spans="1:16">
      <c r="A75" s="15">
        <f>IF($P75="","",67)</f>
        <v>67</v>
      </c>
      <c r="B75" s="14" t="str">
        <f>IF($P75="","",IFERROR(IF(INDEX(MASTER!$C$4:$C$1463,$P75)="","",INDEX(MASTER!$C$4:$C$1463,$P75)),""))</f>
        <v>SisterCrow</v>
      </c>
      <c r="C75" s="15" t="str">
        <f>IF($P75="","",IFERROR(IF(INDEX(MASTER!$D$4:$D$1463,$P75)="","",INDEX(MASTER!$D$4:$D$1463,$P75)),""))</f>
        <v>Acheron</v>
      </c>
      <c r="D75" s="15" t="str">
        <f>IF($P75="","",IFERROR(IF(INDEX(MASTER!$E$4:$E$1463,$P75)="","",INDEX(MASTER!$E$4:$E$1463,$P75)),""))</f>
        <v>DEMON HUNTER</v>
      </c>
      <c r="E75" s="15" t="str">
        <f>IF($P75="","",IFERROR(IF(INDEX(MASTER!$F$4:$F$1463,$P75)="","",INDEX(MASTER!$F$4:$F$1463,$P75)),""))</f>
        <v>Ranged DPS</v>
      </c>
      <c r="F75" s="16">
        <f>IF($P75="","",IFERROR(IF(INDEX(MASTER!$G$4:$G$1463,$P75)="","",INDEX(MASTER!$G$4:$G$1463,$P75)),""))</f>
        <v>63306</v>
      </c>
      <c r="G75" s="15" t="str">
        <f>IF($P75="","",IFERROR(IF(INDEX(MASTER!$H$4:$H$1463,$P75)="","",INDEX(MASTER!$H$4:$H$1463,$P75)),""))</f>
        <v>63,000 - 63,999</v>
      </c>
      <c r="H75" s="16">
        <f>IF($P75="","",IFERROR(IF(INDEX(MASTER!$I$4:$I$1463,$P75)="","",INDEX(MASTER!$I$4:$I$1463,$P75)),""))</f>
        <v>4611</v>
      </c>
      <c r="I75" s="15" t="str">
        <f>IF($P75="","",IFERROR(IF(INDEX(MASTER!$J$4:$J$1463,$P75)="","",INDEX(MASTER!$J$4:$J$1463,$P75)),""))</f>
        <v>CORE</v>
      </c>
      <c r="J75" s="17">
        <f>IF($P75="","",IFERROR(IF(INDEX(MASTER!$L$4:$L$1463,$P75)="","",INDEX(MASTER!$L$4:$L$1463,$P75)),""))</f>
        <v>5.35</v>
      </c>
      <c r="K75" s="17">
        <f>IF($P75="","",IFERROR(IF(INDEX(MASTER!$N$4:$N$1463,$P75)="","",INDEX(MASTER!$N$4:$N$1463,$P75)),""))</f>
        <v>50.9</v>
      </c>
      <c r="L75" s="15" t="str">
        <f>IF($P75="","",IFERROR(IF(INDEX(MASTER!$O$4:$O$1463,$P75)="","",INDEX(MASTER!$O$4:$O$1463,$P75)),""))</f>
        <v>A</v>
      </c>
      <c r="M75" s="15">
        <f>IF($P75="","",IFERROR(IF(INDEX(MASTER!$Q$4:$Q$1463,$P75)="","",INDEX(MASTER!$Q$4:$Q$1463,$P75)),""))</f>
        <v>32</v>
      </c>
      <c r="N75" s="15" t="str">
        <f>IF($P75="","",IFERROR(IF(INDEX(MASTER!$S$4:$S$1463,$P75)="","",INDEX(MASTER!$S$4:$S$1463,$P75)),""))</f>
        <v>Complete</v>
      </c>
      <c r="P75">
        <f>IFERROR(MATCH($Q$1&amp;"@67",MASTER!$AC$4:$AC$1463,0),"")</f>
        <v>1029</v>
      </c>
    </row>
    <row r="76" spans="1:16">
      <c r="A76" s="19">
        <f>IF($P76="","",68)</f>
        <v>68</v>
      </c>
      <c r="B76" s="18" t="str">
        <f>IF($P76="","",IFERROR(IF(INDEX(MASTER!$C$4:$C$1463,$P76)="","",INDEX(MASTER!$C$4:$C$1463,$P76)),""))</f>
        <v>Sitina420</v>
      </c>
      <c r="C76" s="19" t="str">
        <f>IF($P76="","",IFERROR(IF(INDEX(MASTER!$D$4:$D$1463,$P76)="","",INDEX(MASTER!$D$4:$D$1463,$P76)),""))</f>
        <v>Acheron</v>
      </c>
      <c r="D76" s="19" t="str">
        <f>IF($P76="","",IFERROR(IF(INDEX(MASTER!$E$4:$E$1463,$P76)="","",INDEX(MASTER!$E$4:$E$1463,$P76)),""))</f>
        <v>WIZARD</v>
      </c>
      <c r="E76" s="19" t="str">
        <f>IF($P76="","",IFERROR(IF(INDEX(MASTER!$F$4:$F$1463,$P76)="","",INDEX(MASTER!$F$4:$F$1463,$P76)),""))</f>
        <v>Ranged DPS</v>
      </c>
      <c r="F76" s="20">
        <f>IF($P76="","",IFERROR(IF(INDEX(MASTER!$G$4:$G$1463,$P76)="","",INDEX(MASTER!$G$4:$G$1463,$P76)),""))</f>
        <v>61644</v>
      </c>
      <c r="G76" s="19" t="str">
        <f>IF($P76="","",IFERROR(IF(INDEX(MASTER!$H$4:$H$1463,$P76)="","",INDEX(MASTER!$H$4:$H$1463,$P76)),""))</f>
        <v>61,000 - 61,999</v>
      </c>
      <c r="H76" s="20">
        <f>IF($P76="","",IFERROR(IF(INDEX(MASTER!$I$4:$I$1463,$P76)="","",INDEX(MASTER!$I$4:$I$1463,$P76)),""))</f>
        <v>2410</v>
      </c>
      <c r="I76" s="19" t="str">
        <f>IF($P76="","",IFERROR(IF(INDEX(MASTER!$J$4:$J$1463,$P76)="","",INDEX(MASTER!$J$4:$J$1463,$P76)),""))</f>
        <v>DEVELOPING</v>
      </c>
      <c r="J76" s="21">
        <f>IF($P76="","",IFERROR(IF(INDEX(MASTER!$L$4:$L$1463,$P76)="","",INDEX(MASTER!$L$4:$L$1463,$P76)),""))</f>
        <v>3.97</v>
      </c>
      <c r="K76" s="21">
        <f>IF($P76="","",IFERROR(IF(INDEX(MASTER!$N$4:$N$1463,$P76)="","",INDEX(MASTER!$N$4:$N$1463,$P76)),""))</f>
        <v>34.6</v>
      </c>
      <c r="L76" s="19" t="str">
        <f>IF($P76="","",IFERROR(IF(INDEX(MASTER!$O$4:$O$1463,$P76)="","",INDEX(MASTER!$O$4:$O$1463,$P76)),""))</f>
        <v>C</v>
      </c>
      <c r="M76" s="19">
        <f>IF($P76="","",IFERROR(IF(INDEX(MASTER!$Q$4:$Q$1463,$P76)="","",INDEX(MASTER!$Q$4:$Q$1463,$P76)),""))</f>
        <v>80</v>
      </c>
      <c r="N76" s="19" t="str">
        <f>IF($P76="","",IFERROR(IF(INDEX(MASTER!$S$4:$S$1463,$P76)="","",INDEX(MASTER!$S$4:$S$1463,$P76)),""))</f>
        <v>Complete</v>
      </c>
      <c r="P76">
        <f>IFERROR(MATCH($Q$1&amp;"@68",MASTER!$AC$4:$AC$1463,0),"")</f>
        <v>1030</v>
      </c>
    </row>
    <row r="77" spans="1:16">
      <c r="A77" s="15">
        <f>IF($P77="","",69)</f>
        <v>69</v>
      </c>
      <c r="B77" s="14" t="str">
        <f>IF($P77="","",IFERROR(IF(INDEX(MASTER!$C$4:$C$1463,$P77)="","",INDEX(MASTER!$C$4:$C$1463,$P77)),""))</f>
        <v>Sölus</v>
      </c>
      <c r="C77" s="15" t="str">
        <f>IF($P77="","",IFERROR(IF(INDEX(MASTER!$D$4:$D$1463,$P77)="","",INDEX(MASTER!$D$4:$D$1463,$P77)),""))</f>
        <v>Acheron</v>
      </c>
      <c r="D77" s="15" t="str">
        <f>IF($P77="","",IFERROR(IF(INDEX(MASTER!$E$4:$E$1463,$P77)="","",INDEX(MASTER!$E$4:$E$1463,$P77)),""))</f>
        <v>BLOOD KNIGHT</v>
      </c>
      <c r="E77" s="15" t="str">
        <f>IF($P77="","",IFERROR(IF(INDEX(MASTER!$F$4:$F$1463,$P77)="","",INDEX(MASTER!$F$4:$F$1463,$P77)),""))</f>
        <v>Frontline</v>
      </c>
      <c r="F77" s="16">
        <f>IF($P77="","",IFERROR(IF(INDEX(MASTER!$G$4:$G$1463,$P77)="","",INDEX(MASTER!$G$4:$G$1463,$P77)),""))</f>
        <v>64165</v>
      </c>
      <c r="G77" s="15" t="str">
        <f>IF($P77="","",IFERROR(IF(INDEX(MASTER!$H$4:$H$1463,$P77)="","",INDEX(MASTER!$H$4:$H$1463,$P77)),""))</f>
        <v>64,000 +</v>
      </c>
      <c r="H77" s="16">
        <f>IF($P77="","",IFERROR(IF(INDEX(MASTER!$I$4:$I$1463,$P77)="","",INDEX(MASTER!$I$4:$I$1463,$P77)),""))</f>
        <v>10705</v>
      </c>
      <c r="I77" s="15" t="str">
        <f>IF($P77="","",IFERROR(IF(INDEX(MASTER!$J$4:$J$1463,$P77)="","",INDEX(MASTER!$J$4:$J$1463,$P77)),""))</f>
        <v>APEX</v>
      </c>
      <c r="J77" s="17">
        <f>IF($P77="","",IFERROR(IF(INDEX(MASTER!$L$4:$L$1463,$P77)="","",INDEX(MASTER!$L$4:$L$1463,$P77)),""))</f>
        <v>9.4</v>
      </c>
      <c r="K77" s="17">
        <f>IF($P77="","",IFERROR(IF(INDEX(MASTER!$N$4:$N$1463,$P77)="","",INDEX(MASTER!$N$4:$N$1463,$P77)),""))</f>
        <v>86.5</v>
      </c>
      <c r="L77" s="15" t="str">
        <f>IF($P77="","",IFERROR(IF(INDEX(MASTER!$O$4:$O$1463,$P77)="","",INDEX(MASTER!$O$4:$O$1463,$P77)),""))</f>
        <v>S+</v>
      </c>
      <c r="M77" s="15">
        <f>IF($P77="","",IFERROR(IF(INDEX(MASTER!$Q$4:$Q$1463,$P77)="","",INDEX(MASTER!$Q$4:$Q$1463,$P77)),""))</f>
        <v>1</v>
      </c>
      <c r="N77" s="15" t="str">
        <f>IF($P77="","",IFERROR(IF(INDEX(MASTER!$S$4:$S$1463,$P77)="","",INDEX(MASTER!$S$4:$S$1463,$P77)),""))</f>
        <v>Complete</v>
      </c>
      <c r="P77">
        <f>IFERROR(MATCH($Q$1&amp;"@69",MASTER!$AC$4:$AC$1463,0),"")</f>
        <v>1107</v>
      </c>
    </row>
    <row r="78" spans="1:16">
      <c r="A78" s="19">
        <f>IF($P78="","",70)</f>
        <v>70</v>
      </c>
      <c r="B78" s="18" t="str">
        <f>IF($P78="","",IFERROR(IF(INDEX(MASTER!$C$4:$C$1463,$P78)="","",INDEX(MASTER!$C$4:$C$1463,$P78)),""))</f>
        <v>SölusJr</v>
      </c>
      <c r="C78" s="19" t="str">
        <f>IF($P78="","",IFERROR(IF(INDEX(MASTER!$D$4:$D$1463,$P78)="","",INDEX(MASTER!$D$4:$D$1463,$P78)),""))</f>
        <v>Acheron</v>
      </c>
      <c r="D78" s="19" t="str">
        <f>IF($P78="","",IFERROR(IF(INDEX(MASTER!$E$4:$E$1463,$P78)="","",INDEX(MASTER!$E$4:$E$1463,$P78)),""))</f>
        <v>WARLOCK</v>
      </c>
      <c r="E78" s="19" t="str">
        <f>IF($P78="","",IFERROR(IF(INDEX(MASTER!$F$4:$F$1463,$P78)="","",INDEX(MASTER!$F$4:$F$1463,$P78)),""))</f>
        <v>Control</v>
      </c>
      <c r="F78" s="20">
        <f>IF($P78="","",IFERROR(IF(INDEX(MASTER!$G$4:$G$1463,$P78)="","",INDEX(MASTER!$G$4:$G$1463,$P78)),""))</f>
        <v>62666</v>
      </c>
      <c r="G78" s="19" t="str">
        <f>IF($P78="","",IFERROR(IF(INDEX(MASTER!$H$4:$H$1463,$P78)="","",INDEX(MASTER!$H$4:$H$1463,$P78)),""))</f>
        <v>62,000 - 62,999</v>
      </c>
      <c r="H78" s="20">
        <f>IF($P78="","",IFERROR(IF(INDEX(MASTER!$I$4:$I$1463,$P78)="","",INDEX(MASTER!$I$4:$I$1463,$P78)),""))</f>
        <v>3544</v>
      </c>
      <c r="I78" s="19" t="str">
        <f>IF($P78="","",IFERROR(IF(INDEX(MASTER!$J$4:$J$1463,$P78)="","",INDEX(MASTER!$J$4:$J$1463,$P78)),""))</f>
        <v>DEVELOPING</v>
      </c>
      <c r="J78" s="21">
        <f>IF($P78="","",IFERROR(IF(INDEX(MASTER!$L$4:$L$1463,$P78)="","",INDEX(MASTER!$L$4:$L$1463,$P78)),""))</f>
        <v>4.55</v>
      </c>
      <c r="K78" s="21">
        <f>IF($P78="","",IFERROR(IF(INDEX(MASTER!$N$4:$N$1463,$P78)="","",INDEX(MASTER!$N$4:$N$1463,$P78)),""))</f>
        <v>43.2</v>
      </c>
      <c r="L78" s="19" t="str">
        <f>IF($P78="","",IFERROR(IF(INDEX(MASTER!$O$4:$O$1463,$P78)="","",INDEX(MASTER!$O$4:$O$1463,$P78)),""))</f>
        <v>B</v>
      </c>
      <c r="M78" s="19">
        <f>IF($P78="","",IFERROR(IF(INDEX(MASTER!$Q$4:$Q$1463,$P78)="","",INDEX(MASTER!$Q$4:$Q$1463,$P78)),""))</f>
        <v>51</v>
      </c>
      <c r="N78" s="19" t="str">
        <f>IF($P78="","",IFERROR(IF(INDEX(MASTER!$S$4:$S$1463,$P78)="","",INDEX(MASTER!$S$4:$S$1463,$P78)),""))</f>
        <v>Complete</v>
      </c>
      <c r="P78">
        <f>IFERROR(MATCH($Q$1&amp;"@70",MASTER!$AC$4:$AC$1463,0),"")</f>
        <v>1108</v>
      </c>
    </row>
    <row r="79" spans="1:16">
      <c r="A79" s="15">
        <f>IF($P79="","",71)</f>
        <v>71</v>
      </c>
      <c r="B79" s="14" t="str">
        <f>IF($P79="","",IFERROR(IF(INDEX(MASTER!$C$4:$C$1463,$P79)="","",INDEX(MASTER!$C$4:$C$1463,$P79)),""))</f>
        <v>Soybeans</v>
      </c>
      <c r="C79" s="15" t="str">
        <f>IF($P79="","",IFERROR(IF(INDEX(MASTER!$D$4:$D$1463,$P79)="","",INDEX(MASTER!$D$4:$D$1463,$P79)),""))</f>
        <v>Acheron</v>
      </c>
      <c r="D79" s="15" t="str">
        <f>IF($P79="","",IFERROR(IF(INDEX(MASTER!$E$4:$E$1463,$P79)="","",INDEX(MASTER!$E$4:$E$1463,$P79)),""))</f>
        <v>NECROMANCER</v>
      </c>
      <c r="E79" s="15" t="str">
        <f>IF($P79="","",IFERROR(IF(INDEX(MASTER!$F$4:$F$1463,$P79)="","",INDEX(MASTER!$F$4:$F$1463,$P79)),""))</f>
        <v>Control</v>
      </c>
      <c r="F79" s="16">
        <f>IF($P79="","",IFERROR(IF(INDEX(MASTER!$G$4:$G$1463,$P79)="","",INDEX(MASTER!$G$4:$G$1463,$P79)),""))</f>
        <v>62158</v>
      </c>
      <c r="G79" s="15" t="str">
        <f>IF($P79="","",IFERROR(IF(INDEX(MASTER!$H$4:$H$1463,$P79)="","",INDEX(MASTER!$H$4:$H$1463,$P79)),""))</f>
        <v>62,000 - 62,999</v>
      </c>
      <c r="H79" s="16">
        <f>IF($P79="","",IFERROR(IF(INDEX(MASTER!$I$4:$I$1463,$P79)="","",INDEX(MASTER!$I$4:$I$1463,$P79)),""))</f>
        <v>2030</v>
      </c>
      <c r="I79" s="15" t="str">
        <f>IF($P79="","",IFERROR(IF(INDEX(MASTER!$J$4:$J$1463,$P79)="","",INDEX(MASTER!$J$4:$J$1463,$P79)),""))</f>
        <v>DEVELOPING</v>
      </c>
      <c r="J79" s="17">
        <f>IF($P79="","",IFERROR(IF(INDEX(MASTER!$L$4:$L$1463,$P79)="","",INDEX(MASTER!$L$4:$L$1463,$P79)),""))</f>
        <v>4.7</v>
      </c>
      <c r="K79" s="17">
        <f>IF($P79="","",IFERROR(IF(INDEX(MASTER!$N$4:$N$1463,$P79)="","",INDEX(MASTER!$N$4:$N$1463,$P79)),""))</f>
        <v>35.5</v>
      </c>
      <c r="L79" s="15" t="str">
        <f>IF($P79="","",IFERROR(IF(INDEX(MASTER!$O$4:$O$1463,$P79)="","",INDEX(MASTER!$O$4:$O$1463,$P79)),""))</f>
        <v>B</v>
      </c>
      <c r="M79" s="15">
        <f>IF($P79="","",IFERROR(IF(INDEX(MASTER!$Q$4:$Q$1463,$P79)="","",INDEX(MASTER!$Q$4:$Q$1463,$P79)),""))</f>
        <v>85</v>
      </c>
      <c r="N79" s="15" t="str">
        <f>IF($P79="","",IFERROR(IF(INDEX(MASTER!$S$4:$S$1463,$P79)="","",INDEX(MASTER!$S$4:$S$1463,$P79)),""))</f>
        <v>Complete</v>
      </c>
      <c r="P79">
        <f>IFERROR(MATCH($Q$1&amp;"@71",MASTER!$AC$4:$AC$1463,0),"")</f>
        <v>1061</v>
      </c>
    </row>
    <row r="80" spans="1:16">
      <c r="A80" s="19">
        <f>IF($P80="","",72)</f>
        <v>72</v>
      </c>
      <c r="B80" s="18" t="str">
        <f>IF($P80="","",IFERROR(IF(INDEX(MASTER!$C$4:$C$1463,$P80)="","",INDEX(MASTER!$C$4:$C$1463,$P80)),""))</f>
        <v>SsTiNgEr77</v>
      </c>
      <c r="C80" s="19" t="str">
        <f>IF($P80="","",IFERROR(IF(INDEX(MASTER!$D$4:$D$1463,$P80)="","",INDEX(MASTER!$D$4:$D$1463,$P80)),""))</f>
        <v>Acheron</v>
      </c>
      <c r="D80" s="19" t="str">
        <f>IF($P80="","",IFERROR(IF(INDEX(MASTER!$E$4:$E$1463,$P80)="","",INDEX(MASTER!$E$4:$E$1463,$P80)),""))</f>
        <v>WIZARD</v>
      </c>
      <c r="E80" s="19" t="str">
        <f>IF($P80="","",IFERROR(IF(INDEX(MASTER!$F$4:$F$1463,$P80)="","",INDEX(MASTER!$F$4:$F$1463,$P80)),""))</f>
        <v>Ranged DPS</v>
      </c>
      <c r="F80" s="20">
        <f>IF($P80="","",IFERROR(IF(INDEX(MASTER!$G$4:$G$1463,$P80)="","",INDEX(MASTER!$G$4:$G$1463,$P80)),""))</f>
        <v>63156</v>
      </c>
      <c r="G80" s="19" t="str">
        <f>IF($P80="","",IFERROR(IF(INDEX(MASTER!$H$4:$H$1463,$P80)="","",INDEX(MASTER!$H$4:$H$1463,$P80)),""))</f>
        <v>63,000 - 63,999</v>
      </c>
      <c r="H80" s="20">
        <f>IF($P80="","",IFERROR(IF(INDEX(MASTER!$I$4:$I$1463,$P80)="","",INDEX(MASTER!$I$4:$I$1463,$P80)),""))</f>
        <v>7497</v>
      </c>
      <c r="I80" s="19" t="str">
        <f>IF($P80="","",IFERROR(IF(INDEX(MASTER!$J$4:$J$1463,$P80)="","",INDEX(MASTER!$J$4:$J$1463,$P80)),""))</f>
        <v>VETERAN</v>
      </c>
      <c r="J80" s="21">
        <f>IF($P80="","",IFERROR(IF(INDEX(MASTER!$L$4:$L$1463,$P80)="","",INDEX(MASTER!$L$4:$L$1463,$P80)),""))</f>
        <v>8.1</v>
      </c>
      <c r="K80" s="21">
        <f>IF($P80="","",IFERROR(IF(INDEX(MASTER!$N$4:$N$1463,$P80)="","",INDEX(MASTER!$N$4:$N$1463,$P80)),""))</f>
        <v>67.7</v>
      </c>
      <c r="L80" s="19" t="str">
        <f>IF($P80="","",IFERROR(IF(INDEX(MASTER!$O$4:$O$1463,$P80)="","",INDEX(MASTER!$O$4:$O$1463,$P80)),""))</f>
        <v>S</v>
      </c>
      <c r="M80" s="19">
        <f>IF($P80="","",IFERROR(IF(INDEX(MASTER!$Q$4:$Q$1463,$P80)="","",INDEX(MASTER!$Q$4:$Q$1463,$P80)),""))</f>
        <v>7</v>
      </c>
      <c r="N80" s="19" t="str">
        <f>IF($P80="","",IFERROR(IF(INDEX(MASTER!$S$4:$S$1463,$P80)="","",INDEX(MASTER!$S$4:$S$1463,$P80)),""))</f>
        <v>Complete</v>
      </c>
      <c r="P80">
        <f>IFERROR(MATCH($Q$1&amp;"@72",MASTER!$AC$4:$AC$1463,0),"")</f>
        <v>1072</v>
      </c>
    </row>
    <row r="81" spans="1:16">
      <c r="A81" s="15">
        <f>IF($P81="","",73)</f>
        <v>73</v>
      </c>
      <c r="B81" s="14" t="str">
        <f>IF($P81="","",IFERROR(IF(INDEX(MASTER!$C$4:$C$1463,$P81)="","",INDEX(MASTER!$C$4:$C$1463,$P81)),""))</f>
        <v>Styxborn</v>
      </c>
      <c r="C81" s="15" t="str">
        <f>IF($P81="","",IFERROR(IF(INDEX(MASTER!$D$4:$D$1463,$P81)="","",INDEX(MASTER!$D$4:$D$1463,$P81)),""))</f>
        <v>Acheron</v>
      </c>
      <c r="D81" s="15" t="str">
        <f>IF($P81="","",IFERROR(IF(INDEX(MASTER!$E$4:$E$1463,$P81)="","",INDEX(MASTER!$E$4:$E$1463,$P81)),""))</f>
        <v>DEMON HUNTER</v>
      </c>
      <c r="E81" s="15" t="str">
        <f>IF($P81="","",IFERROR(IF(INDEX(MASTER!$F$4:$F$1463,$P81)="","",INDEX(MASTER!$F$4:$F$1463,$P81)),""))</f>
        <v>Ranged DPS</v>
      </c>
      <c r="F81" s="16">
        <f>IF($P81="","",IFERROR(IF(INDEX(MASTER!$G$4:$G$1463,$P81)="","",INDEX(MASTER!$G$4:$G$1463,$P81)),""))</f>
        <v>63356</v>
      </c>
      <c r="G81" s="15" t="str">
        <f>IF($P81="","",IFERROR(IF(INDEX(MASTER!$H$4:$H$1463,$P81)="","",INDEX(MASTER!$H$4:$H$1463,$P81)),""))</f>
        <v>63,000 - 63,999</v>
      </c>
      <c r="H81" s="16">
        <f>IF($P81="","",IFERROR(IF(INDEX(MASTER!$I$4:$I$1463,$P81)="","",INDEX(MASTER!$I$4:$I$1463,$P81)),""))</f>
        <v>4613</v>
      </c>
      <c r="I81" s="15" t="str">
        <f>IF($P81="","",IFERROR(IF(INDEX(MASTER!$J$4:$J$1463,$P81)="","",INDEX(MASTER!$J$4:$J$1463,$P81)),""))</f>
        <v>CORE</v>
      </c>
      <c r="J81" s="17">
        <f>IF($P81="","",IFERROR(IF(INDEX(MASTER!$L$4:$L$1463,$P81)="","",INDEX(MASTER!$L$4:$L$1463,$P81)),""))</f>
        <v>5.15</v>
      </c>
      <c r="K81" s="17">
        <f>IF($P81="","",IFERROR(IF(INDEX(MASTER!$N$4:$N$1463,$P81)="","",INDEX(MASTER!$N$4:$N$1463,$P81)),""))</f>
        <v>50.7</v>
      </c>
      <c r="L81" s="15" t="str">
        <f>IF($P81="","",IFERROR(IF(INDEX(MASTER!$O$4:$O$1463,$P81)="","",INDEX(MASTER!$O$4:$O$1463,$P81)),""))</f>
        <v>A</v>
      </c>
      <c r="M81" s="15">
        <f>IF($P81="","",IFERROR(IF(INDEX(MASTER!$Q$4:$Q$1463,$P81)="","",INDEX(MASTER!$Q$4:$Q$1463,$P81)),""))</f>
        <v>31</v>
      </c>
      <c r="N81" s="15" t="str">
        <f>IF($P81="","",IFERROR(IF(INDEX(MASTER!$S$4:$S$1463,$P81)="","",INDEX(MASTER!$S$4:$S$1463,$P81)),""))</f>
        <v>Complete</v>
      </c>
      <c r="P81">
        <f>IFERROR(MATCH($Q$1&amp;"@73",MASTER!$AC$4:$AC$1463,0),"")</f>
        <v>1085</v>
      </c>
    </row>
    <row r="82" spans="1:16">
      <c r="A82" s="19">
        <f>IF($P82="","",74)</f>
        <v>74</v>
      </c>
      <c r="B82" s="18" t="str">
        <f>IF($P82="","",IFERROR(IF(INDEX(MASTER!$C$4:$C$1463,$P82)="","",INDEX(MASTER!$C$4:$C$1463,$P82)),""))</f>
        <v>Sunkiss</v>
      </c>
      <c r="C82" s="19" t="str">
        <f>IF($P82="","",IFERROR(IF(INDEX(MASTER!$D$4:$D$1463,$P82)="","",INDEX(MASTER!$D$4:$D$1463,$P82)),""))</f>
        <v>Acheron</v>
      </c>
      <c r="D82" s="19" t="str">
        <f>IF($P82="","",IFERROR(IF(INDEX(MASTER!$E$4:$E$1463,$P82)="","",INDEX(MASTER!$E$4:$E$1463,$P82)),""))</f>
        <v>DRUID</v>
      </c>
      <c r="E82" s="19" t="str">
        <f>IF($P82="","",IFERROR(IF(INDEX(MASTER!$F$4:$F$1463,$P82)="","",INDEX(MASTER!$F$4:$F$1463,$P82)),""))</f>
        <v>Support</v>
      </c>
      <c r="F82" s="20">
        <f>IF($P82="","",IFERROR(IF(INDEX(MASTER!$G$4:$G$1463,$P82)="","",INDEX(MASTER!$G$4:$G$1463,$P82)),""))</f>
        <v>62593</v>
      </c>
      <c r="G82" s="19" t="str">
        <f>IF($P82="","",IFERROR(IF(INDEX(MASTER!$H$4:$H$1463,$P82)="","",INDEX(MASTER!$H$4:$H$1463,$P82)),""))</f>
        <v>62,000 - 62,999</v>
      </c>
      <c r="H82" s="20">
        <f>IF($P82="","",IFERROR(IF(INDEX(MASTER!$I$4:$I$1463,$P82)="","",INDEX(MASTER!$I$4:$I$1463,$P82)),""))</f>
        <v>2276</v>
      </c>
      <c r="I82" s="19" t="str">
        <f>IF($P82="","",IFERROR(IF(INDEX(MASTER!$J$4:$J$1463,$P82)="","",INDEX(MASTER!$J$4:$J$1463,$P82)),""))</f>
        <v>DEVELOPING</v>
      </c>
      <c r="J82" s="21">
        <f>IF($P82="","",IFERROR(IF(INDEX(MASTER!$L$4:$L$1463,$P82)="","",INDEX(MASTER!$L$4:$L$1463,$P82)),""))</f>
        <v>3.65</v>
      </c>
      <c r="K82" s="21">
        <f>IF($P82="","",IFERROR(IF(INDEX(MASTER!$N$4:$N$1463,$P82)="","",INDEX(MASTER!$N$4:$N$1463,$P82)),""))</f>
        <v>36</v>
      </c>
      <c r="L82" s="19" t="str">
        <f>IF($P82="","",IFERROR(IF(INDEX(MASTER!$O$4:$O$1463,$P82)="","",INDEX(MASTER!$O$4:$O$1463,$P82)),""))</f>
        <v>B</v>
      </c>
      <c r="M82" s="19">
        <f>IF($P82="","",IFERROR(IF(INDEX(MASTER!$Q$4:$Q$1463,$P82)="","",INDEX(MASTER!$Q$4:$Q$1463,$P82)),""))</f>
        <v>81</v>
      </c>
      <c r="N82" s="19" t="str">
        <f>IF($P82="","",IFERROR(IF(INDEX(MASTER!$S$4:$S$1463,$P82)="","",INDEX(MASTER!$S$4:$S$1463,$P82)),""))</f>
        <v>Complete</v>
      </c>
      <c r="P82">
        <f>IFERROR(MATCH($Q$1&amp;"@74",MASTER!$AC$4:$AC$1463,0),"")</f>
        <v>1094</v>
      </c>
    </row>
    <row r="83" spans="1:16">
      <c r="A83" s="15">
        <f>IF($P83="","",75)</f>
        <v>75</v>
      </c>
      <c r="B83" s="14" t="str">
        <f>IF($P83="","",IFERROR(IF(INDEX(MASTER!$C$4:$C$1463,$P83)="","",INDEX(MASTER!$C$4:$C$1463,$P83)),""))</f>
        <v>SwiftEagle</v>
      </c>
      <c r="C83" s="15" t="str">
        <f>IF($P83="","",IFERROR(IF(INDEX(MASTER!$D$4:$D$1463,$P83)="","",INDEX(MASTER!$D$4:$D$1463,$P83)),""))</f>
        <v>Acheron</v>
      </c>
      <c r="D83" s="15" t="str">
        <f>IF($P83="","",IFERROR(IF(INDEX(MASTER!$E$4:$E$1463,$P83)="","",INDEX(MASTER!$E$4:$E$1463,$P83)),""))</f>
        <v>DEMON HUNTER</v>
      </c>
      <c r="E83" s="15" t="str">
        <f>IF($P83="","",IFERROR(IF(INDEX(MASTER!$F$4:$F$1463,$P83)="","",INDEX(MASTER!$F$4:$F$1463,$P83)),""))</f>
        <v>Ranged DPS</v>
      </c>
      <c r="F83" s="16">
        <f>IF($P83="","",IFERROR(IF(INDEX(MASTER!$G$4:$G$1463,$P83)="","",INDEX(MASTER!$G$4:$G$1463,$P83)),""))</f>
        <v>64111</v>
      </c>
      <c r="G83" s="15" t="str">
        <f>IF($P83="","",IFERROR(IF(INDEX(MASTER!$H$4:$H$1463,$P83)="","",INDEX(MASTER!$H$4:$H$1463,$P83)),""))</f>
        <v>64,000 +</v>
      </c>
      <c r="H83" s="16">
        <f>IF($P83="","",IFERROR(IF(INDEX(MASTER!$I$4:$I$1463,$P83)="","",INDEX(MASTER!$I$4:$I$1463,$P83)),""))</f>
        <v>8735</v>
      </c>
      <c r="I83" s="15" t="str">
        <f>IF($P83="","",IFERROR(IF(INDEX(MASTER!$J$4:$J$1463,$P83)="","",INDEX(MASTER!$J$4:$J$1463,$P83)),""))</f>
        <v>ELITE</v>
      </c>
      <c r="J83" s="17">
        <f>IF($P83="","",IFERROR(IF(INDEX(MASTER!$L$4:$L$1463,$P83)="","",INDEX(MASTER!$L$4:$L$1463,$P83)),""))</f>
        <v>5.55</v>
      </c>
      <c r="K83" s="17">
        <f>IF($P83="","",IFERROR(IF(INDEX(MASTER!$N$4:$N$1463,$P83)="","",INDEX(MASTER!$N$4:$N$1463,$P83)),""))</f>
        <v>71.400000000000006</v>
      </c>
      <c r="L83" s="15" t="str">
        <f>IF($P83="","",IFERROR(IF(INDEX(MASTER!$O$4:$O$1463,$P83)="","",INDEX(MASTER!$O$4:$O$1463,$P83)),""))</f>
        <v>S</v>
      </c>
      <c r="M83" s="15">
        <f>IF($P83="","",IFERROR(IF(INDEX(MASTER!$Q$4:$Q$1463,$P83)="","",INDEX(MASTER!$Q$4:$Q$1463,$P83)),""))</f>
        <v>4</v>
      </c>
      <c r="N83" s="15" t="str">
        <f>IF($P83="","",IFERROR(IF(INDEX(MASTER!$S$4:$S$1463,$P83)="","",INDEX(MASTER!$S$4:$S$1463,$P83)),""))</f>
        <v>Complete</v>
      </c>
      <c r="P83">
        <f>IFERROR(MATCH($Q$1&amp;"@75",MASTER!$AC$4:$AC$1463,0),"")</f>
        <v>1100</v>
      </c>
    </row>
    <row r="84" spans="1:16">
      <c r="A84" s="19">
        <f>IF($P84="","",76)</f>
        <v>76</v>
      </c>
      <c r="B84" s="18" t="str">
        <f>IF($P84="","",IFERROR(IF(INDEX(MASTER!$C$4:$C$1463,$P84)="","",INDEX(MASTER!$C$4:$C$1463,$P84)),""))</f>
        <v>Tamzen</v>
      </c>
      <c r="C84" s="19" t="str">
        <f>IF($P84="","",IFERROR(IF(INDEX(MASTER!$D$4:$D$1463,$P84)="","",INDEX(MASTER!$D$4:$D$1463,$P84)),""))</f>
        <v>Acheron</v>
      </c>
      <c r="D84" s="19" t="str">
        <f>IF($P84="","",IFERROR(IF(INDEX(MASTER!$E$4:$E$1463,$P84)="","",INDEX(MASTER!$E$4:$E$1463,$P84)),""))</f>
        <v>DEMON HUNTER</v>
      </c>
      <c r="E84" s="19" t="str">
        <f>IF($P84="","",IFERROR(IF(INDEX(MASTER!$F$4:$F$1463,$P84)="","",INDEX(MASTER!$F$4:$F$1463,$P84)),""))</f>
        <v>Ranged DPS</v>
      </c>
      <c r="F84" s="20">
        <f>IF($P84="","",IFERROR(IF(INDEX(MASTER!$G$4:$G$1463,$P84)="","",INDEX(MASTER!$G$4:$G$1463,$P84)),""))</f>
        <v>61441</v>
      </c>
      <c r="G84" s="19" t="str">
        <f>IF($P84="","",IFERROR(IF(INDEX(MASTER!$H$4:$H$1463,$P84)="","",INDEX(MASTER!$H$4:$H$1463,$P84)),""))</f>
        <v>61,000 - 61,999</v>
      </c>
      <c r="H84" s="20">
        <f>IF($P84="","",IFERROR(IF(INDEX(MASTER!$I$4:$I$1463,$P84)="","",INDEX(MASTER!$I$4:$I$1463,$P84)),""))</f>
        <v>2828</v>
      </c>
      <c r="I84" s="19" t="str">
        <f>IF($P84="","",IFERROR(IF(INDEX(MASTER!$J$4:$J$1463,$P84)="","",INDEX(MASTER!$J$4:$J$1463,$P84)),""))</f>
        <v>DEVELOPING</v>
      </c>
      <c r="J84" s="21">
        <f>IF($P84="","",IFERROR(IF(INDEX(MASTER!$L$4:$L$1463,$P84)="","",INDEX(MASTER!$L$4:$L$1463,$P84)),""))</f>
        <v>4.67</v>
      </c>
      <c r="K84" s="21">
        <f>IF($P84="","",IFERROR(IF(INDEX(MASTER!$N$4:$N$1463,$P84)="","",INDEX(MASTER!$N$4:$N$1463,$P84)),""))</f>
        <v>37.1</v>
      </c>
      <c r="L84" s="19" t="str">
        <f>IF($P84="","",IFERROR(IF(INDEX(MASTER!$O$4:$O$1463,$P84)="","",INDEX(MASTER!$O$4:$O$1463,$P84)),""))</f>
        <v>B</v>
      </c>
      <c r="M84" s="19">
        <f>IF($P84="","",IFERROR(IF(INDEX(MASTER!$Q$4:$Q$1463,$P84)="","",INDEX(MASTER!$Q$4:$Q$1463,$P84)),""))</f>
        <v>72</v>
      </c>
      <c r="N84" s="19" t="str">
        <f>IF($P84="","",IFERROR(IF(INDEX(MASTER!$S$4:$S$1463,$P84)="","",INDEX(MASTER!$S$4:$S$1463,$P84)),""))</f>
        <v>Complete</v>
      </c>
      <c r="P84">
        <f>IFERROR(MATCH($Q$1&amp;"@76",MASTER!$AC$4:$AC$1463,0),"")</f>
        <v>1116</v>
      </c>
    </row>
    <row r="85" spans="1:16">
      <c r="A85" s="15">
        <f>IF($P85="","",77)</f>
        <v>77</v>
      </c>
      <c r="B85" s="14" t="str">
        <f>IF($P85="","",IFERROR(IF(INDEX(MASTER!$C$4:$C$1463,$P85)="","",INDEX(MASTER!$C$4:$C$1463,$P85)),""))</f>
        <v>TerrisBlack</v>
      </c>
      <c r="C85" s="15" t="str">
        <f>IF($P85="","",IFERROR(IF(INDEX(MASTER!$D$4:$D$1463,$P85)="","",INDEX(MASTER!$D$4:$D$1463,$P85)),""))</f>
        <v>Acheron</v>
      </c>
      <c r="D85" s="15" t="str">
        <f>IF($P85="","",IFERROR(IF(INDEX(MASTER!$E$4:$E$1463,$P85)="","",INDEX(MASTER!$E$4:$E$1463,$P85)),""))</f>
        <v>NECROMANCER</v>
      </c>
      <c r="E85" s="15" t="str">
        <f>IF($P85="","",IFERROR(IF(INDEX(MASTER!$F$4:$F$1463,$P85)="","",INDEX(MASTER!$F$4:$F$1463,$P85)),""))</f>
        <v>Control</v>
      </c>
      <c r="F85" s="16">
        <f>IF($P85="","",IFERROR(IF(INDEX(MASTER!$G$4:$G$1463,$P85)="","",INDEX(MASTER!$G$4:$G$1463,$P85)),""))</f>
        <v>62459</v>
      </c>
      <c r="G85" s="15" t="str">
        <f>IF($P85="","",IFERROR(IF(INDEX(MASTER!$H$4:$H$1463,$P85)="","",INDEX(MASTER!$H$4:$H$1463,$P85)),""))</f>
        <v>62,000 - 62,999</v>
      </c>
      <c r="H85" s="16">
        <f>IF($P85="","",IFERROR(IF(INDEX(MASTER!$I$4:$I$1463,$P85)="","",INDEX(MASTER!$I$4:$I$1463,$P85)),""))</f>
        <v>2544</v>
      </c>
      <c r="I85" s="15" t="str">
        <f>IF($P85="","",IFERROR(IF(INDEX(MASTER!$J$4:$J$1463,$P85)="","",INDEX(MASTER!$J$4:$J$1463,$P85)),""))</f>
        <v>DEVELOPING</v>
      </c>
      <c r="J85" s="17">
        <f>IF($P85="","",IFERROR(IF(INDEX(MASTER!$L$4:$L$1463,$P85)="","",INDEX(MASTER!$L$4:$L$1463,$P85)),""))</f>
        <v>5.3</v>
      </c>
      <c r="K85" s="17">
        <f>IF($P85="","",IFERROR(IF(INDEX(MASTER!$N$4:$N$1463,$P85)="","",INDEX(MASTER!$N$4:$N$1463,$P85)),""))</f>
        <v>39.6</v>
      </c>
      <c r="L85" s="15" t="str">
        <f>IF($P85="","",IFERROR(IF(INDEX(MASTER!$O$4:$O$1463,$P85)="","",INDEX(MASTER!$O$4:$O$1463,$P85)),""))</f>
        <v>B</v>
      </c>
      <c r="M85" s="15">
        <f>IF($P85="","",IFERROR(IF(INDEX(MASTER!$Q$4:$Q$1463,$P85)="","",INDEX(MASTER!$Q$4:$Q$1463,$P85)),""))</f>
        <v>77</v>
      </c>
      <c r="N85" s="15" t="str">
        <f>IF($P85="","",IFERROR(IF(INDEX(MASTER!$S$4:$S$1463,$P85)="","",INDEX(MASTER!$S$4:$S$1463,$P85)),""))</f>
        <v>Complete</v>
      </c>
      <c r="P85">
        <f>IFERROR(MATCH($Q$1&amp;"@77",MASTER!$AC$4:$AC$1463,0),"")</f>
        <v>1129</v>
      </c>
    </row>
    <row r="86" spans="1:16">
      <c r="A86" s="19">
        <f>IF($P86="","",78)</f>
        <v>78</v>
      </c>
      <c r="B86" s="18" t="str">
        <f>IF($P86="","",IFERROR(IF(INDEX(MASTER!$C$4:$C$1463,$P86)="","",INDEX(MASTER!$C$4:$C$1463,$P86)),""))</f>
        <v>TheRevan</v>
      </c>
      <c r="C86" s="19" t="str">
        <f>IF($P86="","",IFERROR(IF(INDEX(MASTER!$D$4:$D$1463,$P86)="","",INDEX(MASTER!$D$4:$D$1463,$P86)),""))</f>
        <v>Acheron</v>
      </c>
      <c r="D86" s="19" t="str">
        <f>IF($P86="","",IFERROR(IF(INDEX(MASTER!$E$4:$E$1463,$P86)="","",INDEX(MASTER!$E$4:$E$1463,$P86)),""))</f>
        <v>BLOOD KNIGHT</v>
      </c>
      <c r="E86" s="19" t="str">
        <f>IF($P86="","",IFERROR(IF(INDEX(MASTER!$F$4:$F$1463,$P86)="","",INDEX(MASTER!$F$4:$F$1463,$P86)),""))</f>
        <v>Frontline</v>
      </c>
      <c r="F86" s="20">
        <f>IF($P86="","",IFERROR(IF(INDEX(MASTER!$G$4:$G$1463,$P86)="","",INDEX(MASTER!$G$4:$G$1463,$P86)),""))</f>
        <v>62171</v>
      </c>
      <c r="G86" s="19" t="str">
        <f>IF($P86="","",IFERROR(IF(INDEX(MASTER!$H$4:$H$1463,$P86)="","",INDEX(MASTER!$H$4:$H$1463,$P86)),""))</f>
        <v>62,000 - 62,999</v>
      </c>
      <c r="H86" s="20">
        <f>IF($P86="","",IFERROR(IF(INDEX(MASTER!$I$4:$I$1463,$P86)="","",INDEX(MASTER!$I$4:$I$1463,$P86)),""))</f>
        <v>7221</v>
      </c>
      <c r="I86" s="19" t="str">
        <f>IF($P86="","",IFERROR(IF(INDEX(MASTER!$J$4:$J$1463,$P86)="","",INDEX(MASTER!$J$4:$J$1463,$P86)),""))</f>
        <v>VETERAN</v>
      </c>
      <c r="J86" s="21">
        <f>IF($P86="","",IFERROR(IF(INDEX(MASTER!$L$4:$L$1463,$P86)="","",INDEX(MASTER!$L$4:$L$1463,$P86)),""))</f>
        <v>5.0999999999999996</v>
      </c>
      <c r="K86" s="21">
        <f>IF($P86="","",IFERROR(IF(INDEX(MASTER!$N$4:$N$1463,$P86)="","",INDEX(MASTER!$N$4:$N$1463,$P86)),""))</f>
        <v>58.9</v>
      </c>
      <c r="L86" s="19" t="str">
        <f>IF($P86="","",IFERROR(IF(INDEX(MASTER!$O$4:$O$1463,$P86)="","",INDEX(MASTER!$O$4:$O$1463,$P86)),""))</f>
        <v>A</v>
      </c>
      <c r="M86" s="19">
        <f>IF($P86="","",IFERROR(IF(INDEX(MASTER!$Q$4:$Q$1463,$P86)="","",INDEX(MASTER!$Q$4:$Q$1463,$P86)),""))</f>
        <v>9</v>
      </c>
      <c r="N86" s="19" t="str">
        <f>IF($P86="","",IFERROR(IF(INDEX(MASTER!$S$4:$S$1463,$P86)="","",INDEX(MASTER!$S$4:$S$1463,$P86)),""))</f>
        <v>Complete</v>
      </c>
      <c r="P86">
        <f>IFERROR(MATCH($Q$1&amp;"@78",MASTER!$AC$4:$AC$1463,0),"")</f>
        <v>1141</v>
      </c>
    </row>
    <row r="87" spans="1:16">
      <c r="A87" s="15">
        <f>IF($P87="","",79)</f>
        <v>79</v>
      </c>
      <c r="B87" s="14" t="str">
        <f>IF($P87="","",IFERROR(IF(INDEX(MASTER!$C$4:$C$1463,$P87)="","",INDEX(MASTER!$C$4:$C$1463,$P87)),""))</f>
        <v>Toast760</v>
      </c>
      <c r="C87" s="15" t="str">
        <f>IF($P87="","",IFERROR(IF(INDEX(MASTER!$D$4:$D$1463,$P87)="","",INDEX(MASTER!$D$4:$D$1463,$P87)),""))</f>
        <v>Acheron</v>
      </c>
      <c r="D87" s="15" t="str">
        <f>IF($P87="","",IFERROR(IF(INDEX(MASTER!$E$4:$E$1463,$P87)="","",INDEX(MASTER!$E$4:$E$1463,$P87)),""))</f>
        <v>WARLOCK</v>
      </c>
      <c r="E87" s="15" t="str">
        <f>IF($P87="","",IFERROR(IF(INDEX(MASTER!$F$4:$F$1463,$P87)="","",INDEX(MASTER!$F$4:$F$1463,$P87)),""))</f>
        <v>Control</v>
      </c>
      <c r="F87" s="16">
        <f>IF($P87="","",IFERROR(IF(INDEX(MASTER!$G$4:$G$1463,$P87)="","",INDEX(MASTER!$G$4:$G$1463,$P87)),""))</f>
        <v>63217</v>
      </c>
      <c r="G87" s="15" t="str">
        <f>IF($P87="","",IFERROR(IF(INDEX(MASTER!$H$4:$H$1463,$P87)="","",INDEX(MASTER!$H$4:$H$1463,$P87)),""))</f>
        <v>63,000 - 63,999</v>
      </c>
      <c r="H87" s="16">
        <f>IF($P87="","",IFERROR(IF(INDEX(MASTER!$I$4:$I$1463,$P87)="","",INDEX(MASTER!$I$4:$I$1463,$P87)),""))</f>
        <v>5821</v>
      </c>
      <c r="I87" s="15" t="str">
        <f>IF($P87="","",IFERROR(IF(INDEX(MASTER!$J$4:$J$1463,$P87)="","",INDEX(MASTER!$J$4:$J$1463,$P87)),""))</f>
        <v>CORE</v>
      </c>
      <c r="J87" s="17">
        <f>IF($P87="","",IFERROR(IF(INDEX(MASTER!$L$4:$L$1463,$P87)="","",INDEX(MASTER!$L$4:$L$1463,$P87)),""))</f>
        <v>7.95</v>
      </c>
      <c r="K87" s="17">
        <f>IF($P87="","",IFERROR(IF(INDEX(MASTER!$N$4:$N$1463,$P87)="","",INDEX(MASTER!$N$4:$N$1463,$P87)),""))</f>
        <v>60.3</v>
      </c>
      <c r="L87" s="15" t="str">
        <f>IF($P87="","",IFERROR(IF(INDEX(MASTER!$O$4:$O$1463,$P87)="","",INDEX(MASTER!$O$4:$O$1463,$P87)),""))</f>
        <v>A</v>
      </c>
      <c r="M87" s="15">
        <f>IF($P87="","",IFERROR(IF(INDEX(MASTER!$Q$4:$Q$1463,$P87)="","",INDEX(MASTER!$Q$4:$Q$1463,$P87)),""))</f>
        <v>15</v>
      </c>
      <c r="N87" s="15" t="str">
        <f>IF($P87="","",IFERROR(IF(INDEX(MASTER!$S$4:$S$1463,$P87)="","",INDEX(MASTER!$S$4:$S$1463,$P87)),""))</f>
        <v>Complete</v>
      </c>
      <c r="P87">
        <f>IFERROR(MATCH($Q$1&amp;"@79",MASTER!$AC$4:$AC$1463,0),"")</f>
        <v>1160</v>
      </c>
    </row>
    <row r="88" spans="1:16">
      <c r="A88" s="19">
        <f>IF($P88="","",80)</f>
        <v>80</v>
      </c>
      <c r="B88" s="18" t="str">
        <f>IF($P88="","",IFERROR(IF(INDEX(MASTER!$C$4:$C$1463,$P88)="","",INDEX(MASTER!$C$4:$C$1463,$P88)),""))</f>
        <v>TW2022</v>
      </c>
      <c r="C88" s="19" t="str">
        <f>IF($P88="","",IFERROR(IF(INDEX(MASTER!$D$4:$D$1463,$P88)="","",INDEX(MASTER!$D$4:$D$1463,$P88)),""))</f>
        <v>Acheron</v>
      </c>
      <c r="D88" s="19" t="str">
        <f>IF($P88="","",IFERROR(IF(INDEX(MASTER!$E$4:$E$1463,$P88)="","",INDEX(MASTER!$E$4:$E$1463,$P88)),""))</f>
        <v>CRUSADER</v>
      </c>
      <c r="E88" s="19" t="str">
        <f>IF($P88="","",IFERROR(IF(INDEX(MASTER!$F$4:$F$1463,$P88)="","",INDEX(MASTER!$F$4:$F$1463,$P88)),""))</f>
        <v>Frontline</v>
      </c>
      <c r="F88" s="20">
        <f>IF($P88="","",IFERROR(IF(INDEX(MASTER!$G$4:$G$1463,$P88)="","",INDEX(MASTER!$G$4:$G$1463,$P88)),""))</f>
        <v>63314</v>
      </c>
      <c r="G88" s="19" t="str">
        <f>IF($P88="","",IFERROR(IF(INDEX(MASTER!$H$4:$H$1463,$P88)="","",INDEX(MASTER!$H$4:$H$1463,$P88)),""))</f>
        <v>63,000 - 63,999</v>
      </c>
      <c r="H88" s="20">
        <f>IF($P88="","",IFERROR(IF(INDEX(MASTER!$I$4:$I$1463,$P88)="","",INDEX(MASTER!$I$4:$I$1463,$P88)),""))</f>
        <v>4375</v>
      </c>
      <c r="I88" s="19" t="str">
        <f>IF($P88="","",IFERROR(IF(INDEX(MASTER!$J$4:$J$1463,$P88)="","",INDEX(MASTER!$J$4:$J$1463,$P88)),""))</f>
        <v>CORE</v>
      </c>
      <c r="J88" s="21">
        <f>IF($P88="","",IFERROR(IF(INDEX(MASTER!$L$4:$L$1463,$P88)="","",INDEX(MASTER!$L$4:$L$1463,$P88)),""))</f>
        <v>5.8</v>
      </c>
      <c r="K88" s="21">
        <f>IF($P88="","",IFERROR(IF(INDEX(MASTER!$N$4:$N$1463,$P88)="","",INDEX(MASTER!$N$4:$N$1463,$P88)),""))</f>
        <v>50.6</v>
      </c>
      <c r="L88" s="19" t="str">
        <f>IF($P88="","",IFERROR(IF(INDEX(MASTER!$O$4:$O$1463,$P88)="","",INDEX(MASTER!$O$4:$O$1463,$P88)),""))</f>
        <v>A</v>
      </c>
      <c r="M88" s="19">
        <f>IF($P88="","",IFERROR(IF(INDEX(MASTER!$Q$4:$Q$1463,$P88)="","",INDEX(MASTER!$Q$4:$Q$1463,$P88)),""))</f>
        <v>38</v>
      </c>
      <c r="N88" s="19" t="str">
        <f>IF($P88="","",IFERROR(IF(INDEX(MASTER!$S$4:$S$1463,$P88)="","",INDEX(MASTER!$S$4:$S$1463,$P88)),""))</f>
        <v>Complete</v>
      </c>
      <c r="P88">
        <f>IFERROR(MATCH($Q$1&amp;"@80",MASTER!$AC$4:$AC$1463,0),"")</f>
        <v>1179</v>
      </c>
    </row>
    <row r="89" spans="1:16">
      <c r="A89" s="15">
        <f>IF($P89="","",81)</f>
        <v>81</v>
      </c>
      <c r="B89" s="14" t="str">
        <f>IF($P89="","",IFERROR(IF(INDEX(MASTER!$C$4:$C$1463,$P89)="","",INDEX(MASTER!$C$4:$C$1463,$P89)),""))</f>
        <v>Ulfsaar</v>
      </c>
      <c r="C89" s="15" t="str">
        <f>IF($P89="","",IFERROR(IF(INDEX(MASTER!$D$4:$D$1463,$P89)="","",INDEX(MASTER!$D$4:$D$1463,$P89)),""))</f>
        <v>Acheron</v>
      </c>
      <c r="D89" s="15" t="str">
        <f>IF($P89="","",IFERROR(IF(INDEX(MASTER!$E$4:$E$1463,$P89)="","",INDEX(MASTER!$E$4:$E$1463,$P89)),""))</f>
        <v>CRUSADER</v>
      </c>
      <c r="E89" s="15" t="str">
        <f>IF($P89="","",IFERROR(IF(INDEX(MASTER!$F$4:$F$1463,$P89)="","",INDEX(MASTER!$F$4:$F$1463,$P89)),""))</f>
        <v>Frontline</v>
      </c>
      <c r="F89" s="16">
        <f>IF($P89="","",IFERROR(IF(INDEX(MASTER!$G$4:$G$1463,$P89)="","",INDEX(MASTER!$G$4:$G$1463,$P89)),""))</f>
        <v>61830</v>
      </c>
      <c r="G89" s="15" t="str">
        <f>IF($P89="","",IFERROR(IF(INDEX(MASTER!$H$4:$H$1463,$P89)="","",INDEX(MASTER!$H$4:$H$1463,$P89)),""))</f>
        <v>61,000 - 61,999</v>
      </c>
      <c r="H89" s="16">
        <f>IF($P89="","",IFERROR(IF(INDEX(MASTER!$I$4:$I$1463,$P89)="","",INDEX(MASTER!$I$4:$I$1463,$P89)),""))</f>
        <v>2056</v>
      </c>
      <c r="I89" s="15" t="str">
        <f>IF($P89="","",IFERROR(IF(INDEX(MASTER!$J$4:$J$1463,$P89)="","",INDEX(MASTER!$J$4:$J$1463,$P89)),""))</f>
        <v>DEVELOPING</v>
      </c>
      <c r="J89" s="17">
        <f>IF($P89="","",IFERROR(IF(INDEX(MASTER!$L$4:$L$1463,$P89)="","",INDEX(MASTER!$L$4:$L$1463,$P89)),""))</f>
        <v>4.2</v>
      </c>
      <c r="K89" s="17">
        <f>IF($P89="","",IFERROR(IF(INDEX(MASTER!$N$4:$N$1463,$P89)="","",INDEX(MASTER!$N$4:$N$1463,$P89)),""))</f>
        <v>33.9</v>
      </c>
      <c r="L89" s="15" t="str">
        <f>IF($P89="","",IFERROR(IF(INDEX(MASTER!$O$4:$O$1463,$P89)="","",INDEX(MASTER!$O$4:$O$1463,$P89)),""))</f>
        <v>C</v>
      </c>
      <c r="M89" s="15">
        <f>IF($P89="","",IFERROR(IF(INDEX(MASTER!$Q$4:$Q$1463,$P89)="","",INDEX(MASTER!$Q$4:$Q$1463,$P89)),""))</f>
        <v>84</v>
      </c>
      <c r="N89" s="15" t="str">
        <f>IF($P89="","",IFERROR(IF(INDEX(MASTER!$S$4:$S$1463,$P89)="","",INDEX(MASTER!$S$4:$S$1463,$P89)),""))</f>
        <v>Complete</v>
      </c>
      <c r="P89">
        <f>IFERROR(MATCH($Q$1&amp;"@81",MASTER!$AC$4:$AC$1463,0),"")</f>
        <v>1188</v>
      </c>
    </row>
    <row r="90" spans="1:16">
      <c r="A90" s="19">
        <f>IF($P90="","",82)</f>
        <v>82</v>
      </c>
      <c r="B90" s="18" t="str">
        <f>IF($P90="","",IFERROR(IF(INDEX(MASTER!$C$4:$C$1463,$P90)="","",INDEX(MASTER!$C$4:$C$1463,$P90)),""))</f>
        <v>Upgrayjd</v>
      </c>
      <c r="C90" s="19" t="str">
        <f>IF($P90="","",IFERROR(IF(INDEX(MASTER!$D$4:$D$1463,$P90)="","",INDEX(MASTER!$D$4:$D$1463,$P90)),""))</f>
        <v>Acheron</v>
      </c>
      <c r="D90" s="19" t="str">
        <f>IF($P90="","",IFERROR(IF(INDEX(MASTER!$E$4:$E$1463,$P90)="","",INDEX(MASTER!$E$4:$E$1463,$P90)),""))</f>
        <v>DEMON HUNTER</v>
      </c>
      <c r="E90" s="19" t="str">
        <f>IF($P90="","",IFERROR(IF(INDEX(MASTER!$F$4:$F$1463,$P90)="","",INDEX(MASTER!$F$4:$F$1463,$P90)),""))</f>
        <v>Ranged DPS</v>
      </c>
      <c r="F90" s="20">
        <f>IF($P90="","",IFERROR(IF(INDEX(MASTER!$G$4:$G$1463,$P90)="","",INDEX(MASTER!$G$4:$G$1463,$P90)),""))</f>
        <v>61937</v>
      </c>
      <c r="G90" s="19" t="str">
        <f>IF($P90="","",IFERROR(IF(INDEX(MASTER!$H$4:$H$1463,$P90)="","",INDEX(MASTER!$H$4:$H$1463,$P90)),""))</f>
        <v>61,000 - 61,999</v>
      </c>
      <c r="H90" s="20">
        <f>IF($P90="","",IFERROR(IF(INDEX(MASTER!$I$4:$I$1463,$P90)="","",INDEX(MASTER!$I$4:$I$1463,$P90)),""))</f>
        <v>2877</v>
      </c>
      <c r="I90" s="19" t="str">
        <f>IF($P90="","",IFERROR(IF(INDEX(MASTER!$J$4:$J$1463,$P90)="","",INDEX(MASTER!$J$4:$J$1463,$P90)),""))</f>
        <v>DEVELOPING</v>
      </c>
      <c r="J90" s="21">
        <f>IF($P90="","",IFERROR(IF(INDEX(MASTER!$L$4:$L$1463,$P90)="","",INDEX(MASTER!$L$4:$L$1463,$P90)),""))</f>
        <v>4.05</v>
      </c>
      <c r="K90" s="21">
        <f>IF($P90="","",IFERROR(IF(INDEX(MASTER!$N$4:$N$1463,$P90)="","",INDEX(MASTER!$N$4:$N$1463,$P90)),""))</f>
        <v>37.6</v>
      </c>
      <c r="L90" s="19" t="str">
        <f>IF($P90="","",IFERROR(IF(INDEX(MASTER!$O$4:$O$1463,$P90)="","",INDEX(MASTER!$O$4:$O$1463,$P90)),""))</f>
        <v>B</v>
      </c>
      <c r="M90" s="19">
        <f>IF($P90="","",IFERROR(IF(INDEX(MASTER!$Q$4:$Q$1463,$P90)="","",INDEX(MASTER!$Q$4:$Q$1463,$P90)),""))</f>
        <v>71</v>
      </c>
      <c r="N90" s="19" t="str">
        <f>IF($P90="","",IFERROR(IF(INDEX(MASTER!$S$4:$S$1463,$P90)="","",INDEX(MASTER!$S$4:$S$1463,$P90)),""))</f>
        <v>Complete</v>
      </c>
      <c r="P90">
        <f>IFERROR(MATCH($Q$1&amp;"@82",MASTER!$AC$4:$AC$1463,0),"")</f>
        <v>1195</v>
      </c>
    </row>
    <row r="91" spans="1:16">
      <c r="A91" s="15">
        <f>IF($P91="","",83)</f>
        <v>83</v>
      </c>
      <c r="B91" s="14" t="str">
        <f>IF($P91="","",IFERROR(IF(INDEX(MASTER!$C$4:$C$1463,$P91)="","",INDEX(MASTER!$C$4:$C$1463,$P91)),""))</f>
        <v>Utara</v>
      </c>
      <c r="C91" s="15" t="str">
        <f>IF($P91="","",IFERROR(IF(INDEX(MASTER!$D$4:$D$1463,$P91)="","",INDEX(MASTER!$D$4:$D$1463,$P91)),""))</f>
        <v>Acheron</v>
      </c>
      <c r="D91" s="15" t="str">
        <f>IF($P91="","",IFERROR(IF(INDEX(MASTER!$E$4:$E$1463,$P91)="","",INDEX(MASTER!$E$4:$E$1463,$P91)),""))</f>
        <v>NECROMANCER</v>
      </c>
      <c r="E91" s="15" t="str">
        <f>IF($P91="","",IFERROR(IF(INDEX(MASTER!$F$4:$F$1463,$P91)="","",INDEX(MASTER!$F$4:$F$1463,$P91)),""))</f>
        <v>Control</v>
      </c>
      <c r="F91" s="16">
        <f>IF($P91="","",IFERROR(IF(INDEX(MASTER!$G$4:$G$1463,$P91)="","",INDEX(MASTER!$G$4:$G$1463,$P91)),""))</f>
        <v>61690</v>
      </c>
      <c r="G91" s="15" t="str">
        <f>IF($P91="","",IFERROR(IF(INDEX(MASTER!$H$4:$H$1463,$P91)="","",INDEX(MASTER!$H$4:$H$1463,$P91)),""))</f>
        <v>61,000 - 61,999</v>
      </c>
      <c r="H91" s="16">
        <f>IF($P91="","",IFERROR(IF(INDEX(MASTER!$I$4:$I$1463,$P91)="","",INDEX(MASTER!$I$4:$I$1463,$P91)),""))</f>
        <v>3032</v>
      </c>
      <c r="I91" s="15" t="str">
        <f>IF($P91="","",IFERROR(IF(INDEX(MASTER!$J$4:$J$1463,$P91)="","",INDEX(MASTER!$J$4:$J$1463,$P91)),""))</f>
        <v>DEVELOPING</v>
      </c>
      <c r="J91" s="17">
        <f>IF($P91="","",IFERROR(IF(INDEX(MASTER!$L$4:$L$1463,$P91)="","",INDEX(MASTER!$L$4:$L$1463,$P91)),""))</f>
        <v>3.9</v>
      </c>
      <c r="K91" s="17">
        <f>IF($P91="","",IFERROR(IF(INDEX(MASTER!$N$4:$N$1463,$P91)="","",INDEX(MASTER!$N$4:$N$1463,$P91)),""))</f>
        <v>37.299999999999997</v>
      </c>
      <c r="L91" s="15" t="str">
        <f>IF($P91="","",IFERROR(IF(INDEX(MASTER!$O$4:$O$1463,$P91)="","",INDEX(MASTER!$O$4:$O$1463,$P91)),""))</f>
        <v>B</v>
      </c>
      <c r="M91" s="15">
        <f>IF($P91="","",IFERROR(IF(INDEX(MASTER!$Q$4:$Q$1463,$P91)="","",INDEX(MASTER!$Q$4:$Q$1463,$P91)),""))</f>
        <v>66</v>
      </c>
      <c r="N91" s="15" t="str">
        <f>IF($P91="","",IFERROR(IF(INDEX(MASTER!$S$4:$S$1463,$P91)="","",INDEX(MASTER!$S$4:$S$1463,$P91)),""))</f>
        <v>Complete</v>
      </c>
      <c r="P91">
        <f>IFERROR(MATCH($Q$1&amp;"@83",MASTER!$AC$4:$AC$1463,0),"")</f>
        <v>1199</v>
      </c>
    </row>
    <row r="92" spans="1:16">
      <c r="A92" s="19">
        <f>IF($P92="","",84)</f>
        <v>84</v>
      </c>
      <c r="B92" s="18" t="str">
        <f>IF($P92="","",IFERROR(IF(INDEX(MASTER!$C$4:$C$1463,$P92)="","",INDEX(MASTER!$C$4:$C$1463,$P92)),""))</f>
        <v>Vaelethni</v>
      </c>
      <c r="C92" s="19" t="str">
        <f>IF($P92="","",IFERROR(IF(INDEX(MASTER!$D$4:$D$1463,$P92)="","",INDEX(MASTER!$D$4:$D$1463,$P92)),""))</f>
        <v>Acheron</v>
      </c>
      <c r="D92" s="19" t="str">
        <f>IF($P92="","",IFERROR(IF(INDEX(MASTER!$E$4:$E$1463,$P92)="","",INDEX(MASTER!$E$4:$E$1463,$P92)),""))</f>
        <v>DRUID</v>
      </c>
      <c r="E92" s="19" t="str">
        <f>IF($P92="","",IFERROR(IF(INDEX(MASTER!$F$4:$F$1463,$P92)="","",INDEX(MASTER!$F$4:$F$1463,$P92)),""))</f>
        <v>Support</v>
      </c>
      <c r="F92" s="20">
        <f>IF($P92="","",IFERROR(IF(INDEX(MASTER!$G$4:$G$1463,$P92)="","",INDEX(MASTER!$G$4:$G$1463,$P92)),""))</f>
        <v>61705</v>
      </c>
      <c r="G92" s="19" t="str">
        <f>IF($P92="","",IFERROR(IF(INDEX(MASTER!$H$4:$H$1463,$P92)="","",INDEX(MASTER!$H$4:$H$1463,$P92)),""))</f>
        <v>61,000 - 61,999</v>
      </c>
      <c r="H92" s="20">
        <f>IF($P92="","",IFERROR(IF(INDEX(MASTER!$I$4:$I$1463,$P92)="","",INDEX(MASTER!$I$4:$I$1463,$P92)),""))</f>
        <v>1195</v>
      </c>
      <c r="I92" s="19" t="str">
        <f>IF($P92="","",IFERROR(IF(INDEX(MASTER!$J$4:$J$1463,$P92)="","",INDEX(MASTER!$J$4:$J$1463,$P92)),""))</f>
        <v>ROOKIE</v>
      </c>
      <c r="J92" s="21">
        <f>IF($P92="","",IFERROR(IF(INDEX(MASTER!$L$4:$L$1463,$P92)="","",INDEX(MASTER!$L$4:$L$1463,$P92)),""))</f>
        <v>3.1</v>
      </c>
      <c r="K92" s="21">
        <f>IF($P92="","",IFERROR(IF(INDEX(MASTER!$N$4:$N$1463,$P92)="","",INDEX(MASTER!$N$4:$N$1463,$P92)),""))</f>
        <v>28</v>
      </c>
      <c r="L92" s="19" t="str">
        <f>IF($P92="","",IFERROR(IF(INDEX(MASTER!$O$4:$O$1463,$P92)="","",INDEX(MASTER!$O$4:$O$1463,$P92)),""))</f>
        <v>C</v>
      </c>
      <c r="M92" s="19">
        <f>IF($P92="","",IFERROR(IF(INDEX(MASTER!$Q$4:$Q$1463,$P92)="","",INDEX(MASTER!$Q$4:$Q$1463,$P92)),""))</f>
        <v>89</v>
      </c>
      <c r="N92" s="19" t="str">
        <f>IF($P92="","",IFERROR(IF(INDEX(MASTER!$S$4:$S$1463,$P92)="","",INDEX(MASTER!$S$4:$S$1463,$P92)),""))</f>
        <v>Complete</v>
      </c>
      <c r="P92">
        <f>IFERROR(MATCH($Q$1&amp;"@84",MASTER!$AC$4:$AC$1463,0),"")</f>
        <v>1202</v>
      </c>
    </row>
    <row r="93" spans="1:16">
      <c r="A93" s="15">
        <f>IF($P93="","",85)</f>
        <v>85</v>
      </c>
      <c r="B93" s="14" t="str">
        <f>IF($P93="","",IFERROR(IF(INDEX(MASTER!$C$4:$C$1463,$P93)="","",INDEX(MASTER!$C$4:$C$1463,$P93)),""))</f>
        <v>vFOXv</v>
      </c>
      <c r="C93" s="15" t="str">
        <f>IF($P93="","",IFERROR(IF(INDEX(MASTER!$D$4:$D$1463,$P93)="","",INDEX(MASTER!$D$4:$D$1463,$P93)),""))</f>
        <v>Acheron</v>
      </c>
      <c r="D93" s="15" t="str">
        <f>IF($P93="","",IFERROR(IF(INDEX(MASTER!$E$4:$E$1463,$P93)="","",INDEX(MASTER!$E$4:$E$1463,$P93)),""))</f>
        <v>WARLOCK</v>
      </c>
      <c r="E93" s="15" t="str">
        <f>IF($P93="","",IFERROR(IF(INDEX(MASTER!$F$4:$F$1463,$P93)="","",INDEX(MASTER!$F$4:$F$1463,$P93)),""))</f>
        <v>Control</v>
      </c>
      <c r="F93" s="16">
        <f>IF($P93="","",IFERROR(IF(INDEX(MASTER!$G$4:$G$1463,$P93)="","",INDEX(MASTER!$G$4:$G$1463,$P93)),""))</f>
        <v>59464</v>
      </c>
      <c r="G93" s="15" t="str">
        <f>IF($P93="","",IFERROR(IF(INDEX(MASTER!$H$4:$H$1463,$P93)="","",INDEX(MASTER!$H$4:$H$1463,$P93)),""))</f>
        <v>58,000 - 59,999</v>
      </c>
      <c r="H93" s="16">
        <f>IF($P93="","",IFERROR(IF(INDEX(MASTER!$I$4:$I$1463,$P93)="","",INDEX(MASTER!$I$4:$I$1463,$P93)),""))</f>
        <v>2661</v>
      </c>
      <c r="I93" s="15" t="str">
        <f>IF($P93="","",IFERROR(IF(INDEX(MASTER!$J$4:$J$1463,$P93)="","",INDEX(MASTER!$J$4:$J$1463,$P93)),""))</f>
        <v>DEVELOPING</v>
      </c>
      <c r="J93" s="17">
        <f>IF($P93="","",IFERROR(IF(INDEX(MASTER!$L$4:$L$1463,$P93)="","",INDEX(MASTER!$L$4:$L$1463,$P93)),""))</f>
        <v>3.9</v>
      </c>
      <c r="K93" s="17">
        <f>IF($P93="","",IFERROR(IF(INDEX(MASTER!$N$4:$N$1463,$P93)="","",INDEX(MASTER!$N$4:$N$1463,$P93)),""))</f>
        <v>29.9</v>
      </c>
      <c r="L93" s="15" t="str">
        <f>IF($P93="","",IFERROR(IF(INDEX(MASTER!$O$4:$O$1463,$P93)="","",INDEX(MASTER!$O$4:$O$1463,$P93)),""))</f>
        <v>C</v>
      </c>
      <c r="M93" s="15">
        <f>IF($P93="","",IFERROR(IF(INDEX(MASTER!$Q$4:$Q$1463,$P93)="","",INDEX(MASTER!$Q$4:$Q$1463,$P93)),""))</f>
        <v>74</v>
      </c>
      <c r="N93" s="15" t="str">
        <f>IF($P93="","",IFERROR(IF(INDEX(MASTER!$S$4:$S$1463,$P93)="","",INDEX(MASTER!$S$4:$S$1463,$P93)),""))</f>
        <v>Complete</v>
      </c>
      <c r="P93">
        <f>IFERROR(MATCH($Q$1&amp;"@85",MASTER!$AC$4:$AC$1463,0),"")</f>
        <v>1218</v>
      </c>
    </row>
    <row r="94" spans="1:16">
      <c r="A94" s="19">
        <f>IF($P94="","",86)</f>
        <v>86</v>
      </c>
      <c r="B94" s="18" t="str">
        <f>IF($P94="","",IFERROR(IF(INDEX(MASTER!$C$4:$C$1463,$P94)="","",INDEX(MASTER!$C$4:$C$1463,$P94)),""))</f>
        <v>VladdDracul</v>
      </c>
      <c r="C94" s="19" t="str">
        <f>IF($P94="","",IFERROR(IF(INDEX(MASTER!$D$4:$D$1463,$P94)="","",INDEX(MASTER!$D$4:$D$1463,$P94)),""))</f>
        <v>Acheron</v>
      </c>
      <c r="D94" s="19" t="str">
        <f>IF($P94="","",IFERROR(IF(INDEX(MASTER!$E$4:$E$1463,$P94)="","",INDEX(MASTER!$E$4:$E$1463,$P94)),""))</f>
        <v>BLOOD KNIGHT</v>
      </c>
      <c r="E94" s="19" t="str">
        <f>IF($P94="","",IFERROR(IF(INDEX(MASTER!$F$4:$F$1463,$P94)="","",INDEX(MASTER!$F$4:$F$1463,$P94)),""))</f>
        <v>Frontline</v>
      </c>
      <c r="F94" s="20">
        <f>IF($P94="","",IFERROR(IF(INDEX(MASTER!$G$4:$G$1463,$P94)="","",INDEX(MASTER!$G$4:$G$1463,$P94)),""))</f>
        <v>63408</v>
      </c>
      <c r="G94" s="19" t="str">
        <f>IF($P94="","",IFERROR(IF(INDEX(MASTER!$H$4:$H$1463,$P94)="","",INDEX(MASTER!$H$4:$H$1463,$P94)),""))</f>
        <v>63,000 - 63,999</v>
      </c>
      <c r="H94" s="20">
        <f>IF($P94="","",IFERROR(IF(INDEX(MASTER!$I$4:$I$1463,$P94)="","",INDEX(MASTER!$I$4:$I$1463,$P94)),""))</f>
        <v>5631</v>
      </c>
      <c r="I94" s="19" t="str">
        <f>IF($P94="","",IFERROR(IF(INDEX(MASTER!$J$4:$J$1463,$P94)="","",INDEX(MASTER!$J$4:$J$1463,$P94)),""))</f>
        <v>CORE</v>
      </c>
      <c r="J94" s="21">
        <f>IF($P94="","",IFERROR(IF(INDEX(MASTER!$L$4:$L$1463,$P94)="","",INDEX(MASTER!$L$4:$L$1463,$P94)),""))</f>
        <v>6.15</v>
      </c>
      <c r="K94" s="21">
        <f>IF($P94="","",IFERROR(IF(INDEX(MASTER!$N$4:$N$1463,$P94)="","",INDEX(MASTER!$N$4:$N$1463,$P94)),""))</f>
        <v>57</v>
      </c>
      <c r="L94" s="19" t="str">
        <f>IF($P94="","",IFERROR(IF(INDEX(MASTER!$O$4:$O$1463,$P94)="","",INDEX(MASTER!$O$4:$O$1463,$P94)),""))</f>
        <v>A</v>
      </c>
      <c r="M94" s="19">
        <f>IF($P94="","",IFERROR(IF(INDEX(MASTER!$Q$4:$Q$1463,$P94)="","",INDEX(MASTER!$Q$4:$Q$1463,$P94)),""))</f>
        <v>17</v>
      </c>
      <c r="N94" s="19" t="str">
        <f>IF($P94="","",IFERROR(IF(INDEX(MASTER!$S$4:$S$1463,$P94)="","",INDEX(MASTER!$S$4:$S$1463,$P94)),""))</f>
        <v>Complete</v>
      </c>
      <c r="P94">
        <f>IFERROR(MATCH($Q$1&amp;"@86",MASTER!$AC$4:$AC$1463,0),"")</f>
        <v>1226</v>
      </c>
    </row>
    <row r="95" spans="1:16">
      <c r="A95" s="15">
        <f>IF($P95="","",87)</f>
        <v>87</v>
      </c>
      <c r="B95" s="14" t="str">
        <f>IF($P95="","",IFERROR(IF(INDEX(MASTER!$C$4:$C$1463,$P95)="","",INDEX(MASTER!$C$4:$C$1463,$P95)),""))</f>
        <v>Wakota</v>
      </c>
      <c r="C95" s="15" t="str">
        <f>IF($P95="","",IFERROR(IF(INDEX(MASTER!$D$4:$D$1463,$P95)="","",INDEX(MASTER!$D$4:$D$1463,$P95)),""))</f>
        <v>Acheron</v>
      </c>
      <c r="D95" s="15" t="str">
        <f>IF($P95="","",IFERROR(IF(INDEX(MASTER!$E$4:$E$1463,$P95)="","",INDEX(MASTER!$E$4:$E$1463,$P95)),""))</f>
        <v>WARLOCK</v>
      </c>
      <c r="E95" s="15" t="str">
        <f>IF($P95="","",IFERROR(IF(INDEX(MASTER!$F$4:$F$1463,$P95)="","",INDEX(MASTER!$F$4:$F$1463,$P95)),""))</f>
        <v>Control</v>
      </c>
      <c r="F95" s="16">
        <f>IF($P95="","",IFERROR(IF(INDEX(MASTER!$G$4:$G$1463,$P95)="","",INDEX(MASTER!$G$4:$G$1463,$P95)),""))</f>
        <v>62269</v>
      </c>
      <c r="G95" s="15" t="str">
        <f>IF($P95="","",IFERROR(IF(INDEX(MASTER!$H$4:$H$1463,$P95)="","",INDEX(MASTER!$H$4:$H$1463,$P95)),""))</f>
        <v>62,000 - 62,999</v>
      </c>
      <c r="H95" s="16">
        <f>IF($P95="","",IFERROR(IF(INDEX(MASTER!$I$4:$I$1463,$P95)="","",INDEX(MASTER!$I$4:$I$1463,$P95)),""))</f>
        <v>3813</v>
      </c>
      <c r="I95" s="15" t="str">
        <f>IF($P95="","",IFERROR(IF(INDEX(MASTER!$J$4:$J$1463,$P95)="","",INDEX(MASTER!$J$4:$J$1463,$P95)),""))</f>
        <v>DEVELOPING</v>
      </c>
      <c r="J95" s="17">
        <f>IF($P95="","",IFERROR(IF(INDEX(MASTER!$L$4:$L$1463,$P95)="","",INDEX(MASTER!$L$4:$L$1463,$P95)),""))</f>
        <v>5</v>
      </c>
      <c r="K95" s="17">
        <f>IF($P95="","",IFERROR(IF(INDEX(MASTER!$N$4:$N$1463,$P95)="","",INDEX(MASTER!$N$4:$N$1463,$P95)),""))</f>
        <v>44.1</v>
      </c>
      <c r="L95" s="15" t="str">
        <f>IF($P95="","",IFERROR(IF(INDEX(MASTER!$O$4:$O$1463,$P95)="","",INDEX(MASTER!$O$4:$O$1463,$P95)),""))</f>
        <v>B</v>
      </c>
      <c r="M95" s="15">
        <f>IF($P95="","",IFERROR(IF(INDEX(MASTER!$Q$4:$Q$1463,$P95)="","",INDEX(MASTER!$Q$4:$Q$1463,$P95)),""))</f>
        <v>49</v>
      </c>
      <c r="N95" s="15" t="str">
        <f>IF($P95="","",IFERROR(IF(INDEX(MASTER!$S$4:$S$1463,$P95)="","",INDEX(MASTER!$S$4:$S$1463,$P95)),""))</f>
        <v>Complete</v>
      </c>
      <c r="P95">
        <f>IFERROR(MATCH($Q$1&amp;"@87",MASTER!$AC$4:$AC$1463,0),"")</f>
        <v>1238</v>
      </c>
    </row>
    <row r="96" spans="1:16">
      <c r="A96" s="19">
        <f>IF($P96="","",88)</f>
        <v>88</v>
      </c>
      <c r="B96" s="18" t="str">
        <f>IF($P96="","",IFERROR(IF(INDEX(MASTER!$C$4:$C$1463,$P96)="","",INDEX(MASTER!$C$4:$C$1463,$P96)),""))</f>
        <v>Wvagnard</v>
      </c>
      <c r="C96" s="19" t="str">
        <f>IF($P96="","",IFERROR(IF(INDEX(MASTER!$D$4:$D$1463,$P96)="","",INDEX(MASTER!$D$4:$D$1463,$P96)),""))</f>
        <v>Acheron</v>
      </c>
      <c r="D96" s="19" t="str">
        <f>IF($P96="","",IFERROR(IF(INDEX(MASTER!$E$4:$E$1463,$P96)="","",INDEX(MASTER!$E$4:$E$1463,$P96)),""))</f>
        <v>BLOOD KNIGHT</v>
      </c>
      <c r="E96" s="19" t="str">
        <f>IF($P96="","",IFERROR(IF(INDEX(MASTER!$F$4:$F$1463,$P96)="","",INDEX(MASTER!$F$4:$F$1463,$P96)),""))</f>
        <v>Frontline</v>
      </c>
      <c r="F96" s="20">
        <f>IF($P96="","",IFERROR(IF(INDEX(MASTER!$G$4:$G$1463,$P96)="","",INDEX(MASTER!$G$4:$G$1463,$P96)),""))</f>
        <v>63484</v>
      </c>
      <c r="G96" s="19" t="str">
        <f>IF($P96="","",IFERROR(IF(INDEX(MASTER!$H$4:$H$1463,$P96)="","",INDEX(MASTER!$H$4:$H$1463,$P96)),""))</f>
        <v>63,000 - 63,999</v>
      </c>
      <c r="H96" s="20">
        <f>IF($P96="","",IFERROR(IF(INDEX(MASTER!$I$4:$I$1463,$P96)="","",INDEX(MASTER!$I$4:$I$1463,$P96)),""))</f>
        <v>6428</v>
      </c>
      <c r="I96" s="19" t="str">
        <f>IF($P96="","",IFERROR(IF(INDEX(MASTER!$J$4:$J$1463,$P96)="","",INDEX(MASTER!$J$4:$J$1463,$P96)),""))</f>
        <v>VETERAN</v>
      </c>
      <c r="J96" s="21">
        <f>IF($P96="","",IFERROR(IF(INDEX(MASTER!$L$4:$L$1463,$P96)="","",INDEX(MASTER!$L$4:$L$1463,$P96)),""))</f>
        <v>4.57</v>
      </c>
      <c r="K96" s="21">
        <f>IF($P96="","",IFERROR(IF(INDEX(MASTER!$N$4:$N$1463,$P96)="","",INDEX(MASTER!$N$4:$N$1463,$P96)),""))</f>
        <v>58</v>
      </c>
      <c r="L96" s="19" t="str">
        <f>IF($P96="","",IFERROR(IF(INDEX(MASTER!$O$4:$O$1463,$P96)="","",INDEX(MASTER!$O$4:$O$1463,$P96)),""))</f>
        <v>A</v>
      </c>
      <c r="M96" s="19">
        <f>IF($P96="","",IFERROR(IF(INDEX(MASTER!$Q$4:$Q$1463,$P96)="","",INDEX(MASTER!$Q$4:$Q$1463,$P96)),""))</f>
        <v>11</v>
      </c>
      <c r="N96" s="19" t="str">
        <f>IF($P96="","",IFERROR(IF(INDEX(MASTER!$S$4:$S$1463,$P96)="","",INDEX(MASTER!$S$4:$S$1463,$P96)),""))</f>
        <v>Complete</v>
      </c>
      <c r="P96">
        <f>IFERROR(MATCH($Q$1&amp;"@88",MASTER!$AC$4:$AC$1463,0),"")</f>
        <v>1270</v>
      </c>
    </row>
    <row r="97" spans="1:16">
      <c r="A97" s="15">
        <f>IF($P97="","",89)</f>
        <v>89</v>
      </c>
      <c r="B97" s="14" t="str">
        <f>IF($P97="","",IFERROR(IF(INDEX(MASTER!$C$4:$C$1463,$P97)="","",INDEX(MASTER!$C$4:$C$1463,$P97)),""))</f>
        <v>Xalsalt2</v>
      </c>
      <c r="C97" s="15" t="str">
        <f>IF($P97="","",IFERROR(IF(INDEX(MASTER!$D$4:$D$1463,$P97)="","",INDEX(MASTER!$D$4:$D$1463,$P97)),""))</f>
        <v>Acheron</v>
      </c>
      <c r="D97" s="15" t="str">
        <f>IF($P97="","",IFERROR(IF(INDEX(MASTER!$E$4:$E$1463,$P97)="","",INDEX(MASTER!$E$4:$E$1463,$P97)),""))</f>
        <v>NECROMANCER</v>
      </c>
      <c r="E97" s="15" t="str">
        <f>IF($P97="","",IFERROR(IF(INDEX(MASTER!$F$4:$F$1463,$P97)="","",INDEX(MASTER!$F$4:$F$1463,$P97)),""))</f>
        <v>Control</v>
      </c>
      <c r="F97" s="16">
        <f>IF($P97="","",IFERROR(IF(INDEX(MASTER!$G$4:$G$1463,$P97)="","",INDEX(MASTER!$G$4:$G$1463,$P97)),""))</f>
        <v>61338</v>
      </c>
      <c r="G97" s="15" t="str">
        <f>IF($P97="","",IFERROR(IF(INDEX(MASTER!$H$4:$H$1463,$P97)="","",INDEX(MASTER!$H$4:$H$1463,$P97)),""))</f>
        <v>61,000 - 61,999</v>
      </c>
      <c r="H97" s="16">
        <f>IF($P97="","",IFERROR(IF(INDEX(MASTER!$I$4:$I$1463,$P97)="","",INDEX(MASTER!$I$4:$I$1463,$P97)),""))</f>
        <v>2108</v>
      </c>
      <c r="I97" s="15" t="str">
        <f>IF($P97="","",IFERROR(IF(INDEX(MASTER!$J$4:$J$1463,$P97)="","",INDEX(MASTER!$J$4:$J$1463,$P97)),""))</f>
        <v>DEVELOPING</v>
      </c>
      <c r="J97" s="17">
        <f>IF($P97="","",IFERROR(IF(INDEX(MASTER!$L$4:$L$1463,$P97)="","",INDEX(MASTER!$L$4:$L$1463,$P97)),""))</f>
        <v>4.7</v>
      </c>
      <c r="K97" s="17">
        <f>IF($P97="","",IFERROR(IF(INDEX(MASTER!$N$4:$N$1463,$P97)="","",INDEX(MASTER!$N$4:$N$1463,$P97)),""))</f>
        <v>33.700000000000003</v>
      </c>
      <c r="L97" s="15" t="str">
        <f>IF($P97="","",IFERROR(IF(INDEX(MASTER!$O$4:$O$1463,$P97)="","",INDEX(MASTER!$O$4:$O$1463,$P97)),""))</f>
        <v>C</v>
      </c>
      <c r="M97" s="15">
        <f>IF($P97="","",IFERROR(IF(INDEX(MASTER!$Q$4:$Q$1463,$P97)="","",INDEX(MASTER!$Q$4:$Q$1463,$P97)),""))</f>
        <v>83</v>
      </c>
      <c r="N97" s="15" t="str">
        <f>IF($P97="","",IFERROR(IF(INDEX(MASTER!$S$4:$S$1463,$P97)="","",INDEX(MASTER!$S$4:$S$1463,$P97)),""))</f>
        <v>Complete</v>
      </c>
      <c r="P97">
        <f>IFERROR(MATCH($Q$1&amp;"@89",MASTER!$AC$4:$AC$1463,0),"")</f>
        <v>1273</v>
      </c>
    </row>
    <row r="98" spans="1:16">
      <c r="A98" s="19">
        <f>IF($P98="","",90)</f>
        <v>90</v>
      </c>
      <c r="B98" s="18" t="str">
        <f>IF($P98="","",IFERROR(IF(INDEX(MASTER!$C$4:$C$1463,$P98)="","",INDEX(MASTER!$C$4:$C$1463,$P98)),""))</f>
        <v>Yaeda</v>
      </c>
      <c r="C98" s="19" t="str">
        <f>IF($P98="","",IFERROR(IF(INDEX(MASTER!$D$4:$D$1463,$P98)="","",INDEX(MASTER!$D$4:$D$1463,$P98)),""))</f>
        <v>Acheron</v>
      </c>
      <c r="D98" s="19" t="str">
        <f>IF($P98="","",IFERROR(IF(INDEX(MASTER!$E$4:$E$1463,$P98)="","",INDEX(MASTER!$E$4:$E$1463,$P98)),""))</f>
        <v>CRUSADER</v>
      </c>
      <c r="E98" s="19" t="str">
        <f>IF($P98="","",IFERROR(IF(INDEX(MASTER!$F$4:$F$1463,$P98)="","",INDEX(MASTER!$F$4:$F$1463,$P98)),""))</f>
        <v>Frontline</v>
      </c>
      <c r="F98" s="20">
        <f>IF($P98="","",IFERROR(IF(INDEX(MASTER!$G$4:$G$1463,$P98)="","",INDEX(MASTER!$G$4:$G$1463,$P98)),""))</f>
        <v>61705</v>
      </c>
      <c r="G98" s="19" t="str">
        <f>IF($P98="","",IFERROR(IF(INDEX(MASTER!$H$4:$H$1463,$P98)="","",INDEX(MASTER!$H$4:$H$1463,$P98)),""))</f>
        <v>61,000 - 61,999</v>
      </c>
      <c r="H98" s="20">
        <f>IF($P98="","",IFERROR(IF(INDEX(MASTER!$I$4:$I$1463,$P98)="","",INDEX(MASTER!$I$4:$I$1463,$P98)),""))</f>
        <v>915</v>
      </c>
      <c r="I98" s="19" t="str">
        <f>IF($P98="","",IFERROR(IF(INDEX(MASTER!$J$4:$J$1463,$P98)="","",INDEX(MASTER!$J$4:$J$1463,$P98)),""))</f>
        <v>ROOKIE</v>
      </c>
      <c r="J98" s="21">
        <f>IF($P98="","",IFERROR(IF(INDEX(MASTER!$L$4:$L$1463,$P98)="","",INDEX(MASTER!$L$4:$L$1463,$P98)),""))</f>
        <v>4.17</v>
      </c>
      <c r="K98" s="21">
        <f>IF($P98="","",IFERROR(IF(INDEX(MASTER!$N$4:$N$1463,$P98)="","",INDEX(MASTER!$N$4:$N$1463,$P98)),""))</f>
        <v>28.6</v>
      </c>
      <c r="L98" s="19" t="str">
        <f>IF($P98="","",IFERROR(IF(INDEX(MASTER!$O$4:$O$1463,$P98)="","",INDEX(MASTER!$O$4:$O$1463,$P98)),""))</f>
        <v>C</v>
      </c>
      <c r="M98" s="19">
        <f>IF($P98="","",IFERROR(IF(INDEX(MASTER!$Q$4:$Q$1463,$P98)="","",INDEX(MASTER!$Q$4:$Q$1463,$P98)),""))</f>
        <v>92</v>
      </c>
      <c r="N98" s="19" t="str">
        <f>IF($P98="","",IFERROR(IF(INDEX(MASTER!$S$4:$S$1463,$P98)="","",INDEX(MASTER!$S$4:$S$1463,$P98)),""))</f>
        <v>Complete</v>
      </c>
      <c r="P98">
        <f>IFERROR(MATCH($Q$1&amp;"@90",MASTER!$AC$4:$AC$1463,0),"")</f>
        <v>1296</v>
      </c>
    </row>
    <row r="99" spans="1:16">
      <c r="A99" s="15">
        <f>IF($P99="","",91)</f>
        <v>91</v>
      </c>
      <c r="B99" s="14" t="str">
        <f>IF($P99="","",IFERROR(IF(INDEX(MASTER!$C$4:$C$1463,$P99)="","",INDEX(MASTER!$C$4:$C$1463,$P99)),""))</f>
        <v>Yaêda</v>
      </c>
      <c r="C99" s="15" t="str">
        <f>IF($P99="","",IFERROR(IF(INDEX(MASTER!$D$4:$D$1463,$P99)="","",INDEX(MASTER!$D$4:$D$1463,$P99)),""))</f>
        <v>Acheron</v>
      </c>
      <c r="D99" s="15" t="str">
        <f>IF($P99="","",IFERROR(IF(INDEX(MASTER!$E$4:$E$1463,$P99)="","",INDEX(MASTER!$E$4:$E$1463,$P99)),""))</f>
        <v/>
      </c>
      <c r="E99" s="15" t="str">
        <f>IF($P99="","",IFERROR(IF(INDEX(MASTER!$F$4:$F$1463,$P99)="","",INDEX(MASTER!$F$4:$F$1463,$P99)),""))</f>
        <v>-</v>
      </c>
      <c r="F99" s="16" t="str">
        <f>IF($P99="","",IFERROR(IF(INDEX(MASTER!$G$4:$G$1463,$P99)="","",INDEX(MASTER!$G$4:$G$1463,$P99)),""))</f>
        <v/>
      </c>
      <c r="G99" s="15" t="str">
        <f>IF($P99="","",IFERROR(IF(INDEX(MASTER!$H$4:$H$1463,$P99)="","",INDEX(MASTER!$H$4:$H$1463,$P99)),""))</f>
        <v>-</v>
      </c>
      <c r="H99" s="16" t="str">
        <f>IF($P99="","",IFERROR(IF(INDEX(MASTER!$I$4:$I$1463,$P99)="","",INDEX(MASTER!$I$4:$I$1463,$P99)),""))</f>
        <v/>
      </c>
      <c r="I99" s="15" t="str">
        <f>IF($P99="","",IFERROR(IF(INDEX(MASTER!$J$4:$J$1463,$P99)="","",INDEX(MASTER!$J$4:$J$1463,$P99)),""))</f>
        <v>-</v>
      </c>
      <c r="J99" s="17" t="str">
        <f>IF($P99="","",IFERROR(IF(INDEX(MASTER!$L$4:$L$1463,$P99)="","",INDEX(MASTER!$L$4:$L$1463,$P99)),""))</f>
        <v/>
      </c>
      <c r="K99" s="17" t="str">
        <f>IF($P99="","",IFERROR(IF(INDEX(MASTER!$N$4:$N$1463,$P99)="","",INDEX(MASTER!$N$4:$N$1463,$P99)),""))</f>
        <v/>
      </c>
      <c r="L99" s="15" t="str">
        <f>IF($P99="","",IFERROR(IF(INDEX(MASTER!$O$4:$O$1463,$P99)="","",INDEX(MASTER!$O$4:$O$1463,$P99)),""))</f>
        <v>-</v>
      </c>
      <c r="M99" s="15">
        <f>IF($P99="","",IFERROR(IF(INDEX(MASTER!$Q$4:$Q$1463,$P99)="","",INDEX(MASTER!$Q$4:$Q$1463,$P99)),""))</f>
        <v>96</v>
      </c>
      <c r="N99" s="15" t="str">
        <f>IF($P99="","",IFERROR(IF(INDEX(MASTER!$S$4:$S$1463,$P99)="","",INDEX(MASTER!$S$4:$S$1463,$P99)),""))</f>
        <v>Name only</v>
      </c>
      <c r="P99">
        <f>IFERROR(MATCH($Q$1&amp;"@91",MASTER!$AC$4:$AC$1463,0),"")</f>
        <v>1299</v>
      </c>
    </row>
    <row r="100" spans="1:16">
      <c r="A100" s="19">
        <f>IF($P100="","",92)</f>
        <v>92</v>
      </c>
      <c r="B100" s="18" t="str">
        <f>IF($P100="","",IFERROR(IF(INDEX(MASTER!$C$4:$C$1463,$P100)="","",INDEX(MASTER!$C$4:$C$1463,$P100)),""))</f>
        <v>YourLord63</v>
      </c>
      <c r="C100" s="19" t="str">
        <f>IF($P100="","",IFERROR(IF(INDEX(MASTER!$D$4:$D$1463,$P100)="","",INDEX(MASTER!$D$4:$D$1463,$P100)),""))</f>
        <v>Acheron</v>
      </c>
      <c r="D100" s="19" t="str">
        <f>IF($P100="","",IFERROR(IF(INDEX(MASTER!$E$4:$E$1463,$P100)="","",INDEX(MASTER!$E$4:$E$1463,$P100)),""))</f>
        <v>CRUSADER</v>
      </c>
      <c r="E100" s="19" t="str">
        <f>IF($P100="","",IFERROR(IF(INDEX(MASTER!$F$4:$F$1463,$P100)="","",INDEX(MASTER!$F$4:$F$1463,$P100)),""))</f>
        <v>Frontline</v>
      </c>
      <c r="F100" s="20">
        <f>IF($P100="","",IFERROR(IF(INDEX(MASTER!$G$4:$G$1463,$P100)="","",INDEX(MASTER!$G$4:$G$1463,$P100)),""))</f>
        <v>62861</v>
      </c>
      <c r="G100" s="19" t="str">
        <f>IF($P100="","",IFERROR(IF(INDEX(MASTER!$H$4:$H$1463,$P100)="","",INDEX(MASTER!$H$4:$H$1463,$P100)),""))</f>
        <v>62,000 - 62,999</v>
      </c>
      <c r="H100" s="20">
        <f>IF($P100="","",IFERROR(IF(INDEX(MASTER!$I$4:$I$1463,$P100)="","",INDEX(MASTER!$I$4:$I$1463,$P100)),""))</f>
        <v>2426</v>
      </c>
      <c r="I100" s="19" t="str">
        <f>IF($P100="","",IFERROR(IF(INDEX(MASTER!$J$4:$J$1463,$P100)="","",INDEX(MASTER!$J$4:$J$1463,$P100)),""))</f>
        <v>DEVELOPING</v>
      </c>
      <c r="J100" s="21">
        <f>IF($P100="","",IFERROR(IF(INDEX(MASTER!$L$4:$L$1463,$P100)="","",INDEX(MASTER!$L$4:$L$1463,$P100)),""))</f>
        <v>4.8499999999999996</v>
      </c>
      <c r="K100" s="21">
        <f>IF($P100="","",IFERROR(IF(INDEX(MASTER!$N$4:$N$1463,$P100)="","",INDEX(MASTER!$N$4:$N$1463,$P100)),""))</f>
        <v>39.4</v>
      </c>
      <c r="L100" s="19" t="str">
        <f>IF($P100="","",IFERROR(IF(INDEX(MASTER!$O$4:$O$1463,$P100)="","",INDEX(MASTER!$O$4:$O$1463,$P100)),""))</f>
        <v>B</v>
      </c>
      <c r="M100" s="19">
        <f>IF($P100="","",IFERROR(IF(INDEX(MASTER!$Q$4:$Q$1463,$P100)="","",INDEX(MASTER!$Q$4:$Q$1463,$P100)),""))</f>
        <v>79</v>
      </c>
      <c r="N100" s="19" t="str">
        <f>IF($P100="","",IFERROR(IF(INDEX(MASTER!$S$4:$S$1463,$P100)="","",INDEX(MASTER!$S$4:$S$1463,$P100)),""))</f>
        <v>Complete</v>
      </c>
      <c r="P100">
        <f>IFERROR(MATCH($Q$1&amp;"@92",MASTER!$AC$4:$AC$1463,0),"")</f>
        <v>1303</v>
      </c>
    </row>
    <row r="101" spans="1:16">
      <c r="A101" s="15">
        <f>IF($P101="","",93)</f>
        <v>93</v>
      </c>
      <c r="B101" s="14" t="str">
        <f>IF($P101="","",IFERROR(IF(INDEX(MASTER!$C$4:$C$1463,$P101)="","",INDEX(MASTER!$C$4:$C$1463,$P101)),""))</f>
        <v>Zhakrin</v>
      </c>
      <c r="C101" s="15" t="str">
        <f>IF($P101="","",IFERROR(IF(INDEX(MASTER!$D$4:$D$1463,$P101)="","",INDEX(MASTER!$D$4:$D$1463,$P101)),""))</f>
        <v>Acheron</v>
      </c>
      <c r="D101" s="15" t="str">
        <f>IF($P101="","",IFERROR(IF(INDEX(MASTER!$E$4:$E$1463,$P101)="","",INDEX(MASTER!$E$4:$E$1463,$P101)),""))</f>
        <v>CRUSADER</v>
      </c>
      <c r="E101" s="15" t="str">
        <f>IF($P101="","",IFERROR(IF(INDEX(MASTER!$F$4:$F$1463,$P101)="","",INDEX(MASTER!$F$4:$F$1463,$P101)),""))</f>
        <v>Frontline</v>
      </c>
      <c r="F101" s="16">
        <f>IF($P101="","",IFERROR(IF(INDEX(MASTER!$G$4:$G$1463,$P101)="","",INDEX(MASTER!$G$4:$G$1463,$P101)),""))</f>
        <v>64228</v>
      </c>
      <c r="G101" s="15" t="str">
        <f>IF($P101="","",IFERROR(IF(INDEX(MASTER!$H$4:$H$1463,$P101)="","",INDEX(MASTER!$H$4:$H$1463,$P101)),""))</f>
        <v>64,000 +</v>
      </c>
      <c r="H101" s="16">
        <f>IF($P101="","",IFERROR(IF(INDEX(MASTER!$I$4:$I$1463,$P101)="","",INDEX(MASTER!$I$4:$I$1463,$P101)),""))</f>
        <v>9142</v>
      </c>
      <c r="I101" s="15" t="str">
        <f>IF($P101="","",IFERROR(IF(INDEX(MASTER!$J$4:$J$1463,$P101)="","",INDEX(MASTER!$J$4:$J$1463,$P101)),""))</f>
        <v>ELITE</v>
      </c>
      <c r="J101" s="17">
        <f>IF($P101="","",IFERROR(IF(INDEX(MASTER!$L$4:$L$1463,$P101)="","",INDEX(MASTER!$L$4:$L$1463,$P101)),""))</f>
        <v>5.77</v>
      </c>
      <c r="K101" s="17">
        <f>IF($P101="","",IFERROR(IF(INDEX(MASTER!$N$4:$N$1463,$P101)="","",INDEX(MASTER!$N$4:$N$1463,$P101)),""))</f>
        <v>73.8</v>
      </c>
      <c r="L101" s="15" t="str">
        <f>IF($P101="","",IFERROR(IF(INDEX(MASTER!$O$4:$O$1463,$P101)="","",INDEX(MASTER!$O$4:$O$1463,$P101)),""))</f>
        <v>S</v>
      </c>
      <c r="M101" s="15">
        <f>IF($P101="","",IFERROR(IF(INDEX(MASTER!$Q$4:$Q$1463,$P101)="","",INDEX(MASTER!$Q$4:$Q$1463,$P101)),""))</f>
        <v>3</v>
      </c>
      <c r="N101" s="15" t="str">
        <f>IF($P101="","",IFERROR(IF(INDEX(MASTER!$S$4:$S$1463,$P101)="","",INDEX(MASTER!$S$4:$S$1463,$P101)),""))</f>
        <v>Complete</v>
      </c>
      <c r="P101">
        <f>IFERROR(MATCH($Q$1&amp;"@93",MASTER!$AC$4:$AC$1463,0),"")</f>
        <v>1322</v>
      </c>
    </row>
    <row r="102" spans="1:16">
      <c r="A102" s="19">
        <f>IF($P102="","",94)</f>
        <v>94</v>
      </c>
      <c r="B102" s="18" t="str">
        <f>IF($P102="","",IFERROR(IF(INDEX(MASTER!$C$4:$C$1463,$P102)="","",INDEX(MASTER!$C$4:$C$1463,$P102)),""))</f>
        <v>Zoomyx</v>
      </c>
      <c r="C102" s="19" t="str">
        <f>IF($P102="","",IFERROR(IF(INDEX(MASTER!$D$4:$D$1463,$P102)="","",INDEX(MASTER!$D$4:$D$1463,$P102)),""))</f>
        <v>Acheron</v>
      </c>
      <c r="D102" s="19" t="str">
        <f>IF($P102="","",IFERROR(IF(INDEX(MASTER!$E$4:$E$1463,$P102)="","",INDEX(MASTER!$E$4:$E$1463,$P102)),""))</f>
        <v>NECROMANCER</v>
      </c>
      <c r="E102" s="19" t="str">
        <f>IF($P102="","",IFERROR(IF(INDEX(MASTER!$F$4:$F$1463,$P102)="","",INDEX(MASTER!$F$4:$F$1463,$P102)),""))</f>
        <v>Control</v>
      </c>
      <c r="F102" s="20">
        <f>IF($P102="","",IFERROR(IF(INDEX(MASTER!$G$4:$G$1463,$P102)="","",INDEX(MASTER!$G$4:$G$1463,$P102)),""))</f>
        <v>60940</v>
      </c>
      <c r="G102" s="19" t="str">
        <f>IF($P102="","",IFERROR(IF(INDEX(MASTER!$H$4:$H$1463,$P102)="","",INDEX(MASTER!$H$4:$H$1463,$P102)),""))</f>
        <v>60,000 - 60,999</v>
      </c>
      <c r="H102" s="20">
        <f>IF($P102="","",IFERROR(IF(INDEX(MASTER!$I$4:$I$1463,$P102)="","",INDEX(MASTER!$I$4:$I$1463,$P102)),""))</f>
        <v>3144</v>
      </c>
      <c r="I102" s="19" t="str">
        <f>IF($P102="","",IFERROR(IF(INDEX(MASTER!$J$4:$J$1463,$P102)="","",INDEX(MASTER!$J$4:$J$1463,$P102)),""))</f>
        <v>DEVELOPING</v>
      </c>
      <c r="J102" s="21">
        <f>IF($P102="","",IFERROR(IF(INDEX(MASTER!$L$4:$L$1463,$P102)="","",INDEX(MASTER!$L$4:$L$1463,$P102)),""))</f>
        <v>4.5</v>
      </c>
      <c r="K102" s="21">
        <f>IF($P102="","",IFERROR(IF(INDEX(MASTER!$N$4:$N$1463,$P102)="","",INDEX(MASTER!$N$4:$N$1463,$P102)),""))</f>
        <v>36.9</v>
      </c>
      <c r="L102" s="19" t="str">
        <f>IF($P102="","",IFERROR(IF(INDEX(MASTER!$O$4:$O$1463,$P102)="","",INDEX(MASTER!$O$4:$O$1463,$P102)),""))</f>
        <v>B</v>
      </c>
      <c r="M102" s="19">
        <f>IF($P102="","",IFERROR(IF(INDEX(MASTER!$Q$4:$Q$1463,$P102)="","",INDEX(MASTER!$Q$4:$Q$1463,$P102)),""))</f>
        <v>65</v>
      </c>
      <c r="N102" s="19" t="str">
        <f>IF($P102="","",IFERROR(IF(INDEX(MASTER!$S$4:$S$1463,$P102)="","",INDEX(MASTER!$S$4:$S$1463,$P102)),""))</f>
        <v>Complete</v>
      </c>
      <c r="P102">
        <f>IFERROR(MATCH($Q$1&amp;"@94",MASTER!$AC$4:$AC$1463,0),"")</f>
        <v>1325</v>
      </c>
    </row>
    <row r="103" spans="1:16">
      <c r="A103" s="15">
        <f>IF($P103="","",95)</f>
        <v>95</v>
      </c>
      <c r="B103" s="14" t="str">
        <f>IF($P103="","",IFERROR(IF(INDEX(MASTER!$C$4:$C$1463,$P103)="","",INDEX(MASTER!$C$4:$C$1463,$P103)),""))</f>
        <v>Айова</v>
      </c>
      <c r="C103" s="15" t="str">
        <f>IF($P103="","",IFERROR(IF(INDEX(MASTER!$D$4:$D$1463,$P103)="","",INDEX(MASTER!$D$4:$D$1463,$P103)),""))</f>
        <v>Acheron</v>
      </c>
      <c r="D103" s="15" t="str">
        <f>IF($P103="","",IFERROR(IF(INDEX(MASTER!$E$4:$E$1463,$P103)="","",INDEX(MASTER!$E$4:$E$1463,$P103)),""))</f>
        <v>BARBARIAN</v>
      </c>
      <c r="E103" s="15" t="str">
        <f>IF($P103="","",IFERROR(IF(INDEX(MASTER!$F$4:$F$1463,$P103)="","",INDEX(MASTER!$F$4:$F$1463,$P103)),""))</f>
        <v>Frontline</v>
      </c>
      <c r="F103" s="16">
        <f>IF($P103="","",IFERROR(IF(INDEX(MASTER!$G$4:$G$1463,$P103)="","",INDEX(MASTER!$G$4:$G$1463,$P103)),""))</f>
        <v>63005</v>
      </c>
      <c r="G103" s="15" t="str">
        <f>IF($P103="","",IFERROR(IF(INDEX(MASTER!$H$4:$H$1463,$P103)="","",INDEX(MASTER!$H$4:$H$1463,$P103)),""))</f>
        <v>63,000 - 63,999</v>
      </c>
      <c r="H103" s="16">
        <f>IF($P103="","",IFERROR(IF(INDEX(MASTER!$I$4:$I$1463,$P103)="","",INDEX(MASTER!$I$4:$I$1463,$P103)),""))</f>
        <v>2932</v>
      </c>
      <c r="I103" s="15" t="str">
        <f>IF($P103="","",IFERROR(IF(INDEX(MASTER!$J$4:$J$1463,$P103)="","",INDEX(MASTER!$J$4:$J$1463,$P103)),""))</f>
        <v>DEVELOPING</v>
      </c>
      <c r="J103" s="17">
        <f>IF($P103="","",IFERROR(IF(INDEX(MASTER!$L$4:$L$1463,$P103)="","",INDEX(MASTER!$L$4:$L$1463,$P103)),""))</f>
        <v>3.85</v>
      </c>
      <c r="K103" s="17">
        <f>IF($P103="","",IFERROR(IF(INDEX(MASTER!$N$4:$N$1463,$P103)="","",INDEX(MASTER!$N$4:$N$1463,$P103)),""))</f>
        <v>40.299999999999997</v>
      </c>
      <c r="L103" s="15" t="str">
        <f>IF($P103="","",IFERROR(IF(INDEX(MASTER!$O$4:$O$1463,$P103)="","",INDEX(MASTER!$O$4:$O$1463,$P103)),""))</f>
        <v>B</v>
      </c>
      <c r="M103" s="15">
        <f>IF($P103="","",IFERROR(IF(INDEX(MASTER!$Q$4:$Q$1463,$P103)="","",INDEX(MASTER!$Q$4:$Q$1463,$P103)),""))</f>
        <v>68</v>
      </c>
      <c r="N103" s="15" t="str">
        <f>IF($P103="","",IFERROR(IF(INDEX(MASTER!$S$4:$S$1463,$P103)="","",INDEX(MASTER!$S$4:$S$1463,$P103)),""))</f>
        <v>Complete</v>
      </c>
      <c r="P103">
        <f>IFERROR(MATCH($Q$1&amp;"@95",MASTER!$AC$4:$AC$1463,0),"")</f>
        <v>1350</v>
      </c>
    </row>
    <row r="104" spans="1:16">
      <c r="A104" s="19">
        <f>IF($P104="","",96)</f>
        <v>96</v>
      </c>
      <c r="B104" s="18" t="str">
        <f>IF($P104="","",IFERROR(IF(INDEX(MASTER!$C$4:$C$1463,$P104)="","",INDEX(MASTER!$C$4:$C$1463,$P104)),""))</f>
        <v>从âcks</v>
      </c>
      <c r="C104" s="19" t="str">
        <f>IF($P104="","",IFERROR(IF(INDEX(MASTER!$D$4:$D$1463,$P104)="","",INDEX(MASTER!$D$4:$D$1463,$P104)),""))</f>
        <v>Acheron</v>
      </c>
      <c r="D104" s="19" t="str">
        <f>IF($P104="","",IFERROR(IF(INDEX(MASTER!$E$4:$E$1463,$P104)="","",INDEX(MASTER!$E$4:$E$1463,$P104)),""))</f>
        <v>WIZARD</v>
      </c>
      <c r="E104" s="19" t="str">
        <f>IF($P104="","",IFERROR(IF(INDEX(MASTER!$F$4:$F$1463,$P104)="","",INDEX(MASTER!$F$4:$F$1463,$P104)),""))</f>
        <v>Ranged DPS</v>
      </c>
      <c r="F104" s="20">
        <f>IF($P104="","",IFERROR(IF(INDEX(MASTER!$G$4:$G$1463,$P104)="","",INDEX(MASTER!$G$4:$G$1463,$P104)),""))</f>
        <v>61941</v>
      </c>
      <c r="G104" s="19" t="str">
        <f>IF($P104="","",IFERROR(IF(INDEX(MASTER!$H$4:$H$1463,$P104)="","",INDEX(MASTER!$H$4:$H$1463,$P104)),""))</f>
        <v>61,000 - 61,999</v>
      </c>
      <c r="H104" s="20">
        <f>IF($P104="","",IFERROR(IF(INDEX(MASTER!$I$4:$I$1463,$P104)="","",INDEX(MASTER!$I$4:$I$1463,$P104)),""))</f>
        <v>3333</v>
      </c>
      <c r="I104" s="19" t="str">
        <f>IF($P104="","",IFERROR(IF(INDEX(MASTER!$J$4:$J$1463,$P104)="","",INDEX(MASTER!$J$4:$J$1463,$P104)),""))</f>
        <v>DEVELOPING</v>
      </c>
      <c r="J104" s="21">
        <f>IF($P104="","",IFERROR(IF(INDEX(MASTER!$L$4:$L$1463,$P104)="","",INDEX(MASTER!$L$4:$L$1463,$P104)),""))</f>
        <v>7.1</v>
      </c>
      <c r="K104" s="21">
        <f>IF($P104="","",IFERROR(IF(INDEX(MASTER!$N$4:$N$1463,$P104)="","",INDEX(MASTER!$N$4:$N$1463,$P104)),""))</f>
        <v>44.6</v>
      </c>
      <c r="L104" s="19" t="str">
        <f>IF($P104="","",IFERROR(IF(INDEX(MASTER!$O$4:$O$1463,$P104)="","",INDEX(MASTER!$O$4:$O$1463,$P104)),""))</f>
        <v>B</v>
      </c>
      <c r="M104" s="19">
        <f>IF($P104="","",IFERROR(IF(INDEX(MASTER!$Q$4:$Q$1463,$P104)="","",INDEX(MASTER!$Q$4:$Q$1463,$P104)),""))</f>
        <v>59</v>
      </c>
      <c r="N104" s="19" t="str">
        <f>IF($P104="","",IFERROR(IF(INDEX(MASTER!$S$4:$S$1463,$P104)="","",INDEX(MASTER!$S$4:$S$1463,$P104)),""))</f>
        <v>Complete</v>
      </c>
      <c r="P104">
        <f>IFERROR(MATCH($Q$1&amp;"@96",MASTER!$AC$4:$AC$1463,0),"")</f>
        <v>1358</v>
      </c>
    </row>
    <row r="105" spans="1:16">
      <c r="A105" s="15" t="str">
        <f>IF($P105="","",97)</f>
        <v/>
      </c>
      <c r="B105" s="14" t="str">
        <f>IF($P105="","",IFERROR(IF(INDEX(MASTER!$C$4:$C$1463,$P105)="","",INDEX(MASTER!$C$4:$C$1463,$P105)),""))</f>
        <v/>
      </c>
      <c r="C105" s="15" t="str">
        <f>IF($P105="","",IFERROR(IF(INDEX(MASTER!$D$4:$D$1463,$P105)="","",INDEX(MASTER!$D$4:$D$1463,$P105)),""))</f>
        <v/>
      </c>
      <c r="D105" s="15" t="str">
        <f>IF($P105="","",IFERROR(IF(INDEX(MASTER!$E$4:$E$1463,$P105)="","",INDEX(MASTER!$E$4:$E$1463,$P105)),""))</f>
        <v/>
      </c>
      <c r="E105" s="15" t="str">
        <f>IF($P105="","",IFERROR(IF(INDEX(MASTER!$F$4:$F$1463,$P105)="","",INDEX(MASTER!$F$4:$F$1463,$P105)),""))</f>
        <v/>
      </c>
      <c r="F105" s="16" t="str">
        <f>IF($P105="","",IFERROR(IF(INDEX(MASTER!$G$4:$G$1463,$P105)="","",INDEX(MASTER!$G$4:$G$1463,$P105)),""))</f>
        <v/>
      </c>
      <c r="G105" s="15" t="str">
        <f>IF($P105="","",IFERROR(IF(INDEX(MASTER!$H$4:$H$1463,$P105)="","",INDEX(MASTER!$H$4:$H$1463,$P105)),""))</f>
        <v/>
      </c>
      <c r="H105" s="16" t="str">
        <f>IF($P105="","",IFERROR(IF(INDEX(MASTER!$I$4:$I$1463,$P105)="","",INDEX(MASTER!$I$4:$I$1463,$P105)),""))</f>
        <v/>
      </c>
      <c r="I105" s="15" t="str">
        <f>IF($P105="","",IFERROR(IF(INDEX(MASTER!$J$4:$J$1463,$P105)="","",INDEX(MASTER!$J$4:$J$1463,$P105)),""))</f>
        <v/>
      </c>
      <c r="J105" s="17" t="str">
        <f>IF($P105="","",IFERROR(IF(INDEX(MASTER!$L$4:$L$1463,$P105)="","",INDEX(MASTER!$L$4:$L$1463,$P105)),""))</f>
        <v/>
      </c>
      <c r="K105" s="17" t="str">
        <f>IF($P105="","",IFERROR(IF(INDEX(MASTER!$N$4:$N$1463,$P105)="","",INDEX(MASTER!$N$4:$N$1463,$P105)),""))</f>
        <v/>
      </c>
      <c r="L105" s="15" t="str">
        <f>IF($P105="","",IFERROR(IF(INDEX(MASTER!$O$4:$O$1463,$P105)="","",INDEX(MASTER!$O$4:$O$1463,$P105)),""))</f>
        <v/>
      </c>
      <c r="M105" s="15" t="str">
        <f>IF($P105="","",IFERROR(IF(INDEX(MASTER!$Q$4:$Q$1463,$P105)="","",INDEX(MASTER!$Q$4:$Q$1463,$P105)),""))</f>
        <v/>
      </c>
      <c r="N105" s="15" t="str">
        <f>IF($P105="","",IFERROR(IF(INDEX(MASTER!$S$4:$S$1463,$P105)="","",INDEX(MASTER!$S$4:$S$1463,$P105)),""))</f>
        <v/>
      </c>
      <c r="P105" t="str">
        <f>IFERROR(MATCH($Q$1&amp;"@97",MASTER!$AC$4:$AC$1463,0),"")</f>
        <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2" spans="1:16" ht="19.5" customHeight="1">
      <c r="B132" s="91" t="s">
        <v>488</v>
      </c>
      <c r="C132" s="91"/>
      <c r="D132" s="91"/>
      <c r="E132" s="91"/>
      <c r="F132" s="91"/>
      <c r="G132" s="91"/>
    </row>
    <row r="133" spans="1:16" ht="27.75" customHeight="1">
      <c r="B133" s="108" t="s">
        <v>68</v>
      </c>
      <c r="C133" s="108"/>
      <c r="D133" s="13" t="s">
        <v>69</v>
      </c>
      <c r="E133" s="13" t="s">
        <v>64</v>
      </c>
      <c r="F133" s="13" t="s">
        <v>50</v>
      </c>
      <c r="G133" s="13" t="s">
        <v>51</v>
      </c>
    </row>
    <row r="134" spans="1:16">
      <c r="B134" s="105" t="s">
        <v>71</v>
      </c>
      <c r="C134" s="105"/>
      <c r="D134" s="20" t="str">
        <f>IFERROR(INDEX(SETUP!$B$55:$B$64,MATCH($B134,SETUP!$A$55:$A$64,0)),"-")</f>
        <v>Frontline</v>
      </c>
      <c r="E134" s="20">
        <f>COUNTIFS(MASTER!$B:$B,$Q$1,MASTER!$E:$E,$B134)</f>
        <v>12</v>
      </c>
      <c r="F134" s="20">
        <f>IFERROR(ROUND(AVERAGEIFS(MASTER!$I:$I,MASTER!$B:$B,$Q$1,MASTER!$E:$E,$B134),0),"-")</f>
        <v>3912</v>
      </c>
      <c r="G134" s="20">
        <f>IF($E134=0,"-",IFERROR(_xlfn.MAXIFS(MASTER!$I:$I,MASTER!$B:$B,$Q$1,MASTER!$E:$E,$B134),"-"))</f>
        <v>7214</v>
      </c>
    </row>
    <row r="135" spans="1:16">
      <c r="B135" s="106" t="s">
        <v>72</v>
      </c>
      <c r="C135" s="106"/>
      <c r="D135" s="16" t="str">
        <f>IFERROR(INDEX(SETUP!$B$55:$B$64,MATCH($B135,SETUP!$A$55:$A$64,0)),"-")</f>
        <v>Frontline</v>
      </c>
      <c r="E135" s="16">
        <f>COUNTIFS(MASTER!$B:$B,$Q$1,MASTER!$E:$E,$B135)</f>
        <v>18</v>
      </c>
      <c r="F135" s="16">
        <f>IFERROR(ROUND(AVERAGEIFS(MASTER!$I:$I,MASTER!$B:$B,$Q$1,MASTER!$E:$E,$B135),0),"-")</f>
        <v>4833</v>
      </c>
      <c r="G135" s="16">
        <f>IF($E135=0,"-",IFERROR(_xlfn.MAXIFS(MASTER!$I:$I,MASTER!$B:$B,$Q$1,MASTER!$E:$E,$B135),"-"))</f>
        <v>10705</v>
      </c>
    </row>
    <row r="136" spans="1:16">
      <c r="B136" s="105" t="s">
        <v>73</v>
      </c>
      <c r="C136" s="105"/>
      <c r="D136" s="20" t="str">
        <f>IFERROR(INDEX(SETUP!$B$55:$B$64,MATCH($B136,SETUP!$A$55:$A$64,0)),"-")</f>
        <v>Frontline</v>
      </c>
      <c r="E136" s="20">
        <f>COUNTIFS(MASTER!$B:$B,$Q$1,MASTER!$E:$E,$B136)</f>
        <v>8</v>
      </c>
      <c r="F136" s="20">
        <f>IFERROR(ROUND(AVERAGEIFS(MASTER!$I:$I,MASTER!$B:$B,$Q$1,MASTER!$E:$E,$B136),0),"-")</f>
        <v>4380</v>
      </c>
      <c r="G136" s="20">
        <f>IF($E136=0,"-",IFERROR(_xlfn.MAXIFS(MASTER!$I:$I,MASTER!$B:$B,$Q$1,MASTER!$E:$E,$B136),"-"))</f>
        <v>9142</v>
      </c>
    </row>
    <row r="137" spans="1:16">
      <c r="B137" s="106" t="s">
        <v>74</v>
      </c>
      <c r="C137" s="106"/>
      <c r="D137" s="16" t="str">
        <f>IFERROR(INDEX(SETUP!$B$55:$B$64,MATCH($B137,SETUP!$A$55:$A$64,0)),"-")</f>
        <v>Ranged DPS</v>
      </c>
      <c r="E137" s="16">
        <f>COUNTIFS(MASTER!$B:$B,$Q$1,MASTER!$E:$E,$B137)</f>
        <v>14</v>
      </c>
      <c r="F137" s="16">
        <f>IFERROR(ROUND(AVERAGEIFS(MASTER!$I:$I,MASTER!$B:$B,$Q$1,MASTER!$E:$E,$B137),0),"-")</f>
        <v>3793</v>
      </c>
      <c r="G137" s="16">
        <f>IF($E137=0,"-",IFERROR(_xlfn.MAXIFS(MASTER!$I:$I,MASTER!$B:$B,$Q$1,MASTER!$E:$E,$B137),"-"))</f>
        <v>8735</v>
      </c>
    </row>
    <row r="138" spans="1:16">
      <c r="B138" s="105" t="s">
        <v>75</v>
      </c>
      <c r="C138" s="105"/>
      <c r="D138" s="20" t="str">
        <f>IFERROR(INDEX(SETUP!$B$55:$B$64,MATCH($B138,SETUP!$A$55:$A$64,0)),"-")</f>
        <v>Support</v>
      </c>
      <c r="E138" s="20">
        <f>COUNTIFS(MASTER!$B:$B,$Q$1,MASTER!$E:$E,$B138)</f>
        <v>4</v>
      </c>
      <c r="F138" s="20">
        <f>IFERROR(ROUND(AVERAGEIFS(MASTER!$I:$I,MASTER!$B:$B,$Q$1,MASTER!$E:$E,$B138),0),"-")</f>
        <v>2506</v>
      </c>
      <c r="G138" s="20">
        <f>IF($E138=0,"-",IFERROR(_xlfn.MAXIFS(MASTER!$I:$I,MASTER!$B:$B,$Q$1,MASTER!$E:$E,$B138),"-"))</f>
        <v>5283</v>
      </c>
    </row>
    <row r="139" spans="1:16">
      <c r="B139" s="106" t="s">
        <v>76</v>
      </c>
      <c r="C139" s="106"/>
      <c r="D139" s="16" t="str">
        <f>IFERROR(INDEX(SETUP!$B$55:$B$64,MATCH($B139,SETUP!$A$55:$A$64,0)),"-")</f>
        <v>Support</v>
      </c>
      <c r="E139" s="16">
        <f>COUNTIFS(MASTER!$B:$B,$Q$1,MASTER!$E:$E,$B139)</f>
        <v>2</v>
      </c>
      <c r="F139" s="16">
        <f>IFERROR(ROUND(AVERAGEIFS(MASTER!$I:$I,MASTER!$B:$B,$Q$1,MASTER!$E:$E,$B139),0),"-")</f>
        <v>4120</v>
      </c>
      <c r="G139" s="16">
        <f>IF($E139=0,"-",IFERROR(_xlfn.MAXIFS(MASTER!$I:$I,MASTER!$B:$B,$Q$1,MASTER!$E:$E,$B139),"-"))</f>
        <v>4897</v>
      </c>
    </row>
    <row r="140" spans="1:16">
      <c r="B140" s="105" t="s">
        <v>77</v>
      </c>
      <c r="C140" s="105"/>
      <c r="D140" s="20" t="str">
        <f>IFERROR(INDEX(SETUP!$B$55:$B$64,MATCH($B140,SETUP!$A$55:$A$64,0)),"-")</f>
        <v>Control</v>
      </c>
      <c r="E140" s="20">
        <f>COUNTIFS(MASTER!$B:$B,$Q$1,MASTER!$E:$E,$B140)</f>
        <v>8</v>
      </c>
      <c r="F140" s="20">
        <f>IFERROR(ROUND(AVERAGEIFS(MASTER!$I:$I,MASTER!$B:$B,$Q$1,MASTER!$E:$E,$B140),0),"-")</f>
        <v>3151</v>
      </c>
      <c r="G140" s="20">
        <f>IF($E140=0,"-",IFERROR(_xlfn.MAXIFS(MASTER!$I:$I,MASTER!$B:$B,$Q$1,MASTER!$E:$E,$B140),"-"))</f>
        <v>5096</v>
      </c>
    </row>
    <row r="141" spans="1:16">
      <c r="B141" s="106" t="s">
        <v>78</v>
      </c>
      <c r="C141" s="106"/>
      <c r="D141" s="16" t="str">
        <f>IFERROR(INDEX(SETUP!$B$55:$B$64,MATCH($B141,SETUP!$A$55:$A$64,0)),"-")</f>
        <v>Melee DPS</v>
      </c>
      <c r="E141" s="16">
        <f>COUNTIFS(MASTER!$B:$B,$Q$1,MASTER!$E:$E,$B141)</f>
        <v>1</v>
      </c>
      <c r="F141" s="16">
        <f>IFERROR(ROUND(AVERAGEIFS(MASTER!$I:$I,MASTER!$B:$B,$Q$1,MASTER!$E:$E,$B141),0),"-")</f>
        <v>782</v>
      </c>
      <c r="G141" s="16">
        <f>IF($E141=0,"-",IFERROR(_xlfn.MAXIFS(MASTER!$I:$I,MASTER!$B:$B,$Q$1,MASTER!$E:$E,$B141),"-"))</f>
        <v>782</v>
      </c>
    </row>
    <row r="142" spans="1:16">
      <c r="B142" s="105" t="s">
        <v>79</v>
      </c>
      <c r="C142" s="105"/>
      <c r="D142" s="20" t="str">
        <f>IFERROR(INDEX(SETUP!$B$55:$B$64,MATCH($B142,SETUP!$A$55:$A$64,0)),"-")</f>
        <v>Control</v>
      </c>
      <c r="E142" s="20">
        <f>COUNTIFS(MASTER!$B:$B,$Q$1,MASTER!$E:$E,$B142)</f>
        <v>18</v>
      </c>
      <c r="F142" s="20">
        <f>IFERROR(ROUND(AVERAGEIFS(MASTER!$I:$I,MASTER!$B:$B,$Q$1,MASTER!$E:$E,$B142),0),"-")</f>
        <v>4896</v>
      </c>
      <c r="G142" s="20">
        <f>IF($E142=0,"-",IFERROR(_xlfn.MAXIFS(MASTER!$I:$I,MASTER!$B:$B,$Q$1,MASTER!$E:$E,$B142),"-"))</f>
        <v>8372</v>
      </c>
    </row>
    <row r="143" spans="1:16">
      <c r="B143" s="106" t="s">
        <v>80</v>
      </c>
      <c r="C143" s="106"/>
      <c r="D143" s="16" t="str">
        <f>IFERROR(INDEX(SETUP!$B$55:$B$64,MATCH($B143,SETUP!$A$55:$A$64,0)),"-")</f>
        <v>Ranged DPS</v>
      </c>
      <c r="E143" s="16">
        <f>COUNTIFS(MASTER!$B:$B,$Q$1,MASTER!$E:$E,$B143)</f>
        <v>9</v>
      </c>
      <c r="F143" s="16">
        <f>IFERROR(ROUND(AVERAGEIFS(MASTER!$I:$I,MASTER!$B:$B,$Q$1,MASTER!$E:$E,$B143),0),"-")</f>
        <v>3785</v>
      </c>
      <c r="G143" s="16">
        <f>IF($E143=0,"-",IFERROR(_xlfn.MAXIFS(MASTER!$I:$I,MASTER!$B:$B,$Q$1,MASTER!$E:$E,$B143),"-"))</f>
        <v>7497</v>
      </c>
    </row>
  </sheetData>
  <autoFilter ref="A8:N129" xr:uid="{00000000-0009-0000-0000-000010000000}"/>
  <mergeCells count="29">
    <mergeCell ref="A1:N1"/>
    <mergeCell ref="A2:N2"/>
    <mergeCell ref="A4:B4"/>
    <mergeCell ref="C4:D4"/>
    <mergeCell ref="E4:F4"/>
    <mergeCell ref="G4:H4"/>
    <mergeCell ref="I4:J4"/>
    <mergeCell ref="K4:L4"/>
    <mergeCell ref="M4:N4"/>
    <mergeCell ref="K5:L5"/>
    <mergeCell ref="M5:N5"/>
    <mergeCell ref="A7:N7"/>
    <mergeCell ref="B132:G132"/>
    <mergeCell ref="B133:C133"/>
    <mergeCell ref="A5:B5"/>
    <mergeCell ref="C5:D5"/>
    <mergeCell ref="E5:F5"/>
    <mergeCell ref="G5:H5"/>
    <mergeCell ref="I5:J5"/>
    <mergeCell ref="B134:C134"/>
    <mergeCell ref="B135:C135"/>
    <mergeCell ref="B136:C136"/>
    <mergeCell ref="B137:C137"/>
    <mergeCell ref="B138:C138"/>
    <mergeCell ref="B139:C139"/>
    <mergeCell ref="B140:C140"/>
    <mergeCell ref="B141:C141"/>
    <mergeCell ref="B142:C142"/>
    <mergeCell ref="B143:C143"/>
  </mergeCells>
  <conditionalFormatting sqref="H9:H129">
    <cfRule type="colorScale" priority="2">
      <colorScale>
        <cfvo type="num" val="0"/>
        <cfvo type="num" val="5000"/>
        <cfvo type="num" val="12600"/>
        <color rgb="FFF8CBAD"/>
        <color rgb="FFFFE699"/>
        <color rgb="FFA9D08E"/>
      </colorScale>
    </cfRule>
  </conditionalFormatting>
  <conditionalFormatting sqref="N9:N129">
    <cfRule type="cellIs" dxfId="8"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27 A29:Q143 A28:F28 H28:Q28" evalError="1" twoDigitTextYear="1" numberStoredAsText="1" formula="1" formulaRange="1" unlockedFormula="1" emptyCellReference="1" listDataValidation="1" calculatedColumn="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pageSetUpPr fitToPage="1"/>
  </sheetPr>
  <dimension ref="A1:Q147"/>
  <sheetViews>
    <sheetView showGridLines="0"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496</v>
      </c>
      <c r="B1" s="92"/>
      <c r="C1" s="92"/>
      <c r="D1" s="92"/>
      <c r="E1" s="92"/>
      <c r="F1" s="92"/>
      <c r="G1" s="92"/>
      <c r="H1" s="92"/>
      <c r="I1" s="92"/>
      <c r="J1" s="92"/>
      <c r="K1" s="92"/>
      <c r="L1" s="92"/>
      <c r="M1" s="92"/>
      <c r="N1" s="92"/>
      <c r="Q1" t="s">
        <v>113</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100</v>
      </c>
      <c r="B5" s="95"/>
      <c r="C5" s="95">
        <f>COUNTIFS(MASTER!$B:$B,$Q$1,MASTER!$S:$S,"Complete")</f>
        <v>99</v>
      </c>
      <c r="D5" s="95"/>
      <c r="E5" s="95">
        <f>IFERROR(ROUND(AVERAGEIFS(MASTER!$I:$I,MASTER!$B:$B,$Q$1),0),"-")</f>
        <v>3415</v>
      </c>
      <c r="F5" s="95"/>
      <c r="G5" s="95">
        <f>IFERROR(_xlfn.MAXIFS(MASTER!$I:$I,MASTER!$B:$B,$Q$1),"-")</f>
        <v>9752</v>
      </c>
      <c r="H5" s="95"/>
      <c r="I5" s="95">
        <f>COUNTIFS(MASTER!$B:$B,$Q$1,MASTER!$I:$I,"&gt;=10000")</f>
        <v>0</v>
      </c>
      <c r="J5" s="95"/>
      <c r="K5" s="107">
        <f>IFERROR(ROUND(AVERAGEIFS(MASTER!$N:$N,MASTER!$B:$B,$Q$1),1),"-")</f>
        <v>40.6</v>
      </c>
      <c r="L5" s="107"/>
      <c r="M5" s="95">
        <f>IF($Q$1="FUCT","- ours -",IFERROR(ROUND(AVERAGEIFS(MASTER!$I:$I,MASTER!$B:$B,$Q$1)-AVERAGEIF(MASTER!$B:$B,"FUCT",MASTER!$I:$I),0),"-"))</f>
        <v>-1799</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Aailith</v>
      </c>
      <c r="C9" s="15" t="str">
        <f>IF($P9="","",IFERROR(IF(INDEX(MASTER!$D$4:$D$1463,$P9)="","",INDEX(MASTER!$D$4:$D$1463,$P9)),""))</f>
        <v>Invictus</v>
      </c>
      <c r="D9" s="15" t="str">
        <f>IF($P9="","",IFERROR(IF(INDEX(MASTER!$E$4:$E$1463,$P9)="","",INDEX(MASTER!$E$4:$E$1463,$P9)),""))</f>
        <v>DEMON HUNTER</v>
      </c>
      <c r="E9" s="15" t="str">
        <f>IF($P9="","",IFERROR(IF(INDEX(MASTER!$F$4:$F$1463,$P9)="","",INDEX(MASTER!$F$4:$F$1463,$P9)),""))</f>
        <v>Ranged DPS</v>
      </c>
      <c r="F9" s="16">
        <f>IF($P9="","",IFERROR(IF(INDEX(MASTER!$G$4:$G$1463,$P9)="","",INDEX(MASTER!$G$4:$G$1463,$P9)),""))</f>
        <v>61966</v>
      </c>
      <c r="G9" s="15" t="str">
        <f>IF($P9="","",IFERROR(IF(INDEX(MASTER!$H$4:$H$1463,$P9)="","",INDEX(MASTER!$H$4:$H$1463,$P9)),""))</f>
        <v>61,000 - 61,999</v>
      </c>
      <c r="H9" s="16">
        <f>IF($P9="","",IFERROR(IF(INDEX(MASTER!$I$4:$I$1463,$P9)="","",INDEX(MASTER!$I$4:$I$1463,$P9)),""))</f>
        <v>4714</v>
      </c>
      <c r="I9" s="15" t="str">
        <f>IF($P9="","",IFERROR(IF(INDEX(MASTER!$J$4:$J$1463,$P9)="","",INDEX(MASTER!$J$4:$J$1463,$P9)),""))</f>
        <v>CORE</v>
      </c>
      <c r="J9" s="17">
        <f>IF($P9="","",IFERROR(IF(INDEX(MASTER!$L$4:$L$1463,$P9)="","",INDEX(MASTER!$L$4:$L$1463,$P9)),""))</f>
        <v>4.95</v>
      </c>
      <c r="K9" s="17">
        <f>IF($P9="","",IFERROR(IF(INDEX(MASTER!$N$4:$N$1463,$P9)="","",INDEX(MASTER!$N$4:$N$1463,$P9)),""))</f>
        <v>47.2</v>
      </c>
      <c r="L9" s="15" t="str">
        <f>IF($P9="","",IFERROR(IF(INDEX(MASTER!$O$4:$O$1463,$P9)="","",INDEX(MASTER!$O$4:$O$1463,$P9)),""))</f>
        <v>B</v>
      </c>
      <c r="M9" s="15">
        <f>IF($P9="","",IFERROR(IF(INDEX(MASTER!$Q$4:$Q$1463,$P9)="","",INDEX(MASTER!$Q$4:$Q$1463,$P9)),""))</f>
        <v>20</v>
      </c>
      <c r="N9" s="15" t="str">
        <f>IF($P9="","",IFERROR(IF(INDEX(MASTER!$S$4:$S$1463,$P9)="","",INDEX(MASTER!$S$4:$S$1463,$P9)),""))</f>
        <v>Complete</v>
      </c>
      <c r="P9">
        <f>IFERROR(MATCH($Q$1&amp;"@1",MASTER!$AC$4:$AC$1463,0),"")</f>
        <v>10</v>
      </c>
    </row>
    <row r="10" spans="1:17">
      <c r="A10" s="19">
        <f>IF($P10="","",2)</f>
        <v>2</v>
      </c>
      <c r="B10" s="18" t="str">
        <f>IF($P10="","",IFERROR(IF(INDEX(MASTER!$C$4:$C$1463,$P10)="","",INDEX(MASTER!$C$4:$C$1463,$P10)),""))</f>
        <v>AlphaWolf565</v>
      </c>
      <c r="C10" s="19" t="str">
        <f>IF($P10="","",IFERROR(IF(INDEX(MASTER!$D$4:$D$1463,$P10)="","",INDEX(MASTER!$D$4:$D$1463,$P10)),""))</f>
        <v>Invictus</v>
      </c>
      <c r="D10" s="19" t="str">
        <f>IF($P10="","",IFERROR(IF(INDEX(MASTER!$E$4:$E$1463,$P10)="","",INDEX(MASTER!$E$4:$E$1463,$P10)),""))</f>
        <v>BARBARIAN</v>
      </c>
      <c r="E10" s="19" t="str">
        <f>IF($P10="","",IFERROR(IF(INDEX(MASTER!$F$4:$F$1463,$P10)="","",INDEX(MASTER!$F$4:$F$1463,$P10)),""))</f>
        <v>Frontline</v>
      </c>
      <c r="F10" s="20">
        <f>IF($P10="","",IFERROR(IF(INDEX(MASTER!$G$4:$G$1463,$P10)="","",INDEX(MASTER!$G$4:$G$1463,$P10)),""))</f>
        <v>61215</v>
      </c>
      <c r="G10" s="19" t="str">
        <f>IF($P10="","",IFERROR(IF(INDEX(MASTER!$H$4:$H$1463,$P10)="","",INDEX(MASTER!$H$4:$H$1463,$P10)),""))</f>
        <v>61,000 - 61,999</v>
      </c>
      <c r="H10" s="20">
        <f>IF($P10="","",IFERROR(IF(INDEX(MASTER!$I$4:$I$1463,$P10)="","",INDEX(MASTER!$I$4:$I$1463,$P10)),""))</f>
        <v>1470</v>
      </c>
      <c r="I10" s="19" t="str">
        <f>IF($P10="","",IFERROR(IF(INDEX(MASTER!$J$4:$J$1463,$P10)="","",INDEX(MASTER!$J$4:$J$1463,$P10)),""))</f>
        <v>ROOKIE</v>
      </c>
      <c r="J10" s="21">
        <f>IF($P10="","",IFERROR(IF(INDEX(MASTER!$L$4:$L$1463,$P10)="","",INDEX(MASTER!$L$4:$L$1463,$P10)),""))</f>
        <v>3.85</v>
      </c>
      <c r="K10" s="21">
        <f>IF($P10="","",IFERROR(IF(INDEX(MASTER!$N$4:$N$1463,$P10)="","",INDEX(MASTER!$N$4:$N$1463,$P10)),""))</f>
        <v>29.2</v>
      </c>
      <c r="L10" s="19" t="str">
        <f>IF($P10="","",IFERROR(IF(INDEX(MASTER!$O$4:$O$1463,$P10)="","",INDEX(MASTER!$O$4:$O$1463,$P10)),""))</f>
        <v>C</v>
      </c>
      <c r="M10" s="19">
        <f>IF($P10="","",IFERROR(IF(INDEX(MASTER!$Q$4:$Q$1463,$P10)="","",INDEX(MASTER!$Q$4:$Q$1463,$P10)),""))</f>
        <v>91</v>
      </c>
      <c r="N10" s="19" t="str">
        <f>IF($P10="","",IFERROR(IF(INDEX(MASTER!$S$4:$S$1463,$P10)="","",INDEX(MASTER!$S$4:$S$1463,$P10)),""))</f>
        <v>Complete</v>
      </c>
      <c r="P10">
        <f>IFERROR(MATCH($Q$1&amp;"@2",MASTER!$AC$4:$AC$1463,0),"")</f>
        <v>35</v>
      </c>
    </row>
    <row r="11" spans="1:17">
      <c r="A11" s="15">
        <f>IF($P11="","",3)</f>
        <v>3</v>
      </c>
      <c r="B11" s="14" t="str">
        <f>IF($P11="","",IFERROR(IF(INDEX(MASTER!$C$4:$C$1463,$P11)="","",INDEX(MASTER!$C$4:$C$1463,$P11)),""))</f>
        <v>ÅngelOfDeath</v>
      </c>
      <c r="C11" s="15" t="str">
        <f>IF($P11="","",IFERROR(IF(INDEX(MASTER!$D$4:$D$1463,$P11)="","",INDEX(MASTER!$D$4:$D$1463,$P11)),""))</f>
        <v>Invictus</v>
      </c>
      <c r="D11" s="15" t="str">
        <f>IF($P11="","",IFERROR(IF(INDEX(MASTER!$E$4:$E$1463,$P11)="","",INDEX(MASTER!$E$4:$E$1463,$P11)),""))</f>
        <v>WARLOCK</v>
      </c>
      <c r="E11" s="15" t="str">
        <f>IF($P11="","",IFERROR(IF(INDEX(MASTER!$F$4:$F$1463,$P11)="","",INDEX(MASTER!$F$4:$F$1463,$P11)),""))</f>
        <v>Control</v>
      </c>
      <c r="F11" s="16">
        <f>IF($P11="","",IFERROR(IF(INDEX(MASTER!$G$4:$G$1463,$P11)="","",INDEX(MASTER!$G$4:$G$1463,$P11)),""))</f>
        <v>63194</v>
      </c>
      <c r="G11" s="15" t="str">
        <f>IF($P11="","",IFERROR(IF(INDEX(MASTER!$H$4:$H$1463,$P11)="","",INDEX(MASTER!$H$4:$H$1463,$P11)),""))</f>
        <v>63,000 - 63,999</v>
      </c>
      <c r="H11" s="16">
        <f>IF($P11="","",IFERROR(IF(INDEX(MASTER!$I$4:$I$1463,$P11)="","",INDEX(MASTER!$I$4:$I$1463,$P11)),""))</f>
        <v>6182</v>
      </c>
      <c r="I11" s="15" t="str">
        <f>IF($P11="","",IFERROR(IF(INDEX(MASTER!$J$4:$J$1463,$P11)="","",INDEX(MASTER!$J$4:$J$1463,$P11)),""))</f>
        <v>VETERAN</v>
      </c>
      <c r="J11" s="17">
        <f>IF($P11="","",IFERROR(IF(INDEX(MASTER!$L$4:$L$1463,$P11)="","",INDEX(MASTER!$L$4:$L$1463,$P11)),""))</f>
        <v>5.4</v>
      </c>
      <c r="K11" s="17">
        <f>IF($P11="","",IFERROR(IF(INDEX(MASTER!$N$4:$N$1463,$P11)="","",INDEX(MASTER!$N$4:$N$1463,$P11)),""))</f>
        <v>57.5</v>
      </c>
      <c r="L11" s="15" t="str">
        <f>IF($P11="","",IFERROR(IF(INDEX(MASTER!$O$4:$O$1463,$P11)="","",INDEX(MASTER!$O$4:$O$1463,$P11)),""))</f>
        <v>A</v>
      </c>
      <c r="M11" s="15">
        <f>IF($P11="","",IFERROR(IF(INDEX(MASTER!$Q$4:$Q$1463,$P11)="","",INDEX(MASTER!$Q$4:$Q$1463,$P11)),""))</f>
        <v>8</v>
      </c>
      <c r="N11" s="15" t="str">
        <f>IF($P11="","",IFERROR(IF(INDEX(MASTER!$S$4:$S$1463,$P11)="","",INDEX(MASTER!$S$4:$S$1463,$P11)),""))</f>
        <v>Complete</v>
      </c>
      <c r="P11">
        <f>IFERROR(MATCH($Q$1&amp;"@3",MASTER!$AC$4:$AC$1463,0),"")</f>
        <v>1333</v>
      </c>
    </row>
    <row r="12" spans="1:17">
      <c r="A12" s="19">
        <f>IF($P12="","",4)</f>
        <v>4</v>
      </c>
      <c r="B12" s="18" t="str">
        <f>IF($P12="","",IFERROR(IF(INDEX(MASTER!$C$4:$C$1463,$P12)="","",INDEX(MASTER!$C$4:$C$1463,$P12)),""))</f>
        <v>Arbitrarian</v>
      </c>
      <c r="C12" s="19" t="str">
        <f>IF($P12="","",IFERROR(IF(INDEX(MASTER!$D$4:$D$1463,$P12)="","",INDEX(MASTER!$D$4:$D$1463,$P12)),""))</f>
        <v>Invictus</v>
      </c>
      <c r="D12" s="19" t="str">
        <f>IF($P12="","",IFERROR(IF(INDEX(MASTER!$E$4:$E$1463,$P12)="","",INDEX(MASTER!$E$4:$E$1463,$P12)),""))</f>
        <v>BARBARIAN</v>
      </c>
      <c r="E12" s="19" t="str">
        <f>IF($P12="","",IFERROR(IF(INDEX(MASTER!$F$4:$F$1463,$P12)="","",INDEX(MASTER!$F$4:$F$1463,$P12)),""))</f>
        <v>Frontline</v>
      </c>
      <c r="F12" s="20">
        <f>IF($P12="","",IFERROR(IF(INDEX(MASTER!$G$4:$G$1463,$P12)="","",INDEX(MASTER!$G$4:$G$1463,$P12)),""))</f>
        <v>60750</v>
      </c>
      <c r="G12" s="19" t="str">
        <f>IF($P12="","",IFERROR(IF(INDEX(MASTER!$H$4:$H$1463,$P12)="","",INDEX(MASTER!$H$4:$H$1463,$P12)),""))</f>
        <v>60,000 - 60,999</v>
      </c>
      <c r="H12" s="20">
        <f>IF($P12="","",IFERROR(IF(INDEX(MASTER!$I$4:$I$1463,$P12)="","",INDEX(MASTER!$I$4:$I$1463,$P12)),""))</f>
        <v>3586</v>
      </c>
      <c r="I12" s="19" t="str">
        <f>IF($P12="","",IFERROR(IF(INDEX(MASTER!$J$4:$J$1463,$P12)="","",INDEX(MASTER!$J$4:$J$1463,$P12)),""))</f>
        <v>DEVELOPING</v>
      </c>
      <c r="J12" s="21">
        <f>IF($P12="","",IFERROR(IF(INDEX(MASTER!$L$4:$L$1463,$P12)="","",INDEX(MASTER!$L$4:$L$1463,$P12)),""))</f>
        <v>3.75</v>
      </c>
      <c r="K12" s="21">
        <f>IF($P12="","",IFERROR(IF(INDEX(MASTER!$N$4:$N$1463,$P12)="","",INDEX(MASTER!$N$4:$N$1463,$P12)),""))</f>
        <v>37</v>
      </c>
      <c r="L12" s="19" t="str">
        <f>IF($P12="","",IFERROR(IF(INDEX(MASTER!$O$4:$O$1463,$P12)="","",INDEX(MASTER!$O$4:$O$1463,$P12)),""))</f>
        <v>B</v>
      </c>
      <c r="M12" s="19">
        <f>IF($P12="","",IFERROR(IF(INDEX(MASTER!$Q$4:$Q$1463,$P12)="","",INDEX(MASTER!$Q$4:$Q$1463,$P12)),""))</f>
        <v>33</v>
      </c>
      <c r="N12" s="19" t="str">
        <f>IF($P12="","",IFERROR(IF(INDEX(MASTER!$S$4:$S$1463,$P12)="","",INDEX(MASTER!$S$4:$S$1463,$P12)),""))</f>
        <v>Complete</v>
      </c>
      <c r="P12">
        <f>IFERROR(MATCH($Q$1&amp;"@4",MASTER!$AC$4:$AC$1463,0),"")</f>
        <v>54</v>
      </c>
    </row>
    <row r="13" spans="1:17">
      <c r="A13" s="15">
        <f>IF($P13="","",5)</f>
        <v>5</v>
      </c>
      <c r="B13" s="14" t="str">
        <f>IF($P13="","",IFERROR(IF(INDEX(MASTER!$C$4:$C$1463,$P13)="","",INDEX(MASTER!$C$4:$C$1463,$P13)),""))</f>
        <v>ÂrchÀngel</v>
      </c>
      <c r="C13" s="15" t="str">
        <f>IF($P13="","",IFERROR(IF(INDEX(MASTER!$D$4:$D$1463,$P13)="","",INDEX(MASTER!$D$4:$D$1463,$P13)),""))</f>
        <v>Invictus</v>
      </c>
      <c r="D13" s="15" t="str">
        <f>IF($P13="","",IFERROR(IF(INDEX(MASTER!$E$4:$E$1463,$P13)="","",INDEX(MASTER!$E$4:$E$1463,$P13)),""))</f>
        <v>BARBARIAN</v>
      </c>
      <c r="E13" s="15" t="str">
        <f>IF($P13="","",IFERROR(IF(INDEX(MASTER!$F$4:$F$1463,$P13)="","",INDEX(MASTER!$F$4:$F$1463,$P13)),""))</f>
        <v>Frontline</v>
      </c>
      <c r="F13" s="16">
        <f>IF($P13="","",IFERROR(IF(INDEX(MASTER!$G$4:$G$1463,$P13)="","",INDEX(MASTER!$G$4:$G$1463,$P13)),""))</f>
        <v>61879</v>
      </c>
      <c r="G13" s="15" t="str">
        <f>IF($P13="","",IFERROR(IF(INDEX(MASTER!$H$4:$H$1463,$P13)="","",INDEX(MASTER!$H$4:$H$1463,$P13)),""))</f>
        <v>61,000 - 61,999</v>
      </c>
      <c r="H13" s="16">
        <f>IF($P13="","",IFERROR(IF(INDEX(MASTER!$I$4:$I$1463,$P13)="","",INDEX(MASTER!$I$4:$I$1463,$P13)),""))</f>
        <v>3304</v>
      </c>
      <c r="I13" s="15" t="str">
        <f>IF($P13="","",IFERROR(IF(INDEX(MASTER!$J$4:$J$1463,$P13)="","",INDEX(MASTER!$J$4:$J$1463,$P13)),""))</f>
        <v>DEVELOPING</v>
      </c>
      <c r="J13" s="17">
        <f>IF($P13="","",IFERROR(IF(INDEX(MASTER!$L$4:$L$1463,$P13)="","",INDEX(MASTER!$L$4:$L$1463,$P13)),""))</f>
        <v>3.65</v>
      </c>
      <c r="K13" s="17">
        <f>IF($P13="","",IFERROR(IF(INDEX(MASTER!$N$4:$N$1463,$P13)="","",INDEX(MASTER!$N$4:$N$1463,$P13)),""))</f>
        <v>38.6</v>
      </c>
      <c r="L13" s="15" t="str">
        <f>IF($P13="","",IFERROR(IF(INDEX(MASTER!$O$4:$O$1463,$P13)="","",INDEX(MASTER!$O$4:$O$1463,$P13)),""))</f>
        <v>B</v>
      </c>
      <c r="M13" s="15">
        <f>IF($P13="","",IFERROR(IF(INDEX(MASTER!$Q$4:$Q$1463,$P13)="","",INDEX(MASTER!$Q$4:$Q$1463,$P13)),""))</f>
        <v>41</v>
      </c>
      <c r="N13" s="15" t="str">
        <f>IF($P13="","",IFERROR(IF(INDEX(MASTER!$S$4:$S$1463,$P13)="","",INDEX(MASTER!$S$4:$S$1463,$P13)),""))</f>
        <v>Complete</v>
      </c>
      <c r="P13">
        <f>IFERROR(MATCH($Q$1&amp;"@5",MASTER!$AC$4:$AC$1463,0),"")</f>
        <v>1331</v>
      </c>
    </row>
    <row r="14" spans="1:17">
      <c r="A14" s="19">
        <f>IF($P14="","",6)</f>
        <v>6</v>
      </c>
      <c r="B14" s="18" t="str">
        <f>IF($P14="","",IFERROR(IF(INDEX(MASTER!$C$4:$C$1463,$P14)="","",INDEX(MASTER!$C$4:$C$1463,$P14)),""))</f>
        <v>ArsonRebel</v>
      </c>
      <c r="C14" s="19" t="str">
        <f>IF($P14="","",IFERROR(IF(INDEX(MASTER!$D$4:$D$1463,$P14)="","",INDEX(MASTER!$D$4:$D$1463,$P14)),""))</f>
        <v>Invictus</v>
      </c>
      <c r="D14" s="19" t="str">
        <f>IF($P14="","",IFERROR(IF(INDEX(MASTER!$E$4:$E$1463,$P14)="","",INDEX(MASTER!$E$4:$E$1463,$P14)),""))</f>
        <v>BARBARIAN</v>
      </c>
      <c r="E14" s="19" t="str">
        <f>IF($P14="","",IFERROR(IF(INDEX(MASTER!$F$4:$F$1463,$P14)="","",INDEX(MASTER!$F$4:$F$1463,$P14)),""))</f>
        <v>Frontline</v>
      </c>
      <c r="F14" s="20">
        <f>IF($P14="","",IFERROR(IF(INDEX(MASTER!$G$4:$G$1463,$P14)="","",INDEX(MASTER!$G$4:$G$1463,$P14)),""))</f>
        <v>63228</v>
      </c>
      <c r="G14" s="19" t="str">
        <f>IF($P14="","",IFERROR(IF(INDEX(MASTER!$H$4:$H$1463,$P14)="","",INDEX(MASTER!$H$4:$H$1463,$P14)),""))</f>
        <v>63,000 - 63,999</v>
      </c>
      <c r="H14" s="20">
        <f>IF($P14="","",IFERROR(IF(INDEX(MASTER!$I$4:$I$1463,$P14)="","",INDEX(MASTER!$I$4:$I$1463,$P14)),""))</f>
        <v>3332</v>
      </c>
      <c r="I14" s="19" t="str">
        <f>IF($P14="","",IFERROR(IF(INDEX(MASTER!$J$4:$J$1463,$P14)="","",INDEX(MASTER!$J$4:$J$1463,$P14)),""))</f>
        <v>DEVELOPING</v>
      </c>
      <c r="J14" s="21">
        <f>IF($P14="","",IFERROR(IF(INDEX(MASTER!$L$4:$L$1463,$P14)="","",INDEX(MASTER!$L$4:$L$1463,$P14)),""))</f>
        <v>4.45</v>
      </c>
      <c r="K14" s="21">
        <f>IF($P14="","",IFERROR(IF(INDEX(MASTER!$N$4:$N$1463,$P14)="","",INDEX(MASTER!$N$4:$N$1463,$P14)),""))</f>
        <v>43.6</v>
      </c>
      <c r="L14" s="19" t="str">
        <f>IF($P14="","",IFERROR(IF(INDEX(MASTER!$O$4:$O$1463,$P14)="","",INDEX(MASTER!$O$4:$O$1463,$P14)),""))</f>
        <v>B</v>
      </c>
      <c r="M14" s="19">
        <f>IF($P14="","",IFERROR(IF(INDEX(MASTER!$Q$4:$Q$1463,$P14)="","",INDEX(MASTER!$Q$4:$Q$1463,$P14)),""))</f>
        <v>39</v>
      </c>
      <c r="N14" s="19" t="str">
        <f>IF($P14="","",IFERROR(IF(INDEX(MASTER!$S$4:$S$1463,$P14)="","",INDEX(MASTER!$S$4:$S$1463,$P14)),""))</f>
        <v>Complete</v>
      </c>
      <c r="P14">
        <f>IFERROR(MATCH($Q$1&amp;"@6",MASTER!$AC$4:$AC$1463,0),"")</f>
        <v>60</v>
      </c>
    </row>
    <row r="15" spans="1:17">
      <c r="A15" s="15">
        <f>IF($P15="","",7)</f>
        <v>7</v>
      </c>
      <c r="B15" s="14" t="str">
        <f>IF($P15="","",IFERROR(IF(INDEX(MASTER!$C$4:$C$1463,$P15)="","",INDEX(MASTER!$C$4:$C$1463,$P15)),""))</f>
        <v>Ataraxïa</v>
      </c>
      <c r="C15" s="15" t="str">
        <f>IF($P15="","",IFERROR(IF(INDEX(MASTER!$D$4:$D$1463,$P15)="","",INDEX(MASTER!$D$4:$D$1463,$P15)),""))</f>
        <v>Invictus</v>
      </c>
      <c r="D15" s="15" t="str">
        <f>IF($P15="","",IFERROR(IF(INDEX(MASTER!$E$4:$E$1463,$P15)="","",INDEX(MASTER!$E$4:$E$1463,$P15)),""))</f>
        <v>WARLOCK</v>
      </c>
      <c r="E15" s="15" t="str">
        <f>IF($P15="","",IFERROR(IF(INDEX(MASTER!$F$4:$F$1463,$P15)="","",INDEX(MASTER!$F$4:$F$1463,$P15)),""))</f>
        <v>Control</v>
      </c>
      <c r="F15" s="16">
        <f>IF($P15="","",IFERROR(IF(INDEX(MASTER!$G$4:$G$1463,$P15)="","",INDEX(MASTER!$G$4:$G$1463,$P15)),""))</f>
        <v>60920</v>
      </c>
      <c r="G15" s="15" t="str">
        <f>IF($P15="","",IFERROR(IF(INDEX(MASTER!$H$4:$H$1463,$P15)="","",INDEX(MASTER!$H$4:$H$1463,$P15)),""))</f>
        <v>60,000 - 60,999</v>
      </c>
      <c r="H15" s="16">
        <f>IF($P15="","",IFERROR(IF(INDEX(MASTER!$I$4:$I$1463,$P15)="","",INDEX(MASTER!$I$4:$I$1463,$P15)),""))</f>
        <v>2000</v>
      </c>
      <c r="I15" s="15" t="str">
        <f>IF($P15="","",IFERROR(IF(INDEX(MASTER!$J$4:$J$1463,$P15)="","",INDEX(MASTER!$J$4:$J$1463,$P15)),""))</f>
        <v>DEVELOPING</v>
      </c>
      <c r="J15" s="17">
        <f>IF($P15="","",IFERROR(IF(INDEX(MASTER!$L$4:$L$1463,$P15)="","",INDEX(MASTER!$L$4:$L$1463,$P15)),""))</f>
        <v>3.55</v>
      </c>
      <c r="K15" s="17">
        <f>IF($P15="","",IFERROR(IF(INDEX(MASTER!$N$4:$N$1463,$P15)="","",INDEX(MASTER!$N$4:$N$1463,$P15)),""))</f>
        <v>30.2</v>
      </c>
      <c r="L15" s="15" t="str">
        <f>IF($P15="","",IFERROR(IF(INDEX(MASTER!$O$4:$O$1463,$P15)="","",INDEX(MASTER!$O$4:$O$1463,$P15)),""))</f>
        <v>C</v>
      </c>
      <c r="M15" s="15">
        <f>IF($P15="","",IFERROR(IF(INDEX(MASTER!$Q$4:$Q$1463,$P15)="","",INDEX(MASTER!$Q$4:$Q$1463,$P15)),""))</f>
        <v>83</v>
      </c>
      <c r="N15" s="15" t="str">
        <f>IF($P15="","",IFERROR(IF(INDEX(MASTER!$S$4:$S$1463,$P15)="","",INDEX(MASTER!$S$4:$S$1463,$P15)),""))</f>
        <v>Complete</v>
      </c>
      <c r="P15">
        <f>IFERROR(MATCH($Q$1&amp;"@7",MASTER!$AC$4:$AC$1463,0),"")</f>
        <v>69</v>
      </c>
    </row>
    <row r="16" spans="1:17">
      <c r="A16" s="19">
        <f>IF($P16="","",8)</f>
        <v>8</v>
      </c>
      <c r="B16" s="18" t="str">
        <f>IF($P16="","",IFERROR(IF(INDEX(MASTER!$C$4:$C$1463,$P16)="","",INDEX(MASTER!$C$4:$C$1463,$P16)),""))</f>
        <v>B1U3LIGHTING</v>
      </c>
      <c r="C16" s="19" t="str">
        <f>IF($P16="","",IFERROR(IF(INDEX(MASTER!$D$4:$D$1463,$P16)="","",INDEX(MASTER!$D$4:$D$1463,$P16)),""))</f>
        <v>Invictus</v>
      </c>
      <c r="D16" s="19" t="str">
        <f>IF($P16="","",IFERROR(IF(INDEX(MASTER!$E$4:$E$1463,$P16)="","",INDEX(MASTER!$E$4:$E$1463,$P16)),""))</f>
        <v>WARLOCK</v>
      </c>
      <c r="E16" s="19" t="str">
        <f>IF($P16="","",IFERROR(IF(INDEX(MASTER!$F$4:$F$1463,$P16)="","",INDEX(MASTER!$F$4:$F$1463,$P16)),""))</f>
        <v>Control</v>
      </c>
      <c r="F16" s="20">
        <f>IF($P16="","",IFERROR(IF(INDEX(MASTER!$G$4:$G$1463,$P16)="","",INDEX(MASTER!$G$4:$G$1463,$P16)),""))</f>
        <v>61948</v>
      </c>
      <c r="G16" s="19" t="str">
        <f>IF($P16="","",IFERROR(IF(INDEX(MASTER!$H$4:$H$1463,$P16)="","",INDEX(MASTER!$H$4:$H$1463,$P16)),""))</f>
        <v>61,000 - 61,999</v>
      </c>
      <c r="H16" s="20">
        <f>IF($P16="","",IFERROR(IF(INDEX(MASTER!$I$4:$I$1463,$P16)="","",INDEX(MASTER!$I$4:$I$1463,$P16)),""))</f>
        <v>2017</v>
      </c>
      <c r="I16" s="19" t="str">
        <f>IF($P16="","",IFERROR(IF(INDEX(MASTER!$J$4:$J$1463,$P16)="","",INDEX(MASTER!$J$4:$J$1463,$P16)),""))</f>
        <v>DEVELOPING</v>
      </c>
      <c r="J16" s="21">
        <f>IF($P16="","",IFERROR(IF(INDEX(MASTER!$L$4:$L$1463,$P16)="","",INDEX(MASTER!$L$4:$L$1463,$P16)),""))</f>
        <v>3.3</v>
      </c>
      <c r="K16" s="21">
        <f>IF($P16="","",IFERROR(IF(INDEX(MASTER!$N$4:$N$1463,$P16)="","",INDEX(MASTER!$N$4:$N$1463,$P16)),""))</f>
        <v>32.6</v>
      </c>
      <c r="L16" s="19" t="str">
        <f>IF($P16="","",IFERROR(IF(INDEX(MASTER!$O$4:$O$1463,$P16)="","",INDEX(MASTER!$O$4:$O$1463,$P16)),""))</f>
        <v>C</v>
      </c>
      <c r="M16" s="19">
        <f>IF($P16="","",IFERROR(IF(INDEX(MASTER!$Q$4:$Q$1463,$P16)="","",INDEX(MASTER!$Q$4:$Q$1463,$P16)),""))</f>
        <v>82</v>
      </c>
      <c r="N16" s="19" t="str">
        <f>IF($P16="","",IFERROR(IF(INDEX(MASTER!$S$4:$S$1463,$P16)="","",INDEX(MASTER!$S$4:$S$1463,$P16)),""))</f>
        <v>Complete</v>
      </c>
      <c r="P16">
        <f>IFERROR(MATCH($Q$1&amp;"@8",MASTER!$AC$4:$AC$1463,0),"")</f>
        <v>93</v>
      </c>
    </row>
    <row r="17" spans="1:16">
      <c r="A17" s="15">
        <f>IF($P17="","",9)</f>
        <v>9</v>
      </c>
      <c r="B17" s="14" t="str">
        <f>IF($P17="","",IFERROR(IF(INDEX(MASTER!$C$4:$C$1463,$P17)="","",INDEX(MASTER!$C$4:$C$1463,$P17)),""))</f>
        <v>Barabasia</v>
      </c>
      <c r="C17" s="15" t="str">
        <f>IF($P17="","",IFERROR(IF(INDEX(MASTER!$D$4:$D$1463,$P17)="","",INDEX(MASTER!$D$4:$D$1463,$P17)),""))</f>
        <v>Invictus</v>
      </c>
      <c r="D17" s="15" t="str">
        <f>IF($P17="","",IFERROR(IF(INDEX(MASTER!$E$4:$E$1463,$P17)="","",INDEX(MASTER!$E$4:$E$1463,$P17)),""))</f>
        <v>BARBARIAN</v>
      </c>
      <c r="E17" s="15" t="str">
        <f>IF($P17="","",IFERROR(IF(INDEX(MASTER!$F$4:$F$1463,$P17)="","",INDEX(MASTER!$F$4:$F$1463,$P17)),""))</f>
        <v>Frontline</v>
      </c>
      <c r="F17" s="16">
        <f>IF($P17="","",IFERROR(IF(INDEX(MASTER!$G$4:$G$1463,$P17)="","",INDEX(MASTER!$G$4:$G$1463,$P17)),""))</f>
        <v>60826</v>
      </c>
      <c r="G17" s="15" t="str">
        <f>IF($P17="","",IFERROR(IF(INDEX(MASTER!$H$4:$H$1463,$P17)="","",INDEX(MASTER!$H$4:$H$1463,$P17)),""))</f>
        <v>60,000 - 60,999</v>
      </c>
      <c r="H17" s="16">
        <f>IF($P17="","",IFERROR(IF(INDEX(MASTER!$I$4:$I$1463,$P17)="","",INDEX(MASTER!$I$4:$I$1463,$P17)),""))</f>
        <v>2284</v>
      </c>
      <c r="I17" s="15" t="str">
        <f>IF($P17="","",IFERROR(IF(INDEX(MASTER!$J$4:$J$1463,$P17)="","",INDEX(MASTER!$J$4:$J$1463,$P17)),""))</f>
        <v>DEVELOPING</v>
      </c>
      <c r="J17" s="17">
        <f>IF($P17="","",IFERROR(IF(INDEX(MASTER!$L$4:$L$1463,$P17)="","",INDEX(MASTER!$L$4:$L$1463,$P17)),""))</f>
        <v>4.05</v>
      </c>
      <c r="K17" s="17">
        <f>IF($P17="","",IFERROR(IF(INDEX(MASTER!$N$4:$N$1463,$P17)="","",INDEX(MASTER!$N$4:$N$1463,$P17)),""))</f>
        <v>32.1</v>
      </c>
      <c r="L17" s="15" t="str">
        <f>IF($P17="","",IFERROR(IF(INDEX(MASTER!$O$4:$O$1463,$P17)="","",INDEX(MASTER!$O$4:$O$1463,$P17)),""))</f>
        <v>C</v>
      </c>
      <c r="M17" s="15">
        <f>IF($P17="","",IFERROR(IF(INDEX(MASTER!$Q$4:$Q$1463,$P17)="","",INDEX(MASTER!$Q$4:$Q$1463,$P17)),""))</f>
        <v>73</v>
      </c>
      <c r="N17" s="15" t="str">
        <f>IF($P17="","",IFERROR(IF(INDEX(MASTER!$S$4:$S$1463,$P17)="","",INDEX(MASTER!$S$4:$S$1463,$P17)),""))</f>
        <v>Complete</v>
      </c>
      <c r="P17">
        <f>IFERROR(MATCH($Q$1&amp;"@9",MASTER!$AC$4:$AC$1463,0),"")</f>
        <v>104</v>
      </c>
    </row>
    <row r="18" spans="1:16">
      <c r="A18" s="19">
        <f>IF($P18="","",10)</f>
        <v>10</v>
      </c>
      <c r="B18" s="18" t="str">
        <f>IF($P18="","",IFERROR(IF(INDEX(MASTER!$C$4:$C$1463,$P18)="","",INDEX(MASTER!$C$4:$C$1463,$P18)),""))</f>
        <v>BloodyDK</v>
      </c>
      <c r="C18" s="19" t="str">
        <f>IF($P18="","",IFERROR(IF(INDEX(MASTER!$D$4:$D$1463,$P18)="","",INDEX(MASTER!$D$4:$D$1463,$P18)),""))</f>
        <v>Invictus</v>
      </c>
      <c r="D18" s="19" t="str">
        <f>IF($P18="","",IFERROR(IF(INDEX(MASTER!$E$4:$E$1463,$P18)="","",INDEX(MASTER!$E$4:$E$1463,$P18)),""))</f>
        <v>BARBARIAN</v>
      </c>
      <c r="E18" s="19" t="str">
        <f>IF($P18="","",IFERROR(IF(INDEX(MASTER!$F$4:$F$1463,$P18)="","",INDEX(MASTER!$F$4:$F$1463,$P18)),""))</f>
        <v>Frontline</v>
      </c>
      <c r="F18" s="20">
        <f>IF($P18="","",IFERROR(IF(INDEX(MASTER!$G$4:$G$1463,$P18)="","",INDEX(MASTER!$G$4:$G$1463,$P18)),""))</f>
        <v>62960</v>
      </c>
      <c r="G18" s="19" t="str">
        <f>IF($P18="","",IFERROR(IF(INDEX(MASTER!$H$4:$H$1463,$P18)="","",INDEX(MASTER!$H$4:$H$1463,$P18)),""))</f>
        <v>62,000 - 62,999</v>
      </c>
      <c r="H18" s="20">
        <f>IF($P18="","",IFERROR(IF(INDEX(MASTER!$I$4:$I$1463,$P18)="","",INDEX(MASTER!$I$4:$I$1463,$P18)),""))</f>
        <v>4290</v>
      </c>
      <c r="I18" s="19" t="str">
        <f>IF($P18="","",IFERROR(IF(INDEX(MASTER!$J$4:$J$1463,$P18)="","",INDEX(MASTER!$J$4:$J$1463,$P18)),""))</f>
        <v>CORE</v>
      </c>
      <c r="J18" s="21">
        <f>IF($P18="","",IFERROR(IF(INDEX(MASTER!$L$4:$L$1463,$P18)="","",INDEX(MASTER!$L$4:$L$1463,$P18)),""))</f>
        <v>5.85</v>
      </c>
      <c r="K18" s="21">
        <f>IF($P18="","",IFERROR(IF(INDEX(MASTER!$N$4:$N$1463,$P18)="","",INDEX(MASTER!$N$4:$N$1463,$P18)),""))</f>
        <v>49.4</v>
      </c>
      <c r="L18" s="19" t="str">
        <f>IF($P18="","",IFERROR(IF(INDEX(MASTER!$O$4:$O$1463,$P18)="","",INDEX(MASTER!$O$4:$O$1463,$P18)),""))</f>
        <v>B</v>
      </c>
      <c r="M18" s="19">
        <f>IF($P18="","",IFERROR(IF(INDEX(MASTER!$Q$4:$Q$1463,$P18)="","",INDEX(MASTER!$Q$4:$Q$1463,$P18)),""))</f>
        <v>24</v>
      </c>
      <c r="N18" s="19" t="str">
        <f>IF($P18="","",IFERROR(IF(INDEX(MASTER!$S$4:$S$1463,$P18)="","",INDEX(MASTER!$S$4:$S$1463,$P18)),""))</f>
        <v>Complete</v>
      </c>
      <c r="P18">
        <f>IFERROR(MATCH($Q$1&amp;"@10",MASTER!$AC$4:$AC$1463,0),"")</f>
        <v>150</v>
      </c>
    </row>
    <row r="19" spans="1:16">
      <c r="A19" s="15">
        <f>IF($P19="","",11)</f>
        <v>11</v>
      </c>
      <c r="B19" s="14" t="str">
        <f>IF($P19="","",IFERROR(IF(INDEX(MASTER!$C$4:$C$1463,$P19)="","",INDEX(MASTER!$C$4:$C$1463,$P19)),""))</f>
        <v>BloodyYam</v>
      </c>
      <c r="C19" s="15" t="str">
        <f>IF($P19="","",IFERROR(IF(INDEX(MASTER!$D$4:$D$1463,$P19)="","",INDEX(MASTER!$D$4:$D$1463,$P19)),""))</f>
        <v>Invictus</v>
      </c>
      <c r="D19" s="15" t="str">
        <f>IF($P19="","",IFERROR(IF(INDEX(MASTER!$E$4:$E$1463,$P19)="","",INDEX(MASTER!$E$4:$E$1463,$P19)),""))</f>
        <v>NECROMANCER</v>
      </c>
      <c r="E19" s="15" t="str">
        <f>IF($P19="","",IFERROR(IF(INDEX(MASTER!$F$4:$F$1463,$P19)="","",INDEX(MASTER!$F$4:$F$1463,$P19)),""))</f>
        <v>Control</v>
      </c>
      <c r="F19" s="16">
        <f>IF($P19="","",IFERROR(IF(INDEX(MASTER!$G$4:$G$1463,$P19)="","",INDEX(MASTER!$G$4:$G$1463,$P19)),""))</f>
        <v>62830</v>
      </c>
      <c r="G19" s="15" t="str">
        <f>IF($P19="","",IFERROR(IF(INDEX(MASTER!$H$4:$H$1463,$P19)="","",INDEX(MASTER!$H$4:$H$1463,$P19)),""))</f>
        <v>62,000 - 62,999</v>
      </c>
      <c r="H19" s="16">
        <f>IF($P19="","",IFERROR(IF(INDEX(MASTER!$I$4:$I$1463,$P19)="","",INDEX(MASTER!$I$4:$I$1463,$P19)),""))</f>
        <v>3014</v>
      </c>
      <c r="I19" s="15" t="str">
        <f>IF($P19="","",IFERROR(IF(INDEX(MASTER!$J$4:$J$1463,$P19)="","",INDEX(MASTER!$J$4:$J$1463,$P19)),""))</f>
        <v>DEVELOPING</v>
      </c>
      <c r="J19" s="17">
        <f>IF($P19="","",IFERROR(IF(INDEX(MASTER!$L$4:$L$1463,$P19)="","",INDEX(MASTER!$L$4:$L$1463,$P19)),""))</f>
        <v>5.25</v>
      </c>
      <c r="K19" s="17">
        <f>IF($P19="","",IFERROR(IF(INDEX(MASTER!$N$4:$N$1463,$P19)="","",INDEX(MASTER!$N$4:$N$1463,$P19)),""))</f>
        <v>42.5</v>
      </c>
      <c r="L19" s="15" t="str">
        <f>IF($P19="","",IFERROR(IF(INDEX(MASTER!$O$4:$O$1463,$P19)="","",INDEX(MASTER!$O$4:$O$1463,$P19)),""))</f>
        <v>B</v>
      </c>
      <c r="M19" s="15">
        <f>IF($P19="","",IFERROR(IF(INDEX(MASTER!$Q$4:$Q$1463,$P19)="","",INDEX(MASTER!$Q$4:$Q$1463,$P19)),""))</f>
        <v>52</v>
      </c>
      <c r="N19" s="15" t="str">
        <f>IF($P19="","",IFERROR(IF(INDEX(MASTER!$S$4:$S$1463,$P19)="","",INDEX(MASTER!$S$4:$S$1463,$P19)),""))</f>
        <v>Complete</v>
      </c>
      <c r="P19">
        <f>IFERROR(MATCH($Q$1&amp;"@11",MASTER!$AC$4:$AC$1463,0),"")</f>
        <v>151</v>
      </c>
    </row>
    <row r="20" spans="1:16">
      <c r="A20" s="19">
        <f>IF($P20="","",12)</f>
        <v>12</v>
      </c>
      <c r="B20" s="18" t="str">
        <f>IF($P20="","",IFERROR(IF(INDEX(MASTER!$C$4:$C$1463,$P20)="","",INDEX(MASTER!$C$4:$C$1463,$P20)),""))</f>
        <v>Bonah</v>
      </c>
      <c r="C20" s="19" t="str">
        <f>IF($P20="","",IFERROR(IF(INDEX(MASTER!$D$4:$D$1463,$P20)="","",INDEX(MASTER!$D$4:$D$1463,$P20)),""))</f>
        <v>Invictus</v>
      </c>
      <c r="D20" s="19" t="str">
        <f>IF($P20="","",IFERROR(IF(INDEX(MASTER!$E$4:$E$1463,$P20)="","",INDEX(MASTER!$E$4:$E$1463,$P20)),""))</f>
        <v>BARBARIAN</v>
      </c>
      <c r="E20" s="19" t="str">
        <f>IF($P20="","",IFERROR(IF(INDEX(MASTER!$F$4:$F$1463,$P20)="","",INDEX(MASTER!$F$4:$F$1463,$P20)),""))</f>
        <v>Frontline</v>
      </c>
      <c r="F20" s="20">
        <f>IF($P20="","",IFERROR(IF(INDEX(MASTER!$G$4:$G$1463,$P20)="","",INDEX(MASTER!$G$4:$G$1463,$P20)),""))</f>
        <v>63371</v>
      </c>
      <c r="G20" s="19" t="str">
        <f>IF($P20="","",IFERROR(IF(INDEX(MASTER!$H$4:$H$1463,$P20)="","",INDEX(MASTER!$H$4:$H$1463,$P20)),""))</f>
        <v>63,000 - 63,999</v>
      </c>
      <c r="H20" s="20">
        <f>IF($P20="","",IFERROR(IF(INDEX(MASTER!$I$4:$I$1463,$P20)="","",INDEX(MASTER!$I$4:$I$1463,$P20)),""))</f>
        <v>4802</v>
      </c>
      <c r="I20" s="19" t="str">
        <f>IF($P20="","",IFERROR(IF(INDEX(MASTER!$J$4:$J$1463,$P20)="","",INDEX(MASTER!$J$4:$J$1463,$P20)),""))</f>
        <v>CORE</v>
      </c>
      <c r="J20" s="21">
        <f>IF($P20="","",IFERROR(IF(INDEX(MASTER!$L$4:$L$1463,$P20)="","",INDEX(MASTER!$L$4:$L$1463,$P20)),""))</f>
        <v>6.4</v>
      </c>
      <c r="K20" s="21">
        <f>IF($P20="","",IFERROR(IF(INDEX(MASTER!$N$4:$N$1463,$P20)="","",INDEX(MASTER!$N$4:$N$1463,$P20)),""))</f>
        <v>53.7</v>
      </c>
      <c r="L20" s="19" t="str">
        <f>IF($P20="","",IFERROR(IF(INDEX(MASTER!$O$4:$O$1463,$P20)="","",INDEX(MASTER!$O$4:$O$1463,$P20)),""))</f>
        <v>A</v>
      </c>
      <c r="M20" s="19">
        <f>IF($P20="","",IFERROR(IF(INDEX(MASTER!$Q$4:$Q$1463,$P20)="","",INDEX(MASTER!$Q$4:$Q$1463,$P20)),""))</f>
        <v>19</v>
      </c>
      <c r="N20" s="19" t="str">
        <f>IF($P20="","",IFERROR(IF(INDEX(MASTER!$S$4:$S$1463,$P20)="","",INDEX(MASTER!$S$4:$S$1463,$P20)),""))</f>
        <v>Complete</v>
      </c>
      <c r="P20">
        <f>IFERROR(MATCH($Q$1&amp;"@12",MASTER!$AC$4:$AC$1463,0),"")</f>
        <v>160</v>
      </c>
    </row>
    <row r="21" spans="1:16">
      <c r="A21" s="15">
        <f>IF($P21="","",13)</f>
        <v>13</v>
      </c>
      <c r="B21" s="14" t="str">
        <f>IF($P21="","",IFERROR(IF(INDEX(MASTER!$C$4:$C$1463,$P21)="","",INDEX(MASTER!$C$4:$C$1463,$P21)),""))</f>
        <v>Bonesnhoes</v>
      </c>
      <c r="C21" s="15" t="str">
        <f>IF($P21="","",IFERROR(IF(INDEX(MASTER!$D$4:$D$1463,$P21)="","",INDEX(MASTER!$D$4:$D$1463,$P21)),""))</f>
        <v>Invictus</v>
      </c>
      <c r="D21" s="15" t="str">
        <f>IF($P21="","",IFERROR(IF(INDEX(MASTER!$E$4:$E$1463,$P21)="","",INDEX(MASTER!$E$4:$E$1463,$P21)),""))</f>
        <v>BARBARIAN</v>
      </c>
      <c r="E21" s="15" t="str">
        <f>IF($P21="","",IFERROR(IF(INDEX(MASTER!$F$4:$F$1463,$P21)="","",INDEX(MASTER!$F$4:$F$1463,$P21)),""))</f>
        <v>Frontline</v>
      </c>
      <c r="F21" s="16">
        <f>IF($P21="","",IFERROR(IF(INDEX(MASTER!$G$4:$G$1463,$P21)="","",INDEX(MASTER!$G$4:$G$1463,$P21)),""))</f>
        <v>59659</v>
      </c>
      <c r="G21" s="15" t="str">
        <f>IF($P21="","",IFERROR(IF(INDEX(MASTER!$H$4:$H$1463,$P21)="","",INDEX(MASTER!$H$4:$H$1463,$P21)),""))</f>
        <v>58,000 - 59,999</v>
      </c>
      <c r="H21" s="16">
        <f>IF($P21="","",IFERROR(IF(INDEX(MASTER!$I$4:$I$1463,$P21)="","",INDEX(MASTER!$I$4:$I$1463,$P21)),""))</f>
        <v>1780</v>
      </c>
      <c r="I21" s="15" t="str">
        <f>IF($P21="","",IFERROR(IF(INDEX(MASTER!$J$4:$J$1463,$P21)="","",INDEX(MASTER!$J$4:$J$1463,$P21)),""))</f>
        <v>ROOKIE</v>
      </c>
      <c r="J21" s="17">
        <f>IF($P21="","",IFERROR(IF(INDEX(MASTER!$L$4:$L$1463,$P21)="","",INDEX(MASTER!$L$4:$L$1463,$P21)),""))</f>
        <v>2.5</v>
      </c>
      <c r="K21" s="17">
        <f>IF($P21="","",IFERROR(IF(INDEX(MASTER!$N$4:$N$1463,$P21)="","",INDEX(MASTER!$N$4:$N$1463,$P21)),""))</f>
        <v>24.2</v>
      </c>
      <c r="L21" s="15" t="str">
        <f>IF($P21="","",IFERROR(IF(INDEX(MASTER!$O$4:$O$1463,$P21)="","",INDEX(MASTER!$O$4:$O$1463,$P21)),""))</f>
        <v>C</v>
      </c>
      <c r="M21" s="15">
        <f>IF($P21="","",IFERROR(IF(INDEX(MASTER!$Q$4:$Q$1463,$P21)="","",INDEX(MASTER!$Q$4:$Q$1463,$P21)),""))</f>
        <v>86</v>
      </c>
      <c r="N21" s="15" t="str">
        <f>IF($P21="","",IFERROR(IF(INDEX(MASTER!$S$4:$S$1463,$P21)="","",INDEX(MASTER!$S$4:$S$1463,$P21)),""))</f>
        <v>Complete</v>
      </c>
      <c r="P21">
        <f>IFERROR(MATCH($Q$1&amp;"@13",MASTER!$AC$4:$AC$1463,0),"")</f>
        <v>162</v>
      </c>
    </row>
    <row r="22" spans="1:16">
      <c r="A22" s="19">
        <f>IF($P22="","",14)</f>
        <v>14</v>
      </c>
      <c r="B22" s="18" t="str">
        <f>IF($P22="","",IFERROR(IF(INDEX(MASTER!$C$4:$C$1463,$P22)="","",INDEX(MASTER!$C$4:$C$1463,$P22)),""))</f>
        <v>BöötifulChäos</v>
      </c>
      <c r="C22" s="19" t="str">
        <f>IF($P22="","",IFERROR(IF(INDEX(MASTER!$D$4:$D$1463,$P22)="","",INDEX(MASTER!$D$4:$D$1463,$P22)),""))</f>
        <v>Invictus</v>
      </c>
      <c r="D22" s="19" t="str">
        <f>IF($P22="","",IFERROR(IF(INDEX(MASTER!$E$4:$E$1463,$P22)="","",INDEX(MASTER!$E$4:$E$1463,$P22)),""))</f>
        <v>DEMON HUNTER</v>
      </c>
      <c r="E22" s="19" t="str">
        <f>IF($P22="","",IFERROR(IF(INDEX(MASTER!$F$4:$F$1463,$P22)="","",INDEX(MASTER!$F$4:$F$1463,$P22)),""))</f>
        <v>Ranged DPS</v>
      </c>
      <c r="F22" s="20">
        <f>IF($P22="","",IFERROR(IF(INDEX(MASTER!$G$4:$G$1463,$P22)="","",INDEX(MASTER!$G$4:$G$1463,$P22)),""))</f>
        <v>62156</v>
      </c>
      <c r="G22" s="19" t="str">
        <f>IF($P22="","",IFERROR(IF(INDEX(MASTER!$H$4:$H$1463,$P22)="","",INDEX(MASTER!$H$4:$H$1463,$P22)),""))</f>
        <v>62,000 - 62,999</v>
      </c>
      <c r="H22" s="20">
        <f>IF($P22="","",IFERROR(IF(INDEX(MASTER!$I$4:$I$1463,$P22)="","",INDEX(MASTER!$I$4:$I$1463,$P22)),""))</f>
        <v>5062</v>
      </c>
      <c r="I22" s="19" t="str">
        <f>IF($P22="","",IFERROR(IF(INDEX(MASTER!$J$4:$J$1463,$P22)="","",INDEX(MASTER!$J$4:$J$1463,$P22)),""))</f>
        <v>CORE</v>
      </c>
      <c r="J22" s="21">
        <f>IF($P22="","",IFERROR(IF(INDEX(MASTER!$L$4:$L$1463,$P22)="","",INDEX(MASTER!$L$4:$L$1463,$P22)),""))</f>
        <v>6.6</v>
      </c>
      <c r="K22" s="21">
        <f>IF($P22="","",IFERROR(IF(INDEX(MASTER!$N$4:$N$1463,$P22)="","",INDEX(MASTER!$N$4:$N$1463,$P22)),""))</f>
        <v>51.9</v>
      </c>
      <c r="L22" s="19" t="str">
        <f>IF($P22="","",IFERROR(IF(INDEX(MASTER!$O$4:$O$1463,$P22)="","",INDEX(MASTER!$O$4:$O$1463,$P22)),""))</f>
        <v>A</v>
      </c>
      <c r="M22" s="19">
        <f>IF($P22="","",IFERROR(IF(INDEX(MASTER!$Q$4:$Q$1463,$P22)="","",INDEX(MASTER!$Q$4:$Q$1463,$P22)),""))</f>
        <v>15</v>
      </c>
      <c r="N22" s="19" t="str">
        <f>IF($P22="","",IFERROR(IF(INDEX(MASTER!$S$4:$S$1463,$P22)="","",INDEX(MASTER!$S$4:$S$1463,$P22)),""))</f>
        <v>Complete</v>
      </c>
      <c r="P22">
        <f>IFERROR(MATCH($Q$1&amp;"@14",MASTER!$AC$4:$AC$1463,0),"")</f>
        <v>180</v>
      </c>
    </row>
    <row r="23" spans="1:16">
      <c r="A23" s="15">
        <f>IF($P23="","",15)</f>
        <v>15</v>
      </c>
      <c r="B23" s="14" t="str">
        <f>IF($P23="","",IFERROR(IF(INDEX(MASTER!$C$4:$C$1463,$P23)="","",INDEX(MASTER!$C$4:$C$1463,$P23)),""))</f>
        <v>Chychota</v>
      </c>
      <c r="C23" s="15" t="str">
        <f>IF($P23="","",IFERROR(IF(INDEX(MASTER!$D$4:$D$1463,$P23)="","",INDEX(MASTER!$D$4:$D$1463,$P23)),""))</f>
        <v>Invictus</v>
      </c>
      <c r="D23" s="15" t="str">
        <f>IF($P23="","",IFERROR(IF(INDEX(MASTER!$E$4:$E$1463,$P23)="","",INDEX(MASTER!$E$4:$E$1463,$P23)),""))</f>
        <v>BLOOD KNIGHT</v>
      </c>
      <c r="E23" s="15" t="str">
        <f>IF($P23="","",IFERROR(IF(INDEX(MASTER!$F$4:$F$1463,$P23)="","",INDEX(MASTER!$F$4:$F$1463,$P23)),""))</f>
        <v>Frontline</v>
      </c>
      <c r="F23" s="16">
        <f>IF($P23="","",IFERROR(IF(INDEX(MASTER!$G$4:$G$1463,$P23)="","",INDEX(MASTER!$G$4:$G$1463,$P23)),""))</f>
        <v>61062</v>
      </c>
      <c r="G23" s="15" t="str">
        <f>IF($P23="","",IFERROR(IF(INDEX(MASTER!$H$4:$H$1463,$P23)="","",INDEX(MASTER!$H$4:$H$1463,$P23)),""))</f>
        <v>61,000 - 61,999</v>
      </c>
      <c r="H23" s="16">
        <f>IF($P23="","",IFERROR(IF(INDEX(MASTER!$I$4:$I$1463,$P23)="","",INDEX(MASTER!$I$4:$I$1463,$P23)),""))</f>
        <v>1520</v>
      </c>
      <c r="I23" s="15" t="str">
        <f>IF($P23="","",IFERROR(IF(INDEX(MASTER!$J$4:$J$1463,$P23)="","",INDEX(MASTER!$J$4:$J$1463,$P23)),""))</f>
        <v>ROOKIE</v>
      </c>
      <c r="J23" s="17">
        <f>IF($P23="","",IFERROR(IF(INDEX(MASTER!$L$4:$L$1463,$P23)="","",INDEX(MASTER!$L$4:$L$1463,$P23)),""))</f>
        <v>3.25</v>
      </c>
      <c r="K23" s="17">
        <f>IF($P23="","",IFERROR(IF(INDEX(MASTER!$N$4:$N$1463,$P23)="","",INDEX(MASTER!$N$4:$N$1463,$P23)),""))</f>
        <v>28</v>
      </c>
      <c r="L23" s="15" t="str">
        <f>IF($P23="","",IFERROR(IF(INDEX(MASTER!$O$4:$O$1463,$P23)="","",INDEX(MASTER!$O$4:$O$1463,$P23)),""))</f>
        <v>C</v>
      </c>
      <c r="M23" s="15">
        <f>IF($P23="","",IFERROR(IF(INDEX(MASTER!$Q$4:$Q$1463,$P23)="","",INDEX(MASTER!$Q$4:$Q$1463,$P23)),""))</f>
        <v>89</v>
      </c>
      <c r="N23" s="15" t="str">
        <f>IF($P23="","",IFERROR(IF(INDEX(MASTER!$S$4:$S$1463,$P23)="","",INDEX(MASTER!$S$4:$S$1463,$P23)),""))</f>
        <v>Complete</v>
      </c>
      <c r="P23">
        <f>IFERROR(MATCH($Q$1&amp;"@15",MASTER!$AC$4:$AC$1463,0),"")</f>
        <v>213</v>
      </c>
    </row>
    <row r="24" spans="1:16">
      <c r="A24" s="19">
        <f>IF($P24="","",16)</f>
        <v>16</v>
      </c>
      <c r="B24" s="18" t="str">
        <f>IF($P24="","",IFERROR(IF(INDEX(MASTER!$C$4:$C$1463,$P24)="","",INDEX(MASTER!$C$4:$C$1463,$P24)),""))</f>
        <v>Darwindoc</v>
      </c>
      <c r="C24" s="19" t="str">
        <f>IF($P24="","",IFERROR(IF(INDEX(MASTER!$D$4:$D$1463,$P24)="","",INDEX(MASTER!$D$4:$D$1463,$P24)),""))</f>
        <v>Invictus</v>
      </c>
      <c r="D24" s="19" t="str">
        <f>IF($P24="","",IFERROR(IF(INDEX(MASTER!$E$4:$E$1463,$P24)="","",INDEX(MASTER!$E$4:$E$1463,$P24)),""))</f>
        <v>NECROMANCER</v>
      </c>
      <c r="E24" s="19" t="str">
        <f>IF($P24="","",IFERROR(IF(INDEX(MASTER!$F$4:$F$1463,$P24)="","",INDEX(MASTER!$F$4:$F$1463,$P24)),""))</f>
        <v>Control</v>
      </c>
      <c r="F24" s="20">
        <f>IF($P24="","",IFERROR(IF(INDEX(MASTER!$G$4:$G$1463,$P24)="","",INDEX(MASTER!$G$4:$G$1463,$P24)),""))</f>
        <v>61181</v>
      </c>
      <c r="G24" s="19" t="str">
        <f>IF($P24="","",IFERROR(IF(INDEX(MASTER!$H$4:$H$1463,$P24)="","",INDEX(MASTER!$H$4:$H$1463,$P24)),""))</f>
        <v>61,000 - 61,999</v>
      </c>
      <c r="H24" s="20">
        <f>IF($P24="","",IFERROR(IF(INDEX(MASTER!$I$4:$I$1463,$P24)="","",INDEX(MASTER!$I$4:$I$1463,$P24)),""))</f>
        <v>2959</v>
      </c>
      <c r="I24" s="19" t="str">
        <f>IF($P24="","",IFERROR(IF(INDEX(MASTER!$J$4:$J$1463,$P24)="","",INDEX(MASTER!$J$4:$J$1463,$P24)),""))</f>
        <v>DEVELOPING</v>
      </c>
      <c r="J24" s="21">
        <f>IF($P24="","",IFERROR(IF(INDEX(MASTER!$L$4:$L$1463,$P24)="","",INDEX(MASTER!$L$4:$L$1463,$P24)),""))</f>
        <v>5.95</v>
      </c>
      <c r="K24" s="21">
        <f>IF($P24="","",IFERROR(IF(INDEX(MASTER!$N$4:$N$1463,$P24)="","",INDEX(MASTER!$N$4:$N$1463,$P24)),""))</f>
        <v>39.1</v>
      </c>
      <c r="L24" s="19" t="str">
        <f>IF($P24="","",IFERROR(IF(INDEX(MASTER!$O$4:$O$1463,$P24)="","",INDEX(MASTER!$O$4:$O$1463,$P24)),""))</f>
        <v>B</v>
      </c>
      <c r="M24" s="19">
        <f>IF($P24="","",IFERROR(IF(INDEX(MASTER!$Q$4:$Q$1463,$P24)="","",INDEX(MASTER!$Q$4:$Q$1463,$P24)),""))</f>
        <v>53</v>
      </c>
      <c r="N24" s="19" t="str">
        <f>IF($P24="","",IFERROR(IF(INDEX(MASTER!$S$4:$S$1463,$P24)="","",INDEX(MASTER!$S$4:$S$1463,$P24)),""))</f>
        <v>Complete</v>
      </c>
      <c r="P24">
        <f>IFERROR(MATCH($Q$1&amp;"@16",MASTER!$AC$4:$AC$1463,0),"")</f>
        <v>258</v>
      </c>
    </row>
    <row r="25" spans="1:16">
      <c r="A25" s="15">
        <f>IF($P25="","",17)</f>
        <v>17</v>
      </c>
      <c r="B25" s="14" t="str">
        <f>IF($P25="","",IFERROR(IF(INDEX(MASTER!$C$4:$C$1463,$P25)="","",INDEX(MASTER!$C$4:$C$1463,$P25)),""))</f>
        <v>Deadlysynz</v>
      </c>
      <c r="C25" s="15" t="str">
        <f>IF($P25="","",IFERROR(IF(INDEX(MASTER!$D$4:$D$1463,$P25)="","",INDEX(MASTER!$D$4:$D$1463,$P25)),""))</f>
        <v>Invictus</v>
      </c>
      <c r="D25" s="15" t="str">
        <f>IF($P25="","",IFERROR(IF(INDEX(MASTER!$E$4:$E$1463,$P25)="","",INDEX(MASTER!$E$4:$E$1463,$P25)),""))</f>
        <v>BLOOD KNIGHT</v>
      </c>
      <c r="E25" s="15" t="str">
        <f>IF($P25="","",IFERROR(IF(INDEX(MASTER!$F$4:$F$1463,$P25)="","",INDEX(MASTER!$F$4:$F$1463,$P25)),""))</f>
        <v>Frontline</v>
      </c>
      <c r="F25" s="16">
        <f>IF($P25="","",IFERROR(IF(INDEX(MASTER!$G$4:$G$1463,$P25)="","",INDEX(MASTER!$G$4:$G$1463,$P25)),""))</f>
        <v>61193</v>
      </c>
      <c r="G25" s="15" t="str">
        <f>IF($P25="","",IFERROR(IF(INDEX(MASTER!$H$4:$H$1463,$P25)="","",INDEX(MASTER!$H$4:$H$1463,$P25)),""))</f>
        <v>61,000 - 61,999</v>
      </c>
      <c r="H25" s="16">
        <f>IF($P25="","",IFERROR(IF(INDEX(MASTER!$I$4:$I$1463,$P25)="","",INDEX(MASTER!$I$4:$I$1463,$P25)),""))</f>
        <v>3745</v>
      </c>
      <c r="I25" s="15" t="str">
        <f>IF($P25="","",IFERROR(IF(INDEX(MASTER!$J$4:$J$1463,$P25)="","",INDEX(MASTER!$J$4:$J$1463,$P25)),""))</f>
        <v>DEVELOPING</v>
      </c>
      <c r="J25" s="17">
        <f>IF($P25="","",IFERROR(IF(INDEX(MASTER!$L$4:$L$1463,$P25)="","",INDEX(MASTER!$L$4:$L$1463,$P25)),""))</f>
        <v>4.95</v>
      </c>
      <c r="K25" s="17">
        <f>IF($P25="","",IFERROR(IF(INDEX(MASTER!$N$4:$N$1463,$P25)="","",INDEX(MASTER!$N$4:$N$1463,$P25)),""))</f>
        <v>40.9</v>
      </c>
      <c r="L25" s="15" t="str">
        <f>IF($P25="","",IFERROR(IF(INDEX(MASTER!$O$4:$O$1463,$P25)="","",INDEX(MASTER!$O$4:$O$1463,$P25)),""))</f>
        <v>B</v>
      </c>
      <c r="M25" s="15">
        <f>IF($P25="","",IFERROR(IF(INDEX(MASTER!$Q$4:$Q$1463,$P25)="","",INDEX(MASTER!$Q$4:$Q$1463,$P25)),""))</f>
        <v>30</v>
      </c>
      <c r="N25" s="15" t="str">
        <f>IF($P25="","",IFERROR(IF(INDEX(MASTER!$S$4:$S$1463,$P25)="","",INDEX(MASTER!$S$4:$S$1463,$P25)),""))</f>
        <v>Complete</v>
      </c>
      <c r="P25">
        <f>IFERROR(MATCH($Q$1&amp;"@17",MASTER!$AC$4:$AC$1463,0),"")</f>
        <v>264</v>
      </c>
    </row>
    <row r="26" spans="1:16">
      <c r="A26" s="19">
        <f>IF($P26="","",18)</f>
        <v>18</v>
      </c>
      <c r="B26" s="18" t="str">
        <f>IF($P26="","",IFERROR(IF(INDEX(MASTER!$C$4:$C$1463,$P26)="","",INDEX(MASTER!$C$4:$C$1463,$P26)),""))</f>
        <v>Deathmunky</v>
      </c>
      <c r="C26" s="19" t="str">
        <f>IF($P26="","",IFERROR(IF(INDEX(MASTER!$D$4:$D$1463,$P26)="","",INDEX(MASTER!$D$4:$D$1463,$P26)),""))</f>
        <v>Invictus</v>
      </c>
      <c r="D26" s="19" t="str">
        <f>IF($P26="","",IFERROR(IF(INDEX(MASTER!$E$4:$E$1463,$P26)="","",INDEX(MASTER!$E$4:$E$1463,$P26)),""))</f>
        <v>WIZARD</v>
      </c>
      <c r="E26" s="19" t="str">
        <f>IF($P26="","",IFERROR(IF(INDEX(MASTER!$F$4:$F$1463,$P26)="","",INDEX(MASTER!$F$4:$F$1463,$P26)),""))</f>
        <v>Ranged DPS</v>
      </c>
      <c r="F26" s="20">
        <f>IF($P26="","",IFERROR(IF(INDEX(MASTER!$G$4:$G$1463,$P26)="","",INDEX(MASTER!$G$4:$G$1463,$P26)),""))</f>
        <v>59975</v>
      </c>
      <c r="G26" s="19" t="str">
        <f>IF($P26="","",IFERROR(IF(INDEX(MASTER!$H$4:$H$1463,$P26)="","",INDEX(MASTER!$H$4:$H$1463,$P26)),""))</f>
        <v>58,000 - 59,999</v>
      </c>
      <c r="H26" s="20">
        <f>IF($P26="","",IFERROR(IF(INDEX(MASTER!$I$4:$I$1463,$P26)="","",INDEX(MASTER!$I$4:$I$1463,$P26)),""))</f>
        <v>2742</v>
      </c>
      <c r="I26" s="19" t="str">
        <f>IF($P26="","",IFERROR(IF(INDEX(MASTER!$J$4:$J$1463,$P26)="","",INDEX(MASTER!$J$4:$J$1463,$P26)),""))</f>
        <v>DEVELOPING</v>
      </c>
      <c r="J26" s="21">
        <f>IF($P26="","",IFERROR(IF(INDEX(MASTER!$L$4:$L$1463,$P26)="","",INDEX(MASTER!$L$4:$L$1463,$P26)),""))</f>
        <v>3.8</v>
      </c>
      <c r="K26" s="21">
        <f>IF($P26="","",IFERROR(IF(INDEX(MASTER!$N$4:$N$1463,$P26)="","",INDEX(MASTER!$N$4:$N$1463,$P26)),""))</f>
        <v>31.4</v>
      </c>
      <c r="L26" s="19" t="str">
        <f>IF($P26="","",IFERROR(IF(INDEX(MASTER!$O$4:$O$1463,$P26)="","",INDEX(MASTER!$O$4:$O$1463,$P26)),""))</f>
        <v>C</v>
      </c>
      <c r="M26" s="19">
        <f>IF($P26="","",IFERROR(IF(INDEX(MASTER!$Q$4:$Q$1463,$P26)="","",INDEX(MASTER!$Q$4:$Q$1463,$P26)),""))</f>
        <v>62</v>
      </c>
      <c r="N26" s="19" t="str">
        <f>IF($P26="","",IFERROR(IF(INDEX(MASTER!$S$4:$S$1463,$P26)="","",INDEX(MASTER!$S$4:$S$1463,$P26)),""))</f>
        <v>Complete</v>
      </c>
      <c r="P26">
        <f>IFERROR(MATCH($Q$1&amp;"@18",MASTER!$AC$4:$AC$1463,0),"")</f>
        <v>267</v>
      </c>
    </row>
    <row r="27" spans="1:16">
      <c r="A27" s="15">
        <f>IF($P27="","",19)</f>
        <v>19</v>
      </c>
      <c r="B27" s="14" t="str">
        <f>IF($P27="","",IFERROR(IF(INDEX(MASTER!$C$4:$C$1463,$P27)="","",INDEX(MASTER!$C$4:$C$1463,$P27)),""))</f>
        <v>Demonslayer530</v>
      </c>
      <c r="C27" s="15" t="str">
        <f>IF($P27="","",IFERROR(IF(INDEX(MASTER!$D$4:$D$1463,$P27)="","",INDEX(MASTER!$D$4:$D$1463,$P27)),""))</f>
        <v>Invictus</v>
      </c>
      <c r="D27" s="15" t="str">
        <f>IF($P27="","",IFERROR(IF(INDEX(MASTER!$E$4:$E$1463,$P27)="","",INDEX(MASTER!$E$4:$E$1463,$P27)),""))</f>
        <v>WARLOCK</v>
      </c>
      <c r="E27" s="15" t="str">
        <f>IF($P27="","",IFERROR(IF(INDEX(MASTER!$F$4:$F$1463,$P27)="","",INDEX(MASTER!$F$4:$F$1463,$P27)),""))</f>
        <v>Control</v>
      </c>
      <c r="F27" s="16">
        <f>IF($P27="","",IFERROR(IF(INDEX(MASTER!$G$4:$G$1463,$P27)="","",INDEX(MASTER!$G$4:$G$1463,$P27)),""))</f>
        <v>62377</v>
      </c>
      <c r="G27" s="15" t="str">
        <f>IF($P27="","",IFERROR(IF(INDEX(MASTER!$H$4:$H$1463,$P27)="","",INDEX(MASTER!$H$4:$H$1463,$P27)),""))</f>
        <v>62,000 - 62,999</v>
      </c>
      <c r="H27" s="16">
        <f>IF($P27="","",IFERROR(IF(INDEX(MASTER!$I$4:$I$1463,$P27)="","",INDEX(MASTER!$I$4:$I$1463,$P27)),""))</f>
        <v>2514</v>
      </c>
      <c r="I27" s="15" t="str">
        <f>IF($P27="","",IFERROR(IF(INDEX(MASTER!$J$4:$J$1463,$P27)="","",INDEX(MASTER!$J$4:$J$1463,$P27)),""))</f>
        <v>DEVELOPING</v>
      </c>
      <c r="J27" s="17">
        <f>IF($P27="","",IFERROR(IF(INDEX(MASTER!$L$4:$L$1463,$P27)="","",INDEX(MASTER!$L$4:$L$1463,$P27)),""))</f>
        <v>3.45</v>
      </c>
      <c r="K27" s="17">
        <f>IF($P27="","",IFERROR(IF(INDEX(MASTER!$N$4:$N$1463,$P27)="","",INDEX(MASTER!$N$4:$N$1463,$P27)),""))</f>
        <v>36.1</v>
      </c>
      <c r="L27" s="15" t="str">
        <f>IF($P27="","",IFERROR(IF(INDEX(MASTER!$O$4:$O$1463,$P27)="","",INDEX(MASTER!$O$4:$O$1463,$P27)),""))</f>
        <v>B</v>
      </c>
      <c r="M27" s="15">
        <f>IF($P27="","",IFERROR(IF(INDEX(MASTER!$Q$4:$Q$1463,$P27)="","",INDEX(MASTER!$Q$4:$Q$1463,$P27)),""))</f>
        <v>69</v>
      </c>
      <c r="N27" s="15" t="str">
        <f>IF($P27="","",IFERROR(IF(INDEX(MASTER!$S$4:$S$1463,$P27)="","",INDEX(MASTER!$S$4:$S$1463,$P27)),""))</f>
        <v>Complete</v>
      </c>
      <c r="P27">
        <f>IFERROR(MATCH($Q$1&amp;"@19",MASTER!$AC$4:$AC$1463,0),"")</f>
        <v>277</v>
      </c>
    </row>
    <row r="28" spans="1:16">
      <c r="A28" s="19">
        <f>IF($P28="","",20)</f>
        <v>20</v>
      </c>
      <c r="B28" s="18" t="str">
        <f>IF($P28="","",IFERROR(IF(INDEX(MASTER!$C$4:$C$1463,$P28)="","",INDEX(MASTER!$C$4:$C$1463,$P28)),""))</f>
        <v>Desy</v>
      </c>
      <c r="C28" s="19" t="str">
        <f>IF($P28="","",IFERROR(IF(INDEX(MASTER!$D$4:$D$1463,$P28)="","",INDEX(MASTER!$D$4:$D$1463,$P28)),""))</f>
        <v>Invictus</v>
      </c>
      <c r="D28" s="19" t="str">
        <f>IF($P28="","",IFERROR(IF(INDEX(MASTER!$E$4:$E$1463,$P28)="","",INDEX(MASTER!$E$4:$E$1463,$P28)),""))</f>
        <v>CRUSADER</v>
      </c>
      <c r="E28" s="19" t="str">
        <f>IF($P28="","",IFERROR(IF(INDEX(MASTER!$F$4:$F$1463,$P28)="","",INDEX(MASTER!$F$4:$F$1463,$P28)),""))</f>
        <v>Frontline</v>
      </c>
      <c r="F28" s="20">
        <f>IF($P28="","",IFERROR(IF(INDEX(MASTER!$G$4:$G$1463,$P28)="","",INDEX(MASTER!$G$4:$G$1463,$P28)),""))</f>
        <v>63110</v>
      </c>
      <c r="G28" s="19" t="str">
        <f>IF($P28="","",IFERROR(IF(INDEX(MASTER!$H$4:$H$1463,$P28)="","",INDEX(MASTER!$H$4:$H$1463,$P28)),""))</f>
        <v>63,000 - 63,999</v>
      </c>
      <c r="H28" s="20">
        <f>IF($P28="","",IFERROR(IF(INDEX(MASTER!$I$4:$I$1463,$P28)="","",INDEX(MASTER!$I$4:$I$1463,$P28)),""))</f>
        <v>3699</v>
      </c>
      <c r="I28" s="19" t="str">
        <f>IF($P28="","",IFERROR(IF(INDEX(MASTER!$J$4:$J$1463,$P28)="","",INDEX(MASTER!$J$4:$J$1463,$P28)),""))</f>
        <v>DEVELOPING</v>
      </c>
      <c r="J28" s="21">
        <f>IF($P28="","",IFERROR(IF(INDEX(MASTER!$L$4:$L$1463,$P28)="","",INDEX(MASTER!$L$4:$L$1463,$P28)),""))</f>
        <v>4.95</v>
      </c>
      <c r="K28" s="21">
        <f>IF($P28="","",IFERROR(IF(INDEX(MASTER!$N$4:$N$1463,$P28)="","",INDEX(MASTER!$N$4:$N$1463,$P28)),""))</f>
        <v>45.7</v>
      </c>
      <c r="L28" s="19" t="str">
        <f>IF($P28="","",IFERROR(IF(INDEX(MASTER!$O$4:$O$1463,$P28)="","",INDEX(MASTER!$O$4:$O$1463,$P28)),""))</f>
        <v>B</v>
      </c>
      <c r="M28" s="19">
        <f>IF($P28="","",IFERROR(IF(INDEX(MASTER!$Q$4:$Q$1463,$P28)="","",INDEX(MASTER!$Q$4:$Q$1463,$P28)),""))</f>
        <v>32</v>
      </c>
      <c r="N28" s="19" t="str">
        <f>IF($P28="","",IFERROR(IF(INDEX(MASTER!$S$4:$S$1463,$P28)="","",INDEX(MASTER!$S$4:$S$1463,$P28)),""))</f>
        <v>Complete</v>
      </c>
      <c r="P28">
        <f>IFERROR(MATCH($Q$1&amp;"@20",MASTER!$AC$4:$AC$1463,0),"")</f>
        <v>281</v>
      </c>
    </row>
    <row r="29" spans="1:16">
      <c r="A29" s="15">
        <f>IF($P29="","",21)</f>
        <v>21</v>
      </c>
      <c r="B29" s="14" t="str">
        <f>IF($P29="","",IFERROR(IF(INDEX(MASTER!$C$4:$C$1463,$P29)="","",INDEX(MASTER!$C$4:$C$1463,$P29)),""))</f>
        <v>Duexes</v>
      </c>
      <c r="C29" s="15" t="str">
        <f>IF($P29="","",IFERROR(IF(INDEX(MASTER!$D$4:$D$1463,$P29)="","",INDEX(MASTER!$D$4:$D$1463,$P29)),""))</f>
        <v>Invictus</v>
      </c>
      <c r="D29" s="15" t="str">
        <f>IF($P29="","",IFERROR(IF(INDEX(MASTER!$E$4:$E$1463,$P29)="","",INDEX(MASTER!$E$4:$E$1463,$P29)),""))</f>
        <v>WARLOCK</v>
      </c>
      <c r="E29" s="15" t="str">
        <f>IF($P29="","",IFERROR(IF(INDEX(MASTER!$F$4:$F$1463,$P29)="","",INDEX(MASTER!$F$4:$F$1463,$P29)),""))</f>
        <v>Control</v>
      </c>
      <c r="F29" s="16">
        <f>IF($P29="","",IFERROR(IF(INDEX(MASTER!$G$4:$G$1463,$P29)="","",INDEX(MASTER!$G$4:$G$1463,$P29)),""))</f>
        <v>63596</v>
      </c>
      <c r="G29" s="15" t="str">
        <f>IF($P29="","",IFERROR(IF(INDEX(MASTER!$H$4:$H$1463,$P29)="","",INDEX(MASTER!$H$4:$H$1463,$P29)),""))</f>
        <v>63,000 - 63,999</v>
      </c>
      <c r="H29" s="16">
        <f>IF($P29="","",IFERROR(IF(INDEX(MASTER!$I$4:$I$1463,$P29)="","",INDEX(MASTER!$I$4:$I$1463,$P29)),""))</f>
        <v>7152</v>
      </c>
      <c r="I29" s="15" t="str">
        <f>IF($P29="","",IFERROR(IF(INDEX(MASTER!$J$4:$J$1463,$P29)="","",INDEX(MASTER!$J$4:$J$1463,$P29)),""))</f>
        <v>VETERAN</v>
      </c>
      <c r="J29" s="17">
        <f>IF($P29="","",IFERROR(IF(INDEX(MASTER!$L$4:$L$1463,$P29)="","",INDEX(MASTER!$L$4:$L$1463,$P29)),""))</f>
        <v>6.15</v>
      </c>
      <c r="K29" s="17">
        <f>IF($P29="","",IFERROR(IF(INDEX(MASTER!$N$4:$N$1463,$P29)="","",INDEX(MASTER!$N$4:$N$1463,$P29)),""))</f>
        <v>64.099999999999994</v>
      </c>
      <c r="L29" s="15" t="str">
        <f>IF($P29="","",IFERROR(IF(INDEX(MASTER!$O$4:$O$1463,$P29)="","",INDEX(MASTER!$O$4:$O$1463,$P29)),""))</f>
        <v>A</v>
      </c>
      <c r="M29" s="15">
        <f>IF($P29="","",IFERROR(IF(INDEX(MASTER!$Q$4:$Q$1463,$P29)="","",INDEX(MASTER!$Q$4:$Q$1463,$P29)),""))</f>
        <v>6</v>
      </c>
      <c r="N29" s="15" t="str">
        <f>IF($P29="","",IFERROR(IF(INDEX(MASTER!$S$4:$S$1463,$P29)="","",INDEX(MASTER!$S$4:$S$1463,$P29)),""))</f>
        <v>Complete</v>
      </c>
      <c r="P29">
        <f>IFERROR(MATCH($Q$1&amp;"@21",MASTER!$AC$4:$AC$1463,0),"")</f>
        <v>328</v>
      </c>
    </row>
    <row r="30" spans="1:16">
      <c r="A30" s="19">
        <f>IF($P30="","",22)</f>
        <v>22</v>
      </c>
      <c r="B30" s="18" t="str">
        <f>IF($P30="","",IFERROR(IF(INDEX(MASTER!$C$4:$C$1463,$P30)="","",INDEX(MASTER!$C$4:$C$1463,$P30)),""))</f>
        <v>FuzzyDog</v>
      </c>
      <c r="C30" s="19" t="str">
        <f>IF($P30="","",IFERROR(IF(INDEX(MASTER!$D$4:$D$1463,$P30)="","",INDEX(MASTER!$D$4:$D$1463,$P30)),""))</f>
        <v>Invictus</v>
      </c>
      <c r="D30" s="19" t="str">
        <f>IF($P30="","",IFERROR(IF(INDEX(MASTER!$E$4:$E$1463,$P30)="","",INDEX(MASTER!$E$4:$E$1463,$P30)),""))</f>
        <v>TEMPEST</v>
      </c>
      <c r="E30" s="19" t="str">
        <f>IF($P30="","",IFERROR(IF(INDEX(MASTER!$F$4:$F$1463,$P30)="","",INDEX(MASTER!$F$4:$F$1463,$P30)),""))</f>
        <v>Melee DPS</v>
      </c>
      <c r="F30" s="20">
        <f>IF($P30="","",IFERROR(IF(INDEX(MASTER!$G$4:$G$1463,$P30)="","",INDEX(MASTER!$G$4:$G$1463,$P30)),""))</f>
        <v>61537</v>
      </c>
      <c r="G30" s="19" t="str">
        <f>IF($P30="","",IFERROR(IF(INDEX(MASTER!$H$4:$H$1463,$P30)="","",INDEX(MASTER!$H$4:$H$1463,$P30)),""))</f>
        <v>61,000 - 61,999</v>
      </c>
      <c r="H30" s="20">
        <f>IF($P30="","",IFERROR(IF(INDEX(MASTER!$I$4:$I$1463,$P30)="","",INDEX(MASTER!$I$4:$I$1463,$P30)),""))</f>
        <v>2023</v>
      </c>
      <c r="I30" s="19" t="str">
        <f>IF($P30="","",IFERROR(IF(INDEX(MASTER!$J$4:$J$1463,$P30)="","",INDEX(MASTER!$J$4:$J$1463,$P30)),""))</f>
        <v>DEVELOPING</v>
      </c>
      <c r="J30" s="21">
        <f>IF($P30="","",IFERROR(IF(INDEX(MASTER!$L$4:$L$1463,$P30)="","",INDEX(MASTER!$L$4:$L$1463,$P30)),""))</f>
        <v>3.3</v>
      </c>
      <c r="K30" s="21">
        <f>IF($P30="","",IFERROR(IF(INDEX(MASTER!$N$4:$N$1463,$P30)="","",INDEX(MASTER!$N$4:$N$1463,$P30)),""))</f>
        <v>31.5</v>
      </c>
      <c r="L30" s="19" t="str">
        <f>IF($P30="","",IFERROR(IF(INDEX(MASTER!$O$4:$O$1463,$P30)="","",INDEX(MASTER!$O$4:$O$1463,$P30)),""))</f>
        <v>C</v>
      </c>
      <c r="M30" s="19">
        <f>IF($P30="","",IFERROR(IF(INDEX(MASTER!$Q$4:$Q$1463,$P30)="","",INDEX(MASTER!$Q$4:$Q$1463,$P30)),""))</f>
        <v>81</v>
      </c>
      <c r="N30" s="19" t="str">
        <f>IF($P30="","",IFERROR(IF(INDEX(MASTER!$S$4:$S$1463,$P30)="","",INDEX(MASTER!$S$4:$S$1463,$P30)),""))</f>
        <v>Complete</v>
      </c>
      <c r="P30">
        <f>IFERROR(MATCH($Q$1&amp;"@22",MASTER!$AC$4:$AC$1463,0),"")</f>
        <v>411</v>
      </c>
    </row>
    <row r="31" spans="1:16">
      <c r="A31" s="15">
        <f>IF($P31="","",23)</f>
        <v>23</v>
      </c>
      <c r="B31" s="14" t="str">
        <f>IF($P31="","",IFERROR(IF(INDEX(MASTER!$C$4:$C$1463,$P31)="","",INDEX(MASTER!$C$4:$C$1463,$P31)),""))</f>
        <v>gburn509</v>
      </c>
      <c r="C31" s="15" t="str">
        <f>IF($P31="","",IFERROR(IF(INDEX(MASTER!$D$4:$D$1463,$P31)="","",INDEX(MASTER!$D$4:$D$1463,$P31)),""))</f>
        <v>Invictus</v>
      </c>
      <c r="D31" s="15" t="str">
        <f>IF($P31="","",IFERROR(IF(INDEX(MASTER!$E$4:$E$1463,$P31)="","",INDEX(MASTER!$E$4:$E$1463,$P31)),""))</f>
        <v>WARLOCK</v>
      </c>
      <c r="E31" s="15" t="str">
        <f>IF($P31="","",IFERROR(IF(INDEX(MASTER!$F$4:$F$1463,$P31)="","",INDEX(MASTER!$F$4:$F$1463,$P31)),""))</f>
        <v>Control</v>
      </c>
      <c r="F31" s="16">
        <f>IF($P31="","",IFERROR(IF(INDEX(MASTER!$G$4:$G$1463,$P31)="","",INDEX(MASTER!$G$4:$G$1463,$P31)),""))</f>
        <v>61581</v>
      </c>
      <c r="G31" s="15" t="str">
        <f>IF($P31="","",IFERROR(IF(INDEX(MASTER!$H$4:$H$1463,$P31)="","",INDEX(MASTER!$H$4:$H$1463,$P31)),""))</f>
        <v>61,000 - 61,999</v>
      </c>
      <c r="H31" s="16">
        <f>IF($P31="","",IFERROR(IF(INDEX(MASTER!$I$4:$I$1463,$P31)="","",INDEX(MASTER!$I$4:$I$1463,$P31)),""))</f>
        <v>2770</v>
      </c>
      <c r="I31" s="15" t="str">
        <f>IF($P31="","",IFERROR(IF(INDEX(MASTER!$J$4:$J$1463,$P31)="","",INDEX(MASTER!$J$4:$J$1463,$P31)),""))</f>
        <v>DEVELOPING</v>
      </c>
      <c r="J31" s="17">
        <f>IF($P31="","",IFERROR(IF(INDEX(MASTER!$L$4:$L$1463,$P31)="","",INDEX(MASTER!$L$4:$L$1463,$P31)),""))</f>
        <v>3.6</v>
      </c>
      <c r="K31" s="17">
        <f>IF($P31="","",IFERROR(IF(INDEX(MASTER!$N$4:$N$1463,$P31)="","",INDEX(MASTER!$N$4:$N$1463,$P31)),""))</f>
        <v>35.4</v>
      </c>
      <c r="L31" s="15" t="str">
        <f>IF($P31="","",IFERROR(IF(INDEX(MASTER!$O$4:$O$1463,$P31)="","",INDEX(MASTER!$O$4:$O$1463,$P31)),""))</f>
        <v>B</v>
      </c>
      <c r="M31" s="15">
        <f>IF($P31="","",IFERROR(IF(INDEX(MASTER!$Q$4:$Q$1463,$P31)="","",INDEX(MASTER!$Q$4:$Q$1463,$P31)),""))</f>
        <v>60</v>
      </c>
      <c r="N31" s="15" t="str">
        <f>IF($P31="","",IFERROR(IF(INDEX(MASTER!$S$4:$S$1463,$P31)="","",INDEX(MASTER!$S$4:$S$1463,$P31)),""))</f>
        <v>Complete</v>
      </c>
      <c r="P31">
        <f>IFERROR(MATCH($Q$1&amp;"@23",MASTER!$AC$4:$AC$1463,0),"")</f>
        <v>418</v>
      </c>
    </row>
    <row r="32" spans="1:16">
      <c r="A32" s="19">
        <f>IF($P32="","",24)</f>
        <v>24</v>
      </c>
      <c r="B32" s="18" t="str">
        <f>IF($P32="","",IFERROR(IF(INDEX(MASTER!$C$4:$C$1463,$P32)="","",INDEX(MASTER!$C$4:$C$1463,$P32)),""))</f>
        <v>Ghym</v>
      </c>
      <c r="C32" s="19" t="str">
        <f>IF($P32="","",IFERROR(IF(INDEX(MASTER!$D$4:$D$1463,$P32)="","",INDEX(MASTER!$D$4:$D$1463,$P32)),""))</f>
        <v>Invictus</v>
      </c>
      <c r="D32" s="19" t="str">
        <f>IF($P32="","",IFERROR(IF(INDEX(MASTER!$E$4:$E$1463,$P32)="","",INDEX(MASTER!$E$4:$E$1463,$P32)),""))</f>
        <v>DEMON HUNTER</v>
      </c>
      <c r="E32" s="19" t="str">
        <f>IF($P32="","",IFERROR(IF(INDEX(MASTER!$F$4:$F$1463,$P32)="","",INDEX(MASTER!$F$4:$F$1463,$P32)),""))</f>
        <v>Ranged DPS</v>
      </c>
      <c r="F32" s="20">
        <f>IF($P32="","",IFERROR(IF(INDEX(MASTER!$G$4:$G$1463,$P32)="","",INDEX(MASTER!$G$4:$G$1463,$P32)),""))</f>
        <v>61425</v>
      </c>
      <c r="G32" s="19" t="str">
        <f>IF($P32="","",IFERROR(IF(INDEX(MASTER!$H$4:$H$1463,$P32)="","",INDEX(MASTER!$H$4:$H$1463,$P32)),""))</f>
        <v>61,000 - 61,999</v>
      </c>
      <c r="H32" s="20">
        <f>IF($P32="","",IFERROR(IF(INDEX(MASTER!$I$4:$I$1463,$P32)="","",INDEX(MASTER!$I$4:$I$1463,$P32)),""))</f>
        <v>2073</v>
      </c>
      <c r="I32" s="19" t="str">
        <f>IF($P32="","",IFERROR(IF(INDEX(MASTER!$J$4:$J$1463,$P32)="","",INDEX(MASTER!$J$4:$J$1463,$P32)),""))</f>
        <v>DEVELOPING</v>
      </c>
      <c r="J32" s="21">
        <f>IF($P32="","",IFERROR(IF(INDEX(MASTER!$L$4:$L$1463,$P32)="","",INDEX(MASTER!$L$4:$L$1463,$P32)),""))</f>
        <v>3.9</v>
      </c>
      <c r="K32" s="21">
        <f>IF($P32="","",IFERROR(IF(INDEX(MASTER!$N$4:$N$1463,$P32)="","",INDEX(MASTER!$N$4:$N$1463,$P32)),""))</f>
        <v>32.5</v>
      </c>
      <c r="L32" s="19" t="str">
        <f>IF($P32="","",IFERROR(IF(INDEX(MASTER!$O$4:$O$1463,$P32)="","",INDEX(MASTER!$O$4:$O$1463,$P32)),""))</f>
        <v>C</v>
      </c>
      <c r="M32" s="19">
        <f>IF($P32="","",IFERROR(IF(INDEX(MASTER!$Q$4:$Q$1463,$P32)="","",INDEX(MASTER!$Q$4:$Q$1463,$P32)),""))</f>
        <v>78</v>
      </c>
      <c r="N32" s="19" t="str">
        <f>IF($P32="","",IFERROR(IF(INDEX(MASTER!$S$4:$S$1463,$P32)="","",INDEX(MASTER!$S$4:$S$1463,$P32)),""))</f>
        <v>Complete</v>
      </c>
      <c r="P32">
        <f>IFERROR(MATCH($Q$1&amp;"@24",MASTER!$AC$4:$AC$1463,0),"")</f>
        <v>428</v>
      </c>
    </row>
    <row r="33" spans="1:16">
      <c r="A33" s="15">
        <f>IF($P33="","",25)</f>
        <v>25</v>
      </c>
      <c r="B33" s="14" t="str">
        <f>IF($P33="","",IFERROR(IF(INDEX(MASTER!$C$4:$C$1463,$P33)="","",INDEX(MASTER!$C$4:$C$1463,$P33)),""))</f>
        <v>Goudil</v>
      </c>
      <c r="C33" s="15" t="str">
        <f>IF($P33="","",IFERROR(IF(INDEX(MASTER!$D$4:$D$1463,$P33)="","",INDEX(MASTER!$D$4:$D$1463,$P33)),""))</f>
        <v>Invictus</v>
      </c>
      <c r="D33" s="15" t="str">
        <f>IF($P33="","",IFERROR(IF(INDEX(MASTER!$E$4:$E$1463,$P33)="","",INDEX(MASTER!$E$4:$E$1463,$P33)),""))</f>
        <v>WIZARD</v>
      </c>
      <c r="E33" s="15" t="str">
        <f>IF($P33="","",IFERROR(IF(INDEX(MASTER!$F$4:$F$1463,$P33)="","",INDEX(MASTER!$F$4:$F$1463,$P33)),""))</f>
        <v>Ranged DPS</v>
      </c>
      <c r="F33" s="16">
        <f>IF($P33="","",IFERROR(IF(INDEX(MASTER!$G$4:$G$1463,$P33)="","",INDEX(MASTER!$G$4:$G$1463,$P33)),""))</f>
        <v>61882</v>
      </c>
      <c r="G33" s="15" t="str">
        <f>IF($P33="","",IFERROR(IF(INDEX(MASTER!$H$4:$H$1463,$P33)="","",INDEX(MASTER!$H$4:$H$1463,$P33)),""))</f>
        <v>61,000 - 61,999</v>
      </c>
      <c r="H33" s="16">
        <f>IF($P33="","",IFERROR(IF(INDEX(MASTER!$I$4:$I$1463,$P33)="","",INDEX(MASTER!$I$4:$I$1463,$P33)),""))</f>
        <v>1500</v>
      </c>
      <c r="I33" s="15" t="str">
        <f>IF($P33="","",IFERROR(IF(INDEX(MASTER!$J$4:$J$1463,$P33)="","",INDEX(MASTER!$J$4:$J$1463,$P33)),""))</f>
        <v>ROOKIE</v>
      </c>
      <c r="J33" s="17">
        <f>IF($P33="","",IFERROR(IF(INDEX(MASTER!$L$4:$L$1463,$P33)="","",INDEX(MASTER!$L$4:$L$1463,$P33)),""))</f>
        <v>3.2</v>
      </c>
      <c r="K33" s="17">
        <f>IF($P33="","",IFERROR(IF(INDEX(MASTER!$N$4:$N$1463,$P33)="","",INDEX(MASTER!$N$4:$N$1463,$P33)),""))</f>
        <v>30</v>
      </c>
      <c r="L33" s="15" t="str">
        <f>IF($P33="","",IFERROR(IF(INDEX(MASTER!$O$4:$O$1463,$P33)="","",INDEX(MASTER!$O$4:$O$1463,$P33)),""))</f>
        <v>C</v>
      </c>
      <c r="M33" s="15">
        <f>IF($P33="","",IFERROR(IF(INDEX(MASTER!$Q$4:$Q$1463,$P33)="","",INDEX(MASTER!$Q$4:$Q$1463,$P33)),""))</f>
        <v>90</v>
      </c>
      <c r="N33" s="15" t="str">
        <f>IF($P33="","",IFERROR(IF(INDEX(MASTER!$S$4:$S$1463,$P33)="","",INDEX(MASTER!$S$4:$S$1463,$P33)),""))</f>
        <v>Complete</v>
      </c>
      <c r="P33">
        <f>IFERROR(MATCH($Q$1&amp;"@25",MASTER!$AC$4:$AC$1463,0),"")</f>
        <v>445</v>
      </c>
    </row>
    <row r="34" spans="1:16">
      <c r="A34" s="19">
        <f>IF($P34="","",26)</f>
        <v>26</v>
      </c>
      <c r="B34" s="18" t="str">
        <f>IF($P34="","",IFERROR(IF(INDEX(MASTER!$C$4:$C$1463,$P34)="","",INDEX(MASTER!$C$4:$C$1463,$P34)),""))</f>
        <v>GratefulTread</v>
      </c>
      <c r="C34" s="19" t="str">
        <f>IF($P34="","",IFERROR(IF(INDEX(MASTER!$D$4:$D$1463,$P34)="","",INDEX(MASTER!$D$4:$D$1463,$P34)),""))</f>
        <v>Invictus</v>
      </c>
      <c r="D34" s="19" t="str">
        <f>IF($P34="","",IFERROR(IF(INDEX(MASTER!$E$4:$E$1463,$P34)="","",INDEX(MASTER!$E$4:$E$1463,$P34)),""))</f>
        <v>DEMON HUNTER</v>
      </c>
      <c r="E34" s="19" t="str">
        <f>IF($P34="","",IFERROR(IF(INDEX(MASTER!$F$4:$F$1463,$P34)="","",INDEX(MASTER!$F$4:$F$1463,$P34)),""))</f>
        <v>Ranged DPS</v>
      </c>
      <c r="F34" s="20">
        <f>IF($P34="","",IFERROR(IF(INDEX(MASTER!$G$4:$G$1463,$P34)="","",INDEX(MASTER!$G$4:$G$1463,$P34)),""))</f>
        <v>62078</v>
      </c>
      <c r="G34" s="19" t="str">
        <f>IF($P34="","",IFERROR(IF(INDEX(MASTER!$H$4:$H$1463,$P34)="","",INDEX(MASTER!$H$4:$H$1463,$P34)),""))</f>
        <v>62,000 - 62,999</v>
      </c>
      <c r="H34" s="20">
        <f>IF($P34="","",IFERROR(IF(INDEX(MASTER!$I$4:$I$1463,$P34)="","",INDEX(MASTER!$I$4:$I$1463,$P34)),""))</f>
        <v>3500</v>
      </c>
      <c r="I34" s="19" t="str">
        <f>IF($P34="","",IFERROR(IF(INDEX(MASTER!$J$4:$J$1463,$P34)="","",INDEX(MASTER!$J$4:$J$1463,$P34)),""))</f>
        <v>DEVELOPING</v>
      </c>
      <c r="J34" s="21">
        <f>IF($P34="","",IFERROR(IF(INDEX(MASTER!$L$4:$L$1463,$P34)="","",INDEX(MASTER!$L$4:$L$1463,$P34)),""))</f>
        <v>4.3</v>
      </c>
      <c r="K34" s="21">
        <f>IF($P34="","",IFERROR(IF(INDEX(MASTER!$N$4:$N$1463,$P34)="","",INDEX(MASTER!$N$4:$N$1463,$P34)),""))</f>
        <v>41.1</v>
      </c>
      <c r="L34" s="19" t="str">
        <f>IF($P34="","",IFERROR(IF(INDEX(MASTER!$O$4:$O$1463,$P34)="","",INDEX(MASTER!$O$4:$O$1463,$P34)),""))</f>
        <v>B</v>
      </c>
      <c r="M34" s="19">
        <f>IF($P34="","",IFERROR(IF(INDEX(MASTER!$Q$4:$Q$1463,$P34)="","",INDEX(MASTER!$Q$4:$Q$1463,$P34)),""))</f>
        <v>34</v>
      </c>
      <c r="N34" s="19" t="str">
        <f>IF($P34="","",IFERROR(IF(INDEX(MASTER!$S$4:$S$1463,$P34)="","",INDEX(MASTER!$S$4:$S$1463,$P34)),""))</f>
        <v>Complete</v>
      </c>
      <c r="P34">
        <f>IFERROR(MATCH($Q$1&amp;"@26",MASTER!$AC$4:$AC$1463,0),"")</f>
        <v>451</v>
      </c>
    </row>
    <row r="35" spans="1:16">
      <c r="A35" s="15">
        <f>IF($P35="","",27)</f>
        <v>27</v>
      </c>
      <c r="B35" s="14" t="str">
        <f>IF($P35="","",IFERROR(IF(INDEX(MASTER!$C$4:$C$1463,$P35)="","",INDEX(MASTER!$C$4:$C$1463,$P35)),""))</f>
        <v>Grimsha</v>
      </c>
      <c r="C35" s="15" t="str">
        <f>IF($P35="","",IFERROR(IF(INDEX(MASTER!$D$4:$D$1463,$P35)="","",INDEX(MASTER!$D$4:$D$1463,$P35)),""))</f>
        <v>Invictus</v>
      </c>
      <c r="D35" s="15" t="str">
        <f>IF($P35="","",IFERROR(IF(INDEX(MASTER!$E$4:$E$1463,$P35)="","",INDEX(MASTER!$E$4:$E$1463,$P35)),""))</f>
        <v>NECROMANCER</v>
      </c>
      <c r="E35" s="15" t="str">
        <f>IF($P35="","",IFERROR(IF(INDEX(MASTER!$F$4:$F$1463,$P35)="","",INDEX(MASTER!$F$4:$F$1463,$P35)),""))</f>
        <v>Control</v>
      </c>
      <c r="F35" s="16">
        <f>IF($P35="","",IFERROR(IF(INDEX(MASTER!$G$4:$G$1463,$P35)="","",INDEX(MASTER!$G$4:$G$1463,$P35)),""))</f>
        <v>62671</v>
      </c>
      <c r="G35" s="15" t="str">
        <f>IF($P35="","",IFERROR(IF(INDEX(MASTER!$H$4:$H$1463,$P35)="","",INDEX(MASTER!$H$4:$H$1463,$P35)),""))</f>
        <v>62,000 - 62,999</v>
      </c>
      <c r="H35" s="16">
        <f>IF($P35="","",IFERROR(IF(INDEX(MASTER!$I$4:$I$1463,$P35)="","",INDEX(MASTER!$I$4:$I$1463,$P35)),""))</f>
        <v>1470</v>
      </c>
      <c r="I35" s="15" t="str">
        <f>IF($P35="","",IFERROR(IF(INDEX(MASTER!$J$4:$J$1463,$P35)="","",INDEX(MASTER!$J$4:$J$1463,$P35)),""))</f>
        <v>ROOKIE</v>
      </c>
      <c r="J35" s="17">
        <f>IF($P35="","",IFERROR(IF(INDEX(MASTER!$L$4:$L$1463,$P35)="","",INDEX(MASTER!$L$4:$L$1463,$P35)),""))</f>
        <v>3.15</v>
      </c>
      <c r="K35" s="17">
        <f>IF($P35="","",IFERROR(IF(INDEX(MASTER!$N$4:$N$1463,$P35)="","",INDEX(MASTER!$N$4:$N$1463,$P35)),""))</f>
        <v>31.9</v>
      </c>
      <c r="L35" s="15" t="str">
        <f>IF($P35="","",IFERROR(IF(INDEX(MASTER!$O$4:$O$1463,$P35)="","",INDEX(MASTER!$O$4:$O$1463,$P35)),""))</f>
        <v>C</v>
      </c>
      <c r="M35" s="15">
        <f>IF($P35="","",IFERROR(IF(INDEX(MASTER!$Q$4:$Q$1463,$P35)="","",INDEX(MASTER!$Q$4:$Q$1463,$P35)),""))</f>
        <v>92</v>
      </c>
      <c r="N35" s="15" t="str">
        <f>IF($P35="","",IFERROR(IF(INDEX(MASTER!$S$4:$S$1463,$P35)="","",INDEX(MASTER!$S$4:$S$1463,$P35)),""))</f>
        <v>Complete</v>
      </c>
      <c r="P35">
        <f>IFERROR(MATCH($Q$1&amp;"@27",MASTER!$AC$4:$AC$1463,0),"")</f>
        <v>458</v>
      </c>
    </row>
    <row r="36" spans="1:16">
      <c r="A36" s="19">
        <f>IF($P36="","",28)</f>
        <v>28</v>
      </c>
      <c r="B36" s="18" t="str">
        <f>IF($P36="","",IFERROR(IF(INDEX(MASTER!$C$4:$C$1463,$P36)="","",INDEX(MASTER!$C$4:$C$1463,$P36)),""))</f>
        <v>Hafiar</v>
      </c>
      <c r="C36" s="19" t="str">
        <f>IF($P36="","",IFERROR(IF(INDEX(MASTER!$D$4:$D$1463,$P36)="","",INDEX(MASTER!$D$4:$D$1463,$P36)),""))</f>
        <v>Invictus</v>
      </c>
      <c r="D36" s="19" t="str">
        <f>IF($P36="","",IFERROR(IF(INDEX(MASTER!$E$4:$E$1463,$P36)="","",INDEX(MASTER!$E$4:$E$1463,$P36)),""))</f>
        <v>CRUSADER</v>
      </c>
      <c r="E36" s="19" t="str">
        <f>IF($P36="","",IFERROR(IF(INDEX(MASTER!$F$4:$F$1463,$P36)="","",INDEX(MASTER!$F$4:$F$1463,$P36)),""))</f>
        <v>Frontline</v>
      </c>
      <c r="F36" s="20">
        <f>IF($P36="","",IFERROR(IF(INDEX(MASTER!$G$4:$G$1463,$P36)="","",INDEX(MASTER!$G$4:$G$1463,$P36)),""))</f>
        <v>62553</v>
      </c>
      <c r="G36" s="19" t="str">
        <f>IF($P36="","",IFERROR(IF(INDEX(MASTER!$H$4:$H$1463,$P36)="","",INDEX(MASTER!$H$4:$H$1463,$P36)),""))</f>
        <v>62,000 - 62,999</v>
      </c>
      <c r="H36" s="20">
        <f>IF($P36="","",IFERROR(IF(INDEX(MASTER!$I$4:$I$1463,$P36)="","",INDEX(MASTER!$I$4:$I$1463,$P36)),""))</f>
        <v>2409</v>
      </c>
      <c r="I36" s="19" t="str">
        <f>IF($P36="","",IFERROR(IF(INDEX(MASTER!$J$4:$J$1463,$P36)="","",INDEX(MASTER!$J$4:$J$1463,$P36)),""))</f>
        <v>DEVELOPING</v>
      </c>
      <c r="J36" s="21">
        <f>IF($P36="","",IFERROR(IF(INDEX(MASTER!$L$4:$L$1463,$P36)="","",INDEX(MASTER!$L$4:$L$1463,$P36)),""))</f>
        <v>3.65</v>
      </c>
      <c r="K36" s="21">
        <f>IF($P36="","",IFERROR(IF(INDEX(MASTER!$N$4:$N$1463,$P36)="","",INDEX(MASTER!$N$4:$N$1463,$P36)),""))</f>
        <v>36.5</v>
      </c>
      <c r="L36" s="19" t="str">
        <f>IF($P36="","",IFERROR(IF(INDEX(MASTER!$O$4:$O$1463,$P36)="","",INDEX(MASTER!$O$4:$O$1463,$P36)),""))</f>
        <v>B</v>
      </c>
      <c r="M36" s="19">
        <f>IF($P36="","",IFERROR(IF(INDEX(MASTER!$Q$4:$Q$1463,$P36)="","",INDEX(MASTER!$Q$4:$Q$1463,$P36)),""))</f>
        <v>71</v>
      </c>
      <c r="N36" s="19" t="str">
        <f>IF($P36="","",IFERROR(IF(INDEX(MASTER!$S$4:$S$1463,$P36)="","",INDEX(MASTER!$S$4:$S$1463,$P36)),""))</f>
        <v>Complete</v>
      </c>
      <c r="P36">
        <f>IFERROR(MATCH($Q$1&amp;"@28",MASTER!$AC$4:$AC$1463,0),"")</f>
        <v>466</v>
      </c>
    </row>
    <row r="37" spans="1:16">
      <c r="A37" s="15">
        <f>IF($P37="","",29)</f>
        <v>29</v>
      </c>
      <c r="B37" s="14" t="str">
        <f>IF($P37="","",IFERROR(IF(INDEX(MASTER!$C$4:$C$1463,$P37)="","",INDEX(MASTER!$C$4:$C$1463,$P37)),""))</f>
        <v>Hegath</v>
      </c>
      <c r="C37" s="15" t="str">
        <f>IF($P37="","",IFERROR(IF(INDEX(MASTER!$D$4:$D$1463,$P37)="","",INDEX(MASTER!$D$4:$D$1463,$P37)),""))</f>
        <v>Invictus</v>
      </c>
      <c r="D37" s="15" t="str">
        <f>IF($P37="","",IFERROR(IF(INDEX(MASTER!$E$4:$E$1463,$P37)="","",INDEX(MASTER!$E$4:$E$1463,$P37)),""))</f>
        <v>WARLOCK</v>
      </c>
      <c r="E37" s="15" t="str">
        <f>IF($P37="","",IFERROR(IF(INDEX(MASTER!$F$4:$F$1463,$P37)="","",INDEX(MASTER!$F$4:$F$1463,$P37)),""))</f>
        <v>Control</v>
      </c>
      <c r="F37" s="16">
        <f>IF($P37="","",IFERROR(IF(INDEX(MASTER!$G$4:$G$1463,$P37)="","",INDEX(MASTER!$G$4:$G$1463,$P37)),""))</f>
        <v>63136</v>
      </c>
      <c r="G37" s="15" t="str">
        <f>IF($P37="","",IFERROR(IF(INDEX(MASTER!$H$4:$H$1463,$P37)="","",INDEX(MASTER!$H$4:$H$1463,$P37)),""))</f>
        <v>63,000 - 63,999</v>
      </c>
      <c r="H37" s="16">
        <f>IF($P37="","",IFERROR(IF(INDEX(MASTER!$I$4:$I$1463,$P37)="","",INDEX(MASTER!$I$4:$I$1463,$P37)),""))</f>
        <v>4315</v>
      </c>
      <c r="I37" s="15" t="str">
        <f>IF($P37="","",IFERROR(IF(INDEX(MASTER!$J$4:$J$1463,$P37)="","",INDEX(MASTER!$J$4:$J$1463,$P37)),""))</f>
        <v>CORE</v>
      </c>
      <c r="J37" s="17">
        <f>IF($P37="","",IFERROR(IF(INDEX(MASTER!$L$4:$L$1463,$P37)="","",INDEX(MASTER!$L$4:$L$1463,$P37)),""))</f>
        <v>3.65</v>
      </c>
      <c r="K37" s="17">
        <f>IF($P37="","",IFERROR(IF(INDEX(MASTER!$N$4:$N$1463,$P37)="","",INDEX(MASTER!$N$4:$N$1463,$P37)),""))</f>
        <v>46.3</v>
      </c>
      <c r="L37" s="15" t="str">
        <f>IF($P37="","",IFERROR(IF(INDEX(MASTER!$O$4:$O$1463,$P37)="","",INDEX(MASTER!$O$4:$O$1463,$P37)),""))</f>
        <v>B</v>
      </c>
      <c r="M37" s="15">
        <f>IF($P37="","",IFERROR(IF(INDEX(MASTER!$Q$4:$Q$1463,$P37)="","",INDEX(MASTER!$Q$4:$Q$1463,$P37)),""))</f>
        <v>23</v>
      </c>
      <c r="N37" s="15" t="str">
        <f>IF($P37="","",IFERROR(IF(INDEX(MASTER!$S$4:$S$1463,$P37)="","",INDEX(MASTER!$S$4:$S$1463,$P37)),""))</f>
        <v>Complete</v>
      </c>
      <c r="P37">
        <f>IFERROR(MATCH($Q$1&amp;"@29",MASTER!$AC$4:$AC$1463,0),"")</f>
        <v>482</v>
      </c>
    </row>
    <row r="38" spans="1:16">
      <c r="A38" s="19">
        <f>IF($P38="","",30)</f>
        <v>30</v>
      </c>
      <c r="B38" s="18" t="str">
        <f>IF($P38="","",IFERROR(IF(INDEX(MASTER!$C$4:$C$1463,$P38)="","",INDEX(MASTER!$C$4:$C$1463,$P38)),""))</f>
        <v>HellaIQ</v>
      </c>
      <c r="C38" s="19" t="str">
        <f>IF($P38="","",IFERROR(IF(INDEX(MASTER!$D$4:$D$1463,$P38)="","",INDEX(MASTER!$D$4:$D$1463,$P38)),""))</f>
        <v>Invictus</v>
      </c>
      <c r="D38" s="19" t="str">
        <f>IF($P38="","",IFERROR(IF(INDEX(MASTER!$E$4:$E$1463,$P38)="","",INDEX(MASTER!$E$4:$E$1463,$P38)),""))</f>
        <v>DEMON HUNTER</v>
      </c>
      <c r="E38" s="19" t="str">
        <f>IF($P38="","",IFERROR(IF(INDEX(MASTER!$F$4:$F$1463,$P38)="","",INDEX(MASTER!$F$4:$F$1463,$P38)),""))</f>
        <v>Ranged DPS</v>
      </c>
      <c r="F38" s="20">
        <f>IF($P38="","",IFERROR(IF(INDEX(MASTER!$G$4:$G$1463,$P38)="","",INDEX(MASTER!$G$4:$G$1463,$P38)),""))</f>
        <v>62207</v>
      </c>
      <c r="G38" s="19" t="str">
        <f>IF($P38="","",IFERROR(IF(INDEX(MASTER!$H$4:$H$1463,$P38)="","",INDEX(MASTER!$H$4:$H$1463,$P38)),""))</f>
        <v>62,000 - 62,999</v>
      </c>
      <c r="H38" s="20">
        <f>IF($P38="","",IFERROR(IF(INDEX(MASTER!$I$4:$I$1463,$P38)="","",INDEX(MASTER!$I$4:$I$1463,$P38)),""))</f>
        <v>869</v>
      </c>
      <c r="I38" s="19" t="str">
        <f>IF($P38="","",IFERROR(IF(INDEX(MASTER!$J$4:$J$1463,$P38)="","",INDEX(MASTER!$J$4:$J$1463,$P38)),""))</f>
        <v>ROOKIE</v>
      </c>
      <c r="J38" s="21">
        <f>IF($P38="","",IFERROR(IF(INDEX(MASTER!$L$4:$L$1463,$P38)="","",INDEX(MASTER!$L$4:$L$1463,$P38)),""))</f>
        <v>3.7</v>
      </c>
      <c r="K38" s="21">
        <f>IF($P38="","",IFERROR(IF(INDEX(MASTER!$N$4:$N$1463,$P38)="","",INDEX(MASTER!$N$4:$N$1463,$P38)),""))</f>
        <v>28.9</v>
      </c>
      <c r="L38" s="19" t="str">
        <f>IF($P38="","",IFERROR(IF(INDEX(MASTER!$O$4:$O$1463,$P38)="","",INDEX(MASTER!$O$4:$O$1463,$P38)),""))</f>
        <v>C</v>
      </c>
      <c r="M38" s="19">
        <f>IF($P38="","",IFERROR(IF(INDEX(MASTER!$Q$4:$Q$1463,$P38)="","",INDEX(MASTER!$Q$4:$Q$1463,$P38)),""))</f>
        <v>97</v>
      </c>
      <c r="N38" s="19" t="str">
        <f>IF($P38="","",IFERROR(IF(INDEX(MASTER!$S$4:$S$1463,$P38)="","",INDEX(MASTER!$S$4:$S$1463,$P38)),""))</f>
        <v>Complete</v>
      </c>
      <c r="P38">
        <f>IFERROR(MATCH($Q$1&amp;"@30",MASTER!$AC$4:$AC$1463,0),"")</f>
        <v>485</v>
      </c>
    </row>
    <row r="39" spans="1:16">
      <c r="A39" s="15">
        <f>IF($P39="","",31)</f>
        <v>31</v>
      </c>
      <c r="B39" s="14" t="str">
        <f>IF($P39="","",IFERROR(IF(INDEX(MASTER!$C$4:$C$1463,$P39)="","",INDEX(MASTER!$C$4:$C$1463,$P39)),""))</f>
        <v>Hellzbilly</v>
      </c>
      <c r="C39" s="15" t="str">
        <f>IF($P39="","",IFERROR(IF(INDEX(MASTER!$D$4:$D$1463,$P39)="","",INDEX(MASTER!$D$4:$D$1463,$P39)),""))</f>
        <v>Invictus</v>
      </c>
      <c r="D39" s="15" t="str">
        <f>IF($P39="","",IFERROR(IF(INDEX(MASTER!$E$4:$E$1463,$P39)="","",INDEX(MASTER!$E$4:$E$1463,$P39)),""))</f>
        <v>CRUSADER</v>
      </c>
      <c r="E39" s="15" t="str">
        <f>IF($P39="","",IFERROR(IF(INDEX(MASTER!$F$4:$F$1463,$P39)="","",INDEX(MASTER!$F$4:$F$1463,$P39)),""))</f>
        <v>Frontline</v>
      </c>
      <c r="F39" s="16">
        <f>IF($P39="","",IFERROR(IF(INDEX(MASTER!$G$4:$G$1463,$P39)="","",INDEX(MASTER!$G$4:$G$1463,$P39)),""))</f>
        <v>63270</v>
      </c>
      <c r="G39" s="15" t="str">
        <f>IF($P39="","",IFERROR(IF(INDEX(MASTER!$H$4:$H$1463,$P39)="","",INDEX(MASTER!$H$4:$H$1463,$P39)),""))</f>
        <v>63,000 - 63,999</v>
      </c>
      <c r="H39" s="16">
        <f>IF($P39="","",IFERROR(IF(INDEX(MASTER!$I$4:$I$1463,$P39)="","",INDEX(MASTER!$I$4:$I$1463,$P39)),""))</f>
        <v>4398</v>
      </c>
      <c r="I39" s="15" t="str">
        <f>IF($P39="","",IFERROR(IF(INDEX(MASTER!$J$4:$J$1463,$P39)="","",INDEX(MASTER!$J$4:$J$1463,$P39)),""))</f>
        <v>CORE</v>
      </c>
      <c r="J39" s="17">
        <f>IF($P39="","",IFERROR(IF(INDEX(MASTER!$L$4:$L$1463,$P39)="","",INDEX(MASTER!$L$4:$L$1463,$P39)),""))</f>
        <v>4.8499999999999996</v>
      </c>
      <c r="K39" s="17">
        <f>IF($P39="","",IFERROR(IF(INDEX(MASTER!$N$4:$N$1463,$P39)="","",INDEX(MASTER!$N$4:$N$1463,$P39)),""))</f>
        <v>49</v>
      </c>
      <c r="L39" s="15" t="str">
        <f>IF($P39="","",IFERROR(IF(INDEX(MASTER!$O$4:$O$1463,$P39)="","",INDEX(MASTER!$O$4:$O$1463,$P39)),""))</f>
        <v>B</v>
      </c>
      <c r="M39" s="15">
        <f>IF($P39="","",IFERROR(IF(INDEX(MASTER!$Q$4:$Q$1463,$P39)="","",INDEX(MASTER!$Q$4:$Q$1463,$P39)),""))</f>
        <v>22</v>
      </c>
      <c r="N39" s="15" t="str">
        <f>IF($P39="","",IFERROR(IF(INDEX(MASTER!$S$4:$S$1463,$P39)="","",INDEX(MASTER!$S$4:$S$1463,$P39)),""))</f>
        <v>Complete</v>
      </c>
      <c r="P39">
        <f>IFERROR(MATCH($Q$1&amp;"@31",MASTER!$AC$4:$AC$1463,0),"")</f>
        <v>490</v>
      </c>
    </row>
    <row r="40" spans="1:16">
      <c r="A40" s="19">
        <f>IF($P40="","",32)</f>
        <v>32</v>
      </c>
      <c r="B40" s="18" t="str">
        <f>IF($P40="","",IFERROR(IF(INDEX(MASTER!$C$4:$C$1463,$P40)="","",INDEX(MASTER!$C$4:$C$1463,$P40)),""))</f>
        <v>Hobbës</v>
      </c>
      <c r="C40" s="19" t="str">
        <f>IF($P40="","",IFERROR(IF(INDEX(MASTER!$D$4:$D$1463,$P40)="","",INDEX(MASTER!$D$4:$D$1463,$P40)),""))</f>
        <v>Invictus</v>
      </c>
      <c r="D40" s="19" t="str">
        <f>IF($P40="","",IFERROR(IF(INDEX(MASTER!$E$4:$E$1463,$P40)="","",INDEX(MASTER!$E$4:$E$1463,$P40)),""))</f>
        <v>DEMON HUNTER</v>
      </c>
      <c r="E40" s="19" t="str">
        <f>IF($P40="","",IFERROR(IF(INDEX(MASTER!$F$4:$F$1463,$P40)="","",INDEX(MASTER!$F$4:$F$1463,$P40)),""))</f>
        <v>Ranged DPS</v>
      </c>
      <c r="F40" s="20">
        <f>IF($P40="","",IFERROR(IF(INDEX(MASTER!$G$4:$G$1463,$P40)="","",INDEX(MASTER!$G$4:$G$1463,$P40)),""))</f>
        <v>62243</v>
      </c>
      <c r="G40" s="19" t="str">
        <f>IF($P40="","",IFERROR(IF(INDEX(MASTER!$H$4:$H$1463,$P40)="","",INDEX(MASTER!$H$4:$H$1463,$P40)),""))</f>
        <v>62,000 - 62,999</v>
      </c>
      <c r="H40" s="20">
        <f>IF($P40="","",IFERROR(IF(INDEX(MASTER!$I$4:$I$1463,$P40)="","",INDEX(MASTER!$I$4:$I$1463,$P40)),""))</f>
        <v>3374</v>
      </c>
      <c r="I40" s="19" t="str">
        <f>IF($P40="","",IFERROR(IF(INDEX(MASTER!$J$4:$J$1463,$P40)="","",INDEX(MASTER!$J$4:$J$1463,$P40)),""))</f>
        <v>DEVELOPING</v>
      </c>
      <c r="J40" s="21">
        <f>IF($P40="","",IFERROR(IF(INDEX(MASTER!$L$4:$L$1463,$P40)="","",INDEX(MASTER!$L$4:$L$1463,$P40)),""))</f>
        <v>5.6</v>
      </c>
      <c r="K40" s="21">
        <f>IF($P40="","",IFERROR(IF(INDEX(MASTER!$N$4:$N$1463,$P40)="","",INDEX(MASTER!$N$4:$N$1463,$P40)),""))</f>
        <v>43.1</v>
      </c>
      <c r="L40" s="19" t="str">
        <f>IF($P40="","",IFERROR(IF(INDEX(MASTER!$O$4:$O$1463,$P40)="","",INDEX(MASTER!$O$4:$O$1463,$P40)),""))</f>
        <v>B</v>
      </c>
      <c r="M40" s="19">
        <f>IF($P40="","",IFERROR(IF(INDEX(MASTER!$Q$4:$Q$1463,$P40)="","",INDEX(MASTER!$Q$4:$Q$1463,$P40)),""))</f>
        <v>38</v>
      </c>
      <c r="N40" s="19" t="str">
        <f>IF($P40="","",IFERROR(IF(INDEX(MASTER!$S$4:$S$1463,$P40)="","",INDEX(MASTER!$S$4:$S$1463,$P40)),""))</f>
        <v>Complete</v>
      </c>
      <c r="P40">
        <f>IFERROR(MATCH($Q$1&amp;"@32",MASTER!$AC$4:$AC$1463,0),"")</f>
        <v>504</v>
      </c>
    </row>
    <row r="41" spans="1:16">
      <c r="A41" s="15">
        <f>IF($P41="","",33)</f>
        <v>33</v>
      </c>
      <c r="B41" s="14" t="str">
        <f>IF($P41="","",IFERROR(IF(INDEX(MASTER!$C$4:$C$1463,$P41)="","",INDEX(MASTER!$C$4:$C$1463,$P41)),""))</f>
        <v>Hohohoh</v>
      </c>
      <c r="C41" s="15" t="str">
        <f>IF($P41="","",IFERROR(IF(INDEX(MASTER!$D$4:$D$1463,$P41)="","",INDEX(MASTER!$D$4:$D$1463,$P41)),""))</f>
        <v>Invictus</v>
      </c>
      <c r="D41" s="15" t="str">
        <f>IF($P41="","",IFERROR(IF(INDEX(MASTER!$E$4:$E$1463,$P41)="","",INDEX(MASTER!$E$4:$E$1463,$P41)),""))</f>
        <v>CRUSADER</v>
      </c>
      <c r="E41" s="15" t="str">
        <f>IF($P41="","",IFERROR(IF(INDEX(MASTER!$F$4:$F$1463,$P41)="","",INDEX(MASTER!$F$4:$F$1463,$P41)),""))</f>
        <v>Frontline</v>
      </c>
      <c r="F41" s="16">
        <f>IF($P41="","",IFERROR(IF(INDEX(MASTER!$G$4:$G$1463,$P41)="","",INDEX(MASTER!$G$4:$G$1463,$P41)),""))</f>
        <v>62625</v>
      </c>
      <c r="G41" s="15" t="str">
        <f>IF($P41="","",IFERROR(IF(INDEX(MASTER!$H$4:$H$1463,$P41)="","",INDEX(MASTER!$H$4:$H$1463,$P41)),""))</f>
        <v>62,000 - 62,999</v>
      </c>
      <c r="H41" s="16">
        <f>IF($P41="","",IFERROR(IF(INDEX(MASTER!$I$4:$I$1463,$P41)="","",INDEX(MASTER!$I$4:$I$1463,$P41)),""))</f>
        <v>4970</v>
      </c>
      <c r="I41" s="15" t="str">
        <f>IF($P41="","",IFERROR(IF(INDEX(MASTER!$J$4:$J$1463,$P41)="","",INDEX(MASTER!$J$4:$J$1463,$P41)),""))</f>
        <v>CORE</v>
      </c>
      <c r="J41" s="17">
        <f>IF($P41="","",IFERROR(IF(INDEX(MASTER!$L$4:$L$1463,$P41)="","",INDEX(MASTER!$L$4:$L$1463,$P41)),""))</f>
        <v>6.3</v>
      </c>
      <c r="K41" s="17">
        <f>IF($P41="","",IFERROR(IF(INDEX(MASTER!$N$4:$N$1463,$P41)="","",INDEX(MASTER!$N$4:$N$1463,$P41)),""))</f>
        <v>52.3</v>
      </c>
      <c r="L41" s="15" t="str">
        <f>IF($P41="","",IFERROR(IF(INDEX(MASTER!$O$4:$O$1463,$P41)="","",INDEX(MASTER!$O$4:$O$1463,$P41)),""))</f>
        <v>A</v>
      </c>
      <c r="M41" s="15">
        <f>IF($P41="","",IFERROR(IF(INDEX(MASTER!$Q$4:$Q$1463,$P41)="","",INDEX(MASTER!$Q$4:$Q$1463,$P41)),""))</f>
        <v>17</v>
      </c>
      <c r="N41" s="15" t="str">
        <f>IF($P41="","",IFERROR(IF(INDEX(MASTER!$S$4:$S$1463,$P41)="","",INDEX(MASTER!$S$4:$S$1463,$P41)),""))</f>
        <v>Complete</v>
      </c>
      <c r="P41">
        <f>IFERROR(MATCH($Q$1&amp;"@33",MASTER!$AC$4:$AC$1463,0),"")</f>
        <v>505</v>
      </c>
    </row>
    <row r="42" spans="1:16">
      <c r="A42" s="19">
        <f>IF($P42="","",34)</f>
        <v>34</v>
      </c>
      <c r="B42" s="18" t="str">
        <f>IF($P42="","",IFERROR(IF(INDEX(MASTER!$C$4:$C$1463,$P42)="","",INDEX(MASTER!$C$4:$C$1463,$P42)),""))</f>
        <v>Homiegdawg</v>
      </c>
      <c r="C42" s="19" t="str">
        <f>IF($P42="","",IFERROR(IF(INDEX(MASTER!$D$4:$D$1463,$P42)="","",INDEX(MASTER!$D$4:$D$1463,$P42)),""))</f>
        <v>Invictus</v>
      </c>
      <c r="D42" s="19" t="str">
        <f>IF($P42="","",IFERROR(IF(INDEX(MASTER!$E$4:$E$1463,$P42)="","",INDEX(MASTER!$E$4:$E$1463,$P42)),""))</f>
        <v>WIZARD</v>
      </c>
      <c r="E42" s="19" t="str">
        <f>IF($P42="","",IFERROR(IF(INDEX(MASTER!$F$4:$F$1463,$P42)="","",INDEX(MASTER!$F$4:$F$1463,$P42)),""))</f>
        <v>Ranged DPS</v>
      </c>
      <c r="F42" s="20">
        <f>IF($P42="","",IFERROR(IF(INDEX(MASTER!$G$4:$G$1463,$P42)="","",INDEX(MASTER!$G$4:$G$1463,$P42)),""))</f>
        <v>61625</v>
      </c>
      <c r="G42" s="19" t="str">
        <f>IF($P42="","",IFERROR(IF(INDEX(MASTER!$H$4:$H$1463,$P42)="","",INDEX(MASTER!$H$4:$H$1463,$P42)),""))</f>
        <v>61,000 - 61,999</v>
      </c>
      <c r="H42" s="20">
        <f>IF($P42="","",IFERROR(IF(INDEX(MASTER!$I$4:$I$1463,$P42)="","",INDEX(MASTER!$I$4:$I$1463,$P42)),""))</f>
        <v>2688</v>
      </c>
      <c r="I42" s="19" t="str">
        <f>IF($P42="","",IFERROR(IF(INDEX(MASTER!$J$4:$J$1463,$P42)="","",INDEX(MASTER!$J$4:$J$1463,$P42)),""))</f>
        <v>DEVELOPING</v>
      </c>
      <c r="J42" s="21">
        <f>IF($P42="","",IFERROR(IF(INDEX(MASTER!$L$4:$L$1463,$P42)="","",INDEX(MASTER!$L$4:$L$1463,$P42)),""))</f>
        <v>3.55</v>
      </c>
      <c r="K42" s="21">
        <f>IF($P42="","",IFERROR(IF(INDEX(MASTER!$N$4:$N$1463,$P42)="","",INDEX(MASTER!$N$4:$N$1463,$P42)),""))</f>
        <v>35.1</v>
      </c>
      <c r="L42" s="19" t="str">
        <f>IF($P42="","",IFERROR(IF(INDEX(MASTER!$O$4:$O$1463,$P42)="","",INDEX(MASTER!$O$4:$O$1463,$P42)),""))</f>
        <v>B</v>
      </c>
      <c r="M42" s="19">
        <f>IF($P42="","",IFERROR(IF(INDEX(MASTER!$Q$4:$Q$1463,$P42)="","",INDEX(MASTER!$Q$4:$Q$1463,$P42)),""))</f>
        <v>63</v>
      </c>
      <c r="N42" s="19" t="str">
        <f>IF($P42="","",IFERROR(IF(INDEX(MASTER!$S$4:$S$1463,$P42)="","",INDEX(MASTER!$S$4:$S$1463,$P42)),""))</f>
        <v>Complete</v>
      </c>
      <c r="P42">
        <f>IFERROR(MATCH($Q$1&amp;"@34",MASTER!$AC$4:$AC$1463,0),"")</f>
        <v>509</v>
      </c>
    </row>
    <row r="43" spans="1:16">
      <c r="A43" s="15">
        <f>IF($P43="","",35)</f>
        <v>35</v>
      </c>
      <c r="B43" s="14" t="str">
        <f>IF($P43="","",IFERROR(IF(INDEX(MASTER!$C$4:$C$1463,$P43)="","",INDEX(MASTER!$C$4:$C$1463,$P43)),""))</f>
        <v>Joesoss</v>
      </c>
      <c r="C43" s="15" t="str">
        <f>IF($P43="","",IFERROR(IF(INDEX(MASTER!$D$4:$D$1463,$P43)="","",INDEX(MASTER!$D$4:$D$1463,$P43)),""))</f>
        <v>Invictus</v>
      </c>
      <c r="D43" s="15" t="str">
        <f>IF($P43="","",IFERROR(IF(INDEX(MASTER!$E$4:$E$1463,$P43)="","",INDEX(MASTER!$E$4:$E$1463,$P43)),""))</f>
        <v>NECROMANCER</v>
      </c>
      <c r="E43" s="15" t="str">
        <f>IF($P43="","",IFERROR(IF(INDEX(MASTER!$F$4:$F$1463,$P43)="","",INDEX(MASTER!$F$4:$F$1463,$P43)),""))</f>
        <v>Control</v>
      </c>
      <c r="F43" s="16">
        <f>IF($P43="","",IFERROR(IF(INDEX(MASTER!$G$4:$G$1463,$P43)="","",INDEX(MASTER!$G$4:$G$1463,$P43)),""))</f>
        <v>63280</v>
      </c>
      <c r="G43" s="15" t="str">
        <f>IF($P43="","",IFERROR(IF(INDEX(MASTER!$H$4:$H$1463,$P43)="","",INDEX(MASTER!$H$4:$H$1463,$P43)),""))</f>
        <v>63,000 - 63,999</v>
      </c>
      <c r="H43" s="16">
        <f>IF($P43="","",IFERROR(IF(INDEX(MASTER!$I$4:$I$1463,$P43)="","",INDEX(MASTER!$I$4:$I$1463,$P43)),""))</f>
        <v>5528</v>
      </c>
      <c r="I43" s="15" t="str">
        <f>IF($P43="","",IFERROR(IF(INDEX(MASTER!$J$4:$J$1463,$P43)="","",INDEX(MASTER!$J$4:$J$1463,$P43)),""))</f>
        <v>CORE</v>
      </c>
      <c r="J43" s="17">
        <f>IF($P43="","",IFERROR(IF(INDEX(MASTER!$L$4:$L$1463,$P43)="","",INDEX(MASTER!$L$4:$L$1463,$P43)),""))</f>
        <v>5.65</v>
      </c>
      <c r="K43" s="17">
        <f>IF($P43="","",IFERROR(IF(INDEX(MASTER!$N$4:$N$1463,$P43)="","",INDEX(MASTER!$N$4:$N$1463,$P43)),""))</f>
        <v>55.3</v>
      </c>
      <c r="L43" s="15" t="str">
        <f>IF($P43="","",IFERROR(IF(INDEX(MASTER!$O$4:$O$1463,$P43)="","",INDEX(MASTER!$O$4:$O$1463,$P43)),""))</f>
        <v>A</v>
      </c>
      <c r="M43" s="15">
        <f>IF($P43="","",IFERROR(IF(INDEX(MASTER!$Q$4:$Q$1463,$P43)="","",INDEX(MASTER!$Q$4:$Q$1463,$P43)),""))</f>
        <v>11</v>
      </c>
      <c r="N43" s="15" t="str">
        <f>IF($P43="","",IFERROR(IF(INDEX(MASTER!$S$4:$S$1463,$P43)="","",INDEX(MASTER!$S$4:$S$1463,$P43)),""))</f>
        <v>Complete</v>
      </c>
      <c r="P43">
        <f>IFERROR(MATCH($Q$1&amp;"@35",MASTER!$AC$4:$AC$1463,0),"")</f>
        <v>569</v>
      </c>
    </row>
    <row r="44" spans="1:16">
      <c r="A44" s="19">
        <f>IF($P44="","",36)</f>
        <v>36</v>
      </c>
      <c r="B44" s="18" t="str">
        <f>IF($P44="","",IFERROR(IF(INDEX(MASTER!$C$4:$C$1463,$P44)="","",INDEX(MASTER!$C$4:$C$1463,$P44)),""))</f>
        <v>Kalyzya</v>
      </c>
      <c r="C44" s="19" t="str">
        <f>IF($P44="","",IFERROR(IF(INDEX(MASTER!$D$4:$D$1463,$P44)="","",INDEX(MASTER!$D$4:$D$1463,$P44)),""))</f>
        <v>Invictus</v>
      </c>
      <c r="D44" s="19" t="str">
        <f>IF($P44="","",IFERROR(IF(INDEX(MASTER!$E$4:$E$1463,$P44)="","",INDEX(MASTER!$E$4:$E$1463,$P44)),""))</f>
        <v>WIZARD</v>
      </c>
      <c r="E44" s="19" t="str">
        <f>IF($P44="","",IFERROR(IF(INDEX(MASTER!$F$4:$F$1463,$P44)="","",INDEX(MASTER!$F$4:$F$1463,$P44)),""))</f>
        <v>Ranged DPS</v>
      </c>
      <c r="F44" s="20">
        <f>IF($P44="","",IFERROR(IF(INDEX(MASTER!$G$4:$G$1463,$P44)="","",INDEX(MASTER!$G$4:$G$1463,$P44)),""))</f>
        <v>62548</v>
      </c>
      <c r="G44" s="19" t="str">
        <f>IF($P44="","",IFERROR(IF(INDEX(MASTER!$H$4:$H$1463,$P44)="","",INDEX(MASTER!$H$4:$H$1463,$P44)),""))</f>
        <v>62,000 - 62,999</v>
      </c>
      <c r="H44" s="20">
        <f>IF($P44="","",IFERROR(IF(INDEX(MASTER!$I$4:$I$1463,$P44)="","",INDEX(MASTER!$I$4:$I$1463,$P44)),""))</f>
        <v>3492</v>
      </c>
      <c r="I44" s="19" t="str">
        <f>IF($P44="","",IFERROR(IF(INDEX(MASTER!$J$4:$J$1463,$P44)="","",INDEX(MASTER!$J$4:$J$1463,$P44)),""))</f>
        <v>DEVELOPING</v>
      </c>
      <c r="J44" s="21">
        <f>IF($P44="","",IFERROR(IF(INDEX(MASTER!$L$4:$L$1463,$P44)="","",INDEX(MASTER!$L$4:$L$1463,$P44)),""))</f>
        <v>4.8</v>
      </c>
      <c r="K44" s="21">
        <f>IF($P44="","",IFERROR(IF(INDEX(MASTER!$N$4:$N$1463,$P44)="","",INDEX(MASTER!$N$4:$N$1463,$P44)),""))</f>
        <v>43.1</v>
      </c>
      <c r="L44" s="19" t="str">
        <f>IF($P44="","",IFERROR(IF(INDEX(MASTER!$O$4:$O$1463,$P44)="","",INDEX(MASTER!$O$4:$O$1463,$P44)),""))</f>
        <v>B</v>
      </c>
      <c r="M44" s="19">
        <f>IF($P44="","",IFERROR(IF(INDEX(MASTER!$Q$4:$Q$1463,$P44)="","",INDEX(MASTER!$Q$4:$Q$1463,$P44)),""))</f>
        <v>36</v>
      </c>
      <c r="N44" s="19" t="str">
        <f>IF($P44="","",IFERROR(IF(INDEX(MASTER!$S$4:$S$1463,$P44)="","",INDEX(MASTER!$S$4:$S$1463,$P44)),""))</f>
        <v>Complete</v>
      </c>
      <c r="P44">
        <f>IFERROR(MATCH($Q$1&amp;"@36",MASTER!$AC$4:$AC$1463,0),"")</f>
        <v>586</v>
      </c>
    </row>
    <row r="45" spans="1:16">
      <c r="A45" s="15">
        <f>IF($P45="","",37)</f>
        <v>37</v>
      </c>
      <c r="B45" s="14" t="str">
        <f>IF($P45="","",IFERROR(IF(INDEX(MASTER!$C$4:$C$1463,$P45)="","",INDEX(MASTER!$C$4:$C$1463,$P45)),""))</f>
        <v>KarmaElektra</v>
      </c>
      <c r="C45" s="15" t="str">
        <f>IF($P45="","",IFERROR(IF(INDEX(MASTER!$D$4:$D$1463,$P45)="","",INDEX(MASTER!$D$4:$D$1463,$P45)),""))</f>
        <v>Invictus</v>
      </c>
      <c r="D45" s="15" t="str">
        <f>IF($P45="","",IFERROR(IF(INDEX(MASTER!$E$4:$E$1463,$P45)="","",INDEX(MASTER!$E$4:$E$1463,$P45)),""))</f>
        <v>TEMPEST</v>
      </c>
      <c r="E45" s="15" t="str">
        <f>IF($P45="","",IFERROR(IF(INDEX(MASTER!$F$4:$F$1463,$P45)="","",INDEX(MASTER!$F$4:$F$1463,$P45)),""))</f>
        <v>Melee DPS</v>
      </c>
      <c r="F45" s="16">
        <f>IF($P45="","",IFERROR(IF(INDEX(MASTER!$G$4:$G$1463,$P45)="","",INDEX(MASTER!$G$4:$G$1463,$P45)),""))</f>
        <v>63310</v>
      </c>
      <c r="G45" s="15" t="str">
        <f>IF($P45="","",IFERROR(IF(INDEX(MASTER!$H$4:$H$1463,$P45)="","",INDEX(MASTER!$H$4:$H$1463,$P45)),""))</f>
        <v>63,000 - 63,999</v>
      </c>
      <c r="H45" s="16">
        <f>IF($P45="","",IFERROR(IF(INDEX(MASTER!$I$4:$I$1463,$P45)="","",INDEX(MASTER!$I$4:$I$1463,$P45)),""))</f>
        <v>4978</v>
      </c>
      <c r="I45" s="15" t="str">
        <f>IF($P45="","",IFERROR(IF(INDEX(MASTER!$J$4:$J$1463,$P45)="","",INDEX(MASTER!$J$4:$J$1463,$P45)),""))</f>
        <v>CORE</v>
      </c>
      <c r="J45" s="17">
        <f>IF($P45="","",IFERROR(IF(INDEX(MASTER!$L$4:$L$1463,$P45)="","",INDEX(MASTER!$L$4:$L$1463,$P45)),""))</f>
        <v>5.4</v>
      </c>
      <c r="K45" s="17">
        <f>IF($P45="","",IFERROR(IF(INDEX(MASTER!$N$4:$N$1463,$P45)="","",INDEX(MASTER!$N$4:$N$1463,$P45)),""))</f>
        <v>52.6</v>
      </c>
      <c r="L45" s="15" t="str">
        <f>IF($P45="","",IFERROR(IF(INDEX(MASTER!$O$4:$O$1463,$P45)="","",INDEX(MASTER!$O$4:$O$1463,$P45)),""))</f>
        <v>A</v>
      </c>
      <c r="M45" s="15">
        <f>IF($P45="","",IFERROR(IF(INDEX(MASTER!$Q$4:$Q$1463,$P45)="","",INDEX(MASTER!$Q$4:$Q$1463,$P45)),""))</f>
        <v>16</v>
      </c>
      <c r="N45" s="15" t="str">
        <f>IF($P45="","",IFERROR(IF(INDEX(MASTER!$S$4:$S$1463,$P45)="","",INDEX(MASTER!$S$4:$S$1463,$P45)),""))</f>
        <v>Complete</v>
      </c>
      <c r="P45">
        <f>IFERROR(MATCH($Q$1&amp;"@37",MASTER!$AC$4:$AC$1463,0),"")</f>
        <v>590</v>
      </c>
    </row>
    <row r="46" spans="1:16">
      <c r="A46" s="19">
        <f>IF($P46="","",38)</f>
        <v>38</v>
      </c>
      <c r="B46" s="18" t="str">
        <f>IF($P46="","",IFERROR(IF(INDEX(MASTER!$C$4:$C$1463,$P46)="","",INDEX(MASTER!$C$4:$C$1463,$P46)),""))</f>
        <v>KCchieefer</v>
      </c>
      <c r="C46" s="19" t="str">
        <f>IF($P46="","",IFERROR(IF(INDEX(MASTER!$D$4:$D$1463,$P46)="","",INDEX(MASTER!$D$4:$D$1463,$P46)),""))</f>
        <v>Invictus</v>
      </c>
      <c r="D46" s="19" t="str">
        <f>IF($P46="","",IFERROR(IF(INDEX(MASTER!$E$4:$E$1463,$P46)="","",INDEX(MASTER!$E$4:$E$1463,$P46)),""))</f>
        <v>BARBARIAN</v>
      </c>
      <c r="E46" s="19" t="str">
        <f>IF($P46="","",IFERROR(IF(INDEX(MASTER!$F$4:$F$1463,$P46)="","",INDEX(MASTER!$F$4:$F$1463,$P46)),""))</f>
        <v>Frontline</v>
      </c>
      <c r="F46" s="20">
        <f>IF($P46="","",IFERROR(IF(INDEX(MASTER!$G$4:$G$1463,$P46)="","",INDEX(MASTER!$G$4:$G$1463,$P46)),""))</f>
        <v>61897</v>
      </c>
      <c r="G46" s="19" t="str">
        <f>IF($P46="","",IFERROR(IF(INDEX(MASTER!$H$4:$H$1463,$P46)="","",INDEX(MASTER!$H$4:$H$1463,$P46)),""))</f>
        <v>61,000 - 61,999</v>
      </c>
      <c r="H46" s="20">
        <f>IF($P46="","",IFERROR(IF(INDEX(MASTER!$I$4:$I$1463,$P46)="","",INDEX(MASTER!$I$4:$I$1463,$P46)),""))</f>
        <v>2116</v>
      </c>
      <c r="I46" s="19" t="str">
        <f>IF($P46="","",IFERROR(IF(INDEX(MASTER!$J$4:$J$1463,$P46)="","",INDEX(MASTER!$J$4:$J$1463,$P46)),""))</f>
        <v>DEVELOPING</v>
      </c>
      <c r="J46" s="21">
        <f>IF($P46="","",IFERROR(IF(INDEX(MASTER!$L$4:$L$1463,$P46)="","",INDEX(MASTER!$L$4:$L$1463,$P46)),""))</f>
        <v>3.75</v>
      </c>
      <c r="K46" s="21">
        <f>IF($P46="","",IFERROR(IF(INDEX(MASTER!$N$4:$N$1463,$P46)="","",INDEX(MASTER!$N$4:$N$1463,$P46)),""))</f>
        <v>33.6</v>
      </c>
      <c r="L46" s="19" t="str">
        <f>IF($P46="","",IFERROR(IF(INDEX(MASTER!$O$4:$O$1463,$P46)="","",INDEX(MASTER!$O$4:$O$1463,$P46)),""))</f>
        <v>C</v>
      </c>
      <c r="M46" s="19">
        <f>IF($P46="","",IFERROR(IF(INDEX(MASTER!$Q$4:$Q$1463,$P46)="","",INDEX(MASTER!$Q$4:$Q$1463,$P46)),""))</f>
        <v>77</v>
      </c>
      <c r="N46" s="19" t="str">
        <f>IF($P46="","",IFERROR(IF(INDEX(MASTER!$S$4:$S$1463,$P46)="","",INDEX(MASTER!$S$4:$S$1463,$P46)),""))</f>
        <v>Complete</v>
      </c>
      <c r="P46">
        <f>IFERROR(MATCH($Q$1&amp;"@38",MASTER!$AC$4:$AC$1463,0),"")</f>
        <v>594</v>
      </c>
    </row>
    <row r="47" spans="1:16">
      <c r="A47" s="15">
        <f>IF($P47="","",39)</f>
        <v>39</v>
      </c>
      <c r="B47" s="14" t="str">
        <f>IF($P47="","",IFERROR(IF(INDEX(MASTER!$C$4:$C$1463,$P47)="","",INDEX(MASTER!$C$4:$C$1463,$P47)),""))</f>
        <v>KellanK</v>
      </c>
      <c r="C47" s="15" t="str">
        <f>IF($P47="","",IFERROR(IF(INDEX(MASTER!$D$4:$D$1463,$P47)="","",INDEX(MASTER!$D$4:$D$1463,$P47)),""))</f>
        <v>Invictus</v>
      </c>
      <c r="D47" s="15" t="str">
        <f>IF($P47="","",IFERROR(IF(INDEX(MASTER!$E$4:$E$1463,$P47)="","",INDEX(MASTER!$E$4:$E$1463,$P47)),""))</f>
        <v>WARLOCK</v>
      </c>
      <c r="E47" s="15" t="str">
        <f>IF($P47="","",IFERROR(IF(INDEX(MASTER!$F$4:$F$1463,$P47)="","",INDEX(MASTER!$F$4:$F$1463,$P47)),""))</f>
        <v>Control</v>
      </c>
      <c r="F47" s="16">
        <f>IF($P47="","",IFERROR(IF(INDEX(MASTER!$G$4:$G$1463,$P47)="","",INDEX(MASTER!$G$4:$G$1463,$P47)),""))</f>
        <v>63029</v>
      </c>
      <c r="G47" s="15" t="str">
        <f>IF($P47="","",IFERROR(IF(INDEX(MASTER!$H$4:$H$1463,$P47)="","",INDEX(MASTER!$H$4:$H$1463,$P47)),""))</f>
        <v>63,000 - 63,999</v>
      </c>
      <c r="H47" s="16">
        <f>IF($P47="","",IFERROR(IF(INDEX(MASTER!$I$4:$I$1463,$P47)="","",INDEX(MASTER!$I$4:$I$1463,$P47)),""))</f>
        <v>4113</v>
      </c>
      <c r="I47" s="15" t="str">
        <f>IF($P47="","",IFERROR(IF(INDEX(MASTER!$J$4:$J$1463,$P47)="","",INDEX(MASTER!$J$4:$J$1463,$P47)),""))</f>
        <v>CORE</v>
      </c>
      <c r="J47" s="17">
        <f>IF($P47="","",IFERROR(IF(INDEX(MASTER!$L$4:$L$1463,$P47)="","",INDEX(MASTER!$L$4:$L$1463,$P47)),""))</f>
        <v>5.2</v>
      </c>
      <c r="K47" s="17">
        <f>IF($P47="","",IFERROR(IF(INDEX(MASTER!$N$4:$N$1463,$P47)="","",INDEX(MASTER!$N$4:$N$1463,$P47)),""))</f>
        <v>47.7</v>
      </c>
      <c r="L47" s="15" t="str">
        <f>IF($P47="","",IFERROR(IF(INDEX(MASTER!$O$4:$O$1463,$P47)="","",INDEX(MASTER!$O$4:$O$1463,$P47)),""))</f>
        <v>B</v>
      </c>
      <c r="M47" s="15">
        <f>IF($P47="","",IFERROR(IF(INDEX(MASTER!$Q$4:$Q$1463,$P47)="","",INDEX(MASTER!$Q$4:$Q$1463,$P47)),""))</f>
        <v>25</v>
      </c>
      <c r="N47" s="15" t="str">
        <f>IF($P47="","",IFERROR(IF(INDEX(MASTER!$S$4:$S$1463,$P47)="","",INDEX(MASTER!$S$4:$S$1463,$P47)),""))</f>
        <v>Complete</v>
      </c>
      <c r="P47">
        <f>IFERROR(MATCH($Q$1&amp;"@39",MASTER!$AC$4:$AC$1463,0),"")</f>
        <v>599</v>
      </c>
    </row>
    <row r="48" spans="1:16">
      <c r="A48" s="19">
        <f>IF($P48="","",40)</f>
        <v>40</v>
      </c>
      <c r="B48" s="18" t="str">
        <f>IF($P48="","",IFERROR(IF(INDEX(MASTER!$C$4:$C$1463,$P48)="","",INDEX(MASTER!$C$4:$C$1463,$P48)),""))</f>
        <v>Khano</v>
      </c>
      <c r="C48" s="19" t="str">
        <f>IF($P48="","",IFERROR(IF(INDEX(MASTER!$D$4:$D$1463,$P48)="","",INDEX(MASTER!$D$4:$D$1463,$P48)),""))</f>
        <v>Invictus</v>
      </c>
      <c r="D48" s="19" t="str">
        <f>IF($P48="","",IFERROR(IF(INDEX(MASTER!$E$4:$E$1463,$P48)="","",INDEX(MASTER!$E$4:$E$1463,$P48)),""))</f>
        <v>BLOOD KNIGHT</v>
      </c>
      <c r="E48" s="19" t="str">
        <f>IF($P48="","",IFERROR(IF(INDEX(MASTER!$F$4:$F$1463,$P48)="","",INDEX(MASTER!$F$4:$F$1463,$P48)),""))</f>
        <v>Frontline</v>
      </c>
      <c r="F48" s="20">
        <f>IF($P48="","",IFERROR(IF(INDEX(MASTER!$G$4:$G$1463,$P48)="","",INDEX(MASTER!$G$4:$G$1463,$P48)),""))</f>
        <v>62684</v>
      </c>
      <c r="G48" s="19" t="str">
        <f>IF($P48="","",IFERROR(IF(INDEX(MASTER!$H$4:$H$1463,$P48)="","",INDEX(MASTER!$H$4:$H$1463,$P48)),""))</f>
        <v>62,000 - 62,999</v>
      </c>
      <c r="H48" s="20">
        <f>IF($P48="","",IFERROR(IF(INDEX(MASTER!$I$4:$I$1463,$P48)="","",INDEX(MASTER!$I$4:$I$1463,$P48)),""))</f>
        <v>3451</v>
      </c>
      <c r="I48" s="19" t="str">
        <f>IF($P48="","",IFERROR(IF(INDEX(MASTER!$J$4:$J$1463,$P48)="","",INDEX(MASTER!$J$4:$J$1463,$P48)),""))</f>
        <v>DEVELOPING</v>
      </c>
      <c r="J48" s="21">
        <f>IF($P48="","",IFERROR(IF(INDEX(MASTER!$L$4:$L$1463,$P48)="","",INDEX(MASTER!$L$4:$L$1463,$P48)),""))</f>
        <v>4.4000000000000004</v>
      </c>
      <c r="K48" s="21">
        <f>IF($P48="","",IFERROR(IF(INDEX(MASTER!$N$4:$N$1463,$P48)="","",INDEX(MASTER!$N$4:$N$1463,$P48)),""))</f>
        <v>42.6</v>
      </c>
      <c r="L48" s="19" t="str">
        <f>IF($P48="","",IFERROR(IF(INDEX(MASTER!$O$4:$O$1463,$P48)="","",INDEX(MASTER!$O$4:$O$1463,$P48)),""))</f>
        <v>B</v>
      </c>
      <c r="M48" s="19">
        <f>IF($P48="","",IFERROR(IF(INDEX(MASTER!$Q$4:$Q$1463,$P48)="","",INDEX(MASTER!$Q$4:$Q$1463,$P48)),""))</f>
        <v>37</v>
      </c>
      <c r="N48" s="19" t="str">
        <f>IF($P48="","",IFERROR(IF(INDEX(MASTER!$S$4:$S$1463,$P48)="","",INDEX(MASTER!$S$4:$S$1463,$P48)),""))</f>
        <v>Complete</v>
      </c>
      <c r="P48">
        <f>IFERROR(MATCH($Q$1&amp;"@40",MASTER!$AC$4:$AC$1463,0),"")</f>
        <v>603</v>
      </c>
    </row>
    <row r="49" spans="1:16">
      <c r="A49" s="15">
        <f>IF($P49="","",41)</f>
        <v>41</v>
      </c>
      <c r="B49" s="14" t="str">
        <f>IF($P49="","",IFERROR(IF(INDEX(MASTER!$C$4:$C$1463,$P49)="","",INDEX(MASTER!$C$4:$C$1463,$P49)),""))</f>
        <v>KingKobra</v>
      </c>
      <c r="C49" s="15" t="str">
        <f>IF($P49="","",IFERROR(IF(INDEX(MASTER!$D$4:$D$1463,$P49)="","",INDEX(MASTER!$D$4:$D$1463,$P49)),""))</f>
        <v>Invictus</v>
      </c>
      <c r="D49" s="15" t="str">
        <f>IF($P49="","",IFERROR(IF(INDEX(MASTER!$E$4:$E$1463,$P49)="","",INDEX(MASTER!$E$4:$E$1463,$P49)),""))</f>
        <v>BLOOD KNIGHT</v>
      </c>
      <c r="E49" s="15" t="str">
        <f>IF($P49="","",IFERROR(IF(INDEX(MASTER!$F$4:$F$1463,$P49)="","",INDEX(MASTER!$F$4:$F$1463,$P49)),""))</f>
        <v>Frontline</v>
      </c>
      <c r="F49" s="16">
        <f>IF($P49="","",IFERROR(IF(INDEX(MASTER!$G$4:$G$1463,$P49)="","",INDEX(MASTER!$G$4:$G$1463,$P49)),""))</f>
        <v>61394</v>
      </c>
      <c r="G49" s="15" t="str">
        <f>IF($P49="","",IFERROR(IF(INDEX(MASTER!$H$4:$H$1463,$P49)="","",INDEX(MASTER!$H$4:$H$1463,$P49)),""))</f>
        <v>61,000 - 61,999</v>
      </c>
      <c r="H49" s="16">
        <f>IF($P49="","",IFERROR(IF(INDEX(MASTER!$I$4:$I$1463,$P49)="","",INDEX(MASTER!$I$4:$I$1463,$P49)),""))</f>
        <v>2830</v>
      </c>
      <c r="I49" s="15" t="str">
        <f>IF($P49="","",IFERROR(IF(INDEX(MASTER!$J$4:$J$1463,$P49)="","",INDEX(MASTER!$J$4:$J$1463,$P49)),""))</f>
        <v>DEVELOPING</v>
      </c>
      <c r="J49" s="17">
        <f>IF($P49="","",IFERROR(IF(INDEX(MASTER!$L$4:$L$1463,$P49)="","",INDEX(MASTER!$L$4:$L$1463,$P49)),""))</f>
        <v>4.05</v>
      </c>
      <c r="K49" s="17">
        <f>IF($P49="","",IFERROR(IF(INDEX(MASTER!$N$4:$N$1463,$P49)="","",INDEX(MASTER!$N$4:$N$1463,$P49)),""))</f>
        <v>35.9</v>
      </c>
      <c r="L49" s="15" t="str">
        <f>IF($P49="","",IFERROR(IF(INDEX(MASTER!$O$4:$O$1463,$P49)="","",INDEX(MASTER!$O$4:$O$1463,$P49)),""))</f>
        <v>B</v>
      </c>
      <c r="M49" s="15">
        <f>IF($P49="","",IFERROR(IF(INDEX(MASTER!$Q$4:$Q$1463,$P49)="","",INDEX(MASTER!$Q$4:$Q$1463,$P49)),""))</f>
        <v>58</v>
      </c>
      <c r="N49" s="15" t="str">
        <f>IF($P49="","",IFERROR(IF(INDEX(MASTER!$S$4:$S$1463,$P49)="","",INDEX(MASTER!$S$4:$S$1463,$P49)),""))</f>
        <v>Complete</v>
      </c>
      <c r="P49">
        <f>IFERROR(MATCH($Q$1&amp;"@41",MASTER!$AC$4:$AC$1463,0),"")</f>
        <v>613</v>
      </c>
    </row>
    <row r="50" spans="1:16">
      <c r="A50" s="19">
        <f>IF($P50="","",42)</f>
        <v>42</v>
      </c>
      <c r="B50" s="18" t="str">
        <f>IF($P50="","",IFERROR(IF(INDEX(MASTER!$C$4:$C$1463,$P50)="","",INDEX(MASTER!$C$4:$C$1463,$P50)),""))</f>
        <v>KöHö</v>
      </c>
      <c r="C50" s="19" t="str">
        <f>IF($P50="","",IFERROR(IF(INDEX(MASTER!$D$4:$D$1463,$P50)="","",INDEX(MASTER!$D$4:$D$1463,$P50)),""))</f>
        <v>Invictus</v>
      </c>
      <c r="D50" s="19" t="str">
        <f>IF($P50="","",IFERROR(IF(INDEX(MASTER!$E$4:$E$1463,$P50)="","",INDEX(MASTER!$E$4:$E$1463,$P50)),""))</f>
        <v>WARLOCK</v>
      </c>
      <c r="E50" s="19" t="str">
        <f>IF($P50="","",IFERROR(IF(INDEX(MASTER!$F$4:$F$1463,$P50)="","",INDEX(MASTER!$F$4:$F$1463,$P50)),""))</f>
        <v>Control</v>
      </c>
      <c r="F50" s="20">
        <f>IF($P50="","",IFERROR(IF(INDEX(MASTER!$G$4:$G$1463,$P50)="","",INDEX(MASTER!$G$4:$G$1463,$P50)),""))</f>
        <v>61446</v>
      </c>
      <c r="G50" s="19" t="str">
        <f>IF($P50="","",IFERROR(IF(INDEX(MASTER!$H$4:$H$1463,$P50)="","",INDEX(MASTER!$H$4:$H$1463,$P50)),""))</f>
        <v>61,000 - 61,999</v>
      </c>
      <c r="H50" s="20">
        <f>IF($P50="","",IFERROR(IF(INDEX(MASTER!$I$4:$I$1463,$P50)="","",INDEX(MASTER!$I$4:$I$1463,$P50)),""))</f>
        <v>3325</v>
      </c>
      <c r="I50" s="19" t="str">
        <f>IF($P50="","",IFERROR(IF(INDEX(MASTER!$J$4:$J$1463,$P50)="","",INDEX(MASTER!$J$4:$J$1463,$P50)),""))</f>
        <v>DEVELOPING</v>
      </c>
      <c r="J50" s="21">
        <f>IF($P50="","",IFERROR(IF(INDEX(MASTER!$L$4:$L$1463,$P50)="","",INDEX(MASTER!$L$4:$L$1463,$P50)),""))</f>
        <v>4.2</v>
      </c>
      <c r="K50" s="21">
        <f>IF($P50="","",IFERROR(IF(INDEX(MASTER!$N$4:$N$1463,$P50)="","",INDEX(MASTER!$N$4:$N$1463,$P50)),""))</f>
        <v>38.5</v>
      </c>
      <c r="L50" s="19" t="str">
        <f>IF($P50="","",IFERROR(IF(INDEX(MASTER!$O$4:$O$1463,$P50)="","",INDEX(MASTER!$O$4:$O$1463,$P50)),""))</f>
        <v>B</v>
      </c>
      <c r="M50" s="19">
        <f>IF($P50="","",IFERROR(IF(INDEX(MASTER!$Q$4:$Q$1463,$P50)="","",INDEX(MASTER!$Q$4:$Q$1463,$P50)),""))</f>
        <v>40</v>
      </c>
      <c r="N50" s="19" t="str">
        <f>IF($P50="","",IFERROR(IF(INDEX(MASTER!$S$4:$S$1463,$P50)="","",INDEX(MASTER!$S$4:$S$1463,$P50)),""))</f>
        <v>Complete</v>
      </c>
      <c r="P50">
        <f>IFERROR(MATCH($Q$1&amp;"@42",MASTER!$AC$4:$AC$1463,0),"")</f>
        <v>641</v>
      </c>
    </row>
    <row r="51" spans="1:16">
      <c r="A51" s="15">
        <f>IF($P51="","",43)</f>
        <v>43</v>
      </c>
      <c r="B51" s="14" t="str">
        <f>IF($P51="","",IFERROR(IF(INDEX(MASTER!$C$4:$C$1463,$P51)="","",INDEX(MASTER!$C$4:$C$1463,$P51)),""))</f>
        <v>konedaffi_0</v>
      </c>
      <c r="C51" s="15" t="str">
        <f>IF($P51="","",IFERROR(IF(INDEX(MASTER!$D$4:$D$1463,$P51)="","",INDEX(MASTER!$D$4:$D$1463,$P51)),""))</f>
        <v>Invictus</v>
      </c>
      <c r="D51" s="15" t="str">
        <f>IF($P51="","",IFERROR(IF(INDEX(MASTER!$E$4:$E$1463,$P51)="","",INDEX(MASTER!$E$4:$E$1463,$P51)),""))</f>
        <v>NECROMANCER</v>
      </c>
      <c r="E51" s="15" t="str">
        <f>IF($P51="","",IFERROR(IF(INDEX(MASTER!$F$4:$F$1463,$P51)="","",INDEX(MASTER!$F$4:$F$1463,$P51)),""))</f>
        <v>Control</v>
      </c>
      <c r="F51" s="16">
        <f>IF($P51="","",IFERROR(IF(INDEX(MASTER!$G$4:$G$1463,$P51)="","",INDEX(MASTER!$G$4:$G$1463,$P51)),""))</f>
        <v>62381</v>
      </c>
      <c r="G51" s="15" t="str">
        <f>IF($P51="","",IFERROR(IF(INDEX(MASTER!$H$4:$H$1463,$P51)="","",INDEX(MASTER!$H$4:$H$1463,$P51)),""))</f>
        <v>62,000 - 62,999</v>
      </c>
      <c r="H51" s="16">
        <f>IF($P51="","",IFERROR(IF(INDEX(MASTER!$I$4:$I$1463,$P51)="","",INDEX(MASTER!$I$4:$I$1463,$P51)),""))</f>
        <v>5468</v>
      </c>
      <c r="I51" s="15" t="str">
        <f>IF($P51="","",IFERROR(IF(INDEX(MASTER!$J$4:$J$1463,$P51)="","",INDEX(MASTER!$J$4:$J$1463,$P51)),""))</f>
        <v>CORE</v>
      </c>
      <c r="J51" s="17">
        <f>IF($P51="","",IFERROR(IF(INDEX(MASTER!$L$4:$L$1463,$P51)="","",INDEX(MASTER!$L$4:$L$1463,$P51)),""))</f>
        <v>4.8</v>
      </c>
      <c r="K51" s="17">
        <f>IF($P51="","",IFERROR(IF(INDEX(MASTER!$N$4:$N$1463,$P51)="","",INDEX(MASTER!$N$4:$N$1463,$P51)),""))</f>
        <v>51.3</v>
      </c>
      <c r="L51" s="15" t="str">
        <f>IF($P51="","",IFERROR(IF(INDEX(MASTER!$O$4:$O$1463,$P51)="","",INDEX(MASTER!$O$4:$O$1463,$P51)),""))</f>
        <v>A</v>
      </c>
      <c r="M51" s="15">
        <f>IF($P51="","",IFERROR(IF(INDEX(MASTER!$Q$4:$Q$1463,$P51)="","",INDEX(MASTER!$Q$4:$Q$1463,$P51)),""))</f>
        <v>12</v>
      </c>
      <c r="N51" s="15" t="str">
        <f>IF($P51="","",IFERROR(IF(INDEX(MASTER!$S$4:$S$1463,$P51)="","",INDEX(MASTER!$S$4:$S$1463,$P51)),""))</f>
        <v>Complete</v>
      </c>
      <c r="P51">
        <f>IFERROR(MATCH($Q$1&amp;"@43",MASTER!$AC$4:$AC$1463,0),"")</f>
        <v>621</v>
      </c>
    </row>
    <row r="52" spans="1:16">
      <c r="A52" s="19">
        <f>IF($P52="","",44)</f>
        <v>44</v>
      </c>
      <c r="B52" s="18" t="str">
        <f>IF($P52="","",IFERROR(IF(INDEX(MASTER!$C$4:$C$1463,$P52)="","",INDEX(MASTER!$C$4:$C$1463,$P52)),""))</f>
        <v>Koot</v>
      </c>
      <c r="C52" s="19" t="str">
        <f>IF($P52="","",IFERROR(IF(INDEX(MASTER!$D$4:$D$1463,$P52)="","",INDEX(MASTER!$D$4:$D$1463,$P52)),""))</f>
        <v>Invictus</v>
      </c>
      <c r="D52" s="19" t="str">
        <f>IF($P52="","",IFERROR(IF(INDEX(MASTER!$E$4:$E$1463,$P52)="","",INDEX(MASTER!$E$4:$E$1463,$P52)),""))</f>
        <v>CRUSADER</v>
      </c>
      <c r="E52" s="19" t="str">
        <f>IF($P52="","",IFERROR(IF(INDEX(MASTER!$F$4:$F$1463,$P52)="","",INDEX(MASTER!$F$4:$F$1463,$P52)),""))</f>
        <v>Frontline</v>
      </c>
      <c r="F52" s="20">
        <f>IF($P52="","",IFERROR(IF(INDEX(MASTER!$G$4:$G$1463,$P52)="","",INDEX(MASTER!$G$4:$G$1463,$P52)),""))</f>
        <v>62989</v>
      </c>
      <c r="G52" s="19" t="str">
        <f>IF($P52="","",IFERROR(IF(INDEX(MASTER!$H$4:$H$1463,$P52)="","",INDEX(MASTER!$H$4:$H$1463,$P52)),""))</f>
        <v>62,000 - 62,999</v>
      </c>
      <c r="H52" s="20">
        <f>IF($P52="","",IFERROR(IF(INDEX(MASTER!$I$4:$I$1463,$P52)="","",INDEX(MASTER!$I$4:$I$1463,$P52)),""))</f>
        <v>4950</v>
      </c>
      <c r="I52" s="19" t="str">
        <f>IF($P52="","",IFERROR(IF(INDEX(MASTER!$J$4:$J$1463,$P52)="","",INDEX(MASTER!$J$4:$J$1463,$P52)),""))</f>
        <v>CORE</v>
      </c>
      <c r="J52" s="21">
        <f>IF($P52="","",IFERROR(IF(INDEX(MASTER!$L$4:$L$1463,$P52)="","",INDEX(MASTER!$L$4:$L$1463,$P52)),""))</f>
        <v>5.95</v>
      </c>
      <c r="K52" s="21">
        <f>IF($P52="","",IFERROR(IF(INDEX(MASTER!$N$4:$N$1463,$P52)="","",INDEX(MASTER!$N$4:$N$1463,$P52)),""))</f>
        <v>52.5</v>
      </c>
      <c r="L52" s="19" t="str">
        <f>IF($P52="","",IFERROR(IF(INDEX(MASTER!$O$4:$O$1463,$P52)="","",INDEX(MASTER!$O$4:$O$1463,$P52)),""))</f>
        <v>A</v>
      </c>
      <c r="M52" s="19">
        <f>IF($P52="","",IFERROR(IF(INDEX(MASTER!$Q$4:$Q$1463,$P52)="","",INDEX(MASTER!$Q$4:$Q$1463,$P52)),""))</f>
        <v>18</v>
      </c>
      <c r="N52" s="19" t="str">
        <f>IF($P52="","",IFERROR(IF(INDEX(MASTER!$S$4:$S$1463,$P52)="","",INDEX(MASTER!$S$4:$S$1463,$P52)),""))</f>
        <v>Complete</v>
      </c>
      <c r="P52">
        <f>IFERROR(MATCH($Q$1&amp;"@44",MASTER!$AC$4:$AC$1463,0),"")</f>
        <v>622</v>
      </c>
    </row>
    <row r="53" spans="1:16">
      <c r="A53" s="15">
        <f>IF($P53="","",45)</f>
        <v>45</v>
      </c>
      <c r="B53" s="14" t="str">
        <f>IF($P53="","",IFERROR(IF(INDEX(MASTER!$C$4:$C$1463,$P53)="","",INDEX(MASTER!$C$4:$C$1463,$P53)),""))</f>
        <v>Labuboo</v>
      </c>
      <c r="C53" s="15" t="str">
        <f>IF($P53="","",IFERROR(IF(INDEX(MASTER!$D$4:$D$1463,$P53)="","",INDEX(MASTER!$D$4:$D$1463,$P53)),""))</f>
        <v>Invictus</v>
      </c>
      <c r="D53" s="15" t="str">
        <f>IF($P53="","",IFERROR(IF(INDEX(MASTER!$E$4:$E$1463,$P53)="","",INDEX(MASTER!$E$4:$E$1463,$P53)),""))</f>
        <v>DEMON HUNTER</v>
      </c>
      <c r="E53" s="15" t="str">
        <f>IF($P53="","",IFERROR(IF(INDEX(MASTER!$F$4:$F$1463,$P53)="","",INDEX(MASTER!$F$4:$F$1463,$P53)),""))</f>
        <v>Ranged DPS</v>
      </c>
      <c r="F53" s="16">
        <f>IF($P53="","",IFERROR(IF(INDEX(MASTER!$G$4:$G$1463,$P53)="","",INDEX(MASTER!$G$4:$G$1463,$P53)),""))</f>
        <v>63051</v>
      </c>
      <c r="G53" s="15" t="str">
        <f>IF($P53="","",IFERROR(IF(INDEX(MASTER!$H$4:$H$1463,$P53)="","",INDEX(MASTER!$H$4:$H$1463,$P53)),""))</f>
        <v>63,000 - 63,999</v>
      </c>
      <c r="H53" s="16">
        <f>IF($P53="","",IFERROR(IF(INDEX(MASTER!$I$4:$I$1463,$P53)="","",INDEX(MASTER!$I$4:$I$1463,$P53)),""))</f>
        <v>7327</v>
      </c>
      <c r="I53" s="15" t="str">
        <f>IF($P53="","",IFERROR(IF(INDEX(MASTER!$J$4:$J$1463,$P53)="","",INDEX(MASTER!$J$4:$J$1463,$P53)),""))</f>
        <v>VETERAN</v>
      </c>
      <c r="J53" s="17">
        <f>IF($P53="","",IFERROR(IF(INDEX(MASTER!$L$4:$L$1463,$P53)="","",INDEX(MASTER!$L$4:$L$1463,$P53)),""))</f>
        <v>5</v>
      </c>
      <c r="K53" s="17">
        <f>IF($P53="","",IFERROR(IF(INDEX(MASTER!$N$4:$N$1463,$P53)="","",INDEX(MASTER!$N$4:$N$1463,$P53)),""))</f>
        <v>61.5</v>
      </c>
      <c r="L53" s="15" t="str">
        <f>IF($P53="","",IFERROR(IF(INDEX(MASTER!$O$4:$O$1463,$P53)="","",INDEX(MASTER!$O$4:$O$1463,$P53)),""))</f>
        <v>A</v>
      </c>
      <c r="M53" s="15">
        <f>IF($P53="","",IFERROR(IF(INDEX(MASTER!$Q$4:$Q$1463,$P53)="","",INDEX(MASTER!$Q$4:$Q$1463,$P53)),""))</f>
        <v>5</v>
      </c>
      <c r="N53" s="15" t="str">
        <f>IF($P53="","",IFERROR(IF(INDEX(MASTER!$S$4:$S$1463,$P53)="","",INDEX(MASTER!$S$4:$S$1463,$P53)),""))</f>
        <v>Complete</v>
      </c>
      <c r="P53">
        <f>IFERROR(MATCH($Q$1&amp;"@45",MASTER!$AC$4:$AC$1463,0),"")</f>
        <v>642</v>
      </c>
    </row>
    <row r="54" spans="1:16">
      <c r="A54" s="19">
        <f>IF($P54="","",46)</f>
        <v>46</v>
      </c>
      <c r="B54" s="18" t="str">
        <f>IF($P54="","",IFERROR(IF(INDEX(MASTER!$C$4:$C$1463,$P54)="","",INDEX(MASTER!$C$4:$C$1463,$P54)),""))</f>
        <v>LadySiff</v>
      </c>
      <c r="C54" s="19" t="str">
        <f>IF($P54="","",IFERROR(IF(INDEX(MASTER!$D$4:$D$1463,$P54)="","",INDEX(MASTER!$D$4:$D$1463,$P54)),""))</f>
        <v>Invictus</v>
      </c>
      <c r="D54" s="19" t="str">
        <f>IF($P54="","",IFERROR(IF(INDEX(MASTER!$E$4:$E$1463,$P54)="","",INDEX(MASTER!$E$4:$E$1463,$P54)),""))</f>
        <v>NECROMANCER</v>
      </c>
      <c r="E54" s="19" t="str">
        <f>IF($P54="","",IFERROR(IF(INDEX(MASTER!$F$4:$F$1463,$P54)="","",INDEX(MASTER!$F$4:$F$1463,$P54)),""))</f>
        <v>Control</v>
      </c>
      <c r="F54" s="20">
        <f>IF($P54="","",IFERROR(IF(INDEX(MASTER!$G$4:$G$1463,$P54)="","",INDEX(MASTER!$G$4:$G$1463,$P54)),""))</f>
        <v>59191</v>
      </c>
      <c r="G54" s="19" t="str">
        <f>IF($P54="","",IFERROR(IF(INDEX(MASTER!$H$4:$H$1463,$P54)="","",INDEX(MASTER!$H$4:$H$1463,$P54)),""))</f>
        <v>58,000 - 59,999</v>
      </c>
      <c r="H54" s="20">
        <f>IF($P54="","",IFERROR(IF(INDEX(MASTER!$I$4:$I$1463,$P54)="","",INDEX(MASTER!$I$4:$I$1463,$P54)),""))</f>
        <v>2070</v>
      </c>
      <c r="I54" s="19" t="str">
        <f>IF($P54="","",IFERROR(IF(INDEX(MASTER!$J$4:$J$1463,$P54)="","",INDEX(MASTER!$J$4:$J$1463,$P54)),""))</f>
        <v>DEVELOPING</v>
      </c>
      <c r="J54" s="21">
        <f>IF($P54="","",IFERROR(IF(INDEX(MASTER!$L$4:$L$1463,$P54)="","",INDEX(MASTER!$L$4:$L$1463,$P54)),""))</f>
        <v>3.2</v>
      </c>
      <c r="K54" s="21">
        <f>IF($P54="","",IFERROR(IF(INDEX(MASTER!$N$4:$N$1463,$P54)="","",INDEX(MASTER!$N$4:$N$1463,$P54)),""))</f>
        <v>25.4</v>
      </c>
      <c r="L54" s="19" t="str">
        <f>IF($P54="","",IFERROR(IF(INDEX(MASTER!$O$4:$O$1463,$P54)="","",INDEX(MASTER!$O$4:$O$1463,$P54)),""))</f>
        <v>C</v>
      </c>
      <c r="M54" s="19">
        <f>IF($P54="","",IFERROR(IF(INDEX(MASTER!$Q$4:$Q$1463,$P54)="","",INDEX(MASTER!$Q$4:$Q$1463,$P54)),""))</f>
        <v>79</v>
      </c>
      <c r="N54" s="19" t="str">
        <f>IF($P54="","",IFERROR(IF(INDEX(MASTER!$S$4:$S$1463,$P54)="","",INDEX(MASTER!$S$4:$S$1463,$P54)),""))</f>
        <v>Complete</v>
      </c>
      <c r="P54">
        <f>IFERROR(MATCH($Q$1&amp;"@46",MASTER!$AC$4:$AC$1463,0),"")</f>
        <v>647</v>
      </c>
    </row>
    <row r="55" spans="1:16">
      <c r="A55" s="15">
        <f>IF($P55="","",47)</f>
        <v>47</v>
      </c>
      <c r="B55" s="14" t="str">
        <f>IF($P55="","",IFERROR(IF(INDEX(MASTER!$C$4:$C$1463,$P55)="","",INDEX(MASTER!$C$4:$C$1463,$P55)),""))</f>
        <v>Layeh</v>
      </c>
      <c r="C55" s="15" t="str">
        <f>IF($P55="","",IFERROR(IF(INDEX(MASTER!$D$4:$D$1463,$P55)="","",INDEX(MASTER!$D$4:$D$1463,$P55)),""))</f>
        <v>Invictus</v>
      </c>
      <c r="D55" s="15" t="str">
        <f>IF($P55="","",IFERROR(IF(INDEX(MASTER!$E$4:$E$1463,$P55)="","",INDEX(MASTER!$E$4:$E$1463,$P55)),""))</f>
        <v>WARLOCK</v>
      </c>
      <c r="E55" s="15" t="str">
        <f>IF($P55="","",IFERROR(IF(INDEX(MASTER!$F$4:$F$1463,$P55)="","",INDEX(MASTER!$F$4:$F$1463,$P55)),""))</f>
        <v>Control</v>
      </c>
      <c r="F55" s="16">
        <f>IF($P55="","",IFERROR(IF(INDEX(MASTER!$G$4:$G$1463,$P55)="","",INDEX(MASTER!$G$4:$G$1463,$P55)),""))</f>
        <v>62754</v>
      </c>
      <c r="G55" s="15" t="str">
        <f>IF($P55="","",IFERROR(IF(INDEX(MASTER!$H$4:$H$1463,$P55)="","",INDEX(MASTER!$H$4:$H$1463,$P55)),""))</f>
        <v>62,000 - 62,999</v>
      </c>
      <c r="H55" s="16">
        <f>IF($P55="","",IFERROR(IF(INDEX(MASTER!$I$4:$I$1463,$P55)="","",INDEX(MASTER!$I$4:$I$1463,$P55)),""))</f>
        <v>2906</v>
      </c>
      <c r="I55" s="15" t="str">
        <f>IF($P55="","",IFERROR(IF(INDEX(MASTER!$J$4:$J$1463,$P55)="","",INDEX(MASTER!$J$4:$J$1463,$P55)),""))</f>
        <v>DEVELOPING</v>
      </c>
      <c r="J55" s="17">
        <f>IF($P55="","",IFERROR(IF(INDEX(MASTER!$L$4:$L$1463,$P55)="","",INDEX(MASTER!$L$4:$L$1463,$P55)),""))</f>
        <v>4</v>
      </c>
      <c r="K55" s="17">
        <f>IF($P55="","",IFERROR(IF(INDEX(MASTER!$N$4:$N$1463,$P55)="","",INDEX(MASTER!$N$4:$N$1463,$P55)),""))</f>
        <v>39.799999999999997</v>
      </c>
      <c r="L55" s="15" t="str">
        <f>IF($P55="","",IFERROR(IF(INDEX(MASTER!$O$4:$O$1463,$P55)="","",INDEX(MASTER!$O$4:$O$1463,$P55)),""))</f>
        <v>B</v>
      </c>
      <c r="M55" s="15">
        <f>IF($P55="","",IFERROR(IF(INDEX(MASTER!$Q$4:$Q$1463,$P55)="","",INDEX(MASTER!$Q$4:$Q$1463,$P55)),""))</f>
        <v>54</v>
      </c>
      <c r="N55" s="15" t="str">
        <f>IF($P55="","",IFERROR(IF(INDEX(MASTER!$S$4:$S$1463,$P55)="","",INDEX(MASTER!$S$4:$S$1463,$P55)),""))</f>
        <v>Complete</v>
      </c>
      <c r="P55">
        <f>IFERROR(MATCH($Q$1&amp;"@47",MASTER!$AC$4:$AC$1463,0),"")</f>
        <v>650</v>
      </c>
    </row>
    <row r="56" spans="1:16">
      <c r="A56" s="19">
        <f>IF($P56="","",48)</f>
        <v>48</v>
      </c>
      <c r="B56" s="18" t="str">
        <f>IF($P56="","",IFERROR(IF(INDEX(MASTER!$C$4:$C$1463,$P56)="","",INDEX(MASTER!$C$4:$C$1463,$P56)),""))</f>
        <v>lemnhead</v>
      </c>
      <c r="C56" s="19" t="str">
        <f>IF($P56="","",IFERROR(IF(INDEX(MASTER!$D$4:$D$1463,$P56)="","",INDEX(MASTER!$D$4:$D$1463,$P56)),""))</f>
        <v>Invictus</v>
      </c>
      <c r="D56" s="19" t="str">
        <f>IF($P56="","",IFERROR(IF(INDEX(MASTER!$E$4:$E$1463,$P56)="","",INDEX(MASTER!$E$4:$E$1463,$P56)),""))</f>
        <v/>
      </c>
      <c r="E56" s="19" t="str">
        <f>IF($P56="","",IFERROR(IF(INDEX(MASTER!$F$4:$F$1463,$P56)="","",INDEX(MASTER!$F$4:$F$1463,$P56)),""))</f>
        <v>-</v>
      </c>
      <c r="F56" s="20" t="str">
        <f>IF($P56="","",IFERROR(IF(INDEX(MASTER!$G$4:$G$1463,$P56)="","",INDEX(MASTER!$G$4:$G$1463,$P56)),""))</f>
        <v/>
      </c>
      <c r="G56" s="19" t="str">
        <f>IF($P56="","",IFERROR(IF(INDEX(MASTER!$H$4:$H$1463,$P56)="","",INDEX(MASTER!$H$4:$H$1463,$P56)),""))</f>
        <v>-</v>
      </c>
      <c r="H56" s="20" t="str">
        <f>IF($P56="","",IFERROR(IF(INDEX(MASTER!$I$4:$I$1463,$P56)="","",INDEX(MASTER!$I$4:$I$1463,$P56)),""))</f>
        <v/>
      </c>
      <c r="I56" s="19" t="str">
        <f>IF($P56="","",IFERROR(IF(INDEX(MASTER!$J$4:$J$1463,$P56)="","",INDEX(MASTER!$J$4:$J$1463,$P56)),""))</f>
        <v>-</v>
      </c>
      <c r="J56" s="21" t="str">
        <f>IF($P56="","",IFERROR(IF(INDEX(MASTER!$L$4:$L$1463,$P56)="","",INDEX(MASTER!$L$4:$L$1463,$P56)),""))</f>
        <v/>
      </c>
      <c r="K56" s="21" t="str">
        <f>IF($P56="","",IFERROR(IF(INDEX(MASTER!$N$4:$N$1463,$P56)="","",INDEX(MASTER!$N$4:$N$1463,$P56)),""))</f>
        <v/>
      </c>
      <c r="L56" s="19" t="str">
        <f>IF($P56="","",IFERROR(IF(INDEX(MASTER!$O$4:$O$1463,$P56)="","",INDEX(MASTER!$O$4:$O$1463,$P56)),""))</f>
        <v>-</v>
      </c>
      <c r="M56" s="19">
        <f>IF($P56="","",IFERROR(IF(INDEX(MASTER!$Q$4:$Q$1463,$P56)="","",INDEX(MASTER!$Q$4:$Q$1463,$P56)),""))</f>
        <v>100</v>
      </c>
      <c r="N56" s="19" t="str">
        <f>IF($P56="","",IFERROR(IF(INDEX(MASTER!$S$4:$S$1463,$P56)="","",INDEX(MASTER!$S$4:$S$1463,$P56)),""))</f>
        <v>Name only</v>
      </c>
      <c r="P56">
        <f>IFERROR(MATCH($Q$1&amp;"@48",MASTER!$AC$4:$AC$1463,0),"")</f>
        <v>658</v>
      </c>
    </row>
    <row r="57" spans="1:16">
      <c r="A57" s="15">
        <f>IF($P57="","",49)</f>
        <v>49</v>
      </c>
      <c r="B57" s="14" t="str">
        <f>IF($P57="","",IFERROR(IF(INDEX(MASTER!$C$4:$C$1463,$P57)="","",INDEX(MASTER!$C$4:$C$1463,$P57)),""))</f>
        <v>LevChaDash</v>
      </c>
      <c r="C57" s="15" t="str">
        <f>IF($P57="","",IFERROR(IF(INDEX(MASTER!$D$4:$D$1463,$P57)="","",INDEX(MASTER!$D$4:$D$1463,$P57)),""))</f>
        <v>Invictus</v>
      </c>
      <c r="D57" s="15" t="str">
        <f>IF($P57="","",IFERROR(IF(INDEX(MASTER!$E$4:$E$1463,$P57)="","",INDEX(MASTER!$E$4:$E$1463,$P57)),""))</f>
        <v>WARLOCK</v>
      </c>
      <c r="E57" s="15" t="str">
        <f>IF($P57="","",IFERROR(IF(INDEX(MASTER!$F$4:$F$1463,$P57)="","",INDEX(MASTER!$F$4:$F$1463,$P57)),""))</f>
        <v>Control</v>
      </c>
      <c r="F57" s="16">
        <f>IF($P57="","",IFERROR(IF(INDEX(MASTER!$G$4:$G$1463,$P57)="","",INDEX(MASTER!$G$4:$G$1463,$P57)),""))</f>
        <v>61969</v>
      </c>
      <c r="G57" s="15" t="str">
        <f>IF($P57="","",IFERROR(IF(INDEX(MASTER!$H$4:$H$1463,$P57)="","",INDEX(MASTER!$H$4:$H$1463,$P57)),""))</f>
        <v>61,000 - 61,999</v>
      </c>
      <c r="H57" s="16">
        <f>IF($P57="","",IFERROR(IF(INDEX(MASTER!$I$4:$I$1463,$P57)="","",INDEX(MASTER!$I$4:$I$1463,$P57)),""))</f>
        <v>2422</v>
      </c>
      <c r="I57" s="15" t="str">
        <f>IF($P57="","",IFERROR(IF(INDEX(MASTER!$J$4:$J$1463,$P57)="","",INDEX(MASTER!$J$4:$J$1463,$P57)),""))</f>
        <v>DEVELOPING</v>
      </c>
      <c r="J57" s="17">
        <f>IF($P57="","",IFERROR(IF(INDEX(MASTER!$L$4:$L$1463,$P57)="","",INDEX(MASTER!$L$4:$L$1463,$P57)),""))</f>
        <v>3.65</v>
      </c>
      <c r="K57" s="17">
        <f>IF($P57="","",IFERROR(IF(INDEX(MASTER!$N$4:$N$1463,$P57)="","",INDEX(MASTER!$N$4:$N$1463,$P57)),""))</f>
        <v>35</v>
      </c>
      <c r="L57" s="15" t="str">
        <f>IF($P57="","",IFERROR(IF(INDEX(MASTER!$O$4:$O$1463,$P57)="","",INDEX(MASTER!$O$4:$O$1463,$P57)),""))</f>
        <v>B</v>
      </c>
      <c r="M57" s="15">
        <f>IF($P57="","",IFERROR(IF(INDEX(MASTER!$Q$4:$Q$1463,$P57)="","",INDEX(MASTER!$Q$4:$Q$1463,$P57)),""))</f>
        <v>70</v>
      </c>
      <c r="N57" s="15" t="str">
        <f>IF($P57="","",IFERROR(IF(INDEX(MASTER!$S$4:$S$1463,$P57)="","",INDEX(MASTER!$S$4:$S$1463,$P57)),""))</f>
        <v>Complete</v>
      </c>
      <c r="P57">
        <f>IFERROR(MATCH($Q$1&amp;"@49",MASTER!$AC$4:$AC$1463,0),"")</f>
        <v>661</v>
      </c>
    </row>
    <row r="58" spans="1:16">
      <c r="A58" s="19">
        <f>IF($P58="","",50)</f>
        <v>50</v>
      </c>
      <c r="B58" s="18" t="str">
        <f>IF($P58="","",IFERROR(IF(INDEX(MASTER!$C$4:$C$1463,$P58)="","",INDEX(MASTER!$C$4:$C$1463,$P58)),""))</f>
        <v>LouisCyphier</v>
      </c>
      <c r="C58" s="19" t="str">
        <f>IF($P58="","",IFERROR(IF(INDEX(MASTER!$D$4:$D$1463,$P58)="","",INDEX(MASTER!$D$4:$D$1463,$P58)),""))</f>
        <v>Invictus</v>
      </c>
      <c r="D58" s="19" t="str">
        <f>IF($P58="","",IFERROR(IF(INDEX(MASTER!$E$4:$E$1463,$P58)="","",INDEX(MASTER!$E$4:$E$1463,$P58)),""))</f>
        <v>WARLOCK</v>
      </c>
      <c r="E58" s="19" t="str">
        <f>IF($P58="","",IFERROR(IF(INDEX(MASTER!$F$4:$F$1463,$P58)="","",INDEX(MASTER!$F$4:$F$1463,$P58)),""))</f>
        <v>Control</v>
      </c>
      <c r="F58" s="20">
        <f>IF($P58="","",IFERROR(IF(INDEX(MASTER!$G$4:$G$1463,$P58)="","",INDEX(MASTER!$G$4:$G$1463,$P58)),""))</f>
        <v>61883</v>
      </c>
      <c r="G58" s="19" t="str">
        <f>IF($P58="","",IFERROR(IF(INDEX(MASTER!$H$4:$H$1463,$P58)="","",INDEX(MASTER!$H$4:$H$1463,$P58)),""))</f>
        <v>61,000 - 61,999</v>
      </c>
      <c r="H58" s="20">
        <f>IF($P58="","",IFERROR(IF(INDEX(MASTER!$I$4:$I$1463,$P58)="","",INDEX(MASTER!$I$4:$I$1463,$P58)),""))</f>
        <v>2234</v>
      </c>
      <c r="I58" s="19" t="str">
        <f>IF($P58="","",IFERROR(IF(INDEX(MASTER!$J$4:$J$1463,$P58)="","",INDEX(MASTER!$J$4:$J$1463,$P58)),""))</f>
        <v>DEVELOPING</v>
      </c>
      <c r="J58" s="21">
        <f>IF($P58="","",IFERROR(IF(INDEX(MASTER!$L$4:$L$1463,$P58)="","",INDEX(MASTER!$L$4:$L$1463,$P58)),""))</f>
        <v>4.7</v>
      </c>
      <c r="K58" s="21">
        <f>IF($P58="","",IFERROR(IF(INDEX(MASTER!$N$4:$N$1463,$P58)="","",INDEX(MASTER!$N$4:$N$1463,$P58)),""))</f>
        <v>35.700000000000003</v>
      </c>
      <c r="L58" s="19" t="str">
        <f>IF($P58="","",IFERROR(IF(INDEX(MASTER!$O$4:$O$1463,$P58)="","",INDEX(MASTER!$O$4:$O$1463,$P58)),""))</f>
        <v>B</v>
      </c>
      <c r="M58" s="19">
        <f>IF($P58="","",IFERROR(IF(INDEX(MASTER!$Q$4:$Q$1463,$P58)="","",INDEX(MASTER!$Q$4:$Q$1463,$P58)),""))</f>
        <v>74</v>
      </c>
      <c r="N58" s="19" t="str">
        <f>IF($P58="","",IFERROR(IF(INDEX(MASTER!$S$4:$S$1463,$P58)="","",INDEX(MASTER!$S$4:$S$1463,$P58)),""))</f>
        <v>Complete</v>
      </c>
      <c r="P58">
        <f>IFERROR(MATCH($Q$1&amp;"@50",MASTER!$AC$4:$AC$1463,0),"")</f>
        <v>689</v>
      </c>
    </row>
    <row r="59" spans="1:16">
      <c r="A59" s="15">
        <f>IF($P59="","",51)</f>
        <v>51</v>
      </c>
      <c r="B59" s="14" t="str">
        <f>IF($P59="","",IFERROR(IF(INDEX(MASTER!$C$4:$C$1463,$P59)="","",INDEX(MASTER!$C$4:$C$1463,$P59)),""))</f>
        <v>MadManTLee2</v>
      </c>
      <c r="C59" s="15" t="str">
        <f>IF($P59="","",IFERROR(IF(INDEX(MASTER!$D$4:$D$1463,$P59)="","",INDEX(MASTER!$D$4:$D$1463,$P59)),""))</f>
        <v>Invictus</v>
      </c>
      <c r="D59" s="15" t="str">
        <f>IF($P59="","",IFERROR(IF(INDEX(MASTER!$E$4:$E$1463,$P59)="","",INDEX(MASTER!$E$4:$E$1463,$P59)),""))</f>
        <v>WARLOCK</v>
      </c>
      <c r="E59" s="15" t="str">
        <f>IF($P59="","",IFERROR(IF(INDEX(MASTER!$F$4:$F$1463,$P59)="","",INDEX(MASTER!$F$4:$F$1463,$P59)),""))</f>
        <v>Control</v>
      </c>
      <c r="F59" s="16">
        <f>IF($P59="","",IFERROR(IF(INDEX(MASTER!$G$4:$G$1463,$P59)="","",INDEX(MASTER!$G$4:$G$1463,$P59)),""))</f>
        <v>61954</v>
      </c>
      <c r="G59" s="15" t="str">
        <f>IF($P59="","",IFERROR(IF(INDEX(MASTER!$H$4:$H$1463,$P59)="","",INDEX(MASTER!$H$4:$H$1463,$P59)),""))</f>
        <v>61,000 - 61,999</v>
      </c>
      <c r="H59" s="16">
        <f>IF($P59="","",IFERROR(IF(INDEX(MASTER!$I$4:$I$1463,$P59)="","",INDEX(MASTER!$I$4:$I$1463,$P59)),""))</f>
        <v>3050</v>
      </c>
      <c r="I59" s="15" t="str">
        <f>IF($P59="","",IFERROR(IF(INDEX(MASTER!$J$4:$J$1463,$P59)="","",INDEX(MASTER!$J$4:$J$1463,$P59)),""))</f>
        <v>DEVELOPING</v>
      </c>
      <c r="J59" s="17">
        <f>IF($P59="","",IFERROR(IF(INDEX(MASTER!$L$4:$L$1463,$P59)="","",INDEX(MASTER!$L$4:$L$1463,$P59)),""))</f>
        <v>4.2300000000000004</v>
      </c>
      <c r="K59" s="17">
        <f>IF($P59="","",IFERROR(IF(INDEX(MASTER!$N$4:$N$1463,$P59)="","",INDEX(MASTER!$N$4:$N$1463,$P59)),""))</f>
        <v>38.700000000000003</v>
      </c>
      <c r="L59" s="15" t="str">
        <f>IF($P59="","",IFERROR(IF(INDEX(MASTER!$O$4:$O$1463,$P59)="","",INDEX(MASTER!$O$4:$O$1463,$P59)),""))</f>
        <v>B</v>
      </c>
      <c r="M59" s="15">
        <f>IF($P59="","",IFERROR(IF(INDEX(MASTER!$Q$4:$Q$1463,$P59)="","",INDEX(MASTER!$Q$4:$Q$1463,$P59)),""))</f>
        <v>49</v>
      </c>
      <c r="N59" s="15" t="str">
        <f>IF($P59="","",IFERROR(IF(INDEX(MASTER!$S$4:$S$1463,$P59)="","",INDEX(MASTER!$S$4:$S$1463,$P59)),""))</f>
        <v>Complete</v>
      </c>
      <c r="P59">
        <f>IFERROR(MATCH($Q$1&amp;"@51",MASTER!$AC$4:$AC$1463,0),"")</f>
        <v>715</v>
      </c>
    </row>
    <row r="60" spans="1:16">
      <c r="A60" s="19">
        <f>IF($P60="","",52)</f>
        <v>52</v>
      </c>
      <c r="B60" s="18" t="str">
        <f>IF($P60="","",IFERROR(IF(INDEX(MASTER!$C$4:$C$1463,$P60)="","",INDEX(MASTER!$C$4:$C$1463,$P60)),""))</f>
        <v>Magiaceleste</v>
      </c>
      <c r="C60" s="19" t="str">
        <f>IF($P60="","",IFERROR(IF(INDEX(MASTER!$D$4:$D$1463,$P60)="","",INDEX(MASTER!$D$4:$D$1463,$P60)),""))</f>
        <v>Invictus</v>
      </c>
      <c r="D60" s="19" t="str">
        <f>IF($P60="","",IFERROR(IF(INDEX(MASTER!$E$4:$E$1463,$P60)="","",INDEX(MASTER!$E$4:$E$1463,$P60)),""))</f>
        <v>CRUSADER</v>
      </c>
      <c r="E60" s="19" t="str">
        <f>IF($P60="","",IFERROR(IF(INDEX(MASTER!$F$4:$F$1463,$P60)="","",INDEX(MASTER!$F$4:$F$1463,$P60)),""))</f>
        <v>Frontline</v>
      </c>
      <c r="F60" s="20">
        <f>IF($P60="","",IFERROR(IF(INDEX(MASTER!$G$4:$G$1463,$P60)="","",INDEX(MASTER!$G$4:$G$1463,$P60)),""))</f>
        <v>58536</v>
      </c>
      <c r="G60" s="19" t="str">
        <f>IF($P60="","",IFERROR(IF(INDEX(MASTER!$H$4:$H$1463,$P60)="","",INDEX(MASTER!$H$4:$H$1463,$P60)),""))</f>
        <v>58,000 - 59,999</v>
      </c>
      <c r="H60" s="20">
        <f>IF($P60="","",IFERROR(IF(INDEX(MASTER!$I$4:$I$1463,$P60)="","",INDEX(MASTER!$I$4:$I$1463,$P60)),""))</f>
        <v>1673</v>
      </c>
      <c r="I60" s="19" t="str">
        <f>IF($P60="","",IFERROR(IF(INDEX(MASTER!$J$4:$J$1463,$P60)="","",INDEX(MASTER!$J$4:$J$1463,$P60)),""))</f>
        <v>ROOKIE</v>
      </c>
      <c r="J60" s="21">
        <f>IF($P60="","",IFERROR(IF(INDEX(MASTER!$L$4:$L$1463,$P60)="","",INDEX(MASTER!$L$4:$L$1463,$P60)),""))</f>
        <v>2.4</v>
      </c>
      <c r="K60" s="21">
        <f>IF($P60="","",IFERROR(IF(INDEX(MASTER!$N$4:$N$1463,$P60)="","",INDEX(MASTER!$N$4:$N$1463,$P60)),""))</f>
        <v>20.6</v>
      </c>
      <c r="L60" s="19" t="str">
        <f>IF($P60="","",IFERROR(IF(INDEX(MASTER!$O$4:$O$1463,$P60)="","",INDEX(MASTER!$O$4:$O$1463,$P60)),""))</f>
        <v>C</v>
      </c>
      <c r="M60" s="19">
        <f>IF($P60="","",IFERROR(IF(INDEX(MASTER!$Q$4:$Q$1463,$P60)="","",INDEX(MASTER!$Q$4:$Q$1463,$P60)),""))</f>
        <v>87</v>
      </c>
      <c r="N60" s="19" t="str">
        <f>IF($P60="","",IFERROR(IF(INDEX(MASTER!$S$4:$S$1463,$P60)="","",INDEX(MASTER!$S$4:$S$1463,$P60)),""))</f>
        <v>Complete</v>
      </c>
      <c r="P60">
        <f>IFERROR(MATCH($Q$1&amp;"@52",MASTER!$AC$4:$AC$1463,0),"")</f>
        <v>718</v>
      </c>
    </row>
    <row r="61" spans="1:16">
      <c r="A61" s="15">
        <f>IF($P61="","",53)</f>
        <v>53</v>
      </c>
      <c r="B61" s="14" t="str">
        <f>IF($P61="","",IFERROR(IF(INDEX(MASTER!$C$4:$C$1463,$P61)="","",INDEX(MASTER!$C$4:$C$1463,$P61)),""))</f>
        <v>Malexis</v>
      </c>
      <c r="C61" s="15" t="str">
        <f>IF($P61="","",IFERROR(IF(INDEX(MASTER!$D$4:$D$1463,$P61)="","",INDEX(MASTER!$D$4:$D$1463,$P61)),""))</f>
        <v>Invictus</v>
      </c>
      <c r="D61" s="15" t="str">
        <f>IF($P61="","",IFERROR(IF(INDEX(MASTER!$E$4:$E$1463,$P61)="","",INDEX(MASTER!$E$4:$E$1463,$P61)),""))</f>
        <v>NECROMANCER</v>
      </c>
      <c r="E61" s="15" t="str">
        <f>IF($P61="","",IFERROR(IF(INDEX(MASTER!$F$4:$F$1463,$P61)="","",INDEX(MASTER!$F$4:$F$1463,$P61)),""))</f>
        <v>Control</v>
      </c>
      <c r="F61" s="16">
        <f>IF($P61="","",IFERROR(IF(INDEX(MASTER!$G$4:$G$1463,$P61)="","",INDEX(MASTER!$G$4:$G$1463,$P61)),""))</f>
        <v>61180</v>
      </c>
      <c r="G61" s="15" t="str">
        <f>IF($P61="","",IFERROR(IF(INDEX(MASTER!$H$4:$H$1463,$P61)="","",INDEX(MASTER!$H$4:$H$1463,$P61)),""))</f>
        <v>61,000 - 61,999</v>
      </c>
      <c r="H61" s="16">
        <f>IF($P61="","",IFERROR(IF(INDEX(MASTER!$I$4:$I$1463,$P61)="","",INDEX(MASTER!$I$4:$I$1463,$P61)),""))</f>
        <v>2541</v>
      </c>
      <c r="I61" s="15" t="str">
        <f>IF($P61="","",IFERROR(IF(INDEX(MASTER!$J$4:$J$1463,$P61)="","",INDEX(MASTER!$J$4:$J$1463,$P61)),""))</f>
        <v>DEVELOPING</v>
      </c>
      <c r="J61" s="17">
        <f>IF($P61="","",IFERROR(IF(INDEX(MASTER!$L$4:$L$1463,$P61)="","",INDEX(MASTER!$L$4:$L$1463,$P61)),""))</f>
        <v>4.2</v>
      </c>
      <c r="K61" s="17">
        <f>IF($P61="","",IFERROR(IF(INDEX(MASTER!$N$4:$N$1463,$P61)="","",INDEX(MASTER!$N$4:$N$1463,$P61)),""))</f>
        <v>34.4</v>
      </c>
      <c r="L61" s="15" t="str">
        <f>IF($P61="","",IFERROR(IF(INDEX(MASTER!$O$4:$O$1463,$P61)="","",INDEX(MASTER!$O$4:$O$1463,$P61)),""))</f>
        <v>C</v>
      </c>
      <c r="M61" s="15">
        <f>IF($P61="","",IFERROR(IF(INDEX(MASTER!$Q$4:$Q$1463,$P61)="","",INDEX(MASTER!$Q$4:$Q$1463,$P61)),""))</f>
        <v>68</v>
      </c>
      <c r="N61" s="15" t="str">
        <f>IF($P61="","",IFERROR(IF(INDEX(MASTER!$S$4:$S$1463,$P61)="","",INDEX(MASTER!$S$4:$S$1463,$P61)),""))</f>
        <v>Complete</v>
      </c>
      <c r="P61">
        <f>IFERROR(MATCH($Q$1&amp;"@53",MASTER!$AC$4:$AC$1463,0),"")</f>
        <v>724</v>
      </c>
    </row>
    <row r="62" spans="1:16">
      <c r="A62" s="19">
        <f>IF($P62="","",54)</f>
        <v>54</v>
      </c>
      <c r="B62" s="18" t="str">
        <f>IF($P62="","",IFERROR(IF(INDEX(MASTER!$C$4:$C$1463,$P62)="","",INDEX(MASTER!$C$4:$C$1463,$P62)),""))</f>
        <v>McCracken</v>
      </c>
      <c r="C62" s="19" t="str">
        <f>IF($P62="","",IFERROR(IF(INDEX(MASTER!$D$4:$D$1463,$P62)="","",INDEX(MASTER!$D$4:$D$1463,$P62)),""))</f>
        <v>Invictus</v>
      </c>
      <c r="D62" s="19" t="str">
        <f>IF($P62="","",IFERROR(IF(INDEX(MASTER!$E$4:$E$1463,$P62)="","",INDEX(MASTER!$E$4:$E$1463,$P62)),""))</f>
        <v>NECROMANCER</v>
      </c>
      <c r="E62" s="19" t="str">
        <f>IF($P62="","",IFERROR(IF(INDEX(MASTER!$F$4:$F$1463,$P62)="","",INDEX(MASTER!$F$4:$F$1463,$P62)),""))</f>
        <v>Control</v>
      </c>
      <c r="F62" s="20">
        <f>IF($P62="","",IFERROR(IF(INDEX(MASTER!$G$4:$G$1463,$P62)="","",INDEX(MASTER!$G$4:$G$1463,$P62)),""))</f>
        <v>61218</v>
      </c>
      <c r="G62" s="19" t="str">
        <f>IF($P62="","",IFERROR(IF(INDEX(MASTER!$H$4:$H$1463,$P62)="","",INDEX(MASTER!$H$4:$H$1463,$P62)),""))</f>
        <v>61,000 - 61,999</v>
      </c>
      <c r="H62" s="20">
        <f>IF($P62="","",IFERROR(IF(INDEX(MASTER!$I$4:$I$1463,$P62)="","",INDEX(MASTER!$I$4:$I$1463,$P62)),""))</f>
        <v>2782</v>
      </c>
      <c r="I62" s="19" t="str">
        <f>IF($P62="","",IFERROR(IF(INDEX(MASTER!$J$4:$J$1463,$P62)="","",INDEX(MASTER!$J$4:$J$1463,$P62)),""))</f>
        <v>DEVELOPING</v>
      </c>
      <c r="J62" s="21">
        <f>IF($P62="","",IFERROR(IF(INDEX(MASTER!$L$4:$L$1463,$P62)="","",INDEX(MASTER!$L$4:$L$1463,$P62)),""))</f>
        <v>4.7</v>
      </c>
      <c r="K62" s="21">
        <f>IF($P62="","",IFERROR(IF(INDEX(MASTER!$N$4:$N$1463,$P62)="","",INDEX(MASTER!$N$4:$N$1463,$P62)),""))</f>
        <v>36.299999999999997</v>
      </c>
      <c r="L62" s="19" t="str">
        <f>IF($P62="","",IFERROR(IF(INDEX(MASTER!$O$4:$O$1463,$P62)="","",INDEX(MASTER!$O$4:$O$1463,$P62)),""))</f>
        <v>B</v>
      </c>
      <c r="M62" s="19">
        <f>IF($P62="","",IFERROR(IF(INDEX(MASTER!$Q$4:$Q$1463,$P62)="","",INDEX(MASTER!$Q$4:$Q$1463,$P62)),""))</f>
        <v>59</v>
      </c>
      <c r="N62" s="19" t="str">
        <f>IF($P62="","",IFERROR(IF(INDEX(MASTER!$S$4:$S$1463,$P62)="","",INDEX(MASTER!$S$4:$S$1463,$P62)),""))</f>
        <v>Complete</v>
      </c>
      <c r="P62">
        <f>IFERROR(MATCH($Q$1&amp;"@54",MASTER!$AC$4:$AC$1463,0),"")</f>
        <v>741</v>
      </c>
    </row>
    <row r="63" spans="1:16">
      <c r="A63" s="15">
        <f>IF($P63="","",55)</f>
        <v>55</v>
      </c>
      <c r="B63" s="14" t="str">
        <f>IF($P63="","",IFERROR(IF(INDEX(MASTER!$C$4:$C$1463,$P63)="","",INDEX(MASTER!$C$4:$C$1463,$P63)),""))</f>
        <v>MEMNON</v>
      </c>
      <c r="C63" s="15" t="str">
        <f>IF($P63="","",IFERROR(IF(INDEX(MASTER!$D$4:$D$1463,$P63)="","",INDEX(MASTER!$D$4:$D$1463,$P63)),""))</f>
        <v>Invictus</v>
      </c>
      <c r="D63" s="15" t="str">
        <f>IF($P63="","",IFERROR(IF(INDEX(MASTER!$E$4:$E$1463,$P63)="","",INDEX(MASTER!$E$4:$E$1463,$P63)),""))</f>
        <v>CRUSADER</v>
      </c>
      <c r="E63" s="15" t="str">
        <f>IF($P63="","",IFERROR(IF(INDEX(MASTER!$F$4:$F$1463,$P63)="","",INDEX(MASTER!$F$4:$F$1463,$P63)),""))</f>
        <v>Frontline</v>
      </c>
      <c r="F63" s="16">
        <f>IF($P63="","",IFERROR(IF(INDEX(MASTER!$G$4:$G$1463,$P63)="","",INDEX(MASTER!$G$4:$G$1463,$P63)),""))</f>
        <v>60555</v>
      </c>
      <c r="G63" s="15" t="str">
        <f>IF($P63="","",IFERROR(IF(INDEX(MASTER!$H$4:$H$1463,$P63)="","",INDEX(MASTER!$H$4:$H$1463,$P63)),""))</f>
        <v>60,000 - 60,999</v>
      </c>
      <c r="H63" s="16">
        <f>IF($P63="","",IFERROR(IF(INDEX(MASTER!$I$4:$I$1463,$P63)="","",INDEX(MASTER!$I$4:$I$1463,$P63)),""))</f>
        <v>9175</v>
      </c>
      <c r="I63" s="15" t="str">
        <f>IF($P63="","",IFERROR(IF(INDEX(MASTER!$J$4:$J$1463,$P63)="","",INDEX(MASTER!$J$4:$J$1463,$P63)),""))</f>
        <v>ELITE</v>
      </c>
      <c r="J63" s="17">
        <f>IF($P63="","",IFERROR(IF(INDEX(MASTER!$L$4:$L$1463,$P63)="","",INDEX(MASTER!$L$4:$L$1463,$P63)),""))</f>
        <v>7.9</v>
      </c>
      <c r="K63" s="17">
        <f>IF($P63="","",IFERROR(IF(INDEX(MASTER!$N$4:$N$1463,$P63)="","",INDEX(MASTER!$N$4:$N$1463,$P63)),""))</f>
        <v>67.8</v>
      </c>
      <c r="L63" s="15" t="str">
        <f>IF($P63="","",IFERROR(IF(INDEX(MASTER!$O$4:$O$1463,$P63)="","",INDEX(MASTER!$O$4:$O$1463,$P63)),""))</f>
        <v>S</v>
      </c>
      <c r="M63" s="15">
        <f>IF($P63="","",IFERROR(IF(INDEX(MASTER!$Q$4:$Q$1463,$P63)="","",INDEX(MASTER!$Q$4:$Q$1463,$P63)),""))</f>
        <v>2</v>
      </c>
      <c r="N63" s="15" t="str">
        <f>IF($P63="","",IFERROR(IF(INDEX(MASTER!$S$4:$S$1463,$P63)="","",INDEX(MASTER!$S$4:$S$1463,$P63)),""))</f>
        <v>Complete</v>
      </c>
      <c r="P63">
        <f>IFERROR(MATCH($Q$1&amp;"@55",MASTER!$AC$4:$AC$1463,0),"")</f>
        <v>755</v>
      </c>
    </row>
    <row r="64" spans="1:16">
      <c r="A64" s="19">
        <f>IF($P64="","",56)</f>
        <v>56</v>
      </c>
      <c r="B64" s="18" t="str">
        <f>IF($P64="","",IFERROR(IF(INDEX(MASTER!$C$4:$C$1463,$P64)="","",INDEX(MASTER!$C$4:$C$1463,$P64)),""))</f>
        <v>MidnightRider</v>
      </c>
      <c r="C64" s="19" t="str">
        <f>IF($P64="","",IFERROR(IF(INDEX(MASTER!$D$4:$D$1463,$P64)="","",INDEX(MASTER!$D$4:$D$1463,$P64)),""))</f>
        <v>Invictus</v>
      </c>
      <c r="D64" s="19" t="str">
        <f>IF($P64="","",IFERROR(IF(INDEX(MASTER!$E$4:$E$1463,$P64)="","",INDEX(MASTER!$E$4:$E$1463,$P64)),""))</f>
        <v>WARLOCK</v>
      </c>
      <c r="E64" s="19" t="str">
        <f>IF($P64="","",IFERROR(IF(INDEX(MASTER!$F$4:$F$1463,$P64)="","",INDEX(MASTER!$F$4:$F$1463,$P64)),""))</f>
        <v>Control</v>
      </c>
      <c r="F64" s="20">
        <f>IF($P64="","",IFERROR(IF(INDEX(MASTER!$G$4:$G$1463,$P64)="","",INDEX(MASTER!$G$4:$G$1463,$P64)),""))</f>
        <v>62577</v>
      </c>
      <c r="G64" s="19" t="str">
        <f>IF($P64="","",IFERROR(IF(INDEX(MASTER!$H$4:$H$1463,$P64)="","",INDEX(MASTER!$H$4:$H$1463,$P64)),""))</f>
        <v>62,000 - 62,999</v>
      </c>
      <c r="H64" s="20">
        <f>IF($P64="","",IFERROR(IF(INDEX(MASTER!$I$4:$I$1463,$P64)="","",INDEX(MASTER!$I$4:$I$1463,$P64)),""))</f>
        <v>3146</v>
      </c>
      <c r="I64" s="19" t="str">
        <f>IF($P64="","",IFERROR(IF(INDEX(MASTER!$J$4:$J$1463,$P64)="","",INDEX(MASTER!$J$4:$J$1463,$P64)),""))</f>
        <v>DEVELOPING</v>
      </c>
      <c r="J64" s="21">
        <f>IF($P64="","",IFERROR(IF(INDEX(MASTER!$L$4:$L$1463,$P64)="","",INDEX(MASTER!$L$4:$L$1463,$P64)),""))</f>
        <v>4.05</v>
      </c>
      <c r="K64" s="21">
        <f>IF($P64="","",IFERROR(IF(INDEX(MASTER!$N$4:$N$1463,$P64)="","",INDEX(MASTER!$N$4:$N$1463,$P64)),""))</f>
        <v>40.4</v>
      </c>
      <c r="L64" s="19" t="str">
        <f>IF($P64="","",IFERROR(IF(INDEX(MASTER!$O$4:$O$1463,$P64)="","",INDEX(MASTER!$O$4:$O$1463,$P64)),""))</f>
        <v>B</v>
      </c>
      <c r="M64" s="19">
        <f>IF($P64="","",IFERROR(IF(INDEX(MASTER!$Q$4:$Q$1463,$P64)="","",INDEX(MASTER!$Q$4:$Q$1463,$P64)),""))</f>
        <v>48</v>
      </c>
      <c r="N64" s="19" t="str">
        <f>IF($P64="","",IFERROR(IF(INDEX(MASTER!$S$4:$S$1463,$P64)="","",INDEX(MASTER!$S$4:$S$1463,$P64)),""))</f>
        <v>Complete</v>
      </c>
      <c r="P64">
        <f>IFERROR(MATCH($Q$1&amp;"@56",MASTER!$AC$4:$AC$1463,0),"")</f>
        <v>760</v>
      </c>
    </row>
    <row r="65" spans="1:16">
      <c r="A65" s="15">
        <f>IF($P65="","",57)</f>
        <v>57</v>
      </c>
      <c r="B65" s="14" t="str">
        <f>IF($P65="","",IFERROR(IF(INDEX(MASTER!$C$4:$C$1463,$P65)="","",INDEX(MASTER!$C$4:$C$1463,$P65)),""))</f>
        <v>Migge</v>
      </c>
      <c r="C65" s="15" t="str">
        <f>IF($P65="","",IFERROR(IF(INDEX(MASTER!$D$4:$D$1463,$P65)="","",INDEX(MASTER!$D$4:$D$1463,$P65)),""))</f>
        <v>Invictus</v>
      </c>
      <c r="D65" s="15" t="str">
        <f>IF($P65="","",IFERROR(IF(INDEX(MASTER!$E$4:$E$1463,$P65)="","",INDEX(MASTER!$E$4:$E$1463,$P65)),""))</f>
        <v>BARBARIAN</v>
      </c>
      <c r="E65" s="15" t="str">
        <f>IF($P65="","",IFERROR(IF(INDEX(MASTER!$F$4:$F$1463,$P65)="","",INDEX(MASTER!$F$4:$F$1463,$P65)),""))</f>
        <v>Frontline</v>
      </c>
      <c r="F65" s="16">
        <f>IF($P65="","",IFERROR(IF(INDEX(MASTER!$G$4:$G$1463,$P65)="","",INDEX(MASTER!$G$4:$G$1463,$P65)),""))</f>
        <v>61413</v>
      </c>
      <c r="G65" s="15" t="str">
        <f>IF($P65="","",IFERROR(IF(INDEX(MASTER!$H$4:$H$1463,$P65)="","",INDEX(MASTER!$H$4:$H$1463,$P65)),""))</f>
        <v>61,000 - 61,999</v>
      </c>
      <c r="H65" s="16">
        <f>IF($P65="","",IFERROR(IF(INDEX(MASTER!$I$4:$I$1463,$P65)="","",INDEX(MASTER!$I$4:$I$1463,$P65)),""))</f>
        <v>1982</v>
      </c>
      <c r="I65" s="15" t="str">
        <f>IF($P65="","",IFERROR(IF(INDEX(MASTER!$J$4:$J$1463,$P65)="","",INDEX(MASTER!$J$4:$J$1463,$P65)),""))</f>
        <v>ROOKIE</v>
      </c>
      <c r="J65" s="17">
        <f>IF($P65="","",IFERROR(IF(INDEX(MASTER!$L$4:$L$1463,$P65)="","",INDEX(MASTER!$L$4:$L$1463,$P65)),""))</f>
        <v>3</v>
      </c>
      <c r="K65" s="17">
        <f>IF($P65="","",IFERROR(IF(INDEX(MASTER!$N$4:$N$1463,$P65)="","",INDEX(MASTER!$N$4:$N$1463,$P65)),""))</f>
        <v>30.5</v>
      </c>
      <c r="L65" s="15" t="str">
        <f>IF($P65="","",IFERROR(IF(INDEX(MASTER!$O$4:$O$1463,$P65)="","",INDEX(MASTER!$O$4:$O$1463,$P65)),""))</f>
        <v>C</v>
      </c>
      <c r="M65" s="15">
        <f>IF($P65="","",IFERROR(IF(INDEX(MASTER!$Q$4:$Q$1463,$P65)="","",INDEX(MASTER!$Q$4:$Q$1463,$P65)),""))</f>
        <v>84</v>
      </c>
      <c r="N65" s="15" t="str">
        <f>IF($P65="","",IFERROR(IF(INDEX(MASTER!$S$4:$S$1463,$P65)="","",INDEX(MASTER!$S$4:$S$1463,$P65)),""))</f>
        <v>Complete</v>
      </c>
      <c r="P65">
        <f>IFERROR(MATCH($Q$1&amp;"@57",MASTER!$AC$4:$AC$1463,0),"")</f>
        <v>762</v>
      </c>
    </row>
    <row r="66" spans="1:16">
      <c r="A66" s="19">
        <f>IF($P66="","",58)</f>
        <v>58</v>
      </c>
      <c r="B66" s="18" t="str">
        <f>IF($P66="","",IFERROR(IF(INDEX(MASTER!$C$4:$C$1463,$P66)="","",INDEX(MASTER!$C$4:$C$1463,$P66)),""))</f>
        <v>Millim</v>
      </c>
      <c r="C66" s="19" t="str">
        <f>IF($P66="","",IFERROR(IF(INDEX(MASTER!$D$4:$D$1463,$P66)="","",INDEX(MASTER!$D$4:$D$1463,$P66)),""))</f>
        <v>Invictus</v>
      </c>
      <c r="D66" s="19" t="str">
        <f>IF($P66="","",IFERROR(IF(INDEX(MASTER!$E$4:$E$1463,$P66)="","",INDEX(MASTER!$E$4:$E$1463,$P66)),""))</f>
        <v>WARLOCK</v>
      </c>
      <c r="E66" s="19" t="str">
        <f>IF($P66="","",IFERROR(IF(INDEX(MASTER!$F$4:$F$1463,$P66)="","",INDEX(MASTER!$F$4:$F$1463,$P66)),""))</f>
        <v>Control</v>
      </c>
      <c r="F66" s="20">
        <f>IF($P66="","",IFERROR(IF(INDEX(MASTER!$G$4:$G$1463,$P66)="","",INDEX(MASTER!$G$4:$G$1463,$P66)),""))</f>
        <v>62412</v>
      </c>
      <c r="G66" s="19" t="str">
        <f>IF($P66="","",IFERROR(IF(INDEX(MASTER!$H$4:$H$1463,$P66)="","",INDEX(MASTER!$H$4:$H$1463,$P66)),""))</f>
        <v>62,000 - 62,999</v>
      </c>
      <c r="H66" s="20">
        <f>IF($P66="","",IFERROR(IF(INDEX(MASTER!$I$4:$I$1463,$P66)="","",INDEX(MASTER!$I$4:$I$1463,$P66)),""))</f>
        <v>3288</v>
      </c>
      <c r="I66" s="19" t="str">
        <f>IF($P66="","",IFERROR(IF(INDEX(MASTER!$J$4:$J$1463,$P66)="","",INDEX(MASTER!$J$4:$J$1463,$P66)),""))</f>
        <v>DEVELOPING</v>
      </c>
      <c r="J66" s="21">
        <f>IF($P66="","",IFERROR(IF(INDEX(MASTER!$L$4:$L$1463,$P66)="","",INDEX(MASTER!$L$4:$L$1463,$P66)),""))</f>
        <v>6.2</v>
      </c>
      <c r="K66" s="21">
        <f>IF($P66="","",IFERROR(IF(INDEX(MASTER!$N$4:$N$1463,$P66)="","",INDEX(MASTER!$N$4:$N$1463,$P66)),""))</f>
        <v>44.2</v>
      </c>
      <c r="L66" s="19" t="str">
        <f>IF($P66="","",IFERROR(IF(INDEX(MASTER!$O$4:$O$1463,$P66)="","",INDEX(MASTER!$O$4:$O$1463,$P66)),""))</f>
        <v>B</v>
      </c>
      <c r="M66" s="19">
        <f>IF($P66="","",IFERROR(IF(INDEX(MASTER!$Q$4:$Q$1463,$P66)="","",INDEX(MASTER!$Q$4:$Q$1463,$P66)),""))</f>
        <v>44</v>
      </c>
      <c r="N66" s="19" t="str">
        <f>IF($P66="","",IFERROR(IF(INDEX(MASTER!$S$4:$S$1463,$P66)="","",INDEX(MASTER!$S$4:$S$1463,$P66)),""))</f>
        <v>Complete</v>
      </c>
      <c r="P66">
        <f>IFERROR(MATCH($Q$1&amp;"@58",MASTER!$AC$4:$AC$1463,0),"")</f>
        <v>764</v>
      </c>
    </row>
    <row r="67" spans="1:16">
      <c r="A67" s="15">
        <f>IF($P67="","",59)</f>
        <v>59</v>
      </c>
      <c r="B67" s="14" t="str">
        <f>IF($P67="","",IFERROR(IF(INDEX(MASTER!$C$4:$C$1463,$P67)="","",INDEX(MASTER!$C$4:$C$1463,$P67)),""))</f>
        <v>Mineet</v>
      </c>
      <c r="C67" s="15" t="str">
        <f>IF($P67="","",IFERROR(IF(INDEX(MASTER!$D$4:$D$1463,$P67)="","",INDEX(MASTER!$D$4:$D$1463,$P67)),""))</f>
        <v>Invictus</v>
      </c>
      <c r="D67" s="15" t="str">
        <f>IF($P67="","",IFERROR(IF(INDEX(MASTER!$E$4:$E$1463,$P67)="","",INDEX(MASTER!$E$4:$E$1463,$P67)),""))</f>
        <v>NECROMANCER</v>
      </c>
      <c r="E67" s="15" t="str">
        <f>IF($P67="","",IFERROR(IF(INDEX(MASTER!$F$4:$F$1463,$P67)="","",INDEX(MASTER!$F$4:$F$1463,$P67)),""))</f>
        <v>Control</v>
      </c>
      <c r="F67" s="16">
        <f>IF($P67="","",IFERROR(IF(INDEX(MASTER!$G$4:$G$1463,$P67)="","",INDEX(MASTER!$G$4:$G$1463,$P67)),""))</f>
        <v>63094</v>
      </c>
      <c r="G67" s="15" t="str">
        <f>IF($P67="","",IFERROR(IF(INDEX(MASTER!$H$4:$H$1463,$P67)="","",INDEX(MASTER!$H$4:$H$1463,$P67)),""))</f>
        <v>63,000 - 63,999</v>
      </c>
      <c r="H67" s="16">
        <f>IF($P67="","",IFERROR(IF(INDEX(MASTER!$I$4:$I$1463,$P67)="","",INDEX(MASTER!$I$4:$I$1463,$P67)),""))</f>
        <v>3960</v>
      </c>
      <c r="I67" s="15" t="str">
        <f>IF($P67="","",IFERROR(IF(INDEX(MASTER!$J$4:$J$1463,$P67)="","",INDEX(MASTER!$J$4:$J$1463,$P67)),""))</f>
        <v>DEVELOPING</v>
      </c>
      <c r="J67" s="17">
        <f>IF($P67="","",IFERROR(IF(INDEX(MASTER!$L$4:$L$1463,$P67)="","",INDEX(MASTER!$L$4:$L$1463,$P67)),""))</f>
        <v>5.5</v>
      </c>
      <c r="K67" s="17">
        <f>IF($P67="","",IFERROR(IF(INDEX(MASTER!$N$4:$N$1463,$P67)="","",INDEX(MASTER!$N$4:$N$1463,$P67)),""))</f>
        <v>47.8</v>
      </c>
      <c r="L67" s="15" t="str">
        <f>IF($P67="","",IFERROR(IF(INDEX(MASTER!$O$4:$O$1463,$P67)="","",INDEX(MASTER!$O$4:$O$1463,$P67)),""))</f>
        <v>B</v>
      </c>
      <c r="M67" s="15">
        <f>IF($P67="","",IFERROR(IF(INDEX(MASTER!$Q$4:$Q$1463,$P67)="","",INDEX(MASTER!$Q$4:$Q$1463,$P67)),""))</f>
        <v>28</v>
      </c>
      <c r="N67" s="15" t="str">
        <f>IF($P67="","",IFERROR(IF(INDEX(MASTER!$S$4:$S$1463,$P67)="","",INDEX(MASTER!$S$4:$S$1463,$P67)),""))</f>
        <v>Complete</v>
      </c>
      <c r="P67">
        <f>IFERROR(MATCH($Q$1&amp;"@59",MASTER!$AC$4:$AC$1463,0),"")</f>
        <v>766</v>
      </c>
    </row>
    <row r="68" spans="1:16">
      <c r="A68" s="19">
        <f>IF($P68="","",60)</f>
        <v>60</v>
      </c>
      <c r="B68" s="18" t="str">
        <f>IF($P68="","",IFERROR(IF(INDEX(MASTER!$C$4:$C$1463,$P68)="","",INDEX(MASTER!$C$4:$C$1463,$P68)),""))</f>
        <v>Mordimì</v>
      </c>
      <c r="C68" s="19" t="str">
        <f>IF($P68="","",IFERROR(IF(INDEX(MASTER!$D$4:$D$1463,$P68)="","",INDEX(MASTER!$D$4:$D$1463,$P68)),""))</f>
        <v>Invictus</v>
      </c>
      <c r="D68" s="19" t="str">
        <f>IF($P68="","",IFERROR(IF(INDEX(MASTER!$E$4:$E$1463,$P68)="","",INDEX(MASTER!$E$4:$E$1463,$P68)),""))</f>
        <v>WARLOCK</v>
      </c>
      <c r="E68" s="19" t="str">
        <f>IF($P68="","",IFERROR(IF(INDEX(MASTER!$F$4:$F$1463,$P68)="","",INDEX(MASTER!$F$4:$F$1463,$P68)),""))</f>
        <v>Control</v>
      </c>
      <c r="F68" s="20">
        <f>IF($P68="","",IFERROR(IF(INDEX(MASTER!$G$4:$G$1463,$P68)="","",INDEX(MASTER!$G$4:$G$1463,$P68)),""))</f>
        <v>63537</v>
      </c>
      <c r="G68" s="19" t="str">
        <f>IF($P68="","",IFERROR(IF(INDEX(MASTER!$H$4:$H$1463,$P68)="","",INDEX(MASTER!$H$4:$H$1463,$P68)),""))</f>
        <v>63,000 - 63,999</v>
      </c>
      <c r="H68" s="20">
        <f>IF($P68="","",IFERROR(IF(INDEX(MASTER!$I$4:$I$1463,$P68)="","",INDEX(MASTER!$I$4:$I$1463,$P68)),""))</f>
        <v>5758</v>
      </c>
      <c r="I68" s="19" t="str">
        <f>IF($P68="","",IFERROR(IF(INDEX(MASTER!$J$4:$J$1463,$P68)="","",INDEX(MASTER!$J$4:$J$1463,$P68)),""))</f>
        <v>CORE</v>
      </c>
      <c r="J68" s="21">
        <f>IF($P68="","",IFERROR(IF(INDEX(MASTER!$L$4:$L$1463,$P68)="","",INDEX(MASTER!$L$4:$L$1463,$P68)),""))</f>
        <v>5.95</v>
      </c>
      <c r="K68" s="21">
        <f>IF($P68="","",IFERROR(IF(INDEX(MASTER!$N$4:$N$1463,$P68)="","",INDEX(MASTER!$N$4:$N$1463,$P68)),""))</f>
        <v>57.5</v>
      </c>
      <c r="L68" s="19" t="str">
        <f>IF($P68="","",IFERROR(IF(INDEX(MASTER!$O$4:$O$1463,$P68)="","",INDEX(MASTER!$O$4:$O$1463,$P68)),""))</f>
        <v>A</v>
      </c>
      <c r="M68" s="19">
        <f>IF($P68="","",IFERROR(IF(INDEX(MASTER!$Q$4:$Q$1463,$P68)="","",INDEX(MASTER!$Q$4:$Q$1463,$P68)),""))</f>
        <v>10</v>
      </c>
      <c r="N68" s="19" t="str">
        <f>IF($P68="","",IFERROR(IF(INDEX(MASTER!$S$4:$S$1463,$P68)="","",INDEX(MASTER!$S$4:$S$1463,$P68)),""))</f>
        <v>Complete</v>
      </c>
      <c r="P68">
        <f>IFERROR(MATCH($Q$1&amp;"@60",MASTER!$AC$4:$AC$1463,0),"")</f>
        <v>785</v>
      </c>
    </row>
    <row r="69" spans="1:16">
      <c r="A69" s="15">
        <f>IF($P69="","",61)</f>
        <v>61</v>
      </c>
      <c r="B69" s="14" t="str">
        <f>IF($P69="","",IFERROR(IF(INDEX(MASTER!$C$4:$C$1463,$P69)="","",INDEX(MASTER!$C$4:$C$1463,$P69)),""))</f>
        <v>Morgul12</v>
      </c>
      <c r="C69" s="15" t="str">
        <f>IF($P69="","",IFERROR(IF(INDEX(MASTER!$D$4:$D$1463,$P69)="","",INDEX(MASTER!$D$4:$D$1463,$P69)),""))</f>
        <v>Invictus</v>
      </c>
      <c r="D69" s="15" t="str">
        <f>IF($P69="","",IFERROR(IF(INDEX(MASTER!$E$4:$E$1463,$P69)="","",INDEX(MASTER!$E$4:$E$1463,$P69)),""))</f>
        <v>WARLOCK</v>
      </c>
      <c r="E69" s="15" t="str">
        <f>IF($P69="","",IFERROR(IF(INDEX(MASTER!$F$4:$F$1463,$P69)="","",INDEX(MASTER!$F$4:$F$1463,$P69)),""))</f>
        <v>Control</v>
      </c>
      <c r="F69" s="16">
        <f>IF($P69="","",IFERROR(IF(INDEX(MASTER!$G$4:$G$1463,$P69)="","",INDEX(MASTER!$G$4:$G$1463,$P69)),""))</f>
        <v>60739</v>
      </c>
      <c r="G69" s="15" t="str">
        <f>IF($P69="","",IFERROR(IF(INDEX(MASTER!$H$4:$H$1463,$P69)="","",INDEX(MASTER!$H$4:$H$1463,$P69)),""))</f>
        <v>60,000 - 60,999</v>
      </c>
      <c r="H69" s="16">
        <f>IF($P69="","",IFERROR(IF(INDEX(MASTER!$I$4:$I$1463,$P69)="","",INDEX(MASTER!$I$4:$I$1463,$P69)),""))</f>
        <v>1075</v>
      </c>
      <c r="I69" s="15" t="str">
        <f>IF($P69="","",IFERROR(IF(INDEX(MASTER!$J$4:$J$1463,$P69)="","",INDEX(MASTER!$J$4:$J$1463,$P69)),""))</f>
        <v>ROOKIE</v>
      </c>
      <c r="J69" s="17">
        <f>IF($P69="","",IFERROR(IF(INDEX(MASTER!$L$4:$L$1463,$P69)="","",INDEX(MASTER!$L$4:$L$1463,$P69)),""))</f>
        <v>3.45</v>
      </c>
      <c r="K69" s="17">
        <f>IF($P69="","",IFERROR(IF(INDEX(MASTER!$N$4:$N$1463,$P69)="","",INDEX(MASTER!$N$4:$N$1463,$P69)),""))</f>
        <v>25.5</v>
      </c>
      <c r="L69" s="15" t="str">
        <f>IF($P69="","",IFERROR(IF(INDEX(MASTER!$O$4:$O$1463,$P69)="","",INDEX(MASTER!$O$4:$O$1463,$P69)),""))</f>
        <v>C</v>
      </c>
      <c r="M69" s="15">
        <f>IF($P69="","",IFERROR(IF(INDEX(MASTER!$Q$4:$Q$1463,$P69)="","",INDEX(MASTER!$Q$4:$Q$1463,$P69)),""))</f>
        <v>95</v>
      </c>
      <c r="N69" s="15" t="str">
        <f>IF($P69="","",IFERROR(IF(INDEX(MASTER!$S$4:$S$1463,$P69)="","",INDEX(MASTER!$S$4:$S$1463,$P69)),""))</f>
        <v>Complete</v>
      </c>
      <c r="P69">
        <f>IFERROR(MATCH($Q$1&amp;"@61",MASTER!$AC$4:$AC$1463,0),"")</f>
        <v>789</v>
      </c>
    </row>
    <row r="70" spans="1:16">
      <c r="A70" s="19">
        <f>IF($P70="","",62)</f>
        <v>62</v>
      </c>
      <c r="B70" s="18" t="str">
        <f>IF($P70="","",IFERROR(IF(INDEX(MASTER!$C$4:$C$1463,$P70)="","",INDEX(MASTER!$C$4:$C$1463,$P70)),""))</f>
        <v>MyWäe</v>
      </c>
      <c r="C70" s="19" t="str">
        <f>IF($P70="","",IFERROR(IF(INDEX(MASTER!$D$4:$D$1463,$P70)="","",INDEX(MASTER!$D$4:$D$1463,$P70)),""))</f>
        <v>Invictus</v>
      </c>
      <c r="D70" s="19" t="str">
        <f>IF($P70="","",IFERROR(IF(INDEX(MASTER!$E$4:$E$1463,$P70)="","",INDEX(MASTER!$E$4:$E$1463,$P70)),""))</f>
        <v>DEMON HUNTER</v>
      </c>
      <c r="E70" s="19" t="str">
        <f>IF($P70="","",IFERROR(IF(INDEX(MASTER!$F$4:$F$1463,$P70)="","",INDEX(MASTER!$F$4:$F$1463,$P70)),""))</f>
        <v>Ranged DPS</v>
      </c>
      <c r="F70" s="20">
        <f>IF($P70="","",IFERROR(IF(INDEX(MASTER!$G$4:$G$1463,$P70)="","",INDEX(MASTER!$G$4:$G$1463,$P70)),""))</f>
        <v>61797</v>
      </c>
      <c r="G70" s="19" t="str">
        <f>IF($P70="","",IFERROR(IF(INDEX(MASTER!$H$4:$H$1463,$P70)="","",INDEX(MASTER!$H$4:$H$1463,$P70)),""))</f>
        <v>61,000 - 61,999</v>
      </c>
      <c r="H70" s="20">
        <f>IF($P70="","",IFERROR(IF(INDEX(MASTER!$I$4:$I$1463,$P70)="","",INDEX(MASTER!$I$4:$I$1463,$P70)),""))</f>
        <v>2592</v>
      </c>
      <c r="I70" s="19" t="str">
        <f>IF($P70="","",IFERROR(IF(INDEX(MASTER!$J$4:$J$1463,$P70)="","",INDEX(MASTER!$J$4:$J$1463,$P70)),""))</f>
        <v>DEVELOPING</v>
      </c>
      <c r="J70" s="21">
        <f>IF($P70="","",IFERROR(IF(INDEX(MASTER!$L$4:$L$1463,$P70)="","",INDEX(MASTER!$L$4:$L$1463,$P70)),""))</f>
        <v>4.8499999999999996</v>
      </c>
      <c r="K70" s="21">
        <f>IF($P70="","",IFERROR(IF(INDEX(MASTER!$N$4:$N$1463,$P70)="","",INDEX(MASTER!$N$4:$N$1463,$P70)),""))</f>
        <v>37.299999999999997</v>
      </c>
      <c r="L70" s="19" t="str">
        <f>IF($P70="","",IFERROR(IF(INDEX(MASTER!$O$4:$O$1463,$P70)="","",INDEX(MASTER!$O$4:$O$1463,$P70)),""))</f>
        <v>B</v>
      </c>
      <c r="M70" s="19">
        <f>IF($P70="","",IFERROR(IF(INDEX(MASTER!$Q$4:$Q$1463,$P70)="","",INDEX(MASTER!$Q$4:$Q$1463,$P70)),""))</f>
        <v>66</v>
      </c>
      <c r="N70" s="19" t="str">
        <f>IF($P70="","",IFERROR(IF(INDEX(MASTER!$S$4:$S$1463,$P70)="","",INDEX(MASTER!$S$4:$S$1463,$P70)),""))</f>
        <v>Complete</v>
      </c>
      <c r="P70">
        <f>IFERROR(MATCH($Q$1&amp;"@62",MASTER!$AC$4:$AC$1463,0),"")</f>
        <v>802</v>
      </c>
    </row>
    <row r="71" spans="1:16">
      <c r="A71" s="15">
        <f>IF($P71="","",63)</f>
        <v>63</v>
      </c>
      <c r="B71" s="14" t="str">
        <f>IF($P71="","",IFERROR(IF(INDEX(MASTER!$C$4:$C$1463,$P71)="","",INDEX(MASTER!$C$4:$C$1463,$P71)),""))</f>
        <v>Normes</v>
      </c>
      <c r="C71" s="15" t="str">
        <f>IF($P71="","",IFERROR(IF(INDEX(MASTER!$D$4:$D$1463,$P71)="","",INDEX(MASTER!$D$4:$D$1463,$P71)),""))</f>
        <v>Invictus</v>
      </c>
      <c r="D71" s="15" t="str">
        <f>IF($P71="","",IFERROR(IF(INDEX(MASTER!$E$4:$E$1463,$P71)="","",INDEX(MASTER!$E$4:$E$1463,$P71)),""))</f>
        <v>WARLOCK</v>
      </c>
      <c r="E71" s="15" t="str">
        <f>IF($P71="","",IFERROR(IF(INDEX(MASTER!$F$4:$F$1463,$P71)="","",INDEX(MASTER!$F$4:$F$1463,$P71)),""))</f>
        <v>Control</v>
      </c>
      <c r="F71" s="16">
        <f>IF($P71="","",IFERROR(IF(INDEX(MASTER!$G$4:$G$1463,$P71)="","",INDEX(MASTER!$G$4:$G$1463,$P71)),""))</f>
        <v>60974</v>
      </c>
      <c r="G71" s="15" t="str">
        <f>IF($P71="","",IFERROR(IF(INDEX(MASTER!$H$4:$H$1463,$P71)="","",INDEX(MASTER!$H$4:$H$1463,$P71)),""))</f>
        <v>60,000 - 60,999</v>
      </c>
      <c r="H71" s="16">
        <f>IF($P71="","",IFERROR(IF(INDEX(MASTER!$I$4:$I$1463,$P71)="","",INDEX(MASTER!$I$4:$I$1463,$P71)),""))</f>
        <v>510</v>
      </c>
      <c r="I71" s="15" t="str">
        <f>IF($P71="","",IFERROR(IF(INDEX(MASTER!$J$4:$J$1463,$P71)="","",INDEX(MASTER!$J$4:$J$1463,$P71)),""))</f>
        <v>ROOKIE</v>
      </c>
      <c r="J71" s="17">
        <f>IF($P71="","",IFERROR(IF(INDEX(MASTER!$L$4:$L$1463,$P71)="","",INDEX(MASTER!$L$4:$L$1463,$P71)),""))</f>
        <v>2.7</v>
      </c>
      <c r="K71" s="17">
        <f>IF($P71="","",IFERROR(IF(INDEX(MASTER!$N$4:$N$1463,$P71)="","",INDEX(MASTER!$N$4:$N$1463,$P71)),""))</f>
        <v>22.4</v>
      </c>
      <c r="L71" s="15" t="str">
        <f>IF($P71="","",IFERROR(IF(INDEX(MASTER!$O$4:$O$1463,$P71)="","",INDEX(MASTER!$O$4:$O$1463,$P71)),""))</f>
        <v>C</v>
      </c>
      <c r="M71" s="15">
        <f>IF($P71="","",IFERROR(IF(INDEX(MASTER!$Q$4:$Q$1463,$P71)="","",INDEX(MASTER!$Q$4:$Q$1463,$P71)),""))</f>
        <v>99</v>
      </c>
      <c r="N71" s="15" t="str">
        <f>IF($P71="","",IFERROR(IF(INDEX(MASTER!$S$4:$S$1463,$P71)="","",INDEX(MASTER!$S$4:$S$1463,$P71)),""))</f>
        <v>Complete</v>
      </c>
      <c r="P71">
        <f>IFERROR(MATCH($Q$1&amp;"@63",MASTER!$AC$4:$AC$1463,0),"")</f>
        <v>826</v>
      </c>
    </row>
    <row r="72" spans="1:16">
      <c r="A72" s="19">
        <f>IF($P72="","",64)</f>
        <v>64</v>
      </c>
      <c r="B72" s="18" t="str">
        <f>IF($P72="","",IFERROR(IF(INDEX(MASTER!$C$4:$C$1463,$P72)="","",INDEX(MASTER!$C$4:$C$1463,$P72)),""))</f>
        <v>Nuggosaurus</v>
      </c>
      <c r="C72" s="19" t="str">
        <f>IF($P72="","",IFERROR(IF(INDEX(MASTER!$D$4:$D$1463,$P72)="","",INDEX(MASTER!$D$4:$D$1463,$P72)),""))</f>
        <v>Invictus</v>
      </c>
      <c r="D72" s="19" t="str">
        <f>IF($P72="","",IFERROR(IF(INDEX(MASTER!$E$4:$E$1463,$P72)="","",INDEX(MASTER!$E$4:$E$1463,$P72)),""))</f>
        <v>WARLOCK</v>
      </c>
      <c r="E72" s="19" t="str">
        <f>IF($P72="","",IFERROR(IF(INDEX(MASTER!$F$4:$F$1463,$P72)="","",INDEX(MASTER!$F$4:$F$1463,$P72)),""))</f>
        <v>Control</v>
      </c>
      <c r="F72" s="20">
        <f>IF($P72="","",IFERROR(IF(INDEX(MASTER!$G$4:$G$1463,$P72)="","",INDEX(MASTER!$G$4:$G$1463,$P72)),""))</f>
        <v>58179</v>
      </c>
      <c r="G72" s="19" t="str">
        <f>IF($P72="","",IFERROR(IF(INDEX(MASTER!$H$4:$H$1463,$P72)="","",INDEX(MASTER!$H$4:$H$1463,$P72)),""))</f>
        <v>58,000 - 59,999</v>
      </c>
      <c r="H72" s="20">
        <f>IF($P72="","",IFERROR(IF(INDEX(MASTER!$I$4:$I$1463,$P72)="","",INDEX(MASTER!$I$4:$I$1463,$P72)),""))</f>
        <v>3296</v>
      </c>
      <c r="I72" s="19" t="str">
        <f>IF($P72="","",IFERROR(IF(INDEX(MASTER!$J$4:$J$1463,$P72)="","",INDEX(MASTER!$J$4:$J$1463,$P72)),""))</f>
        <v>DEVELOPING</v>
      </c>
      <c r="J72" s="21">
        <f>IF($P72="","",IFERROR(IF(INDEX(MASTER!$L$4:$L$1463,$P72)="","",INDEX(MASTER!$L$4:$L$1463,$P72)),""))</f>
        <v>6.15</v>
      </c>
      <c r="K72" s="21">
        <f>IF($P72="","",IFERROR(IF(INDEX(MASTER!$N$4:$N$1463,$P72)="","",INDEX(MASTER!$N$4:$N$1463,$P72)),""))</f>
        <v>33</v>
      </c>
      <c r="L72" s="19" t="str">
        <f>IF($P72="","",IFERROR(IF(INDEX(MASTER!$O$4:$O$1463,$P72)="","",INDEX(MASTER!$O$4:$O$1463,$P72)),""))</f>
        <v>C</v>
      </c>
      <c r="M72" s="19">
        <f>IF($P72="","",IFERROR(IF(INDEX(MASTER!$Q$4:$Q$1463,$P72)="","",INDEX(MASTER!$Q$4:$Q$1463,$P72)),""))</f>
        <v>42</v>
      </c>
      <c r="N72" s="19" t="str">
        <f>IF($P72="","",IFERROR(IF(INDEX(MASTER!$S$4:$S$1463,$P72)="","",INDEX(MASTER!$S$4:$S$1463,$P72)),""))</f>
        <v>Complete</v>
      </c>
      <c r="P72">
        <f>IFERROR(MATCH($Q$1&amp;"@64",MASTER!$AC$4:$AC$1463,0),"")</f>
        <v>833</v>
      </c>
    </row>
    <row r="73" spans="1:16">
      <c r="A73" s="15">
        <f>IF($P73="","",65)</f>
        <v>65</v>
      </c>
      <c r="B73" s="14" t="str">
        <f>IF($P73="","",IFERROR(IF(INDEX(MASTER!$C$4:$C$1463,$P73)="","",INDEX(MASTER!$C$4:$C$1463,$P73)),""))</f>
        <v>OopsyDoozyMyBad</v>
      </c>
      <c r="C73" s="15" t="str">
        <f>IF($P73="","",IFERROR(IF(INDEX(MASTER!$D$4:$D$1463,$P73)="","",INDEX(MASTER!$D$4:$D$1463,$P73)),""))</f>
        <v>Invictus</v>
      </c>
      <c r="D73" s="15" t="str">
        <f>IF($P73="","",IFERROR(IF(INDEX(MASTER!$E$4:$E$1463,$P73)="","",INDEX(MASTER!$E$4:$E$1463,$P73)),""))</f>
        <v>DEMON HUNTER</v>
      </c>
      <c r="E73" s="15" t="str">
        <f>IF($P73="","",IFERROR(IF(INDEX(MASTER!$F$4:$F$1463,$P73)="","",INDEX(MASTER!$F$4:$F$1463,$P73)),""))</f>
        <v>Ranged DPS</v>
      </c>
      <c r="F73" s="16">
        <f>IF($P73="","",IFERROR(IF(INDEX(MASTER!$G$4:$G$1463,$P73)="","",INDEX(MASTER!$G$4:$G$1463,$P73)),""))</f>
        <v>62191</v>
      </c>
      <c r="G73" s="15" t="str">
        <f>IF($P73="","",IFERROR(IF(INDEX(MASTER!$H$4:$H$1463,$P73)="","",INDEX(MASTER!$H$4:$H$1463,$P73)),""))</f>
        <v>62,000 - 62,999</v>
      </c>
      <c r="H73" s="16">
        <f>IF($P73="","",IFERROR(IF(INDEX(MASTER!$I$4:$I$1463,$P73)="","",INDEX(MASTER!$I$4:$I$1463,$P73)),""))</f>
        <v>3176</v>
      </c>
      <c r="I73" s="15" t="str">
        <f>IF($P73="","",IFERROR(IF(INDEX(MASTER!$J$4:$J$1463,$P73)="","",INDEX(MASTER!$J$4:$J$1463,$P73)),""))</f>
        <v>DEVELOPING</v>
      </c>
      <c r="J73" s="17">
        <f>IF($P73="","",IFERROR(IF(INDEX(MASTER!$L$4:$L$1463,$P73)="","",INDEX(MASTER!$L$4:$L$1463,$P73)),""))</f>
        <v>4.5999999999999996</v>
      </c>
      <c r="K73" s="17">
        <f>IF($P73="","",IFERROR(IF(INDEX(MASTER!$N$4:$N$1463,$P73)="","",INDEX(MASTER!$N$4:$N$1463,$P73)),""))</f>
        <v>40.5</v>
      </c>
      <c r="L73" s="15" t="str">
        <f>IF($P73="","",IFERROR(IF(INDEX(MASTER!$O$4:$O$1463,$P73)="","",INDEX(MASTER!$O$4:$O$1463,$P73)),""))</f>
        <v>B</v>
      </c>
      <c r="M73" s="15">
        <f>IF($P73="","",IFERROR(IF(INDEX(MASTER!$Q$4:$Q$1463,$P73)="","",INDEX(MASTER!$Q$4:$Q$1463,$P73)),""))</f>
        <v>46</v>
      </c>
      <c r="N73" s="15" t="str">
        <f>IF($P73="","",IFERROR(IF(INDEX(MASTER!$S$4:$S$1463,$P73)="","",INDEX(MASTER!$S$4:$S$1463,$P73)),""))</f>
        <v>Complete</v>
      </c>
      <c r="P73">
        <f>IFERROR(MATCH($Q$1&amp;"@65",MASTER!$AC$4:$AC$1463,0),"")</f>
        <v>859</v>
      </c>
    </row>
    <row r="74" spans="1:16">
      <c r="A74" s="19">
        <f>IF($P74="","",66)</f>
        <v>66</v>
      </c>
      <c r="B74" s="18" t="str">
        <f>IF($P74="","",IFERROR(IF(INDEX(MASTER!$C$4:$C$1463,$P74)="","",INDEX(MASTER!$C$4:$C$1463,$P74)),""))</f>
        <v>P0e</v>
      </c>
      <c r="C74" s="19" t="str">
        <f>IF($P74="","",IFERROR(IF(INDEX(MASTER!$D$4:$D$1463,$P74)="","",INDEX(MASTER!$D$4:$D$1463,$P74)),""))</f>
        <v>Invictus</v>
      </c>
      <c r="D74" s="19" t="str">
        <f>IF($P74="","",IFERROR(IF(INDEX(MASTER!$E$4:$E$1463,$P74)="","",INDEX(MASTER!$E$4:$E$1463,$P74)),""))</f>
        <v>MONK</v>
      </c>
      <c r="E74" s="19" t="str">
        <f>IF($P74="","",IFERROR(IF(INDEX(MASTER!$F$4:$F$1463,$P74)="","",INDEX(MASTER!$F$4:$F$1463,$P74)),""))</f>
        <v>Support</v>
      </c>
      <c r="F74" s="20">
        <f>IF($P74="","",IFERROR(IF(INDEX(MASTER!$G$4:$G$1463,$P74)="","",INDEX(MASTER!$G$4:$G$1463,$P74)),""))</f>
        <v>60575</v>
      </c>
      <c r="G74" s="19" t="str">
        <f>IF($P74="","",IFERROR(IF(INDEX(MASTER!$H$4:$H$1463,$P74)="","",INDEX(MASTER!$H$4:$H$1463,$P74)),""))</f>
        <v>60,000 - 60,999</v>
      </c>
      <c r="H74" s="20">
        <f>IF($P74="","",IFERROR(IF(INDEX(MASTER!$I$4:$I$1463,$P74)="","",INDEX(MASTER!$I$4:$I$1463,$P74)),""))</f>
        <v>2882</v>
      </c>
      <c r="I74" s="19" t="str">
        <f>IF($P74="","",IFERROR(IF(INDEX(MASTER!$J$4:$J$1463,$P74)="","",INDEX(MASTER!$J$4:$J$1463,$P74)),""))</f>
        <v>DEVELOPING</v>
      </c>
      <c r="J74" s="21">
        <f>IF($P74="","",IFERROR(IF(INDEX(MASTER!$L$4:$L$1463,$P74)="","",INDEX(MASTER!$L$4:$L$1463,$P74)),""))</f>
        <v>4.45</v>
      </c>
      <c r="K74" s="21">
        <f>IF($P74="","",IFERROR(IF(INDEX(MASTER!$N$4:$N$1463,$P74)="","",INDEX(MASTER!$N$4:$N$1463,$P74)),""))</f>
        <v>34.700000000000003</v>
      </c>
      <c r="L74" s="19" t="str">
        <f>IF($P74="","",IFERROR(IF(INDEX(MASTER!$O$4:$O$1463,$P74)="","",INDEX(MASTER!$O$4:$O$1463,$P74)),""))</f>
        <v>C</v>
      </c>
      <c r="M74" s="19">
        <f>IF($P74="","",IFERROR(IF(INDEX(MASTER!$Q$4:$Q$1463,$P74)="","",INDEX(MASTER!$Q$4:$Q$1463,$P74)),""))</f>
        <v>56</v>
      </c>
      <c r="N74" s="19" t="str">
        <f>IF($P74="","",IFERROR(IF(INDEX(MASTER!$S$4:$S$1463,$P74)="","",INDEX(MASTER!$S$4:$S$1463,$P74)),""))</f>
        <v>Complete</v>
      </c>
      <c r="P74">
        <f>IFERROR(MATCH($Q$1&amp;"@66",MASTER!$AC$4:$AC$1463,0),"")</f>
        <v>870</v>
      </c>
    </row>
    <row r="75" spans="1:16">
      <c r="A75" s="15">
        <f>IF($P75="","",67)</f>
        <v>67</v>
      </c>
      <c r="B75" s="14" t="str">
        <f>IF($P75="","",IFERROR(IF(INDEX(MASTER!$C$4:$C$1463,$P75)="","",INDEX(MASTER!$C$4:$C$1463,$P75)),""))</f>
        <v>PIIVIP</v>
      </c>
      <c r="C75" s="15" t="str">
        <f>IF($P75="","",IFERROR(IF(INDEX(MASTER!$D$4:$D$1463,$P75)="","",INDEX(MASTER!$D$4:$D$1463,$P75)),""))</f>
        <v>Invictus</v>
      </c>
      <c r="D75" s="15" t="str">
        <f>IF($P75="","",IFERROR(IF(INDEX(MASTER!$E$4:$E$1463,$P75)="","",INDEX(MASTER!$E$4:$E$1463,$P75)),""))</f>
        <v>WARLOCK</v>
      </c>
      <c r="E75" s="15" t="str">
        <f>IF($P75="","",IFERROR(IF(INDEX(MASTER!$F$4:$F$1463,$P75)="","",INDEX(MASTER!$F$4:$F$1463,$P75)),""))</f>
        <v>Control</v>
      </c>
      <c r="F75" s="16">
        <f>IF($P75="","",IFERROR(IF(INDEX(MASTER!$G$4:$G$1463,$P75)="","",INDEX(MASTER!$G$4:$G$1463,$P75)),""))</f>
        <v>62362</v>
      </c>
      <c r="G75" s="15" t="str">
        <f>IF($P75="","",IFERROR(IF(INDEX(MASTER!$H$4:$H$1463,$P75)="","",INDEX(MASTER!$H$4:$H$1463,$P75)),""))</f>
        <v>62,000 - 62,999</v>
      </c>
      <c r="H75" s="16">
        <f>IF($P75="","",IFERROR(IF(INDEX(MASTER!$I$4:$I$1463,$P75)="","",INDEX(MASTER!$I$4:$I$1463,$P75)),""))</f>
        <v>2132</v>
      </c>
      <c r="I75" s="15" t="str">
        <f>IF($P75="","",IFERROR(IF(INDEX(MASTER!$J$4:$J$1463,$P75)="","",INDEX(MASTER!$J$4:$J$1463,$P75)),""))</f>
        <v>DEVELOPING</v>
      </c>
      <c r="J75" s="17">
        <f>IF($P75="","",IFERROR(IF(INDEX(MASTER!$L$4:$L$1463,$P75)="","",INDEX(MASTER!$L$4:$L$1463,$P75)),""))</f>
        <v>3.4</v>
      </c>
      <c r="K75" s="17">
        <f>IF($P75="","",IFERROR(IF(INDEX(MASTER!$N$4:$N$1463,$P75)="","",INDEX(MASTER!$N$4:$N$1463,$P75)),""))</f>
        <v>34.299999999999997</v>
      </c>
      <c r="L75" s="15" t="str">
        <f>IF($P75="","",IFERROR(IF(INDEX(MASTER!$O$4:$O$1463,$P75)="","",INDEX(MASTER!$O$4:$O$1463,$P75)),""))</f>
        <v>C</v>
      </c>
      <c r="M75" s="15">
        <f>IF($P75="","",IFERROR(IF(INDEX(MASTER!$Q$4:$Q$1463,$P75)="","",INDEX(MASTER!$Q$4:$Q$1463,$P75)),""))</f>
        <v>76</v>
      </c>
      <c r="N75" s="15" t="str">
        <f>IF($P75="","",IFERROR(IF(INDEX(MASTER!$S$4:$S$1463,$P75)="","",INDEX(MASTER!$S$4:$S$1463,$P75)),""))</f>
        <v>Complete</v>
      </c>
      <c r="P75">
        <f>IFERROR(MATCH($Q$1&amp;"@67",MASTER!$AC$4:$AC$1463,0),"")</f>
        <v>891</v>
      </c>
    </row>
    <row r="76" spans="1:16">
      <c r="A76" s="19">
        <f>IF($P76="","",68)</f>
        <v>68</v>
      </c>
      <c r="B76" s="18" t="str">
        <f>IF($P76="","",IFERROR(IF(INDEX(MASTER!$C$4:$C$1463,$P76)="","",INDEX(MASTER!$C$4:$C$1463,$P76)),""))</f>
        <v>planck</v>
      </c>
      <c r="C76" s="19" t="str">
        <f>IF($P76="","",IFERROR(IF(INDEX(MASTER!$D$4:$D$1463,$P76)="","",INDEX(MASTER!$D$4:$D$1463,$P76)),""))</f>
        <v>Invictus</v>
      </c>
      <c r="D76" s="19" t="str">
        <f>IF($P76="","",IFERROR(IF(INDEX(MASTER!$E$4:$E$1463,$P76)="","",INDEX(MASTER!$E$4:$E$1463,$P76)),""))</f>
        <v>CRUSADER</v>
      </c>
      <c r="E76" s="19" t="str">
        <f>IF($P76="","",IFERROR(IF(INDEX(MASTER!$F$4:$F$1463,$P76)="","",INDEX(MASTER!$F$4:$F$1463,$P76)),""))</f>
        <v>Frontline</v>
      </c>
      <c r="F76" s="20">
        <f>IF($P76="","",IFERROR(IF(INDEX(MASTER!$G$4:$G$1463,$P76)="","",INDEX(MASTER!$G$4:$G$1463,$P76)),""))</f>
        <v>62064</v>
      </c>
      <c r="G76" s="19" t="str">
        <f>IF($P76="","",IFERROR(IF(INDEX(MASTER!$H$4:$H$1463,$P76)="","",INDEX(MASTER!$H$4:$H$1463,$P76)),""))</f>
        <v>62,000 - 62,999</v>
      </c>
      <c r="H76" s="20">
        <f>IF($P76="","",IFERROR(IF(INDEX(MASTER!$I$4:$I$1463,$P76)="","",INDEX(MASTER!$I$4:$I$1463,$P76)),""))</f>
        <v>3270</v>
      </c>
      <c r="I76" s="19" t="str">
        <f>IF($P76="","",IFERROR(IF(INDEX(MASTER!$J$4:$J$1463,$P76)="","",INDEX(MASTER!$J$4:$J$1463,$P76)),""))</f>
        <v>DEVELOPING</v>
      </c>
      <c r="J76" s="21">
        <f>IF($P76="","",IFERROR(IF(INDEX(MASTER!$L$4:$L$1463,$P76)="","",INDEX(MASTER!$L$4:$L$1463,$P76)),""))</f>
        <v>4.55</v>
      </c>
      <c r="K76" s="21">
        <f>IF($P76="","",IFERROR(IF(INDEX(MASTER!$N$4:$N$1463,$P76)="","",INDEX(MASTER!$N$4:$N$1463,$P76)),""))</f>
        <v>40.4</v>
      </c>
      <c r="L76" s="19" t="str">
        <f>IF($P76="","",IFERROR(IF(INDEX(MASTER!$O$4:$O$1463,$P76)="","",INDEX(MASTER!$O$4:$O$1463,$P76)),""))</f>
        <v>B</v>
      </c>
      <c r="M76" s="19">
        <f>IF($P76="","",IFERROR(IF(INDEX(MASTER!$Q$4:$Q$1463,$P76)="","",INDEX(MASTER!$Q$4:$Q$1463,$P76)),""))</f>
        <v>45</v>
      </c>
      <c r="N76" s="19" t="str">
        <f>IF($P76="","",IFERROR(IF(INDEX(MASTER!$S$4:$S$1463,$P76)="","",INDEX(MASTER!$S$4:$S$1463,$P76)),""))</f>
        <v>Complete</v>
      </c>
      <c r="P76">
        <f>IFERROR(MATCH($Q$1&amp;"@68",MASTER!$AC$4:$AC$1463,0),"")</f>
        <v>893</v>
      </c>
    </row>
    <row r="77" spans="1:16">
      <c r="A77" s="15">
        <f>IF($P77="","",69)</f>
        <v>69</v>
      </c>
      <c r="B77" s="14" t="str">
        <f>IF($P77="","",IFERROR(IF(INDEX(MASTER!$C$4:$C$1463,$P77)="","",INDEX(MASTER!$C$4:$C$1463,$P77)),""))</f>
        <v>Pregus</v>
      </c>
      <c r="C77" s="15" t="str">
        <f>IF($P77="","",IFERROR(IF(INDEX(MASTER!$D$4:$D$1463,$P77)="","",INDEX(MASTER!$D$4:$D$1463,$P77)),""))</f>
        <v>Invictus</v>
      </c>
      <c r="D77" s="15" t="str">
        <f>IF($P77="","",IFERROR(IF(INDEX(MASTER!$E$4:$E$1463,$P77)="","",INDEX(MASTER!$E$4:$E$1463,$P77)),""))</f>
        <v>BARBARIAN</v>
      </c>
      <c r="E77" s="15" t="str">
        <f>IF($P77="","",IFERROR(IF(INDEX(MASTER!$F$4:$F$1463,$P77)="","",INDEX(MASTER!$F$4:$F$1463,$P77)),""))</f>
        <v>Frontline</v>
      </c>
      <c r="F77" s="16">
        <f>IF($P77="","",IFERROR(IF(INDEX(MASTER!$G$4:$G$1463,$P77)="","",INDEX(MASTER!$G$4:$G$1463,$P77)),""))</f>
        <v>63942</v>
      </c>
      <c r="G77" s="15" t="str">
        <f>IF($P77="","",IFERROR(IF(INDEX(MASTER!$H$4:$H$1463,$P77)="","",INDEX(MASTER!$H$4:$H$1463,$P77)),""))</f>
        <v>63,000 - 63,999</v>
      </c>
      <c r="H77" s="16">
        <f>IF($P77="","",IFERROR(IF(INDEX(MASTER!$I$4:$I$1463,$P77)="","",INDEX(MASTER!$I$4:$I$1463,$P77)),""))</f>
        <v>7342</v>
      </c>
      <c r="I77" s="15" t="str">
        <f>IF($P77="","",IFERROR(IF(INDEX(MASTER!$J$4:$J$1463,$P77)="","",INDEX(MASTER!$J$4:$J$1463,$P77)),""))</f>
        <v>VETERAN</v>
      </c>
      <c r="J77" s="17">
        <f>IF($P77="","",IFERROR(IF(INDEX(MASTER!$L$4:$L$1463,$P77)="","",INDEX(MASTER!$L$4:$L$1463,$P77)),""))</f>
        <v>6.27</v>
      </c>
      <c r="K77" s="17">
        <f>IF($P77="","",IFERROR(IF(INDEX(MASTER!$N$4:$N$1463,$P77)="","",INDEX(MASTER!$N$4:$N$1463,$P77)),""))</f>
        <v>66</v>
      </c>
      <c r="L77" s="15" t="str">
        <f>IF($P77="","",IFERROR(IF(INDEX(MASTER!$O$4:$O$1463,$P77)="","",INDEX(MASTER!$O$4:$O$1463,$P77)),""))</f>
        <v>S</v>
      </c>
      <c r="M77" s="15">
        <f>IF($P77="","",IFERROR(IF(INDEX(MASTER!$Q$4:$Q$1463,$P77)="","",INDEX(MASTER!$Q$4:$Q$1463,$P77)),""))</f>
        <v>4</v>
      </c>
      <c r="N77" s="15" t="str">
        <f>IF($P77="","",IFERROR(IF(INDEX(MASTER!$S$4:$S$1463,$P77)="","",INDEX(MASTER!$S$4:$S$1463,$P77)),""))</f>
        <v>Complete</v>
      </c>
      <c r="P77">
        <f>IFERROR(MATCH($Q$1&amp;"@69",MASTER!$AC$4:$AC$1463,0),"")</f>
        <v>903</v>
      </c>
    </row>
    <row r="78" spans="1:16">
      <c r="A78" s="19">
        <f>IF($P78="","",70)</f>
        <v>70</v>
      </c>
      <c r="B78" s="18" t="str">
        <f>IF($P78="","",IFERROR(IF(INDEX(MASTER!$C$4:$C$1463,$P78)="","",INDEX(MASTER!$C$4:$C$1463,$P78)),""))</f>
        <v>QERQ</v>
      </c>
      <c r="C78" s="19" t="str">
        <f>IF($P78="","",IFERROR(IF(INDEX(MASTER!$D$4:$D$1463,$P78)="","",INDEX(MASTER!$D$4:$D$1463,$P78)),""))</f>
        <v>Invictus</v>
      </c>
      <c r="D78" s="19" t="str">
        <f>IF($P78="","",IFERROR(IF(INDEX(MASTER!$E$4:$E$1463,$P78)="","",INDEX(MASTER!$E$4:$E$1463,$P78)),""))</f>
        <v>DRUID</v>
      </c>
      <c r="E78" s="19" t="str">
        <f>IF($P78="","",IFERROR(IF(INDEX(MASTER!$F$4:$F$1463,$P78)="","",INDEX(MASTER!$F$4:$F$1463,$P78)),""))</f>
        <v>Support</v>
      </c>
      <c r="F78" s="20">
        <f>IF($P78="","",IFERROR(IF(INDEX(MASTER!$G$4:$G$1463,$P78)="","",INDEX(MASTER!$G$4:$G$1463,$P78)),""))</f>
        <v>62855</v>
      </c>
      <c r="G78" s="19" t="str">
        <f>IF($P78="","",IFERROR(IF(INDEX(MASTER!$H$4:$H$1463,$P78)="","",INDEX(MASTER!$H$4:$H$1463,$P78)),""))</f>
        <v>62,000 - 62,999</v>
      </c>
      <c r="H78" s="20">
        <f>IF($P78="","",IFERROR(IF(INDEX(MASTER!$I$4:$I$1463,$P78)="","",INDEX(MASTER!$I$4:$I$1463,$P78)),""))</f>
        <v>5866</v>
      </c>
      <c r="I78" s="19" t="str">
        <f>IF($P78="","",IFERROR(IF(INDEX(MASTER!$J$4:$J$1463,$P78)="","",INDEX(MASTER!$J$4:$J$1463,$P78)),""))</f>
        <v>CORE</v>
      </c>
      <c r="J78" s="21">
        <f>IF($P78="","",IFERROR(IF(INDEX(MASTER!$L$4:$L$1463,$P78)="","",INDEX(MASTER!$L$4:$L$1463,$P78)),""))</f>
        <v>4.5</v>
      </c>
      <c r="K78" s="21">
        <f>IF($P78="","",IFERROR(IF(INDEX(MASTER!$N$4:$N$1463,$P78)="","",INDEX(MASTER!$N$4:$N$1463,$P78)),""))</f>
        <v>53.8</v>
      </c>
      <c r="L78" s="19" t="str">
        <f>IF($P78="","",IFERROR(IF(INDEX(MASTER!$O$4:$O$1463,$P78)="","",INDEX(MASTER!$O$4:$O$1463,$P78)),""))</f>
        <v>A</v>
      </c>
      <c r="M78" s="19">
        <f>IF($P78="","",IFERROR(IF(INDEX(MASTER!$Q$4:$Q$1463,$P78)="","",INDEX(MASTER!$Q$4:$Q$1463,$P78)),""))</f>
        <v>9</v>
      </c>
      <c r="N78" s="19" t="str">
        <f>IF($P78="","",IFERROR(IF(INDEX(MASTER!$S$4:$S$1463,$P78)="","",INDEX(MASTER!$S$4:$S$1463,$P78)),""))</f>
        <v>Complete</v>
      </c>
      <c r="P78">
        <f>IFERROR(MATCH($Q$1&amp;"@70",MASTER!$AC$4:$AC$1463,0),"")</f>
        <v>913</v>
      </c>
    </row>
    <row r="79" spans="1:16">
      <c r="A79" s="15">
        <f>IF($P79="","",71)</f>
        <v>71</v>
      </c>
      <c r="B79" s="14" t="str">
        <f>IF($P79="","",IFERROR(IF(INDEX(MASTER!$C$4:$C$1463,$P79)="","",INDEX(MASTER!$C$4:$C$1463,$P79)),""))</f>
        <v>Sammaelbeee</v>
      </c>
      <c r="C79" s="15" t="str">
        <f>IF($P79="","",IFERROR(IF(INDEX(MASTER!$D$4:$D$1463,$P79)="","",INDEX(MASTER!$D$4:$D$1463,$P79)),""))</f>
        <v>Invictus</v>
      </c>
      <c r="D79" s="15" t="str">
        <f>IF($P79="","",IFERROR(IF(INDEX(MASTER!$E$4:$E$1463,$P79)="","",INDEX(MASTER!$E$4:$E$1463,$P79)),""))</f>
        <v>WARLOCK</v>
      </c>
      <c r="E79" s="15" t="str">
        <f>IF($P79="","",IFERROR(IF(INDEX(MASTER!$F$4:$F$1463,$P79)="","",INDEX(MASTER!$F$4:$F$1463,$P79)),""))</f>
        <v>Control</v>
      </c>
      <c r="F79" s="16">
        <f>IF($P79="","",IFERROR(IF(INDEX(MASTER!$G$4:$G$1463,$P79)="","",INDEX(MASTER!$G$4:$G$1463,$P79)),""))</f>
        <v>61048</v>
      </c>
      <c r="G79" s="15" t="str">
        <f>IF($P79="","",IFERROR(IF(INDEX(MASTER!$H$4:$H$1463,$P79)="","",INDEX(MASTER!$H$4:$H$1463,$P79)),""))</f>
        <v>61,000 - 61,999</v>
      </c>
      <c r="H79" s="16">
        <f>IF($P79="","",IFERROR(IF(INDEX(MASTER!$I$4:$I$1463,$P79)="","",INDEX(MASTER!$I$4:$I$1463,$P79)),""))</f>
        <v>1638</v>
      </c>
      <c r="I79" s="15" t="str">
        <f>IF($P79="","",IFERROR(IF(INDEX(MASTER!$J$4:$J$1463,$P79)="","",INDEX(MASTER!$J$4:$J$1463,$P79)),""))</f>
        <v>ROOKIE</v>
      </c>
      <c r="J79" s="17">
        <f>IF($P79="","",IFERROR(IF(INDEX(MASTER!$L$4:$L$1463,$P79)="","",INDEX(MASTER!$L$4:$L$1463,$P79)),""))</f>
        <v>3.85</v>
      </c>
      <c r="K79" s="17">
        <f>IF($P79="","",IFERROR(IF(INDEX(MASTER!$N$4:$N$1463,$P79)="","",INDEX(MASTER!$N$4:$N$1463,$P79)),""))</f>
        <v>29.5</v>
      </c>
      <c r="L79" s="15" t="str">
        <f>IF($P79="","",IFERROR(IF(INDEX(MASTER!$O$4:$O$1463,$P79)="","",INDEX(MASTER!$O$4:$O$1463,$P79)),""))</f>
        <v>C</v>
      </c>
      <c r="M79" s="15">
        <f>IF($P79="","",IFERROR(IF(INDEX(MASTER!$Q$4:$Q$1463,$P79)="","",INDEX(MASTER!$Q$4:$Q$1463,$P79)),""))</f>
        <v>88</v>
      </c>
      <c r="N79" s="15" t="str">
        <f>IF($P79="","",IFERROR(IF(INDEX(MASTER!$S$4:$S$1463,$P79)="","",INDEX(MASTER!$S$4:$S$1463,$P79)),""))</f>
        <v>Complete</v>
      </c>
      <c r="P79">
        <f>IFERROR(MATCH($Q$1&amp;"@71",MASTER!$AC$4:$AC$1463,0),"")</f>
        <v>984</v>
      </c>
    </row>
    <row r="80" spans="1:16">
      <c r="A80" s="19">
        <f>IF($P80="","",72)</f>
        <v>72</v>
      </c>
      <c r="B80" s="18" t="str">
        <f>IF($P80="","",IFERROR(IF(INDEX(MASTER!$C$4:$C$1463,$P80)="","",INDEX(MASTER!$C$4:$C$1463,$P80)),""))</f>
        <v>Seric</v>
      </c>
      <c r="C80" s="19" t="str">
        <f>IF($P80="","",IFERROR(IF(INDEX(MASTER!$D$4:$D$1463,$P80)="","",INDEX(MASTER!$D$4:$D$1463,$P80)),""))</f>
        <v>Invictus</v>
      </c>
      <c r="D80" s="19" t="str">
        <f>IF($P80="","",IFERROR(IF(INDEX(MASTER!$E$4:$E$1463,$P80)="","",INDEX(MASTER!$E$4:$E$1463,$P80)),""))</f>
        <v>BARBARIAN</v>
      </c>
      <c r="E80" s="19" t="str">
        <f>IF($P80="","",IFERROR(IF(INDEX(MASTER!$F$4:$F$1463,$P80)="","",INDEX(MASTER!$F$4:$F$1463,$P80)),""))</f>
        <v>Frontline</v>
      </c>
      <c r="F80" s="20">
        <f>IF($P80="","",IFERROR(IF(INDEX(MASTER!$G$4:$G$1463,$P80)="","",INDEX(MASTER!$G$4:$G$1463,$P80)),""))</f>
        <v>64172</v>
      </c>
      <c r="G80" s="19" t="str">
        <f>IF($P80="","",IFERROR(IF(INDEX(MASTER!$H$4:$H$1463,$P80)="","",INDEX(MASTER!$H$4:$H$1463,$P80)),""))</f>
        <v>64,000 +</v>
      </c>
      <c r="H80" s="20">
        <f>IF($P80="","",IFERROR(IF(INDEX(MASTER!$I$4:$I$1463,$P80)="","",INDEX(MASTER!$I$4:$I$1463,$P80)),""))</f>
        <v>9752</v>
      </c>
      <c r="I80" s="19" t="str">
        <f>IF($P80="","",IFERROR(IF(INDEX(MASTER!$J$4:$J$1463,$P80)="","",INDEX(MASTER!$J$4:$J$1463,$P80)),""))</f>
        <v>ELITE</v>
      </c>
      <c r="J80" s="21">
        <f>IF($P80="","",IFERROR(IF(INDEX(MASTER!$L$4:$L$1463,$P80)="","",INDEX(MASTER!$L$4:$L$1463,$P80)),""))</f>
        <v>7.6</v>
      </c>
      <c r="K80" s="21">
        <f>IF($P80="","",IFERROR(IF(INDEX(MASTER!$N$4:$N$1463,$P80)="","",INDEX(MASTER!$N$4:$N$1463,$P80)),""))</f>
        <v>79.400000000000006</v>
      </c>
      <c r="L80" s="19" t="str">
        <f>IF($P80="","",IFERROR(IF(INDEX(MASTER!$O$4:$O$1463,$P80)="","",INDEX(MASTER!$O$4:$O$1463,$P80)),""))</f>
        <v>S</v>
      </c>
      <c r="M80" s="19">
        <f>IF($P80="","",IFERROR(IF(INDEX(MASTER!$Q$4:$Q$1463,$P80)="","",INDEX(MASTER!$Q$4:$Q$1463,$P80)),""))</f>
        <v>1</v>
      </c>
      <c r="N80" s="19" t="str">
        <f>IF($P80="","",IFERROR(IF(INDEX(MASTER!$S$4:$S$1463,$P80)="","",INDEX(MASTER!$S$4:$S$1463,$P80)),""))</f>
        <v>Complete</v>
      </c>
      <c r="P80">
        <f>IFERROR(MATCH($Q$1&amp;"@72",MASTER!$AC$4:$AC$1463,0),"")</f>
        <v>996</v>
      </c>
    </row>
    <row r="81" spans="1:16">
      <c r="A81" s="15">
        <f>IF($P81="","",73)</f>
        <v>73</v>
      </c>
      <c r="B81" s="14" t="str">
        <f>IF($P81="","",IFERROR(IF(INDEX(MASTER!$C$4:$C$1463,$P81)="","",INDEX(MASTER!$C$4:$C$1463,$P81)),""))</f>
        <v>ShadowIPA</v>
      </c>
      <c r="C81" s="15" t="str">
        <f>IF($P81="","",IFERROR(IF(INDEX(MASTER!$D$4:$D$1463,$P81)="","",INDEX(MASTER!$D$4:$D$1463,$P81)),""))</f>
        <v>Invictus</v>
      </c>
      <c r="D81" s="15" t="str">
        <f>IF($P81="","",IFERROR(IF(INDEX(MASTER!$E$4:$E$1463,$P81)="","",INDEX(MASTER!$E$4:$E$1463,$P81)),""))</f>
        <v>DEMON HUNTER</v>
      </c>
      <c r="E81" s="15" t="str">
        <f>IF($P81="","",IFERROR(IF(INDEX(MASTER!$F$4:$F$1463,$P81)="","",INDEX(MASTER!$F$4:$F$1463,$P81)),""))</f>
        <v>Ranged DPS</v>
      </c>
      <c r="F81" s="16">
        <f>IF($P81="","",IFERROR(IF(INDEX(MASTER!$G$4:$G$1463,$P81)="","",INDEX(MASTER!$G$4:$G$1463,$P81)),""))</f>
        <v>63884</v>
      </c>
      <c r="G81" s="15" t="str">
        <f>IF($P81="","",IFERROR(IF(INDEX(MASTER!$H$4:$H$1463,$P81)="","",INDEX(MASTER!$H$4:$H$1463,$P81)),""))</f>
        <v>63,000 - 63,999</v>
      </c>
      <c r="H81" s="16">
        <f>IF($P81="","",IFERROR(IF(INDEX(MASTER!$I$4:$I$1463,$P81)="","",INDEX(MASTER!$I$4:$I$1463,$P81)),""))</f>
        <v>9005</v>
      </c>
      <c r="I81" s="15" t="str">
        <f>IF($P81="","",IFERROR(IF(INDEX(MASTER!$J$4:$J$1463,$P81)="","",INDEX(MASTER!$J$4:$J$1463,$P81)),""))</f>
        <v>ELITE</v>
      </c>
      <c r="J81" s="17">
        <f>IF($P81="","",IFERROR(IF(INDEX(MASTER!$L$4:$L$1463,$P81)="","",INDEX(MASTER!$L$4:$L$1463,$P81)),""))</f>
        <v>5.15</v>
      </c>
      <c r="K81" s="17">
        <f>IF($P81="","",IFERROR(IF(INDEX(MASTER!$N$4:$N$1463,$P81)="","",INDEX(MASTER!$N$4:$N$1463,$P81)),""))</f>
        <v>71.3</v>
      </c>
      <c r="L81" s="15" t="str">
        <f>IF($P81="","",IFERROR(IF(INDEX(MASTER!$O$4:$O$1463,$P81)="","",INDEX(MASTER!$O$4:$O$1463,$P81)),""))</f>
        <v>S</v>
      </c>
      <c r="M81" s="15">
        <f>IF($P81="","",IFERROR(IF(INDEX(MASTER!$Q$4:$Q$1463,$P81)="","",INDEX(MASTER!$Q$4:$Q$1463,$P81)),""))</f>
        <v>3</v>
      </c>
      <c r="N81" s="15" t="str">
        <f>IF($P81="","",IFERROR(IF(INDEX(MASTER!$S$4:$S$1463,$P81)="","",INDEX(MASTER!$S$4:$S$1463,$P81)),""))</f>
        <v>Complete</v>
      </c>
      <c r="P81">
        <f>IFERROR(MATCH($Q$1&amp;"@73",MASTER!$AC$4:$AC$1463,0),"")</f>
        <v>1000</v>
      </c>
    </row>
    <row r="82" spans="1:16">
      <c r="A82" s="19">
        <f>IF($P82="","",74)</f>
        <v>74</v>
      </c>
      <c r="B82" s="18" t="str">
        <f>IF($P82="","",IFERROR(IF(INDEX(MASTER!$C$4:$C$1463,$P82)="","",INDEX(MASTER!$C$4:$C$1463,$P82)),""))</f>
        <v>SIFFREDI</v>
      </c>
      <c r="C82" s="19" t="str">
        <f>IF($P82="","",IFERROR(IF(INDEX(MASTER!$D$4:$D$1463,$P82)="","",INDEX(MASTER!$D$4:$D$1463,$P82)),""))</f>
        <v>Invictus</v>
      </c>
      <c r="D82" s="19" t="str">
        <f>IF($P82="","",IFERROR(IF(INDEX(MASTER!$E$4:$E$1463,$P82)="","",INDEX(MASTER!$E$4:$E$1463,$P82)),""))</f>
        <v>DRUID</v>
      </c>
      <c r="E82" s="19" t="str">
        <f>IF($P82="","",IFERROR(IF(INDEX(MASTER!$F$4:$F$1463,$P82)="","",INDEX(MASTER!$F$4:$F$1463,$P82)),""))</f>
        <v>Support</v>
      </c>
      <c r="F82" s="20">
        <f>IF($P82="","",IFERROR(IF(INDEX(MASTER!$G$4:$G$1463,$P82)="","",INDEX(MASTER!$G$4:$G$1463,$P82)),""))</f>
        <v>61592</v>
      </c>
      <c r="G82" s="19" t="str">
        <f>IF($P82="","",IFERROR(IF(INDEX(MASTER!$H$4:$H$1463,$P82)="","",INDEX(MASTER!$H$4:$H$1463,$P82)),""))</f>
        <v>61,000 - 61,999</v>
      </c>
      <c r="H82" s="20">
        <f>IF($P82="","",IFERROR(IF(INDEX(MASTER!$I$4:$I$1463,$P82)="","",INDEX(MASTER!$I$4:$I$1463,$P82)),""))</f>
        <v>4029</v>
      </c>
      <c r="I82" s="19" t="str">
        <f>IF($P82="","",IFERROR(IF(INDEX(MASTER!$J$4:$J$1463,$P82)="","",INDEX(MASTER!$J$4:$J$1463,$P82)),""))</f>
        <v>CORE</v>
      </c>
      <c r="J82" s="21">
        <f>IF($P82="","",IFERROR(IF(INDEX(MASTER!$L$4:$L$1463,$P82)="","",INDEX(MASTER!$L$4:$L$1463,$P82)),""))</f>
        <v>3.7</v>
      </c>
      <c r="K82" s="21">
        <f>IF($P82="","",IFERROR(IF(INDEX(MASTER!$N$4:$N$1463,$P82)="","",INDEX(MASTER!$N$4:$N$1463,$P82)),""))</f>
        <v>41.1</v>
      </c>
      <c r="L82" s="19" t="str">
        <f>IF($P82="","",IFERROR(IF(INDEX(MASTER!$O$4:$O$1463,$P82)="","",INDEX(MASTER!$O$4:$O$1463,$P82)),""))</f>
        <v>B</v>
      </c>
      <c r="M82" s="19">
        <f>IF($P82="","",IFERROR(IF(INDEX(MASTER!$Q$4:$Q$1463,$P82)="","",INDEX(MASTER!$Q$4:$Q$1463,$P82)),""))</f>
        <v>27</v>
      </c>
      <c r="N82" s="19" t="str">
        <f>IF($P82="","",IFERROR(IF(INDEX(MASTER!$S$4:$S$1463,$P82)="","",INDEX(MASTER!$S$4:$S$1463,$P82)),""))</f>
        <v>Complete</v>
      </c>
      <c r="P82">
        <f>IFERROR(MATCH($Q$1&amp;"@74",MASTER!$AC$4:$AC$1463,0),"")</f>
        <v>1016</v>
      </c>
    </row>
    <row r="83" spans="1:16">
      <c r="A83" s="15">
        <f>IF($P83="","",75)</f>
        <v>75</v>
      </c>
      <c r="B83" s="14" t="str">
        <f>IF($P83="","",IFERROR(IF(INDEX(MASTER!$C$4:$C$1463,$P83)="","",INDEX(MASTER!$C$4:$C$1463,$P83)),""))</f>
        <v>SlithyTove</v>
      </c>
      <c r="C83" s="15" t="str">
        <f>IF($P83="","",IFERROR(IF(INDEX(MASTER!$D$4:$D$1463,$P83)="","",INDEX(MASTER!$D$4:$D$1463,$P83)),""))</f>
        <v>Invictus</v>
      </c>
      <c r="D83" s="15" t="str">
        <f>IF($P83="","",IFERROR(IF(INDEX(MASTER!$E$4:$E$1463,$P83)="","",INDEX(MASTER!$E$4:$E$1463,$P83)),""))</f>
        <v>MONK</v>
      </c>
      <c r="E83" s="15" t="str">
        <f>IF($P83="","",IFERROR(IF(INDEX(MASTER!$F$4:$F$1463,$P83)="","",INDEX(MASTER!$F$4:$F$1463,$P83)),""))</f>
        <v>Support</v>
      </c>
      <c r="F83" s="16">
        <f>IF($P83="","",IFERROR(IF(INDEX(MASTER!$G$4:$G$1463,$P83)="","",INDEX(MASTER!$G$4:$G$1463,$P83)),""))</f>
        <v>63113</v>
      </c>
      <c r="G83" s="15" t="str">
        <f>IF($P83="","",IFERROR(IF(INDEX(MASTER!$H$4:$H$1463,$P83)="","",INDEX(MASTER!$H$4:$H$1463,$P83)),""))</f>
        <v>63,000 - 63,999</v>
      </c>
      <c r="H83" s="16">
        <f>IF($P83="","",IFERROR(IF(INDEX(MASTER!$I$4:$I$1463,$P83)="","",INDEX(MASTER!$I$4:$I$1463,$P83)),""))</f>
        <v>3495</v>
      </c>
      <c r="I83" s="15" t="str">
        <f>IF($P83="","",IFERROR(IF(INDEX(MASTER!$J$4:$J$1463,$P83)="","",INDEX(MASTER!$J$4:$J$1463,$P83)),""))</f>
        <v>DEVELOPING</v>
      </c>
      <c r="J83" s="17">
        <f>IF($P83="","",IFERROR(IF(INDEX(MASTER!$L$4:$L$1463,$P83)="","",INDEX(MASTER!$L$4:$L$1463,$P83)),""))</f>
        <v>4.25</v>
      </c>
      <c r="K83" s="17">
        <f>IF($P83="","",IFERROR(IF(INDEX(MASTER!$N$4:$N$1463,$P83)="","",INDEX(MASTER!$N$4:$N$1463,$P83)),""))</f>
        <v>43.7</v>
      </c>
      <c r="L83" s="15" t="str">
        <f>IF($P83="","",IFERROR(IF(INDEX(MASTER!$O$4:$O$1463,$P83)="","",INDEX(MASTER!$O$4:$O$1463,$P83)),""))</f>
        <v>B</v>
      </c>
      <c r="M83" s="15">
        <f>IF($P83="","",IFERROR(IF(INDEX(MASTER!$Q$4:$Q$1463,$P83)="","",INDEX(MASTER!$Q$4:$Q$1463,$P83)),""))</f>
        <v>35</v>
      </c>
      <c r="N83" s="15" t="str">
        <f>IF($P83="","",IFERROR(IF(INDEX(MASTER!$S$4:$S$1463,$P83)="","",INDEX(MASTER!$S$4:$S$1463,$P83)),""))</f>
        <v>Complete</v>
      </c>
      <c r="P83">
        <f>IFERROR(MATCH($Q$1&amp;"@75",MASTER!$AC$4:$AC$1463,0),"")</f>
        <v>1039</v>
      </c>
    </row>
    <row r="84" spans="1:16">
      <c r="A84" s="19">
        <f>IF($P84="","",76)</f>
        <v>76</v>
      </c>
      <c r="B84" s="18" t="str">
        <f>IF($P84="","",IFERROR(IF(INDEX(MASTER!$C$4:$C$1463,$P84)="","",INDEX(MASTER!$C$4:$C$1463,$P84)),""))</f>
        <v>SnowmanQT</v>
      </c>
      <c r="C84" s="19" t="str">
        <f>IF($P84="","",IFERROR(IF(INDEX(MASTER!$D$4:$D$1463,$P84)="","",INDEX(MASTER!$D$4:$D$1463,$P84)),""))</f>
        <v>Invictus</v>
      </c>
      <c r="D84" s="19" t="str">
        <f>IF($P84="","",IFERROR(IF(INDEX(MASTER!$E$4:$E$1463,$P84)="","",INDEX(MASTER!$E$4:$E$1463,$P84)),""))</f>
        <v>BARBARIAN</v>
      </c>
      <c r="E84" s="19" t="str">
        <f>IF($P84="","",IFERROR(IF(INDEX(MASTER!$F$4:$F$1463,$P84)="","",INDEX(MASTER!$F$4:$F$1463,$P84)),""))</f>
        <v>Frontline</v>
      </c>
      <c r="F84" s="20">
        <f>IF($P84="","",IFERROR(IF(INDEX(MASTER!$G$4:$G$1463,$P84)="","",INDEX(MASTER!$G$4:$G$1463,$P84)),""))</f>
        <v>63172</v>
      </c>
      <c r="G84" s="19" t="str">
        <f>IF($P84="","",IFERROR(IF(INDEX(MASTER!$H$4:$H$1463,$P84)="","",INDEX(MASTER!$H$4:$H$1463,$P84)),""))</f>
        <v>63,000 - 63,999</v>
      </c>
      <c r="H84" s="20">
        <f>IF($P84="","",IFERROR(IF(INDEX(MASTER!$I$4:$I$1463,$P84)="","",INDEX(MASTER!$I$4:$I$1463,$P84)),""))</f>
        <v>5467</v>
      </c>
      <c r="I84" s="19" t="str">
        <f>IF($P84="","",IFERROR(IF(INDEX(MASTER!$J$4:$J$1463,$P84)="","",INDEX(MASTER!$J$4:$J$1463,$P84)),""))</f>
        <v>CORE</v>
      </c>
      <c r="J84" s="21">
        <f>IF($P84="","",IFERROR(IF(INDEX(MASTER!$L$4:$L$1463,$P84)="","",INDEX(MASTER!$L$4:$L$1463,$P84)),""))</f>
        <v>5.6</v>
      </c>
      <c r="K84" s="21">
        <f>IF($P84="","",IFERROR(IF(INDEX(MASTER!$N$4:$N$1463,$P84)="","",INDEX(MASTER!$N$4:$N$1463,$P84)),""))</f>
        <v>54.7</v>
      </c>
      <c r="L84" s="19" t="str">
        <f>IF($P84="","",IFERROR(IF(INDEX(MASTER!$O$4:$O$1463,$P84)="","",INDEX(MASTER!$O$4:$O$1463,$P84)),""))</f>
        <v>A</v>
      </c>
      <c r="M84" s="19">
        <f>IF($P84="","",IFERROR(IF(INDEX(MASTER!$Q$4:$Q$1463,$P84)="","",INDEX(MASTER!$Q$4:$Q$1463,$P84)),""))</f>
        <v>13</v>
      </c>
      <c r="N84" s="19" t="str">
        <f>IF($P84="","",IFERROR(IF(INDEX(MASTER!$S$4:$S$1463,$P84)="","",INDEX(MASTER!$S$4:$S$1463,$P84)),""))</f>
        <v>Complete</v>
      </c>
      <c r="P84">
        <f>IFERROR(MATCH($Q$1&amp;"@76",MASTER!$AC$4:$AC$1463,0),"")</f>
        <v>1051</v>
      </c>
    </row>
    <row r="85" spans="1:16">
      <c r="A85" s="15">
        <f>IF($P85="","",77)</f>
        <v>77</v>
      </c>
      <c r="B85" s="14" t="str">
        <f>IF($P85="","",IFERROR(IF(INDEX(MASTER!$C$4:$C$1463,$P85)="","",INDEX(MASTER!$C$4:$C$1463,$P85)),""))</f>
        <v>Sparky-2</v>
      </c>
      <c r="C85" s="15" t="str">
        <f>IF($P85="","",IFERROR(IF(INDEX(MASTER!$D$4:$D$1463,$P85)="","",INDEX(MASTER!$D$4:$D$1463,$P85)),""))</f>
        <v>Invictus</v>
      </c>
      <c r="D85" s="15" t="str">
        <f>IF($P85="","",IFERROR(IF(INDEX(MASTER!$E$4:$E$1463,$P85)="","",INDEX(MASTER!$E$4:$E$1463,$P85)),""))</f>
        <v>BARBARIAN</v>
      </c>
      <c r="E85" s="15" t="str">
        <f>IF($P85="","",IFERROR(IF(INDEX(MASTER!$F$4:$F$1463,$P85)="","",INDEX(MASTER!$F$4:$F$1463,$P85)),""))</f>
        <v>Frontline</v>
      </c>
      <c r="F85" s="16">
        <f>IF($P85="","",IFERROR(IF(INDEX(MASTER!$G$4:$G$1463,$P85)="","",INDEX(MASTER!$G$4:$G$1463,$P85)),""))</f>
        <v>61831</v>
      </c>
      <c r="G85" s="15" t="str">
        <f>IF($P85="","",IFERROR(IF(INDEX(MASTER!$H$4:$H$1463,$P85)="","",INDEX(MASTER!$H$4:$H$1463,$P85)),""))</f>
        <v>61,000 - 61,999</v>
      </c>
      <c r="H85" s="16">
        <f>IF($P85="","",IFERROR(IF(INDEX(MASTER!$I$4:$I$1463,$P85)="","",INDEX(MASTER!$I$4:$I$1463,$P85)),""))</f>
        <v>2874</v>
      </c>
      <c r="I85" s="15" t="str">
        <f>IF($P85="","",IFERROR(IF(INDEX(MASTER!$J$4:$J$1463,$P85)="","",INDEX(MASTER!$J$4:$J$1463,$P85)),""))</f>
        <v>DEVELOPING</v>
      </c>
      <c r="J85" s="17">
        <f>IF($P85="","",IFERROR(IF(INDEX(MASTER!$L$4:$L$1463,$P85)="","",INDEX(MASTER!$L$4:$L$1463,$P85)),""))</f>
        <v>4.8</v>
      </c>
      <c r="K85" s="17">
        <f>IF($P85="","",IFERROR(IF(INDEX(MASTER!$N$4:$N$1463,$P85)="","",INDEX(MASTER!$N$4:$N$1463,$P85)),""))</f>
        <v>38.5</v>
      </c>
      <c r="L85" s="15" t="str">
        <f>IF($P85="","",IFERROR(IF(INDEX(MASTER!$O$4:$O$1463,$P85)="","",INDEX(MASTER!$O$4:$O$1463,$P85)),""))</f>
        <v>B</v>
      </c>
      <c r="M85" s="15">
        <f>IF($P85="","",IFERROR(IF(INDEX(MASTER!$Q$4:$Q$1463,$P85)="","",INDEX(MASTER!$Q$4:$Q$1463,$P85)),""))</f>
        <v>57</v>
      </c>
      <c r="N85" s="15" t="str">
        <f>IF($P85="","",IFERROR(IF(INDEX(MASTER!$S$4:$S$1463,$P85)="","",INDEX(MASTER!$S$4:$S$1463,$P85)),""))</f>
        <v>Complete</v>
      </c>
      <c r="P85">
        <f>IFERROR(MATCH($Q$1&amp;"@77",MASTER!$AC$4:$AC$1463,0),"")</f>
        <v>1063</v>
      </c>
    </row>
    <row r="86" spans="1:16">
      <c r="A86" s="19">
        <f>IF($P86="","",78)</f>
        <v>78</v>
      </c>
      <c r="B86" s="18" t="str">
        <f>IF($P86="","",IFERROR(IF(INDEX(MASTER!$C$4:$C$1463,$P86)="","",INDEX(MASTER!$C$4:$C$1463,$P86)),""))</f>
        <v>STeWie</v>
      </c>
      <c r="C86" s="19" t="str">
        <f>IF($P86="","",IFERROR(IF(INDEX(MASTER!$D$4:$D$1463,$P86)="","",INDEX(MASTER!$D$4:$D$1463,$P86)),""))</f>
        <v>Invictus</v>
      </c>
      <c r="D86" s="19" t="str">
        <f>IF($P86="","",IFERROR(IF(INDEX(MASTER!$E$4:$E$1463,$P86)="","",INDEX(MASTER!$E$4:$E$1463,$P86)),""))</f>
        <v>WARLOCK</v>
      </c>
      <c r="E86" s="19" t="str">
        <f>IF($P86="","",IFERROR(IF(INDEX(MASTER!$F$4:$F$1463,$P86)="","",INDEX(MASTER!$F$4:$F$1463,$P86)),""))</f>
        <v>Control</v>
      </c>
      <c r="F86" s="20">
        <f>IF($P86="","",IFERROR(IF(INDEX(MASTER!$G$4:$G$1463,$P86)="","",INDEX(MASTER!$G$4:$G$1463,$P86)),""))</f>
        <v>62277</v>
      </c>
      <c r="G86" s="19" t="str">
        <f>IF($P86="","",IFERROR(IF(INDEX(MASTER!$H$4:$H$1463,$P86)="","",INDEX(MASTER!$H$4:$H$1463,$P86)),""))</f>
        <v>62,000 - 62,999</v>
      </c>
      <c r="H86" s="20">
        <f>IF($P86="","",IFERROR(IF(INDEX(MASTER!$I$4:$I$1463,$P86)="","",INDEX(MASTER!$I$4:$I$1463,$P86)),""))</f>
        <v>2568</v>
      </c>
      <c r="I86" s="19" t="str">
        <f>IF($P86="","",IFERROR(IF(INDEX(MASTER!$J$4:$J$1463,$P86)="","",INDEX(MASTER!$J$4:$J$1463,$P86)),""))</f>
        <v>DEVELOPING</v>
      </c>
      <c r="J86" s="21">
        <f>IF($P86="","",IFERROR(IF(INDEX(MASTER!$L$4:$L$1463,$P86)="","",INDEX(MASTER!$L$4:$L$1463,$P86)),""))</f>
        <v>5</v>
      </c>
      <c r="K86" s="21">
        <f>IF($P86="","",IFERROR(IF(INDEX(MASTER!$N$4:$N$1463,$P86)="","",INDEX(MASTER!$N$4:$N$1463,$P86)),""))</f>
        <v>38.700000000000003</v>
      </c>
      <c r="L86" s="19" t="str">
        <f>IF($P86="","",IFERROR(IF(INDEX(MASTER!$O$4:$O$1463,$P86)="","",INDEX(MASTER!$O$4:$O$1463,$P86)),""))</f>
        <v>B</v>
      </c>
      <c r="M86" s="19">
        <f>IF($P86="","",IFERROR(IF(INDEX(MASTER!$Q$4:$Q$1463,$P86)="","",INDEX(MASTER!$Q$4:$Q$1463,$P86)),""))</f>
        <v>67</v>
      </c>
      <c r="N86" s="19" t="str">
        <f>IF($P86="","",IFERROR(IF(INDEX(MASTER!$S$4:$S$1463,$P86)="","",INDEX(MASTER!$S$4:$S$1463,$P86)),""))</f>
        <v>Complete</v>
      </c>
      <c r="P86">
        <f>IFERROR(MATCH($Q$1&amp;"@78",MASTER!$AC$4:$AC$1463,0),"")</f>
        <v>1079</v>
      </c>
    </row>
    <row r="87" spans="1:16">
      <c r="A87" s="15">
        <f>IF($P87="","",79)</f>
        <v>79</v>
      </c>
      <c r="B87" s="14" t="str">
        <f>IF($P87="","",IFERROR(IF(INDEX(MASTER!$C$4:$C$1463,$P87)="","",INDEX(MASTER!$C$4:$C$1463,$P87)),""))</f>
        <v>Stormfly</v>
      </c>
      <c r="C87" s="15" t="str">
        <f>IF($P87="","",IFERROR(IF(INDEX(MASTER!$D$4:$D$1463,$P87)="","",INDEX(MASTER!$D$4:$D$1463,$P87)),""))</f>
        <v>Invictus</v>
      </c>
      <c r="D87" s="15" t="str">
        <f>IF($P87="","",IFERROR(IF(INDEX(MASTER!$E$4:$E$1463,$P87)="","",INDEX(MASTER!$E$4:$E$1463,$P87)),""))</f>
        <v>NECROMANCER</v>
      </c>
      <c r="E87" s="15" t="str">
        <f>IF($P87="","",IFERROR(IF(INDEX(MASTER!$F$4:$F$1463,$P87)="","",INDEX(MASTER!$F$4:$F$1463,$P87)),""))</f>
        <v>Control</v>
      </c>
      <c r="F87" s="16">
        <f>IF($P87="","",IFERROR(IF(INDEX(MASTER!$G$4:$G$1463,$P87)="","",INDEX(MASTER!$G$4:$G$1463,$P87)),""))</f>
        <v>53466</v>
      </c>
      <c r="G87" s="15" t="str">
        <f>IF($P87="","",IFERROR(IF(INDEX(MASTER!$H$4:$H$1463,$P87)="","",INDEX(MASTER!$H$4:$H$1463,$P87)),""))</f>
        <v>Under 58,000</v>
      </c>
      <c r="H87" s="16">
        <f>IF($P87="","",IFERROR(IF(INDEX(MASTER!$I$4:$I$1463,$P87)="","",INDEX(MASTER!$I$4:$I$1463,$P87)),""))</f>
        <v>860</v>
      </c>
      <c r="I87" s="15" t="str">
        <f>IF($P87="","",IFERROR(IF(INDEX(MASTER!$J$4:$J$1463,$P87)="","",INDEX(MASTER!$J$4:$J$1463,$P87)),""))</f>
        <v>ROOKIE</v>
      </c>
      <c r="J87" s="17">
        <f>IF($P87="","",IFERROR(IF(INDEX(MASTER!$L$4:$L$1463,$P87)="","",INDEX(MASTER!$L$4:$L$1463,$P87)),""))</f>
        <v>2.7</v>
      </c>
      <c r="K87" s="17">
        <f>IF($P87="","",IFERROR(IF(INDEX(MASTER!$N$4:$N$1463,$P87)="","",INDEX(MASTER!$N$4:$N$1463,$P87)),""))</f>
        <v>8.3000000000000007</v>
      </c>
      <c r="L87" s="15" t="str">
        <f>IF($P87="","",IFERROR(IF(INDEX(MASTER!$O$4:$O$1463,$P87)="","",INDEX(MASTER!$O$4:$O$1463,$P87)),""))</f>
        <v>D</v>
      </c>
      <c r="M87" s="15">
        <f>IF($P87="","",IFERROR(IF(INDEX(MASTER!$Q$4:$Q$1463,$P87)="","",INDEX(MASTER!$Q$4:$Q$1463,$P87)),""))</f>
        <v>98</v>
      </c>
      <c r="N87" s="15" t="str">
        <f>IF($P87="","",IFERROR(IF(INDEX(MASTER!$S$4:$S$1463,$P87)="","",INDEX(MASTER!$S$4:$S$1463,$P87)),""))</f>
        <v>Complete</v>
      </c>
      <c r="P87">
        <f>IFERROR(MATCH($Q$1&amp;"@79",MASTER!$AC$4:$AC$1463,0),"")</f>
        <v>1084</v>
      </c>
    </row>
    <row r="88" spans="1:16">
      <c r="A88" s="19">
        <f>IF($P88="","",80)</f>
        <v>80</v>
      </c>
      <c r="B88" s="18" t="str">
        <f>IF($P88="","",IFERROR(IF(INDEX(MASTER!$C$4:$C$1463,$P88)="","",INDEX(MASTER!$C$4:$C$1463,$P88)),""))</f>
        <v>Suhnder</v>
      </c>
      <c r="C88" s="19" t="str">
        <f>IF($P88="","",IFERROR(IF(INDEX(MASTER!$D$4:$D$1463,$P88)="","",INDEX(MASTER!$D$4:$D$1463,$P88)),""))</f>
        <v>Invictus</v>
      </c>
      <c r="D88" s="19" t="str">
        <f>IF($P88="","",IFERROR(IF(INDEX(MASTER!$E$4:$E$1463,$P88)="","",INDEX(MASTER!$E$4:$E$1463,$P88)),""))</f>
        <v>WARLOCK</v>
      </c>
      <c r="E88" s="19" t="str">
        <f>IF($P88="","",IFERROR(IF(INDEX(MASTER!$F$4:$F$1463,$P88)="","",INDEX(MASTER!$F$4:$F$1463,$P88)),""))</f>
        <v>Control</v>
      </c>
      <c r="F88" s="20">
        <f>IF($P88="","",IFERROR(IF(INDEX(MASTER!$G$4:$G$1463,$P88)="","",INDEX(MASTER!$G$4:$G$1463,$P88)),""))</f>
        <v>63254</v>
      </c>
      <c r="G88" s="19" t="str">
        <f>IF($P88="","",IFERROR(IF(INDEX(MASTER!$H$4:$H$1463,$P88)="","",INDEX(MASTER!$H$4:$H$1463,$P88)),""))</f>
        <v>63,000 - 63,999</v>
      </c>
      <c r="H88" s="20">
        <f>IF($P88="","",IFERROR(IF(INDEX(MASTER!$I$4:$I$1463,$P88)="","",INDEX(MASTER!$I$4:$I$1463,$P88)),""))</f>
        <v>4607</v>
      </c>
      <c r="I88" s="19" t="str">
        <f>IF($P88="","",IFERROR(IF(INDEX(MASTER!$J$4:$J$1463,$P88)="","",INDEX(MASTER!$J$4:$J$1463,$P88)),""))</f>
        <v>CORE</v>
      </c>
      <c r="J88" s="21">
        <f>IF($P88="","",IFERROR(IF(INDEX(MASTER!$L$4:$L$1463,$P88)="","",INDEX(MASTER!$L$4:$L$1463,$P88)),""))</f>
        <v>7.15</v>
      </c>
      <c r="K88" s="21">
        <f>IF($P88="","",IFERROR(IF(INDEX(MASTER!$N$4:$N$1463,$P88)="","",INDEX(MASTER!$N$4:$N$1463,$P88)),""))</f>
        <v>53.7</v>
      </c>
      <c r="L88" s="19" t="str">
        <f>IF($P88="","",IFERROR(IF(INDEX(MASTER!$O$4:$O$1463,$P88)="","",INDEX(MASTER!$O$4:$O$1463,$P88)),""))</f>
        <v>A</v>
      </c>
      <c r="M88" s="19">
        <f>IF($P88="","",IFERROR(IF(INDEX(MASTER!$Q$4:$Q$1463,$P88)="","",INDEX(MASTER!$Q$4:$Q$1463,$P88)),""))</f>
        <v>21</v>
      </c>
      <c r="N88" s="19" t="str">
        <f>IF($P88="","",IFERROR(IF(INDEX(MASTER!$S$4:$S$1463,$P88)="","",INDEX(MASTER!$S$4:$S$1463,$P88)),""))</f>
        <v>Complete</v>
      </c>
      <c r="P88">
        <f>IFERROR(MATCH($Q$1&amp;"@80",MASTER!$AC$4:$AC$1463,0),"")</f>
        <v>1088</v>
      </c>
    </row>
    <row r="89" spans="1:16">
      <c r="A89" s="15">
        <f>IF($P89="","",81)</f>
        <v>81</v>
      </c>
      <c r="B89" s="14" t="str">
        <f>IF($P89="","",IFERROR(IF(INDEX(MASTER!$C$4:$C$1463,$P89)="","",INDEX(MASTER!$C$4:$C$1463,$P89)),""))</f>
        <v>Suue</v>
      </c>
      <c r="C89" s="15" t="str">
        <f>IF($P89="","",IFERROR(IF(INDEX(MASTER!$D$4:$D$1463,$P89)="","",INDEX(MASTER!$D$4:$D$1463,$P89)),""))</f>
        <v>Invictus</v>
      </c>
      <c r="D89" s="15" t="str">
        <f>IF($P89="","",IFERROR(IF(INDEX(MASTER!$E$4:$E$1463,$P89)="","",INDEX(MASTER!$E$4:$E$1463,$P89)),""))</f>
        <v>DRUID</v>
      </c>
      <c r="E89" s="15" t="str">
        <f>IF($P89="","",IFERROR(IF(INDEX(MASTER!$F$4:$F$1463,$P89)="","",INDEX(MASTER!$F$4:$F$1463,$P89)),""))</f>
        <v>Support</v>
      </c>
      <c r="F89" s="16">
        <f>IF($P89="","",IFERROR(IF(INDEX(MASTER!$G$4:$G$1463,$P89)="","",INDEX(MASTER!$G$4:$G$1463,$P89)),""))</f>
        <v>62736</v>
      </c>
      <c r="G89" s="15" t="str">
        <f>IF($P89="","",IFERROR(IF(INDEX(MASTER!$H$4:$H$1463,$P89)="","",INDEX(MASTER!$H$4:$H$1463,$P89)),""))</f>
        <v>62,000 - 62,999</v>
      </c>
      <c r="H89" s="16">
        <f>IF($P89="","",IFERROR(IF(INDEX(MASTER!$I$4:$I$1463,$P89)="","",INDEX(MASTER!$I$4:$I$1463,$P89)),""))</f>
        <v>3040</v>
      </c>
      <c r="I89" s="15" t="str">
        <f>IF($P89="","",IFERROR(IF(INDEX(MASTER!$J$4:$J$1463,$P89)="","",INDEX(MASTER!$J$4:$J$1463,$P89)),""))</f>
        <v>DEVELOPING</v>
      </c>
      <c r="J89" s="17">
        <f>IF($P89="","",IFERROR(IF(INDEX(MASTER!$L$4:$L$1463,$P89)="","",INDEX(MASTER!$L$4:$L$1463,$P89)),""))</f>
        <v>3.1</v>
      </c>
      <c r="K89" s="17">
        <f>IF($P89="","",IFERROR(IF(INDEX(MASTER!$N$4:$N$1463,$P89)="","",INDEX(MASTER!$N$4:$N$1463,$P89)),""))</f>
        <v>38.799999999999997</v>
      </c>
      <c r="L89" s="15" t="str">
        <f>IF($P89="","",IFERROR(IF(INDEX(MASTER!$O$4:$O$1463,$P89)="","",INDEX(MASTER!$O$4:$O$1463,$P89)),""))</f>
        <v>B</v>
      </c>
      <c r="M89" s="15">
        <f>IF($P89="","",IFERROR(IF(INDEX(MASTER!$Q$4:$Q$1463,$P89)="","",INDEX(MASTER!$Q$4:$Q$1463,$P89)),""))</f>
        <v>50</v>
      </c>
      <c r="N89" s="15" t="str">
        <f>IF($P89="","",IFERROR(IF(INDEX(MASTER!$S$4:$S$1463,$P89)="","",INDEX(MASTER!$S$4:$S$1463,$P89)),""))</f>
        <v>Complete</v>
      </c>
      <c r="P89">
        <f>IFERROR(MATCH($Q$1&amp;"@81",MASTER!$AC$4:$AC$1463,0),"")</f>
        <v>1097</v>
      </c>
    </row>
    <row r="90" spans="1:16">
      <c r="A90" s="19">
        <f>IF($P90="","",82)</f>
        <v>82</v>
      </c>
      <c r="B90" s="18" t="str">
        <f>IF($P90="","",IFERROR(IF(INDEX(MASTER!$C$4:$C$1463,$P90)="","",INDEX(MASTER!$C$4:$C$1463,$P90)),""))</f>
        <v>Synanju</v>
      </c>
      <c r="C90" s="19" t="str">
        <f>IF($P90="","",IFERROR(IF(INDEX(MASTER!$D$4:$D$1463,$P90)="","",INDEX(MASTER!$D$4:$D$1463,$P90)),""))</f>
        <v>Invictus</v>
      </c>
      <c r="D90" s="19" t="str">
        <f>IF($P90="","",IFERROR(IF(INDEX(MASTER!$E$4:$E$1463,$P90)="","",INDEX(MASTER!$E$4:$E$1463,$P90)),""))</f>
        <v>DEMON HUNTER</v>
      </c>
      <c r="E90" s="19" t="str">
        <f>IF($P90="","",IFERROR(IF(INDEX(MASTER!$F$4:$F$1463,$P90)="","",INDEX(MASTER!$F$4:$F$1463,$P90)),""))</f>
        <v>Ranged DPS</v>
      </c>
      <c r="F90" s="20">
        <f>IF($P90="","",IFERROR(IF(INDEX(MASTER!$G$4:$G$1463,$P90)="","",INDEX(MASTER!$G$4:$G$1463,$P90)),""))</f>
        <v>63510</v>
      </c>
      <c r="G90" s="19" t="str">
        <f>IF($P90="","",IFERROR(IF(INDEX(MASTER!$H$4:$H$1463,$P90)="","",INDEX(MASTER!$H$4:$H$1463,$P90)),""))</f>
        <v>63,000 - 63,999</v>
      </c>
      <c r="H90" s="20">
        <f>IF($P90="","",IFERROR(IF(INDEX(MASTER!$I$4:$I$1463,$P90)="","",INDEX(MASTER!$I$4:$I$1463,$P90)),""))</f>
        <v>5274</v>
      </c>
      <c r="I90" s="19" t="str">
        <f>IF($P90="","",IFERROR(IF(INDEX(MASTER!$J$4:$J$1463,$P90)="","",INDEX(MASTER!$J$4:$J$1463,$P90)),""))</f>
        <v>CORE</v>
      </c>
      <c r="J90" s="21">
        <f>IF($P90="","",IFERROR(IF(INDEX(MASTER!$L$4:$L$1463,$P90)="","",INDEX(MASTER!$L$4:$L$1463,$P90)),""))</f>
        <v>5</v>
      </c>
      <c r="K90" s="21">
        <f>IF($P90="","",IFERROR(IF(INDEX(MASTER!$N$4:$N$1463,$P90)="","",INDEX(MASTER!$N$4:$N$1463,$P90)),""))</f>
        <v>53.7</v>
      </c>
      <c r="L90" s="19" t="str">
        <f>IF($P90="","",IFERROR(IF(INDEX(MASTER!$O$4:$O$1463,$P90)="","",INDEX(MASTER!$O$4:$O$1463,$P90)),""))</f>
        <v>A</v>
      </c>
      <c r="M90" s="19">
        <f>IF($P90="","",IFERROR(IF(INDEX(MASTER!$Q$4:$Q$1463,$P90)="","",INDEX(MASTER!$Q$4:$Q$1463,$P90)),""))</f>
        <v>14</v>
      </c>
      <c r="N90" s="19" t="str">
        <f>IF($P90="","",IFERROR(IF(INDEX(MASTER!$S$4:$S$1463,$P90)="","",INDEX(MASTER!$S$4:$S$1463,$P90)),""))</f>
        <v>Complete</v>
      </c>
      <c r="P90">
        <f>IFERROR(MATCH($Q$1&amp;"@82",MASTER!$AC$4:$AC$1463,0),"")</f>
        <v>1103</v>
      </c>
    </row>
    <row r="91" spans="1:16">
      <c r="A91" s="15">
        <f>IF($P91="","",83)</f>
        <v>83</v>
      </c>
      <c r="B91" s="14" t="str">
        <f>IF($P91="","",IFERROR(IF(INDEX(MASTER!$C$4:$C$1463,$P91)="","",INDEX(MASTER!$C$4:$C$1463,$P91)),""))</f>
        <v>T3SSA</v>
      </c>
      <c r="C91" s="15" t="str">
        <f>IF($P91="","",IFERROR(IF(INDEX(MASTER!$D$4:$D$1463,$P91)="","",INDEX(MASTER!$D$4:$D$1463,$P91)),""))</f>
        <v>Invictus</v>
      </c>
      <c r="D91" s="15" t="str">
        <f>IF($P91="","",IFERROR(IF(INDEX(MASTER!$E$4:$E$1463,$P91)="","",INDEX(MASTER!$E$4:$E$1463,$P91)),""))</f>
        <v>DEMON HUNTER</v>
      </c>
      <c r="E91" s="15" t="str">
        <f>IF($P91="","",IFERROR(IF(INDEX(MASTER!$F$4:$F$1463,$P91)="","",INDEX(MASTER!$F$4:$F$1463,$P91)),""))</f>
        <v>Ranged DPS</v>
      </c>
      <c r="F91" s="16">
        <f>IF($P91="","",IFERROR(IF(INDEX(MASTER!$G$4:$G$1463,$P91)="","",INDEX(MASTER!$G$4:$G$1463,$P91)),""))</f>
        <v>62649</v>
      </c>
      <c r="G91" s="15" t="str">
        <f>IF($P91="","",IFERROR(IF(INDEX(MASTER!$H$4:$H$1463,$P91)="","",INDEX(MASTER!$H$4:$H$1463,$P91)),""))</f>
        <v>62,000 - 62,999</v>
      </c>
      <c r="H91" s="16">
        <f>IF($P91="","",IFERROR(IF(INDEX(MASTER!$I$4:$I$1463,$P91)="","",INDEX(MASTER!$I$4:$I$1463,$P91)),""))</f>
        <v>2314</v>
      </c>
      <c r="I91" s="15" t="str">
        <f>IF($P91="","",IFERROR(IF(INDEX(MASTER!$J$4:$J$1463,$P91)="","",INDEX(MASTER!$J$4:$J$1463,$P91)),""))</f>
        <v>DEVELOPING</v>
      </c>
      <c r="J91" s="17">
        <f>IF($P91="","",IFERROR(IF(INDEX(MASTER!$L$4:$L$1463,$P91)="","",INDEX(MASTER!$L$4:$L$1463,$P91)),""))</f>
        <v>4.3</v>
      </c>
      <c r="K91" s="17">
        <f>IF($P91="","",IFERROR(IF(INDEX(MASTER!$N$4:$N$1463,$P91)="","",INDEX(MASTER!$N$4:$N$1463,$P91)),""))</f>
        <v>37.4</v>
      </c>
      <c r="L91" s="15" t="str">
        <f>IF($P91="","",IFERROR(IF(INDEX(MASTER!$O$4:$O$1463,$P91)="","",INDEX(MASTER!$O$4:$O$1463,$P91)),""))</f>
        <v>B</v>
      </c>
      <c r="M91" s="15">
        <f>IF($P91="","",IFERROR(IF(INDEX(MASTER!$Q$4:$Q$1463,$P91)="","",INDEX(MASTER!$Q$4:$Q$1463,$P91)),""))</f>
        <v>72</v>
      </c>
      <c r="N91" s="15" t="str">
        <f>IF($P91="","",IFERROR(IF(INDEX(MASTER!$S$4:$S$1463,$P91)="","",INDEX(MASTER!$S$4:$S$1463,$P91)),""))</f>
        <v>Complete</v>
      </c>
      <c r="P91">
        <f>IFERROR(MATCH($Q$1&amp;"@83",MASTER!$AC$4:$AC$1463,0),"")</f>
        <v>1111</v>
      </c>
    </row>
    <row r="92" spans="1:16">
      <c r="A92" s="19">
        <f>IF($P92="","",84)</f>
        <v>84</v>
      </c>
      <c r="B92" s="18" t="str">
        <f>IF($P92="","",IFERROR(IF(INDEX(MASTER!$C$4:$C$1463,$P92)="","",INDEX(MASTER!$C$4:$C$1463,$P92)),""))</f>
        <v>Tatpac</v>
      </c>
      <c r="C92" s="19" t="str">
        <f>IF($P92="","",IFERROR(IF(INDEX(MASTER!$D$4:$D$1463,$P92)="","",INDEX(MASTER!$D$4:$D$1463,$P92)),""))</f>
        <v>Invictus</v>
      </c>
      <c r="D92" s="19" t="str">
        <f>IF($P92="","",IFERROR(IF(INDEX(MASTER!$E$4:$E$1463,$P92)="","",INDEX(MASTER!$E$4:$E$1463,$P92)),""))</f>
        <v>BLOOD KNIGHT</v>
      </c>
      <c r="E92" s="19" t="str">
        <f>IF($P92="","",IFERROR(IF(INDEX(MASTER!$F$4:$F$1463,$P92)="","",INDEX(MASTER!$F$4:$F$1463,$P92)),""))</f>
        <v>Frontline</v>
      </c>
      <c r="F92" s="20">
        <f>IF($P92="","",IFERROR(IF(INDEX(MASTER!$G$4:$G$1463,$P92)="","",INDEX(MASTER!$G$4:$G$1463,$P92)),""))</f>
        <v>61529</v>
      </c>
      <c r="G92" s="19" t="str">
        <f>IF($P92="","",IFERROR(IF(INDEX(MASTER!$H$4:$H$1463,$P92)="","",INDEX(MASTER!$H$4:$H$1463,$P92)),""))</f>
        <v>61,000 - 61,999</v>
      </c>
      <c r="H92" s="20">
        <f>IF($P92="","",IFERROR(IF(INDEX(MASTER!$I$4:$I$1463,$P92)="","",INDEX(MASTER!$I$4:$I$1463,$P92)),""))</f>
        <v>1000</v>
      </c>
      <c r="I92" s="19" t="str">
        <f>IF($P92="","",IFERROR(IF(INDEX(MASTER!$J$4:$J$1463,$P92)="","",INDEX(MASTER!$J$4:$J$1463,$P92)),""))</f>
        <v>ROOKIE</v>
      </c>
      <c r="J92" s="21">
        <f>IF($P92="","",IFERROR(IF(INDEX(MASTER!$L$4:$L$1463,$P92)="","",INDEX(MASTER!$L$4:$L$1463,$P92)),""))</f>
        <v>3</v>
      </c>
      <c r="K92" s="21">
        <f>IF($P92="","",IFERROR(IF(INDEX(MASTER!$N$4:$N$1463,$P92)="","",INDEX(MASTER!$N$4:$N$1463,$P92)),""))</f>
        <v>26.5</v>
      </c>
      <c r="L92" s="19" t="str">
        <f>IF($P92="","",IFERROR(IF(INDEX(MASTER!$O$4:$O$1463,$P92)="","",INDEX(MASTER!$O$4:$O$1463,$P92)),""))</f>
        <v>C</v>
      </c>
      <c r="M92" s="19">
        <f>IF($P92="","",IFERROR(IF(INDEX(MASTER!$Q$4:$Q$1463,$P92)="","",INDEX(MASTER!$Q$4:$Q$1463,$P92)),""))</f>
        <v>96</v>
      </c>
      <c r="N92" s="19" t="str">
        <f>IF($P92="","",IFERROR(IF(INDEX(MASTER!$S$4:$S$1463,$P92)="","",INDEX(MASTER!$S$4:$S$1463,$P92)),""))</f>
        <v>Complete</v>
      </c>
      <c r="P92">
        <f>IFERROR(MATCH($Q$1&amp;"@84",MASTER!$AC$4:$AC$1463,0),"")</f>
        <v>1122</v>
      </c>
    </row>
    <row r="93" spans="1:16">
      <c r="A93" s="15">
        <f>IF($P93="","",85)</f>
        <v>85</v>
      </c>
      <c r="B93" s="14" t="str">
        <f>IF($P93="","",IFERROR(IF(INDEX(MASTER!$C$4:$C$1463,$P93)="","",INDEX(MASTER!$C$4:$C$1463,$P93)),""))</f>
        <v>Tayla123</v>
      </c>
      <c r="C93" s="15" t="str">
        <f>IF($P93="","",IFERROR(IF(INDEX(MASTER!$D$4:$D$1463,$P93)="","",INDEX(MASTER!$D$4:$D$1463,$P93)),""))</f>
        <v>Invictus</v>
      </c>
      <c r="D93" s="15" t="str">
        <f>IF($P93="","",IFERROR(IF(INDEX(MASTER!$E$4:$E$1463,$P93)="","",INDEX(MASTER!$E$4:$E$1463,$P93)),""))</f>
        <v>DEMON HUNTER</v>
      </c>
      <c r="E93" s="15" t="str">
        <f>IF($P93="","",IFERROR(IF(INDEX(MASTER!$F$4:$F$1463,$P93)="","",INDEX(MASTER!$F$4:$F$1463,$P93)),""))</f>
        <v>Ranged DPS</v>
      </c>
      <c r="F93" s="16">
        <f>IF($P93="","",IFERROR(IF(INDEX(MASTER!$G$4:$G$1463,$P93)="","",INDEX(MASTER!$G$4:$G$1463,$P93)),""))</f>
        <v>62453</v>
      </c>
      <c r="G93" s="15" t="str">
        <f>IF($P93="","",IFERROR(IF(INDEX(MASTER!$H$4:$H$1463,$P93)="","",INDEX(MASTER!$H$4:$H$1463,$P93)),""))</f>
        <v>62,000 - 62,999</v>
      </c>
      <c r="H93" s="16">
        <f>IF($P93="","",IFERROR(IF(INDEX(MASTER!$I$4:$I$1463,$P93)="","",INDEX(MASTER!$I$4:$I$1463,$P93)),""))</f>
        <v>2037</v>
      </c>
      <c r="I93" s="15" t="str">
        <f>IF($P93="","",IFERROR(IF(INDEX(MASTER!$J$4:$J$1463,$P93)="","",INDEX(MASTER!$J$4:$J$1463,$P93)),""))</f>
        <v>DEVELOPING</v>
      </c>
      <c r="J93" s="17">
        <f>IF($P93="","",IFERROR(IF(INDEX(MASTER!$L$4:$L$1463,$P93)="","",INDEX(MASTER!$L$4:$L$1463,$P93)),""))</f>
        <v>3.4</v>
      </c>
      <c r="K93" s="17">
        <f>IF($P93="","",IFERROR(IF(INDEX(MASTER!$N$4:$N$1463,$P93)="","",INDEX(MASTER!$N$4:$N$1463,$P93)),""))</f>
        <v>34.200000000000003</v>
      </c>
      <c r="L93" s="15" t="str">
        <f>IF($P93="","",IFERROR(IF(INDEX(MASTER!$O$4:$O$1463,$P93)="","",INDEX(MASTER!$O$4:$O$1463,$P93)),""))</f>
        <v>C</v>
      </c>
      <c r="M93" s="15">
        <f>IF($P93="","",IFERROR(IF(INDEX(MASTER!$Q$4:$Q$1463,$P93)="","",INDEX(MASTER!$Q$4:$Q$1463,$P93)),""))</f>
        <v>80</v>
      </c>
      <c r="N93" s="15" t="str">
        <f>IF($P93="","",IFERROR(IF(INDEX(MASTER!$S$4:$S$1463,$P93)="","",INDEX(MASTER!$S$4:$S$1463,$P93)),""))</f>
        <v>Complete</v>
      </c>
      <c r="P93">
        <f>IFERROR(MATCH($Q$1&amp;"@85",MASTER!$AC$4:$AC$1463,0),"")</f>
        <v>1123</v>
      </c>
    </row>
    <row r="94" spans="1:16">
      <c r="A94" s="19">
        <f>IF($P94="","",86)</f>
        <v>86</v>
      </c>
      <c r="B94" s="18" t="str">
        <f>IF($P94="","",IFERROR(IF(INDEX(MASTER!$C$4:$C$1463,$P94)="","",INDEX(MASTER!$C$4:$C$1463,$P94)),""))</f>
        <v>TayTrefenwyd</v>
      </c>
      <c r="C94" s="19" t="str">
        <f>IF($P94="","",IFERROR(IF(INDEX(MASTER!$D$4:$D$1463,$P94)="","",INDEX(MASTER!$D$4:$D$1463,$P94)),""))</f>
        <v>Invictus</v>
      </c>
      <c r="D94" s="19" t="str">
        <f>IF($P94="","",IFERROR(IF(INDEX(MASTER!$E$4:$E$1463,$P94)="","",INDEX(MASTER!$E$4:$E$1463,$P94)),""))</f>
        <v>MONK</v>
      </c>
      <c r="E94" s="19" t="str">
        <f>IF($P94="","",IFERROR(IF(INDEX(MASTER!$F$4:$F$1463,$P94)="","",INDEX(MASTER!$F$4:$F$1463,$P94)),""))</f>
        <v>Support</v>
      </c>
      <c r="F94" s="20">
        <f>IF($P94="","",IFERROR(IF(INDEX(MASTER!$G$4:$G$1463,$P94)="","",INDEX(MASTER!$G$4:$G$1463,$P94)),""))</f>
        <v>61372</v>
      </c>
      <c r="G94" s="19" t="str">
        <f>IF($P94="","",IFERROR(IF(INDEX(MASTER!$H$4:$H$1463,$P94)="","",INDEX(MASTER!$H$4:$H$1463,$P94)),""))</f>
        <v>61,000 - 61,999</v>
      </c>
      <c r="H94" s="20">
        <f>IF($P94="","",IFERROR(IF(INDEX(MASTER!$I$4:$I$1463,$P94)="","",INDEX(MASTER!$I$4:$I$1463,$P94)),""))</f>
        <v>3154</v>
      </c>
      <c r="I94" s="19" t="str">
        <f>IF($P94="","",IFERROR(IF(INDEX(MASTER!$J$4:$J$1463,$P94)="","",INDEX(MASTER!$J$4:$J$1463,$P94)),""))</f>
        <v>DEVELOPING</v>
      </c>
      <c r="J94" s="21">
        <f>IF($P94="","",IFERROR(IF(INDEX(MASTER!$L$4:$L$1463,$P94)="","",INDEX(MASTER!$L$4:$L$1463,$P94)),""))</f>
        <v>5.13</v>
      </c>
      <c r="K94" s="21">
        <f>IF($P94="","",IFERROR(IF(INDEX(MASTER!$N$4:$N$1463,$P94)="","",INDEX(MASTER!$N$4:$N$1463,$P94)),""))</f>
        <v>39.1</v>
      </c>
      <c r="L94" s="19" t="str">
        <f>IF($P94="","",IFERROR(IF(INDEX(MASTER!$O$4:$O$1463,$P94)="","",INDEX(MASTER!$O$4:$O$1463,$P94)),""))</f>
        <v>B</v>
      </c>
      <c r="M94" s="19">
        <f>IF($P94="","",IFERROR(IF(INDEX(MASTER!$Q$4:$Q$1463,$P94)="","",INDEX(MASTER!$Q$4:$Q$1463,$P94)),""))</f>
        <v>47</v>
      </c>
      <c r="N94" s="19" t="str">
        <f>IF($P94="","",IFERROR(IF(INDEX(MASTER!$S$4:$S$1463,$P94)="","",INDEX(MASTER!$S$4:$S$1463,$P94)),""))</f>
        <v>Complete</v>
      </c>
      <c r="P94">
        <f>IFERROR(MATCH($Q$1&amp;"@86",MASTER!$AC$4:$AC$1463,0),"")</f>
        <v>1124</v>
      </c>
    </row>
    <row r="95" spans="1:16">
      <c r="A95" s="15">
        <f>IF($P95="","",87)</f>
        <v>87</v>
      </c>
      <c r="B95" s="14" t="str">
        <f>IF($P95="","",IFERROR(IF(INDEX(MASTER!$C$4:$C$1463,$P95)="","",INDEX(MASTER!$C$4:$C$1463,$P95)),""))</f>
        <v>TheCuddles</v>
      </c>
      <c r="C95" s="15" t="str">
        <f>IF($P95="","",IFERROR(IF(INDEX(MASTER!$D$4:$D$1463,$P95)="","",INDEX(MASTER!$D$4:$D$1463,$P95)),""))</f>
        <v>Invictus</v>
      </c>
      <c r="D95" s="15" t="str">
        <f>IF($P95="","",IFERROR(IF(INDEX(MASTER!$E$4:$E$1463,$P95)="","",INDEX(MASTER!$E$4:$E$1463,$P95)),""))</f>
        <v>BARBARIAN</v>
      </c>
      <c r="E95" s="15" t="str">
        <f>IF($P95="","",IFERROR(IF(INDEX(MASTER!$F$4:$F$1463,$P95)="","",INDEX(MASTER!$F$4:$F$1463,$P95)),""))</f>
        <v>Frontline</v>
      </c>
      <c r="F95" s="16">
        <f>IF($P95="","",IFERROR(IF(INDEX(MASTER!$G$4:$G$1463,$P95)="","",INDEX(MASTER!$G$4:$G$1463,$P95)),""))</f>
        <v>62824</v>
      </c>
      <c r="G95" s="15" t="str">
        <f>IF($P95="","",IFERROR(IF(INDEX(MASTER!$H$4:$H$1463,$P95)="","",INDEX(MASTER!$H$4:$H$1463,$P95)),""))</f>
        <v>62,000 - 62,999</v>
      </c>
      <c r="H95" s="16">
        <f>IF($P95="","",IFERROR(IF(INDEX(MASTER!$I$4:$I$1463,$P95)="","",INDEX(MASTER!$I$4:$I$1463,$P95)),""))</f>
        <v>3032</v>
      </c>
      <c r="I95" s="15" t="str">
        <f>IF($P95="","",IFERROR(IF(INDEX(MASTER!$J$4:$J$1463,$P95)="","",INDEX(MASTER!$J$4:$J$1463,$P95)),""))</f>
        <v>DEVELOPING</v>
      </c>
      <c r="J95" s="17">
        <f>IF($P95="","",IFERROR(IF(INDEX(MASTER!$L$4:$L$1463,$P95)="","",INDEX(MASTER!$L$4:$L$1463,$P95)),""))</f>
        <v>4.95</v>
      </c>
      <c r="K95" s="17">
        <f>IF($P95="","",IFERROR(IF(INDEX(MASTER!$N$4:$N$1463,$P95)="","",INDEX(MASTER!$N$4:$N$1463,$P95)),""))</f>
        <v>42.1</v>
      </c>
      <c r="L95" s="15" t="str">
        <f>IF($P95="","",IFERROR(IF(INDEX(MASTER!$O$4:$O$1463,$P95)="","",INDEX(MASTER!$O$4:$O$1463,$P95)),""))</f>
        <v>B</v>
      </c>
      <c r="M95" s="15">
        <f>IF($P95="","",IFERROR(IF(INDEX(MASTER!$Q$4:$Q$1463,$P95)="","",INDEX(MASTER!$Q$4:$Q$1463,$P95)),""))</f>
        <v>51</v>
      </c>
      <c r="N95" s="15" t="str">
        <f>IF($P95="","",IFERROR(IF(INDEX(MASTER!$S$4:$S$1463,$P95)="","",INDEX(MASTER!$S$4:$S$1463,$P95)),""))</f>
        <v>Complete</v>
      </c>
      <c r="P95">
        <f>IFERROR(MATCH($Q$1&amp;"@87",MASTER!$AC$4:$AC$1463,0),"")</f>
        <v>1134</v>
      </c>
    </row>
    <row r="96" spans="1:16">
      <c r="A96" s="19">
        <f>IF($P96="","",88)</f>
        <v>88</v>
      </c>
      <c r="B96" s="18" t="str">
        <f>IF($P96="","",IFERROR(IF(INDEX(MASTER!$C$4:$C$1463,$P96)="","",INDEX(MASTER!$C$4:$C$1463,$P96)),""))</f>
        <v>UncleBenjen</v>
      </c>
      <c r="C96" s="19" t="str">
        <f>IF($P96="","",IFERROR(IF(INDEX(MASTER!$D$4:$D$1463,$P96)="","",INDEX(MASTER!$D$4:$D$1463,$P96)),""))</f>
        <v>Invictus</v>
      </c>
      <c r="D96" s="19" t="str">
        <f>IF($P96="","",IFERROR(IF(INDEX(MASTER!$E$4:$E$1463,$P96)="","",INDEX(MASTER!$E$4:$E$1463,$P96)),""))</f>
        <v>DEMON HUNTER</v>
      </c>
      <c r="E96" s="19" t="str">
        <f>IF($P96="","",IFERROR(IF(INDEX(MASTER!$F$4:$F$1463,$P96)="","",INDEX(MASTER!$F$4:$F$1463,$P96)),""))</f>
        <v>Ranged DPS</v>
      </c>
      <c r="F96" s="20">
        <f>IF($P96="","",IFERROR(IF(INDEX(MASTER!$G$4:$G$1463,$P96)="","",INDEX(MASTER!$G$4:$G$1463,$P96)),""))</f>
        <v>62660</v>
      </c>
      <c r="G96" s="19" t="str">
        <f>IF($P96="","",IFERROR(IF(INDEX(MASTER!$H$4:$H$1463,$P96)="","",INDEX(MASTER!$H$4:$H$1463,$P96)),""))</f>
        <v>62,000 - 62,999</v>
      </c>
      <c r="H96" s="20">
        <f>IF($P96="","",IFERROR(IF(INDEX(MASTER!$I$4:$I$1463,$P96)="","",INDEX(MASTER!$I$4:$I$1463,$P96)),""))</f>
        <v>2202</v>
      </c>
      <c r="I96" s="19" t="str">
        <f>IF($P96="","",IFERROR(IF(INDEX(MASTER!$J$4:$J$1463,$P96)="","",INDEX(MASTER!$J$4:$J$1463,$P96)),""))</f>
        <v>DEVELOPING</v>
      </c>
      <c r="J96" s="21">
        <f>IF($P96="","",IFERROR(IF(INDEX(MASTER!$L$4:$L$1463,$P96)="","",INDEX(MASTER!$L$4:$L$1463,$P96)),""))</f>
        <v>3.3</v>
      </c>
      <c r="K96" s="21">
        <f>IF($P96="","",IFERROR(IF(INDEX(MASTER!$N$4:$N$1463,$P96)="","",INDEX(MASTER!$N$4:$N$1463,$P96)),""))</f>
        <v>35.299999999999997</v>
      </c>
      <c r="L96" s="19" t="str">
        <f>IF($P96="","",IFERROR(IF(INDEX(MASTER!$O$4:$O$1463,$P96)="","",INDEX(MASTER!$O$4:$O$1463,$P96)),""))</f>
        <v>B</v>
      </c>
      <c r="M96" s="19">
        <f>IF($P96="","",IFERROR(IF(INDEX(MASTER!$Q$4:$Q$1463,$P96)="","",INDEX(MASTER!$Q$4:$Q$1463,$P96)),""))</f>
        <v>75</v>
      </c>
      <c r="N96" s="19" t="str">
        <f>IF($P96="","",IFERROR(IF(INDEX(MASTER!$S$4:$S$1463,$P96)="","",INDEX(MASTER!$S$4:$S$1463,$P96)),""))</f>
        <v>Complete</v>
      </c>
      <c r="P96">
        <f>IFERROR(MATCH($Q$1&amp;"@88",MASTER!$AC$4:$AC$1463,0),"")</f>
        <v>1190</v>
      </c>
    </row>
    <row r="97" spans="1:16">
      <c r="A97" s="15">
        <f>IF($P97="","",89)</f>
        <v>89</v>
      </c>
      <c r="B97" s="14" t="str">
        <f>IF($P97="","",IFERROR(IF(INDEX(MASTER!$C$4:$C$1463,$P97)="","",INDEX(MASTER!$C$4:$C$1463,$P97)),""))</f>
        <v>Untitl3d</v>
      </c>
      <c r="C97" s="15" t="str">
        <f>IF($P97="","",IFERROR(IF(INDEX(MASTER!$D$4:$D$1463,$P97)="","",INDEX(MASTER!$D$4:$D$1463,$P97)),""))</f>
        <v>Invictus</v>
      </c>
      <c r="D97" s="15" t="str">
        <f>IF($P97="","",IFERROR(IF(INDEX(MASTER!$E$4:$E$1463,$P97)="","",INDEX(MASTER!$E$4:$E$1463,$P97)),""))</f>
        <v>WARLOCK</v>
      </c>
      <c r="E97" s="15" t="str">
        <f>IF($P97="","",IFERROR(IF(INDEX(MASTER!$F$4:$F$1463,$P97)="","",INDEX(MASTER!$F$4:$F$1463,$P97)),""))</f>
        <v>Control</v>
      </c>
      <c r="F97" s="16">
        <f>IF($P97="","",IFERROR(IF(INDEX(MASTER!$G$4:$G$1463,$P97)="","",INDEX(MASTER!$G$4:$G$1463,$P97)),""))</f>
        <v>61411</v>
      </c>
      <c r="G97" s="15" t="str">
        <f>IF($P97="","",IFERROR(IF(INDEX(MASTER!$H$4:$H$1463,$P97)="","",INDEX(MASTER!$H$4:$H$1463,$P97)),""))</f>
        <v>61,000 - 61,999</v>
      </c>
      <c r="H97" s="16">
        <f>IF($P97="","",IFERROR(IF(INDEX(MASTER!$I$4:$I$1463,$P97)="","",INDEX(MASTER!$I$4:$I$1463,$P97)),""))</f>
        <v>3704</v>
      </c>
      <c r="I97" s="15" t="str">
        <f>IF($P97="","",IFERROR(IF(INDEX(MASTER!$J$4:$J$1463,$P97)="","",INDEX(MASTER!$J$4:$J$1463,$P97)),""))</f>
        <v>DEVELOPING</v>
      </c>
      <c r="J97" s="17">
        <f>IF($P97="","",IFERROR(IF(INDEX(MASTER!$L$4:$L$1463,$P97)="","",INDEX(MASTER!$L$4:$L$1463,$P97)),""))</f>
        <v>5.05</v>
      </c>
      <c r="K97" s="17">
        <f>IF($P97="","",IFERROR(IF(INDEX(MASTER!$N$4:$N$1463,$P97)="","",INDEX(MASTER!$N$4:$N$1463,$P97)),""))</f>
        <v>41.5</v>
      </c>
      <c r="L97" s="15" t="str">
        <f>IF($P97="","",IFERROR(IF(INDEX(MASTER!$O$4:$O$1463,$P97)="","",INDEX(MASTER!$O$4:$O$1463,$P97)),""))</f>
        <v>B</v>
      </c>
      <c r="M97" s="15">
        <f>IF($P97="","",IFERROR(IF(INDEX(MASTER!$Q$4:$Q$1463,$P97)="","",INDEX(MASTER!$Q$4:$Q$1463,$P97)),""))</f>
        <v>31</v>
      </c>
      <c r="N97" s="15" t="str">
        <f>IF($P97="","",IFERROR(IF(INDEX(MASTER!$S$4:$S$1463,$P97)="","",INDEX(MASTER!$S$4:$S$1463,$P97)),""))</f>
        <v>Complete</v>
      </c>
      <c r="P97">
        <f>IFERROR(MATCH($Q$1&amp;"@89",MASTER!$AC$4:$AC$1463,0),"")</f>
        <v>1193</v>
      </c>
    </row>
    <row r="98" spans="1:16">
      <c r="A98" s="19">
        <f>IF($P98="","",90)</f>
        <v>90</v>
      </c>
      <c r="B98" s="18" t="str">
        <f>IF($P98="","",IFERROR(IF(INDEX(MASTER!$C$4:$C$1463,$P98)="","",INDEX(MASTER!$C$4:$C$1463,$P98)),""))</f>
        <v>varrus</v>
      </c>
      <c r="C98" s="19" t="str">
        <f>IF($P98="","",IFERROR(IF(INDEX(MASTER!$D$4:$D$1463,$P98)="","",INDEX(MASTER!$D$4:$D$1463,$P98)),""))</f>
        <v>Invictus</v>
      </c>
      <c r="D98" s="19" t="str">
        <f>IF($P98="","",IFERROR(IF(INDEX(MASTER!$E$4:$E$1463,$P98)="","",INDEX(MASTER!$E$4:$E$1463,$P98)),""))</f>
        <v>BARBARIAN</v>
      </c>
      <c r="E98" s="19" t="str">
        <f>IF($P98="","",IFERROR(IF(INDEX(MASTER!$F$4:$F$1463,$P98)="","",INDEX(MASTER!$F$4:$F$1463,$P98)),""))</f>
        <v>Frontline</v>
      </c>
      <c r="F98" s="20">
        <f>IF($P98="","",IFERROR(IF(INDEX(MASTER!$G$4:$G$1463,$P98)="","",INDEX(MASTER!$G$4:$G$1463,$P98)),""))</f>
        <v>63037</v>
      </c>
      <c r="G98" s="19" t="str">
        <f>IF($P98="","",IFERROR(IF(INDEX(MASTER!$H$4:$H$1463,$P98)="","",INDEX(MASTER!$H$4:$H$1463,$P98)),""))</f>
        <v>63,000 - 63,999</v>
      </c>
      <c r="H98" s="20">
        <f>IF($P98="","",IFERROR(IF(INDEX(MASTER!$I$4:$I$1463,$P98)="","",INDEX(MASTER!$I$4:$I$1463,$P98)),""))</f>
        <v>4052</v>
      </c>
      <c r="I98" s="19" t="str">
        <f>IF($P98="","",IFERROR(IF(INDEX(MASTER!$J$4:$J$1463,$P98)="","",INDEX(MASTER!$J$4:$J$1463,$P98)),""))</f>
        <v>CORE</v>
      </c>
      <c r="J98" s="21">
        <f>IF($P98="","",IFERROR(IF(INDEX(MASTER!$L$4:$L$1463,$P98)="","",INDEX(MASTER!$L$4:$L$1463,$P98)),""))</f>
        <v>4.6500000000000004</v>
      </c>
      <c r="K98" s="21">
        <f>IF($P98="","",IFERROR(IF(INDEX(MASTER!$N$4:$N$1463,$P98)="","",INDEX(MASTER!$N$4:$N$1463,$P98)),""))</f>
        <v>46.6</v>
      </c>
      <c r="L98" s="19" t="str">
        <f>IF($P98="","",IFERROR(IF(INDEX(MASTER!$O$4:$O$1463,$P98)="","",INDEX(MASTER!$O$4:$O$1463,$P98)),""))</f>
        <v>B</v>
      </c>
      <c r="M98" s="19">
        <f>IF($P98="","",IFERROR(IF(INDEX(MASTER!$Q$4:$Q$1463,$P98)="","",INDEX(MASTER!$Q$4:$Q$1463,$P98)),""))</f>
        <v>26</v>
      </c>
      <c r="N98" s="19" t="str">
        <f>IF($P98="","",IFERROR(IF(INDEX(MASTER!$S$4:$S$1463,$P98)="","",INDEX(MASTER!$S$4:$S$1463,$P98)),""))</f>
        <v>Complete</v>
      </c>
      <c r="P98">
        <f>IFERROR(MATCH($Q$1&amp;"@90",MASTER!$AC$4:$AC$1463,0),"")</f>
        <v>1210</v>
      </c>
    </row>
    <row r="99" spans="1:16">
      <c r="A99" s="15">
        <f>IF($P99="","",91)</f>
        <v>91</v>
      </c>
      <c r="B99" s="14" t="str">
        <f>IF($P99="","",IFERROR(IF(INDEX(MASTER!$C$4:$C$1463,$P99)="","",INDEX(MASTER!$C$4:$C$1463,$P99)),""))</f>
        <v>Volvox</v>
      </c>
      <c r="C99" s="15" t="str">
        <f>IF($P99="","",IFERROR(IF(INDEX(MASTER!$D$4:$D$1463,$P99)="","",INDEX(MASTER!$D$4:$D$1463,$P99)),""))</f>
        <v>Invictus</v>
      </c>
      <c r="D99" s="15" t="str">
        <f>IF($P99="","",IFERROR(IF(INDEX(MASTER!$E$4:$E$1463,$P99)="","",INDEX(MASTER!$E$4:$E$1463,$P99)),""))</f>
        <v>WARLOCK</v>
      </c>
      <c r="E99" s="15" t="str">
        <f>IF($P99="","",IFERROR(IF(INDEX(MASTER!$F$4:$F$1463,$P99)="","",INDEX(MASTER!$F$4:$F$1463,$P99)),""))</f>
        <v>Control</v>
      </c>
      <c r="F99" s="16">
        <f>IF($P99="","",IFERROR(IF(INDEX(MASTER!$G$4:$G$1463,$P99)="","",INDEX(MASTER!$G$4:$G$1463,$P99)),""))</f>
        <v>61080</v>
      </c>
      <c r="G99" s="15" t="str">
        <f>IF($P99="","",IFERROR(IF(INDEX(MASTER!$H$4:$H$1463,$P99)="","",INDEX(MASTER!$H$4:$H$1463,$P99)),""))</f>
        <v>61,000 - 61,999</v>
      </c>
      <c r="H99" s="16">
        <f>IF($P99="","",IFERROR(IF(INDEX(MASTER!$I$4:$I$1463,$P99)="","",INDEX(MASTER!$I$4:$I$1463,$P99)),""))</f>
        <v>1248</v>
      </c>
      <c r="I99" s="15" t="str">
        <f>IF($P99="","",IFERROR(IF(INDEX(MASTER!$J$4:$J$1463,$P99)="","",INDEX(MASTER!$J$4:$J$1463,$P99)),""))</f>
        <v>ROOKIE</v>
      </c>
      <c r="J99" s="17">
        <f>IF($P99="","",IFERROR(IF(INDEX(MASTER!$L$4:$L$1463,$P99)="","",INDEX(MASTER!$L$4:$L$1463,$P99)),""))</f>
        <v>3.45</v>
      </c>
      <c r="K99" s="17">
        <f>IF($P99="","",IFERROR(IF(INDEX(MASTER!$N$4:$N$1463,$P99)="","",INDEX(MASTER!$N$4:$N$1463,$P99)),""))</f>
        <v>27.2</v>
      </c>
      <c r="L99" s="15" t="str">
        <f>IF($P99="","",IFERROR(IF(INDEX(MASTER!$O$4:$O$1463,$P99)="","",INDEX(MASTER!$O$4:$O$1463,$P99)),""))</f>
        <v>C</v>
      </c>
      <c r="M99" s="15">
        <f>IF($P99="","",IFERROR(IF(INDEX(MASTER!$Q$4:$Q$1463,$P99)="","",INDEX(MASTER!$Q$4:$Q$1463,$P99)),""))</f>
        <v>93</v>
      </c>
      <c r="N99" s="15" t="str">
        <f>IF($P99="","",IFERROR(IF(INDEX(MASTER!$S$4:$S$1463,$P99)="","",INDEX(MASTER!$S$4:$S$1463,$P99)),""))</f>
        <v>Complete</v>
      </c>
      <c r="P99">
        <f>IFERROR(MATCH($Q$1&amp;"@91",MASTER!$AC$4:$AC$1463,0),"")</f>
        <v>1229</v>
      </c>
    </row>
    <row r="100" spans="1:16">
      <c r="A100" s="19">
        <f>IF($P100="","",92)</f>
        <v>92</v>
      </c>
      <c r="B100" s="18" t="str">
        <f>IF($P100="","",IFERROR(IF(INDEX(MASTER!$C$4:$C$1463,$P100)="","",INDEX(MASTER!$C$4:$C$1463,$P100)),""))</f>
        <v>VonBluebell</v>
      </c>
      <c r="C100" s="19" t="str">
        <f>IF($P100="","",IFERROR(IF(INDEX(MASTER!$D$4:$D$1463,$P100)="","",INDEX(MASTER!$D$4:$D$1463,$P100)),""))</f>
        <v>Invictus</v>
      </c>
      <c r="D100" s="19" t="str">
        <f>IF($P100="","",IFERROR(IF(INDEX(MASTER!$E$4:$E$1463,$P100)="","",INDEX(MASTER!$E$4:$E$1463,$P100)),""))</f>
        <v>TEMPEST</v>
      </c>
      <c r="E100" s="19" t="str">
        <f>IF($P100="","",IFERROR(IF(INDEX(MASTER!$F$4:$F$1463,$P100)="","",INDEX(MASTER!$F$4:$F$1463,$P100)),""))</f>
        <v>Melee DPS</v>
      </c>
      <c r="F100" s="20">
        <f>IF($P100="","",IFERROR(IF(INDEX(MASTER!$G$4:$G$1463,$P100)="","",INDEX(MASTER!$G$4:$G$1463,$P100)),""))</f>
        <v>61232</v>
      </c>
      <c r="G100" s="19" t="str">
        <f>IF($P100="","",IFERROR(IF(INDEX(MASTER!$H$4:$H$1463,$P100)="","",INDEX(MASTER!$H$4:$H$1463,$P100)),""))</f>
        <v>61,000 - 61,999</v>
      </c>
      <c r="H100" s="20">
        <f>IF($P100="","",IFERROR(IF(INDEX(MASTER!$I$4:$I$1463,$P100)="","",INDEX(MASTER!$I$4:$I$1463,$P100)),""))</f>
        <v>2684</v>
      </c>
      <c r="I100" s="19" t="str">
        <f>IF($P100="","",IFERROR(IF(INDEX(MASTER!$J$4:$J$1463,$P100)="","",INDEX(MASTER!$J$4:$J$1463,$P100)),""))</f>
        <v>DEVELOPING</v>
      </c>
      <c r="J100" s="21">
        <f>IF($P100="","",IFERROR(IF(INDEX(MASTER!$L$4:$L$1463,$P100)="","",INDEX(MASTER!$L$4:$L$1463,$P100)),""))</f>
        <v>3.6</v>
      </c>
      <c r="K100" s="21">
        <f>IF($P100="","",IFERROR(IF(INDEX(MASTER!$N$4:$N$1463,$P100)="","",INDEX(MASTER!$N$4:$N$1463,$P100)),""))</f>
        <v>34.1</v>
      </c>
      <c r="L100" s="19" t="str">
        <f>IF($P100="","",IFERROR(IF(INDEX(MASTER!$O$4:$O$1463,$P100)="","",INDEX(MASTER!$O$4:$O$1463,$P100)),""))</f>
        <v>C</v>
      </c>
      <c r="M100" s="19">
        <f>IF($P100="","",IFERROR(IF(INDEX(MASTER!$Q$4:$Q$1463,$P100)="","",INDEX(MASTER!$Q$4:$Q$1463,$P100)),""))</f>
        <v>64</v>
      </c>
      <c r="N100" s="19" t="str">
        <f>IF($P100="","",IFERROR(IF(INDEX(MASTER!$S$4:$S$1463,$P100)="","",INDEX(MASTER!$S$4:$S$1463,$P100)),""))</f>
        <v>Complete</v>
      </c>
      <c r="P100">
        <f>IFERROR(MATCH($Q$1&amp;"@92",MASTER!$AC$4:$AC$1463,0),"")</f>
        <v>1231</v>
      </c>
    </row>
    <row r="101" spans="1:16">
      <c r="A101" s="15">
        <f>IF($P101="","",93)</f>
        <v>93</v>
      </c>
      <c r="B101" s="14" t="str">
        <f>IF($P101="","",IFERROR(IF(INDEX(MASTER!$C$4:$C$1463,$P101)="","",INDEX(MASTER!$C$4:$C$1463,$P101)),""))</f>
        <v>Waclair</v>
      </c>
      <c r="C101" s="15" t="str">
        <f>IF($P101="","",IFERROR(IF(INDEX(MASTER!$D$4:$D$1463,$P101)="","",INDEX(MASTER!$D$4:$D$1463,$P101)),""))</f>
        <v>Invictus</v>
      </c>
      <c r="D101" s="15" t="str">
        <f>IF($P101="","",IFERROR(IF(INDEX(MASTER!$E$4:$E$1463,$P101)="","",INDEX(MASTER!$E$4:$E$1463,$P101)),""))</f>
        <v>DRUID</v>
      </c>
      <c r="E101" s="15" t="str">
        <f>IF($P101="","",IFERROR(IF(INDEX(MASTER!$F$4:$F$1463,$P101)="","",INDEX(MASTER!$F$4:$F$1463,$P101)),""))</f>
        <v>Support</v>
      </c>
      <c r="F101" s="16">
        <f>IF($P101="","",IFERROR(IF(INDEX(MASTER!$G$4:$G$1463,$P101)="","",INDEX(MASTER!$G$4:$G$1463,$P101)),""))</f>
        <v>53519</v>
      </c>
      <c r="G101" s="15" t="str">
        <f>IF($P101="","",IFERROR(IF(INDEX(MASTER!$H$4:$H$1463,$P101)="","",INDEX(MASTER!$H$4:$H$1463,$P101)),""))</f>
        <v>Under 58,000</v>
      </c>
      <c r="H101" s="16">
        <f>IF($P101="","",IFERROR(IF(INDEX(MASTER!$I$4:$I$1463,$P101)="","",INDEX(MASTER!$I$4:$I$1463,$P101)),""))</f>
        <v>1217</v>
      </c>
      <c r="I101" s="15" t="str">
        <f>IF($P101="","",IFERROR(IF(INDEX(MASTER!$J$4:$J$1463,$P101)="","",INDEX(MASTER!$J$4:$J$1463,$P101)),""))</f>
        <v>ROOKIE</v>
      </c>
      <c r="J101" s="17">
        <f>IF($P101="","",IFERROR(IF(INDEX(MASTER!$L$4:$L$1463,$P101)="","",INDEX(MASTER!$L$4:$L$1463,$P101)),""))</f>
        <v>3.05</v>
      </c>
      <c r="K101" s="17">
        <f>IF($P101="","",IFERROR(IF(INDEX(MASTER!$N$4:$N$1463,$P101)="","",INDEX(MASTER!$N$4:$N$1463,$P101)),""))</f>
        <v>10.4</v>
      </c>
      <c r="L101" s="15" t="str">
        <f>IF($P101="","",IFERROR(IF(INDEX(MASTER!$O$4:$O$1463,$P101)="","",INDEX(MASTER!$O$4:$O$1463,$P101)),""))</f>
        <v>D</v>
      </c>
      <c r="M101" s="15">
        <f>IF($P101="","",IFERROR(IF(INDEX(MASTER!$Q$4:$Q$1463,$P101)="","",INDEX(MASTER!$Q$4:$Q$1463,$P101)),""))</f>
        <v>94</v>
      </c>
      <c r="N101" s="15" t="str">
        <f>IF($P101="","",IFERROR(IF(INDEX(MASTER!$S$4:$S$1463,$P101)="","",INDEX(MASTER!$S$4:$S$1463,$P101)),""))</f>
        <v>Complete</v>
      </c>
      <c r="P101">
        <f>IFERROR(MATCH($Q$1&amp;"@93",MASTER!$AC$4:$AC$1463,0),"")</f>
        <v>1236</v>
      </c>
    </row>
    <row r="102" spans="1:16">
      <c r="A102" s="19">
        <f>IF($P102="","",94)</f>
        <v>94</v>
      </c>
      <c r="B102" s="18" t="str">
        <f>IF($P102="","",IFERROR(IF(INDEX(MASTER!$C$4:$C$1463,$P102)="","",INDEX(MASTER!$C$4:$C$1463,$P102)),""))</f>
        <v>WarmFuzzy</v>
      </c>
      <c r="C102" s="19" t="str">
        <f>IF($P102="","",IFERROR(IF(INDEX(MASTER!$D$4:$D$1463,$P102)="","",INDEX(MASTER!$D$4:$D$1463,$P102)),""))</f>
        <v>Invictus</v>
      </c>
      <c r="D102" s="19" t="str">
        <f>IF($P102="","",IFERROR(IF(INDEX(MASTER!$E$4:$E$1463,$P102)="","",INDEX(MASTER!$E$4:$E$1463,$P102)),""))</f>
        <v>BARBARIAN</v>
      </c>
      <c r="E102" s="19" t="str">
        <f>IF($P102="","",IFERROR(IF(INDEX(MASTER!$F$4:$F$1463,$P102)="","",INDEX(MASTER!$F$4:$F$1463,$P102)),""))</f>
        <v>Frontline</v>
      </c>
      <c r="F102" s="20">
        <f>IF($P102="","",IFERROR(IF(INDEX(MASTER!$G$4:$G$1463,$P102)="","",INDEX(MASTER!$G$4:$G$1463,$P102)),""))</f>
        <v>61759</v>
      </c>
      <c r="G102" s="19" t="str">
        <f>IF($P102="","",IFERROR(IF(INDEX(MASTER!$H$4:$H$1463,$P102)="","",INDEX(MASTER!$H$4:$H$1463,$P102)),""))</f>
        <v>61,000 - 61,999</v>
      </c>
      <c r="H102" s="20">
        <f>IF($P102="","",IFERROR(IF(INDEX(MASTER!$I$4:$I$1463,$P102)="","",INDEX(MASTER!$I$4:$I$1463,$P102)),""))</f>
        <v>1966</v>
      </c>
      <c r="I102" s="19" t="str">
        <f>IF($P102="","",IFERROR(IF(INDEX(MASTER!$J$4:$J$1463,$P102)="","",INDEX(MASTER!$J$4:$J$1463,$P102)),""))</f>
        <v>ROOKIE</v>
      </c>
      <c r="J102" s="21">
        <f>IF($P102="","",IFERROR(IF(INDEX(MASTER!$L$4:$L$1463,$P102)="","",INDEX(MASTER!$L$4:$L$1463,$P102)),""))</f>
        <v>3.5</v>
      </c>
      <c r="K102" s="21">
        <f>IF($P102="","",IFERROR(IF(INDEX(MASTER!$N$4:$N$1463,$P102)="","",INDEX(MASTER!$N$4:$N$1463,$P102)),""))</f>
        <v>32.200000000000003</v>
      </c>
      <c r="L102" s="19" t="str">
        <f>IF($P102="","",IFERROR(IF(INDEX(MASTER!$O$4:$O$1463,$P102)="","",INDEX(MASTER!$O$4:$O$1463,$P102)),""))</f>
        <v>C</v>
      </c>
      <c r="M102" s="19">
        <f>IF($P102="","",IFERROR(IF(INDEX(MASTER!$Q$4:$Q$1463,$P102)="","",INDEX(MASTER!$Q$4:$Q$1463,$P102)),""))</f>
        <v>85</v>
      </c>
      <c r="N102" s="19" t="str">
        <f>IF($P102="","",IFERROR(IF(INDEX(MASTER!$S$4:$S$1463,$P102)="","",INDEX(MASTER!$S$4:$S$1463,$P102)),""))</f>
        <v>Complete</v>
      </c>
      <c r="P102">
        <f>IFERROR(MATCH($Q$1&amp;"@94",MASTER!$AC$4:$AC$1463,0),"")</f>
        <v>1241</v>
      </c>
    </row>
    <row r="103" spans="1:16">
      <c r="A103" s="15">
        <f>IF($P103="","",95)</f>
        <v>95</v>
      </c>
      <c r="B103" s="14" t="str">
        <f>IF($P103="","",IFERROR(IF(INDEX(MASTER!$C$4:$C$1463,$P103)="","",INDEX(MASTER!$C$4:$C$1463,$P103)),""))</f>
        <v>WhiPiT</v>
      </c>
      <c r="C103" s="15" t="str">
        <f>IF($P103="","",IFERROR(IF(INDEX(MASTER!$D$4:$D$1463,$P103)="","",INDEX(MASTER!$D$4:$D$1463,$P103)),""))</f>
        <v>Invictus</v>
      </c>
      <c r="D103" s="15" t="str">
        <f>IF($P103="","",IFERROR(IF(INDEX(MASTER!$E$4:$E$1463,$P103)="","",INDEX(MASTER!$E$4:$E$1463,$P103)),""))</f>
        <v>DEMON HUNTER</v>
      </c>
      <c r="E103" s="15" t="str">
        <f>IF($P103="","",IFERROR(IF(INDEX(MASTER!$F$4:$F$1463,$P103)="","",INDEX(MASTER!$F$4:$F$1463,$P103)),""))</f>
        <v>Ranged DPS</v>
      </c>
      <c r="F103" s="16">
        <f>IF($P103="","",IFERROR(IF(INDEX(MASTER!$G$4:$G$1463,$P103)="","",INDEX(MASTER!$G$4:$G$1463,$P103)),""))</f>
        <v>61764</v>
      </c>
      <c r="G103" s="15" t="str">
        <f>IF($P103="","",IFERROR(IF(INDEX(MASTER!$H$4:$H$1463,$P103)="","",INDEX(MASTER!$H$4:$H$1463,$P103)),""))</f>
        <v>61,000 - 61,999</v>
      </c>
      <c r="H103" s="16">
        <f>IF($P103="","",IFERROR(IF(INDEX(MASTER!$I$4:$I$1463,$P103)="","",INDEX(MASTER!$I$4:$I$1463,$P103)),""))</f>
        <v>2750</v>
      </c>
      <c r="I103" s="15" t="str">
        <f>IF($P103="","",IFERROR(IF(INDEX(MASTER!$J$4:$J$1463,$P103)="","",INDEX(MASTER!$J$4:$J$1463,$P103)),""))</f>
        <v>DEVELOPING</v>
      </c>
      <c r="J103" s="17">
        <f>IF($P103="","",IFERROR(IF(INDEX(MASTER!$L$4:$L$1463,$P103)="","",INDEX(MASTER!$L$4:$L$1463,$P103)),""))</f>
        <v>3.7</v>
      </c>
      <c r="K103" s="17">
        <f>IF($P103="","",IFERROR(IF(INDEX(MASTER!$N$4:$N$1463,$P103)="","",INDEX(MASTER!$N$4:$N$1463,$P103)),""))</f>
        <v>36</v>
      </c>
      <c r="L103" s="15" t="str">
        <f>IF($P103="","",IFERROR(IF(INDEX(MASTER!$O$4:$O$1463,$P103)="","",INDEX(MASTER!$O$4:$O$1463,$P103)),""))</f>
        <v>B</v>
      </c>
      <c r="M103" s="15">
        <f>IF($P103="","",IFERROR(IF(INDEX(MASTER!$Q$4:$Q$1463,$P103)="","",INDEX(MASTER!$Q$4:$Q$1463,$P103)),""))</f>
        <v>61</v>
      </c>
      <c r="N103" s="15" t="str">
        <f>IF($P103="","",IFERROR(IF(INDEX(MASTER!$S$4:$S$1463,$P103)="","",INDEX(MASTER!$S$4:$S$1463,$P103)),""))</f>
        <v>Complete</v>
      </c>
      <c r="P103">
        <f>IFERROR(MATCH($Q$1&amp;"@95",MASTER!$AC$4:$AC$1463,0),"")</f>
        <v>1246</v>
      </c>
    </row>
    <row r="104" spans="1:16">
      <c r="A104" s="19">
        <f>IF($P104="","",96)</f>
        <v>96</v>
      </c>
      <c r="B104" s="18" t="str">
        <f>IF($P104="","",IFERROR(IF(INDEX(MASTER!$C$4:$C$1463,$P104)="","",INDEX(MASTER!$C$4:$C$1463,$P104)),""))</f>
        <v>Wrap</v>
      </c>
      <c r="C104" s="19" t="str">
        <f>IF($P104="","",IFERROR(IF(INDEX(MASTER!$D$4:$D$1463,$P104)="","",INDEX(MASTER!$D$4:$D$1463,$P104)),""))</f>
        <v>Invictus</v>
      </c>
      <c r="D104" s="19" t="str">
        <f>IF($P104="","",IFERROR(IF(INDEX(MASTER!$E$4:$E$1463,$P104)="","",INDEX(MASTER!$E$4:$E$1463,$P104)),""))</f>
        <v>BARBARIAN</v>
      </c>
      <c r="E104" s="19" t="str">
        <f>IF($P104="","",IFERROR(IF(INDEX(MASTER!$F$4:$F$1463,$P104)="","",INDEX(MASTER!$F$4:$F$1463,$P104)),""))</f>
        <v>Frontline</v>
      </c>
      <c r="F104" s="20">
        <f>IF($P104="","",IFERROR(IF(INDEX(MASTER!$G$4:$G$1463,$P104)="","",INDEX(MASTER!$G$4:$G$1463,$P104)),""))</f>
        <v>63456</v>
      </c>
      <c r="G104" s="19" t="str">
        <f>IF($P104="","",IFERROR(IF(INDEX(MASTER!$H$4:$H$1463,$P104)="","",INDEX(MASTER!$H$4:$H$1463,$P104)),""))</f>
        <v>63,000 - 63,999</v>
      </c>
      <c r="H104" s="20">
        <f>IF($P104="","",IFERROR(IF(INDEX(MASTER!$I$4:$I$1463,$P104)="","",INDEX(MASTER!$I$4:$I$1463,$P104)),""))</f>
        <v>6215</v>
      </c>
      <c r="I104" s="19" t="str">
        <f>IF($P104="","",IFERROR(IF(INDEX(MASTER!$J$4:$J$1463,$P104)="","",INDEX(MASTER!$J$4:$J$1463,$P104)),""))</f>
        <v>VETERAN</v>
      </c>
      <c r="J104" s="21">
        <f>IF($P104="","",IFERROR(IF(INDEX(MASTER!$L$4:$L$1463,$P104)="","",INDEX(MASTER!$L$4:$L$1463,$P104)),""))</f>
        <v>6.7</v>
      </c>
      <c r="K104" s="21">
        <f>IF($P104="","",IFERROR(IF(INDEX(MASTER!$N$4:$N$1463,$P104)="","",INDEX(MASTER!$N$4:$N$1463,$P104)),""))</f>
        <v>60.5</v>
      </c>
      <c r="L104" s="19" t="str">
        <f>IF($P104="","",IFERROR(IF(INDEX(MASTER!$O$4:$O$1463,$P104)="","",INDEX(MASTER!$O$4:$O$1463,$P104)),""))</f>
        <v>A</v>
      </c>
      <c r="M104" s="19">
        <f>IF($P104="","",IFERROR(IF(INDEX(MASTER!$Q$4:$Q$1463,$P104)="","",INDEX(MASTER!$Q$4:$Q$1463,$P104)),""))</f>
        <v>7</v>
      </c>
      <c r="N104" s="19" t="str">
        <f>IF($P104="","",IFERROR(IF(INDEX(MASTER!$S$4:$S$1463,$P104)="","",INDEX(MASTER!$S$4:$S$1463,$P104)),""))</f>
        <v>Complete</v>
      </c>
      <c r="P104">
        <f>IFERROR(MATCH($Q$1&amp;"@96",MASTER!$AC$4:$AC$1463,0),"")</f>
        <v>1266</v>
      </c>
    </row>
    <row r="105" spans="1:16">
      <c r="A105" s="15">
        <f>IF($P105="","",97)</f>
        <v>97</v>
      </c>
      <c r="B105" s="14" t="str">
        <f>IF($P105="","",IFERROR(IF(INDEX(MASTER!$C$4:$C$1463,$P105)="","",INDEX(MASTER!$C$4:$C$1463,$P105)),""))</f>
        <v>XxColetteBijouxX</v>
      </c>
      <c r="C105" s="15" t="str">
        <f>IF($P105="","",IFERROR(IF(INDEX(MASTER!$D$4:$D$1463,$P105)="","",INDEX(MASTER!$D$4:$D$1463,$P105)),""))</f>
        <v>Invictus</v>
      </c>
      <c r="D105" s="15" t="str">
        <f>IF($P105="","",IFERROR(IF(INDEX(MASTER!$E$4:$E$1463,$P105)="","",INDEX(MASTER!$E$4:$E$1463,$P105)),""))</f>
        <v>NECROMANCER</v>
      </c>
      <c r="E105" s="15" t="str">
        <f>IF($P105="","",IFERROR(IF(INDEX(MASTER!$F$4:$F$1463,$P105)="","",INDEX(MASTER!$F$4:$F$1463,$P105)),""))</f>
        <v>Control</v>
      </c>
      <c r="F105" s="16">
        <f>IF($P105="","",IFERROR(IF(INDEX(MASTER!$G$4:$G$1463,$P105)="","",INDEX(MASTER!$G$4:$G$1463,$P105)),""))</f>
        <v>62152</v>
      </c>
      <c r="G105" s="15" t="str">
        <f>IF($P105="","",IFERROR(IF(INDEX(MASTER!$H$4:$H$1463,$P105)="","",INDEX(MASTER!$H$4:$H$1463,$P105)),""))</f>
        <v>62,000 - 62,999</v>
      </c>
      <c r="H105" s="16">
        <f>IF($P105="","",IFERROR(IF(INDEX(MASTER!$I$4:$I$1463,$P105)="","",INDEX(MASTER!$I$4:$I$1463,$P105)),""))</f>
        <v>2634</v>
      </c>
      <c r="I105" s="15" t="str">
        <f>IF($P105="","",IFERROR(IF(INDEX(MASTER!$J$4:$J$1463,$P105)="","",INDEX(MASTER!$J$4:$J$1463,$P105)),""))</f>
        <v>DEVELOPING</v>
      </c>
      <c r="J105" s="17">
        <f>IF($P105="","",IFERROR(IF(INDEX(MASTER!$L$4:$L$1463,$P105)="","",INDEX(MASTER!$L$4:$L$1463,$P105)),""))</f>
        <v>3.43</v>
      </c>
      <c r="K105" s="17">
        <f>IF($P105="","",IFERROR(IF(INDEX(MASTER!$N$4:$N$1463,$P105)="","",INDEX(MASTER!$N$4:$N$1463,$P105)),""))</f>
        <v>36</v>
      </c>
      <c r="L105" s="15" t="str">
        <f>IF($P105="","",IFERROR(IF(INDEX(MASTER!$O$4:$O$1463,$P105)="","",INDEX(MASTER!$O$4:$O$1463,$P105)),""))</f>
        <v>B</v>
      </c>
      <c r="M105" s="15">
        <f>IF($P105="","",IFERROR(IF(INDEX(MASTER!$Q$4:$Q$1463,$P105)="","",INDEX(MASTER!$Q$4:$Q$1463,$P105)),""))</f>
        <v>65</v>
      </c>
      <c r="N105" s="15" t="str">
        <f>IF($P105="","",IFERROR(IF(INDEX(MASTER!$S$4:$S$1463,$P105)="","",INDEX(MASTER!$S$4:$S$1463,$P105)),""))</f>
        <v>Complete</v>
      </c>
      <c r="P105">
        <f>IFERROR(MATCH($Q$1&amp;"@97",MASTER!$AC$4:$AC$1463,0),"")</f>
        <v>1290</v>
      </c>
    </row>
    <row r="106" spans="1:16">
      <c r="A106" s="19">
        <f>IF($P106="","",98)</f>
        <v>98</v>
      </c>
      <c r="B106" s="18" t="str">
        <f>IF($P106="","",IFERROR(IF(INDEX(MASTER!$C$4:$C$1463,$P106)="","",INDEX(MASTER!$C$4:$C$1463,$P106)),""))</f>
        <v>Yaway</v>
      </c>
      <c r="C106" s="19" t="str">
        <f>IF($P106="","",IFERROR(IF(INDEX(MASTER!$D$4:$D$1463,$P106)="","",INDEX(MASTER!$D$4:$D$1463,$P106)),""))</f>
        <v>Invictus</v>
      </c>
      <c r="D106" s="19" t="str">
        <f>IF($P106="","",IFERROR(IF(INDEX(MASTER!$E$4:$E$1463,$P106)="","",INDEX(MASTER!$E$4:$E$1463,$P106)),""))</f>
        <v>WIZARD</v>
      </c>
      <c r="E106" s="19" t="str">
        <f>IF($P106="","",IFERROR(IF(INDEX(MASTER!$F$4:$F$1463,$P106)="","",INDEX(MASTER!$F$4:$F$1463,$P106)),""))</f>
        <v>Ranged DPS</v>
      </c>
      <c r="F106" s="20">
        <f>IF($P106="","",IFERROR(IF(INDEX(MASTER!$G$4:$G$1463,$P106)="","",INDEX(MASTER!$G$4:$G$1463,$P106)),""))</f>
        <v>61943</v>
      </c>
      <c r="G106" s="19" t="str">
        <f>IF($P106="","",IFERROR(IF(INDEX(MASTER!$H$4:$H$1463,$P106)="","",INDEX(MASTER!$H$4:$H$1463,$P106)),""))</f>
        <v>61,000 - 61,999</v>
      </c>
      <c r="H106" s="20">
        <f>IF($P106="","",IFERROR(IF(INDEX(MASTER!$I$4:$I$1463,$P106)="","",INDEX(MASTER!$I$4:$I$1463,$P106)),""))</f>
        <v>3291</v>
      </c>
      <c r="I106" s="19" t="str">
        <f>IF($P106="","",IFERROR(IF(INDEX(MASTER!$J$4:$J$1463,$P106)="","",INDEX(MASTER!$J$4:$J$1463,$P106)),""))</f>
        <v>DEVELOPING</v>
      </c>
      <c r="J106" s="21">
        <f>IF($P106="","",IFERROR(IF(INDEX(MASTER!$L$4:$L$1463,$P106)="","",INDEX(MASTER!$L$4:$L$1463,$P106)),""))</f>
        <v>4.8499999999999996</v>
      </c>
      <c r="K106" s="21">
        <f>IF($P106="","",IFERROR(IF(INDEX(MASTER!$N$4:$N$1463,$P106)="","",INDEX(MASTER!$N$4:$N$1463,$P106)),""))</f>
        <v>40.700000000000003</v>
      </c>
      <c r="L106" s="19" t="str">
        <f>IF($P106="","",IFERROR(IF(INDEX(MASTER!$O$4:$O$1463,$P106)="","",INDEX(MASTER!$O$4:$O$1463,$P106)),""))</f>
        <v>B</v>
      </c>
      <c r="M106" s="19">
        <f>IF($P106="","",IFERROR(IF(INDEX(MASTER!$Q$4:$Q$1463,$P106)="","",INDEX(MASTER!$Q$4:$Q$1463,$P106)),""))</f>
        <v>43</v>
      </c>
      <c r="N106" s="19" t="str">
        <f>IF($P106="","",IFERROR(IF(INDEX(MASTER!$S$4:$S$1463,$P106)="","",INDEX(MASTER!$S$4:$S$1463,$P106)),""))</f>
        <v>Complete</v>
      </c>
      <c r="P106">
        <f>IFERROR(MATCH($Q$1&amp;"@98",MASTER!$AC$4:$AC$1463,0),"")</f>
        <v>1298</v>
      </c>
    </row>
    <row r="107" spans="1:16">
      <c r="A107" s="15">
        <f>IF($P107="","",99)</f>
        <v>99</v>
      </c>
      <c r="B107" s="14" t="str">
        <f>IF($P107="","",IFERROR(IF(INDEX(MASTER!$C$4:$C$1463,$P107)="","",INDEX(MASTER!$C$4:$C$1463,$P107)),""))</f>
        <v>Yruu</v>
      </c>
      <c r="C107" s="15" t="str">
        <f>IF($P107="","",IFERROR(IF(INDEX(MASTER!$D$4:$D$1463,$P107)="","",INDEX(MASTER!$D$4:$D$1463,$P107)),""))</f>
        <v>Invictus</v>
      </c>
      <c r="D107" s="15" t="str">
        <f>IF($P107="","",IFERROR(IF(INDEX(MASTER!$E$4:$E$1463,$P107)="","",INDEX(MASTER!$E$4:$E$1463,$P107)),""))</f>
        <v>BLOOD KNIGHT</v>
      </c>
      <c r="E107" s="15" t="str">
        <f>IF($P107="","",IFERROR(IF(INDEX(MASTER!$F$4:$F$1463,$P107)="","",INDEX(MASTER!$F$4:$F$1463,$P107)),""))</f>
        <v>Frontline</v>
      </c>
      <c r="F107" s="16">
        <f>IF($P107="","",IFERROR(IF(INDEX(MASTER!$G$4:$G$1463,$P107)="","",INDEX(MASTER!$G$4:$G$1463,$P107)),""))</f>
        <v>62868</v>
      </c>
      <c r="G107" s="15" t="str">
        <f>IF($P107="","",IFERROR(IF(INDEX(MASTER!$H$4:$H$1463,$P107)="","",INDEX(MASTER!$H$4:$H$1463,$P107)),""))</f>
        <v>62,000 - 62,999</v>
      </c>
      <c r="H107" s="16">
        <f>IF($P107="","",IFERROR(IF(INDEX(MASTER!$I$4:$I$1463,$P107)="","",INDEX(MASTER!$I$4:$I$1463,$P107)),""))</f>
        <v>3804</v>
      </c>
      <c r="I107" s="15" t="str">
        <f>IF($P107="","",IFERROR(IF(INDEX(MASTER!$J$4:$J$1463,$P107)="","",INDEX(MASTER!$J$4:$J$1463,$P107)),""))</f>
        <v>DEVELOPING</v>
      </c>
      <c r="J107" s="17">
        <f>IF($P107="","",IFERROR(IF(INDEX(MASTER!$L$4:$L$1463,$P107)="","",INDEX(MASTER!$L$4:$L$1463,$P107)),""))</f>
        <v>5.63</v>
      </c>
      <c r="K107" s="17">
        <f>IF($P107="","",IFERROR(IF(INDEX(MASTER!$N$4:$N$1463,$P107)="","",INDEX(MASTER!$N$4:$N$1463,$P107)),""))</f>
        <v>46.7</v>
      </c>
      <c r="L107" s="15" t="str">
        <f>IF($P107="","",IFERROR(IF(INDEX(MASTER!$O$4:$O$1463,$P107)="","",INDEX(MASTER!$O$4:$O$1463,$P107)),""))</f>
        <v>B</v>
      </c>
      <c r="M107" s="15">
        <f>IF($P107="","",IFERROR(IF(INDEX(MASTER!$Q$4:$Q$1463,$P107)="","",INDEX(MASTER!$Q$4:$Q$1463,$P107)),""))</f>
        <v>29</v>
      </c>
      <c r="N107" s="15" t="str">
        <f>IF($P107="","",IFERROR(IF(INDEX(MASTER!$S$4:$S$1463,$P107)="","",INDEX(MASTER!$S$4:$S$1463,$P107)),""))</f>
        <v>Complete</v>
      </c>
      <c r="P107">
        <f>IFERROR(MATCH($Q$1&amp;"@99",MASTER!$AC$4:$AC$1463,0),"")</f>
        <v>1304</v>
      </c>
    </row>
    <row r="108" spans="1:16">
      <c r="A108" s="19">
        <f>IF($P108="","",100)</f>
        <v>100</v>
      </c>
      <c r="B108" s="18" t="str">
        <f>IF($P108="","",IFERROR(IF(INDEX(MASTER!$C$4:$C$1463,$P108)="","",INDEX(MASTER!$C$4:$C$1463,$P108)),""))</f>
        <v>カオス</v>
      </c>
      <c r="C108" s="19" t="str">
        <f>IF($P108="","",IFERROR(IF(INDEX(MASTER!$D$4:$D$1463,$P108)="","",INDEX(MASTER!$D$4:$D$1463,$P108)),""))</f>
        <v>Invictus</v>
      </c>
      <c r="D108" s="19" t="str">
        <f>IF($P108="","",IFERROR(IF(INDEX(MASTER!$E$4:$E$1463,$P108)="","",INDEX(MASTER!$E$4:$E$1463,$P108)),""))</f>
        <v>TEMPEST</v>
      </c>
      <c r="E108" s="19" t="str">
        <f>IF($P108="","",IFERROR(IF(INDEX(MASTER!$F$4:$F$1463,$P108)="","",INDEX(MASTER!$F$4:$F$1463,$P108)),""))</f>
        <v>Melee DPS</v>
      </c>
      <c r="F108" s="20">
        <f>IF($P108="","",IFERROR(IF(INDEX(MASTER!$G$4:$G$1463,$P108)="","",INDEX(MASTER!$G$4:$G$1463,$P108)),""))</f>
        <v>62453</v>
      </c>
      <c r="G108" s="19" t="str">
        <f>IF($P108="","",IFERROR(IF(INDEX(MASTER!$H$4:$H$1463,$P108)="","",INDEX(MASTER!$H$4:$H$1463,$P108)),""))</f>
        <v>62,000 - 62,999</v>
      </c>
      <c r="H108" s="20">
        <f>IF($P108="","",IFERROR(IF(INDEX(MASTER!$I$4:$I$1463,$P108)="","",INDEX(MASTER!$I$4:$I$1463,$P108)),""))</f>
        <v>2900</v>
      </c>
      <c r="I108" s="19" t="str">
        <f>IF($P108="","",IFERROR(IF(INDEX(MASTER!$J$4:$J$1463,$P108)="","",INDEX(MASTER!$J$4:$J$1463,$P108)),""))</f>
        <v>DEVELOPING</v>
      </c>
      <c r="J108" s="21">
        <f>IF($P108="","",IFERROR(IF(INDEX(MASTER!$L$4:$L$1463,$P108)="","",INDEX(MASTER!$L$4:$L$1463,$P108)),""))</f>
        <v>3.27</v>
      </c>
      <c r="K108" s="21">
        <f>IF($P108="","",IFERROR(IF(INDEX(MASTER!$N$4:$N$1463,$P108)="","",INDEX(MASTER!$N$4:$N$1463,$P108)),""))</f>
        <v>37.700000000000003</v>
      </c>
      <c r="L108" s="19" t="str">
        <f>IF($P108="","",IFERROR(IF(INDEX(MASTER!$O$4:$O$1463,$P108)="","",INDEX(MASTER!$O$4:$O$1463,$P108)),""))</f>
        <v>B</v>
      </c>
      <c r="M108" s="19">
        <f>IF($P108="","",IFERROR(IF(INDEX(MASTER!$Q$4:$Q$1463,$P108)="","",INDEX(MASTER!$Q$4:$Q$1463,$P108)),""))</f>
        <v>55</v>
      </c>
      <c r="N108" s="19" t="str">
        <f>IF($P108="","",IFERROR(IF(INDEX(MASTER!$S$4:$S$1463,$P108)="","",INDEX(MASTER!$S$4:$S$1463,$P108)),""))</f>
        <v>Complete</v>
      </c>
      <c r="P108">
        <f>IFERROR(MATCH($Q$1&amp;"@100",MASTER!$AC$4:$AC$1463,0),"")</f>
        <v>1354</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1" spans="1:16">
      <c r="A131" s="15" t="str">
        <f>IF($P131="","",123)</f>
        <v/>
      </c>
      <c r="B131" s="14" t="str">
        <f>IF($P131="","",IFERROR(IF(INDEX(MASTER!$C$4:$C$1463,$P131)="","",INDEX(MASTER!$C$4:$C$1463,$P131)),""))</f>
        <v/>
      </c>
      <c r="C131" s="15" t="str">
        <f>IF($P131="","",IFERROR(IF(INDEX(MASTER!$D$4:$D$1463,$P131)="","",INDEX(MASTER!$D$4:$D$1463,$P131)),""))</f>
        <v/>
      </c>
      <c r="D131" s="15" t="str">
        <f>IF($P131="","",IFERROR(IF(INDEX(MASTER!$E$4:$E$1463,$P131)="","",INDEX(MASTER!$E$4:$E$1463,$P131)),""))</f>
        <v/>
      </c>
      <c r="E131" s="15" t="str">
        <f>IF($P131="","",IFERROR(IF(INDEX(MASTER!$F$4:$F$1463,$P131)="","",INDEX(MASTER!$F$4:$F$1463,$P131)),""))</f>
        <v/>
      </c>
      <c r="F131" s="16" t="str">
        <f>IF($P131="","",IFERROR(IF(INDEX(MASTER!$G$4:$G$1463,$P131)="","",INDEX(MASTER!$G$4:$G$1463,$P131)),""))</f>
        <v/>
      </c>
      <c r="G131" s="15" t="str">
        <f>IF($P131="","",IFERROR(IF(INDEX(MASTER!$H$4:$H$1463,$P131)="","",INDEX(MASTER!$H$4:$H$1463,$P131)),""))</f>
        <v/>
      </c>
      <c r="H131" s="16" t="str">
        <f>IF($P131="","",IFERROR(IF(INDEX(MASTER!$I$4:$I$1463,$P131)="","",INDEX(MASTER!$I$4:$I$1463,$P131)),""))</f>
        <v/>
      </c>
      <c r="I131" s="15" t="str">
        <f>IF($P131="","",IFERROR(IF(INDEX(MASTER!$J$4:$J$1463,$P131)="","",INDEX(MASTER!$J$4:$J$1463,$P131)),""))</f>
        <v/>
      </c>
      <c r="J131" s="17" t="str">
        <f>IF($P131="","",IFERROR(IF(INDEX(MASTER!$L$4:$L$1463,$P131)="","",INDEX(MASTER!$L$4:$L$1463,$P131)),""))</f>
        <v/>
      </c>
      <c r="K131" s="17" t="str">
        <f>IF($P131="","",IFERROR(IF(INDEX(MASTER!$N$4:$N$1463,$P131)="","",INDEX(MASTER!$N$4:$N$1463,$P131)),""))</f>
        <v/>
      </c>
      <c r="L131" s="15" t="str">
        <f>IF($P131="","",IFERROR(IF(INDEX(MASTER!$O$4:$O$1463,$P131)="","",INDEX(MASTER!$O$4:$O$1463,$P131)),""))</f>
        <v/>
      </c>
      <c r="M131" s="15" t="str">
        <f>IF($P131="","",IFERROR(IF(INDEX(MASTER!$Q$4:$Q$1463,$P131)="","",INDEX(MASTER!$Q$4:$Q$1463,$P131)),""))</f>
        <v/>
      </c>
      <c r="N131" s="15" t="str">
        <f>IF($P131="","",IFERROR(IF(INDEX(MASTER!$S$4:$S$1463,$P131)="","",INDEX(MASTER!$S$4:$S$1463,$P131)),""))</f>
        <v/>
      </c>
      <c r="P131" t="str">
        <f>IFERROR(MATCH($Q$1&amp;"@123",MASTER!$AC$4:$AC$1463,0),"")</f>
        <v/>
      </c>
    </row>
    <row r="132" spans="1:16">
      <c r="A132" s="19" t="str">
        <f>IF($P132="","",124)</f>
        <v/>
      </c>
      <c r="B132" s="18" t="str">
        <f>IF($P132="","",IFERROR(IF(INDEX(MASTER!$C$4:$C$1463,$P132)="","",INDEX(MASTER!$C$4:$C$1463,$P132)),""))</f>
        <v/>
      </c>
      <c r="C132" s="19" t="str">
        <f>IF($P132="","",IFERROR(IF(INDEX(MASTER!$D$4:$D$1463,$P132)="","",INDEX(MASTER!$D$4:$D$1463,$P132)),""))</f>
        <v/>
      </c>
      <c r="D132" s="19" t="str">
        <f>IF($P132="","",IFERROR(IF(INDEX(MASTER!$E$4:$E$1463,$P132)="","",INDEX(MASTER!$E$4:$E$1463,$P132)),""))</f>
        <v/>
      </c>
      <c r="E132" s="19" t="str">
        <f>IF($P132="","",IFERROR(IF(INDEX(MASTER!$F$4:$F$1463,$P132)="","",INDEX(MASTER!$F$4:$F$1463,$P132)),""))</f>
        <v/>
      </c>
      <c r="F132" s="20" t="str">
        <f>IF($P132="","",IFERROR(IF(INDEX(MASTER!$G$4:$G$1463,$P132)="","",INDEX(MASTER!$G$4:$G$1463,$P132)),""))</f>
        <v/>
      </c>
      <c r="G132" s="19" t="str">
        <f>IF($P132="","",IFERROR(IF(INDEX(MASTER!$H$4:$H$1463,$P132)="","",INDEX(MASTER!$H$4:$H$1463,$P132)),""))</f>
        <v/>
      </c>
      <c r="H132" s="20" t="str">
        <f>IF($P132="","",IFERROR(IF(INDEX(MASTER!$I$4:$I$1463,$P132)="","",INDEX(MASTER!$I$4:$I$1463,$P132)),""))</f>
        <v/>
      </c>
      <c r="I132" s="19" t="str">
        <f>IF($P132="","",IFERROR(IF(INDEX(MASTER!$J$4:$J$1463,$P132)="","",INDEX(MASTER!$J$4:$J$1463,$P132)),""))</f>
        <v/>
      </c>
      <c r="J132" s="21" t="str">
        <f>IF($P132="","",IFERROR(IF(INDEX(MASTER!$L$4:$L$1463,$P132)="","",INDEX(MASTER!$L$4:$L$1463,$P132)),""))</f>
        <v/>
      </c>
      <c r="K132" s="21" t="str">
        <f>IF($P132="","",IFERROR(IF(INDEX(MASTER!$N$4:$N$1463,$P132)="","",INDEX(MASTER!$N$4:$N$1463,$P132)),""))</f>
        <v/>
      </c>
      <c r="L132" s="19" t="str">
        <f>IF($P132="","",IFERROR(IF(INDEX(MASTER!$O$4:$O$1463,$P132)="","",INDEX(MASTER!$O$4:$O$1463,$P132)),""))</f>
        <v/>
      </c>
      <c r="M132" s="19" t="str">
        <f>IF($P132="","",IFERROR(IF(INDEX(MASTER!$Q$4:$Q$1463,$P132)="","",INDEX(MASTER!$Q$4:$Q$1463,$P132)),""))</f>
        <v/>
      </c>
      <c r="N132" s="19" t="str">
        <f>IF($P132="","",IFERROR(IF(INDEX(MASTER!$S$4:$S$1463,$P132)="","",INDEX(MASTER!$S$4:$S$1463,$P132)),""))</f>
        <v/>
      </c>
      <c r="P132" t="str">
        <f>IFERROR(MATCH($Q$1&amp;"@124",MASTER!$AC$4:$AC$1463,0),"")</f>
        <v/>
      </c>
    </row>
    <row r="133" spans="1:16">
      <c r="A133" s="15" t="str">
        <f>IF($P133="","",125)</f>
        <v/>
      </c>
      <c r="B133" s="14" t="str">
        <f>IF($P133="","",IFERROR(IF(INDEX(MASTER!$C$4:$C$1463,$P133)="","",INDEX(MASTER!$C$4:$C$1463,$P133)),""))</f>
        <v/>
      </c>
      <c r="C133" s="15" t="str">
        <f>IF($P133="","",IFERROR(IF(INDEX(MASTER!$D$4:$D$1463,$P133)="","",INDEX(MASTER!$D$4:$D$1463,$P133)),""))</f>
        <v/>
      </c>
      <c r="D133" s="15" t="str">
        <f>IF($P133="","",IFERROR(IF(INDEX(MASTER!$E$4:$E$1463,$P133)="","",INDEX(MASTER!$E$4:$E$1463,$P133)),""))</f>
        <v/>
      </c>
      <c r="E133" s="15" t="str">
        <f>IF($P133="","",IFERROR(IF(INDEX(MASTER!$F$4:$F$1463,$P133)="","",INDEX(MASTER!$F$4:$F$1463,$P133)),""))</f>
        <v/>
      </c>
      <c r="F133" s="16" t="str">
        <f>IF($P133="","",IFERROR(IF(INDEX(MASTER!$G$4:$G$1463,$P133)="","",INDEX(MASTER!$G$4:$G$1463,$P133)),""))</f>
        <v/>
      </c>
      <c r="G133" s="15" t="str">
        <f>IF($P133="","",IFERROR(IF(INDEX(MASTER!$H$4:$H$1463,$P133)="","",INDEX(MASTER!$H$4:$H$1463,$P133)),""))</f>
        <v/>
      </c>
      <c r="H133" s="16" t="str">
        <f>IF($P133="","",IFERROR(IF(INDEX(MASTER!$I$4:$I$1463,$P133)="","",INDEX(MASTER!$I$4:$I$1463,$P133)),""))</f>
        <v/>
      </c>
      <c r="I133" s="15" t="str">
        <f>IF($P133="","",IFERROR(IF(INDEX(MASTER!$J$4:$J$1463,$P133)="","",INDEX(MASTER!$J$4:$J$1463,$P133)),""))</f>
        <v/>
      </c>
      <c r="J133" s="17" t="str">
        <f>IF($P133="","",IFERROR(IF(INDEX(MASTER!$L$4:$L$1463,$P133)="","",INDEX(MASTER!$L$4:$L$1463,$P133)),""))</f>
        <v/>
      </c>
      <c r="K133" s="17" t="str">
        <f>IF($P133="","",IFERROR(IF(INDEX(MASTER!$N$4:$N$1463,$P133)="","",INDEX(MASTER!$N$4:$N$1463,$P133)),""))</f>
        <v/>
      </c>
      <c r="L133" s="15" t="str">
        <f>IF($P133="","",IFERROR(IF(INDEX(MASTER!$O$4:$O$1463,$P133)="","",INDEX(MASTER!$O$4:$O$1463,$P133)),""))</f>
        <v/>
      </c>
      <c r="M133" s="15" t="str">
        <f>IF($P133="","",IFERROR(IF(INDEX(MASTER!$Q$4:$Q$1463,$P133)="","",INDEX(MASTER!$Q$4:$Q$1463,$P133)),""))</f>
        <v/>
      </c>
      <c r="N133" s="15" t="str">
        <f>IF($P133="","",IFERROR(IF(INDEX(MASTER!$S$4:$S$1463,$P133)="","",INDEX(MASTER!$S$4:$S$1463,$P133)),""))</f>
        <v/>
      </c>
      <c r="P133" t="str">
        <f>IFERROR(MATCH($Q$1&amp;"@125",MASTER!$AC$4:$AC$1463,0),"")</f>
        <v/>
      </c>
    </row>
    <row r="136" spans="1:16" ht="19.5" customHeight="1">
      <c r="B136" s="91" t="s">
        <v>488</v>
      </c>
      <c r="C136" s="91"/>
      <c r="D136" s="91"/>
      <c r="E136" s="91"/>
      <c r="F136" s="91"/>
      <c r="G136" s="91"/>
    </row>
    <row r="137" spans="1:16" ht="27.75" customHeight="1">
      <c r="B137" s="108" t="s">
        <v>68</v>
      </c>
      <c r="C137" s="108"/>
      <c r="D137" s="13" t="s">
        <v>69</v>
      </c>
      <c r="E137" s="13" t="s">
        <v>64</v>
      </c>
      <c r="F137" s="13" t="s">
        <v>50</v>
      </c>
      <c r="G137" s="13" t="s">
        <v>51</v>
      </c>
    </row>
    <row r="138" spans="1:16">
      <c r="B138" s="105" t="s">
        <v>71</v>
      </c>
      <c r="C138" s="105"/>
      <c r="D138" s="20" t="str">
        <f>IFERROR(INDEX(SETUP!$B$55:$B$64,MATCH($B138,SETUP!$A$55:$A$64,0)),"-")</f>
        <v>Frontline</v>
      </c>
      <c r="E138" s="20">
        <f>COUNTIFS(MASTER!$B:$B,$Q$1,MASTER!$E:$E,$B138)</f>
        <v>18</v>
      </c>
      <c r="F138" s="20">
        <f>IFERROR(ROUND(AVERAGEIFS(MASTER!$I:$I,MASTER!$B:$B,$Q$1,MASTER!$E:$E,$B138),0),"-")</f>
        <v>3869</v>
      </c>
      <c r="G138" s="20">
        <f>IF($E138=0,"-",IFERROR(_xlfn.MAXIFS(MASTER!$I:$I,MASTER!$B:$B,$Q$1,MASTER!$E:$E,$B138),"-"))</f>
        <v>9752</v>
      </c>
    </row>
    <row r="139" spans="1:16">
      <c r="B139" s="106" t="s">
        <v>72</v>
      </c>
      <c r="C139" s="106"/>
      <c r="D139" s="16" t="str">
        <f>IFERROR(INDEX(SETUP!$B$55:$B$64,MATCH($B139,SETUP!$A$55:$A$64,0)),"-")</f>
        <v>Frontline</v>
      </c>
      <c r="E139" s="16">
        <f>COUNTIFS(MASTER!$B:$B,$Q$1,MASTER!$E:$E,$B139)</f>
        <v>6</v>
      </c>
      <c r="F139" s="16">
        <f>IFERROR(ROUND(AVERAGEIFS(MASTER!$I:$I,MASTER!$B:$B,$Q$1,MASTER!$E:$E,$B139),0),"-")</f>
        <v>2725</v>
      </c>
      <c r="G139" s="16">
        <f>IF($E139=0,"-",IFERROR(_xlfn.MAXIFS(MASTER!$I:$I,MASTER!$B:$B,$Q$1,MASTER!$E:$E,$B139),"-"))</f>
        <v>3804</v>
      </c>
    </row>
    <row r="140" spans="1:16">
      <c r="B140" s="105" t="s">
        <v>73</v>
      </c>
      <c r="C140" s="105"/>
      <c r="D140" s="20" t="str">
        <f>IFERROR(INDEX(SETUP!$B$55:$B$64,MATCH($B140,SETUP!$A$55:$A$64,0)),"-")</f>
        <v>Frontline</v>
      </c>
      <c r="E140" s="20">
        <f>COUNTIFS(MASTER!$B:$B,$Q$1,MASTER!$E:$E,$B140)</f>
        <v>8</v>
      </c>
      <c r="F140" s="20">
        <f>IFERROR(ROUND(AVERAGEIFS(MASTER!$I:$I,MASTER!$B:$B,$Q$1,MASTER!$E:$E,$B140),0),"-")</f>
        <v>4318</v>
      </c>
      <c r="G140" s="20">
        <f>IF($E140=0,"-",IFERROR(_xlfn.MAXIFS(MASTER!$I:$I,MASTER!$B:$B,$Q$1,MASTER!$E:$E,$B140),"-"))</f>
        <v>9175</v>
      </c>
    </row>
    <row r="141" spans="1:16">
      <c r="B141" s="106" t="s">
        <v>74</v>
      </c>
      <c r="C141" s="106"/>
      <c r="D141" s="16" t="str">
        <f>IFERROR(INDEX(SETUP!$B$55:$B$64,MATCH($B141,SETUP!$A$55:$A$64,0)),"-")</f>
        <v>Ranged DPS</v>
      </c>
      <c r="E141" s="16">
        <f>COUNTIFS(MASTER!$B:$B,$Q$1,MASTER!$E:$E,$B141)</f>
        <v>15</v>
      </c>
      <c r="F141" s="16">
        <f>IFERROR(ROUND(AVERAGEIFS(MASTER!$I:$I,MASTER!$B:$B,$Q$1,MASTER!$E:$E,$B141),0),"-")</f>
        <v>3751</v>
      </c>
      <c r="G141" s="16">
        <f>IF($E141=0,"-",IFERROR(_xlfn.MAXIFS(MASTER!$I:$I,MASTER!$B:$B,$Q$1,MASTER!$E:$E,$B141),"-"))</f>
        <v>9005</v>
      </c>
    </row>
    <row r="142" spans="1:16">
      <c r="B142" s="105" t="s">
        <v>75</v>
      </c>
      <c r="C142" s="105"/>
      <c r="D142" s="20" t="str">
        <f>IFERROR(INDEX(SETUP!$B$55:$B$64,MATCH($B142,SETUP!$A$55:$A$64,0)),"-")</f>
        <v>Support</v>
      </c>
      <c r="E142" s="20">
        <f>COUNTIFS(MASTER!$B:$B,$Q$1,MASTER!$E:$E,$B142)</f>
        <v>4</v>
      </c>
      <c r="F142" s="20">
        <f>IFERROR(ROUND(AVERAGEIFS(MASTER!$I:$I,MASTER!$B:$B,$Q$1,MASTER!$E:$E,$B142),0),"-")</f>
        <v>3538</v>
      </c>
      <c r="G142" s="20">
        <f>IF($E142=0,"-",IFERROR(_xlfn.MAXIFS(MASTER!$I:$I,MASTER!$B:$B,$Q$1,MASTER!$E:$E,$B142),"-"))</f>
        <v>5866</v>
      </c>
    </row>
    <row r="143" spans="1:16">
      <c r="B143" s="106" t="s">
        <v>76</v>
      </c>
      <c r="C143" s="106"/>
      <c r="D143" s="16" t="str">
        <f>IFERROR(INDEX(SETUP!$B$55:$B$64,MATCH($B143,SETUP!$A$55:$A$64,0)),"-")</f>
        <v>Support</v>
      </c>
      <c r="E143" s="16">
        <f>COUNTIFS(MASTER!$B:$B,$Q$1,MASTER!$E:$E,$B143)</f>
        <v>3</v>
      </c>
      <c r="F143" s="16">
        <f>IFERROR(ROUND(AVERAGEIFS(MASTER!$I:$I,MASTER!$B:$B,$Q$1,MASTER!$E:$E,$B143),0),"-")</f>
        <v>3177</v>
      </c>
      <c r="G143" s="16">
        <f>IF($E143=0,"-",IFERROR(_xlfn.MAXIFS(MASTER!$I:$I,MASTER!$B:$B,$Q$1,MASTER!$E:$E,$B143),"-"))</f>
        <v>3495</v>
      </c>
    </row>
    <row r="144" spans="1:16">
      <c r="B144" s="105" t="s">
        <v>77</v>
      </c>
      <c r="C144" s="105"/>
      <c r="D144" s="20" t="str">
        <f>IFERROR(INDEX(SETUP!$B$55:$B$64,MATCH($B144,SETUP!$A$55:$A$64,0)),"-")</f>
        <v>Control</v>
      </c>
      <c r="E144" s="20">
        <f>COUNTIFS(MASTER!$B:$B,$Q$1,MASTER!$E:$E,$B144)</f>
        <v>11</v>
      </c>
      <c r="F144" s="20">
        <f>IFERROR(ROUND(AVERAGEIFS(MASTER!$I:$I,MASTER!$B:$B,$Q$1,MASTER!$E:$E,$B144),0),"-")</f>
        <v>3026</v>
      </c>
      <c r="G144" s="20">
        <f>IF($E144=0,"-",IFERROR(_xlfn.MAXIFS(MASTER!$I:$I,MASTER!$B:$B,$Q$1,MASTER!$E:$E,$B144),"-"))</f>
        <v>5528</v>
      </c>
    </row>
    <row r="145" spans="2:7">
      <c r="B145" s="106" t="s">
        <v>78</v>
      </c>
      <c r="C145" s="106"/>
      <c r="D145" s="16" t="str">
        <f>IFERROR(INDEX(SETUP!$B$55:$B$64,MATCH($B145,SETUP!$A$55:$A$64,0)),"-")</f>
        <v>Melee DPS</v>
      </c>
      <c r="E145" s="16">
        <f>COUNTIFS(MASTER!$B:$B,$Q$1,MASTER!$E:$E,$B145)</f>
        <v>4</v>
      </c>
      <c r="F145" s="16">
        <f>IFERROR(ROUND(AVERAGEIFS(MASTER!$I:$I,MASTER!$B:$B,$Q$1,MASTER!$E:$E,$B145),0),"-")</f>
        <v>3146</v>
      </c>
      <c r="G145" s="16">
        <f>IF($E145=0,"-",IFERROR(_xlfn.MAXIFS(MASTER!$I:$I,MASTER!$B:$B,$Q$1,MASTER!$E:$E,$B145),"-"))</f>
        <v>4978</v>
      </c>
    </row>
    <row r="146" spans="2:7">
      <c r="B146" s="105" t="s">
        <v>79</v>
      </c>
      <c r="C146" s="105"/>
      <c r="D146" s="20" t="str">
        <f>IFERROR(INDEX(SETUP!$B$55:$B$64,MATCH($B146,SETUP!$A$55:$A$64,0)),"-")</f>
        <v>Control</v>
      </c>
      <c r="E146" s="20">
        <f>COUNTIFS(MASTER!$B:$B,$Q$1,MASTER!$E:$E,$B146)</f>
        <v>25</v>
      </c>
      <c r="F146" s="20">
        <f>IFERROR(ROUND(AVERAGEIFS(MASTER!$I:$I,MASTER!$B:$B,$Q$1,MASTER!$E:$E,$B146),0),"-")</f>
        <v>3119</v>
      </c>
      <c r="G146" s="20">
        <f>IF($E146=0,"-",IFERROR(_xlfn.MAXIFS(MASTER!$I:$I,MASTER!$B:$B,$Q$1,MASTER!$E:$E,$B146),"-"))</f>
        <v>7152</v>
      </c>
    </row>
    <row r="147" spans="2:7">
      <c r="B147" s="106" t="s">
        <v>80</v>
      </c>
      <c r="C147" s="106"/>
      <c r="D147" s="16" t="str">
        <f>IFERROR(INDEX(SETUP!$B$55:$B$64,MATCH($B147,SETUP!$A$55:$A$64,0)),"-")</f>
        <v>Ranged DPS</v>
      </c>
      <c r="E147" s="16">
        <f>COUNTIFS(MASTER!$B:$B,$Q$1,MASTER!$E:$E,$B147)</f>
        <v>5</v>
      </c>
      <c r="F147" s="16">
        <f>IFERROR(ROUND(AVERAGEIFS(MASTER!$I:$I,MASTER!$B:$B,$Q$1,MASTER!$E:$E,$B147),0),"-")</f>
        <v>2743</v>
      </c>
      <c r="G147" s="16">
        <f>IF($E147=0,"-",IFERROR(_xlfn.MAXIFS(MASTER!$I:$I,MASTER!$B:$B,$Q$1,MASTER!$E:$E,$B147),"-"))</f>
        <v>3492</v>
      </c>
    </row>
  </sheetData>
  <autoFilter ref="A8:N133" xr:uid="{00000000-0009-0000-0000-000011000000}"/>
  <mergeCells count="29">
    <mergeCell ref="A1:N1"/>
    <mergeCell ref="A2:N2"/>
    <mergeCell ref="A4:B4"/>
    <mergeCell ref="C4:D4"/>
    <mergeCell ref="E4:F4"/>
    <mergeCell ref="G4:H4"/>
    <mergeCell ref="I4:J4"/>
    <mergeCell ref="K4:L4"/>
    <mergeCell ref="M4:N4"/>
    <mergeCell ref="K5:L5"/>
    <mergeCell ref="M5:N5"/>
    <mergeCell ref="A7:N7"/>
    <mergeCell ref="B136:G136"/>
    <mergeCell ref="B137:C137"/>
    <mergeCell ref="A5:B5"/>
    <mergeCell ref="C5:D5"/>
    <mergeCell ref="E5:F5"/>
    <mergeCell ref="G5:H5"/>
    <mergeCell ref="I5:J5"/>
    <mergeCell ref="B138:C138"/>
    <mergeCell ref="B139:C139"/>
    <mergeCell ref="B140:C140"/>
    <mergeCell ref="B141:C141"/>
    <mergeCell ref="B142:C142"/>
    <mergeCell ref="B143:C143"/>
    <mergeCell ref="B144:C144"/>
    <mergeCell ref="B145:C145"/>
    <mergeCell ref="B146:C146"/>
    <mergeCell ref="B147:C147"/>
  </mergeCells>
  <conditionalFormatting sqref="H9:H133">
    <cfRule type="colorScale" priority="2">
      <colorScale>
        <cfvo type="num" val="0"/>
        <cfvo type="num" val="5000"/>
        <cfvo type="num" val="12600"/>
        <color rgb="FFF8CBAD"/>
        <color rgb="FFFFE699"/>
        <color rgb="FFA9D08E"/>
      </colorScale>
    </cfRule>
  </conditionalFormatting>
  <conditionalFormatting sqref="N9:N133">
    <cfRule type="cellIs" dxfId="7"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7" evalError="1" twoDigitTextYear="1" numberStoredAsText="1" formula="1" formulaRange="1" unlockedFormula="1" emptyCellReference="1" listDataValidation="1" calculatedColumn="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pageSetUpPr fitToPage="1"/>
  </sheetPr>
  <dimension ref="A1:Q144"/>
  <sheetViews>
    <sheetView showGridLines="0"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497</v>
      </c>
      <c r="B1" s="92"/>
      <c r="C1" s="92"/>
      <c r="D1" s="92"/>
      <c r="E1" s="92"/>
      <c r="F1" s="92"/>
      <c r="G1" s="92"/>
      <c r="H1" s="92"/>
      <c r="I1" s="92"/>
      <c r="J1" s="92"/>
      <c r="K1" s="92"/>
      <c r="L1" s="92"/>
      <c r="M1" s="92"/>
      <c r="N1" s="92"/>
      <c r="Q1" t="s">
        <v>114</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97</v>
      </c>
      <c r="B5" s="95"/>
      <c r="C5" s="95">
        <f>COUNTIFS(MASTER!$B:$B,$Q$1,MASTER!$S:$S,"Complete")</f>
        <v>97</v>
      </c>
      <c r="D5" s="95"/>
      <c r="E5" s="95">
        <f>IFERROR(ROUND(AVERAGEIFS(MASTER!$I:$I,MASTER!$B:$B,$Q$1),0),"-")</f>
        <v>2318</v>
      </c>
      <c r="F5" s="95"/>
      <c r="G5" s="95">
        <f>IFERROR(_xlfn.MAXIFS(MASTER!$I:$I,MASTER!$B:$B,$Q$1),"-")</f>
        <v>5260</v>
      </c>
      <c r="H5" s="95"/>
      <c r="I5" s="95">
        <f>COUNTIFS(MASTER!$B:$B,$Q$1,MASTER!$I:$I,"&gt;=10000")</f>
        <v>0</v>
      </c>
      <c r="J5" s="95"/>
      <c r="K5" s="107">
        <f>IFERROR(ROUND(AVERAGEIFS(MASTER!$N:$N,MASTER!$B:$B,$Q$1),1),"-")</f>
        <v>31.7</v>
      </c>
      <c r="L5" s="107"/>
      <c r="M5" s="95">
        <f>IF($Q$1="FUCT","- ours -",IFERROR(ROUND(AVERAGEIFS(MASTER!$I:$I,MASTER!$B:$B,$Q$1)-AVERAGEIF(MASTER!$B:$B,"FUCT",MASTER!$I:$I),0),"-"))</f>
        <v>-2895</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AARRGG</v>
      </c>
      <c r="C9" s="15" t="str">
        <f>IF($P9="","",IFERROR(IF(INDEX(MASTER!$D$4:$D$1463,$P9)="","",INDEX(MASTER!$D$4:$D$1463,$P9)),""))</f>
        <v/>
      </c>
      <c r="D9" s="15" t="str">
        <f>IF($P9="","",IFERROR(IF(INDEX(MASTER!$E$4:$E$1463,$P9)="","",INDEX(MASTER!$E$4:$E$1463,$P9)),""))</f>
        <v>BARBARIAN</v>
      </c>
      <c r="E9" s="15" t="str">
        <f>IF($P9="","",IFERROR(IF(INDEX(MASTER!$F$4:$F$1463,$P9)="","",INDEX(MASTER!$F$4:$F$1463,$P9)),""))</f>
        <v>Frontline</v>
      </c>
      <c r="F9" s="16">
        <f>IF($P9="","",IFERROR(IF(INDEX(MASTER!$G$4:$G$1463,$P9)="","",INDEX(MASTER!$G$4:$G$1463,$P9)),""))</f>
        <v>55990</v>
      </c>
      <c r="G9" s="15" t="str">
        <f>IF($P9="","",IFERROR(IF(INDEX(MASTER!$H$4:$H$1463,$P9)="","",INDEX(MASTER!$H$4:$H$1463,$P9)),""))</f>
        <v>Under 58,000</v>
      </c>
      <c r="H9" s="16">
        <f>IF($P9="","",IFERROR(IF(INDEX(MASTER!$I$4:$I$1463,$P9)="","",INDEX(MASTER!$I$4:$I$1463,$P9)),""))</f>
        <v>4387</v>
      </c>
      <c r="I9" s="15" t="str">
        <f>IF($P9="","",IFERROR(IF(INDEX(MASTER!$J$4:$J$1463,$P9)="","",INDEX(MASTER!$J$4:$J$1463,$P9)),""))</f>
        <v>CORE</v>
      </c>
      <c r="J9" s="17">
        <f>IF($P9="","",IFERROR(IF(INDEX(MASTER!$L$4:$L$1463,$P9)="","",INDEX(MASTER!$L$4:$L$1463,$P9)),""))</f>
        <v>3.7</v>
      </c>
      <c r="K9" s="17">
        <f>IF($P9="","",IFERROR(IF(INDEX(MASTER!$N$4:$N$1463,$P9)="","",INDEX(MASTER!$N$4:$N$1463,$P9)),""))</f>
        <v>27.9</v>
      </c>
      <c r="L9" s="15" t="str">
        <f>IF($P9="","",IFERROR(IF(INDEX(MASTER!$O$4:$O$1463,$P9)="","",INDEX(MASTER!$O$4:$O$1463,$P9)),""))</f>
        <v>C</v>
      </c>
      <c r="M9" s="15">
        <f>IF($P9="","",IFERROR(IF(INDEX(MASTER!$Q$4:$Q$1463,$P9)="","",INDEX(MASTER!$Q$4:$Q$1463,$P9)),""))</f>
        <v>8</v>
      </c>
      <c r="N9" s="15" t="str">
        <f>IF($P9="","",IFERROR(IF(INDEX(MASTER!$S$4:$S$1463,$P9)="","",INDEX(MASTER!$S$4:$S$1463,$P9)),""))</f>
        <v>Complete</v>
      </c>
      <c r="P9">
        <f>IFERROR(MATCH($Q$1&amp;"@1",MASTER!$AC$4:$AC$1463,0),"")</f>
        <v>14</v>
      </c>
    </row>
    <row r="10" spans="1:17">
      <c r="A10" s="19">
        <f>IF($P10="","",2)</f>
        <v>2</v>
      </c>
      <c r="B10" s="18" t="str">
        <f>IF($P10="","",IFERROR(IF(INDEX(MASTER!$C$4:$C$1463,$P10)="","",INDEX(MASTER!$C$4:$C$1463,$P10)),""))</f>
        <v>Adorx</v>
      </c>
      <c r="C10" s="19" t="str">
        <f>IF($P10="","",IFERROR(IF(INDEX(MASTER!$D$4:$D$1463,$P10)="","",INDEX(MASTER!$D$4:$D$1463,$P10)),""))</f>
        <v/>
      </c>
      <c r="D10" s="19" t="str">
        <f>IF($P10="","",IFERROR(IF(INDEX(MASTER!$E$4:$E$1463,$P10)="","",INDEX(MASTER!$E$4:$E$1463,$P10)),""))</f>
        <v>DRUID</v>
      </c>
      <c r="E10" s="19" t="str">
        <f>IF($P10="","",IFERROR(IF(INDEX(MASTER!$F$4:$F$1463,$P10)="","",INDEX(MASTER!$F$4:$F$1463,$P10)),""))</f>
        <v>Support</v>
      </c>
      <c r="F10" s="20">
        <f>IF($P10="","",IFERROR(IF(INDEX(MASTER!$G$4:$G$1463,$P10)="","",INDEX(MASTER!$G$4:$G$1463,$P10)),""))</f>
        <v>60460</v>
      </c>
      <c r="G10" s="19" t="str">
        <f>IF($P10="","",IFERROR(IF(INDEX(MASTER!$H$4:$H$1463,$P10)="","",INDEX(MASTER!$H$4:$H$1463,$P10)),""))</f>
        <v>60,000 - 60,999</v>
      </c>
      <c r="H10" s="20">
        <f>IF($P10="","",IFERROR(IF(INDEX(MASTER!$I$4:$I$1463,$P10)="","",INDEX(MASTER!$I$4:$I$1463,$P10)),""))</f>
        <v>1525</v>
      </c>
      <c r="I10" s="19" t="str">
        <f>IF($P10="","",IFERROR(IF(INDEX(MASTER!$J$4:$J$1463,$P10)="","",INDEX(MASTER!$J$4:$J$1463,$P10)),""))</f>
        <v>ROOKIE</v>
      </c>
      <c r="J10" s="21">
        <f>IF($P10="","",IFERROR(IF(INDEX(MASTER!$L$4:$L$1463,$P10)="","",INDEX(MASTER!$L$4:$L$1463,$P10)),""))</f>
        <v>2.9</v>
      </c>
      <c r="K10" s="21">
        <f>IF($P10="","",IFERROR(IF(INDEX(MASTER!$N$4:$N$1463,$P10)="","",INDEX(MASTER!$N$4:$N$1463,$P10)),""))</f>
        <v>25.9</v>
      </c>
      <c r="L10" s="19" t="str">
        <f>IF($P10="","",IFERROR(IF(INDEX(MASTER!$O$4:$O$1463,$P10)="","",INDEX(MASTER!$O$4:$O$1463,$P10)),""))</f>
        <v>C</v>
      </c>
      <c r="M10" s="19">
        <f>IF($P10="","",IFERROR(IF(INDEX(MASTER!$Q$4:$Q$1463,$P10)="","",INDEX(MASTER!$Q$4:$Q$1463,$P10)),""))</f>
        <v>69</v>
      </c>
      <c r="N10" s="19" t="str">
        <f>IF($P10="","",IFERROR(IF(INDEX(MASTER!$S$4:$S$1463,$P10)="","",INDEX(MASTER!$S$4:$S$1463,$P10)),""))</f>
        <v>Complete</v>
      </c>
      <c r="P10">
        <f>IFERROR(MATCH($Q$1&amp;"@2",MASTER!$AC$4:$AC$1463,0),"")</f>
        <v>21</v>
      </c>
    </row>
    <row r="11" spans="1:17">
      <c r="A11" s="15">
        <f>IF($P11="","",3)</f>
        <v>3</v>
      </c>
      <c r="B11" s="14" t="str">
        <f>IF($P11="","",IFERROR(IF(INDEX(MASTER!$C$4:$C$1463,$P11)="","",INDEX(MASTER!$C$4:$C$1463,$P11)),""))</f>
        <v>Amebix</v>
      </c>
      <c r="C11" s="15" t="str">
        <f>IF($P11="","",IFERROR(IF(INDEX(MASTER!$D$4:$D$1463,$P11)="","",INDEX(MASTER!$D$4:$D$1463,$P11)),""))</f>
        <v/>
      </c>
      <c r="D11" s="15" t="str">
        <f>IF($P11="","",IFERROR(IF(INDEX(MASTER!$E$4:$E$1463,$P11)="","",INDEX(MASTER!$E$4:$E$1463,$P11)),""))</f>
        <v>BLOOD KNIGHT</v>
      </c>
      <c r="E11" s="15" t="str">
        <f>IF($P11="","",IFERROR(IF(INDEX(MASTER!$F$4:$F$1463,$P11)="","",INDEX(MASTER!$F$4:$F$1463,$P11)),""))</f>
        <v>Frontline</v>
      </c>
      <c r="F11" s="16">
        <f>IF($P11="","",IFERROR(IF(INDEX(MASTER!$G$4:$G$1463,$P11)="","",INDEX(MASTER!$G$4:$G$1463,$P11)),""))</f>
        <v>62450</v>
      </c>
      <c r="G11" s="15" t="str">
        <f>IF($P11="","",IFERROR(IF(INDEX(MASTER!$H$4:$H$1463,$P11)="","",INDEX(MASTER!$H$4:$H$1463,$P11)),""))</f>
        <v>62,000 - 62,999</v>
      </c>
      <c r="H11" s="16">
        <f>IF($P11="","",IFERROR(IF(INDEX(MASTER!$I$4:$I$1463,$P11)="","",INDEX(MASTER!$I$4:$I$1463,$P11)),""))</f>
        <v>1683</v>
      </c>
      <c r="I11" s="15" t="str">
        <f>IF($P11="","",IFERROR(IF(INDEX(MASTER!$J$4:$J$1463,$P11)="","",INDEX(MASTER!$J$4:$J$1463,$P11)),""))</f>
        <v>ROOKIE</v>
      </c>
      <c r="J11" s="17">
        <f>IF($P11="","",IFERROR(IF(INDEX(MASTER!$L$4:$L$1463,$P11)="","",INDEX(MASTER!$L$4:$L$1463,$P11)),""))</f>
        <v>3.5</v>
      </c>
      <c r="K11" s="17">
        <f>IF($P11="","",IFERROR(IF(INDEX(MASTER!$N$4:$N$1463,$P11)="","",INDEX(MASTER!$N$4:$N$1463,$P11)),""))</f>
        <v>32.799999999999997</v>
      </c>
      <c r="L11" s="15" t="str">
        <f>IF($P11="","",IFERROR(IF(INDEX(MASTER!$O$4:$O$1463,$P11)="","",INDEX(MASTER!$O$4:$O$1463,$P11)),""))</f>
        <v>C</v>
      </c>
      <c r="M11" s="15">
        <f>IF($P11="","",IFERROR(IF(INDEX(MASTER!$Q$4:$Q$1463,$P11)="","",INDEX(MASTER!$Q$4:$Q$1463,$P11)),""))</f>
        <v>62</v>
      </c>
      <c r="N11" s="15" t="str">
        <f>IF($P11="","",IFERROR(IF(INDEX(MASTER!$S$4:$S$1463,$P11)="","",INDEX(MASTER!$S$4:$S$1463,$P11)),""))</f>
        <v>Complete</v>
      </c>
      <c r="P11">
        <f>IFERROR(MATCH($Q$1&amp;"@3",MASTER!$AC$4:$AC$1463,0),"")</f>
        <v>39</v>
      </c>
    </row>
    <row r="12" spans="1:17">
      <c r="A12" s="19">
        <f>IF($P12="","",4)</f>
        <v>4</v>
      </c>
      <c r="B12" s="18" t="str">
        <f>IF($P12="","",IFERROR(IF(INDEX(MASTER!$C$4:$C$1463,$P12)="","",INDEX(MASTER!$C$4:$C$1463,$P12)),""))</f>
        <v>Bdub1234</v>
      </c>
      <c r="C12" s="19" t="str">
        <f>IF($P12="","",IFERROR(IF(INDEX(MASTER!$D$4:$D$1463,$P12)="","",INDEX(MASTER!$D$4:$D$1463,$P12)),""))</f>
        <v/>
      </c>
      <c r="D12" s="19" t="str">
        <f>IF($P12="","",IFERROR(IF(INDEX(MASTER!$E$4:$E$1463,$P12)="","",INDEX(MASTER!$E$4:$E$1463,$P12)),""))</f>
        <v>WARLOCK</v>
      </c>
      <c r="E12" s="19" t="str">
        <f>IF($P12="","",IFERROR(IF(INDEX(MASTER!$F$4:$F$1463,$P12)="","",INDEX(MASTER!$F$4:$F$1463,$P12)),""))</f>
        <v>Control</v>
      </c>
      <c r="F12" s="20">
        <f>IF($P12="","",IFERROR(IF(INDEX(MASTER!$G$4:$G$1463,$P12)="","",INDEX(MASTER!$G$4:$G$1463,$P12)),""))</f>
        <v>60751</v>
      </c>
      <c r="G12" s="19" t="str">
        <f>IF($P12="","",IFERROR(IF(INDEX(MASTER!$H$4:$H$1463,$P12)="","",INDEX(MASTER!$H$4:$H$1463,$P12)),""))</f>
        <v>60,000 - 60,999</v>
      </c>
      <c r="H12" s="20">
        <f>IF($P12="","",IFERROR(IF(INDEX(MASTER!$I$4:$I$1463,$P12)="","",INDEX(MASTER!$I$4:$I$1463,$P12)),""))</f>
        <v>840</v>
      </c>
      <c r="I12" s="19" t="str">
        <f>IF($P12="","",IFERROR(IF(INDEX(MASTER!$J$4:$J$1463,$P12)="","",INDEX(MASTER!$J$4:$J$1463,$P12)),""))</f>
        <v>ROOKIE</v>
      </c>
      <c r="J12" s="21">
        <f>IF($P12="","",IFERROR(IF(INDEX(MASTER!$L$4:$L$1463,$P12)="","",INDEX(MASTER!$L$4:$L$1463,$P12)),""))</f>
        <v>3.3</v>
      </c>
      <c r="K12" s="21">
        <f>IF($P12="","",IFERROR(IF(INDEX(MASTER!$N$4:$N$1463,$P12)="","",INDEX(MASTER!$N$4:$N$1463,$P12)),""))</f>
        <v>24.3</v>
      </c>
      <c r="L12" s="19" t="str">
        <f>IF($P12="","",IFERROR(IF(INDEX(MASTER!$O$4:$O$1463,$P12)="","",INDEX(MASTER!$O$4:$O$1463,$P12)),""))</f>
        <v>C</v>
      </c>
      <c r="M12" s="19">
        <f>IF($P12="","",IFERROR(IF(INDEX(MASTER!$Q$4:$Q$1463,$P12)="","",INDEX(MASTER!$Q$4:$Q$1463,$P12)),""))</f>
        <v>88</v>
      </c>
      <c r="N12" s="19" t="str">
        <f>IF($P12="","",IFERROR(IF(INDEX(MASTER!$S$4:$S$1463,$P12)="","",INDEX(MASTER!$S$4:$S$1463,$P12)),""))</f>
        <v>Complete</v>
      </c>
      <c r="P12">
        <f>IFERROR(MATCH($Q$1&amp;"@4",MASTER!$AC$4:$AC$1463,0),"")</f>
        <v>108</v>
      </c>
    </row>
    <row r="13" spans="1:17">
      <c r="A13" s="15">
        <f>IF($P13="","",5)</f>
        <v>5</v>
      </c>
      <c r="B13" s="14" t="str">
        <f>IF($P13="","",IFERROR(IF(INDEX(MASTER!$C$4:$C$1463,$P13)="","",INDEX(MASTER!$C$4:$C$1463,$P13)),""))</f>
        <v>Bē</v>
      </c>
      <c r="C13" s="15" t="str">
        <f>IF($P13="","",IFERROR(IF(INDEX(MASTER!$D$4:$D$1463,$P13)="","",INDEX(MASTER!$D$4:$D$1463,$P13)),""))</f>
        <v/>
      </c>
      <c r="D13" s="15" t="str">
        <f>IF($P13="","",IFERROR(IF(INDEX(MASTER!$E$4:$E$1463,$P13)="","",INDEX(MASTER!$E$4:$E$1463,$P13)),""))</f>
        <v>WIZARD</v>
      </c>
      <c r="E13" s="15" t="str">
        <f>IF($P13="","",IFERROR(IF(INDEX(MASTER!$F$4:$F$1463,$P13)="","",INDEX(MASTER!$F$4:$F$1463,$P13)),""))</f>
        <v>Ranged DPS</v>
      </c>
      <c r="F13" s="16">
        <f>IF($P13="","",IFERROR(IF(INDEX(MASTER!$G$4:$G$1463,$P13)="","",INDEX(MASTER!$G$4:$G$1463,$P13)),""))</f>
        <v>59781</v>
      </c>
      <c r="G13" s="15" t="str">
        <f>IF($P13="","",IFERROR(IF(INDEX(MASTER!$H$4:$H$1463,$P13)="","",INDEX(MASTER!$H$4:$H$1463,$P13)),""))</f>
        <v>58,000 - 59,999</v>
      </c>
      <c r="H13" s="16">
        <f>IF($P13="","",IFERROR(IF(INDEX(MASTER!$I$4:$I$1463,$P13)="","",INDEX(MASTER!$I$4:$I$1463,$P13)),""))</f>
        <v>3559</v>
      </c>
      <c r="I13" s="15" t="str">
        <f>IF($P13="","",IFERROR(IF(INDEX(MASTER!$J$4:$J$1463,$P13)="","",INDEX(MASTER!$J$4:$J$1463,$P13)),""))</f>
        <v>DEVELOPING</v>
      </c>
      <c r="J13" s="17">
        <f>IF($P13="","",IFERROR(IF(INDEX(MASTER!$L$4:$L$1463,$P13)="","",INDEX(MASTER!$L$4:$L$1463,$P13)),""))</f>
        <v>4.3499999999999996</v>
      </c>
      <c r="K13" s="17">
        <f>IF($P13="","",IFERROR(IF(INDEX(MASTER!$N$4:$N$1463,$P13)="","",INDEX(MASTER!$N$4:$N$1463,$P13)),""))</f>
        <v>35.4</v>
      </c>
      <c r="L13" s="15" t="str">
        <f>IF($P13="","",IFERROR(IF(INDEX(MASTER!$O$4:$O$1463,$P13)="","",INDEX(MASTER!$O$4:$O$1463,$P13)),""))</f>
        <v>B</v>
      </c>
      <c r="M13" s="15">
        <f>IF($P13="","",IFERROR(IF(INDEX(MASTER!$Q$4:$Q$1463,$P13)="","",INDEX(MASTER!$Q$4:$Q$1463,$P13)),""))</f>
        <v>17</v>
      </c>
      <c r="N13" s="15" t="str">
        <f>IF($P13="","",IFERROR(IF(INDEX(MASTER!$S$4:$S$1463,$P13)="","",INDEX(MASTER!$S$4:$S$1463,$P13)),""))</f>
        <v>Complete</v>
      </c>
      <c r="P13">
        <f>IFERROR(MATCH($Q$1&amp;"@5",MASTER!$AC$4:$AC$1463,0),"")</f>
        <v>182</v>
      </c>
    </row>
    <row r="14" spans="1:17">
      <c r="A14" s="19">
        <f>IF($P14="","",6)</f>
        <v>6</v>
      </c>
      <c r="B14" s="18" t="str">
        <f>IF($P14="","",IFERROR(IF(INDEX(MASTER!$C$4:$C$1463,$P14)="","",INDEX(MASTER!$C$4:$C$1463,$P14)),""))</f>
        <v>Behrens</v>
      </c>
      <c r="C14" s="19" t="str">
        <f>IF($P14="","",IFERROR(IF(INDEX(MASTER!$D$4:$D$1463,$P14)="","",INDEX(MASTER!$D$4:$D$1463,$P14)),""))</f>
        <v/>
      </c>
      <c r="D14" s="19" t="str">
        <f>IF($P14="","",IFERROR(IF(INDEX(MASTER!$E$4:$E$1463,$P14)="","",INDEX(MASTER!$E$4:$E$1463,$P14)),""))</f>
        <v>TEMPEST</v>
      </c>
      <c r="E14" s="19" t="str">
        <f>IF($P14="","",IFERROR(IF(INDEX(MASTER!$F$4:$F$1463,$P14)="","",INDEX(MASTER!$F$4:$F$1463,$P14)),""))</f>
        <v>Melee DPS</v>
      </c>
      <c r="F14" s="20">
        <f>IF($P14="","",IFERROR(IF(INDEX(MASTER!$G$4:$G$1463,$P14)="","",INDEX(MASTER!$G$4:$G$1463,$P14)),""))</f>
        <v>57643</v>
      </c>
      <c r="G14" s="19" t="str">
        <f>IF($P14="","",IFERROR(IF(INDEX(MASTER!$H$4:$H$1463,$P14)="","",INDEX(MASTER!$H$4:$H$1463,$P14)),""))</f>
        <v>Under 58,000</v>
      </c>
      <c r="H14" s="20">
        <f>IF($P14="","",IFERROR(IF(INDEX(MASTER!$I$4:$I$1463,$P14)="","",INDEX(MASTER!$I$4:$I$1463,$P14)),""))</f>
        <v>562</v>
      </c>
      <c r="I14" s="19" t="str">
        <f>IF($P14="","",IFERROR(IF(INDEX(MASTER!$J$4:$J$1463,$P14)="","",INDEX(MASTER!$J$4:$J$1463,$P14)),""))</f>
        <v>ROOKIE</v>
      </c>
      <c r="J14" s="21">
        <f>IF($P14="","",IFERROR(IF(INDEX(MASTER!$L$4:$L$1463,$P14)="","",INDEX(MASTER!$L$4:$L$1463,$P14)),""))</f>
        <v>2.1</v>
      </c>
      <c r="K14" s="21">
        <f>IF($P14="","",IFERROR(IF(INDEX(MASTER!$N$4:$N$1463,$P14)="","",INDEX(MASTER!$N$4:$N$1463,$P14)),""))</f>
        <v>12.9</v>
      </c>
      <c r="L14" s="19" t="str">
        <f>IF($P14="","",IFERROR(IF(INDEX(MASTER!$O$4:$O$1463,$P14)="","",INDEX(MASTER!$O$4:$O$1463,$P14)),""))</f>
        <v>D</v>
      </c>
      <c r="M14" s="19">
        <f>IF($P14="","",IFERROR(IF(INDEX(MASTER!$Q$4:$Q$1463,$P14)="","",INDEX(MASTER!$Q$4:$Q$1463,$P14)),""))</f>
        <v>94</v>
      </c>
      <c r="N14" s="19" t="str">
        <f>IF($P14="","",IFERROR(IF(INDEX(MASTER!$S$4:$S$1463,$P14)="","",INDEX(MASTER!$S$4:$S$1463,$P14)),""))</f>
        <v>Complete</v>
      </c>
      <c r="P14">
        <f>IFERROR(MATCH($Q$1&amp;"@6",MASTER!$AC$4:$AC$1463,0),"")</f>
        <v>114</v>
      </c>
    </row>
    <row r="15" spans="1:17">
      <c r="A15" s="15">
        <f>IF($P15="","",7)</f>
        <v>7</v>
      </c>
      <c r="B15" s="14" t="str">
        <f>IF($P15="","",IFERROR(IF(INDEX(MASTER!$C$4:$C$1463,$P15)="","",INDEX(MASTER!$C$4:$C$1463,$P15)),""))</f>
        <v>BigDduNord</v>
      </c>
      <c r="C15" s="15" t="str">
        <f>IF($P15="","",IFERROR(IF(INDEX(MASTER!$D$4:$D$1463,$P15)="","",INDEX(MASTER!$D$4:$D$1463,$P15)),""))</f>
        <v/>
      </c>
      <c r="D15" s="15" t="str">
        <f>IF($P15="","",IFERROR(IF(INDEX(MASTER!$E$4:$E$1463,$P15)="","",INDEX(MASTER!$E$4:$E$1463,$P15)),""))</f>
        <v>NECROMANCER</v>
      </c>
      <c r="E15" s="15" t="str">
        <f>IF($P15="","",IFERROR(IF(INDEX(MASTER!$F$4:$F$1463,$P15)="","",INDEX(MASTER!$F$4:$F$1463,$P15)),""))</f>
        <v>Control</v>
      </c>
      <c r="F15" s="16">
        <f>IF($P15="","",IFERROR(IF(INDEX(MASTER!$G$4:$G$1463,$P15)="","",INDEX(MASTER!$G$4:$G$1463,$P15)),""))</f>
        <v>61515</v>
      </c>
      <c r="G15" s="15" t="str">
        <f>IF($P15="","",IFERROR(IF(INDEX(MASTER!$H$4:$H$1463,$P15)="","",INDEX(MASTER!$H$4:$H$1463,$P15)),""))</f>
        <v>61,000 - 61,999</v>
      </c>
      <c r="H15" s="16">
        <f>IF($P15="","",IFERROR(IF(INDEX(MASTER!$I$4:$I$1463,$P15)="","",INDEX(MASTER!$I$4:$I$1463,$P15)),""))</f>
        <v>1251</v>
      </c>
      <c r="I15" s="15" t="str">
        <f>IF($P15="","",IFERROR(IF(INDEX(MASTER!$J$4:$J$1463,$P15)="","",INDEX(MASTER!$J$4:$J$1463,$P15)),""))</f>
        <v>ROOKIE</v>
      </c>
      <c r="J15" s="17">
        <f>IF($P15="","",IFERROR(IF(INDEX(MASTER!$L$4:$L$1463,$P15)="","",INDEX(MASTER!$L$4:$L$1463,$P15)),""))</f>
        <v>3.43</v>
      </c>
      <c r="K15" s="17">
        <f>IF($P15="","",IFERROR(IF(INDEX(MASTER!$N$4:$N$1463,$P15)="","",INDEX(MASTER!$N$4:$N$1463,$P15)),""))</f>
        <v>28.3</v>
      </c>
      <c r="L15" s="15" t="str">
        <f>IF($P15="","",IFERROR(IF(INDEX(MASTER!$O$4:$O$1463,$P15)="","",INDEX(MASTER!$O$4:$O$1463,$P15)),""))</f>
        <v>C</v>
      </c>
      <c r="M15" s="15">
        <f>IF($P15="","",IFERROR(IF(INDEX(MASTER!$Q$4:$Q$1463,$P15)="","",INDEX(MASTER!$Q$4:$Q$1463,$P15)),""))</f>
        <v>77</v>
      </c>
      <c r="N15" s="15" t="str">
        <f>IF($P15="","",IFERROR(IF(INDEX(MASTER!$S$4:$S$1463,$P15)="","",INDEX(MASTER!$S$4:$S$1463,$P15)),""))</f>
        <v>Complete</v>
      </c>
      <c r="P15">
        <f>IFERROR(MATCH($Q$1&amp;"@7",MASTER!$AC$4:$AC$1463,0),"")</f>
        <v>130</v>
      </c>
    </row>
    <row r="16" spans="1:17">
      <c r="A16" s="19">
        <f>IF($P16="","",8)</f>
        <v>8</v>
      </c>
      <c r="B16" s="18" t="str">
        <f>IF($P16="","",IFERROR(IF(INDEX(MASTER!$C$4:$C$1463,$P16)="","",INDEX(MASTER!$C$4:$C$1463,$P16)),""))</f>
        <v>Bizatch</v>
      </c>
      <c r="C16" s="19" t="str">
        <f>IF($P16="","",IFERROR(IF(INDEX(MASTER!$D$4:$D$1463,$P16)="","",INDEX(MASTER!$D$4:$D$1463,$P16)),""))</f>
        <v/>
      </c>
      <c r="D16" s="19" t="str">
        <f>IF($P16="","",IFERROR(IF(INDEX(MASTER!$E$4:$E$1463,$P16)="","",INDEX(MASTER!$E$4:$E$1463,$P16)),""))</f>
        <v>DRUID</v>
      </c>
      <c r="E16" s="19" t="str">
        <f>IF($P16="","",IFERROR(IF(INDEX(MASTER!$F$4:$F$1463,$P16)="","",INDEX(MASTER!$F$4:$F$1463,$P16)),""))</f>
        <v>Support</v>
      </c>
      <c r="F16" s="20">
        <f>IF($P16="","",IFERROR(IF(INDEX(MASTER!$G$4:$G$1463,$P16)="","",INDEX(MASTER!$G$4:$G$1463,$P16)),""))</f>
        <v>61089</v>
      </c>
      <c r="G16" s="19" t="str">
        <f>IF($P16="","",IFERROR(IF(INDEX(MASTER!$H$4:$H$1463,$P16)="","",INDEX(MASTER!$H$4:$H$1463,$P16)),""))</f>
        <v>61,000 - 61,999</v>
      </c>
      <c r="H16" s="20">
        <f>IF($P16="","",IFERROR(IF(INDEX(MASTER!$I$4:$I$1463,$P16)="","",INDEX(MASTER!$I$4:$I$1463,$P16)),""))</f>
        <v>2172</v>
      </c>
      <c r="I16" s="19" t="str">
        <f>IF($P16="","",IFERROR(IF(INDEX(MASTER!$J$4:$J$1463,$P16)="","",INDEX(MASTER!$J$4:$J$1463,$P16)),""))</f>
        <v>DEVELOPING</v>
      </c>
      <c r="J16" s="21">
        <f>IF($P16="","",IFERROR(IF(INDEX(MASTER!$L$4:$L$1463,$P16)="","",INDEX(MASTER!$L$4:$L$1463,$P16)),""))</f>
        <v>3.5</v>
      </c>
      <c r="K16" s="21">
        <f>IF($P16="","",IFERROR(IF(INDEX(MASTER!$N$4:$N$1463,$P16)="","",INDEX(MASTER!$N$4:$N$1463,$P16)),""))</f>
        <v>31.3</v>
      </c>
      <c r="L16" s="19" t="str">
        <f>IF($P16="","",IFERROR(IF(INDEX(MASTER!$O$4:$O$1463,$P16)="","",INDEX(MASTER!$O$4:$O$1463,$P16)),""))</f>
        <v>C</v>
      </c>
      <c r="M16" s="19">
        <f>IF($P16="","",IFERROR(IF(INDEX(MASTER!$Q$4:$Q$1463,$P16)="","",INDEX(MASTER!$Q$4:$Q$1463,$P16)),""))</f>
        <v>50</v>
      </c>
      <c r="N16" s="19" t="str">
        <f>IF($P16="","",IFERROR(IF(INDEX(MASTER!$S$4:$S$1463,$P16)="","",INDEX(MASTER!$S$4:$S$1463,$P16)),""))</f>
        <v>Complete</v>
      </c>
      <c r="P16">
        <f>IFERROR(MATCH($Q$1&amp;"@8",MASTER!$AC$4:$AC$1463,0),"")</f>
        <v>137</v>
      </c>
    </row>
    <row r="17" spans="1:16">
      <c r="A17" s="15">
        <f>IF($P17="","",9)</f>
        <v>9</v>
      </c>
      <c r="B17" s="14" t="str">
        <f>IF($P17="","",IFERROR(IF(INDEX(MASTER!$C$4:$C$1463,$P17)="","",INDEX(MASTER!$C$4:$C$1463,$P17)),""))</f>
        <v>Bomber710</v>
      </c>
      <c r="C17" s="15" t="str">
        <f>IF($P17="","",IFERROR(IF(INDEX(MASTER!$D$4:$D$1463,$P17)="","",INDEX(MASTER!$D$4:$D$1463,$P17)),""))</f>
        <v/>
      </c>
      <c r="D17" s="15" t="str">
        <f>IF($P17="","",IFERROR(IF(INDEX(MASTER!$E$4:$E$1463,$P17)="","",INDEX(MASTER!$E$4:$E$1463,$P17)),""))</f>
        <v>WARLOCK</v>
      </c>
      <c r="E17" s="15" t="str">
        <f>IF($P17="","",IFERROR(IF(INDEX(MASTER!$F$4:$F$1463,$P17)="","",INDEX(MASTER!$F$4:$F$1463,$P17)),""))</f>
        <v>Control</v>
      </c>
      <c r="F17" s="16">
        <f>IF($P17="","",IFERROR(IF(INDEX(MASTER!$G$4:$G$1463,$P17)="","",INDEX(MASTER!$G$4:$G$1463,$P17)),""))</f>
        <v>62822</v>
      </c>
      <c r="G17" s="15" t="str">
        <f>IF($P17="","",IFERROR(IF(INDEX(MASTER!$H$4:$H$1463,$P17)="","",INDEX(MASTER!$H$4:$H$1463,$P17)),""))</f>
        <v>62,000 - 62,999</v>
      </c>
      <c r="H17" s="16">
        <f>IF($P17="","",IFERROR(IF(INDEX(MASTER!$I$4:$I$1463,$P17)="","",INDEX(MASTER!$I$4:$I$1463,$P17)),""))</f>
        <v>2180</v>
      </c>
      <c r="I17" s="15" t="str">
        <f>IF($P17="","",IFERROR(IF(INDEX(MASTER!$J$4:$J$1463,$P17)="","",INDEX(MASTER!$J$4:$J$1463,$P17)),""))</f>
        <v>DEVELOPING</v>
      </c>
      <c r="J17" s="17">
        <f>IF($P17="","",IFERROR(IF(INDEX(MASTER!$L$4:$L$1463,$P17)="","",INDEX(MASTER!$L$4:$L$1463,$P17)),""))</f>
        <v>5.0999999999999996</v>
      </c>
      <c r="K17" s="17">
        <f>IF($P17="","",IFERROR(IF(INDEX(MASTER!$N$4:$N$1463,$P17)="","",INDEX(MASTER!$N$4:$N$1463,$P17)),""))</f>
        <v>38.6</v>
      </c>
      <c r="L17" s="15" t="str">
        <f>IF($P17="","",IFERROR(IF(INDEX(MASTER!$O$4:$O$1463,$P17)="","",INDEX(MASTER!$O$4:$O$1463,$P17)),""))</f>
        <v>B</v>
      </c>
      <c r="M17" s="15">
        <f>IF($P17="","",IFERROR(IF(INDEX(MASTER!$Q$4:$Q$1463,$P17)="","",INDEX(MASTER!$Q$4:$Q$1463,$P17)),""))</f>
        <v>49</v>
      </c>
      <c r="N17" s="15" t="str">
        <f>IF($P17="","",IFERROR(IF(INDEX(MASTER!$S$4:$S$1463,$P17)="","",INDEX(MASTER!$S$4:$S$1463,$P17)),""))</f>
        <v>Complete</v>
      </c>
      <c r="P17">
        <f>IFERROR(MATCH($Q$1&amp;"@9",MASTER!$AC$4:$AC$1463,0),"")</f>
        <v>159</v>
      </c>
    </row>
    <row r="18" spans="1:16">
      <c r="A18" s="19">
        <f>IF($P18="","",10)</f>
        <v>10</v>
      </c>
      <c r="B18" s="18" t="str">
        <f>IF($P18="","",IFERROR(IF(INDEX(MASTER!$C$4:$C$1463,$P18)="","",INDEX(MASTER!$C$4:$C$1463,$P18)),""))</f>
        <v>Bracket</v>
      </c>
      <c r="C18" s="19" t="str">
        <f>IF($P18="","",IFERROR(IF(INDEX(MASTER!$D$4:$D$1463,$P18)="","",INDEX(MASTER!$D$4:$D$1463,$P18)),""))</f>
        <v/>
      </c>
      <c r="D18" s="19" t="str">
        <f>IF($P18="","",IFERROR(IF(INDEX(MASTER!$E$4:$E$1463,$P18)="","",INDEX(MASTER!$E$4:$E$1463,$P18)),""))</f>
        <v>BARBARIAN</v>
      </c>
      <c r="E18" s="19" t="str">
        <f>IF($P18="","",IFERROR(IF(INDEX(MASTER!$F$4:$F$1463,$P18)="","",INDEX(MASTER!$F$4:$F$1463,$P18)),""))</f>
        <v>Frontline</v>
      </c>
      <c r="F18" s="20">
        <f>IF($P18="","",IFERROR(IF(INDEX(MASTER!$G$4:$G$1463,$P18)="","",INDEX(MASTER!$G$4:$G$1463,$P18)),""))</f>
        <v>61231</v>
      </c>
      <c r="G18" s="19" t="str">
        <f>IF($P18="","",IFERROR(IF(INDEX(MASTER!$H$4:$H$1463,$P18)="","",INDEX(MASTER!$H$4:$H$1463,$P18)),""))</f>
        <v>61,000 - 61,999</v>
      </c>
      <c r="H18" s="20">
        <f>IF($P18="","",IFERROR(IF(INDEX(MASTER!$I$4:$I$1463,$P18)="","",INDEX(MASTER!$I$4:$I$1463,$P18)),""))</f>
        <v>1859</v>
      </c>
      <c r="I18" s="19" t="str">
        <f>IF($P18="","",IFERROR(IF(INDEX(MASTER!$J$4:$J$1463,$P18)="","",INDEX(MASTER!$J$4:$J$1463,$P18)),""))</f>
        <v>ROOKIE</v>
      </c>
      <c r="J18" s="21">
        <f>IF($P18="","",IFERROR(IF(INDEX(MASTER!$L$4:$L$1463,$P18)="","",INDEX(MASTER!$L$4:$L$1463,$P18)),""))</f>
        <v>3.7</v>
      </c>
      <c r="K18" s="21">
        <f>IF($P18="","",IFERROR(IF(INDEX(MASTER!$N$4:$N$1463,$P18)="","",INDEX(MASTER!$N$4:$N$1463,$P18)),""))</f>
        <v>30.7</v>
      </c>
      <c r="L18" s="19" t="str">
        <f>IF($P18="","",IFERROR(IF(INDEX(MASTER!$O$4:$O$1463,$P18)="","",INDEX(MASTER!$O$4:$O$1463,$P18)),""))</f>
        <v>C</v>
      </c>
      <c r="M18" s="19">
        <f>IF($P18="","",IFERROR(IF(INDEX(MASTER!$Q$4:$Q$1463,$P18)="","",INDEX(MASTER!$Q$4:$Q$1463,$P18)),""))</f>
        <v>59</v>
      </c>
      <c r="N18" s="19" t="str">
        <f>IF($P18="","",IFERROR(IF(INDEX(MASTER!$S$4:$S$1463,$P18)="","",INDEX(MASTER!$S$4:$S$1463,$P18)),""))</f>
        <v>Complete</v>
      </c>
      <c r="P18">
        <f>IFERROR(MATCH($Q$1&amp;"@10",MASTER!$AC$4:$AC$1463,0),"")</f>
        <v>168</v>
      </c>
    </row>
    <row r="19" spans="1:16">
      <c r="A19" s="15">
        <f>IF($P19="","",11)</f>
        <v>11</v>
      </c>
      <c r="B19" s="14" t="str">
        <f>IF($P19="","",IFERROR(IF(INDEX(MASTER!$C$4:$C$1463,$P19)="","",INDEX(MASTER!$C$4:$C$1463,$P19)),""))</f>
        <v>Cal66</v>
      </c>
      <c r="C19" s="15" t="str">
        <f>IF($P19="","",IFERROR(IF(INDEX(MASTER!$D$4:$D$1463,$P19)="","",INDEX(MASTER!$D$4:$D$1463,$P19)),""))</f>
        <v/>
      </c>
      <c r="D19" s="15" t="str">
        <f>IF($P19="","",IFERROR(IF(INDEX(MASTER!$E$4:$E$1463,$P19)="","",INDEX(MASTER!$E$4:$E$1463,$P19)),""))</f>
        <v>WARLOCK</v>
      </c>
      <c r="E19" s="15" t="str">
        <f>IF($P19="","",IFERROR(IF(INDEX(MASTER!$F$4:$F$1463,$P19)="","",INDEX(MASTER!$F$4:$F$1463,$P19)),""))</f>
        <v>Control</v>
      </c>
      <c r="F19" s="16">
        <f>IF($P19="","",IFERROR(IF(INDEX(MASTER!$G$4:$G$1463,$P19)="","",INDEX(MASTER!$G$4:$G$1463,$P19)),""))</f>
        <v>63451</v>
      </c>
      <c r="G19" s="15" t="str">
        <f>IF($P19="","",IFERROR(IF(INDEX(MASTER!$H$4:$H$1463,$P19)="","",INDEX(MASTER!$H$4:$H$1463,$P19)),""))</f>
        <v>63,000 - 63,999</v>
      </c>
      <c r="H19" s="16">
        <f>IF($P19="","",IFERROR(IF(INDEX(MASTER!$I$4:$I$1463,$P19)="","",INDEX(MASTER!$I$4:$I$1463,$P19)),""))</f>
        <v>5260</v>
      </c>
      <c r="I19" s="15" t="str">
        <f>IF($P19="","",IFERROR(IF(INDEX(MASTER!$J$4:$J$1463,$P19)="","",INDEX(MASTER!$J$4:$J$1463,$P19)),""))</f>
        <v>CORE</v>
      </c>
      <c r="J19" s="17">
        <f>IF($P19="","",IFERROR(IF(INDEX(MASTER!$L$4:$L$1463,$P19)="","",INDEX(MASTER!$L$4:$L$1463,$P19)),""))</f>
        <v>4.9000000000000004</v>
      </c>
      <c r="K19" s="17">
        <f>IF($P19="","",IFERROR(IF(INDEX(MASTER!$N$4:$N$1463,$P19)="","",INDEX(MASTER!$N$4:$N$1463,$P19)),""))</f>
        <v>53.4</v>
      </c>
      <c r="L19" s="15" t="str">
        <f>IF($P19="","",IFERROR(IF(INDEX(MASTER!$O$4:$O$1463,$P19)="","",INDEX(MASTER!$O$4:$O$1463,$P19)),""))</f>
        <v>A</v>
      </c>
      <c r="M19" s="15">
        <f>IF($P19="","",IFERROR(IF(INDEX(MASTER!$Q$4:$Q$1463,$P19)="","",INDEX(MASTER!$Q$4:$Q$1463,$P19)),""))</f>
        <v>1</v>
      </c>
      <c r="N19" s="15" t="str">
        <f>IF($P19="","",IFERROR(IF(INDEX(MASTER!$S$4:$S$1463,$P19)="","",INDEX(MASTER!$S$4:$S$1463,$P19)),""))</f>
        <v>Complete</v>
      </c>
      <c r="P19">
        <f>IFERROR(MATCH($Q$1&amp;"@11",MASTER!$AC$4:$AC$1463,0),"")</f>
        <v>187</v>
      </c>
    </row>
    <row r="20" spans="1:16">
      <c r="A20" s="19">
        <f>IF($P20="","",12)</f>
        <v>12</v>
      </c>
      <c r="B20" s="18" t="str">
        <f>IF($P20="","",IFERROR(IF(INDEX(MASTER!$C$4:$C$1463,$P20)="","",INDEX(MASTER!$C$4:$C$1463,$P20)),""))</f>
        <v>CaptKiji</v>
      </c>
      <c r="C20" s="19" t="str">
        <f>IF($P20="","",IFERROR(IF(INDEX(MASTER!$D$4:$D$1463,$P20)="","",INDEX(MASTER!$D$4:$D$1463,$P20)),""))</f>
        <v/>
      </c>
      <c r="D20" s="19" t="str">
        <f>IF($P20="","",IFERROR(IF(INDEX(MASTER!$E$4:$E$1463,$P20)="","",INDEX(MASTER!$E$4:$E$1463,$P20)),""))</f>
        <v>BARBARIAN</v>
      </c>
      <c r="E20" s="19" t="str">
        <f>IF($P20="","",IFERROR(IF(INDEX(MASTER!$F$4:$F$1463,$P20)="","",INDEX(MASTER!$F$4:$F$1463,$P20)),""))</f>
        <v>Frontline</v>
      </c>
      <c r="F20" s="20">
        <f>IF($P20="","",IFERROR(IF(INDEX(MASTER!$G$4:$G$1463,$P20)="","",INDEX(MASTER!$G$4:$G$1463,$P20)),""))</f>
        <v>61556</v>
      </c>
      <c r="G20" s="19" t="str">
        <f>IF($P20="","",IFERROR(IF(INDEX(MASTER!$H$4:$H$1463,$P20)="","",INDEX(MASTER!$H$4:$H$1463,$P20)),""))</f>
        <v>61,000 - 61,999</v>
      </c>
      <c r="H20" s="20">
        <f>IF($P20="","",IFERROR(IF(INDEX(MASTER!$I$4:$I$1463,$P20)="","",INDEX(MASTER!$I$4:$I$1463,$P20)),""))</f>
        <v>2636</v>
      </c>
      <c r="I20" s="19" t="str">
        <f>IF($P20="","",IFERROR(IF(INDEX(MASTER!$J$4:$J$1463,$P20)="","",INDEX(MASTER!$J$4:$J$1463,$P20)),""))</f>
        <v>DEVELOPING</v>
      </c>
      <c r="J20" s="21">
        <f>IF($P20="","",IFERROR(IF(INDEX(MASTER!$L$4:$L$1463,$P20)="","",INDEX(MASTER!$L$4:$L$1463,$P20)),""))</f>
        <v>4.7</v>
      </c>
      <c r="K20" s="21">
        <f>IF($P20="","",IFERROR(IF(INDEX(MASTER!$N$4:$N$1463,$P20)="","",INDEX(MASTER!$N$4:$N$1463,$P20)),""))</f>
        <v>36.6</v>
      </c>
      <c r="L20" s="19" t="str">
        <f>IF($P20="","",IFERROR(IF(INDEX(MASTER!$O$4:$O$1463,$P20)="","",INDEX(MASTER!$O$4:$O$1463,$P20)),""))</f>
        <v>B</v>
      </c>
      <c r="M20" s="19">
        <f>IF($P20="","",IFERROR(IF(INDEX(MASTER!$Q$4:$Q$1463,$P20)="","",INDEX(MASTER!$Q$4:$Q$1463,$P20)),""))</f>
        <v>31</v>
      </c>
      <c r="N20" s="19" t="str">
        <f>IF($P20="","",IFERROR(IF(INDEX(MASTER!$S$4:$S$1463,$P20)="","",INDEX(MASTER!$S$4:$S$1463,$P20)),""))</f>
        <v>Complete</v>
      </c>
      <c r="P20">
        <f>IFERROR(MATCH($Q$1&amp;"@12",MASTER!$AC$4:$AC$1463,0),"")</f>
        <v>193</v>
      </c>
    </row>
    <row r="21" spans="1:16">
      <c r="A21" s="15">
        <f>IF($P21="","",13)</f>
        <v>13</v>
      </c>
      <c r="B21" s="14" t="str">
        <f>IF($P21="","",IFERROR(IF(INDEX(MASTER!$C$4:$C$1463,$P21)="","",INDEX(MASTER!$C$4:$C$1463,$P21)),""))</f>
        <v>CCAUSTICC</v>
      </c>
      <c r="C21" s="15" t="str">
        <f>IF($P21="","",IFERROR(IF(INDEX(MASTER!$D$4:$D$1463,$P21)="","",INDEX(MASTER!$D$4:$D$1463,$P21)),""))</f>
        <v/>
      </c>
      <c r="D21" s="15" t="str">
        <f>IF($P21="","",IFERROR(IF(INDEX(MASTER!$E$4:$E$1463,$P21)="","",INDEX(MASTER!$E$4:$E$1463,$P21)),""))</f>
        <v>BLOOD KNIGHT</v>
      </c>
      <c r="E21" s="15" t="str">
        <f>IF($P21="","",IFERROR(IF(INDEX(MASTER!$F$4:$F$1463,$P21)="","",INDEX(MASTER!$F$4:$F$1463,$P21)),""))</f>
        <v>Frontline</v>
      </c>
      <c r="F21" s="16">
        <f>IF($P21="","",IFERROR(IF(INDEX(MASTER!$G$4:$G$1463,$P21)="","",INDEX(MASTER!$G$4:$G$1463,$P21)),""))</f>
        <v>61154</v>
      </c>
      <c r="G21" s="15" t="str">
        <f>IF($P21="","",IFERROR(IF(INDEX(MASTER!$H$4:$H$1463,$P21)="","",INDEX(MASTER!$H$4:$H$1463,$P21)),""))</f>
        <v>61,000 - 61,999</v>
      </c>
      <c r="H21" s="16">
        <f>IF($P21="","",IFERROR(IF(INDEX(MASTER!$I$4:$I$1463,$P21)="","",INDEX(MASTER!$I$4:$I$1463,$P21)),""))</f>
        <v>1396</v>
      </c>
      <c r="I21" s="15" t="str">
        <f>IF($P21="","",IFERROR(IF(INDEX(MASTER!$J$4:$J$1463,$P21)="","",INDEX(MASTER!$J$4:$J$1463,$P21)),""))</f>
        <v>ROOKIE</v>
      </c>
      <c r="J21" s="17">
        <f>IF($P21="","",IFERROR(IF(INDEX(MASTER!$L$4:$L$1463,$P21)="","",INDEX(MASTER!$L$4:$L$1463,$P21)),""))</f>
        <v>3.9</v>
      </c>
      <c r="K21" s="17">
        <f>IF($P21="","",IFERROR(IF(INDEX(MASTER!$N$4:$N$1463,$P21)="","",INDEX(MASTER!$N$4:$N$1463,$P21)),""))</f>
        <v>28.8</v>
      </c>
      <c r="L21" s="15" t="str">
        <f>IF($P21="","",IFERROR(IF(INDEX(MASTER!$O$4:$O$1463,$P21)="","",INDEX(MASTER!$O$4:$O$1463,$P21)),""))</f>
        <v>C</v>
      </c>
      <c r="M21" s="15">
        <f>IF($P21="","",IFERROR(IF(INDEX(MASTER!$Q$4:$Q$1463,$P21)="","",INDEX(MASTER!$Q$4:$Q$1463,$P21)),""))</f>
        <v>75</v>
      </c>
      <c r="N21" s="15" t="str">
        <f>IF($P21="","",IFERROR(IF(INDEX(MASTER!$S$4:$S$1463,$P21)="","",INDEX(MASTER!$S$4:$S$1463,$P21)),""))</f>
        <v>Complete</v>
      </c>
      <c r="P21">
        <f>IFERROR(MATCH($Q$1&amp;"@13",MASTER!$AC$4:$AC$1463,0),"")</f>
        <v>199</v>
      </c>
    </row>
    <row r="22" spans="1:16">
      <c r="A22" s="19">
        <f>IF($P22="","",14)</f>
        <v>14</v>
      </c>
      <c r="B22" s="18" t="str">
        <f>IF($P22="","",IFERROR(IF(INDEX(MASTER!$C$4:$C$1463,$P22)="","",INDEX(MASTER!$C$4:$C$1463,$P22)),""))</f>
        <v>CelestineKnights</v>
      </c>
      <c r="C22" s="19" t="str">
        <f>IF($P22="","",IFERROR(IF(INDEX(MASTER!$D$4:$D$1463,$P22)="","",INDEX(MASTER!$D$4:$D$1463,$P22)),""))</f>
        <v/>
      </c>
      <c r="D22" s="19" t="str">
        <f>IF($P22="","",IFERROR(IF(INDEX(MASTER!$E$4:$E$1463,$P22)="","",INDEX(MASTER!$E$4:$E$1463,$P22)),""))</f>
        <v>NECROMANCER</v>
      </c>
      <c r="E22" s="19" t="str">
        <f>IF($P22="","",IFERROR(IF(INDEX(MASTER!$F$4:$F$1463,$P22)="","",INDEX(MASTER!$F$4:$F$1463,$P22)),""))</f>
        <v>Control</v>
      </c>
      <c r="F22" s="20">
        <f>IF($P22="","",IFERROR(IF(INDEX(MASTER!$G$4:$G$1463,$P22)="","",INDEX(MASTER!$G$4:$G$1463,$P22)),""))</f>
        <v>60403</v>
      </c>
      <c r="G22" s="19" t="str">
        <f>IF($P22="","",IFERROR(IF(INDEX(MASTER!$H$4:$H$1463,$P22)="","",INDEX(MASTER!$H$4:$H$1463,$P22)),""))</f>
        <v>60,000 - 60,999</v>
      </c>
      <c r="H22" s="20">
        <f>IF($P22="","",IFERROR(IF(INDEX(MASTER!$I$4:$I$1463,$P22)="","",INDEX(MASTER!$I$4:$I$1463,$P22)),""))</f>
        <v>1470</v>
      </c>
      <c r="I22" s="19" t="str">
        <f>IF($P22="","",IFERROR(IF(INDEX(MASTER!$J$4:$J$1463,$P22)="","",INDEX(MASTER!$J$4:$J$1463,$P22)),""))</f>
        <v>ROOKIE</v>
      </c>
      <c r="J22" s="21">
        <f>IF($P22="","",IFERROR(IF(INDEX(MASTER!$L$4:$L$1463,$P22)="","",INDEX(MASTER!$L$4:$L$1463,$P22)),""))</f>
        <v>3.3</v>
      </c>
      <c r="K22" s="21">
        <f>IF($P22="","",IFERROR(IF(INDEX(MASTER!$N$4:$N$1463,$P22)="","",INDEX(MASTER!$N$4:$N$1463,$P22)),""))</f>
        <v>26.1</v>
      </c>
      <c r="L22" s="19" t="str">
        <f>IF($P22="","",IFERROR(IF(INDEX(MASTER!$O$4:$O$1463,$P22)="","",INDEX(MASTER!$O$4:$O$1463,$P22)),""))</f>
        <v>C</v>
      </c>
      <c r="M22" s="19">
        <f>IF($P22="","",IFERROR(IF(INDEX(MASTER!$Q$4:$Q$1463,$P22)="","",INDEX(MASTER!$Q$4:$Q$1463,$P22)),""))</f>
        <v>72</v>
      </c>
      <c r="N22" s="19" t="str">
        <f>IF($P22="","",IFERROR(IF(INDEX(MASTER!$S$4:$S$1463,$P22)="","",INDEX(MASTER!$S$4:$S$1463,$P22)),""))</f>
        <v>Complete</v>
      </c>
      <c r="P22">
        <f>IFERROR(MATCH($Q$1&amp;"@14",MASTER!$AC$4:$AC$1463,0),"")</f>
        <v>200</v>
      </c>
    </row>
    <row r="23" spans="1:16">
      <c r="A23" s="15">
        <f>IF($P23="","",15)</f>
        <v>15</v>
      </c>
      <c r="B23" s="14" t="str">
        <f>IF($P23="","",IFERROR(IF(INDEX(MASTER!$C$4:$C$1463,$P23)="","",INDEX(MASTER!$C$4:$C$1463,$P23)),""))</f>
        <v>Ch33tos</v>
      </c>
      <c r="C23" s="15" t="str">
        <f>IF($P23="","",IFERROR(IF(INDEX(MASTER!$D$4:$D$1463,$P23)="","",INDEX(MASTER!$D$4:$D$1463,$P23)),""))</f>
        <v/>
      </c>
      <c r="D23" s="15" t="str">
        <f>IF($P23="","",IFERROR(IF(INDEX(MASTER!$E$4:$E$1463,$P23)="","",INDEX(MASTER!$E$4:$E$1463,$P23)),""))</f>
        <v>NECROMANCER</v>
      </c>
      <c r="E23" s="15" t="str">
        <f>IF($P23="","",IFERROR(IF(INDEX(MASTER!$F$4:$F$1463,$P23)="","",INDEX(MASTER!$F$4:$F$1463,$P23)),""))</f>
        <v>Control</v>
      </c>
      <c r="F23" s="16">
        <f>IF($P23="","",IFERROR(IF(INDEX(MASTER!$G$4:$G$1463,$P23)="","",INDEX(MASTER!$G$4:$G$1463,$P23)),""))</f>
        <v>61296</v>
      </c>
      <c r="G23" s="15" t="str">
        <f>IF($P23="","",IFERROR(IF(INDEX(MASTER!$H$4:$H$1463,$P23)="","",INDEX(MASTER!$H$4:$H$1463,$P23)),""))</f>
        <v>61,000 - 61,999</v>
      </c>
      <c r="H23" s="16">
        <f>IF($P23="","",IFERROR(IF(INDEX(MASTER!$I$4:$I$1463,$P23)="","",INDEX(MASTER!$I$4:$I$1463,$P23)),""))</f>
        <v>3019</v>
      </c>
      <c r="I23" s="15" t="str">
        <f>IF($P23="","",IFERROR(IF(INDEX(MASTER!$J$4:$J$1463,$P23)="","",INDEX(MASTER!$J$4:$J$1463,$P23)),""))</f>
        <v>DEVELOPING</v>
      </c>
      <c r="J23" s="17">
        <f>IF($P23="","",IFERROR(IF(INDEX(MASTER!$L$4:$L$1463,$P23)="","",INDEX(MASTER!$L$4:$L$1463,$P23)),""))</f>
        <v>3.75</v>
      </c>
      <c r="K23" s="17">
        <f>IF($P23="","",IFERROR(IF(INDEX(MASTER!$N$4:$N$1463,$P23)="","",INDEX(MASTER!$N$4:$N$1463,$P23)),""))</f>
        <v>36</v>
      </c>
      <c r="L23" s="15" t="str">
        <f>IF($P23="","",IFERROR(IF(INDEX(MASTER!$O$4:$O$1463,$P23)="","",INDEX(MASTER!$O$4:$O$1463,$P23)),""))</f>
        <v>B</v>
      </c>
      <c r="M23" s="15">
        <f>IF($P23="","",IFERROR(IF(INDEX(MASTER!$Q$4:$Q$1463,$P23)="","",INDEX(MASTER!$Q$4:$Q$1463,$P23)),""))</f>
        <v>24</v>
      </c>
      <c r="N23" s="15" t="str">
        <f>IF($P23="","",IFERROR(IF(INDEX(MASTER!$S$4:$S$1463,$P23)="","",INDEX(MASTER!$S$4:$S$1463,$P23)),""))</f>
        <v>Complete</v>
      </c>
      <c r="P23">
        <f>IFERROR(MATCH($Q$1&amp;"@15",MASTER!$AC$4:$AC$1463,0),"")</f>
        <v>201</v>
      </c>
    </row>
    <row r="24" spans="1:16">
      <c r="A24" s="19">
        <f>IF($P24="","",16)</f>
        <v>16</v>
      </c>
      <c r="B24" s="18" t="str">
        <f>IF($P24="","",IFERROR(IF(INDEX(MASTER!$C$4:$C$1463,$P24)="","",INDEX(MASTER!$C$4:$C$1463,$P24)),""))</f>
        <v>ChloeSativa</v>
      </c>
      <c r="C24" s="19" t="str">
        <f>IF($P24="","",IFERROR(IF(INDEX(MASTER!$D$4:$D$1463,$P24)="","",INDEX(MASTER!$D$4:$D$1463,$P24)),""))</f>
        <v/>
      </c>
      <c r="D24" s="19" t="str">
        <f>IF($P24="","",IFERROR(IF(INDEX(MASTER!$E$4:$E$1463,$P24)="","",INDEX(MASTER!$E$4:$E$1463,$P24)),""))</f>
        <v>BLOOD KNIGHT</v>
      </c>
      <c r="E24" s="19" t="str">
        <f>IF($P24="","",IFERROR(IF(INDEX(MASTER!$F$4:$F$1463,$P24)="","",INDEX(MASTER!$F$4:$F$1463,$P24)),""))</f>
        <v>Frontline</v>
      </c>
      <c r="F24" s="20">
        <f>IF($P24="","",IFERROR(IF(INDEX(MASTER!$G$4:$G$1463,$P24)="","",INDEX(MASTER!$G$4:$G$1463,$P24)),""))</f>
        <v>58145</v>
      </c>
      <c r="G24" s="19" t="str">
        <f>IF($P24="","",IFERROR(IF(INDEX(MASTER!$H$4:$H$1463,$P24)="","",INDEX(MASTER!$H$4:$H$1463,$P24)),""))</f>
        <v>58,000 - 59,999</v>
      </c>
      <c r="H24" s="20">
        <f>IF($P24="","",IFERROR(IF(INDEX(MASTER!$I$4:$I$1463,$P24)="","",INDEX(MASTER!$I$4:$I$1463,$P24)),""))</f>
        <v>3112</v>
      </c>
      <c r="I24" s="19" t="str">
        <f>IF($P24="","",IFERROR(IF(INDEX(MASTER!$J$4:$J$1463,$P24)="","",INDEX(MASTER!$J$4:$J$1463,$P24)),""))</f>
        <v>DEVELOPING</v>
      </c>
      <c r="J24" s="21">
        <f>IF($P24="","",IFERROR(IF(INDEX(MASTER!$L$4:$L$1463,$P24)="","",INDEX(MASTER!$L$4:$L$1463,$P24)),""))</f>
        <v>3</v>
      </c>
      <c r="K24" s="21">
        <f>IF($P24="","",IFERROR(IF(INDEX(MASTER!$N$4:$N$1463,$P24)="","",INDEX(MASTER!$N$4:$N$1463,$P24)),""))</f>
        <v>26.9</v>
      </c>
      <c r="L24" s="19" t="str">
        <f>IF($P24="","",IFERROR(IF(INDEX(MASTER!$O$4:$O$1463,$P24)="","",INDEX(MASTER!$O$4:$O$1463,$P24)),""))</f>
        <v>C</v>
      </c>
      <c r="M24" s="19">
        <f>IF($P24="","",IFERROR(IF(INDEX(MASTER!$Q$4:$Q$1463,$P24)="","",INDEX(MASTER!$Q$4:$Q$1463,$P24)),""))</f>
        <v>23</v>
      </c>
      <c r="N24" s="19" t="str">
        <f>IF($P24="","",IFERROR(IF(INDEX(MASTER!$S$4:$S$1463,$P24)="","",INDEX(MASTER!$S$4:$S$1463,$P24)),""))</f>
        <v>Complete</v>
      </c>
      <c r="P24">
        <f>IFERROR(MATCH($Q$1&amp;"@16",MASTER!$AC$4:$AC$1463,0),"")</f>
        <v>208</v>
      </c>
    </row>
    <row r="25" spans="1:16">
      <c r="A25" s="15">
        <f>IF($P25="","",17)</f>
        <v>17</v>
      </c>
      <c r="B25" s="14" t="str">
        <f>IF($P25="","",IFERROR(IF(INDEX(MASTER!$C$4:$C$1463,$P25)="","",INDEX(MASTER!$C$4:$C$1463,$P25)),""))</f>
        <v>Circe</v>
      </c>
      <c r="C25" s="15" t="str">
        <f>IF($P25="","",IFERROR(IF(INDEX(MASTER!$D$4:$D$1463,$P25)="","",INDEX(MASTER!$D$4:$D$1463,$P25)),""))</f>
        <v/>
      </c>
      <c r="D25" s="15" t="str">
        <f>IF($P25="","",IFERROR(IF(INDEX(MASTER!$E$4:$E$1463,$P25)="","",INDEX(MASTER!$E$4:$E$1463,$P25)),""))</f>
        <v>WIZARD</v>
      </c>
      <c r="E25" s="15" t="str">
        <f>IF($P25="","",IFERROR(IF(INDEX(MASTER!$F$4:$F$1463,$P25)="","",INDEX(MASTER!$F$4:$F$1463,$P25)),""))</f>
        <v>Ranged DPS</v>
      </c>
      <c r="F25" s="16">
        <f>IF($P25="","",IFERROR(IF(INDEX(MASTER!$G$4:$G$1463,$P25)="","",INDEX(MASTER!$G$4:$G$1463,$P25)),""))</f>
        <v>62028</v>
      </c>
      <c r="G25" s="15" t="str">
        <f>IF($P25="","",IFERROR(IF(INDEX(MASTER!$H$4:$H$1463,$P25)="","",INDEX(MASTER!$H$4:$H$1463,$P25)),""))</f>
        <v>62,000 - 62,999</v>
      </c>
      <c r="H25" s="16">
        <f>IF($P25="","",IFERROR(IF(INDEX(MASTER!$I$4:$I$1463,$P25)="","",INDEX(MASTER!$I$4:$I$1463,$P25)),""))</f>
        <v>4250</v>
      </c>
      <c r="I25" s="15" t="str">
        <f>IF($P25="","",IFERROR(IF(INDEX(MASTER!$J$4:$J$1463,$P25)="","",INDEX(MASTER!$J$4:$J$1463,$P25)),""))</f>
        <v>CORE</v>
      </c>
      <c r="J25" s="17">
        <f>IF($P25="","",IFERROR(IF(INDEX(MASTER!$L$4:$L$1463,$P25)="","",INDEX(MASTER!$L$4:$L$1463,$P25)),""))</f>
        <v>5.35</v>
      </c>
      <c r="K25" s="17">
        <f>IF($P25="","",IFERROR(IF(INDEX(MASTER!$N$4:$N$1463,$P25)="","",INDEX(MASTER!$N$4:$N$1463,$P25)),""))</f>
        <v>46</v>
      </c>
      <c r="L25" s="15" t="str">
        <f>IF($P25="","",IFERROR(IF(INDEX(MASTER!$O$4:$O$1463,$P25)="","",INDEX(MASTER!$O$4:$O$1463,$P25)),""))</f>
        <v>B</v>
      </c>
      <c r="M25" s="15">
        <f>IF($P25="","",IFERROR(IF(INDEX(MASTER!$Q$4:$Q$1463,$P25)="","",INDEX(MASTER!$Q$4:$Q$1463,$P25)),""))</f>
        <v>9</v>
      </c>
      <c r="N25" s="15" t="str">
        <f>IF($P25="","",IFERROR(IF(INDEX(MASTER!$S$4:$S$1463,$P25)="","",INDEX(MASTER!$S$4:$S$1463,$P25)),""))</f>
        <v>Complete</v>
      </c>
      <c r="P25">
        <f>IFERROR(MATCH($Q$1&amp;"@17",MASTER!$AC$4:$AC$1463,0),"")</f>
        <v>214</v>
      </c>
    </row>
    <row r="26" spans="1:16">
      <c r="A26" s="19">
        <f>IF($P26="","",18)</f>
        <v>18</v>
      </c>
      <c r="B26" s="18" t="str">
        <f>IF($P26="","",IFERROR(IF(INDEX(MASTER!$C$4:$C$1463,$P26)="","",INDEX(MASTER!$C$4:$C$1463,$P26)),""))</f>
        <v>CLi_0</v>
      </c>
      <c r="C26" s="19" t="str">
        <f>IF($P26="","",IFERROR(IF(INDEX(MASTER!$D$4:$D$1463,$P26)="","",INDEX(MASTER!$D$4:$D$1463,$P26)),""))</f>
        <v/>
      </c>
      <c r="D26" s="19" t="str">
        <f>IF($P26="","",IFERROR(IF(INDEX(MASTER!$E$4:$E$1463,$P26)="","",INDEX(MASTER!$E$4:$E$1463,$P26)),""))</f>
        <v>DEMON HUNTER</v>
      </c>
      <c r="E26" s="19" t="str">
        <f>IF($P26="","",IFERROR(IF(INDEX(MASTER!$F$4:$F$1463,$P26)="","",INDEX(MASTER!$F$4:$F$1463,$P26)),""))</f>
        <v>Ranged DPS</v>
      </c>
      <c r="F26" s="20">
        <f>IF($P26="","",IFERROR(IF(INDEX(MASTER!$G$4:$G$1463,$P26)="","",INDEX(MASTER!$G$4:$G$1463,$P26)),""))</f>
        <v>61755</v>
      </c>
      <c r="G26" s="19" t="str">
        <f>IF($P26="","",IFERROR(IF(INDEX(MASTER!$H$4:$H$1463,$P26)="","",INDEX(MASTER!$H$4:$H$1463,$P26)),""))</f>
        <v>61,000 - 61,999</v>
      </c>
      <c r="H26" s="20">
        <f>IF($P26="","",IFERROR(IF(INDEX(MASTER!$I$4:$I$1463,$P26)="","",INDEX(MASTER!$I$4:$I$1463,$P26)),""))</f>
        <v>2798</v>
      </c>
      <c r="I26" s="19" t="str">
        <f>IF($P26="","",IFERROR(IF(INDEX(MASTER!$J$4:$J$1463,$P26)="","",INDEX(MASTER!$J$4:$J$1463,$P26)),""))</f>
        <v>DEVELOPING</v>
      </c>
      <c r="J26" s="21">
        <f>IF($P26="","",IFERROR(IF(INDEX(MASTER!$L$4:$L$1463,$P26)="","",INDEX(MASTER!$L$4:$L$1463,$P26)),""))</f>
        <v>4.25</v>
      </c>
      <c r="K26" s="21">
        <f>IF($P26="","",IFERROR(IF(INDEX(MASTER!$N$4:$N$1463,$P26)="","",INDEX(MASTER!$N$4:$N$1463,$P26)),""))</f>
        <v>37.1</v>
      </c>
      <c r="L26" s="19" t="str">
        <f>IF($P26="","",IFERROR(IF(INDEX(MASTER!$O$4:$O$1463,$P26)="","",INDEX(MASTER!$O$4:$O$1463,$P26)),""))</f>
        <v>B</v>
      </c>
      <c r="M26" s="19">
        <f>IF($P26="","",IFERROR(IF(INDEX(MASTER!$Q$4:$Q$1463,$P26)="","",INDEX(MASTER!$Q$4:$Q$1463,$P26)),""))</f>
        <v>29</v>
      </c>
      <c r="N26" s="19" t="str">
        <f>IF($P26="","",IFERROR(IF(INDEX(MASTER!$S$4:$S$1463,$P26)="","",INDEX(MASTER!$S$4:$S$1463,$P26)),""))</f>
        <v>Complete</v>
      </c>
      <c r="P26">
        <f>IFERROR(MATCH($Q$1&amp;"@18",MASTER!$AC$4:$AC$1463,0),"")</f>
        <v>220</v>
      </c>
    </row>
    <row r="27" spans="1:16">
      <c r="A27" s="15">
        <f>IF($P27="","",19)</f>
        <v>19</v>
      </c>
      <c r="B27" s="14" t="str">
        <f>IF($P27="","",IFERROR(IF(INDEX(MASTER!$C$4:$C$1463,$P27)="","",INDEX(MASTER!$C$4:$C$1463,$P27)),""))</f>
        <v>Cocushka</v>
      </c>
      <c r="C27" s="15" t="str">
        <f>IF($P27="","",IFERROR(IF(INDEX(MASTER!$D$4:$D$1463,$P27)="","",INDEX(MASTER!$D$4:$D$1463,$P27)),""))</f>
        <v/>
      </c>
      <c r="D27" s="15" t="str">
        <f>IF($P27="","",IFERROR(IF(INDEX(MASTER!$E$4:$E$1463,$P27)="","",INDEX(MASTER!$E$4:$E$1463,$P27)),""))</f>
        <v>BLOOD KNIGHT</v>
      </c>
      <c r="E27" s="15" t="str">
        <f>IF($P27="","",IFERROR(IF(INDEX(MASTER!$F$4:$F$1463,$P27)="","",INDEX(MASTER!$F$4:$F$1463,$P27)),""))</f>
        <v>Frontline</v>
      </c>
      <c r="F27" s="16">
        <f>IF($P27="","",IFERROR(IF(INDEX(MASTER!$G$4:$G$1463,$P27)="","",INDEX(MASTER!$G$4:$G$1463,$P27)),""))</f>
        <v>63105</v>
      </c>
      <c r="G27" s="15" t="str">
        <f>IF($P27="","",IFERROR(IF(INDEX(MASTER!$H$4:$H$1463,$P27)="","",INDEX(MASTER!$H$4:$H$1463,$P27)),""))</f>
        <v>63,000 - 63,999</v>
      </c>
      <c r="H27" s="16">
        <f>IF($P27="","",IFERROR(IF(INDEX(MASTER!$I$4:$I$1463,$P27)="","",INDEX(MASTER!$I$4:$I$1463,$P27)),""))</f>
        <v>3604</v>
      </c>
      <c r="I27" s="15" t="str">
        <f>IF($P27="","",IFERROR(IF(INDEX(MASTER!$J$4:$J$1463,$P27)="","",INDEX(MASTER!$J$4:$J$1463,$P27)),""))</f>
        <v>DEVELOPING</v>
      </c>
      <c r="J27" s="17">
        <f>IF($P27="","",IFERROR(IF(INDEX(MASTER!$L$4:$L$1463,$P27)="","",INDEX(MASTER!$L$4:$L$1463,$P27)),""))</f>
        <v>4.8499999999999996</v>
      </c>
      <c r="K27" s="17">
        <f>IF($P27="","",IFERROR(IF(INDEX(MASTER!$N$4:$N$1463,$P27)="","",INDEX(MASTER!$N$4:$N$1463,$P27)),""))</f>
        <v>45.1</v>
      </c>
      <c r="L27" s="15" t="str">
        <f>IF($P27="","",IFERROR(IF(INDEX(MASTER!$O$4:$O$1463,$P27)="","",INDEX(MASTER!$O$4:$O$1463,$P27)),""))</f>
        <v>B</v>
      </c>
      <c r="M27" s="15">
        <f>IF($P27="","",IFERROR(IF(INDEX(MASTER!$Q$4:$Q$1463,$P27)="","",INDEX(MASTER!$Q$4:$Q$1463,$P27)),""))</f>
        <v>16</v>
      </c>
      <c r="N27" s="15" t="str">
        <f>IF($P27="","",IFERROR(IF(INDEX(MASTER!$S$4:$S$1463,$P27)="","",INDEX(MASTER!$S$4:$S$1463,$P27)),""))</f>
        <v>Complete</v>
      </c>
      <c r="P27">
        <f>IFERROR(MATCH($Q$1&amp;"@19",MASTER!$AC$4:$AC$1463,0),"")</f>
        <v>223</v>
      </c>
    </row>
    <row r="28" spans="1:16">
      <c r="A28" s="19">
        <f>IF($P28="","",20)</f>
        <v>20</v>
      </c>
      <c r="B28" s="18" t="str">
        <f>IF($P28="","",IFERROR(IF(INDEX(MASTER!$C$4:$C$1463,$P28)="","",INDEX(MASTER!$C$4:$C$1463,$P28)),""))</f>
        <v>Cylbert</v>
      </c>
      <c r="C28" s="19" t="str">
        <f>IF($P28="","",IFERROR(IF(INDEX(MASTER!$D$4:$D$1463,$P28)="","",INDEX(MASTER!$D$4:$D$1463,$P28)),""))</f>
        <v/>
      </c>
      <c r="D28" s="19" t="str">
        <f>IF($P28="","",IFERROR(IF(INDEX(MASTER!$E$4:$E$1463,$P28)="","",INDEX(MASTER!$E$4:$E$1463,$P28)),""))</f>
        <v>WARLOCK</v>
      </c>
      <c r="E28" s="19" t="str">
        <f>IF($P28="","",IFERROR(IF(INDEX(MASTER!$F$4:$F$1463,$P28)="","",INDEX(MASTER!$F$4:$F$1463,$P28)),""))</f>
        <v>Control</v>
      </c>
      <c r="F28" s="20">
        <f>IF($P28="","",IFERROR(IF(INDEX(MASTER!$G$4:$G$1463,$P28)="","",INDEX(MASTER!$G$4:$G$1463,$P28)),""))</f>
        <v>62310</v>
      </c>
      <c r="G28" s="19" t="str">
        <f>IF($P28="","",IFERROR(IF(INDEX(MASTER!$H$4:$H$1463,$P28)="","",INDEX(MASTER!$H$4:$H$1463,$P28)),""))</f>
        <v>62,000 - 62,999</v>
      </c>
      <c r="H28" s="20">
        <f>IF($P28="","",IFERROR(IF(INDEX(MASTER!$I$4:$I$1463,$P28)="","",INDEX(MASTER!$I$4:$I$1463,$P28)),""))</f>
        <v>1152</v>
      </c>
      <c r="I28" s="19" t="str">
        <f>IF($P28="","",IFERROR(IF(INDEX(MASTER!$J$4:$J$1463,$P28)="","",INDEX(MASTER!$J$4:$J$1463,$P28)),""))</f>
        <v>ROOKIE</v>
      </c>
      <c r="J28" s="21">
        <f>IF($P28="","",IFERROR(IF(INDEX(MASTER!$L$4:$L$1463,$P28)="","",INDEX(MASTER!$L$4:$L$1463,$P28)),""))</f>
        <v>3.2</v>
      </c>
      <c r="K28" s="21">
        <f>IF($P28="","",IFERROR(IF(INDEX(MASTER!$N$4:$N$1463,$P28)="","",INDEX(MASTER!$N$4:$N$1463,$P28)),""))</f>
        <v>29.6</v>
      </c>
      <c r="L28" s="19" t="str">
        <f>IF($P28="","",IFERROR(IF(INDEX(MASTER!$O$4:$O$1463,$P28)="","",INDEX(MASTER!$O$4:$O$1463,$P28)),""))</f>
        <v>C</v>
      </c>
      <c r="M28" s="19">
        <f>IF($P28="","",IFERROR(IF(INDEX(MASTER!$Q$4:$Q$1463,$P28)="","",INDEX(MASTER!$Q$4:$Q$1463,$P28)),""))</f>
        <v>80</v>
      </c>
      <c r="N28" s="19" t="str">
        <f>IF($P28="","",IFERROR(IF(INDEX(MASTER!$S$4:$S$1463,$P28)="","",INDEX(MASTER!$S$4:$S$1463,$P28)),""))</f>
        <v>Complete</v>
      </c>
      <c r="P28">
        <f>IFERROR(MATCH($Q$1&amp;"@20",MASTER!$AC$4:$AC$1463,0),"")</f>
        <v>241</v>
      </c>
    </row>
    <row r="29" spans="1:16">
      <c r="A29" s="15">
        <f>IF($P29="","",21)</f>
        <v>21</v>
      </c>
      <c r="B29" s="14" t="str">
        <f>IF($P29="","",IFERROR(IF(INDEX(MASTER!$C$4:$C$1463,$P29)="","",INDEX(MASTER!$C$4:$C$1463,$P29)),""))</f>
        <v>Dewacon</v>
      </c>
      <c r="C29" s="15" t="str">
        <f>IF($P29="","",IFERROR(IF(INDEX(MASTER!$D$4:$D$1463,$P29)="","",INDEX(MASTER!$D$4:$D$1463,$P29)),""))</f>
        <v/>
      </c>
      <c r="D29" s="15" t="str">
        <f>IF($P29="","",IFERROR(IF(INDEX(MASTER!$E$4:$E$1463,$P29)="","",INDEX(MASTER!$E$4:$E$1463,$P29)),""))</f>
        <v>BARBARIAN</v>
      </c>
      <c r="E29" s="15" t="str">
        <f>IF($P29="","",IFERROR(IF(INDEX(MASTER!$F$4:$F$1463,$P29)="","",INDEX(MASTER!$F$4:$F$1463,$P29)),""))</f>
        <v>Frontline</v>
      </c>
      <c r="F29" s="16">
        <f>IF($P29="","",IFERROR(IF(INDEX(MASTER!$G$4:$G$1463,$P29)="","",INDEX(MASTER!$G$4:$G$1463,$P29)),""))</f>
        <v>63001</v>
      </c>
      <c r="G29" s="15" t="str">
        <f>IF($P29="","",IFERROR(IF(INDEX(MASTER!$H$4:$H$1463,$P29)="","",INDEX(MASTER!$H$4:$H$1463,$P29)),""))</f>
        <v>63,000 - 63,999</v>
      </c>
      <c r="H29" s="16">
        <f>IF($P29="","",IFERROR(IF(INDEX(MASTER!$I$4:$I$1463,$P29)="","",INDEX(MASTER!$I$4:$I$1463,$P29)),""))</f>
        <v>2564</v>
      </c>
      <c r="I29" s="15" t="str">
        <f>IF($P29="","",IFERROR(IF(INDEX(MASTER!$J$4:$J$1463,$P29)="","",INDEX(MASTER!$J$4:$J$1463,$P29)),""))</f>
        <v>DEVELOPING</v>
      </c>
      <c r="J29" s="17">
        <f>IF($P29="","",IFERROR(IF(INDEX(MASTER!$L$4:$L$1463,$P29)="","",INDEX(MASTER!$L$4:$L$1463,$P29)),""))</f>
        <v>3.8</v>
      </c>
      <c r="K29" s="17">
        <f>IF($P29="","",IFERROR(IF(INDEX(MASTER!$N$4:$N$1463,$P29)="","",INDEX(MASTER!$N$4:$N$1463,$P29)),""))</f>
        <v>38.6</v>
      </c>
      <c r="L29" s="15" t="str">
        <f>IF($P29="","",IFERROR(IF(INDEX(MASTER!$O$4:$O$1463,$P29)="","",INDEX(MASTER!$O$4:$O$1463,$P29)),""))</f>
        <v>B</v>
      </c>
      <c r="M29" s="15">
        <f>IF($P29="","",IFERROR(IF(INDEX(MASTER!$Q$4:$Q$1463,$P29)="","",INDEX(MASTER!$Q$4:$Q$1463,$P29)),""))</f>
        <v>37</v>
      </c>
      <c r="N29" s="15" t="str">
        <f>IF($P29="","",IFERROR(IF(INDEX(MASTER!$S$4:$S$1463,$P29)="","",INDEX(MASTER!$S$4:$S$1463,$P29)),""))</f>
        <v>Complete</v>
      </c>
      <c r="P29">
        <f>IFERROR(MATCH($Q$1&amp;"@21",MASTER!$AC$4:$AC$1463,0),"")</f>
        <v>283</v>
      </c>
    </row>
    <row r="30" spans="1:16">
      <c r="A30" s="19">
        <f>IF($P30="","",22)</f>
        <v>22</v>
      </c>
      <c r="B30" s="18" t="str">
        <f>IF($P30="","",IFERROR(IF(INDEX(MASTER!$C$4:$C$1463,$P30)="","",INDEX(MASTER!$C$4:$C$1463,$P30)),""))</f>
        <v>Dewemil</v>
      </c>
      <c r="C30" s="19" t="str">
        <f>IF($P30="","",IFERROR(IF(INDEX(MASTER!$D$4:$D$1463,$P30)="","",INDEX(MASTER!$D$4:$D$1463,$P30)),""))</f>
        <v/>
      </c>
      <c r="D30" s="19" t="str">
        <f>IF($P30="","",IFERROR(IF(INDEX(MASTER!$E$4:$E$1463,$P30)="","",INDEX(MASTER!$E$4:$E$1463,$P30)),""))</f>
        <v>WIZARD</v>
      </c>
      <c r="E30" s="19" t="str">
        <f>IF($P30="","",IFERROR(IF(INDEX(MASTER!$F$4:$F$1463,$P30)="","",INDEX(MASTER!$F$4:$F$1463,$P30)),""))</f>
        <v>Ranged DPS</v>
      </c>
      <c r="F30" s="20">
        <f>IF($P30="","",IFERROR(IF(INDEX(MASTER!$G$4:$G$1463,$P30)="","",INDEX(MASTER!$G$4:$G$1463,$P30)),""))</f>
        <v>60643</v>
      </c>
      <c r="G30" s="19" t="str">
        <f>IF($P30="","",IFERROR(IF(INDEX(MASTER!$H$4:$H$1463,$P30)="","",INDEX(MASTER!$H$4:$H$1463,$P30)),""))</f>
        <v>60,000 - 60,999</v>
      </c>
      <c r="H30" s="20">
        <f>IF($P30="","",IFERROR(IF(INDEX(MASTER!$I$4:$I$1463,$P30)="","",INDEX(MASTER!$I$4:$I$1463,$P30)),""))</f>
        <v>1049</v>
      </c>
      <c r="I30" s="19" t="str">
        <f>IF($P30="","",IFERROR(IF(INDEX(MASTER!$J$4:$J$1463,$P30)="","",INDEX(MASTER!$J$4:$J$1463,$P30)),""))</f>
        <v>ROOKIE</v>
      </c>
      <c r="J30" s="21">
        <f>IF($P30="","",IFERROR(IF(INDEX(MASTER!$L$4:$L$1463,$P30)="","",INDEX(MASTER!$L$4:$L$1463,$P30)),""))</f>
        <v>3.65</v>
      </c>
      <c r="K30" s="21">
        <f>IF($P30="","",IFERROR(IF(INDEX(MASTER!$N$4:$N$1463,$P30)="","",INDEX(MASTER!$N$4:$N$1463,$P30)),""))</f>
        <v>25.5</v>
      </c>
      <c r="L30" s="19" t="str">
        <f>IF($P30="","",IFERROR(IF(INDEX(MASTER!$O$4:$O$1463,$P30)="","",INDEX(MASTER!$O$4:$O$1463,$P30)),""))</f>
        <v>C</v>
      </c>
      <c r="M30" s="19">
        <f>IF($P30="","",IFERROR(IF(INDEX(MASTER!$Q$4:$Q$1463,$P30)="","",INDEX(MASTER!$Q$4:$Q$1463,$P30)),""))</f>
        <v>82</v>
      </c>
      <c r="N30" s="19" t="str">
        <f>IF($P30="","",IFERROR(IF(INDEX(MASTER!$S$4:$S$1463,$P30)="","",INDEX(MASTER!$S$4:$S$1463,$P30)),""))</f>
        <v>Complete</v>
      </c>
      <c r="P30">
        <f>IFERROR(MATCH($Q$1&amp;"@22",MASTER!$AC$4:$AC$1463,0),"")</f>
        <v>284</v>
      </c>
    </row>
    <row r="31" spans="1:16">
      <c r="A31" s="15">
        <f>IF($P31="","",23)</f>
        <v>23</v>
      </c>
      <c r="B31" s="14" t="str">
        <f>IF($P31="","",IFERROR(IF(INDEX(MASTER!$C$4:$C$1463,$P31)="","",INDEX(MASTER!$C$4:$C$1463,$P31)),""))</f>
        <v>DocMortal</v>
      </c>
      <c r="C31" s="15" t="str">
        <f>IF($P31="","",IFERROR(IF(INDEX(MASTER!$D$4:$D$1463,$P31)="","",INDEX(MASTER!$D$4:$D$1463,$P31)),""))</f>
        <v/>
      </c>
      <c r="D31" s="15" t="str">
        <f>IF($P31="","",IFERROR(IF(INDEX(MASTER!$E$4:$E$1463,$P31)="","",INDEX(MASTER!$E$4:$E$1463,$P31)),""))</f>
        <v>BARBARIAN</v>
      </c>
      <c r="E31" s="15" t="str">
        <f>IF($P31="","",IFERROR(IF(INDEX(MASTER!$F$4:$F$1463,$P31)="","",INDEX(MASTER!$F$4:$F$1463,$P31)),""))</f>
        <v>Frontline</v>
      </c>
      <c r="F31" s="16">
        <f>IF($P31="","",IFERROR(IF(INDEX(MASTER!$G$4:$G$1463,$P31)="","",INDEX(MASTER!$G$4:$G$1463,$P31)),""))</f>
        <v>61838</v>
      </c>
      <c r="G31" s="15" t="str">
        <f>IF($P31="","",IFERROR(IF(INDEX(MASTER!$H$4:$H$1463,$P31)="","",INDEX(MASTER!$H$4:$H$1463,$P31)),""))</f>
        <v>61,000 - 61,999</v>
      </c>
      <c r="H31" s="16">
        <f>IF($P31="","",IFERROR(IF(INDEX(MASTER!$I$4:$I$1463,$P31)="","",INDEX(MASTER!$I$4:$I$1463,$P31)),""))</f>
        <v>3310</v>
      </c>
      <c r="I31" s="15" t="str">
        <f>IF($P31="","",IFERROR(IF(INDEX(MASTER!$J$4:$J$1463,$P31)="","",INDEX(MASTER!$J$4:$J$1463,$P31)),""))</f>
        <v>DEVELOPING</v>
      </c>
      <c r="J31" s="17">
        <f>IF($P31="","",IFERROR(IF(INDEX(MASTER!$L$4:$L$1463,$P31)="","",INDEX(MASTER!$L$4:$L$1463,$P31)),""))</f>
        <v>4.3</v>
      </c>
      <c r="K31" s="17">
        <f>IF($P31="","",IFERROR(IF(INDEX(MASTER!$N$4:$N$1463,$P31)="","",INDEX(MASTER!$N$4:$N$1463,$P31)),""))</f>
        <v>39.6</v>
      </c>
      <c r="L31" s="15" t="str">
        <f>IF($P31="","",IFERROR(IF(INDEX(MASTER!$O$4:$O$1463,$P31)="","",INDEX(MASTER!$O$4:$O$1463,$P31)),""))</f>
        <v>B</v>
      </c>
      <c r="M31" s="15">
        <f>IF($P31="","",IFERROR(IF(INDEX(MASTER!$Q$4:$Q$1463,$P31)="","",INDEX(MASTER!$Q$4:$Q$1463,$P31)),""))</f>
        <v>20</v>
      </c>
      <c r="N31" s="15" t="str">
        <f>IF($P31="","",IFERROR(IF(INDEX(MASTER!$S$4:$S$1463,$P31)="","",INDEX(MASTER!$S$4:$S$1463,$P31)),""))</f>
        <v>Complete</v>
      </c>
      <c r="P31">
        <f>IFERROR(MATCH($Q$1&amp;"@23",MASTER!$AC$4:$AC$1463,0),"")</f>
        <v>299</v>
      </c>
    </row>
    <row r="32" spans="1:16">
      <c r="A32" s="19">
        <f>IF($P32="","",24)</f>
        <v>24</v>
      </c>
      <c r="B32" s="18" t="str">
        <f>IF($P32="","",IFERROR(IF(INDEX(MASTER!$C$4:$C$1463,$P32)="","",INDEX(MASTER!$C$4:$C$1463,$P32)),""))</f>
        <v>DrBigDik</v>
      </c>
      <c r="C32" s="19" t="str">
        <f>IF($P32="","",IFERROR(IF(INDEX(MASTER!$D$4:$D$1463,$P32)="","",INDEX(MASTER!$D$4:$D$1463,$P32)),""))</f>
        <v/>
      </c>
      <c r="D32" s="19" t="str">
        <f>IF($P32="","",IFERROR(IF(INDEX(MASTER!$E$4:$E$1463,$P32)="","",INDEX(MASTER!$E$4:$E$1463,$P32)),""))</f>
        <v>DEMON HUNTER</v>
      </c>
      <c r="E32" s="19" t="str">
        <f>IF($P32="","",IFERROR(IF(INDEX(MASTER!$F$4:$F$1463,$P32)="","",INDEX(MASTER!$F$4:$F$1463,$P32)),""))</f>
        <v>Ranged DPS</v>
      </c>
      <c r="F32" s="20">
        <f>IF($P32="","",IFERROR(IF(INDEX(MASTER!$G$4:$G$1463,$P32)="","",INDEX(MASTER!$G$4:$G$1463,$P32)),""))</f>
        <v>59944</v>
      </c>
      <c r="G32" s="19" t="str">
        <f>IF($P32="","",IFERROR(IF(INDEX(MASTER!$H$4:$H$1463,$P32)="","",INDEX(MASTER!$H$4:$H$1463,$P32)),""))</f>
        <v>58,000 - 59,999</v>
      </c>
      <c r="H32" s="20">
        <f>IF($P32="","",IFERROR(IF(INDEX(MASTER!$I$4:$I$1463,$P32)="","",INDEX(MASTER!$I$4:$I$1463,$P32)),""))</f>
        <v>759</v>
      </c>
      <c r="I32" s="19" t="str">
        <f>IF($P32="","",IFERROR(IF(INDEX(MASTER!$J$4:$J$1463,$P32)="","",INDEX(MASTER!$J$4:$J$1463,$P32)),""))</f>
        <v>ROOKIE</v>
      </c>
      <c r="J32" s="21">
        <f>IF($P32="","",IFERROR(IF(INDEX(MASTER!$L$4:$L$1463,$P32)="","",INDEX(MASTER!$L$4:$L$1463,$P32)),""))</f>
        <v>2.95</v>
      </c>
      <c r="K32" s="21">
        <f>IF($P32="","",IFERROR(IF(INDEX(MASTER!$N$4:$N$1463,$P32)="","",INDEX(MASTER!$N$4:$N$1463,$P32)),""))</f>
        <v>21.2</v>
      </c>
      <c r="L32" s="19" t="str">
        <f>IF($P32="","",IFERROR(IF(INDEX(MASTER!$O$4:$O$1463,$P32)="","",INDEX(MASTER!$O$4:$O$1463,$P32)),""))</f>
        <v>C</v>
      </c>
      <c r="M32" s="19">
        <f>IF($P32="","",IFERROR(IF(INDEX(MASTER!$Q$4:$Q$1463,$P32)="","",INDEX(MASTER!$Q$4:$Q$1463,$P32)),""))</f>
        <v>89</v>
      </c>
      <c r="N32" s="19" t="str">
        <f>IF($P32="","",IFERROR(IF(INDEX(MASTER!$S$4:$S$1463,$P32)="","",INDEX(MASTER!$S$4:$S$1463,$P32)),""))</f>
        <v>Complete</v>
      </c>
      <c r="P32">
        <f>IFERROR(MATCH($Q$1&amp;"@24",MASTER!$AC$4:$AC$1463,0),"")</f>
        <v>312</v>
      </c>
    </row>
    <row r="33" spans="1:16">
      <c r="A33" s="15">
        <f>IF($P33="","",25)</f>
        <v>25</v>
      </c>
      <c r="B33" s="14" t="str">
        <f>IF($P33="","",IFERROR(IF(INDEX(MASTER!$C$4:$C$1463,$P33)="","",INDEX(MASTER!$C$4:$C$1463,$P33)),""))</f>
        <v>Dwizards</v>
      </c>
      <c r="C33" s="15" t="str">
        <f>IF($P33="","",IFERROR(IF(INDEX(MASTER!$D$4:$D$1463,$P33)="","",INDEX(MASTER!$D$4:$D$1463,$P33)),""))</f>
        <v/>
      </c>
      <c r="D33" s="15" t="str">
        <f>IF($P33="","",IFERROR(IF(INDEX(MASTER!$E$4:$E$1463,$P33)="","",INDEX(MASTER!$E$4:$E$1463,$P33)),""))</f>
        <v>WIZARD</v>
      </c>
      <c r="E33" s="15" t="str">
        <f>IF($P33="","",IFERROR(IF(INDEX(MASTER!$F$4:$F$1463,$P33)="","",INDEX(MASTER!$F$4:$F$1463,$P33)),""))</f>
        <v>Ranged DPS</v>
      </c>
      <c r="F33" s="16">
        <f>IF($P33="","",IFERROR(IF(INDEX(MASTER!$G$4:$G$1463,$P33)="","",INDEX(MASTER!$G$4:$G$1463,$P33)),""))</f>
        <v>55894</v>
      </c>
      <c r="G33" s="15" t="str">
        <f>IF($P33="","",IFERROR(IF(INDEX(MASTER!$H$4:$H$1463,$P33)="","",INDEX(MASTER!$H$4:$H$1463,$P33)),""))</f>
        <v>Under 58,000</v>
      </c>
      <c r="H33" s="16">
        <f>IF($P33="","",IFERROR(IF(INDEX(MASTER!$I$4:$I$1463,$P33)="","",INDEX(MASTER!$I$4:$I$1463,$P33)),""))</f>
        <v>1645</v>
      </c>
      <c r="I33" s="15" t="str">
        <f>IF($P33="","",IFERROR(IF(INDEX(MASTER!$J$4:$J$1463,$P33)="","",INDEX(MASTER!$J$4:$J$1463,$P33)),""))</f>
        <v>ROOKIE</v>
      </c>
      <c r="J33" s="17">
        <f>IF($P33="","",IFERROR(IF(INDEX(MASTER!$L$4:$L$1463,$P33)="","",INDEX(MASTER!$L$4:$L$1463,$P33)),""))</f>
        <v>3.3</v>
      </c>
      <c r="K33" s="17">
        <f>IF($P33="","",IFERROR(IF(INDEX(MASTER!$N$4:$N$1463,$P33)="","",INDEX(MASTER!$N$4:$N$1463,$P33)),""))</f>
        <v>15</v>
      </c>
      <c r="L33" s="15" t="str">
        <f>IF($P33="","",IFERROR(IF(INDEX(MASTER!$O$4:$O$1463,$P33)="","",INDEX(MASTER!$O$4:$O$1463,$P33)),""))</f>
        <v>D</v>
      </c>
      <c r="M33" s="15">
        <f>IF($P33="","",IFERROR(IF(INDEX(MASTER!$Q$4:$Q$1463,$P33)="","",INDEX(MASTER!$Q$4:$Q$1463,$P33)),""))</f>
        <v>65</v>
      </c>
      <c r="N33" s="15" t="str">
        <f>IF($P33="","",IFERROR(IF(INDEX(MASTER!$S$4:$S$1463,$P33)="","",INDEX(MASTER!$S$4:$S$1463,$P33)),""))</f>
        <v>Complete</v>
      </c>
      <c r="P33">
        <f>IFERROR(MATCH($Q$1&amp;"@25",MASTER!$AC$4:$AC$1463,0),"")</f>
        <v>333</v>
      </c>
    </row>
    <row r="34" spans="1:16">
      <c r="A34" s="19">
        <f>IF($P34="","",26)</f>
        <v>26</v>
      </c>
      <c r="B34" s="18" t="str">
        <f>IF($P34="","",IFERROR(IF(INDEX(MASTER!$C$4:$C$1463,$P34)="","",INDEX(MASTER!$C$4:$C$1463,$P34)),""))</f>
        <v>dylan03</v>
      </c>
      <c r="C34" s="19" t="str">
        <f>IF($P34="","",IFERROR(IF(INDEX(MASTER!$D$4:$D$1463,$P34)="","",INDEX(MASTER!$D$4:$D$1463,$P34)),""))</f>
        <v/>
      </c>
      <c r="D34" s="19" t="str">
        <f>IF($P34="","",IFERROR(IF(INDEX(MASTER!$E$4:$E$1463,$P34)="","",INDEX(MASTER!$E$4:$E$1463,$P34)),""))</f>
        <v>BLOOD KNIGHT</v>
      </c>
      <c r="E34" s="19" t="str">
        <f>IF($P34="","",IFERROR(IF(INDEX(MASTER!$F$4:$F$1463,$P34)="","",INDEX(MASTER!$F$4:$F$1463,$P34)),""))</f>
        <v>Frontline</v>
      </c>
      <c r="F34" s="20">
        <f>IF($P34="","",IFERROR(IF(INDEX(MASTER!$G$4:$G$1463,$P34)="","",INDEX(MASTER!$G$4:$G$1463,$P34)),""))</f>
        <v>58793</v>
      </c>
      <c r="G34" s="19" t="str">
        <f>IF($P34="","",IFERROR(IF(INDEX(MASTER!$H$4:$H$1463,$P34)="","",INDEX(MASTER!$H$4:$H$1463,$P34)),""))</f>
        <v>58,000 - 59,999</v>
      </c>
      <c r="H34" s="20">
        <f>IF($P34="","",IFERROR(IF(INDEX(MASTER!$I$4:$I$1463,$P34)="","",INDEX(MASTER!$I$4:$I$1463,$P34)),""))</f>
        <v>1543</v>
      </c>
      <c r="I34" s="19" t="str">
        <f>IF($P34="","",IFERROR(IF(INDEX(MASTER!$J$4:$J$1463,$P34)="","",INDEX(MASTER!$J$4:$J$1463,$P34)),""))</f>
        <v>ROOKIE</v>
      </c>
      <c r="J34" s="21">
        <f>IF($P34="","",IFERROR(IF(INDEX(MASTER!$L$4:$L$1463,$P34)="","",INDEX(MASTER!$L$4:$L$1463,$P34)),""))</f>
        <v>3.25</v>
      </c>
      <c r="K34" s="21">
        <f>IF($P34="","",IFERROR(IF(INDEX(MASTER!$N$4:$N$1463,$P34)="","",INDEX(MASTER!$N$4:$N$1463,$P34)),""))</f>
        <v>22.1</v>
      </c>
      <c r="L34" s="19" t="str">
        <f>IF($P34="","",IFERROR(IF(INDEX(MASTER!$O$4:$O$1463,$P34)="","",INDEX(MASTER!$O$4:$O$1463,$P34)),""))</f>
        <v>C</v>
      </c>
      <c r="M34" s="19">
        <f>IF($P34="","",IFERROR(IF(INDEX(MASTER!$Q$4:$Q$1463,$P34)="","",INDEX(MASTER!$Q$4:$Q$1463,$P34)),""))</f>
        <v>68</v>
      </c>
      <c r="N34" s="19" t="str">
        <f>IF($P34="","",IFERROR(IF(INDEX(MASTER!$S$4:$S$1463,$P34)="","",INDEX(MASTER!$S$4:$S$1463,$P34)),""))</f>
        <v>Complete</v>
      </c>
      <c r="P34">
        <f>IFERROR(MATCH($Q$1&amp;"@26",MASTER!$AC$4:$AC$1463,0),"")</f>
        <v>334</v>
      </c>
    </row>
    <row r="35" spans="1:16">
      <c r="A35" s="15">
        <f>IF($P35="","",27)</f>
        <v>27</v>
      </c>
      <c r="B35" s="14" t="str">
        <f>IF($P35="","",IFERROR(IF(INDEX(MASTER!$C$4:$C$1463,$P35)="","",INDEX(MASTER!$C$4:$C$1463,$P35)),""))</f>
        <v>EdwinBlackbush</v>
      </c>
      <c r="C35" s="15" t="str">
        <f>IF($P35="","",IFERROR(IF(INDEX(MASTER!$D$4:$D$1463,$P35)="","",INDEX(MASTER!$D$4:$D$1463,$P35)),""))</f>
        <v/>
      </c>
      <c r="D35" s="15" t="str">
        <f>IF($P35="","",IFERROR(IF(INDEX(MASTER!$E$4:$E$1463,$P35)="","",INDEX(MASTER!$E$4:$E$1463,$P35)),""))</f>
        <v>CRUSADER</v>
      </c>
      <c r="E35" s="15" t="str">
        <f>IF($P35="","",IFERROR(IF(INDEX(MASTER!$F$4:$F$1463,$P35)="","",INDEX(MASTER!$F$4:$F$1463,$P35)),""))</f>
        <v>Frontline</v>
      </c>
      <c r="F35" s="16">
        <f>IF($P35="","",IFERROR(IF(INDEX(MASTER!$G$4:$G$1463,$P35)="","",INDEX(MASTER!$G$4:$G$1463,$P35)),""))</f>
        <v>57564</v>
      </c>
      <c r="G35" s="15" t="str">
        <f>IF($P35="","",IFERROR(IF(INDEX(MASTER!$H$4:$H$1463,$P35)="","",INDEX(MASTER!$H$4:$H$1463,$P35)),""))</f>
        <v>Under 58,000</v>
      </c>
      <c r="H35" s="16">
        <f>IF($P35="","",IFERROR(IF(INDEX(MASTER!$I$4:$I$1463,$P35)="","",INDEX(MASTER!$I$4:$I$1463,$P35)),""))</f>
        <v>685</v>
      </c>
      <c r="I35" s="15" t="str">
        <f>IF($P35="","",IFERROR(IF(INDEX(MASTER!$J$4:$J$1463,$P35)="","",INDEX(MASTER!$J$4:$J$1463,$P35)),""))</f>
        <v>ROOKIE</v>
      </c>
      <c r="J35" s="17">
        <f>IF($P35="","",IFERROR(IF(INDEX(MASTER!$L$4:$L$1463,$P35)="","",INDEX(MASTER!$L$4:$L$1463,$P35)),""))</f>
        <v>2.35</v>
      </c>
      <c r="K35" s="17">
        <f>IF($P35="","",IFERROR(IF(INDEX(MASTER!$N$4:$N$1463,$P35)="","",INDEX(MASTER!$N$4:$N$1463,$P35)),""))</f>
        <v>13.7</v>
      </c>
      <c r="L35" s="15" t="str">
        <f>IF($P35="","",IFERROR(IF(INDEX(MASTER!$O$4:$O$1463,$P35)="","",INDEX(MASTER!$O$4:$O$1463,$P35)),""))</f>
        <v>D</v>
      </c>
      <c r="M35" s="15">
        <f>IF($P35="","",IFERROR(IF(INDEX(MASTER!$Q$4:$Q$1463,$P35)="","",INDEX(MASTER!$Q$4:$Q$1463,$P35)),""))</f>
        <v>92</v>
      </c>
      <c r="N35" s="15" t="str">
        <f>IF($P35="","",IFERROR(IF(INDEX(MASTER!$S$4:$S$1463,$P35)="","",INDEX(MASTER!$S$4:$S$1463,$P35)),""))</f>
        <v>Complete</v>
      </c>
      <c r="P35">
        <f>IFERROR(MATCH($Q$1&amp;"@27",MASTER!$AC$4:$AC$1463,0),"")</f>
        <v>341</v>
      </c>
    </row>
    <row r="36" spans="1:16">
      <c r="A36" s="19">
        <f>IF($P36="","",28)</f>
        <v>28</v>
      </c>
      <c r="B36" s="18" t="str">
        <f>IF($P36="","",IFERROR(IF(INDEX(MASTER!$C$4:$C$1463,$P36)="","",INDEX(MASTER!$C$4:$C$1463,$P36)),""))</f>
        <v>ElessaGroveHeart</v>
      </c>
      <c r="C36" s="19" t="str">
        <f>IF($P36="","",IFERROR(IF(INDEX(MASTER!$D$4:$D$1463,$P36)="","",INDEX(MASTER!$D$4:$D$1463,$P36)),""))</f>
        <v/>
      </c>
      <c r="D36" s="19" t="str">
        <f>IF($P36="","",IFERROR(IF(INDEX(MASTER!$E$4:$E$1463,$P36)="","",INDEX(MASTER!$E$4:$E$1463,$P36)),""))</f>
        <v>DRUID</v>
      </c>
      <c r="E36" s="19" t="str">
        <f>IF($P36="","",IFERROR(IF(INDEX(MASTER!$F$4:$F$1463,$P36)="","",INDEX(MASTER!$F$4:$F$1463,$P36)),""))</f>
        <v>Support</v>
      </c>
      <c r="F36" s="20">
        <f>IF($P36="","",IFERROR(IF(INDEX(MASTER!$G$4:$G$1463,$P36)="","",INDEX(MASTER!$G$4:$G$1463,$P36)),""))</f>
        <v>58984</v>
      </c>
      <c r="G36" s="19" t="str">
        <f>IF($P36="","",IFERROR(IF(INDEX(MASTER!$H$4:$H$1463,$P36)="","",INDEX(MASTER!$H$4:$H$1463,$P36)),""))</f>
        <v>58,000 - 59,999</v>
      </c>
      <c r="H36" s="20">
        <f>IF($P36="","",IFERROR(IF(INDEX(MASTER!$I$4:$I$1463,$P36)="","",INDEX(MASTER!$I$4:$I$1463,$P36)),""))</f>
        <v>1020</v>
      </c>
      <c r="I36" s="19" t="str">
        <f>IF($P36="","",IFERROR(IF(INDEX(MASTER!$J$4:$J$1463,$P36)="","",INDEX(MASTER!$J$4:$J$1463,$P36)),""))</f>
        <v>ROOKIE</v>
      </c>
      <c r="J36" s="21">
        <f>IF($P36="","",IFERROR(IF(INDEX(MASTER!$L$4:$L$1463,$P36)="","",INDEX(MASTER!$L$4:$L$1463,$P36)),""))</f>
        <v>3.05</v>
      </c>
      <c r="K36" s="21">
        <f>IF($P36="","",IFERROR(IF(INDEX(MASTER!$N$4:$N$1463,$P36)="","",INDEX(MASTER!$N$4:$N$1463,$P36)),""))</f>
        <v>20</v>
      </c>
      <c r="L36" s="19" t="str">
        <f>IF($P36="","",IFERROR(IF(INDEX(MASTER!$O$4:$O$1463,$P36)="","",INDEX(MASTER!$O$4:$O$1463,$P36)),""))</f>
        <v>C</v>
      </c>
      <c r="M36" s="19">
        <f>IF($P36="","",IFERROR(IF(INDEX(MASTER!$Q$4:$Q$1463,$P36)="","",INDEX(MASTER!$Q$4:$Q$1463,$P36)),""))</f>
        <v>83</v>
      </c>
      <c r="N36" s="19" t="str">
        <f>IF($P36="","",IFERROR(IF(INDEX(MASTER!$S$4:$S$1463,$P36)="","",INDEX(MASTER!$S$4:$S$1463,$P36)),""))</f>
        <v>Complete</v>
      </c>
      <c r="P36">
        <f>IFERROR(MATCH($Q$1&amp;"@28",MASTER!$AC$4:$AC$1463,0),"")</f>
        <v>349</v>
      </c>
    </row>
    <row r="37" spans="1:16">
      <c r="A37" s="15">
        <f>IF($P37="","",29)</f>
        <v>29</v>
      </c>
      <c r="B37" s="14" t="str">
        <f>IF($P37="","",IFERROR(IF(INDEX(MASTER!$C$4:$C$1463,$P37)="","",INDEX(MASTER!$C$4:$C$1463,$P37)),""))</f>
        <v>Ethagust</v>
      </c>
      <c r="C37" s="15" t="str">
        <f>IF($P37="","",IFERROR(IF(INDEX(MASTER!$D$4:$D$1463,$P37)="","",INDEX(MASTER!$D$4:$D$1463,$P37)),""))</f>
        <v/>
      </c>
      <c r="D37" s="15" t="str">
        <f>IF($P37="","",IFERROR(IF(INDEX(MASTER!$E$4:$E$1463,$P37)="","",INDEX(MASTER!$E$4:$E$1463,$P37)),""))</f>
        <v>NECROMANCER</v>
      </c>
      <c r="E37" s="15" t="str">
        <f>IF($P37="","",IFERROR(IF(INDEX(MASTER!$F$4:$F$1463,$P37)="","",INDEX(MASTER!$F$4:$F$1463,$P37)),""))</f>
        <v>Control</v>
      </c>
      <c r="F37" s="16">
        <f>IF($P37="","",IFERROR(IF(INDEX(MASTER!$G$4:$G$1463,$P37)="","",INDEX(MASTER!$G$4:$G$1463,$P37)),""))</f>
        <v>61173</v>
      </c>
      <c r="G37" s="15" t="str">
        <f>IF($P37="","",IFERROR(IF(INDEX(MASTER!$H$4:$H$1463,$P37)="","",INDEX(MASTER!$H$4:$H$1463,$P37)),""))</f>
        <v>61,000 - 61,999</v>
      </c>
      <c r="H37" s="16">
        <f>IF($P37="","",IFERROR(IF(INDEX(MASTER!$I$4:$I$1463,$P37)="","",INDEX(MASTER!$I$4:$I$1463,$P37)),""))</f>
        <v>1676</v>
      </c>
      <c r="I37" s="15" t="str">
        <f>IF($P37="","",IFERROR(IF(INDEX(MASTER!$J$4:$J$1463,$P37)="","",INDEX(MASTER!$J$4:$J$1463,$P37)),""))</f>
        <v>ROOKIE</v>
      </c>
      <c r="J37" s="17">
        <f>IF($P37="","",IFERROR(IF(INDEX(MASTER!$L$4:$L$1463,$P37)="","",INDEX(MASTER!$L$4:$L$1463,$P37)),""))</f>
        <v>4.0999999999999996</v>
      </c>
      <c r="K37" s="17">
        <f>IF($P37="","",IFERROR(IF(INDEX(MASTER!$N$4:$N$1463,$P37)="","",INDEX(MASTER!$N$4:$N$1463,$P37)),""))</f>
        <v>30.4</v>
      </c>
      <c r="L37" s="15" t="str">
        <f>IF($P37="","",IFERROR(IF(INDEX(MASTER!$O$4:$O$1463,$P37)="","",INDEX(MASTER!$O$4:$O$1463,$P37)),""))</f>
        <v>C</v>
      </c>
      <c r="M37" s="15">
        <f>IF($P37="","",IFERROR(IF(INDEX(MASTER!$Q$4:$Q$1463,$P37)="","",INDEX(MASTER!$Q$4:$Q$1463,$P37)),""))</f>
        <v>63</v>
      </c>
      <c r="N37" s="15" t="str">
        <f>IF($P37="","",IFERROR(IF(INDEX(MASTER!$S$4:$S$1463,$P37)="","",INDEX(MASTER!$S$4:$S$1463,$P37)),""))</f>
        <v>Complete</v>
      </c>
      <c r="P37">
        <f>IFERROR(MATCH($Q$1&amp;"@29",MASTER!$AC$4:$AC$1463,0),"")</f>
        <v>370</v>
      </c>
    </row>
    <row r="38" spans="1:16">
      <c r="A38" s="19">
        <f>IF($P38="","",30)</f>
        <v>30</v>
      </c>
      <c r="B38" s="18" t="str">
        <f>IF($P38="","",IFERROR(IF(INDEX(MASTER!$C$4:$C$1463,$P38)="","",INDEX(MASTER!$C$4:$C$1463,$P38)),""))</f>
        <v>GhostDOOM</v>
      </c>
      <c r="C38" s="19" t="str">
        <f>IF($P38="","",IFERROR(IF(INDEX(MASTER!$D$4:$D$1463,$P38)="","",INDEX(MASTER!$D$4:$D$1463,$P38)),""))</f>
        <v/>
      </c>
      <c r="D38" s="19" t="str">
        <f>IF($P38="","",IFERROR(IF(INDEX(MASTER!$E$4:$E$1463,$P38)="","",INDEX(MASTER!$E$4:$E$1463,$P38)),""))</f>
        <v>WARLOCK</v>
      </c>
      <c r="E38" s="19" t="str">
        <f>IF($P38="","",IFERROR(IF(INDEX(MASTER!$F$4:$F$1463,$P38)="","",INDEX(MASTER!$F$4:$F$1463,$P38)),""))</f>
        <v>Control</v>
      </c>
      <c r="F38" s="20">
        <f>IF($P38="","",IFERROR(IF(INDEX(MASTER!$G$4:$G$1463,$P38)="","",INDEX(MASTER!$G$4:$G$1463,$P38)),""))</f>
        <v>62620</v>
      </c>
      <c r="G38" s="19" t="str">
        <f>IF($P38="","",IFERROR(IF(INDEX(MASTER!$H$4:$H$1463,$P38)="","",INDEX(MASTER!$H$4:$H$1463,$P38)),""))</f>
        <v>62,000 - 62,999</v>
      </c>
      <c r="H38" s="20">
        <f>IF($P38="","",IFERROR(IF(INDEX(MASTER!$I$4:$I$1463,$P38)="","",INDEX(MASTER!$I$4:$I$1463,$P38)),""))</f>
        <v>3302</v>
      </c>
      <c r="I38" s="19" t="str">
        <f>IF($P38="","",IFERROR(IF(INDEX(MASTER!$J$4:$J$1463,$P38)="","",INDEX(MASTER!$J$4:$J$1463,$P38)),""))</f>
        <v>DEVELOPING</v>
      </c>
      <c r="J38" s="21">
        <f>IF($P38="","",IFERROR(IF(INDEX(MASTER!$L$4:$L$1463,$P38)="","",INDEX(MASTER!$L$4:$L$1463,$P38)),""))</f>
        <v>3.45</v>
      </c>
      <c r="K38" s="21">
        <f>IF($P38="","",IFERROR(IF(INDEX(MASTER!$N$4:$N$1463,$P38)="","",INDEX(MASTER!$N$4:$N$1463,$P38)),""))</f>
        <v>40.200000000000003</v>
      </c>
      <c r="L38" s="19" t="str">
        <f>IF($P38="","",IFERROR(IF(INDEX(MASTER!$O$4:$O$1463,$P38)="","",INDEX(MASTER!$O$4:$O$1463,$P38)),""))</f>
        <v>B</v>
      </c>
      <c r="M38" s="19">
        <f>IF($P38="","",IFERROR(IF(INDEX(MASTER!$Q$4:$Q$1463,$P38)="","",INDEX(MASTER!$Q$4:$Q$1463,$P38)),""))</f>
        <v>21</v>
      </c>
      <c r="N38" s="19" t="str">
        <f>IF($P38="","",IFERROR(IF(INDEX(MASTER!$S$4:$S$1463,$P38)="","",INDEX(MASTER!$S$4:$S$1463,$P38)),""))</f>
        <v>Complete</v>
      </c>
      <c r="P38">
        <f>IFERROR(MATCH($Q$1&amp;"@30",MASTER!$AC$4:$AC$1463,0),"")</f>
        <v>424</v>
      </c>
    </row>
    <row r="39" spans="1:16">
      <c r="A39" s="15">
        <f>IF($P39="","",31)</f>
        <v>31</v>
      </c>
      <c r="B39" s="14" t="str">
        <f>IF($P39="","",IFERROR(IF(INDEX(MASTER!$C$4:$C$1463,$P39)="","",INDEX(MASTER!$C$4:$C$1463,$P39)),""))</f>
        <v>Grizzle87</v>
      </c>
      <c r="C39" s="15" t="str">
        <f>IF($P39="","",IFERROR(IF(INDEX(MASTER!$D$4:$D$1463,$P39)="","",INDEX(MASTER!$D$4:$D$1463,$P39)),""))</f>
        <v/>
      </c>
      <c r="D39" s="15" t="str">
        <f>IF($P39="","",IFERROR(IF(INDEX(MASTER!$E$4:$E$1463,$P39)="","",INDEX(MASTER!$E$4:$E$1463,$P39)),""))</f>
        <v>CRUSADER</v>
      </c>
      <c r="E39" s="15" t="str">
        <f>IF($P39="","",IFERROR(IF(INDEX(MASTER!$F$4:$F$1463,$P39)="","",INDEX(MASTER!$F$4:$F$1463,$P39)),""))</f>
        <v>Frontline</v>
      </c>
      <c r="F39" s="16">
        <f>IF($P39="","",IFERROR(IF(INDEX(MASTER!$G$4:$G$1463,$P39)="","",INDEX(MASTER!$G$4:$G$1463,$P39)),""))</f>
        <v>61260</v>
      </c>
      <c r="G39" s="15" t="str">
        <f>IF($P39="","",IFERROR(IF(INDEX(MASTER!$H$4:$H$1463,$P39)="","",INDEX(MASTER!$H$4:$H$1463,$P39)),""))</f>
        <v>61,000 - 61,999</v>
      </c>
      <c r="H39" s="16">
        <f>IF($P39="","",IFERROR(IF(INDEX(MASTER!$I$4:$I$1463,$P39)="","",INDEX(MASTER!$I$4:$I$1463,$P39)),""))</f>
        <v>2478</v>
      </c>
      <c r="I39" s="15" t="str">
        <f>IF($P39="","",IFERROR(IF(INDEX(MASTER!$J$4:$J$1463,$P39)="","",INDEX(MASTER!$J$4:$J$1463,$P39)),""))</f>
        <v>DEVELOPING</v>
      </c>
      <c r="J39" s="17">
        <f>IF($P39="","",IFERROR(IF(INDEX(MASTER!$L$4:$L$1463,$P39)="","",INDEX(MASTER!$L$4:$L$1463,$P39)),""))</f>
        <v>3.35</v>
      </c>
      <c r="K39" s="17">
        <f>IF($P39="","",IFERROR(IF(INDEX(MASTER!$N$4:$N$1463,$P39)="","",INDEX(MASTER!$N$4:$N$1463,$P39)),""))</f>
        <v>32.9</v>
      </c>
      <c r="L39" s="15" t="str">
        <f>IF($P39="","",IFERROR(IF(INDEX(MASTER!$O$4:$O$1463,$P39)="","",INDEX(MASTER!$O$4:$O$1463,$P39)),""))</f>
        <v>C</v>
      </c>
      <c r="M39" s="15">
        <f>IF($P39="","",IFERROR(IF(INDEX(MASTER!$Q$4:$Q$1463,$P39)="","",INDEX(MASTER!$Q$4:$Q$1463,$P39)),""))</f>
        <v>43</v>
      </c>
      <c r="N39" s="15" t="str">
        <f>IF($P39="","",IFERROR(IF(INDEX(MASTER!$S$4:$S$1463,$P39)="","",INDEX(MASTER!$S$4:$S$1463,$P39)),""))</f>
        <v>Complete</v>
      </c>
      <c r="P39">
        <f>IFERROR(MATCH($Q$1&amp;"@31",MASTER!$AC$4:$AC$1463,0),"")</f>
        <v>460</v>
      </c>
    </row>
    <row r="40" spans="1:16">
      <c r="A40" s="19">
        <f>IF($P40="","",32)</f>
        <v>32</v>
      </c>
      <c r="B40" s="18" t="str">
        <f>IF($P40="","",IFERROR(IF(INDEX(MASTER!$C$4:$C$1463,$P40)="","",INDEX(MASTER!$C$4:$C$1463,$P40)),""))</f>
        <v>Haixiah</v>
      </c>
      <c r="C40" s="19" t="str">
        <f>IF($P40="","",IFERROR(IF(INDEX(MASTER!$D$4:$D$1463,$P40)="","",INDEX(MASTER!$D$4:$D$1463,$P40)),""))</f>
        <v/>
      </c>
      <c r="D40" s="19" t="str">
        <f>IF($P40="","",IFERROR(IF(INDEX(MASTER!$E$4:$E$1463,$P40)="","",INDEX(MASTER!$E$4:$E$1463,$P40)),""))</f>
        <v>NECROMANCER</v>
      </c>
      <c r="E40" s="19" t="str">
        <f>IF($P40="","",IFERROR(IF(INDEX(MASTER!$F$4:$F$1463,$P40)="","",INDEX(MASTER!$F$4:$F$1463,$P40)),""))</f>
        <v>Control</v>
      </c>
      <c r="F40" s="20">
        <f>IF($P40="","",IFERROR(IF(INDEX(MASTER!$G$4:$G$1463,$P40)="","",INDEX(MASTER!$G$4:$G$1463,$P40)),""))</f>
        <v>60996</v>
      </c>
      <c r="G40" s="19" t="str">
        <f>IF($P40="","",IFERROR(IF(INDEX(MASTER!$H$4:$H$1463,$P40)="","",INDEX(MASTER!$H$4:$H$1463,$P40)),""))</f>
        <v>60,000 - 60,999</v>
      </c>
      <c r="H40" s="20">
        <f>IF($P40="","",IFERROR(IF(INDEX(MASTER!$I$4:$I$1463,$P40)="","",INDEX(MASTER!$I$4:$I$1463,$P40)),""))</f>
        <v>1960</v>
      </c>
      <c r="I40" s="19" t="str">
        <f>IF($P40="","",IFERROR(IF(INDEX(MASTER!$J$4:$J$1463,$P40)="","",INDEX(MASTER!$J$4:$J$1463,$P40)),""))</f>
        <v>ROOKIE</v>
      </c>
      <c r="J40" s="21">
        <f>IF($P40="","",IFERROR(IF(INDEX(MASTER!$L$4:$L$1463,$P40)="","",INDEX(MASTER!$L$4:$L$1463,$P40)),""))</f>
        <v>2.7</v>
      </c>
      <c r="K40" s="21">
        <f>IF($P40="","",IFERROR(IF(INDEX(MASTER!$N$4:$N$1463,$P40)="","",INDEX(MASTER!$N$4:$N$1463,$P40)),""))</f>
        <v>28.8</v>
      </c>
      <c r="L40" s="19" t="str">
        <f>IF($P40="","",IFERROR(IF(INDEX(MASTER!$O$4:$O$1463,$P40)="","",INDEX(MASTER!$O$4:$O$1463,$P40)),""))</f>
        <v>C</v>
      </c>
      <c r="M40" s="19">
        <f>IF($P40="","",IFERROR(IF(INDEX(MASTER!$Q$4:$Q$1463,$P40)="","",INDEX(MASTER!$Q$4:$Q$1463,$P40)),""))</f>
        <v>57</v>
      </c>
      <c r="N40" s="19" t="str">
        <f>IF($P40="","",IFERROR(IF(INDEX(MASTER!$S$4:$S$1463,$P40)="","",INDEX(MASTER!$S$4:$S$1463,$P40)),""))</f>
        <v>Complete</v>
      </c>
      <c r="P40">
        <f>IFERROR(MATCH($Q$1&amp;"@32",MASTER!$AC$4:$AC$1463,0),"")</f>
        <v>469</v>
      </c>
    </row>
    <row r="41" spans="1:16">
      <c r="A41" s="15">
        <f>IF($P41="","",33)</f>
        <v>33</v>
      </c>
      <c r="B41" s="14" t="str">
        <f>IF($P41="","",IFERROR(IF(INDEX(MASTER!$C$4:$C$1463,$P41)="","",INDEX(MASTER!$C$4:$C$1463,$P41)),""))</f>
        <v>HellBovine</v>
      </c>
      <c r="C41" s="15" t="str">
        <f>IF($P41="","",IFERROR(IF(INDEX(MASTER!$D$4:$D$1463,$P41)="","",INDEX(MASTER!$D$4:$D$1463,$P41)),""))</f>
        <v/>
      </c>
      <c r="D41" s="15" t="str">
        <f>IF($P41="","",IFERROR(IF(INDEX(MASTER!$E$4:$E$1463,$P41)="","",INDEX(MASTER!$E$4:$E$1463,$P41)),""))</f>
        <v>BARBARIAN</v>
      </c>
      <c r="E41" s="15" t="str">
        <f>IF($P41="","",IFERROR(IF(INDEX(MASTER!$F$4:$F$1463,$P41)="","",INDEX(MASTER!$F$4:$F$1463,$P41)),""))</f>
        <v>Frontline</v>
      </c>
      <c r="F41" s="16">
        <f>IF($P41="","",IFERROR(IF(INDEX(MASTER!$G$4:$G$1463,$P41)="","",INDEX(MASTER!$G$4:$G$1463,$P41)),""))</f>
        <v>62936</v>
      </c>
      <c r="G41" s="15" t="str">
        <f>IF($P41="","",IFERROR(IF(INDEX(MASTER!$H$4:$H$1463,$P41)="","",INDEX(MASTER!$H$4:$H$1463,$P41)),""))</f>
        <v>62,000 - 62,999</v>
      </c>
      <c r="H41" s="16">
        <f>IF($P41="","",IFERROR(IF(INDEX(MASTER!$I$4:$I$1463,$P41)="","",INDEX(MASTER!$I$4:$I$1463,$P41)),""))</f>
        <v>4649</v>
      </c>
      <c r="I41" s="15" t="str">
        <f>IF($P41="","",IFERROR(IF(INDEX(MASTER!$J$4:$J$1463,$P41)="","",INDEX(MASTER!$J$4:$J$1463,$P41)),""))</f>
        <v>CORE</v>
      </c>
      <c r="J41" s="17">
        <f>IF($P41="","",IFERROR(IF(INDEX(MASTER!$L$4:$L$1463,$P41)="","",INDEX(MASTER!$L$4:$L$1463,$P41)),""))</f>
        <v>4.7</v>
      </c>
      <c r="K41" s="17">
        <f>IF($P41="","",IFERROR(IF(INDEX(MASTER!$N$4:$N$1463,$P41)="","",INDEX(MASTER!$N$4:$N$1463,$P41)),""))</f>
        <v>49</v>
      </c>
      <c r="L41" s="15" t="str">
        <f>IF($P41="","",IFERROR(IF(INDEX(MASTER!$O$4:$O$1463,$P41)="","",INDEX(MASTER!$O$4:$O$1463,$P41)),""))</f>
        <v>B</v>
      </c>
      <c r="M41" s="15">
        <f>IF($P41="","",IFERROR(IF(INDEX(MASTER!$Q$4:$Q$1463,$P41)="","",INDEX(MASTER!$Q$4:$Q$1463,$P41)),""))</f>
        <v>5</v>
      </c>
      <c r="N41" s="15" t="str">
        <f>IF($P41="","",IFERROR(IF(INDEX(MASTER!$S$4:$S$1463,$P41)="","",INDEX(MASTER!$S$4:$S$1463,$P41)),""))</f>
        <v>Complete</v>
      </c>
      <c r="P41">
        <f>IFERROR(MATCH($Q$1&amp;"@33",MASTER!$AC$4:$AC$1463,0),"")</f>
        <v>486</v>
      </c>
    </row>
    <row r="42" spans="1:16">
      <c r="A42" s="19">
        <f>IF($P42="","",34)</f>
        <v>34</v>
      </c>
      <c r="B42" s="18" t="str">
        <f>IF($P42="","",IFERROR(IF(INDEX(MASTER!$C$4:$C$1463,$P42)="","",INDEX(MASTER!$C$4:$C$1463,$P42)),""))</f>
        <v>HubNubbin</v>
      </c>
      <c r="C42" s="19" t="str">
        <f>IF($P42="","",IFERROR(IF(INDEX(MASTER!$D$4:$D$1463,$P42)="","",INDEX(MASTER!$D$4:$D$1463,$P42)),""))</f>
        <v/>
      </c>
      <c r="D42" s="19" t="str">
        <f>IF($P42="","",IFERROR(IF(INDEX(MASTER!$E$4:$E$1463,$P42)="","",INDEX(MASTER!$E$4:$E$1463,$P42)),""))</f>
        <v>BARBARIAN</v>
      </c>
      <c r="E42" s="19" t="str">
        <f>IF($P42="","",IFERROR(IF(INDEX(MASTER!$F$4:$F$1463,$P42)="","",INDEX(MASTER!$F$4:$F$1463,$P42)),""))</f>
        <v>Frontline</v>
      </c>
      <c r="F42" s="20">
        <f>IF($P42="","",IFERROR(IF(INDEX(MASTER!$G$4:$G$1463,$P42)="","",INDEX(MASTER!$G$4:$G$1463,$P42)),""))</f>
        <v>63152</v>
      </c>
      <c r="G42" s="19" t="str">
        <f>IF($P42="","",IFERROR(IF(INDEX(MASTER!$H$4:$H$1463,$P42)="","",INDEX(MASTER!$H$4:$H$1463,$P42)),""))</f>
        <v>63,000 - 63,999</v>
      </c>
      <c r="H42" s="20">
        <f>IF($P42="","",IFERROR(IF(INDEX(MASTER!$I$4:$I$1463,$P42)="","",INDEX(MASTER!$I$4:$I$1463,$P42)),""))</f>
        <v>3849</v>
      </c>
      <c r="I42" s="19" t="str">
        <f>IF($P42="","",IFERROR(IF(INDEX(MASTER!$J$4:$J$1463,$P42)="","",INDEX(MASTER!$J$4:$J$1463,$P42)),""))</f>
        <v>DEVELOPING</v>
      </c>
      <c r="J42" s="21">
        <f>IF($P42="","",IFERROR(IF(INDEX(MASTER!$L$4:$L$1463,$P42)="","",INDEX(MASTER!$L$4:$L$1463,$P42)),""))</f>
        <v>4.7</v>
      </c>
      <c r="K42" s="21">
        <f>IF($P42="","",IFERROR(IF(INDEX(MASTER!$N$4:$N$1463,$P42)="","",INDEX(MASTER!$N$4:$N$1463,$P42)),""))</f>
        <v>46.1</v>
      </c>
      <c r="L42" s="19" t="str">
        <f>IF($P42="","",IFERROR(IF(INDEX(MASTER!$O$4:$O$1463,$P42)="","",INDEX(MASTER!$O$4:$O$1463,$P42)),""))</f>
        <v>B</v>
      </c>
      <c r="M42" s="19">
        <f>IF($P42="","",IFERROR(IF(INDEX(MASTER!$Q$4:$Q$1463,$P42)="","",INDEX(MASTER!$Q$4:$Q$1463,$P42)),""))</f>
        <v>13</v>
      </c>
      <c r="N42" s="19" t="str">
        <f>IF($P42="","",IFERROR(IF(INDEX(MASTER!$S$4:$S$1463,$P42)="","",INDEX(MASTER!$S$4:$S$1463,$P42)),""))</f>
        <v>Complete</v>
      </c>
      <c r="P42">
        <f>IFERROR(MATCH($Q$1&amp;"@34",MASTER!$AC$4:$AC$1463,0),"")</f>
        <v>513</v>
      </c>
    </row>
    <row r="43" spans="1:16">
      <c r="A43" s="15">
        <f>IF($P43="","",35)</f>
        <v>35</v>
      </c>
      <c r="B43" s="14" t="str">
        <f>IF($P43="","",IFERROR(IF(INDEX(MASTER!$C$4:$C$1463,$P43)="","",INDEX(MASTER!$C$4:$C$1463,$P43)),""))</f>
        <v>HunterGrey</v>
      </c>
      <c r="C43" s="15" t="str">
        <f>IF($P43="","",IFERROR(IF(INDEX(MASTER!$D$4:$D$1463,$P43)="","",INDEX(MASTER!$D$4:$D$1463,$P43)),""))</f>
        <v/>
      </c>
      <c r="D43" s="15" t="str">
        <f>IF($P43="","",IFERROR(IF(INDEX(MASTER!$E$4:$E$1463,$P43)="","",INDEX(MASTER!$E$4:$E$1463,$P43)),""))</f>
        <v>TEMPEST</v>
      </c>
      <c r="E43" s="15" t="str">
        <f>IF($P43="","",IFERROR(IF(INDEX(MASTER!$F$4:$F$1463,$P43)="","",INDEX(MASTER!$F$4:$F$1463,$P43)),""))</f>
        <v>Melee DPS</v>
      </c>
      <c r="F43" s="16">
        <f>IF($P43="","",IFERROR(IF(INDEX(MASTER!$G$4:$G$1463,$P43)="","",INDEX(MASTER!$G$4:$G$1463,$P43)),""))</f>
        <v>59037</v>
      </c>
      <c r="G43" s="15" t="str">
        <f>IF($P43="","",IFERROR(IF(INDEX(MASTER!$H$4:$H$1463,$P43)="","",INDEX(MASTER!$H$4:$H$1463,$P43)),""))</f>
        <v>58,000 - 59,999</v>
      </c>
      <c r="H43" s="16">
        <f>IF($P43="","",IFERROR(IF(INDEX(MASTER!$I$4:$I$1463,$P43)="","",INDEX(MASTER!$I$4:$I$1463,$P43)),""))</f>
        <v>544</v>
      </c>
      <c r="I43" s="15" t="str">
        <f>IF($P43="","",IFERROR(IF(INDEX(MASTER!$J$4:$J$1463,$P43)="","",INDEX(MASTER!$J$4:$J$1463,$P43)),""))</f>
        <v>ROOKIE</v>
      </c>
      <c r="J43" s="17">
        <f>IF($P43="","",IFERROR(IF(INDEX(MASTER!$L$4:$L$1463,$P43)="","",INDEX(MASTER!$L$4:$L$1463,$P43)),""))</f>
        <v>2.13</v>
      </c>
      <c r="K43" s="17">
        <f>IF($P43="","",IFERROR(IF(INDEX(MASTER!$N$4:$N$1463,$P43)="","",INDEX(MASTER!$N$4:$N$1463,$P43)),""))</f>
        <v>16.5</v>
      </c>
      <c r="L43" s="15" t="str">
        <f>IF($P43="","",IFERROR(IF(INDEX(MASTER!$O$4:$O$1463,$P43)="","",INDEX(MASTER!$O$4:$O$1463,$P43)),""))</f>
        <v>D</v>
      </c>
      <c r="M43" s="15">
        <f>IF($P43="","",IFERROR(IF(INDEX(MASTER!$Q$4:$Q$1463,$P43)="","",INDEX(MASTER!$Q$4:$Q$1463,$P43)),""))</f>
        <v>95</v>
      </c>
      <c r="N43" s="15" t="str">
        <f>IF($P43="","",IFERROR(IF(INDEX(MASTER!$S$4:$S$1463,$P43)="","",INDEX(MASTER!$S$4:$S$1463,$P43)),""))</f>
        <v>Complete</v>
      </c>
      <c r="P43">
        <f>IFERROR(MATCH($Q$1&amp;"@35",MASTER!$AC$4:$AC$1463,0),"")</f>
        <v>517</v>
      </c>
    </row>
    <row r="44" spans="1:16">
      <c r="A44" s="19">
        <f>IF($P44="","",36)</f>
        <v>36</v>
      </c>
      <c r="B44" s="18" t="str">
        <f>IF($P44="","",IFERROR(IF(INDEX(MASTER!$C$4:$C$1463,$P44)="","",INDEX(MASTER!$C$4:$C$1463,$P44)),""))</f>
        <v>IsungwooUtank</v>
      </c>
      <c r="C44" s="19" t="str">
        <f>IF($P44="","",IFERROR(IF(INDEX(MASTER!$D$4:$D$1463,$P44)="","",INDEX(MASTER!$D$4:$D$1463,$P44)),""))</f>
        <v/>
      </c>
      <c r="D44" s="19" t="str">
        <f>IF($P44="","",IFERROR(IF(INDEX(MASTER!$E$4:$E$1463,$P44)="","",INDEX(MASTER!$E$4:$E$1463,$P44)),""))</f>
        <v>NECROMANCER</v>
      </c>
      <c r="E44" s="19" t="str">
        <f>IF($P44="","",IFERROR(IF(INDEX(MASTER!$F$4:$F$1463,$P44)="","",INDEX(MASTER!$F$4:$F$1463,$P44)),""))</f>
        <v>Control</v>
      </c>
      <c r="F44" s="20">
        <f>IF($P44="","",IFERROR(IF(INDEX(MASTER!$G$4:$G$1463,$P44)="","",INDEX(MASTER!$G$4:$G$1463,$P44)),""))</f>
        <v>61184</v>
      </c>
      <c r="G44" s="19" t="str">
        <f>IF($P44="","",IFERROR(IF(INDEX(MASTER!$H$4:$H$1463,$P44)="","",INDEX(MASTER!$H$4:$H$1463,$P44)),""))</f>
        <v>61,000 - 61,999</v>
      </c>
      <c r="H44" s="20">
        <f>IF($P44="","",IFERROR(IF(INDEX(MASTER!$I$4:$I$1463,$P44)="","",INDEX(MASTER!$I$4:$I$1463,$P44)),""))</f>
        <v>3295</v>
      </c>
      <c r="I44" s="19" t="str">
        <f>IF($P44="","",IFERROR(IF(INDEX(MASTER!$J$4:$J$1463,$P44)="","",INDEX(MASTER!$J$4:$J$1463,$P44)),""))</f>
        <v>DEVELOPING</v>
      </c>
      <c r="J44" s="21">
        <f>IF($P44="","",IFERROR(IF(INDEX(MASTER!$L$4:$L$1463,$P44)="","",INDEX(MASTER!$L$4:$L$1463,$P44)),""))</f>
        <v>2.8</v>
      </c>
      <c r="K44" s="21">
        <f>IF($P44="","",IFERROR(IF(INDEX(MASTER!$N$4:$N$1463,$P44)="","",INDEX(MASTER!$N$4:$N$1463,$P44)),""))</f>
        <v>35.299999999999997</v>
      </c>
      <c r="L44" s="19" t="str">
        <f>IF($P44="","",IFERROR(IF(INDEX(MASTER!$O$4:$O$1463,$P44)="","",INDEX(MASTER!$O$4:$O$1463,$P44)),""))</f>
        <v>B</v>
      </c>
      <c r="M44" s="19">
        <f>IF($P44="","",IFERROR(IF(INDEX(MASTER!$Q$4:$Q$1463,$P44)="","",INDEX(MASTER!$Q$4:$Q$1463,$P44)),""))</f>
        <v>22</v>
      </c>
      <c r="N44" s="19" t="str">
        <f>IF($P44="","",IFERROR(IF(INDEX(MASTER!$S$4:$S$1463,$P44)="","",INDEX(MASTER!$S$4:$S$1463,$P44)),""))</f>
        <v>Complete</v>
      </c>
      <c r="P44">
        <f>IFERROR(MATCH($Q$1&amp;"@36",MASTER!$AC$4:$AC$1463,0),"")</f>
        <v>538</v>
      </c>
    </row>
    <row r="45" spans="1:16">
      <c r="A45" s="15">
        <f>IF($P45="","",37)</f>
        <v>37</v>
      </c>
      <c r="B45" s="14" t="str">
        <f>IF($P45="","",IFERROR(IF(INDEX(MASTER!$C$4:$C$1463,$P45)="","",INDEX(MASTER!$C$4:$C$1463,$P45)),""))</f>
        <v>Jairo502Quino</v>
      </c>
      <c r="C45" s="15" t="str">
        <f>IF($P45="","",IFERROR(IF(INDEX(MASTER!$D$4:$D$1463,$P45)="","",INDEX(MASTER!$D$4:$D$1463,$P45)),""))</f>
        <v/>
      </c>
      <c r="D45" s="15" t="str">
        <f>IF($P45="","",IFERROR(IF(INDEX(MASTER!$E$4:$E$1463,$P45)="","",INDEX(MASTER!$E$4:$E$1463,$P45)),""))</f>
        <v>DEMON HUNTER</v>
      </c>
      <c r="E45" s="15" t="str">
        <f>IF($P45="","",IFERROR(IF(INDEX(MASTER!$F$4:$F$1463,$P45)="","",INDEX(MASTER!$F$4:$F$1463,$P45)),""))</f>
        <v>Ranged DPS</v>
      </c>
      <c r="F45" s="16">
        <f>IF($P45="","",IFERROR(IF(INDEX(MASTER!$G$4:$G$1463,$P45)="","",INDEX(MASTER!$G$4:$G$1463,$P45)),""))</f>
        <v>62839</v>
      </c>
      <c r="G45" s="15" t="str">
        <f>IF($P45="","",IFERROR(IF(INDEX(MASTER!$H$4:$H$1463,$P45)="","",INDEX(MASTER!$H$4:$H$1463,$P45)),""))</f>
        <v>62,000 - 62,999</v>
      </c>
      <c r="H45" s="16">
        <f>IF($P45="","",IFERROR(IF(INDEX(MASTER!$I$4:$I$1463,$P45)="","",INDEX(MASTER!$I$4:$I$1463,$P45)),""))</f>
        <v>3352</v>
      </c>
      <c r="I45" s="15" t="str">
        <f>IF($P45="","",IFERROR(IF(INDEX(MASTER!$J$4:$J$1463,$P45)="","",INDEX(MASTER!$J$4:$J$1463,$P45)),""))</f>
        <v>DEVELOPING</v>
      </c>
      <c r="J45" s="17">
        <f>IF($P45="","",IFERROR(IF(INDEX(MASTER!$L$4:$L$1463,$P45)="","",INDEX(MASTER!$L$4:$L$1463,$P45)),""))</f>
        <v>3.57</v>
      </c>
      <c r="K45" s="17">
        <f>IF($P45="","",IFERROR(IF(INDEX(MASTER!$N$4:$N$1463,$P45)="","",INDEX(MASTER!$N$4:$N$1463,$P45)),""))</f>
        <v>41.2</v>
      </c>
      <c r="L45" s="15" t="str">
        <f>IF($P45="","",IFERROR(IF(INDEX(MASTER!$O$4:$O$1463,$P45)="","",INDEX(MASTER!$O$4:$O$1463,$P45)),""))</f>
        <v>B</v>
      </c>
      <c r="M45" s="15">
        <f>IF($P45="","",IFERROR(IF(INDEX(MASTER!$Q$4:$Q$1463,$P45)="","",INDEX(MASTER!$Q$4:$Q$1463,$P45)),""))</f>
        <v>19</v>
      </c>
      <c r="N45" s="15" t="str">
        <f>IF($P45="","",IFERROR(IF(INDEX(MASTER!$S$4:$S$1463,$P45)="","",INDEX(MASTER!$S$4:$S$1463,$P45)),""))</f>
        <v>Complete</v>
      </c>
      <c r="P45">
        <f>IFERROR(MATCH($Q$1&amp;"@37",MASTER!$AC$4:$AC$1463,0),"")</f>
        <v>547</v>
      </c>
    </row>
    <row r="46" spans="1:16">
      <c r="A46" s="19">
        <f>IF($P46="","",38)</f>
        <v>38</v>
      </c>
      <c r="B46" s="18" t="str">
        <f>IF($P46="","",IFERROR(IF(INDEX(MASTER!$C$4:$C$1463,$P46)="","",INDEX(MASTER!$C$4:$C$1463,$P46)),""))</f>
        <v>Jdog74</v>
      </c>
      <c r="C46" s="19" t="str">
        <f>IF($P46="","",IFERROR(IF(INDEX(MASTER!$D$4:$D$1463,$P46)="","",INDEX(MASTER!$D$4:$D$1463,$P46)),""))</f>
        <v/>
      </c>
      <c r="D46" s="19" t="str">
        <f>IF($P46="","",IFERROR(IF(INDEX(MASTER!$E$4:$E$1463,$P46)="","",INDEX(MASTER!$E$4:$E$1463,$P46)),""))</f>
        <v>CRUSADER</v>
      </c>
      <c r="E46" s="19" t="str">
        <f>IF($P46="","",IFERROR(IF(INDEX(MASTER!$F$4:$F$1463,$P46)="","",INDEX(MASTER!$F$4:$F$1463,$P46)),""))</f>
        <v>Frontline</v>
      </c>
      <c r="F46" s="20">
        <f>IF($P46="","",IFERROR(IF(INDEX(MASTER!$G$4:$G$1463,$P46)="","",INDEX(MASTER!$G$4:$G$1463,$P46)),""))</f>
        <v>58611</v>
      </c>
      <c r="G46" s="19" t="str">
        <f>IF($P46="","",IFERROR(IF(INDEX(MASTER!$H$4:$H$1463,$P46)="","",INDEX(MASTER!$H$4:$H$1463,$P46)),""))</f>
        <v>58,000 - 59,999</v>
      </c>
      <c r="H46" s="20">
        <f>IF($P46="","",IFERROR(IF(INDEX(MASTER!$I$4:$I$1463,$P46)="","",INDEX(MASTER!$I$4:$I$1463,$P46)),""))</f>
        <v>3733</v>
      </c>
      <c r="I46" s="19" t="str">
        <f>IF($P46="","",IFERROR(IF(INDEX(MASTER!$J$4:$J$1463,$P46)="","",INDEX(MASTER!$J$4:$J$1463,$P46)),""))</f>
        <v>DEVELOPING</v>
      </c>
      <c r="J46" s="21">
        <f>IF($P46="","",IFERROR(IF(INDEX(MASTER!$L$4:$L$1463,$P46)="","",INDEX(MASTER!$L$4:$L$1463,$P46)),""))</f>
        <v>4.03</v>
      </c>
      <c r="K46" s="21">
        <f>IF($P46="","",IFERROR(IF(INDEX(MASTER!$N$4:$N$1463,$P46)="","",INDEX(MASTER!$N$4:$N$1463,$P46)),""))</f>
        <v>32.5</v>
      </c>
      <c r="L46" s="19" t="str">
        <f>IF($P46="","",IFERROR(IF(INDEX(MASTER!$O$4:$O$1463,$P46)="","",INDEX(MASTER!$O$4:$O$1463,$P46)),""))</f>
        <v>C</v>
      </c>
      <c r="M46" s="19">
        <f>IF($P46="","",IFERROR(IF(INDEX(MASTER!$Q$4:$Q$1463,$P46)="","",INDEX(MASTER!$Q$4:$Q$1463,$P46)),""))</f>
        <v>15</v>
      </c>
      <c r="N46" s="19" t="str">
        <f>IF($P46="","",IFERROR(IF(INDEX(MASTER!$S$4:$S$1463,$P46)="","",INDEX(MASTER!$S$4:$S$1463,$P46)),""))</f>
        <v>Complete</v>
      </c>
      <c r="P46">
        <f>IFERROR(MATCH($Q$1&amp;"@38",MASTER!$AC$4:$AC$1463,0),"")</f>
        <v>554</v>
      </c>
    </row>
    <row r="47" spans="1:16">
      <c r="A47" s="15">
        <f>IF($P47="","",39)</f>
        <v>39</v>
      </c>
      <c r="B47" s="14" t="str">
        <f>IF($P47="","",IFERROR(IF(INDEX(MASTER!$C$4:$C$1463,$P47)="","",INDEX(MASTER!$C$4:$C$1463,$P47)),""))</f>
        <v>Jozel</v>
      </c>
      <c r="C47" s="15" t="str">
        <f>IF($P47="","",IFERROR(IF(INDEX(MASTER!$D$4:$D$1463,$P47)="","",INDEX(MASTER!$D$4:$D$1463,$P47)),""))</f>
        <v/>
      </c>
      <c r="D47" s="15" t="str">
        <f>IF($P47="","",IFERROR(IF(INDEX(MASTER!$E$4:$E$1463,$P47)="","",INDEX(MASTER!$E$4:$E$1463,$P47)),""))</f>
        <v>BARBARIAN</v>
      </c>
      <c r="E47" s="15" t="str">
        <f>IF($P47="","",IFERROR(IF(INDEX(MASTER!$F$4:$F$1463,$P47)="","",INDEX(MASTER!$F$4:$F$1463,$P47)),""))</f>
        <v>Frontline</v>
      </c>
      <c r="F47" s="16">
        <f>IF($P47="","",IFERROR(IF(INDEX(MASTER!$G$4:$G$1463,$P47)="","",INDEX(MASTER!$G$4:$G$1463,$P47)),""))</f>
        <v>62271</v>
      </c>
      <c r="G47" s="15" t="str">
        <f>IF($P47="","",IFERROR(IF(INDEX(MASTER!$H$4:$H$1463,$P47)="","",INDEX(MASTER!$H$4:$H$1463,$P47)),""))</f>
        <v>62,000 - 62,999</v>
      </c>
      <c r="H47" s="16">
        <f>IF($P47="","",IFERROR(IF(INDEX(MASTER!$I$4:$I$1463,$P47)="","",INDEX(MASTER!$I$4:$I$1463,$P47)),""))</f>
        <v>3795</v>
      </c>
      <c r="I47" s="15" t="str">
        <f>IF($P47="","",IFERROR(IF(INDEX(MASTER!$J$4:$J$1463,$P47)="","",INDEX(MASTER!$J$4:$J$1463,$P47)),""))</f>
        <v>DEVELOPING</v>
      </c>
      <c r="J47" s="17">
        <f>IF($P47="","",IFERROR(IF(INDEX(MASTER!$L$4:$L$1463,$P47)="","",INDEX(MASTER!$L$4:$L$1463,$P47)),""))</f>
        <v>5.5</v>
      </c>
      <c r="K47" s="17">
        <f>IF($P47="","",IFERROR(IF(INDEX(MASTER!$N$4:$N$1463,$P47)="","",INDEX(MASTER!$N$4:$N$1463,$P47)),""))</f>
        <v>44.9</v>
      </c>
      <c r="L47" s="15" t="str">
        <f>IF($P47="","",IFERROR(IF(INDEX(MASTER!$O$4:$O$1463,$P47)="","",INDEX(MASTER!$O$4:$O$1463,$P47)),""))</f>
        <v>B</v>
      </c>
      <c r="M47" s="15">
        <f>IF($P47="","",IFERROR(IF(INDEX(MASTER!$Q$4:$Q$1463,$P47)="","",INDEX(MASTER!$Q$4:$Q$1463,$P47)),""))</f>
        <v>14</v>
      </c>
      <c r="N47" s="15" t="str">
        <f>IF($P47="","",IFERROR(IF(INDEX(MASTER!$S$4:$S$1463,$P47)="","",INDEX(MASTER!$S$4:$S$1463,$P47)),""))</f>
        <v>Complete</v>
      </c>
      <c r="P47">
        <f>IFERROR(MATCH($Q$1&amp;"@39",MASTER!$AC$4:$AC$1463,0),"")</f>
        <v>573</v>
      </c>
    </row>
    <row r="48" spans="1:16">
      <c r="A48" s="19">
        <f>IF($P48="","",40)</f>
        <v>40</v>
      </c>
      <c r="B48" s="18" t="str">
        <f>IF($P48="","",IFERROR(IF(INDEX(MASTER!$C$4:$C$1463,$P48)="","",INDEX(MASTER!$C$4:$C$1463,$P48)),""))</f>
        <v>Keirison</v>
      </c>
      <c r="C48" s="19" t="str">
        <f>IF($P48="","",IFERROR(IF(INDEX(MASTER!$D$4:$D$1463,$P48)="","",INDEX(MASTER!$D$4:$D$1463,$P48)),""))</f>
        <v/>
      </c>
      <c r="D48" s="19" t="str">
        <f>IF($P48="","",IFERROR(IF(INDEX(MASTER!$E$4:$E$1463,$P48)="","",INDEX(MASTER!$E$4:$E$1463,$P48)),""))</f>
        <v>BARBARIAN</v>
      </c>
      <c r="E48" s="19" t="str">
        <f>IF($P48="","",IFERROR(IF(INDEX(MASTER!$F$4:$F$1463,$P48)="","",INDEX(MASTER!$F$4:$F$1463,$P48)),""))</f>
        <v>Frontline</v>
      </c>
      <c r="F48" s="20">
        <f>IF($P48="","",IFERROR(IF(INDEX(MASTER!$G$4:$G$1463,$P48)="","",INDEX(MASTER!$G$4:$G$1463,$P48)),""))</f>
        <v>60878</v>
      </c>
      <c r="G48" s="19" t="str">
        <f>IF($P48="","",IFERROR(IF(INDEX(MASTER!$H$4:$H$1463,$P48)="","",INDEX(MASTER!$H$4:$H$1463,$P48)),""))</f>
        <v>60,000 - 60,999</v>
      </c>
      <c r="H48" s="20">
        <f>IF($P48="","",IFERROR(IF(INDEX(MASTER!$I$4:$I$1463,$P48)="","",INDEX(MASTER!$I$4:$I$1463,$P48)),""))</f>
        <v>985</v>
      </c>
      <c r="I48" s="19" t="str">
        <f>IF($P48="","",IFERROR(IF(INDEX(MASTER!$J$4:$J$1463,$P48)="","",INDEX(MASTER!$J$4:$J$1463,$P48)),""))</f>
        <v>ROOKIE</v>
      </c>
      <c r="J48" s="21">
        <f>IF($P48="","",IFERROR(IF(INDEX(MASTER!$L$4:$L$1463,$P48)="","",INDEX(MASTER!$L$4:$L$1463,$P48)),""))</f>
        <v>3.1</v>
      </c>
      <c r="K48" s="21">
        <f>IF($P48="","",IFERROR(IF(INDEX(MASTER!$N$4:$N$1463,$P48)="","",INDEX(MASTER!$N$4:$N$1463,$P48)),""))</f>
        <v>24.9</v>
      </c>
      <c r="L48" s="19" t="str">
        <f>IF($P48="","",IFERROR(IF(INDEX(MASTER!$O$4:$O$1463,$P48)="","",INDEX(MASTER!$O$4:$O$1463,$P48)),""))</f>
        <v>C</v>
      </c>
      <c r="M48" s="19">
        <f>IF($P48="","",IFERROR(IF(INDEX(MASTER!$Q$4:$Q$1463,$P48)="","",INDEX(MASTER!$Q$4:$Q$1463,$P48)),""))</f>
        <v>85</v>
      </c>
      <c r="N48" s="19" t="str">
        <f>IF($P48="","",IFERROR(IF(INDEX(MASTER!$S$4:$S$1463,$P48)="","",INDEX(MASTER!$S$4:$S$1463,$P48)),""))</f>
        <v>Complete</v>
      </c>
      <c r="P48">
        <f>IFERROR(MATCH($Q$1&amp;"@40",MASTER!$AC$4:$AC$1463,0),"")</f>
        <v>596</v>
      </c>
    </row>
    <row r="49" spans="1:16">
      <c r="A49" s="15">
        <f>IF($P49="","",41)</f>
        <v>41</v>
      </c>
      <c r="B49" s="14" t="str">
        <f>IF($P49="","",IFERROR(IF(INDEX(MASTER!$C$4:$C$1463,$P49)="","",INDEX(MASTER!$C$4:$C$1463,$P49)),""))</f>
        <v>Kittywuv</v>
      </c>
      <c r="C49" s="15" t="str">
        <f>IF($P49="","",IFERROR(IF(INDEX(MASTER!$D$4:$D$1463,$P49)="","",INDEX(MASTER!$D$4:$D$1463,$P49)),""))</f>
        <v/>
      </c>
      <c r="D49" s="15" t="str">
        <f>IF($P49="","",IFERROR(IF(INDEX(MASTER!$E$4:$E$1463,$P49)="","",INDEX(MASTER!$E$4:$E$1463,$P49)),""))</f>
        <v>WARLOCK</v>
      </c>
      <c r="E49" s="15" t="str">
        <f>IF($P49="","",IFERROR(IF(INDEX(MASTER!$F$4:$F$1463,$P49)="","",INDEX(MASTER!$F$4:$F$1463,$P49)),""))</f>
        <v>Control</v>
      </c>
      <c r="F49" s="16">
        <f>IF($P49="","",IFERROR(IF(INDEX(MASTER!$G$4:$G$1463,$P49)="","",INDEX(MASTER!$G$4:$G$1463,$P49)),""))</f>
        <v>61878</v>
      </c>
      <c r="G49" s="15" t="str">
        <f>IF($P49="","",IFERROR(IF(INDEX(MASTER!$H$4:$H$1463,$P49)="","",INDEX(MASTER!$H$4:$H$1463,$P49)),""))</f>
        <v>61,000 - 61,999</v>
      </c>
      <c r="H49" s="16">
        <f>IF($P49="","",IFERROR(IF(INDEX(MASTER!$I$4:$I$1463,$P49)="","",INDEX(MASTER!$I$4:$I$1463,$P49)),""))</f>
        <v>4233</v>
      </c>
      <c r="I49" s="15" t="str">
        <f>IF($P49="","",IFERROR(IF(INDEX(MASTER!$J$4:$J$1463,$P49)="","",INDEX(MASTER!$J$4:$J$1463,$P49)),""))</f>
        <v>CORE</v>
      </c>
      <c r="J49" s="17">
        <f>IF($P49="","",IFERROR(IF(INDEX(MASTER!$L$4:$L$1463,$P49)="","",INDEX(MASTER!$L$4:$L$1463,$P49)),""))</f>
        <v>3.9</v>
      </c>
      <c r="K49" s="17">
        <f>IF($P49="","",IFERROR(IF(INDEX(MASTER!$N$4:$N$1463,$P49)="","",INDEX(MASTER!$N$4:$N$1463,$P49)),""))</f>
        <v>43.1</v>
      </c>
      <c r="L49" s="15" t="str">
        <f>IF($P49="","",IFERROR(IF(INDEX(MASTER!$O$4:$O$1463,$P49)="","",INDEX(MASTER!$O$4:$O$1463,$P49)),""))</f>
        <v>B</v>
      </c>
      <c r="M49" s="15">
        <f>IF($P49="","",IFERROR(IF(INDEX(MASTER!$Q$4:$Q$1463,$P49)="","",INDEX(MASTER!$Q$4:$Q$1463,$P49)),""))</f>
        <v>10</v>
      </c>
      <c r="N49" s="15" t="str">
        <f>IF($P49="","",IFERROR(IF(INDEX(MASTER!$S$4:$S$1463,$P49)="","",INDEX(MASTER!$S$4:$S$1463,$P49)),""))</f>
        <v>Complete</v>
      </c>
      <c r="P49">
        <f>IFERROR(MATCH($Q$1&amp;"@41",MASTER!$AC$4:$AC$1463,0),"")</f>
        <v>615</v>
      </c>
    </row>
    <row r="50" spans="1:16">
      <c r="A50" s="19">
        <f>IF($P50="","",42)</f>
        <v>42</v>
      </c>
      <c r="B50" s="18" t="str">
        <f>IF($P50="","",IFERROR(IF(INDEX(MASTER!$C$4:$C$1463,$P50)="","",INDEX(MASTER!$C$4:$C$1463,$P50)),""))</f>
        <v>Kozluca</v>
      </c>
      <c r="C50" s="19" t="str">
        <f>IF($P50="","",IFERROR(IF(INDEX(MASTER!$D$4:$D$1463,$P50)="","",INDEX(MASTER!$D$4:$D$1463,$P50)),""))</f>
        <v/>
      </c>
      <c r="D50" s="19" t="str">
        <f>IF($P50="","",IFERROR(IF(INDEX(MASTER!$E$4:$E$1463,$P50)="","",INDEX(MASTER!$E$4:$E$1463,$P50)),""))</f>
        <v>DRUID</v>
      </c>
      <c r="E50" s="19" t="str">
        <f>IF($P50="","",IFERROR(IF(INDEX(MASTER!$F$4:$F$1463,$P50)="","",INDEX(MASTER!$F$4:$F$1463,$P50)),""))</f>
        <v>Support</v>
      </c>
      <c r="F50" s="20">
        <f>IF($P50="","",IFERROR(IF(INDEX(MASTER!$G$4:$G$1463,$P50)="","",INDEX(MASTER!$G$4:$G$1463,$P50)),""))</f>
        <v>61259</v>
      </c>
      <c r="G50" s="19" t="str">
        <f>IF($P50="","",IFERROR(IF(INDEX(MASTER!$H$4:$H$1463,$P50)="","",INDEX(MASTER!$H$4:$H$1463,$P50)),""))</f>
        <v>61,000 - 61,999</v>
      </c>
      <c r="H50" s="20">
        <f>IF($P50="","",IFERROR(IF(INDEX(MASTER!$I$4:$I$1463,$P50)="","",INDEX(MASTER!$I$4:$I$1463,$P50)),""))</f>
        <v>1500</v>
      </c>
      <c r="I50" s="19" t="str">
        <f>IF($P50="","",IFERROR(IF(INDEX(MASTER!$J$4:$J$1463,$P50)="","",INDEX(MASTER!$J$4:$J$1463,$P50)),""))</f>
        <v>ROOKIE</v>
      </c>
      <c r="J50" s="21">
        <f>IF($P50="","",IFERROR(IF(INDEX(MASTER!$L$4:$L$1463,$P50)="","",INDEX(MASTER!$L$4:$L$1463,$P50)),""))</f>
        <v>3.4</v>
      </c>
      <c r="K50" s="21">
        <f>IF($P50="","",IFERROR(IF(INDEX(MASTER!$N$4:$N$1463,$P50)="","",INDEX(MASTER!$N$4:$N$1463,$P50)),""))</f>
        <v>28.7</v>
      </c>
      <c r="L50" s="19" t="str">
        <f>IF($P50="","",IFERROR(IF(INDEX(MASTER!$O$4:$O$1463,$P50)="","",INDEX(MASTER!$O$4:$O$1463,$P50)),""))</f>
        <v>C</v>
      </c>
      <c r="M50" s="19">
        <f>IF($P50="","",IFERROR(IF(INDEX(MASTER!$Q$4:$Q$1463,$P50)="","",INDEX(MASTER!$Q$4:$Q$1463,$P50)),""))</f>
        <v>70</v>
      </c>
      <c r="N50" s="19" t="str">
        <f>IF($P50="","",IFERROR(IF(INDEX(MASTER!$S$4:$S$1463,$P50)="","",INDEX(MASTER!$S$4:$S$1463,$P50)),""))</f>
        <v>Complete</v>
      </c>
      <c r="P50">
        <f>IFERROR(MATCH($Q$1&amp;"@42",MASTER!$AC$4:$AC$1463,0),"")</f>
        <v>625</v>
      </c>
    </row>
    <row r="51" spans="1:16">
      <c r="A51" s="15">
        <f>IF($P51="","",43)</f>
        <v>43</v>
      </c>
      <c r="B51" s="14" t="str">
        <f>IF($P51="","",IFERROR(IF(INDEX(MASTER!$C$4:$C$1463,$P51)="","",INDEX(MASTER!$C$4:$C$1463,$P51)),""))</f>
        <v>KRA5H</v>
      </c>
      <c r="C51" s="15" t="str">
        <f>IF($P51="","",IFERROR(IF(INDEX(MASTER!$D$4:$D$1463,$P51)="","",INDEX(MASTER!$D$4:$D$1463,$P51)),""))</f>
        <v/>
      </c>
      <c r="D51" s="15" t="str">
        <f>IF($P51="","",IFERROR(IF(INDEX(MASTER!$E$4:$E$1463,$P51)="","",INDEX(MASTER!$E$4:$E$1463,$P51)),""))</f>
        <v>CRUSADER</v>
      </c>
      <c r="E51" s="15" t="str">
        <f>IF($P51="","",IFERROR(IF(INDEX(MASTER!$F$4:$F$1463,$P51)="","",INDEX(MASTER!$F$4:$F$1463,$P51)),""))</f>
        <v>Frontline</v>
      </c>
      <c r="F51" s="16">
        <f>IF($P51="","",IFERROR(IF(INDEX(MASTER!$G$4:$G$1463,$P51)="","",INDEX(MASTER!$G$4:$G$1463,$P51)),""))</f>
        <v>62915</v>
      </c>
      <c r="G51" s="15" t="str">
        <f>IF($P51="","",IFERROR(IF(INDEX(MASTER!$H$4:$H$1463,$P51)="","",INDEX(MASTER!$H$4:$H$1463,$P51)),""))</f>
        <v>62,000 - 62,999</v>
      </c>
      <c r="H51" s="16">
        <f>IF($P51="","",IFERROR(IF(INDEX(MASTER!$I$4:$I$1463,$P51)="","",INDEX(MASTER!$I$4:$I$1463,$P51)),""))</f>
        <v>2961</v>
      </c>
      <c r="I51" s="15" t="str">
        <f>IF($P51="","",IFERROR(IF(INDEX(MASTER!$J$4:$J$1463,$P51)="","",INDEX(MASTER!$J$4:$J$1463,$P51)),""))</f>
        <v>DEVELOPING</v>
      </c>
      <c r="J51" s="17">
        <f>IF($P51="","",IFERROR(IF(INDEX(MASTER!$L$4:$L$1463,$P51)="","",INDEX(MASTER!$L$4:$L$1463,$P51)),""))</f>
        <v>4.3499999999999996</v>
      </c>
      <c r="K51" s="17">
        <f>IF($P51="","",IFERROR(IF(INDEX(MASTER!$N$4:$N$1463,$P51)="","",INDEX(MASTER!$N$4:$N$1463,$P51)),""))</f>
        <v>41</v>
      </c>
      <c r="L51" s="15" t="str">
        <f>IF($P51="","",IFERROR(IF(INDEX(MASTER!$O$4:$O$1463,$P51)="","",INDEX(MASTER!$O$4:$O$1463,$P51)),""))</f>
        <v>B</v>
      </c>
      <c r="M51" s="15">
        <f>IF($P51="","",IFERROR(IF(INDEX(MASTER!$Q$4:$Q$1463,$P51)="","",INDEX(MASTER!$Q$4:$Q$1463,$P51)),""))</f>
        <v>25</v>
      </c>
      <c r="N51" s="15" t="str">
        <f>IF($P51="","",IFERROR(IF(INDEX(MASTER!$S$4:$S$1463,$P51)="","",INDEX(MASTER!$S$4:$S$1463,$P51)),""))</f>
        <v>Complete</v>
      </c>
      <c r="P51">
        <f>IFERROR(MATCH($Q$1&amp;"@43",MASTER!$AC$4:$AC$1463,0),"")</f>
        <v>626</v>
      </c>
    </row>
    <row r="52" spans="1:16">
      <c r="A52" s="19">
        <f>IF($P52="","",44)</f>
        <v>44</v>
      </c>
      <c r="B52" s="18" t="str">
        <f>IF($P52="","",IFERROR(IF(INDEX(MASTER!$C$4:$C$1463,$P52)="","",INDEX(MASTER!$C$4:$C$1463,$P52)),""))</f>
        <v>Krystania</v>
      </c>
      <c r="C52" s="19" t="str">
        <f>IF($P52="","",IFERROR(IF(INDEX(MASTER!$D$4:$D$1463,$P52)="","",INDEX(MASTER!$D$4:$D$1463,$P52)),""))</f>
        <v/>
      </c>
      <c r="D52" s="19" t="str">
        <f>IF($P52="","",IFERROR(IF(INDEX(MASTER!$E$4:$E$1463,$P52)="","",INDEX(MASTER!$E$4:$E$1463,$P52)),""))</f>
        <v>CRUSADER</v>
      </c>
      <c r="E52" s="19" t="str">
        <f>IF($P52="","",IFERROR(IF(INDEX(MASTER!$F$4:$F$1463,$P52)="","",INDEX(MASTER!$F$4:$F$1463,$P52)),""))</f>
        <v>Frontline</v>
      </c>
      <c r="F52" s="20">
        <f>IF($P52="","",IFERROR(IF(INDEX(MASTER!$G$4:$G$1463,$P52)="","",INDEX(MASTER!$G$4:$G$1463,$P52)),""))</f>
        <v>58995</v>
      </c>
      <c r="G52" s="19" t="str">
        <f>IF($P52="","",IFERROR(IF(INDEX(MASTER!$H$4:$H$1463,$P52)="","",INDEX(MASTER!$H$4:$H$1463,$P52)),""))</f>
        <v>58,000 - 59,999</v>
      </c>
      <c r="H52" s="20">
        <f>IF($P52="","",IFERROR(IF(INDEX(MASTER!$I$4:$I$1463,$P52)="","",INDEX(MASTER!$I$4:$I$1463,$P52)),""))</f>
        <v>2030</v>
      </c>
      <c r="I52" s="19" t="str">
        <f>IF($P52="","",IFERROR(IF(INDEX(MASTER!$J$4:$J$1463,$P52)="","",INDEX(MASTER!$J$4:$J$1463,$P52)),""))</f>
        <v>DEVELOPING</v>
      </c>
      <c r="J52" s="21">
        <f>IF($P52="","",IFERROR(IF(INDEX(MASTER!$L$4:$L$1463,$P52)="","",INDEX(MASTER!$L$4:$L$1463,$P52)),""))</f>
        <v>3.25</v>
      </c>
      <c r="K52" s="21">
        <f>IF($P52="","",IFERROR(IF(INDEX(MASTER!$N$4:$N$1463,$P52)="","",INDEX(MASTER!$N$4:$N$1463,$P52)),""))</f>
        <v>24.8</v>
      </c>
      <c r="L52" s="19" t="str">
        <f>IF($P52="","",IFERROR(IF(INDEX(MASTER!$O$4:$O$1463,$P52)="","",INDEX(MASTER!$O$4:$O$1463,$P52)),""))</f>
        <v>C</v>
      </c>
      <c r="M52" s="19">
        <f>IF($P52="","",IFERROR(IF(INDEX(MASTER!$Q$4:$Q$1463,$P52)="","",INDEX(MASTER!$Q$4:$Q$1463,$P52)),""))</f>
        <v>53</v>
      </c>
      <c r="N52" s="19" t="str">
        <f>IF($P52="","",IFERROR(IF(INDEX(MASTER!$S$4:$S$1463,$P52)="","",INDEX(MASTER!$S$4:$S$1463,$P52)),""))</f>
        <v>Complete</v>
      </c>
      <c r="P52">
        <f>IFERROR(MATCH($Q$1&amp;"@44",MASTER!$AC$4:$AC$1463,0),"")</f>
        <v>633</v>
      </c>
    </row>
    <row r="53" spans="1:16">
      <c r="A53" s="15">
        <f>IF($P53="","",45)</f>
        <v>45</v>
      </c>
      <c r="B53" s="14" t="str">
        <f>IF($P53="","",IFERROR(IF(INDEX(MASTER!$C$4:$C$1463,$P53)="","",INDEX(MASTER!$C$4:$C$1463,$P53)),""))</f>
        <v>Kylora</v>
      </c>
      <c r="C53" s="15" t="str">
        <f>IF($P53="","",IFERROR(IF(INDEX(MASTER!$D$4:$D$1463,$P53)="","",INDEX(MASTER!$D$4:$D$1463,$P53)),""))</f>
        <v/>
      </c>
      <c r="D53" s="15" t="str">
        <f>IF($P53="","",IFERROR(IF(INDEX(MASTER!$E$4:$E$1463,$P53)="","",INDEX(MASTER!$E$4:$E$1463,$P53)),""))</f>
        <v>TEMPEST</v>
      </c>
      <c r="E53" s="15" t="str">
        <f>IF($P53="","",IFERROR(IF(INDEX(MASTER!$F$4:$F$1463,$P53)="","",INDEX(MASTER!$F$4:$F$1463,$P53)),""))</f>
        <v>Melee DPS</v>
      </c>
      <c r="F53" s="16">
        <f>IF($P53="","",IFERROR(IF(INDEX(MASTER!$G$4:$G$1463,$P53)="","",INDEX(MASTER!$G$4:$G$1463,$P53)),""))</f>
        <v>58508</v>
      </c>
      <c r="G53" s="15" t="str">
        <f>IF($P53="","",IFERROR(IF(INDEX(MASTER!$H$4:$H$1463,$P53)="","",INDEX(MASTER!$H$4:$H$1463,$P53)),""))</f>
        <v>58,000 - 59,999</v>
      </c>
      <c r="H53" s="16">
        <f>IF($P53="","",IFERROR(IF(INDEX(MASTER!$I$4:$I$1463,$P53)="","",INDEX(MASTER!$I$4:$I$1463,$P53)),""))</f>
        <v>918</v>
      </c>
      <c r="I53" s="15" t="str">
        <f>IF($P53="","",IFERROR(IF(INDEX(MASTER!$J$4:$J$1463,$P53)="","",INDEX(MASTER!$J$4:$J$1463,$P53)),""))</f>
        <v>ROOKIE</v>
      </c>
      <c r="J53" s="17">
        <f>IF($P53="","",IFERROR(IF(INDEX(MASTER!$L$4:$L$1463,$P53)="","",INDEX(MASTER!$L$4:$L$1463,$P53)),""))</f>
        <v>3</v>
      </c>
      <c r="K53" s="17">
        <f>IF($P53="","",IFERROR(IF(INDEX(MASTER!$N$4:$N$1463,$P53)="","",INDEX(MASTER!$N$4:$N$1463,$P53)),""))</f>
        <v>18.2</v>
      </c>
      <c r="L53" s="15" t="str">
        <f>IF($P53="","",IFERROR(IF(INDEX(MASTER!$O$4:$O$1463,$P53)="","",INDEX(MASTER!$O$4:$O$1463,$P53)),""))</f>
        <v>D</v>
      </c>
      <c r="M53" s="15">
        <f>IF($P53="","",IFERROR(IF(INDEX(MASTER!$Q$4:$Q$1463,$P53)="","",INDEX(MASTER!$Q$4:$Q$1463,$P53)),""))</f>
        <v>87</v>
      </c>
      <c r="N53" s="15" t="str">
        <f>IF($P53="","",IFERROR(IF(INDEX(MASTER!$S$4:$S$1463,$P53)="","",INDEX(MASTER!$S$4:$S$1463,$P53)),""))</f>
        <v>Complete</v>
      </c>
      <c r="P53">
        <f>IFERROR(MATCH($Q$1&amp;"@45",MASTER!$AC$4:$AC$1463,0),"")</f>
        <v>638</v>
      </c>
    </row>
    <row r="54" spans="1:16">
      <c r="A54" s="19">
        <f>IF($P54="","",46)</f>
        <v>46</v>
      </c>
      <c r="B54" s="18" t="str">
        <f>IF($P54="","",IFERROR(IF(INDEX(MASTER!$C$4:$C$1463,$P54)="","",INDEX(MASTER!$C$4:$C$1463,$P54)),""))</f>
        <v>LilPoundcake</v>
      </c>
      <c r="C54" s="19" t="str">
        <f>IF($P54="","",IFERROR(IF(INDEX(MASTER!$D$4:$D$1463,$P54)="","",INDEX(MASTER!$D$4:$D$1463,$P54)),""))</f>
        <v/>
      </c>
      <c r="D54" s="19" t="str">
        <f>IF($P54="","",IFERROR(IF(INDEX(MASTER!$E$4:$E$1463,$P54)="","",INDEX(MASTER!$E$4:$E$1463,$P54)),""))</f>
        <v>WIZARD</v>
      </c>
      <c r="E54" s="19" t="str">
        <f>IF($P54="","",IFERROR(IF(INDEX(MASTER!$F$4:$F$1463,$P54)="","",INDEX(MASTER!$F$4:$F$1463,$P54)),""))</f>
        <v>Ranged DPS</v>
      </c>
      <c r="F54" s="20">
        <f>IF($P54="","",IFERROR(IF(INDEX(MASTER!$G$4:$G$1463,$P54)="","",INDEX(MASTER!$G$4:$G$1463,$P54)),""))</f>
        <v>61964</v>
      </c>
      <c r="G54" s="19" t="str">
        <f>IF($P54="","",IFERROR(IF(INDEX(MASTER!$H$4:$H$1463,$P54)="","",INDEX(MASTER!$H$4:$H$1463,$P54)),""))</f>
        <v>61,000 - 61,999</v>
      </c>
      <c r="H54" s="20">
        <f>IF($P54="","",IFERROR(IF(INDEX(MASTER!$I$4:$I$1463,$P54)="","",INDEX(MASTER!$I$4:$I$1463,$P54)),""))</f>
        <v>5102</v>
      </c>
      <c r="I54" s="19" t="str">
        <f>IF($P54="","",IFERROR(IF(INDEX(MASTER!$J$4:$J$1463,$P54)="","",INDEX(MASTER!$J$4:$J$1463,$P54)),""))</f>
        <v>CORE</v>
      </c>
      <c r="J54" s="21">
        <f>IF($P54="","",IFERROR(IF(INDEX(MASTER!$L$4:$L$1463,$P54)="","",INDEX(MASTER!$L$4:$L$1463,$P54)),""))</f>
        <v>5.67</v>
      </c>
      <c r="K54" s="21">
        <f>IF($P54="","",IFERROR(IF(INDEX(MASTER!$N$4:$N$1463,$P54)="","",INDEX(MASTER!$N$4:$N$1463,$P54)),""))</f>
        <v>50</v>
      </c>
      <c r="L54" s="19" t="str">
        <f>IF($P54="","",IFERROR(IF(INDEX(MASTER!$O$4:$O$1463,$P54)="","",INDEX(MASTER!$O$4:$O$1463,$P54)),""))</f>
        <v>A</v>
      </c>
      <c r="M54" s="19">
        <f>IF($P54="","",IFERROR(IF(INDEX(MASTER!$Q$4:$Q$1463,$P54)="","",INDEX(MASTER!$Q$4:$Q$1463,$P54)),""))</f>
        <v>3</v>
      </c>
      <c r="N54" s="19" t="str">
        <f>IF($P54="","",IFERROR(IF(INDEX(MASTER!$S$4:$S$1463,$P54)="","",INDEX(MASTER!$S$4:$S$1463,$P54)),""))</f>
        <v>Complete</v>
      </c>
      <c r="P54">
        <f>IFERROR(MATCH($Q$1&amp;"@46",MASTER!$AC$4:$AC$1463,0),"")</f>
        <v>670</v>
      </c>
    </row>
    <row r="55" spans="1:16">
      <c r="A55" s="15">
        <f>IF($P55="","",47)</f>
        <v>47</v>
      </c>
      <c r="B55" s="14" t="str">
        <f>IF($P55="","",IFERROR(IF(INDEX(MASTER!$C$4:$C$1463,$P55)="","",INDEX(MASTER!$C$4:$C$1463,$P55)),""))</f>
        <v>LittleNicky</v>
      </c>
      <c r="C55" s="15" t="str">
        <f>IF($P55="","",IFERROR(IF(INDEX(MASTER!$D$4:$D$1463,$P55)="","",INDEX(MASTER!$D$4:$D$1463,$P55)),""))</f>
        <v/>
      </c>
      <c r="D55" s="15" t="str">
        <f>IF($P55="","",IFERROR(IF(INDEX(MASTER!$E$4:$E$1463,$P55)="","",INDEX(MASTER!$E$4:$E$1463,$P55)),""))</f>
        <v>WARLOCK</v>
      </c>
      <c r="E55" s="15" t="str">
        <f>IF($P55="","",IFERROR(IF(INDEX(MASTER!$F$4:$F$1463,$P55)="","",INDEX(MASTER!$F$4:$F$1463,$P55)),""))</f>
        <v>Control</v>
      </c>
      <c r="F55" s="16">
        <f>IF($P55="","",IFERROR(IF(INDEX(MASTER!$G$4:$G$1463,$P55)="","",INDEX(MASTER!$G$4:$G$1463,$P55)),""))</f>
        <v>61796</v>
      </c>
      <c r="G55" s="15" t="str">
        <f>IF($P55="","",IFERROR(IF(INDEX(MASTER!$H$4:$H$1463,$P55)="","",INDEX(MASTER!$H$4:$H$1463,$P55)),""))</f>
        <v>61,000 - 61,999</v>
      </c>
      <c r="H55" s="16">
        <f>IF($P55="","",IFERROR(IF(INDEX(MASTER!$I$4:$I$1463,$P55)="","",INDEX(MASTER!$I$4:$I$1463,$P55)),""))</f>
        <v>2564</v>
      </c>
      <c r="I55" s="15" t="str">
        <f>IF($P55="","",IFERROR(IF(INDEX(MASTER!$J$4:$J$1463,$P55)="","",INDEX(MASTER!$J$4:$J$1463,$P55)),""))</f>
        <v>DEVELOPING</v>
      </c>
      <c r="J55" s="17">
        <f>IF($P55="","",IFERROR(IF(INDEX(MASTER!$L$4:$L$1463,$P55)="","",INDEX(MASTER!$L$4:$L$1463,$P55)),""))</f>
        <v>4.4000000000000004</v>
      </c>
      <c r="K55" s="17">
        <f>IF($P55="","",IFERROR(IF(INDEX(MASTER!$N$4:$N$1463,$P55)="","",INDEX(MASTER!$N$4:$N$1463,$P55)),""))</f>
        <v>36.4</v>
      </c>
      <c r="L55" s="15" t="str">
        <f>IF($P55="","",IFERROR(IF(INDEX(MASTER!$O$4:$O$1463,$P55)="","",INDEX(MASTER!$O$4:$O$1463,$P55)),""))</f>
        <v>B</v>
      </c>
      <c r="M55" s="15">
        <f>IF($P55="","",IFERROR(IF(INDEX(MASTER!$Q$4:$Q$1463,$P55)="","",INDEX(MASTER!$Q$4:$Q$1463,$P55)),""))</f>
        <v>38</v>
      </c>
      <c r="N55" s="15" t="str">
        <f>IF($P55="","",IFERROR(IF(INDEX(MASTER!$S$4:$S$1463,$P55)="","",INDEX(MASTER!$S$4:$S$1463,$P55)),""))</f>
        <v>Complete</v>
      </c>
      <c r="P55">
        <f>IFERROR(MATCH($Q$1&amp;"@47",MASTER!$AC$4:$AC$1463,0),"")</f>
        <v>673</v>
      </c>
    </row>
    <row r="56" spans="1:16">
      <c r="A56" s="19">
        <f>IF($P56="","",48)</f>
        <v>48</v>
      </c>
      <c r="B56" s="18" t="str">
        <f>IF($P56="","",IFERROR(IF(INDEX(MASTER!$C$4:$C$1463,$P56)="","",INDEX(MASTER!$C$4:$C$1463,$P56)),""))</f>
        <v>LordPoundcake</v>
      </c>
      <c r="C56" s="19" t="str">
        <f>IF($P56="","",IFERROR(IF(INDEX(MASTER!$D$4:$D$1463,$P56)="","",INDEX(MASTER!$D$4:$D$1463,$P56)),""))</f>
        <v/>
      </c>
      <c r="D56" s="19" t="str">
        <f>IF($P56="","",IFERROR(IF(INDEX(MASTER!$E$4:$E$1463,$P56)="","",INDEX(MASTER!$E$4:$E$1463,$P56)),""))</f>
        <v>NECROMANCER</v>
      </c>
      <c r="E56" s="19" t="str">
        <f>IF($P56="","",IFERROR(IF(INDEX(MASTER!$F$4:$F$1463,$P56)="","",INDEX(MASTER!$F$4:$F$1463,$P56)),""))</f>
        <v>Control</v>
      </c>
      <c r="F56" s="20">
        <f>IF($P56="","",IFERROR(IF(INDEX(MASTER!$G$4:$G$1463,$P56)="","",INDEX(MASTER!$G$4:$G$1463,$P56)),""))</f>
        <v>60692</v>
      </c>
      <c r="G56" s="19" t="str">
        <f>IF($P56="","",IFERROR(IF(INDEX(MASTER!$H$4:$H$1463,$P56)="","",INDEX(MASTER!$H$4:$H$1463,$P56)),""))</f>
        <v>60,000 - 60,999</v>
      </c>
      <c r="H56" s="20">
        <f>IF($P56="","",IFERROR(IF(INDEX(MASTER!$I$4:$I$1463,$P56)="","",INDEX(MASTER!$I$4:$I$1463,$P56)),""))</f>
        <v>1639</v>
      </c>
      <c r="I56" s="19" t="str">
        <f>IF($P56="","",IFERROR(IF(INDEX(MASTER!$J$4:$J$1463,$P56)="","",INDEX(MASTER!$J$4:$J$1463,$P56)),""))</f>
        <v>ROOKIE</v>
      </c>
      <c r="J56" s="21">
        <f>IF($P56="","",IFERROR(IF(INDEX(MASTER!$L$4:$L$1463,$P56)="","",INDEX(MASTER!$L$4:$L$1463,$P56)),""))</f>
        <v>3.5</v>
      </c>
      <c r="K56" s="21">
        <f>IF($P56="","",IFERROR(IF(INDEX(MASTER!$N$4:$N$1463,$P56)="","",INDEX(MASTER!$N$4:$N$1463,$P56)),""))</f>
        <v>28</v>
      </c>
      <c r="L56" s="19" t="str">
        <f>IF($P56="","",IFERROR(IF(INDEX(MASTER!$O$4:$O$1463,$P56)="","",INDEX(MASTER!$O$4:$O$1463,$P56)),""))</f>
        <v>C</v>
      </c>
      <c r="M56" s="19">
        <f>IF($P56="","",IFERROR(IF(INDEX(MASTER!$Q$4:$Q$1463,$P56)="","",INDEX(MASTER!$Q$4:$Q$1463,$P56)),""))</f>
        <v>66</v>
      </c>
      <c r="N56" s="19" t="str">
        <f>IF($P56="","",IFERROR(IF(INDEX(MASTER!$S$4:$S$1463,$P56)="","",INDEX(MASTER!$S$4:$S$1463,$P56)),""))</f>
        <v>Complete</v>
      </c>
      <c r="P56">
        <f>IFERROR(MATCH($Q$1&amp;"@48",MASTER!$AC$4:$AC$1463,0),"")</f>
        <v>682</v>
      </c>
    </row>
    <row r="57" spans="1:16">
      <c r="A57" s="15">
        <f>IF($P57="","",49)</f>
        <v>49</v>
      </c>
      <c r="B57" s="14" t="str">
        <f>IF($P57="","",IFERROR(IF(INDEX(MASTER!$C$4:$C$1463,$P57)="","",INDEX(MASTER!$C$4:$C$1463,$P57)),""))</f>
        <v>Luvjazzonme</v>
      </c>
      <c r="C57" s="15" t="str">
        <f>IF($P57="","",IFERROR(IF(INDEX(MASTER!$D$4:$D$1463,$P57)="","",INDEX(MASTER!$D$4:$D$1463,$P57)),""))</f>
        <v/>
      </c>
      <c r="D57" s="15" t="str">
        <f>IF($P57="","",IFERROR(IF(INDEX(MASTER!$E$4:$E$1463,$P57)="","",INDEX(MASTER!$E$4:$E$1463,$P57)),""))</f>
        <v>MONK</v>
      </c>
      <c r="E57" s="15" t="str">
        <f>IF($P57="","",IFERROR(IF(INDEX(MASTER!$F$4:$F$1463,$P57)="","",INDEX(MASTER!$F$4:$F$1463,$P57)),""))</f>
        <v>Support</v>
      </c>
      <c r="F57" s="16">
        <f>IF($P57="","",IFERROR(IF(INDEX(MASTER!$G$4:$G$1463,$P57)="","",INDEX(MASTER!$G$4:$G$1463,$P57)),""))</f>
        <v>61827</v>
      </c>
      <c r="G57" s="15" t="str">
        <f>IF($P57="","",IFERROR(IF(INDEX(MASTER!$H$4:$H$1463,$P57)="","",INDEX(MASTER!$H$4:$H$1463,$P57)),""))</f>
        <v>61,000 - 61,999</v>
      </c>
      <c r="H57" s="16">
        <f>IF($P57="","",IFERROR(IF(INDEX(MASTER!$I$4:$I$1463,$P57)="","",INDEX(MASTER!$I$4:$I$1463,$P57)),""))</f>
        <v>2622</v>
      </c>
      <c r="I57" s="15" t="str">
        <f>IF($P57="","",IFERROR(IF(INDEX(MASTER!$J$4:$J$1463,$P57)="","",INDEX(MASTER!$J$4:$J$1463,$P57)),""))</f>
        <v>DEVELOPING</v>
      </c>
      <c r="J57" s="17">
        <f>IF($P57="","",IFERROR(IF(INDEX(MASTER!$L$4:$L$1463,$P57)="","",INDEX(MASTER!$L$4:$L$1463,$P57)),""))</f>
        <v>3.85</v>
      </c>
      <c r="K57" s="17">
        <f>IF($P57="","",IFERROR(IF(INDEX(MASTER!$N$4:$N$1463,$P57)="","",INDEX(MASTER!$N$4:$N$1463,$P57)),""))</f>
        <v>35.799999999999997</v>
      </c>
      <c r="L57" s="15" t="str">
        <f>IF($P57="","",IFERROR(IF(INDEX(MASTER!$O$4:$O$1463,$P57)="","",INDEX(MASTER!$O$4:$O$1463,$P57)),""))</f>
        <v>B</v>
      </c>
      <c r="M57" s="15">
        <f>IF($P57="","",IFERROR(IF(INDEX(MASTER!$Q$4:$Q$1463,$P57)="","",INDEX(MASTER!$Q$4:$Q$1463,$P57)),""))</f>
        <v>33</v>
      </c>
      <c r="N57" s="15" t="str">
        <f>IF($P57="","",IFERROR(IF(INDEX(MASTER!$S$4:$S$1463,$P57)="","",INDEX(MASTER!$S$4:$S$1463,$P57)),""))</f>
        <v>Complete</v>
      </c>
      <c r="P57">
        <f>IFERROR(MATCH($Q$1&amp;"@49",MASTER!$AC$4:$AC$1463,0),"")</f>
        <v>698</v>
      </c>
    </row>
    <row r="58" spans="1:16">
      <c r="A58" s="19">
        <f>IF($P58="","",50)</f>
        <v>50</v>
      </c>
      <c r="B58" s="18" t="str">
        <f>IF($P58="","",IFERROR(IF(INDEX(MASTER!$C$4:$C$1463,$P58)="","",INDEX(MASTER!$C$4:$C$1463,$P58)),""))</f>
        <v>MADC</v>
      </c>
      <c r="C58" s="19" t="str">
        <f>IF($P58="","",IFERROR(IF(INDEX(MASTER!$D$4:$D$1463,$P58)="","",INDEX(MASTER!$D$4:$D$1463,$P58)),""))</f>
        <v/>
      </c>
      <c r="D58" s="19" t="str">
        <f>IF($P58="","",IFERROR(IF(INDEX(MASTER!$E$4:$E$1463,$P58)="","",INDEX(MASTER!$E$4:$E$1463,$P58)),""))</f>
        <v>WARLOCK</v>
      </c>
      <c r="E58" s="19" t="str">
        <f>IF($P58="","",IFERROR(IF(INDEX(MASTER!$F$4:$F$1463,$P58)="","",INDEX(MASTER!$F$4:$F$1463,$P58)),""))</f>
        <v>Control</v>
      </c>
      <c r="F58" s="20">
        <f>IF($P58="","",IFERROR(IF(INDEX(MASTER!$G$4:$G$1463,$P58)="","",INDEX(MASTER!$G$4:$G$1463,$P58)),""))</f>
        <v>61825</v>
      </c>
      <c r="G58" s="19" t="str">
        <f>IF($P58="","",IFERROR(IF(INDEX(MASTER!$H$4:$H$1463,$P58)="","",INDEX(MASTER!$H$4:$H$1463,$P58)),""))</f>
        <v>61,000 - 61,999</v>
      </c>
      <c r="H58" s="20">
        <f>IF($P58="","",IFERROR(IF(INDEX(MASTER!$I$4:$I$1463,$P58)="","",INDEX(MASTER!$I$4:$I$1463,$P58)),""))</f>
        <v>2820</v>
      </c>
      <c r="I58" s="19" t="str">
        <f>IF($P58="","",IFERROR(IF(INDEX(MASTER!$J$4:$J$1463,$P58)="","",INDEX(MASTER!$J$4:$J$1463,$P58)),""))</f>
        <v>DEVELOPING</v>
      </c>
      <c r="J58" s="21">
        <f>IF($P58="","",IFERROR(IF(INDEX(MASTER!$L$4:$L$1463,$P58)="","",INDEX(MASTER!$L$4:$L$1463,$P58)),""))</f>
        <v>4.5999999999999996</v>
      </c>
      <c r="K58" s="21">
        <f>IF($P58="","",IFERROR(IF(INDEX(MASTER!$N$4:$N$1463,$P58)="","",INDEX(MASTER!$N$4:$N$1463,$P58)),""))</f>
        <v>37.9</v>
      </c>
      <c r="L58" s="19" t="str">
        <f>IF($P58="","",IFERROR(IF(INDEX(MASTER!$O$4:$O$1463,$P58)="","",INDEX(MASTER!$O$4:$O$1463,$P58)),""))</f>
        <v>B</v>
      </c>
      <c r="M58" s="19">
        <f>IF($P58="","",IFERROR(IF(INDEX(MASTER!$Q$4:$Q$1463,$P58)="","",INDEX(MASTER!$Q$4:$Q$1463,$P58)),""))</f>
        <v>27</v>
      </c>
      <c r="N58" s="19" t="str">
        <f>IF($P58="","",IFERROR(IF(INDEX(MASTER!$S$4:$S$1463,$P58)="","",INDEX(MASTER!$S$4:$S$1463,$P58)),""))</f>
        <v>Complete</v>
      </c>
      <c r="P58">
        <f>IFERROR(MATCH($Q$1&amp;"@50",MASTER!$AC$4:$AC$1463,0),"")</f>
        <v>713</v>
      </c>
    </row>
    <row r="59" spans="1:16">
      <c r="A59" s="15">
        <f>IF($P59="","",51)</f>
        <v>51</v>
      </c>
      <c r="B59" s="14" t="str">
        <f>IF($P59="","",IFERROR(IF(INDEX(MASTER!$C$4:$C$1463,$P59)="","",INDEX(MASTER!$C$4:$C$1463,$P59)),""))</f>
        <v>MadMardegen</v>
      </c>
      <c r="C59" s="15" t="str">
        <f>IF($P59="","",IFERROR(IF(INDEX(MASTER!$D$4:$D$1463,$P59)="","",INDEX(MASTER!$D$4:$D$1463,$P59)),""))</f>
        <v/>
      </c>
      <c r="D59" s="15" t="str">
        <f>IF($P59="","",IFERROR(IF(INDEX(MASTER!$E$4:$E$1463,$P59)="","",INDEX(MASTER!$E$4:$E$1463,$P59)),""))</f>
        <v>DEMON HUNTER</v>
      </c>
      <c r="E59" s="15" t="str">
        <f>IF($P59="","",IFERROR(IF(INDEX(MASTER!$F$4:$F$1463,$P59)="","",INDEX(MASTER!$F$4:$F$1463,$P59)),""))</f>
        <v>Ranged DPS</v>
      </c>
      <c r="F59" s="16">
        <f>IF($P59="","",IFERROR(IF(INDEX(MASTER!$G$4:$G$1463,$P59)="","",INDEX(MASTER!$G$4:$G$1463,$P59)),""))</f>
        <v>61204</v>
      </c>
      <c r="G59" s="15" t="str">
        <f>IF($P59="","",IFERROR(IF(INDEX(MASTER!$H$4:$H$1463,$P59)="","",INDEX(MASTER!$H$4:$H$1463,$P59)),""))</f>
        <v>61,000 - 61,999</v>
      </c>
      <c r="H59" s="16">
        <f>IF($P59="","",IFERROR(IF(INDEX(MASTER!$I$4:$I$1463,$P59)="","",INDEX(MASTER!$I$4:$I$1463,$P59)),""))</f>
        <v>2580</v>
      </c>
      <c r="I59" s="15" t="str">
        <f>IF($P59="","",IFERROR(IF(INDEX(MASTER!$J$4:$J$1463,$P59)="","",INDEX(MASTER!$J$4:$J$1463,$P59)),""))</f>
        <v>DEVELOPING</v>
      </c>
      <c r="J59" s="17">
        <f>IF($P59="","",IFERROR(IF(INDEX(MASTER!$L$4:$L$1463,$P59)="","",INDEX(MASTER!$L$4:$L$1463,$P59)),""))</f>
        <v>3.2</v>
      </c>
      <c r="K59" s="17">
        <f>IF($P59="","",IFERROR(IF(INDEX(MASTER!$N$4:$N$1463,$P59)="","",INDEX(MASTER!$N$4:$N$1463,$P59)),""))</f>
        <v>32.9</v>
      </c>
      <c r="L59" s="15" t="str">
        <f>IF($P59="","",IFERROR(IF(INDEX(MASTER!$O$4:$O$1463,$P59)="","",INDEX(MASTER!$O$4:$O$1463,$P59)),""))</f>
        <v>C</v>
      </c>
      <c r="M59" s="15">
        <f>IF($P59="","",IFERROR(IF(INDEX(MASTER!$Q$4:$Q$1463,$P59)="","",INDEX(MASTER!$Q$4:$Q$1463,$P59)),""))</f>
        <v>35</v>
      </c>
      <c r="N59" s="15" t="str">
        <f>IF($P59="","",IFERROR(IF(INDEX(MASTER!$S$4:$S$1463,$P59)="","",INDEX(MASTER!$S$4:$S$1463,$P59)),""))</f>
        <v>Complete</v>
      </c>
      <c r="P59">
        <f>IFERROR(MATCH($Q$1&amp;"@51",MASTER!$AC$4:$AC$1463,0),"")</f>
        <v>716</v>
      </c>
    </row>
    <row r="60" spans="1:16">
      <c r="A60" s="19">
        <f>IF($P60="","",52)</f>
        <v>52</v>
      </c>
      <c r="B60" s="18" t="str">
        <f>IF($P60="","",IFERROR(IF(INDEX(MASTER!$C$4:$C$1463,$P60)="","",INDEX(MASTER!$C$4:$C$1463,$P60)),""))</f>
        <v>Maguz</v>
      </c>
      <c r="C60" s="19" t="str">
        <f>IF($P60="","",IFERROR(IF(INDEX(MASTER!$D$4:$D$1463,$P60)="","",INDEX(MASTER!$D$4:$D$1463,$P60)),""))</f>
        <v/>
      </c>
      <c r="D60" s="19" t="str">
        <f>IF($P60="","",IFERROR(IF(INDEX(MASTER!$E$4:$E$1463,$P60)="","",INDEX(MASTER!$E$4:$E$1463,$P60)),""))</f>
        <v>DEMON HUNTER</v>
      </c>
      <c r="E60" s="19" t="str">
        <f>IF($P60="","",IFERROR(IF(INDEX(MASTER!$F$4:$F$1463,$P60)="","",INDEX(MASTER!$F$4:$F$1463,$P60)),""))</f>
        <v>Ranged DPS</v>
      </c>
      <c r="F60" s="20">
        <f>IF($P60="","",IFERROR(IF(INDEX(MASTER!$G$4:$G$1463,$P60)="","",INDEX(MASTER!$G$4:$G$1463,$P60)),""))</f>
        <v>59101</v>
      </c>
      <c r="G60" s="19" t="str">
        <f>IF($P60="","",IFERROR(IF(INDEX(MASTER!$H$4:$H$1463,$P60)="","",INDEX(MASTER!$H$4:$H$1463,$P60)),""))</f>
        <v>58,000 - 59,999</v>
      </c>
      <c r="H60" s="20">
        <f>IF($P60="","",IFERROR(IF(INDEX(MASTER!$I$4:$I$1463,$P60)="","",INDEX(MASTER!$I$4:$I$1463,$P60)),""))</f>
        <v>1430</v>
      </c>
      <c r="I60" s="19" t="str">
        <f>IF($P60="","",IFERROR(IF(INDEX(MASTER!$J$4:$J$1463,$P60)="","",INDEX(MASTER!$J$4:$J$1463,$P60)),""))</f>
        <v>ROOKIE</v>
      </c>
      <c r="J60" s="21">
        <f>IF($P60="","",IFERROR(IF(INDEX(MASTER!$L$4:$L$1463,$P60)="","",INDEX(MASTER!$L$4:$L$1463,$P60)),""))</f>
        <v>3.15</v>
      </c>
      <c r="K60" s="21">
        <f>IF($P60="","",IFERROR(IF(INDEX(MASTER!$N$4:$N$1463,$P60)="","",INDEX(MASTER!$N$4:$N$1463,$P60)),""))</f>
        <v>22.3</v>
      </c>
      <c r="L60" s="19" t="str">
        <f>IF($P60="","",IFERROR(IF(INDEX(MASTER!$O$4:$O$1463,$P60)="","",INDEX(MASTER!$O$4:$O$1463,$P60)),""))</f>
        <v>C</v>
      </c>
      <c r="M60" s="19">
        <f>IF($P60="","",IFERROR(IF(INDEX(MASTER!$Q$4:$Q$1463,$P60)="","",INDEX(MASTER!$Q$4:$Q$1463,$P60)),""))</f>
        <v>73</v>
      </c>
      <c r="N60" s="19" t="str">
        <f>IF($P60="","",IFERROR(IF(INDEX(MASTER!$S$4:$S$1463,$P60)="","",INDEX(MASTER!$S$4:$S$1463,$P60)),""))</f>
        <v>Complete</v>
      </c>
      <c r="P60">
        <f>IFERROR(MATCH($Q$1&amp;"@52",MASTER!$AC$4:$AC$1463,0),"")</f>
        <v>719</v>
      </c>
    </row>
    <row r="61" spans="1:16">
      <c r="A61" s="15">
        <f>IF($P61="","",53)</f>
        <v>53</v>
      </c>
      <c r="B61" s="14" t="str">
        <f>IF($P61="","",IFERROR(IF(INDEX(MASTER!$C$4:$C$1463,$P61)="","",INDEX(MASTER!$C$4:$C$1463,$P61)),""))</f>
        <v>Maximus1</v>
      </c>
      <c r="C61" s="15" t="str">
        <f>IF($P61="","",IFERROR(IF(INDEX(MASTER!$D$4:$D$1463,$P61)="","",INDEX(MASTER!$D$4:$D$1463,$P61)),""))</f>
        <v/>
      </c>
      <c r="D61" s="15" t="str">
        <f>IF($P61="","",IFERROR(IF(INDEX(MASTER!$E$4:$E$1463,$P61)="","",INDEX(MASTER!$E$4:$E$1463,$P61)),""))</f>
        <v>NECROMANCER</v>
      </c>
      <c r="E61" s="15" t="str">
        <f>IF($P61="","",IFERROR(IF(INDEX(MASTER!$F$4:$F$1463,$P61)="","",INDEX(MASTER!$F$4:$F$1463,$P61)),""))</f>
        <v>Control</v>
      </c>
      <c r="F61" s="16">
        <f>IF($P61="","",IFERROR(IF(INDEX(MASTER!$G$4:$G$1463,$P61)="","",INDEX(MASTER!$G$4:$G$1463,$P61)),""))</f>
        <v>61628</v>
      </c>
      <c r="G61" s="15" t="str">
        <f>IF($P61="","",IFERROR(IF(INDEX(MASTER!$H$4:$H$1463,$P61)="","",INDEX(MASTER!$H$4:$H$1463,$P61)),""))</f>
        <v>61,000 - 61,999</v>
      </c>
      <c r="H61" s="16">
        <f>IF($P61="","",IFERROR(IF(INDEX(MASTER!$I$4:$I$1463,$P61)="","",INDEX(MASTER!$I$4:$I$1463,$P61)),""))</f>
        <v>2818</v>
      </c>
      <c r="I61" s="15" t="str">
        <f>IF($P61="","",IFERROR(IF(INDEX(MASTER!$J$4:$J$1463,$P61)="","",INDEX(MASTER!$J$4:$J$1463,$P61)),""))</f>
        <v>DEVELOPING</v>
      </c>
      <c r="J61" s="17">
        <f>IF($P61="","",IFERROR(IF(INDEX(MASTER!$L$4:$L$1463,$P61)="","",INDEX(MASTER!$L$4:$L$1463,$P61)),""))</f>
        <v>4.6500000000000004</v>
      </c>
      <c r="K61" s="17">
        <f>IF($P61="","",IFERROR(IF(INDEX(MASTER!$N$4:$N$1463,$P61)="","",INDEX(MASTER!$N$4:$N$1463,$P61)),""))</f>
        <v>37.5</v>
      </c>
      <c r="L61" s="15" t="str">
        <f>IF($P61="","",IFERROR(IF(INDEX(MASTER!$O$4:$O$1463,$P61)="","",INDEX(MASTER!$O$4:$O$1463,$P61)),""))</f>
        <v>B</v>
      </c>
      <c r="M61" s="15">
        <f>IF($P61="","",IFERROR(IF(INDEX(MASTER!$Q$4:$Q$1463,$P61)="","",INDEX(MASTER!$Q$4:$Q$1463,$P61)),""))</f>
        <v>28</v>
      </c>
      <c r="N61" s="15" t="str">
        <f>IF($P61="","",IFERROR(IF(INDEX(MASTER!$S$4:$S$1463,$P61)="","",INDEX(MASTER!$S$4:$S$1463,$P61)),""))</f>
        <v>Complete</v>
      </c>
      <c r="P61">
        <f>IFERROR(MATCH($Q$1&amp;"@53",MASTER!$AC$4:$AC$1463,0),"")</f>
        <v>737</v>
      </c>
    </row>
    <row r="62" spans="1:16">
      <c r="A62" s="19">
        <f>IF($P62="","",54)</f>
        <v>54</v>
      </c>
      <c r="B62" s="18" t="str">
        <f>IF($P62="","",IFERROR(IF(INDEX(MASTER!$C$4:$C$1463,$P62)="","",INDEX(MASTER!$C$4:$C$1463,$P62)),""))</f>
        <v>MegaRomik</v>
      </c>
      <c r="C62" s="19" t="str">
        <f>IF($P62="","",IFERROR(IF(INDEX(MASTER!$D$4:$D$1463,$P62)="","",INDEX(MASTER!$D$4:$D$1463,$P62)),""))</f>
        <v/>
      </c>
      <c r="D62" s="19" t="str">
        <f>IF($P62="","",IFERROR(IF(INDEX(MASTER!$E$4:$E$1463,$P62)="","",INDEX(MASTER!$E$4:$E$1463,$P62)),""))</f>
        <v>BLOOD KNIGHT</v>
      </c>
      <c r="E62" s="19" t="str">
        <f>IF($P62="","",IFERROR(IF(INDEX(MASTER!$F$4:$F$1463,$P62)="","",INDEX(MASTER!$F$4:$F$1463,$P62)),""))</f>
        <v>Frontline</v>
      </c>
      <c r="F62" s="20">
        <f>IF($P62="","",IFERROR(IF(INDEX(MASTER!$G$4:$G$1463,$P62)="","",INDEX(MASTER!$G$4:$G$1463,$P62)),""))</f>
        <v>62024</v>
      </c>
      <c r="G62" s="19" t="str">
        <f>IF($P62="","",IFERROR(IF(INDEX(MASTER!$H$4:$H$1463,$P62)="","",INDEX(MASTER!$H$4:$H$1463,$P62)),""))</f>
        <v>62,000 - 62,999</v>
      </c>
      <c r="H62" s="20">
        <f>IF($P62="","",IFERROR(IF(INDEX(MASTER!$I$4:$I$1463,$P62)="","",INDEX(MASTER!$I$4:$I$1463,$P62)),""))</f>
        <v>4165</v>
      </c>
      <c r="I62" s="19" t="str">
        <f>IF($P62="","",IFERROR(IF(INDEX(MASTER!$J$4:$J$1463,$P62)="","",INDEX(MASTER!$J$4:$J$1463,$P62)),""))</f>
        <v>CORE</v>
      </c>
      <c r="J62" s="21">
        <f>IF($P62="","",IFERROR(IF(INDEX(MASTER!$L$4:$L$1463,$P62)="","",INDEX(MASTER!$L$4:$L$1463,$P62)),""))</f>
        <v>4.63</v>
      </c>
      <c r="K62" s="21">
        <f>IF($P62="","",IFERROR(IF(INDEX(MASTER!$N$4:$N$1463,$P62)="","",INDEX(MASTER!$N$4:$N$1463,$P62)),""))</f>
        <v>44.4</v>
      </c>
      <c r="L62" s="19" t="str">
        <f>IF($P62="","",IFERROR(IF(INDEX(MASTER!$O$4:$O$1463,$P62)="","",INDEX(MASTER!$O$4:$O$1463,$P62)),""))</f>
        <v>B</v>
      </c>
      <c r="M62" s="19">
        <f>IF($P62="","",IFERROR(IF(INDEX(MASTER!$Q$4:$Q$1463,$P62)="","",INDEX(MASTER!$Q$4:$Q$1463,$P62)),""))</f>
        <v>12</v>
      </c>
      <c r="N62" s="19" t="str">
        <f>IF($P62="","",IFERROR(IF(INDEX(MASTER!$S$4:$S$1463,$P62)="","",INDEX(MASTER!$S$4:$S$1463,$P62)),""))</f>
        <v>Complete</v>
      </c>
      <c r="P62">
        <f>IFERROR(MATCH($Q$1&amp;"@54",MASTER!$AC$4:$AC$1463,0),"")</f>
        <v>748</v>
      </c>
    </row>
    <row r="63" spans="1:16">
      <c r="A63" s="15">
        <f>IF($P63="","",55)</f>
        <v>55</v>
      </c>
      <c r="B63" s="14" t="str">
        <f>IF($P63="","",IFERROR(IF(INDEX(MASTER!$C$4:$C$1463,$P63)="","",INDEX(MASTER!$C$4:$C$1463,$P63)),""))</f>
        <v>MistressMercy</v>
      </c>
      <c r="C63" s="15" t="str">
        <f>IF($P63="","",IFERROR(IF(INDEX(MASTER!$D$4:$D$1463,$P63)="","",INDEX(MASTER!$D$4:$D$1463,$P63)),""))</f>
        <v/>
      </c>
      <c r="D63" s="15" t="str">
        <f>IF($P63="","",IFERROR(IF(INDEX(MASTER!$E$4:$E$1463,$P63)="","",INDEX(MASTER!$E$4:$E$1463,$P63)),""))</f>
        <v>WARLOCK</v>
      </c>
      <c r="E63" s="15" t="str">
        <f>IF($P63="","",IFERROR(IF(INDEX(MASTER!$F$4:$F$1463,$P63)="","",INDEX(MASTER!$F$4:$F$1463,$P63)),""))</f>
        <v>Control</v>
      </c>
      <c r="F63" s="16">
        <f>IF($P63="","",IFERROR(IF(INDEX(MASTER!$G$4:$G$1463,$P63)="","",INDEX(MASTER!$G$4:$G$1463,$P63)),""))</f>
        <v>62793</v>
      </c>
      <c r="G63" s="15" t="str">
        <f>IF($P63="","",IFERROR(IF(INDEX(MASTER!$H$4:$H$1463,$P63)="","",INDEX(MASTER!$H$4:$H$1463,$P63)),""))</f>
        <v>62,000 - 62,999</v>
      </c>
      <c r="H63" s="16">
        <f>IF($P63="","",IFERROR(IF(INDEX(MASTER!$I$4:$I$1463,$P63)="","",INDEX(MASTER!$I$4:$I$1463,$P63)),""))</f>
        <v>2358</v>
      </c>
      <c r="I63" s="15" t="str">
        <f>IF($P63="","",IFERROR(IF(INDEX(MASTER!$J$4:$J$1463,$P63)="","",INDEX(MASTER!$J$4:$J$1463,$P63)),""))</f>
        <v>DEVELOPING</v>
      </c>
      <c r="J63" s="17">
        <f>IF($P63="","",IFERROR(IF(INDEX(MASTER!$L$4:$L$1463,$P63)="","",INDEX(MASTER!$L$4:$L$1463,$P63)),""))</f>
        <v>3.35</v>
      </c>
      <c r="K63" s="17">
        <f>IF($P63="","",IFERROR(IF(INDEX(MASTER!$N$4:$N$1463,$P63)="","",INDEX(MASTER!$N$4:$N$1463,$P63)),""))</f>
        <v>36.4</v>
      </c>
      <c r="L63" s="15" t="str">
        <f>IF($P63="","",IFERROR(IF(INDEX(MASTER!$O$4:$O$1463,$P63)="","",INDEX(MASTER!$O$4:$O$1463,$P63)),""))</f>
        <v>B</v>
      </c>
      <c r="M63" s="15">
        <f>IF($P63="","",IFERROR(IF(INDEX(MASTER!$Q$4:$Q$1463,$P63)="","",INDEX(MASTER!$Q$4:$Q$1463,$P63)),""))</f>
        <v>46</v>
      </c>
      <c r="N63" s="15" t="str">
        <f>IF($P63="","",IFERROR(IF(INDEX(MASTER!$S$4:$S$1463,$P63)="","",INDEX(MASTER!$S$4:$S$1463,$P63)),""))</f>
        <v>Complete</v>
      </c>
      <c r="P63">
        <f>IFERROR(MATCH($Q$1&amp;"@55",MASTER!$AC$4:$AC$1463,0),"")</f>
        <v>773</v>
      </c>
    </row>
    <row r="64" spans="1:16">
      <c r="A64" s="19">
        <f>IF($P64="","",56)</f>
        <v>56</v>
      </c>
      <c r="B64" s="18" t="str">
        <f>IF($P64="","",IFERROR(IF(INDEX(MASTER!$C$4:$C$1463,$P64)="","",INDEX(MASTER!$C$4:$C$1463,$P64)),""))</f>
        <v>Mitor420</v>
      </c>
      <c r="C64" s="19" t="str">
        <f>IF($P64="","",IFERROR(IF(INDEX(MASTER!$D$4:$D$1463,$P64)="","",INDEX(MASTER!$D$4:$D$1463,$P64)),""))</f>
        <v/>
      </c>
      <c r="D64" s="19" t="str">
        <f>IF($P64="","",IFERROR(IF(INDEX(MASTER!$E$4:$E$1463,$P64)="","",INDEX(MASTER!$E$4:$E$1463,$P64)),""))</f>
        <v>WARLOCK</v>
      </c>
      <c r="E64" s="19" t="str">
        <f>IF($P64="","",IFERROR(IF(INDEX(MASTER!$F$4:$F$1463,$P64)="","",INDEX(MASTER!$F$4:$F$1463,$P64)),""))</f>
        <v>Control</v>
      </c>
      <c r="F64" s="20">
        <f>IF($P64="","",IFERROR(IF(INDEX(MASTER!$G$4:$G$1463,$P64)="","",INDEX(MASTER!$G$4:$G$1463,$P64)),""))</f>
        <v>58021</v>
      </c>
      <c r="G64" s="19" t="str">
        <f>IF($P64="","",IFERROR(IF(INDEX(MASTER!$H$4:$H$1463,$P64)="","",INDEX(MASTER!$H$4:$H$1463,$P64)),""))</f>
        <v>58,000 - 59,999</v>
      </c>
      <c r="H64" s="20">
        <f>IF($P64="","",IFERROR(IF(INDEX(MASTER!$I$4:$I$1463,$P64)="","",INDEX(MASTER!$I$4:$I$1463,$P64)),""))</f>
        <v>1492</v>
      </c>
      <c r="I64" s="19" t="str">
        <f>IF($P64="","",IFERROR(IF(INDEX(MASTER!$J$4:$J$1463,$P64)="","",INDEX(MASTER!$J$4:$J$1463,$P64)),""))</f>
        <v>ROOKIE</v>
      </c>
      <c r="J64" s="21">
        <f>IF($P64="","",IFERROR(IF(INDEX(MASTER!$L$4:$L$1463,$P64)="","",INDEX(MASTER!$L$4:$L$1463,$P64)),""))</f>
        <v>3.8</v>
      </c>
      <c r="K64" s="21">
        <f>IF($P64="","",IFERROR(IF(INDEX(MASTER!$N$4:$N$1463,$P64)="","",INDEX(MASTER!$N$4:$N$1463,$P64)),""))</f>
        <v>20.8</v>
      </c>
      <c r="L64" s="19" t="str">
        <f>IF($P64="","",IFERROR(IF(INDEX(MASTER!$O$4:$O$1463,$P64)="","",INDEX(MASTER!$O$4:$O$1463,$P64)),""))</f>
        <v>C</v>
      </c>
      <c r="M64" s="19">
        <f>IF($P64="","",IFERROR(IF(INDEX(MASTER!$Q$4:$Q$1463,$P64)="","",INDEX(MASTER!$Q$4:$Q$1463,$P64)),""))</f>
        <v>71</v>
      </c>
      <c r="N64" s="19" t="str">
        <f>IF($P64="","",IFERROR(IF(INDEX(MASTER!$S$4:$S$1463,$P64)="","",INDEX(MASTER!$S$4:$S$1463,$P64)),""))</f>
        <v>Complete</v>
      </c>
      <c r="P64">
        <f>IFERROR(MATCH($Q$1&amp;"@56",MASTER!$AC$4:$AC$1463,0),"")</f>
        <v>775</v>
      </c>
    </row>
    <row r="65" spans="1:16">
      <c r="A65" s="15">
        <f>IF($P65="","",57)</f>
        <v>57</v>
      </c>
      <c r="B65" s="14" t="str">
        <f>IF($P65="","",IFERROR(IF(INDEX(MASTER!$C$4:$C$1463,$P65)="","",INDEX(MASTER!$C$4:$C$1463,$P65)),""))</f>
        <v>MoErnest</v>
      </c>
      <c r="C65" s="15" t="str">
        <f>IF($P65="","",IFERROR(IF(INDEX(MASTER!$D$4:$D$1463,$P65)="","",INDEX(MASTER!$D$4:$D$1463,$P65)),""))</f>
        <v/>
      </c>
      <c r="D65" s="15" t="str">
        <f>IF($P65="","",IFERROR(IF(INDEX(MASTER!$E$4:$E$1463,$P65)="","",INDEX(MASTER!$E$4:$E$1463,$P65)),""))</f>
        <v>BLOOD KNIGHT</v>
      </c>
      <c r="E65" s="15" t="str">
        <f>IF($P65="","",IFERROR(IF(INDEX(MASTER!$F$4:$F$1463,$P65)="","",INDEX(MASTER!$F$4:$F$1463,$P65)),""))</f>
        <v>Frontline</v>
      </c>
      <c r="F65" s="16">
        <f>IF($P65="","",IFERROR(IF(INDEX(MASTER!$G$4:$G$1463,$P65)="","",INDEX(MASTER!$G$4:$G$1463,$P65)),""))</f>
        <v>60682</v>
      </c>
      <c r="G65" s="15" t="str">
        <f>IF($P65="","",IFERROR(IF(INDEX(MASTER!$H$4:$H$1463,$P65)="","",INDEX(MASTER!$H$4:$H$1463,$P65)),""))</f>
        <v>60,000 - 60,999</v>
      </c>
      <c r="H65" s="16">
        <f>IF($P65="","",IFERROR(IF(INDEX(MASTER!$I$4:$I$1463,$P65)="","",INDEX(MASTER!$I$4:$I$1463,$P65)),""))</f>
        <v>1370</v>
      </c>
      <c r="I65" s="15" t="str">
        <f>IF($P65="","",IFERROR(IF(INDEX(MASTER!$J$4:$J$1463,$P65)="","",INDEX(MASTER!$J$4:$J$1463,$P65)),""))</f>
        <v>ROOKIE</v>
      </c>
      <c r="J65" s="17">
        <f>IF($P65="","",IFERROR(IF(INDEX(MASTER!$L$4:$L$1463,$P65)="","",INDEX(MASTER!$L$4:$L$1463,$P65)),""))</f>
        <v>2.95</v>
      </c>
      <c r="K65" s="17">
        <f>IF($P65="","",IFERROR(IF(INDEX(MASTER!$N$4:$N$1463,$P65)="","",INDEX(MASTER!$N$4:$N$1463,$P65)),""))</f>
        <v>25.8</v>
      </c>
      <c r="L65" s="15" t="str">
        <f>IF($P65="","",IFERROR(IF(INDEX(MASTER!$O$4:$O$1463,$P65)="","",INDEX(MASTER!$O$4:$O$1463,$P65)),""))</f>
        <v>C</v>
      </c>
      <c r="M65" s="15">
        <f>IF($P65="","",IFERROR(IF(INDEX(MASTER!$Q$4:$Q$1463,$P65)="","",INDEX(MASTER!$Q$4:$Q$1463,$P65)),""))</f>
        <v>76</v>
      </c>
      <c r="N65" s="15" t="str">
        <f>IF($P65="","",IFERROR(IF(INDEX(MASTER!$S$4:$S$1463,$P65)="","",INDEX(MASTER!$S$4:$S$1463,$P65)),""))</f>
        <v>Complete</v>
      </c>
      <c r="P65">
        <f>IFERROR(MATCH($Q$1&amp;"@57",MASTER!$AC$4:$AC$1463,0),"")</f>
        <v>779</v>
      </c>
    </row>
    <row r="66" spans="1:16">
      <c r="A66" s="19">
        <f>IF($P66="","",58)</f>
        <v>58</v>
      </c>
      <c r="B66" s="18" t="str">
        <f>IF($P66="","",IFERROR(IF(INDEX(MASTER!$C$4:$C$1463,$P66)="","",INDEX(MASTER!$C$4:$C$1463,$P66)),""))</f>
        <v>MooMommy</v>
      </c>
      <c r="C66" s="19" t="str">
        <f>IF($P66="","",IFERROR(IF(INDEX(MASTER!$D$4:$D$1463,$P66)="","",INDEX(MASTER!$D$4:$D$1463,$P66)),""))</f>
        <v/>
      </c>
      <c r="D66" s="19" t="str">
        <f>IF($P66="","",IFERROR(IF(INDEX(MASTER!$E$4:$E$1463,$P66)="","",INDEX(MASTER!$E$4:$E$1463,$P66)),""))</f>
        <v>NECROMANCER</v>
      </c>
      <c r="E66" s="19" t="str">
        <f>IF($P66="","",IFERROR(IF(INDEX(MASTER!$F$4:$F$1463,$P66)="","",INDEX(MASTER!$F$4:$F$1463,$P66)),""))</f>
        <v>Control</v>
      </c>
      <c r="F66" s="20">
        <f>IF($P66="","",IFERROR(IF(INDEX(MASTER!$G$4:$G$1463,$P66)="","",INDEX(MASTER!$G$4:$G$1463,$P66)),""))</f>
        <v>57250</v>
      </c>
      <c r="G66" s="19" t="str">
        <f>IF($P66="","",IFERROR(IF(INDEX(MASTER!$H$4:$H$1463,$P66)="","",INDEX(MASTER!$H$4:$H$1463,$P66)),""))</f>
        <v>Under 58,000</v>
      </c>
      <c r="H66" s="20">
        <f>IF($P66="","",IFERROR(IF(INDEX(MASTER!$I$4:$I$1463,$P66)="","",INDEX(MASTER!$I$4:$I$1463,$P66)),""))</f>
        <v>988</v>
      </c>
      <c r="I66" s="19" t="str">
        <f>IF($P66="","",IFERROR(IF(INDEX(MASTER!$J$4:$J$1463,$P66)="","",INDEX(MASTER!$J$4:$J$1463,$P66)),""))</f>
        <v>ROOKIE</v>
      </c>
      <c r="J66" s="21">
        <f>IF($P66="","",IFERROR(IF(INDEX(MASTER!$L$4:$L$1463,$P66)="","",INDEX(MASTER!$L$4:$L$1463,$P66)),""))</f>
        <v>2.85</v>
      </c>
      <c r="K66" s="21">
        <f>IF($P66="","",IFERROR(IF(INDEX(MASTER!$N$4:$N$1463,$P66)="","",INDEX(MASTER!$N$4:$N$1463,$P66)),""))</f>
        <v>15</v>
      </c>
      <c r="L66" s="19" t="str">
        <f>IF($P66="","",IFERROR(IF(INDEX(MASTER!$O$4:$O$1463,$P66)="","",INDEX(MASTER!$O$4:$O$1463,$P66)),""))</f>
        <v>D</v>
      </c>
      <c r="M66" s="19">
        <f>IF($P66="","",IFERROR(IF(INDEX(MASTER!$Q$4:$Q$1463,$P66)="","",INDEX(MASTER!$Q$4:$Q$1463,$P66)),""))</f>
        <v>84</v>
      </c>
      <c r="N66" s="19" t="str">
        <f>IF($P66="","",IFERROR(IF(INDEX(MASTER!$S$4:$S$1463,$P66)="","",INDEX(MASTER!$S$4:$S$1463,$P66)),""))</f>
        <v>Complete</v>
      </c>
      <c r="P66">
        <f>IFERROR(MATCH($Q$1&amp;"@58",MASTER!$AC$4:$AC$1463,0),"")</f>
        <v>782</v>
      </c>
    </row>
    <row r="67" spans="1:16">
      <c r="A67" s="15">
        <f>IF($P67="","",59)</f>
        <v>59</v>
      </c>
      <c r="B67" s="14" t="str">
        <f>IF($P67="","",IFERROR(IF(INDEX(MASTER!$C$4:$C$1463,$P67)="","",INDEX(MASTER!$C$4:$C$1463,$P67)),""))</f>
        <v>MorticiaN-1</v>
      </c>
      <c r="C67" s="15" t="str">
        <f>IF($P67="","",IFERROR(IF(INDEX(MASTER!$D$4:$D$1463,$P67)="","",INDEX(MASTER!$D$4:$D$1463,$P67)),""))</f>
        <v/>
      </c>
      <c r="D67" s="15" t="str">
        <f>IF($P67="","",IFERROR(IF(INDEX(MASTER!$E$4:$E$1463,$P67)="","",INDEX(MASTER!$E$4:$E$1463,$P67)),""))</f>
        <v>WIZARD</v>
      </c>
      <c r="E67" s="15" t="str">
        <f>IF($P67="","",IFERROR(IF(INDEX(MASTER!$F$4:$F$1463,$P67)="","",INDEX(MASTER!$F$4:$F$1463,$P67)),""))</f>
        <v>Ranged DPS</v>
      </c>
      <c r="F67" s="16">
        <f>IF($P67="","",IFERROR(IF(INDEX(MASTER!$G$4:$G$1463,$P67)="","",INDEX(MASTER!$G$4:$G$1463,$P67)),""))</f>
        <v>62658</v>
      </c>
      <c r="G67" s="15" t="str">
        <f>IF($P67="","",IFERROR(IF(INDEX(MASTER!$H$4:$H$1463,$P67)="","",INDEX(MASTER!$H$4:$H$1463,$P67)),""))</f>
        <v>62,000 - 62,999</v>
      </c>
      <c r="H67" s="16">
        <f>IF($P67="","",IFERROR(IF(INDEX(MASTER!$I$4:$I$1463,$P67)="","",INDEX(MASTER!$I$4:$I$1463,$P67)),""))</f>
        <v>2597</v>
      </c>
      <c r="I67" s="15" t="str">
        <f>IF($P67="","",IFERROR(IF(INDEX(MASTER!$J$4:$J$1463,$P67)="","",INDEX(MASTER!$J$4:$J$1463,$P67)),""))</f>
        <v>DEVELOPING</v>
      </c>
      <c r="J67" s="17">
        <f>IF($P67="","",IFERROR(IF(INDEX(MASTER!$L$4:$L$1463,$P67)="","",INDEX(MASTER!$L$4:$L$1463,$P67)),""))</f>
        <v>4.1500000000000004</v>
      </c>
      <c r="K67" s="17">
        <f>IF($P67="","",IFERROR(IF(INDEX(MASTER!$N$4:$N$1463,$P67)="","",INDEX(MASTER!$N$4:$N$1463,$P67)),""))</f>
        <v>38.4</v>
      </c>
      <c r="L67" s="15" t="str">
        <f>IF($P67="","",IFERROR(IF(INDEX(MASTER!$O$4:$O$1463,$P67)="","",INDEX(MASTER!$O$4:$O$1463,$P67)),""))</f>
        <v>B</v>
      </c>
      <c r="M67" s="15">
        <f>IF($P67="","",IFERROR(IF(INDEX(MASTER!$Q$4:$Q$1463,$P67)="","",INDEX(MASTER!$Q$4:$Q$1463,$P67)),""))</f>
        <v>34</v>
      </c>
      <c r="N67" s="15" t="str">
        <f>IF($P67="","",IFERROR(IF(INDEX(MASTER!$S$4:$S$1463,$P67)="","",INDEX(MASTER!$S$4:$S$1463,$P67)),""))</f>
        <v>Complete</v>
      </c>
      <c r="P67">
        <f>IFERROR(MATCH($Q$1&amp;"@59",MASTER!$AC$4:$AC$1463,0),"")</f>
        <v>791</v>
      </c>
    </row>
    <row r="68" spans="1:16">
      <c r="A68" s="19">
        <f>IF($P68="","",60)</f>
        <v>60</v>
      </c>
      <c r="B68" s="18" t="str">
        <f>IF($P68="","",IFERROR(IF(INDEX(MASTER!$C$4:$C$1463,$P68)="","",INDEX(MASTER!$C$4:$C$1463,$P68)),""))</f>
        <v>MrCleaver</v>
      </c>
      <c r="C68" s="19" t="str">
        <f>IF($P68="","",IFERROR(IF(INDEX(MASTER!$D$4:$D$1463,$P68)="","",INDEX(MASTER!$D$4:$D$1463,$P68)),""))</f>
        <v/>
      </c>
      <c r="D68" s="19" t="str">
        <f>IF($P68="","",IFERROR(IF(INDEX(MASTER!$E$4:$E$1463,$P68)="","",INDEX(MASTER!$E$4:$E$1463,$P68)),""))</f>
        <v>CRUSADER</v>
      </c>
      <c r="E68" s="19" t="str">
        <f>IF($P68="","",IFERROR(IF(INDEX(MASTER!$F$4:$F$1463,$P68)="","",INDEX(MASTER!$F$4:$F$1463,$P68)),""))</f>
        <v>Frontline</v>
      </c>
      <c r="F68" s="20">
        <f>IF($P68="","",IFERROR(IF(INDEX(MASTER!$G$4:$G$1463,$P68)="","",INDEX(MASTER!$G$4:$G$1463,$P68)),""))</f>
        <v>62693</v>
      </c>
      <c r="G68" s="19" t="str">
        <f>IF($P68="","",IFERROR(IF(INDEX(MASTER!$H$4:$H$1463,$P68)="","",INDEX(MASTER!$H$4:$H$1463,$P68)),""))</f>
        <v>62,000 - 62,999</v>
      </c>
      <c r="H68" s="20">
        <f>IF($P68="","",IFERROR(IF(INDEX(MASTER!$I$4:$I$1463,$P68)="","",INDEX(MASTER!$I$4:$I$1463,$P68)),""))</f>
        <v>2552</v>
      </c>
      <c r="I68" s="19" t="str">
        <f>IF($P68="","",IFERROR(IF(INDEX(MASTER!$J$4:$J$1463,$P68)="","",INDEX(MASTER!$J$4:$J$1463,$P68)),""))</f>
        <v>DEVELOPING</v>
      </c>
      <c r="J68" s="21">
        <f>IF($P68="","",IFERROR(IF(INDEX(MASTER!$L$4:$L$1463,$P68)="","",INDEX(MASTER!$L$4:$L$1463,$P68)),""))</f>
        <v>4.3499999999999996</v>
      </c>
      <c r="K68" s="21">
        <f>IF($P68="","",IFERROR(IF(INDEX(MASTER!$N$4:$N$1463,$P68)="","",INDEX(MASTER!$N$4:$N$1463,$P68)),""))</f>
        <v>38.6</v>
      </c>
      <c r="L68" s="19" t="str">
        <f>IF($P68="","",IFERROR(IF(INDEX(MASTER!$O$4:$O$1463,$P68)="","",INDEX(MASTER!$O$4:$O$1463,$P68)),""))</f>
        <v>B</v>
      </c>
      <c r="M68" s="19">
        <f>IF($P68="","",IFERROR(IF(INDEX(MASTER!$Q$4:$Q$1463,$P68)="","",INDEX(MASTER!$Q$4:$Q$1463,$P68)),""))</f>
        <v>40</v>
      </c>
      <c r="N68" s="19" t="str">
        <f>IF($P68="","",IFERROR(IF(INDEX(MASTER!$S$4:$S$1463,$P68)="","",INDEX(MASTER!$S$4:$S$1463,$P68)),""))</f>
        <v>Complete</v>
      </c>
      <c r="P68">
        <f>IFERROR(MATCH($Q$1&amp;"@60",MASTER!$AC$4:$AC$1463,0),"")</f>
        <v>795</v>
      </c>
    </row>
    <row r="69" spans="1:16">
      <c r="A69" s="15">
        <f>IF($P69="","",61)</f>
        <v>61</v>
      </c>
      <c r="B69" s="14" t="str">
        <f>IF($P69="","",IFERROR(IF(INDEX(MASTER!$C$4:$C$1463,$P69)="","",INDEX(MASTER!$C$4:$C$1463,$P69)),""))</f>
        <v>Muffl3r</v>
      </c>
      <c r="C69" s="15" t="str">
        <f>IF($P69="","",IFERROR(IF(INDEX(MASTER!$D$4:$D$1463,$P69)="","",INDEX(MASTER!$D$4:$D$1463,$P69)),""))</f>
        <v/>
      </c>
      <c r="D69" s="15" t="str">
        <f>IF($P69="","",IFERROR(IF(INDEX(MASTER!$E$4:$E$1463,$P69)="","",INDEX(MASTER!$E$4:$E$1463,$P69)),""))</f>
        <v>WARLOCK</v>
      </c>
      <c r="E69" s="15" t="str">
        <f>IF($P69="","",IFERROR(IF(INDEX(MASTER!$F$4:$F$1463,$P69)="","",INDEX(MASTER!$F$4:$F$1463,$P69)),""))</f>
        <v>Control</v>
      </c>
      <c r="F69" s="16">
        <f>IF($P69="","",IFERROR(IF(INDEX(MASTER!$G$4:$G$1463,$P69)="","",INDEX(MASTER!$G$4:$G$1463,$P69)),""))</f>
        <v>61512</v>
      </c>
      <c r="G69" s="15" t="str">
        <f>IF($P69="","",IFERROR(IF(INDEX(MASTER!$H$4:$H$1463,$P69)="","",INDEX(MASTER!$H$4:$H$1463,$P69)),""))</f>
        <v>61,000 - 61,999</v>
      </c>
      <c r="H69" s="16">
        <f>IF($P69="","",IFERROR(IF(INDEX(MASTER!$I$4:$I$1463,$P69)="","",INDEX(MASTER!$I$4:$I$1463,$P69)),""))</f>
        <v>1155</v>
      </c>
      <c r="I69" s="15" t="str">
        <f>IF($P69="","",IFERROR(IF(INDEX(MASTER!$J$4:$J$1463,$P69)="","",INDEX(MASTER!$J$4:$J$1463,$P69)),""))</f>
        <v>ROOKIE</v>
      </c>
      <c r="J69" s="17">
        <f>IF($P69="","",IFERROR(IF(INDEX(MASTER!$L$4:$L$1463,$P69)="","",INDEX(MASTER!$L$4:$L$1463,$P69)),""))</f>
        <v>3.05</v>
      </c>
      <c r="K69" s="17">
        <f>IF($P69="","",IFERROR(IF(INDEX(MASTER!$N$4:$N$1463,$P69)="","",INDEX(MASTER!$N$4:$N$1463,$P69)),""))</f>
        <v>27.3</v>
      </c>
      <c r="L69" s="15" t="str">
        <f>IF($P69="","",IFERROR(IF(INDEX(MASTER!$O$4:$O$1463,$P69)="","",INDEX(MASTER!$O$4:$O$1463,$P69)),""))</f>
        <v>C</v>
      </c>
      <c r="M69" s="15">
        <f>IF($P69="","",IFERROR(IF(INDEX(MASTER!$Q$4:$Q$1463,$P69)="","",INDEX(MASTER!$Q$4:$Q$1463,$P69)),""))</f>
        <v>79</v>
      </c>
      <c r="N69" s="15" t="str">
        <f>IF($P69="","",IFERROR(IF(INDEX(MASTER!$S$4:$S$1463,$P69)="","",INDEX(MASTER!$S$4:$S$1463,$P69)),""))</f>
        <v>Complete</v>
      </c>
      <c r="P69">
        <f>IFERROR(MATCH($Q$1&amp;"@61",MASTER!$AC$4:$AC$1463,0),"")</f>
        <v>797</v>
      </c>
    </row>
    <row r="70" spans="1:16">
      <c r="A70" s="19">
        <f>IF($P70="","",62)</f>
        <v>62</v>
      </c>
      <c r="B70" s="18" t="str">
        <f>IF($P70="","",IFERROR(IF(INDEX(MASTER!$C$4:$C$1463,$P70)="","",INDEX(MASTER!$C$4:$C$1463,$P70)),""))</f>
        <v>Munchit</v>
      </c>
      <c r="C70" s="19" t="str">
        <f>IF($P70="","",IFERROR(IF(INDEX(MASTER!$D$4:$D$1463,$P70)="","",INDEX(MASTER!$D$4:$D$1463,$P70)),""))</f>
        <v/>
      </c>
      <c r="D70" s="19" t="str">
        <f>IF($P70="","",IFERROR(IF(INDEX(MASTER!$E$4:$E$1463,$P70)="","",INDEX(MASTER!$E$4:$E$1463,$P70)),""))</f>
        <v>CRUSADER</v>
      </c>
      <c r="E70" s="19" t="str">
        <f>IF($P70="","",IFERROR(IF(INDEX(MASTER!$F$4:$F$1463,$P70)="","",INDEX(MASTER!$F$4:$F$1463,$P70)),""))</f>
        <v>Frontline</v>
      </c>
      <c r="F70" s="20">
        <f>IF($P70="","",IFERROR(IF(INDEX(MASTER!$G$4:$G$1463,$P70)="","",INDEX(MASTER!$G$4:$G$1463,$P70)),""))</f>
        <v>62923</v>
      </c>
      <c r="G70" s="19" t="str">
        <f>IF($P70="","",IFERROR(IF(INDEX(MASTER!$H$4:$H$1463,$P70)="","",INDEX(MASTER!$H$4:$H$1463,$P70)),""))</f>
        <v>62,000 - 62,999</v>
      </c>
      <c r="H70" s="20">
        <f>IF($P70="","",IFERROR(IF(INDEX(MASTER!$I$4:$I$1463,$P70)="","",INDEX(MASTER!$I$4:$I$1463,$P70)),""))</f>
        <v>2624</v>
      </c>
      <c r="I70" s="19" t="str">
        <f>IF($P70="","",IFERROR(IF(INDEX(MASTER!$J$4:$J$1463,$P70)="","",INDEX(MASTER!$J$4:$J$1463,$P70)),""))</f>
        <v>DEVELOPING</v>
      </c>
      <c r="J70" s="21">
        <f>IF($P70="","",IFERROR(IF(INDEX(MASTER!$L$4:$L$1463,$P70)="","",INDEX(MASTER!$L$4:$L$1463,$P70)),""))</f>
        <v>3.35</v>
      </c>
      <c r="K70" s="21">
        <f>IF($P70="","",IFERROR(IF(INDEX(MASTER!$N$4:$N$1463,$P70)="","",INDEX(MASTER!$N$4:$N$1463,$P70)),""))</f>
        <v>37.9</v>
      </c>
      <c r="L70" s="19" t="str">
        <f>IF($P70="","",IFERROR(IF(INDEX(MASTER!$O$4:$O$1463,$P70)="","",INDEX(MASTER!$O$4:$O$1463,$P70)),""))</f>
        <v>B</v>
      </c>
      <c r="M70" s="19">
        <f>IF($P70="","",IFERROR(IF(INDEX(MASTER!$Q$4:$Q$1463,$P70)="","",INDEX(MASTER!$Q$4:$Q$1463,$P70)),""))</f>
        <v>32</v>
      </c>
      <c r="N70" s="19" t="str">
        <f>IF($P70="","",IFERROR(IF(INDEX(MASTER!$S$4:$S$1463,$P70)="","",INDEX(MASTER!$S$4:$S$1463,$P70)),""))</f>
        <v>Complete</v>
      </c>
      <c r="P70">
        <f>IFERROR(MATCH($Q$1&amp;"@62",MASTER!$AC$4:$AC$1463,0),"")</f>
        <v>798</v>
      </c>
    </row>
    <row r="71" spans="1:16">
      <c r="A71" s="15">
        <f>IF($P71="","",63)</f>
        <v>63</v>
      </c>
      <c r="B71" s="14" t="str">
        <f>IF($P71="","",IFERROR(IF(INDEX(MASTER!$C$4:$C$1463,$P71)="","",INDEX(MASTER!$C$4:$C$1463,$P71)),""))</f>
        <v>NoEssenceFredd</v>
      </c>
      <c r="C71" s="15" t="str">
        <f>IF($P71="","",IFERROR(IF(INDEX(MASTER!$D$4:$D$1463,$P71)="","",INDEX(MASTER!$D$4:$D$1463,$P71)),""))</f>
        <v/>
      </c>
      <c r="D71" s="15" t="str">
        <f>IF($P71="","",IFERROR(IF(INDEX(MASTER!$E$4:$E$1463,$P71)="","",INDEX(MASTER!$E$4:$E$1463,$P71)),""))</f>
        <v>DRUID</v>
      </c>
      <c r="E71" s="15" t="str">
        <f>IF($P71="","",IFERROR(IF(INDEX(MASTER!$F$4:$F$1463,$P71)="","",INDEX(MASTER!$F$4:$F$1463,$P71)),""))</f>
        <v>Support</v>
      </c>
      <c r="F71" s="16">
        <f>IF($P71="","",IFERROR(IF(INDEX(MASTER!$G$4:$G$1463,$P71)="","",INDEX(MASTER!$G$4:$G$1463,$P71)),""))</f>
        <v>53972</v>
      </c>
      <c r="G71" s="15" t="str">
        <f>IF($P71="","",IFERROR(IF(INDEX(MASTER!$H$4:$H$1463,$P71)="","",INDEX(MASTER!$H$4:$H$1463,$P71)),""))</f>
        <v>Under 58,000</v>
      </c>
      <c r="H71" s="16">
        <f>IF($P71="","",IFERROR(IF(INDEX(MASTER!$I$4:$I$1463,$P71)="","",INDEX(MASTER!$I$4:$I$1463,$P71)),""))</f>
        <v>1591</v>
      </c>
      <c r="I71" s="15" t="str">
        <f>IF($P71="","",IFERROR(IF(INDEX(MASTER!$J$4:$J$1463,$P71)="","",INDEX(MASTER!$J$4:$J$1463,$P71)),""))</f>
        <v>ROOKIE</v>
      </c>
      <c r="J71" s="17">
        <f>IF($P71="","",IFERROR(IF(INDEX(MASTER!$L$4:$L$1463,$P71)="","",INDEX(MASTER!$L$4:$L$1463,$P71)),""))</f>
        <v>4.3499999999999996</v>
      </c>
      <c r="K71" s="17">
        <f>IF($P71="","",IFERROR(IF(INDEX(MASTER!$N$4:$N$1463,$P71)="","",INDEX(MASTER!$N$4:$N$1463,$P71)),""))</f>
        <v>14.2</v>
      </c>
      <c r="L71" s="15" t="str">
        <f>IF($P71="","",IFERROR(IF(INDEX(MASTER!$O$4:$O$1463,$P71)="","",INDEX(MASTER!$O$4:$O$1463,$P71)),""))</f>
        <v>D</v>
      </c>
      <c r="M71" s="15">
        <f>IF($P71="","",IFERROR(IF(INDEX(MASTER!$Q$4:$Q$1463,$P71)="","",INDEX(MASTER!$Q$4:$Q$1463,$P71)),""))</f>
        <v>67</v>
      </c>
      <c r="N71" s="15" t="str">
        <f>IF($P71="","",IFERROR(IF(INDEX(MASTER!$S$4:$S$1463,$P71)="","",INDEX(MASTER!$S$4:$S$1463,$P71)),""))</f>
        <v>Complete</v>
      </c>
      <c r="P71">
        <f>IFERROR(MATCH($Q$1&amp;"@63",MASTER!$AC$4:$AC$1463,0),"")</f>
        <v>823</v>
      </c>
    </row>
    <row r="72" spans="1:16">
      <c r="A72" s="19">
        <f>IF($P72="","",64)</f>
        <v>64</v>
      </c>
      <c r="B72" s="18" t="str">
        <f>IF($P72="","",IFERROR(IF(INDEX(MASTER!$C$4:$C$1463,$P72)="","",INDEX(MASTER!$C$4:$C$1463,$P72)),""))</f>
        <v>NoMercy420</v>
      </c>
      <c r="C72" s="19" t="str">
        <f>IF($P72="","",IFERROR(IF(INDEX(MASTER!$D$4:$D$1463,$P72)="","",INDEX(MASTER!$D$4:$D$1463,$P72)),""))</f>
        <v/>
      </c>
      <c r="D72" s="19" t="str">
        <f>IF($P72="","",IFERROR(IF(INDEX(MASTER!$E$4:$E$1463,$P72)="","",INDEX(MASTER!$E$4:$E$1463,$P72)),""))</f>
        <v>BARBARIAN</v>
      </c>
      <c r="E72" s="19" t="str">
        <f>IF($P72="","",IFERROR(IF(INDEX(MASTER!$F$4:$F$1463,$P72)="","",INDEX(MASTER!$F$4:$F$1463,$P72)),""))</f>
        <v>Frontline</v>
      </c>
      <c r="F72" s="20">
        <f>IF($P72="","",IFERROR(IF(INDEX(MASTER!$G$4:$G$1463,$P72)="","",INDEX(MASTER!$G$4:$G$1463,$P72)),""))</f>
        <v>60833</v>
      </c>
      <c r="G72" s="19" t="str">
        <f>IF($P72="","",IFERROR(IF(INDEX(MASTER!$H$4:$H$1463,$P72)="","",INDEX(MASTER!$H$4:$H$1463,$P72)),""))</f>
        <v>60,000 - 60,999</v>
      </c>
      <c r="H72" s="20">
        <f>IF($P72="","",IFERROR(IF(INDEX(MASTER!$I$4:$I$1463,$P72)="","",INDEX(MASTER!$I$4:$I$1463,$P72)),""))</f>
        <v>2510</v>
      </c>
      <c r="I72" s="19" t="str">
        <f>IF($P72="","",IFERROR(IF(INDEX(MASTER!$J$4:$J$1463,$P72)="","",INDEX(MASTER!$J$4:$J$1463,$P72)),""))</f>
        <v>DEVELOPING</v>
      </c>
      <c r="J72" s="21">
        <f>IF($P72="","",IFERROR(IF(INDEX(MASTER!$L$4:$L$1463,$P72)="","",INDEX(MASTER!$L$4:$L$1463,$P72)),""))</f>
        <v>3.3</v>
      </c>
      <c r="K72" s="21">
        <f>IF($P72="","",IFERROR(IF(INDEX(MASTER!$N$4:$N$1463,$P72)="","",INDEX(MASTER!$N$4:$N$1463,$P72)),""))</f>
        <v>31.8</v>
      </c>
      <c r="L72" s="19" t="str">
        <f>IF($P72="","",IFERROR(IF(INDEX(MASTER!$O$4:$O$1463,$P72)="","",INDEX(MASTER!$O$4:$O$1463,$P72)),""))</f>
        <v>C</v>
      </c>
      <c r="M72" s="19">
        <f>IF($P72="","",IFERROR(IF(INDEX(MASTER!$Q$4:$Q$1463,$P72)="","",INDEX(MASTER!$Q$4:$Q$1463,$P72)),""))</f>
        <v>41</v>
      </c>
      <c r="N72" s="19" t="str">
        <f>IF($P72="","",IFERROR(IF(INDEX(MASTER!$S$4:$S$1463,$P72)="","",INDEX(MASTER!$S$4:$S$1463,$P72)),""))</f>
        <v>Complete</v>
      </c>
      <c r="P72">
        <f>IFERROR(MATCH($Q$1&amp;"@64",MASTER!$AC$4:$AC$1463,0),"")</f>
        <v>824</v>
      </c>
    </row>
    <row r="73" spans="1:16">
      <c r="A73" s="15">
        <f>IF($P73="","",65)</f>
        <v>65</v>
      </c>
      <c r="B73" s="14" t="str">
        <f>IF($P73="","",IFERROR(IF(INDEX(MASTER!$C$4:$C$1463,$P73)="","",INDEX(MASTER!$C$4:$C$1463,$P73)),""))</f>
        <v>OnlyBananas</v>
      </c>
      <c r="C73" s="15" t="str">
        <f>IF($P73="","",IFERROR(IF(INDEX(MASTER!$D$4:$D$1463,$P73)="","",INDEX(MASTER!$D$4:$D$1463,$P73)),""))</f>
        <v/>
      </c>
      <c r="D73" s="15" t="str">
        <f>IF($P73="","",IFERROR(IF(INDEX(MASTER!$E$4:$E$1463,$P73)="","",INDEX(MASTER!$E$4:$E$1463,$P73)),""))</f>
        <v>BLOOD KNIGHT</v>
      </c>
      <c r="E73" s="15" t="str">
        <f>IF($P73="","",IFERROR(IF(INDEX(MASTER!$F$4:$F$1463,$P73)="","",INDEX(MASTER!$F$4:$F$1463,$P73)),""))</f>
        <v>Frontline</v>
      </c>
      <c r="F73" s="16">
        <f>IF($P73="","",IFERROR(IF(INDEX(MASTER!$G$4:$G$1463,$P73)="","",INDEX(MASTER!$G$4:$G$1463,$P73)),""))</f>
        <v>61128</v>
      </c>
      <c r="G73" s="15" t="str">
        <f>IF($P73="","",IFERROR(IF(INDEX(MASTER!$H$4:$H$1463,$P73)="","",INDEX(MASTER!$H$4:$H$1463,$P73)),""))</f>
        <v>61,000 - 61,999</v>
      </c>
      <c r="H73" s="16">
        <f>IF($P73="","",IFERROR(IF(INDEX(MASTER!$I$4:$I$1463,$P73)="","",INDEX(MASTER!$I$4:$I$1463,$P73)),""))</f>
        <v>2110</v>
      </c>
      <c r="I73" s="15" t="str">
        <f>IF($P73="","",IFERROR(IF(INDEX(MASTER!$J$4:$J$1463,$P73)="","",INDEX(MASTER!$J$4:$J$1463,$P73)),""))</f>
        <v>DEVELOPING</v>
      </c>
      <c r="J73" s="17">
        <f>IF($P73="","",IFERROR(IF(INDEX(MASTER!$L$4:$L$1463,$P73)="","",INDEX(MASTER!$L$4:$L$1463,$P73)),""))</f>
        <v>3.87</v>
      </c>
      <c r="K73" s="17">
        <f>IF($P73="","",IFERROR(IF(INDEX(MASTER!$N$4:$N$1463,$P73)="","",INDEX(MASTER!$N$4:$N$1463,$P73)),""))</f>
        <v>31.8</v>
      </c>
      <c r="L73" s="15" t="str">
        <f>IF($P73="","",IFERROR(IF(INDEX(MASTER!$O$4:$O$1463,$P73)="","",INDEX(MASTER!$O$4:$O$1463,$P73)),""))</f>
        <v>C</v>
      </c>
      <c r="M73" s="15">
        <f>IF($P73="","",IFERROR(IF(INDEX(MASTER!$Q$4:$Q$1463,$P73)="","",INDEX(MASTER!$Q$4:$Q$1463,$P73)),""))</f>
        <v>52</v>
      </c>
      <c r="N73" s="15" t="str">
        <f>IF($P73="","",IFERROR(IF(INDEX(MASTER!$S$4:$S$1463,$P73)="","",INDEX(MASTER!$S$4:$S$1463,$P73)),""))</f>
        <v>Complete</v>
      </c>
      <c r="P73">
        <f>IFERROR(MATCH($Q$1&amp;"@65",MASTER!$AC$4:$AC$1463,0),"")</f>
        <v>854</v>
      </c>
    </row>
    <row r="74" spans="1:16">
      <c r="A74" s="19">
        <f>IF($P74="","",66)</f>
        <v>66</v>
      </c>
      <c r="B74" s="18" t="str">
        <f>IF($P74="","",IFERROR(IF(INDEX(MASTER!$C$4:$C$1463,$P74)="","",INDEX(MASTER!$C$4:$C$1463,$P74)),""))</f>
        <v>outofmind666</v>
      </c>
      <c r="C74" s="19" t="str">
        <f>IF($P74="","",IFERROR(IF(INDEX(MASTER!$D$4:$D$1463,$P74)="","",INDEX(MASTER!$D$4:$D$1463,$P74)),""))</f>
        <v/>
      </c>
      <c r="D74" s="19" t="str">
        <f>IF($P74="","",IFERROR(IF(INDEX(MASTER!$E$4:$E$1463,$P74)="","",INDEX(MASTER!$E$4:$E$1463,$P74)),""))</f>
        <v>BARBARIAN</v>
      </c>
      <c r="E74" s="19" t="str">
        <f>IF($P74="","",IFERROR(IF(INDEX(MASTER!$F$4:$F$1463,$P74)="","",INDEX(MASTER!$F$4:$F$1463,$P74)),""))</f>
        <v>Frontline</v>
      </c>
      <c r="F74" s="20">
        <f>IF($P74="","",IFERROR(IF(INDEX(MASTER!$G$4:$G$1463,$P74)="","",INDEX(MASTER!$G$4:$G$1463,$P74)),""))</f>
        <v>62934</v>
      </c>
      <c r="G74" s="19" t="str">
        <f>IF($P74="","",IFERROR(IF(INDEX(MASTER!$H$4:$H$1463,$P74)="","",INDEX(MASTER!$H$4:$H$1463,$P74)),""))</f>
        <v>62,000 - 62,999</v>
      </c>
      <c r="H74" s="20">
        <f>IF($P74="","",IFERROR(IF(INDEX(MASTER!$I$4:$I$1463,$P74)="","",INDEX(MASTER!$I$4:$I$1463,$P74)),""))</f>
        <v>2560</v>
      </c>
      <c r="I74" s="19" t="str">
        <f>IF($P74="","",IFERROR(IF(INDEX(MASTER!$J$4:$J$1463,$P74)="","",INDEX(MASTER!$J$4:$J$1463,$P74)),""))</f>
        <v>DEVELOPING</v>
      </c>
      <c r="J74" s="21">
        <f>IF($P74="","",IFERROR(IF(INDEX(MASTER!$L$4:$L$1463,$P74)="","",INDEX(MASTER!$L$4:$L$1463,$P74)),""))</f>
        <v>3.85</v>
      </c>
      <c r="K74" s="21">
        <f>IF($P74="","",IFERROR(IF(INDEX(MASTER!$N$4:$N$1463,$P74)="","",INDEX(MASTER!$N$4:$N$1463,$P74)),""))</f>
        <v>38.5</v>
      </c>
      <c r="L74" s="19" t="str">
        <f>IF($P74="","",IFERROR(IF(INDEX(MASTER!$O$4:$O$1463,$P74)="","",INDEX(MASTER!$O$4:$O$1463,$P74)),""))</f>
        <v>B</v>
      </c>
      <c r="M74" s="19">
        <f>IF($P74="","",IFERROR(IF(INDEX(MASTER!$Q$4:$Q$1463,$P74)="","",INDEX(MASTER!$Q$4:$Q$1463,$P74)),""))</f>
        <v>39</v>
      </c>
      <c r="N74" s="19" t="str">
        <f>IF($P74="","",IFERROR(IF(INDEX(MASTER!$S$4:$S$1463,$P74)="","",INDEX(MASTER!$S$4:$S$1463,$P74)),""))</f>
        <v>Complete</v>
      </c>
      <c r="P74">
        <f>IFERROR(MATCH($Q$1&amp;"@66",MASTER!$AC$4:$AC$1463,0),"")</f>
        <v>868</v>
      </c>
    </row>
    <row r="75" spans="1:16">
      <c r="A75" s="15">
        <f>IF($P75="","",67)</f>
        <v>67</v>
      </c>
      <c r="B75" s="14" t="str">
        <f>IF($P75="","",IFERROR(IF(INDEX(MASTER!$C$4:$C$1463,$P75)="","",INDEX(MASTER!$C$4:$C$1463,$P75)),""))</f>
        <v>Prospero1</v>
      </c>
      <c r="C75" s="15" t="str">
        <f>IF($P75="","",IFERROR(IF(INDEX(MASTER!$D$4:$D$1463,$P75)="","",INDEX(MASTER!$D$4:$D$1463,$P75)),""))</f>
        <v/>
      </c>
      <c r="D75" s="15" t="str">
        <f>IF($P75="","",IFERROR(IF(INDEX(MASTER!$E$4:$E$1463,$P75)="","",INDEX(MASTER!$E$4:$E$1463,$P75)),""))</f>
        <v>TEMPEST</v>
      </c>
      <c r="E75" s="15" t="str">
        <f>IF($P75="","",IFERROR(IF(INDEX(MASTER!$F$4:$F$1463,$P75)="","",INDEX(MASTER!$F$4:$F$1463,$P75)),""))</f>
        <v>Melee DPS</v>
      </c>
      <c r="F75" s="16">
        <f>IF($P75="","",IFERROR(IF(INDEX(MASTER!$G$4:$G$1463,$P75)="","",INDEX(MASTER!$G$4:$G$1463,$P75)),""))</f>
        <v>57745</v>
      </c>
      <c r="G75" s="15" t="str">
        <f>IF($P75="","",IFERROR(IF(INDEX(MASTER!$H$4:$H$1463,$P75)="","",INDEX(MASTER!$H$4:$H$1463,$P75)),""))</f>
        <v>Under 58,000</v>
      </c>
      <c r="H75" s="16">
        <f>IF($P75="","",IFERROR(IF(INDEX(MASTER!$I$4:$I$1463,$P75)="","",INDEX(MASTER!$I$4:$I$1463,$P75)),""))</f>
        <v>1890</v>
      </c>
      <c r="I75" s="15" t="str">
        <f>IF($P75="","",IFERROR(IF(INDEX(MASTER!$J$4:$J$1463,$P75)="","",INDEX(MASTER!$J$4:$J$1463,$P75)),""))</f>
        <v>ROOKIE</v>
      </c>
      <c r="J75" s="17">
        <f>IF($P75="","",IFERROR(IF(INDEX(MASTER!$L$4:$L$1463,$P75)="","",INDEX(MASTER!$L$4:$L$1463,$P75)),""))</f>
        <v>3.2</v>
      </c>
      <c r="K75" s="17">
        <f>IF($P75="","",IFERROR(IF(INDEX(MASTER!$N$4:$N$1463,$P75)="","",INDEX(MASTER!$N$4:$N$1463,$P75)),""))</f>
        <v>20.8</v>
      </c>
      <c r="L75" s="15" t="str">
        <f>IF($P75="","",IFERROR(IF(INDEX(MASTER!$O$4:$O$1463,$P75)="","",INDEX(MASTER!$O$4:$O$1463,$P75)),""))</f>
        <v>C</v>
      </c>
      <c r="M75" s="15">
        <f>IF($P75="","",IFERROR(IF(INDEX(MASTER!$Q$4:$Q$1463,$P75)="","",INDEX(MASTER!$Q$4:$Q$1463,$P75)),""))</f>
        <v>58</v>
      </c>
      <c r="N75" s="15" t="str">
        <f>IF($P75="","",IFERROR(IF(INDEX(MASTER!$S$4:$S$1463,$P75)="","",INDEX(MASTER!$S$4:$S$1463,$P75)),""))</f>
        <v>Complete</v>
      </c>
      <c r="P75">
        <f>IFERROR(MATCH($Q$1&amp;"@67",MASTER!$AC$4:$AC$1463,0),"")</f>
        <v>906</v>
      </c>
    </row>
    <row r="76" spans="1:16">
      <c r="A76" s="19">
        <f>IF($P76="","",68)</f>
        <v>68</v>
      </c>
      <c r="B76" s="18" t="str">
        <f>IF($P76="","",IFERROR(IF(INDEX(MASTER!$C$4:$C$1463,$P76)="","",INDEX(MASTER!$C$4:$C$1463,$P76)),""))</f>
        <v>Ratbu</v>
      </c>
      <c r="C76" s="19" t="str">
        <f>IF($P76="","",IFERROR(IF(INDEX(MASTER!$D$4:$D$1463,$P76)="","",INDEX(MASTER!$D$4:$D$1463,$P76)),""))</f>
        <v/>
      </c>
      <c r="D76" s="19" t="str">
        <f>IF($P76="","",IFERROR(IF(INDEX(MASTER!$E$4:$E$1463,$P76)="","",INDEX(MASTER!$E$4:$E$1463,$P76)),""))</f>
        <v>TEMPEST</v>
      </c>
      <c r="E76" s="19" t="str">
        <f>IF($P76="","",IFERROR(IF(INDEX(MASTER!$F$4:$F$1463,$P76)="","",INDEX(MASTER!$F$4:$F$1463,$P76)),""))</f>
        <v>Melee DPS</v>
      </c>
      <c r="F76" s="20">
        <f>IF($P76="","",IFERROR(IF(INDEX(MASTER!$G$4:$G$1463,$P76)="","",INDEX(MASTER!$G$4:$G$1463,$P76)),""))</f>
        <v>61630</v>
      </c>
      <c r="G76" s="19" t="str">
        <f>IF($P76="","",IFERROR(IF(INDEX(MASTER!$H$4:$H$1463,$P76)="","",INDEX(MASTER!$H$4:$H$1463,$P76)),""))</f>
        <v>61,000 - 61,999</v>
      </c>
      <c r="H76" s="20">
        <f>IF($P76="","",IFERROR(IF(INDEX(MASTER!$I$4:$I$1463,$P76)="","",INDEX(MASTER!$I$4:$I$1463,$P76)),""))</f>
        <v>1400</v>
      </c>
      <c r="I76" s="19" t="str">
        <f>IF($P76="","",IFERROR(IF(INDEX(MASTER!$J$4:$J$1463,$P76)="","",INDEX(MASTER!$J$4:$J$1463,$P76)),""))</f>
        <v>ROOKIE</v>
      </c>
      <c r="J76" s="21">
        <f>IF($P76="","",IFERROR(IF(INDEX(MASTER!$L$4:$L$1463,$P76)="","",INDEX(MASTER!$L$4:$L$1463,$P76)),""))</f>
        <v>4.5999999999999996</v>
      </c>
      <c r="K76" s="21">
        <f>IF($P76="","",IFERROR(IF(INDEX(MASTER!$N$4:$N$1463,$P76)="","",INDEX(MASTER!$N$4:$N$1463,$P76)),""))</f>
        <v>31.2</v>
      </c>
      <c r="L76" s="19" t="str">
        <f>IF($P76="","",IFERROR(IF(INDEX(MASTER!$O$4:$O$1463,$P76)="","",INDEX(MASTER!$O$4:$O$1463,$P76)),""))</f>
        <v>C</v>
      </c>
      <c r="M76" s="19">
        <f>IF($P76="","",IFERROR(IF(INDEX(MASTER!$Q$4:$Q$1463,$P76)="","",INDEX(MASTER!$Q$4:$Q$1463,$P76)),""))</f>
        <v>74</v>
      </c>
      <c r="N76" s="19" t="str">
        <f>IF($P76="","",IFERROR(IF(INDEX(MASTER!$S$4:$S$1463,$P76)="","",INDEX(MASTER!$S$4:$S$1463,$P76)),""))</f>
        <v>Complete</v>
      </c>
      <c r="P76">
        <f>IFERROR(MATCH($Q$1&amp;"@68",MASTER!$AC$4:$AC$1463,0),"")</f>
        <v>929</v>
      </c>
    </row>
    <row r="77" spans="1:16">
      <c r="A77" s="15">
        <f>IF($P77="","",69)</f>
        <v>69</v>
      </c>
      <c r="B77" s="14" t="str">
        <f>IF($P77="","",IFERROR(IF(INDEX(MASTER!$C$4:$C$1463,$P77)="","",INDEX(MASTER!$C$4:$C$1463,$P77)),""))</f>
        <v>Rebsos</v>
      </c>
      <c r="C77" s="15" t="str">
        <f>IF($P77="","",IFERROR(IF(INDEX(MASTER!$D$4:$D$1463,$P77)="","",INDEX(MASTER!$D$4:$D$1463,$P77)),""))</f>
        <v/>
      </c>
      <c r="D77" s="15" t="str">
        <f>IF($P77="","",IFERROR(IF(INDEX(MASTER!$E$4:$E$1463,$P77)="","",INDEX(MASTER!$E$4:$E$1463,$P77)),""))</f>
        <v>WARLOCK</v>
      </c>
      <c r="E77" s="15" t="str">
        <f>IF($P77="","",IFERROR(IF(INDEX(MASTER!$F$4:$F$1463,$P77)="","",INDEX(MASTER!$F$4:$F$1463,$P77)),""))</f>
        <v>Control</v>
      </c>
      <c r="F77" s="16">
        <f>IF($P77="","",IFERROR(IF(INDEX(MASTER!$G$4:$G$1463,$P77)="","",INDEX(MASTER!$G$4:$G$1463,$P77)),""))</f>
        <v>60691</v>
      </c>
      <c r="G77" s="15" t="str">
        <f>IF($P77="","",IFERROR(IF(INDEX(MASTER!$H$4:$H$1463,$P77)="","",INDEX(MASTER!$H$4:$H$1463,$P77)),""))</f>
        <v>60,000 - 60,999</v>
      </c>
      <c r="H77" s="16">
        <f>IF($P77="","",IFERROR(IF(INDEX(MASTER!$I$4:$I$1463,$P77)="","",INDEX(MASTER!$I$4:$I$1463,$P77)),""))</f>
        <v>622</v>
      </c>
      <c r="I77" s="15" t="str">
        <f>IF($P77="","",IFERROR(IF(INDEX(MASTER!$J$4:$J$1463,$P77)="","",INDEX(MASTER!$J$4:$J$1463,$P77)),""))</f>
        <v>ROOKIE</v>
      </c>
      <c r="J77" s="17">
        <f>IF($P77="","",IFERROR(IF(INDEX(MASTER!$L$4:$L$1463,$P77)="","",INDEX(MASTER!$L$4:$L$1463,$P77)),""))</f>
        <v>2.9</v>
      </c>
      <c r="K77" s="17">
        <f>IF($P77="","",IFERROR(IF(INDEX(MASTER!$N$4:$N$1463,$P77)="","",INDEX(MASTER!$N$4:$N$1463,$P77)),""))</f>
        <v>22.5</v>
      </c>
      <c r="L77" s="15" t="str">
        <f>IF($P77="","",IFERROR(IF(INDEX(MASTER!$O$4:$O$1463,$P77)="","",INDEX(MASTER!$O$4:$O$1463,$P77)),""))</f>
        <v>C</v>
      </c>
      <c r="M77" s="15">
        <f>IF($P77="","",IFERROR(IF(INDEX(MASTER!$Q$4:$Q$1463,$P77)="","",INDEX(MASTER!$Q$4:$Q$1463,$P77)),""))</f>
        <v>93</v>
      </c>
      <c r="N77" s="15" t="str">
        <f>IF($P77="","",IFERROR(IF(INDEX(MASTER!$S$4:$S$1463,$P77)="","",INDEX(MASTER!$S$4:$S$1463,$P77)),""))</f>
        <v>Complete</v>
      </c>
      <c r="P77">
        <f>IFERROR(MATCH($Q$1&amp;"@69",MASTER!$AC$4:$AC$1463,0),"")</f>
        <v>938</v>
      </c>
    </row>
    <row r="78" spans="1:16">
      <c r="A78" s="19">
        <f>IF($P78="","",70)</f>
        <v>70</v>
      </c>
      <c r="B78" s="18" t="str">
        <f>IF($P78="","",IFERROR(IF(INDEX(MASTER!$C$4:$C$1463,$P78)="","",INDEX(MASTER!$C$4:$C$1463,$P78)),""))</f>
        <v>Ridethelightning</v>
      </c>
      <c r="C78" s="19" t="str">
        <f>IF($P78="","",IFERROR(IF(INDEX(MASTER!$D$4:$D$1463,$P78)="","",INDEX(MASTER!$D$4:$D$1463,$P78)),""))</f>
        <v/>
      </c>
      <c r="D78" s="19" t="str">
        <f>IF($P78="","",IFERROR(IF(INDEX(MASTER!$E$4:$E$1463,$P78)="","",INDEX(MASTER!$E$4:$E$1463,$P78)),""))</f>
        <v>WARLOCK</v>
      </c>
      <c r="E78" s="19" t="str">
        <f>IF($P78="","",IFERROR(IF(INDEX(MASTER!$F$4:$F$1463,$P78)="","",INDEX(MASTER!$F$4:$F$1463,$P78)),""))</f>
        <v>Control</v>
      </c>
      <c r="F78" s="20">
        <f>IF($P78="","",IFERROR(IF(INDEX(MASTER!$G$4:$G$1463,$P78)="","",INDEX(MASTER!$G$4:$G$1463,$P78)),""))</f>
        <v>60096</v>
      </c>
      <c r="G78" s="19" t="str">
        <f>IF($P78="","",IFERROR(IF(INDEX(MASTER!$H$4:$H$1463,$P78)="","",INDEX(MASTER!$H$4:$H$1463,$P78)),""))</f>
        <v>60,000 - 60,999</v>
      </c>
      <c r="H78" s="20">
        <f>IF($P78="","",IFERROR(IF(INDEX(MASTER!$I$4:$I$1463,$P78)="","",INDEX(MASTER!$I$4:$I$1463,$P78)),""))</f>
        <v>2572</v>
      </c>
      <c r="I78" s="19" t="str">
        <f>IF($P78="","",IFERROR(IF(INDEX(MASTER!$J$4:$J$1463,$P78)="","",INDEX(MASTER!$J$4:$J$1463,$P78)),""))</f>
        <v>DEVELOPING</v>
      </c>
      <c r="J78" s="21">
        <f>IF($P78="","",IFERROR(IF(INDEX(MASTER!$L$4:$L$1463,$P78)="","",INDEX(MASTER!$L$4:$L$1463,$P78)),""))</f>
        <v>3.5</v>
      </c>
      <c r="K78" s="21">
        <f>IF($P78="","",IFERROR(IF(INDEX(MASTER!$N$4:$N$1463,$P78)="","",INDEX(MASTER!$N$4:$N$1463,$P78)),""))</f>
        <v>30.5</v>
      </c>
      <c r="L78" s="19" t="str">
        <f>IF($P78="","",IFERROR(IF(INDEX(MASTER!$O$4:$O$1463,$P78)="","",INDEX(MASTER!$O$4:$O$1463,$P78)),""))</f>
        <v>C</v>
      </c>
      <c r="M78" s="19">
        <f>IF($P78="","",IFERROR(IF(INDEX(MASTER!$Q$4:$Q$1463,$P78)="","",INDEX(MASTER!$Q$4:$Q$1463,$P78)),""))</f>
        <v>36</v>
      </c>
      <c r="N78" s="19" t="str">
        <f>IF($P78="","",IFERROR(IF(INDEX(MASTER!$S$4:$S$1463,$P78)="","",INDEX(MASTER!$S$4:$S$1463,$P78)),""))</f>
        <v>Complete</v>
      </c>
      <c r="P78">
        <f>IFERROR(MATCH($Q$1&amp;"@70",MASTER!$AC$4:$AC$1463,0),"")</f>
        <v>952</v>
      </c>
    </row>
    <row r="79" spans="1:16">
      <c r="A79" s="15">
        <f>IF($P79="","",71)</f>
        <v>71</v>
      </c>
      <c r="B79" s="14" t="str">
        <f>IF($P79="","",IFERROR(IF(INDEX(MASTER!$C$4:$C$1463,$P79)="","",INDEX(MASTER!$C$4:$C$1463,$P79)),""))</f>
        <v>Rodamatic</v>
      </c>
      <c r="C79" s="15" t="str">
        <f>IF($P79="","",IFERROR(IF(INDEX(MASTER!$D$4:$D$1463,$P79)="","",INDEX(MASTER!$D$4:$D$1463,$P79)),""))</f>
        <v/>
      </c>
      <c r="D79" s="15" t="str">
        <f>IF($P79="","",IFERROR(IF(INDEX(MASTER!$E$4:$E$1463,$P79)="","",INDEX(MASTER!$E$4:$E$1463,$P79)),""))</f>
        <v>NECROMANCER</v>
      </c>
      <c r="E79" s="15" t="str">
        <f>IF($P79="","",IFERROR(IF(INDEX(MASTER!$F$4:$F$1463,$P79)="","",INDEX(MASTER!$F$4:$F$1463,$P79)),""))</f>
        <v>Control</v>
      </c>
      <c r="F79" s="16">
        <f>IF($P79="","",IFERROR(IF(INDEX(MASTER!$G$4:$G$1463,$P79)="","",INDEX(MASTER!$G$4:$G$1463,$P79)),""))</f>
        <v>12455</v>
      </c>
      <c r="G79" s="15" t="str">
        <f>IF($P79="","",IFERROR(IF(INDEX(MASTER!$H$4:$H$1463,$P79)="","",INDEX(MASTER!$H$4:$H$1463,$P79)),""))</f>
        <v>Under 58,000</v>
      </c>
      <c r="H79" s="16">
        <f>IF($P79="","",IFERROR(IF(INDEX(MASTER!$I$4:$I$1463,$P79)="","",INDEX(MASTER!$I$4:$I$1463,$P79)),""))</f>
        <v>30</v>
      </c>
      <c r="I79" s="15" t="str">
        <f>IF($P79="","",IFERROR(IF(INDEX(MASTER!$J$4:$J$1463,$P79)="","",INDEX(MASTER!$J$4:$J$1463,$P79)),""))</f>
        <v>ROOKIE</v>
      </c>
      <c r="J79" s="17">
        <f>IF($P79="","",IFERROR(IF(INDEX(MASTER!$L$4:$L$1463,$P79)="","",INDEX(MASTER!$L$4:$L$1463,$P79)),""))</f>
        <v>0.3</v>
      </c>
      <c r="K79" s="17">
        <f>IF($P79="","",IFERROR(IF(INDEX(MASTER!$N$4:$N$1463,$P79)="","",INDEX(MASTER!$N$4:$N$1463,$P79)),""))</f>
        <v>0.6</v>
      </c>
      <c r="L79" s="15" t="str">
        <f>IF($P79="","",IFERROR(IF(INDEX(MASTER!$O$4:$O$1463,$P79)="","",INDEX(MASTER!$O$4:$O$1463,$P79)),""))</f>
        <v>D</v>
      </c>
      <c r="M79" s="15">
        <f>IF($P79="","",IFERROR(IF(INDEX(MASTER!$Q$4:$Q$1463,$P79)="","",INDEX(MASTER!$Q$4:$Q$1463,$P79)),""))</f>
        <v>97</v>
      </c>
      <c r="N79" s="15" t="str">
        <f>IF($P79="","",IFERROR(IF(INDEX(MASTER!$S$4:$S$1463,$P79)="","",INDEX(MASTER!$S$4:$S$1463,$P79)),""))</f>
        <v>Complete</v>
      </c>
      <c r="P79">
        <f>IFERROR(MATCH($Q$1&amp;"@71",MASTER!$AC$4:$AC$1463,0),"")</f>
        <v>958</v>
      </c>
    </row>
    <row r="80" spans="1:16">
      <c r="A80" s="19">
        <f>IF($P80="","",72)</f>
        <v>72</v>
      </c>
      <c r="B80" s="18" t="str">
        <f>IF($P80="","",IFERROR(IF(INDEX(MASTER!$C$4:$C$1463,$P80)="","",INDEX(MASTER!$C$4:$C$1463,$P80)),""))</f>
        <v>Rosilin</v>
      </c>
      <c r="C80" s="19" t="str">
        <f>IF($P80="","",IFERROR(IF(INDEX(MASTER!$D$4:$D$1463,$P80)="","",INDEX(MASTER!$D$4:$D$1463,$P80)),""))</f>
        <v/>
      </c>
      <c r="D80" s="19" t="str">
        <f>IF($P80="","",IFERROR(IF(INDEX(MASTER!$E$4:$E$1463,$P80)="","",INDEX(MASTER!$E$4:$E$1463,$P80)),""))</f>
        <v>CRUSADER</v>
      </c>
      <c r="E80" s="19" t="str">
        <f>IF($P80="","",IFERROR(IF(INDEX(MASTER!$F$4:$F$1463,$P80)="","",INDEX(MASTER!$F$4:$F$1463,$P80)),""))</f>
        <v>Frontline</v>
      </c>
      <c r="F80" s="20">
        <f>IF($P80="","",IFERROR(IF(INDEX(MASTER!$G$4:$G$1463,$P80)="","",INDEX(MASTER!$G$4:$G$1463,$P80)),""))</f>
        <v>61407</v>
      </c>
      <c r="G80" s="19" t="str">
        <f>IF($P80="","",IFERROR(IF(INDEX(MASTER!$H$4:$H$1463,$P80)="","",INDEX(MASTER!$H$4:$H$1463,$P80)),""))</f>
        <v>61,000 - 61,999</v>
      </c>
      <c r="H80" s="20">
        <f>IF($P80="","",IFERROR(IF(INDEX(MASTER!$I$4:$I$1463,$P80)="","",INDEX(MASTER!$I$4:$I$1463,$P80)),""))</f>
        <v>1740</v>
      </c>
      <c r="I80" s="19" t="str">
        <f>IF($P80="","",IFERROR(IF(INDEX(MASTER!$J$4:$J$1463,$P80)="","",INDEX(MASTER!$J$4:$J$1463,$P80)),""))</f>
        <v>ROOKIE</v>
      </c>
      <c r="J80" s="21">
        <f>IF($P80="","",IFERROR(IF(INDEX(MASTER!$L$4:$L$1463,$P80)="","",INDEX(MASTER!$L$4:$L$1463,$P80)),""))</f>
        <v>2.85</v>
      </c>
      <c r="K80" s="21">
        <f>IF($P80="","",IFERROR(IF(INDEX(MASTER!$N$4:$N$1463,$P80)="","",INDEX(MASTER!$N$4:$N$1463,$P80)),""))</f>
        <v>29.2</v>
      </c>
      <c r="L80" s="19" t="str">
        <f>IF($P80="","",IFERROR(IF(INDEX(MASTER!$O$4:$O$1463,$P80)="","",INDEX(MASTER!$O$4:$O$1463,$P80)),""))</f>
        <v>C</v>
      </c>
      <c r="M80" s="19">
        <f>IF($P80="","",IFERROR(IF(INDEX(MASTER!$Q$4:$Q$1463,$P80)="","",INDEX(MASTER!$Q$4:$Q$1463,$P80)),""))</f>
        <v>61</v>
      </c>
      <c r="N80" s="19" t="str">
        <f>IF($P80="","",IFERROR(IF(INDEX(MASTER!$S$4:$S$1463,$P80)="","",INDEX(MASTER!$S$4:$S$1463,$P80)),""))</f>
        <v>Complete</v>
      </c>
      <c r="P80">
        <f>IFERROR(MATCH($Q$1&amp;"@72",MASTER!$AC$4:$AC$1463,0),"")</f>
        <v>964</v>
      </c>
    </row>
    <row r="81" spans="1:16">
      <c r="A81" s="15">
        <f>IF($P81="","",73)</f>
        <v>73</v>
      </c>
      <c r="B81" s="14" t="str">
        <f>IF($P81="","",IFERROR(IF(INDEX(MASTER!$C$4:$C$1463,$P81)="","",INDEX(MASTER!$C$4:$C$1463,$P81)),""))</f>
        <v>Schuess007</v>
      </c>
      <c r="C81" s="15" t="str">
        <f>IF($P81="","",IFERROR(IF(INDEX(MASTER!$D$4:$D$1463,$P81)="","",INDEX(MASTER!$D$4:$D$1463,$P81)),""))</f>
        <v/>
      </c>
      <c r="D81" s="15" t="str">
        <f>IF($P81="","",IFERROR(IF(INDEX(MASTER!$E$4:$E$1463,$P81)="","",INDEX(MASTER!$E$4:$E$1463,$P81)),""))</f>
        <v>NECROMANCER</v>
      </c>
      <c r="E81" s="15" t="str">
        <f>IF($P81="","",IFERROR(IF(INDEX(MASTER!$F$4:$F$1463,$P81)="","",INDEX(MASTER!$F$4:$F$1463,$P81)),""))</f>
        <v>Control</v>
      </c>
      <c r="F81" s="16">
        <f>IF($P81="","",IFERROR(IF(INDEX(MASTER!$G$4:$G$1463,$P81)="","",INDEX(MASTER!$G$4:$G$1463,$P81)),""))</f>
        <v>63026</v>
      </c>
      <c r="G81" s="15" t="str">
        <f>IF($P81="","",IFERROR(IF(INDEX(MASTER!$H$4:$H$1463,$P81)="","",INDEX(MASTER!$H$4:$H$1463,$P81)),""))</f>
        <v>63,000 - 63,999</v>
      </c>
      <c r="H81" s="16">
        <f>IF($P81="","",IFERROR(IF(INDEX(MASTER!$I$4:$I$1463,$P81)="","",INDEX(MASTER!$I$4:$I$1463,$P81)),""))</f>
        <v>2766</v>
      </c>
      <c r="I81" s="15" t="str">
        <f>IF($P81="","",IFERROR(IF(INDEX(MASTER!$J$4:$J$1463,$P81)="","",INDEX(MASTER!$J$4:$J$1463,$P81)),""))</f>
        <v>DEVELOPING</v>
      </c>
      <c r="J81" s="17">
        <f>IF($P81="","",IFERROR(IF(INDEX(MASTER!$L$4:$L$1463,$P81)="","",INDEX(MASTER!$L$4:$L$1463,$P81)),""))</f>
        <v>4.7300000000000004</v>
      </c>
      <c r="K81" s="17">
        <f>IF($P81="","",IFERROR(IF(INDEX(MASTER!$N$4:$N$1463,$P81)="","",INDEX(MASTER!$N$4:$N$1463,$P81)),""))</f>
        <v>41.1</v>
      </c>
      <c r="L81" s="15" t="str">
        <f>IF($P81="","",IFERROR(IF(INDEX(MASTER!$O$4:$O$1463,$P81)="","",INDEX(MASTER!$O$4:$O$1463,$P81)),""))</f>
        <v>B</v>
      </c>
      <c r="M81" s="15">
        <f>IF($P81="","",IFERROR(IF(INDEX(MASTER!$Q$4:$Q$1463,$P81)="","",INDEX(MASTER!$Q$4:$Q$1463,$P81)),""))</f>
        <v>30</v>
      </c>
      <c r="N81" s="15" t="str">
        <f>IF($P81="","",IFERROR(IF(INDEX(MASTER!$S$4:$S$1463,$P81)="","",INDEX(MASTER!$S$4:$S$1463,$P81)),""))</f>
        <v>Complete</v>
      </c>
      <c r="P81">
        <f>IFERROR(MATCH($Q$1&amp;"@73",MASTER!$AC$4:$AC$1463,0),"")</f>
        <v>988</v>
      </c>
    </row>
    <row r="82" spans="1:16">
      <c r="A82" s="19">
        <f>IF($P82="","",74)</f>
        <v>74</v>
      </c>
      <c r="B82" s="18" t="str">
        <f>IF($P82="","",IFERROR(IF(INDEX(MASTER!$C$4:$C$1463,$P82)="","",INDEX(MASTER!$C$4:$C$1463,$P82)),""))</f>
        <v>SerShagswell</v>
      </c>
      <c r="C82" s="19" t="str">
        <f>IF($P82="","",IFERROR(IF(INDEX(MASTER!$D$4:$D$1463,$P82)="","",INDEX(MASTER!$D$4:$D$1463,$P82)),""))</f>
        <v/>
      </c>
      <c r="D82" s="19" t="str">
        <f>IF($P82="","",IFERROR(IF(INDEX(MASTER!$E$4:$E$1463,$P82)="","",INDEX(MASTER!$E$4:$E$1463,$P82)),""))</f>
        <v>CRUSADER</v>
      </c>
      <c r="E82" s="19" t="str">
        <f>IF($P82="","",IFERROR(IF(INDEX(MASTER!$F$4:$F$1463,$P82)="","",INDEX(MASTER!$F$4:$F$1463,$P82)),""))</f>
        <v>Frontline</v>
      </c>
      <c r="F82" s="20">
        <f>IF($P82="","",IFERROR(IF(INDEX(MASTER!$G$4:$G$1463,$P82)="","",INDEX(MASTER!$G$4:$G$1463,$P82)),""))</f>
        <v>60946</v>
      </c>
      <c r="G82" s="19" t="str">
        <f>IF($P82="","",IFERROR(IF(INDEX(MASTER!$H$4:$H$1463,$P82)="","",INDEX(MASTER!$H$4:$H$1463,$P82)),""))</f>
        <v>60,000 - 60,999</v>
      </c>
      <c r="H82" s="20">
        <f>IF($P82="","",IFERROR(IF(INDEX(MASTER!$I$4:$I$1463,$P82)="","",INDEX(MASTER!$I$4:$I$1463,$P82)),""))</f>
        <v>2015</v>
      </c>
      <c r="I82" s="19" t="str">
        <f>IF($P82="","",IFERROR(IF(INDEX(MASTER!$J$4:$J$1463,$P82)="","",INDEX(MASTER!$J$4:$J$1463,$P82)),""))</f>
        <v>DEVELOPING</v>
      </c>
      <c r="J82" s="21">
        <f>IF($P82="","",IFERROR(IF(INDEX(MASTER!$L$4:$L$1463,$P82)="","",INDEX(MASTER!$L$4:$L$1463,$P82)),""))</f>
        <v>3.87</v>
      </c>
      <c r="K82" s="21">
        <f>IF($P82="","",IFERROR(IF(INDEX(MASTER!$N$4:$N$1463,$P82)="","",INDEX(MASTER!$N$4:$N$1463,$P82)),""))</f>
        <v>30.9</v>
      </c>
      <c r="L82" s="19" t="str">
        <f>IF($P82="","",IFERROR(IF(INDEX(MASTER!$O$4:$O$1463,$P82)="","",INDEX(MASTER!$O$4:$O$1463,$P82)),""))</f>
        <v>C</v>
      </c>
      <c r="M82" s="19">
        <f>IF($P82="","",IFERROR(IF(INDEX(MASTER!$Q$4:$Q$1463,$P82)="","",INDEX(MASTER!$Q$4:$Q$1463,$P82)),""))</f>
        <v>54</v>
      </c>
      <c r="N82" s="19" t="str">
        <f>IF($P82="","",IFERROR(IF(INDEX(MASTER!$S$4:$S$1463,$P82)="","",INDEX(MASTER!$S$4:$S$1463,$P82)),""))</f>
        <v>Complete</v>
      </c>
      <c r="P82">
        <f>IFERROR(MATCH($Q$1&amp;"@74",MASTER!$AC$4:$AC$1463,0),"")</f>
        <v>997</v>
      </c>
    </row>
    <row r="83" spans="1:16">
      <c r="A83" s="15">
        <f>IF($P83="","",75)</f>
        <v>75</v>
      </c>
      <c r="B83" s="14" t="str">
        <f>IF($P83="","",IFERROR(IF(INDEX(MASTER!$C$4:$C$1463,$P83)="","",INDEX(MASTER!$C$4:$C$1463,$P83)),""))</f>
        <v>SirPug</v>
      </c>
      <c r="C83" s="15" t="str">
        <f>IF($P83="","",IFERROR(IF(INDEX(MASTER!$D$4:$D$1463,$P83)="","",INDEX(MASTER!$D$4:$D$1463,$P83)),""))</f>
        <v/>
      </c>
      <c r="D83" s="15" t="str">
        <f>IF($P83="","",IFERROR(IF(INDEX(MASTER!$E$4:$E$1463,$P83)="","",INDEX(MASTER!$E$4:$E$1463,$P83)),""))</f>
        <v>CRUSADER</v>
      </c>
      <c r="E83" s="15" t="str">
        <f>IF($P83="","",IFERROR(IF(INDEX(MASTER!$F$4:$F$1463,$P83)="","",INDEX(MASTER!$F$4:$F$1463,$P83)),""))</f>
        <v>Frontline</v>
      </c>
      <c r="F83" s="16">
        <f>IF($P83="","",IFERROR(IF(INDEX(MASTER!$G$4:$G$1463,$P83)="","",INDEX(MASTER!$G$4:$G$1463,$P83)),""))</f>
        <v>60885</v>
      </c>
      <c r="G83" s="15" t="str">
        <f>IF($P83="","",IFERROR(IF(INDEX(MASTER!$H$4:$H$1463,$P83)="","",INDEX(MASTER!$H$4:$H$1463,$P83)),""))</f>
        <v>60,000 - 60,999</v>
      </c>
      <c r="H83" s="16">
        <f>IF($P83="","",IFERROR(IF(INDEX(MASTER!$I$4:$I$1463,$P83)="","",INDEX(MASTER!$I$4:$I$1463,$P83)),""))</f>
        <v>3380</v>
      </c>
      <c r="I83" s="15" t="str">
        <f>IF($P83="","",IFERROR(IF(INDEX(MASTER!$J$4:$J$1463,$P83)="","",INDEX(MASTER!$J$4:$J$1463,$P83)),""))</f>
        <v>DEVELOPING</v>
      </c>
      <c r="J83" s="17">
        <f>IF($P83="","",IFERROR(IF(INDEX(MASTER!$L$4:$L$1463,$P83)="","",INDEX(MASTER!$L$4:$L$1463,$P83)),""))</f>
        <v>5</v>
      </c>
      <c r="K83" s="17">
        <f>IF($P83="","",IFERROR(IF(INDEX(MASTER!$N$4:$N$1463,$P83)="","",INDEX(MASTER!$N$4:$N$1463,$P83)),""))</f>
        <v>38.6</v>
      </c>
      <c r="L83" s="15" t="str">
        <f>IF($P83="","",IFERROR(IF(INDEX(MASTER!$O$4:$O$1463,$P83)="","",INDEX(MASTER!$O$4:$O$1463,$P83)),""))</f>
        <v>B</v>
      </c>
      <c r="M83" s="15">
        <f>IF($P83="","",IFERROR(IF(INDEX(MASTER!$Q$4:$Q$1463,$P83)="","",INDEX(MASTER!$Q$4:$Q$1463,$P83)),""))</f>
        <v>18</v>
      </c>
      <c r="N83" s="15" t="str">
        <f>IF($P83="","",IFERROR(IF(INDEX(MASTER!$S$4:$S$1463,$P83)="","",INDEX(MASTER!$S$4:$S$1463,$P83)),""))</f>
        <v>Complete</v>
      </c>
      <c r="P83">
        <f>IFERROR(MATCH($Q$1&amp;"@75",MASTER!$AC$4:$AC$1463,0),"")</f>
        <v>1028</v>
      </c>
    </row>
    <row r="84" spans="1:16">
      <c r="A84" s="19">
        <f>IF($P84="","",76)</f>
        <v>76</v>
      </c>
      <c r="B84" s="18" t="str">
        <f>IF($P84="","",IFERROR(IF(INDEX(MASTER!$C$4:$C$1463,$P84)="","",INDEX(MASTER!$C$4:$C$1463,$P84)),""))</f>
        <v>Skyya</v>
      </c>
      <c r="C84" s="19" t="str">
        <f>IF($P84="","",IFERROR(IF(INDEX(MASTER!$D$4:$D$1463,$P84)="","",INDEX(MASTER!$D$4:$D$1463,$P84)),""))</f>
        <v/>
      </c>
      <c r="D84" s="19" t="str">
        <f>IF($P84="","",IFERROR(IF(INDEX(MASTER!$E$4:$E$1463,$P84)="","",INDEX(MASTER!$E$4:$E$1463,$P84)),""))</f>
        <v>DEMON HUNTER</v>
      </c>
      <c r="E84" s="19" t="str">
        <f>IF($P84="","",IFERROR(IF(INDEX(MASTER!$F$4:$F$1463,$P84)="","",INDEX(MASTER!$F$4:$F$1463,$P84)),""))</f>
        <v>Ranged DPS</v>
      </c>
      <c r="F84" s="20">
        <f>IF($P84="","",IFERROR(IF(INDEX(MASTER!$G$4:$G$1463,$P84)="","",INDEX(MASTER!$G$4:$G$1463,$P84)),""))</f>
        <v>62267</v>
      </c>
      <c r="G84" s="19" t="str">
        <f>IF($P84="","",IFERROR(IF(INDEX(MASTER!$H$4:$H$1463,$P84)="","",INDEX(MASTER!$H$4:$H$1463,$P84)),""))</f>
        <v>62,000 - 62,999</v>
      </c>
      <c r="H84" s="20">
        <f>IF($P84="","",IFERROR(IF(INDEX(MASTER!$I$4:$I$1463,$P84)="","",INDEX(MASTER!$I$4:$I$1463,$P84)),""))</f>
        <v>4493</v>
      </c>
      <c r="I84" s="19" t="str">
        <f>IF($P84="","",IFERROR(IF(INDEX(MASTER!$J$4:$J$1463,$P84)="","",INDEX(MASTER!$J$4:$J$1463,$P84)),""))</f>
        <v>CORE</v>
      </c>
      <c r="J84" s="21">
        <f>IF($P84="","",IFERROR(IF(INDEX(MASTER!$L$4:$L$1463,$P84)="","",INDEX(MASTER!$L$4:$L$1463,$P84)),""))</f>
        <v>4.2</v>
      </c>
      <c r="K84" s="21">
        <f>IF($P84="","",IFERROR(IF(INDEX(MASTER!$N$4:$N$1463,$P84)="","",INDEX(MASTER!$N$4:$N$1463,$P84)),""))</f>
        <v>45.7</v>
      </c>
      <c r="L84" s="19" t="str">
        <f>IF($P84="","",IFERROR(IF(INDEX(MASTER!$O$4:$O$1463,$P84)="","",INDEX(MASTER!$O$4:$O$1463,$P84)),""))</f>
        <v>B</v>
      </c>
      <c r="M84" s="19">
        <f>IF($P84="","",IFERROR(IF(INDEX(MASTER!$Q$4:$Q$1463,$P84)="","",INDEX(MASTER!$Q$4:$Q$1463,$P84)),""))</f>
        <v>6</v>
      </c>
      <c r="N84" s="19" t="str">
        <f>IF($P84="","",IFERROR(IF(INDEX(MASTER!$S$4:$S$1463,$P84)="","",INDEX(MASTER!$S$4:$S$1463,$P84)),""))</f>
        <v>Complete</v>
      </c>
      <c r="P84">
        <f>IFERROR(MATCH($Q$1&amp;"@76",MASTER!$AC$4:$AC$1463,0),"")</f>
        <v>1036</v>
      </c>
    </row>
    <row r="85" spans="1:16">
      <c r="A85" s="15">
        <f>IF($P85="","",77)</f>
        <v>77</v>
      </c>
      <c r="B85" s="14" t="str">
        <f>IF($P85="","",IFERROR(IF(INDEX(MASTER!$C$4:$C$1463,$P85)="","",INDEX(MASTER!$C$4:$C$1463,$P85)),""))</f>
        <v>Soggypretzels</v>
      </c>
      <c r="C85" s="15" t="str">
        <f>IF($P85="","",IFERROR(IF(INDEX(MASTER!$D$4:$D$1463,$P85)="","",INDEX(MASTER!$D$4:$D$1463,$P85)),""))</f>
        <v/>
      </c>
      <c r="D85" s="15" t="str">
        <f>IF($P85="","",IFERROR(IF(INDEX(MASTER!$E$4:$E$1463,$P85)="","",INDEX(MASTER!$E$4:$E$1463,$P85)),""))</f>
        <v>WARLOCK</v>
      </c>
      <c r="E85" s="15" t="str">
        <f>IF($P85="","",IFERROR(IF(INDEX(MASTER!$F$4:$F$1463,$P85)="","",INDEX(MASTER!$F$4:$F$1463,$P85)),""))</f>
        <v>Control</v>
      </c>
      <c r="F85" s="16">
        <f>IF($P85="","",IFERROR(IF(INDEX(MASTER!$G$4:$G$1463,$P85)="","",INDEX(MASTER!$G$4:$G$1463,$P85)),""))</f>
        <v>61780</v>
      </c>
      <c r="G85" s="15" t="str">
        <f>IF($P85="","",IFERROR(IF(INDEX(MASTER!$H$4:$H$1463,$P85)="","",INDEX(MASTER!$H$4:$H$1463,$P85)),""))</f>
        <v>61,000 - 61,999</v>
      </c>
      <c r="H85" s="16">
        <f>IF($P85="","",IFERROR(IF(INDEX(MASTER!$I$4:$I$1463,$P85)="","",INDEX(MASTER!$I$4:$I$1463,$P85)),""))</f>
        <v>1969</v>
      </c>
      <c r="I85" s="15" t="str">
        <f>IF($P85="","",IFERROR(IF(INDEX(MASTER!$J$4:$J$1463,$P85)="","",INDEX(MASTER!$J$4:$J$1463,$P85)),""))</f>
        <v>ROOKIE</v>
      </c>
      <c r="J85" s="17">
        <f>IF($P85="","",IFERROR(IF(INDEX(MASTER!$L$4:$L$1463,$P85)="","",INDEX(MASTER!$L$4:$L$1463,$P85)),""))</f>
        <v>3.2</v>
      </c>
      <c r="K85" s="17">
        <f>IF($P85="","",IFERROR(IF(INDEX(MASTER!$N$4:$N$1463,$P85)="","",INDEX(MASTER!$N$4:$N$1463,$P85)),""))</f>
        <v>31.8</v>
      </c>
      <c r="L85" s="15" t="str">
        <f>IF($P85="","",IFERROR(IF(INDEX(MASTER!$O$4:$O$1463,$P85)="","",INDEX(MASTER!$O$4:$O$1463,$P85)),""))</f>
        <v>C</v>
      </c>
      <c r="M85" s="15">
        <f>IF($P85="","",IFERROR(IF(INDEX(MASTER!$Q$4:$Q$1463,$P85)="","",INDEX(MASTER!$Q$4:$Q$1463,$P85)),""))</f>
        <v>56</v>
      </c>
      <c r="N85" s="15" t="str">
        <f>IF($P85="","",IFERROR(IF(INDEX(MASTER!$S$4:$S$1463,$P85)="","",INDEX(MASTER!$S$4:$S$1463,$P85)),""))</f>
        <v>Complete</v>
      </c>
      <c r="P85">
        <f>IFERROR(MATCH($Q$1&amp;"@77",MASTER!$AC$4:$AC$1463,0),"")</f>
        <v>1052</v>
      </c>
    </row>
    <row r="86" spans="1:16">
      <c r="A86" s="19">
        <f>IF($P86="","",78)</f>
        <v>78</v>
      </c>
      <c r="B86" s="18" t="str">
        <f>IF($P86="","",IFERROR(IF(INDEX(MASTER!$C$4:$C$1463,$P86)="","",INDEX(MASTER!$C$4:$C$1463,$P86)),""))</f>
        <v>SudafedPM</v>
      </c>
      <c r="C86" s="19" t="str">
        <f>IF($P86="","",IFERROR(IF(INDEX(MASTER!$D$4:$D$1463,$P86)="","",INDEX(MASTER!$D$4:$D$1463,$P86)),""))</f>
        <v/>
      </c>
      <c r="D86" s="19" t="str">
        <f>IF($P86="","",IFERROR(IF(INDEX(MASTER!$E$4:$E$1463,$P86)="","",INDEX(MASTER!$E$4:$E$1463,$P86)),""))</f>
        <v>DEMON HUNTER</v>
      </c>
      <c r="E86" s="19" t="str">
        <f>IF($P86="","",IFERROR(IF(INDEX(MASTER!$F$4:$F$1463,$P86)="","",INDEX(MASTER!$F$4:$F$1463,$P86)),""))</f>
        <v>Ranged DPS</v>
      </c>
      <c r="F86" s="20">
        <f>IF($P86="","",IFERROR(IF(INDEX(MASTER!$G$4:$G$1463,$P86)="","",INDEX(MASTER!$G$4:$G$1463,$P86)),""))</f>
        <v>62213</v>
      </c>
      <c r="G86" s="19" t="str">
        <f>IF($P86="","",IFERROR(IF(INDEX(MASTER!$H$4:$H$1463,$P86)="","",INDEX(MASTER!$H$4:$H$1463,$P86)),""))</f>
        <v>62,000 - 62,999</v>
      </c>
      <c r="H86" s="20">
        <f>IF($P86="","",IFERROR(IF(INDEX(MASTER!$I$4:$I$1463,$P86)="","",INDEX(MASTER!$I$4:$I$1463,$P86)),""))</f>
        <v>5118</v>
      </c>
      <c r="I86" s="19" t="str">
        <f>IF($P86="","",IFERROR(IF(INDEX(MASTER!$J$4:$J$1463,$P86)="","",INDEX(MASTER!$J$4:$J$1463,$P86)),""))</f>
        <v>CORE</v>
      </c>
      <c r="J86" s="21">
        <f>IF($P86="","",IFERROR(IF(INDEX(MASTER!$L$4:$L$1463,$P86)="","",INDEX(MASTER!$L$4:$L$1463,$P86)),""))</f>
        <v>3.55</v>
      </c>
      <c r="K86" s="21">
        <f>IF($P86="","",IFERROR(IF(INDEX(MASTER!$N$4:$N$1463,$P86)="","",INDEX(MASTER!$N$4:$N$1463,$P86)),""))</f>
        <v>47.2</v>
      </c>
      <c r="L86" s="19" t="str">
        <f>IF($P86="","",IFERROR(IF(INDEX(MASTER!$O$4:$O$1463,$P86)="","",INDEX(MASTER!$O$4:$O$1463,$P86)),""))</f>
        <v>B</v>
      </c>
      <c r="M86" s="19">
        <f>IF($P86="","",IFERROR(IF(INDEX(MASTER!$Q$4:$Q$1463,$P86)="","",INDEX(MASTER!$Q$4:$Q$1463,$P86)),""))</f>
        <v>2</v>
      </c>
      <c r="N86" s="19" t="str">
        <f>IF($P86="","",IFERROR(IF(INDEX(MASTER!$S$4:$S$1463,$P86)="","",INDEX(MASTER!$S$4:$S$1463,$P86)),""))</f>
        <v>Complete</v>
      </c>
      <c r="P86">
        <f>IFERROR(MATCH($Q$1&amp;"@78",MASTER!$AC$4:$AC$1463,0),"")</f>
        <v>1087</v>
      </c>
    </row>
    <row r="87" spans="1:16">
      <c r="A87" s="15">
        <f>IF($P87="","",79)</f>
        <v>79</v>
      </c>
      <c r="B87" s="14" t="str">
        <f>IF($P87="","",IFERROR(IF(INDEX(MASTER!$C$4:$C$1463,$P87)="","",INDEX(MASTER!$C$4:$C$1463,$P87)),""))</f>
        <v>Taliesan</v>
      </c>
      <c r="C87" s="15" t="str">
        <f>IF($P87="","",IFERROR(IF(INDEX(MASTER!$D$4:$D$1463,$P87)="","",INDEX(MASTER!$D$4:$D$1463,$P87)),""))</f>
        <v/>
      </c>
      <c r="D87" s="15" t="str">
        <f>IF($P87="","",IFERROR(IF(INDEX(MASTER!$E$4:$E$1463,$P87)="","",INDEX(MASTER!$E$4:$E$1463,$P87)),""))</f>
        <v>DRUID</v>
      </c>
      <c r="E87" s="15" t="str">
        <f>IF($P87="","",IFERROR(IF(INDEX(MASTER!$F$4:$F$1463,$P87)="","",INDEX(MASTER!$F$4:$F$1463,$P87)),""))</f>
        <v>Support</v>
      </c>
      <c r="F87" s="16">
        <f>IF($P87="","",IFERROR(IF(INDEX(MASTER!$G$4:$G$1463,$P87)="","",INDEX(MASTER!$G$4:$G$1463,$P87)),""))</f>
        <v>60485</v>
      </c>
      <c r="G87" s="15" t="str">
        <f>IF($P87="","",IFERROR(IF(INDEX(MASTER!$H$4:$H$1463,$P87)="","",INDEX(MASTER!$H$4:$H$1463,$P87)),""))</f>
        <v>60,000 - 60,999</v>
      </c>
      <c r="H87" s="16">
        <f>IF($P87="","",IFERROR(IF(INDEX(MASTER!$I$4:$I$1463,$P87)="","",INDEX(MASTER!$I$4:$I$1463,$P87)),""))</f>
        <v>920</v>
      </c>
      <c r="I87" s="15" t="str">
        <f>IF($P87="","",IFERROR(IF(INDEX(MASTER!$J$4:$J$1463,$P87)="","",INDEX(MASTER!$J$4:$J$1463,$P87)),""))</f>
        <v>ROOKIE</v>
      </c>
      <c r="J87" s="17">
        <f>IF($P87="","",IFERROR(IF(INDEX(MASTER!$L$4:$L$1463,$P87)="","",INDEX(MASTER!$L$4:$L$1463,$P87)),""))</f>
        <v>3</v>
      </c>
      <c r="K87" s="17">
        <f>IF($P87="","",IFERROR(IF(INDEX(MASTER!$N$4:$N$1463,$P87)="","",INDEX(MASTER!$N$4:$N$1463,$P87)),""))</f>
        <v>23.5</v>
      </c>
      <c r="L87" s="15" t="str">
        <f>IF($P87="","",IFERROR(IF(INDEX(MASTER!$O$4:$O$1463,$P87)="","",INDEX(MASTER!$O$4:$O$1463,$P87)),""))</f>
        <v>C</v>
      </c>
      <c r="M87" s="15">
        <f>IF($P87="","",IFERROR(IF(INDEX(MASTER!$Q$4:$Q$1463,$P87)="","",INDEX(MASTER!$Q$4:$Q$1463,$P87)),""))</f>
        <v>86</v>
      </c>
      <c r="N87" s="15" t="str">
        <f>IF($P87="","",IFERROR(IF(INDEX(MASTER!$S$4:$S$1463,$P87)="","",INDEX(MASTER!$S$4:$S$1463,$P87)),""))</f>
        <v>Complete</v>
      </c>
      <c r="P87">
        <f>IFERROR(MATCH($Q$1&amp;"@79",MASTER!$AC$4:$AC$1463,0),"")</f>
        <v>1114</v>
      </c>
    </row>
    <row r="88" spans="1:16">
      <c r="A88" s="19">
        <f>IF($P88="","",80)</f>
        <v>80</v>
      </c>
      <c r="B88" s="18" t="str">
        <f>IF($P88="","",IFERROR(IF(INDEX(MASTER!$C$4:$C$1463,$P88)="","",INDEX(MASTER!$C$4:$C$1463,$P88)),""))</f>
        <v>Thydêl</v>
      </c>
      <c r="C88" s="19" t="str">
        <f>IF($P88="","",IFERROR(IF(INDEX(MASTER!$D$4:$D$1463,$P88)="","",INDEX(MASTER!$D$4:$D$1463,$P88)),""))</f>
        <v/>
      </c>
      <c r="D88" s="19" t="str">
        <f>IF($P88="","",IFERROR(IF(INDEX(MASTER!$E$4:$E$1463,$P88)="","",INDEX(MASTER!$E$4:$E$1463,$P88)),""))</f>
        <v>WARLOCK</v>
      </c>
      <c r="E88" s="19" t="str">
        <f>IF($P88="","",IFERROR(IF(INDEX(MASTER!$F$4:$F$1463,$P88)="","",INDEX(MASTER!$F$4:$F$1463,$P88)),""))</f>
        <v>Control</v>
      </c>
      <c r="F88" s="20">
        <f>IF($P88="","",IFERROR(IF(INDEX(MASTER!$G$4:$G$1463,$P88)="","",INDEX(MASTER!$G$4:$G$1463,$P88)),""))</f>
        <v>61510</v>
      </c>
      <c r="G88" s="19" t="str">
        <f>IF($P88="","",IFERROR(IF(INDEX(MASTER!$H$4:$H$1463,$P88)="","",INDEX(MASTER!$H$4:$H$1463,$P88)),""))</f>
        <v>61,000 - 61,999</v>
      </c>
      <c r="H88" s="20">
        <f>IF($P88="","",IFERROR(IF(INDEX(MASTER!$I$4:$I$1463,$P88)="","",INDEX(MASTER!$I$4:$I$1463,$P88)),""))</f>
        <v>2480</v>
      </c>
      <c r="I88" s="19" t="str">
        <f>IF($P88="","",IFERROR(IF(INDEX(MASTER!$J$4:$J$1463,$P88)="","",INDEX(MASTER!$J$4:$J$1463,$P88)),""))</f>
        <v>DEVELOPING</v>
      </c>
      <c r="J88" s="21">
        <f>IF($P88="","",IFERROR(IF(INDEX(MASTER!$L$4:$L$1463,$P88)="","",INDEX(MASTER!$L$4:$L$1463,$P88)),""))</f>
        <v>3.8</v>
      </c>
      <c r="K88" s="21">
        <f>IF($P88="","",IFERROR(IF(INDEX(MASTER!$N$4:$N$1463,$P88)="","",INDEX(MASTER!$N$4:$N$1463,$P88)),""))</f>
        <v>34.299999999999997</v>
      </c>
      <c r="L88" s="19" t="str">
        <f>IF($P88="","",IFERROR(IF(INDEX(MASTER!$O$4:$O$1463,$P88)="","",INDEX(MASTER!$O$4:$O$1463,$P88)),""))</f>
        <v>C</v>
      </c>
      <c r="M88" s="19">
        <f>IF($P88="","",IFERROR(IF(INDEX(MASTER!$Q$4:$Q$1463,$P88)="","",INDEX(MASTER!$Q$4:$Q$1463,$P88)),""))</f>
        <v>42</v>
      </c>
      <c r="N88" s="19" t="str">
        <f>IF($P88="","",IFERROR(IF(INDEX(MASTER!$S$4:$S$1463,$P88)="","",INDEX(MASTER!$S$4:$S$1463,$P88)),""))</f>
        <v>Complete</v>
      </c>
      <c r="P88">
        <f>IFERROR(MATCH($Q$1&amp;"@80",MASTER!$AC$4:$AC$1463,0),"")</f>
        <v>1150</v>
      </c>
    </row>
    <row r="89" spans="1:16">
      <c r="A89" s="15">
        <f>IF($P89="","",81)</f>
        <v>81</v>
      </c>
      <c r="B89" s="14" t="str">
        <f>IF($P89="","",IFERROR(IF(INDEX(MASTER!$C$4:$C$1463,$P89)="","",INDEX(MASTER!$C$4:$C$1463,$P89)),""))</f>
        <v>TimeWarpDrive</v>
      </c>
      <c r="C89" s="15" t="str">
        <f>IF($P89="","",IFERROR(IF(INDEX(MASTER!$D$4:$D$1463,$P89)="","",INDEX(MASTER!$D$4:$D$1463,$P89)),""))</f>
        <v/>
      </c>
      <c r="D89" s="15" t="str">
        <f>IF($P89="","",IFERROR(IF(INDEX(MASTER!$E$4:$E$1463,$P89)="","",INDEX(MASTER!$E$4:$E$1463,$P89)),""))</f>
        <v>DRUID</v>
      </c>
      <c r="E89" s="15" t="str">
        <f>IF($P89="","",IFERROR(IF(INDEX(MASTER!$F$4:$F$1463,$P89)="","",INDEX(MASTER!$F$4:$F$1463,$P89)),""))</f>
        <v>Support</v>
      </c>
      <c r="F89" s="16">
        <f>IF($P89="","",IFERROR(IF(INDEX(MASTER!$G$4:$G$1463,$P89)="","",INDEX(MASTER!$G$4:$G$1463,$P89)),""))</f>
        <v>60578</v>
      </c>
      <c r="G89" s="15" t="str">
        <f>IF($P89="","",IFERROR(IF(INDEX(MASTER!$H$4:$H$1463,$P89)="","",INDEX(MASTER!$H$4:$H$1463,$P89)),""))</f>
        <v>60,000 - 60,999</v>
      </c>
      <c r="H89" s="16">
        <f>IF($P89="","",IFERROR(IF(INDEX(MASTER!$I$4:$I$1463,$P89)="","",INDEX(MASTER!$I$4:$I$1463,$P89)),""))</f>
        <v>740</v>
      </c>
      <c r="I89" s="15" t="str">
        <f>IF($P89="","",IFERROR(IF(INDEX(MASTER!$J$4:$J$1463,$P89)="","",INDEX(MASTER!$J$4:$J$1463,$P89)),""))</f>
        <v>ROOKIE</v>
      </c>
      <c r="J89" s="17">
        <f>IF($P89="","",IFERROR(IF(INDEX(MASTER!$L$4:$L$1463,$P89)="","",INDEX(MASTER!$L$4:$L$1463,$P89)),""))</f>
        <v>2.85</v>
      </c>
      <c r="K89" s="17">
        <f>IF($P89="","",IFERROR(IF(INDEX(MASTER!$N$4:$N$1463,$P89)="","",INDEX(MASTER!$N$4:$N$1463,$P89)),""))</f>
        <v>22.7</v>
      </c>
      <c r="L89" s="15" t="str">
        <f>IF($P89="","",IFERROR(IF(INDEX(MASTER!$O$4:$O$1463,$P89)="","",INDEX(MASTER!$O$4:$O$1463,$P89)),""))</f>
        <v>C</v>
      </c>
      <c r="M89" s="15">
        <f>IF($P89="","",IFERROR(IF(INDEX(MASTER!$Q$4:$Q$1463,$P89)="","",INDEX(MASTER!$Q$4:$Q$1463,$P89)),""))</f>
        <v>90</v>
      </c>
      <c r="N89" s="15" t="str">
        <f>IF($P89="","",IFERROR(IF(INDEX(MASTER!$S$4:$S$1463,$P89)="","",INDEX(MASTER!$S$4:$S$1463,$P89)),""))</f>
        <v>Complete</v>
      </c>
      <c r="P89">
        <f>IFERROR(MATCH($Q$1&amp;"@81",MASTER!$AC$4:$AC$1463,0),"")</f>
        <v>1154</v>
      </c>
    </row>
    <row r="90" spans="1:16">
      <c r="A90" s="19">
        <f>IF($P90="","",82)</f>
        <v>82</v>
      </c>
      <c r="B90" s="18" t="str">
        <f>IF($P90="","",IFERROR(IF(INDEX(MASTER!$C$4:$C$1463,$P90)="","",INDEX(MASTER!$C$4:$C$1463,$P90)),""))</f>
        <v>TormundGB</v>
      </c>
      <c r="C90" s="19" t="str">
        <f>IF($P90="","",IFERROR(IF(INDEX(MASTER!$D$4:$D$1463,$P90)="","",INDEX(MASTER!$D$4:$D$1463,$P90)),""))</f>
        <v/>
      </c>
      <c r="D90" s="19" t="str">
        <f>IF($P90="","",IFERROR(IF(INDEX(MASTER!$E$4:$E$1463,$P90)="","",INDEX(MASTER!$E$4:$E$1463,$P90)),""))</f>
        <v>WARLOCK</v>
      </c>
      <c r="E90" s="19" t="str">
        <f>IF($P90="","",IFERROR(IF(INDEX(MASTER!$F$4:$F$1463,$P90)="","",INDEX(MASTER!$F$4:$F$1463,$P90)),""))</f>
        <v>Control</v>
      </c>
      <c r="F90" s="20">
        <f>IF($P90="","",IFERROR(IF(INDEX(MASTER!$G$4:$G$1463,$P90)="","",INDEX(MASTER!$G$4:$G$1463,$P90)),""))</f>
        <v>61713</v>
      </c>
      <c r="G90" s="19" t="str">
        <f>IF($P90="","",IFERROR(IF(INDEX(MASTER!$H$4:$H$1463,$P90)="","",INDEX(MASTER!$H$4:$H$1463,$P90)),""))</f>
        <v>61,000 - 61,999</v>
      </c>
      <c r="H90" s="20">
        <f>IF($P90="","",IFERROR(IF(INDEX(MASTER!$I$4:$I$1463,$P90)="","",INDEX(MASTER!$I$4:$I$1463,$P90)),""))</f>
        <v>1662</v>
      </c>
      <c r="I90" s="19" t="str">
        <f>IF($P90="","",IFERROR(IF(INDEX(MASTER!$J$4:$J$1463,$P90)="","",INDEX(MASTER!$J$4:$J$1463,$P90)),""))</f>
        <v>ROOKIE</v>
      </c>
      <c r="J90" s="21">
        <f>IF($P90="","",IFERROR(IF(INDEX(MASTER!$L$4:$L$1463,$P90)="","",INDEX(MASTER!$L$4:$L$1463,$P90)),""))</f>
        <v>2.75</v>
      </c>
      <c r="K90" s="21">
        <f>IF($P90="","",IFERROR(IF(INDEX(MASTER!$N$4:$N$1463,$P90)="","",INDEX(MASTER!$N$4:$N$1463,$P90)),""))</f>
        <v>29.5</v>
      </c>
      <c r="L90" s="19" t="str">
        <f>IF($P90="","",IFERROR(IF(INDEX(MASTER!$O$4:$O$1463,$P90)="","",INDEX(MASTER!$O$4:$O$1463,$P90)),""))</f>
        <v>C</v>
      </c>
      <c r="M90" s="19">
        <f>IF($P90="","",IFERROR(IF(INDEX(MASTER!$Q$4:$Q$1463,$P90)="","",INDEX(MASTER!$Q$4:$Q$1463,$P90)),""))</f>
        <v>64</v>
      </c>
      <c r="N90" s="19" t="str">
        <f>IF($P90="","",IFERROR(IF(INDEX(MASTER!$S$4:$S$1463,$P90)="","",INDEX(MASTER!$S$4:$S$1463,$P90)),""))</f>
        <v>Complete</v>
      </c>
      <c r="P90">
        <f>IFERROR(MATCH($Q$1&amp;"@82",MASTER!$AC$4:$AC$1463,0),"")</f>
        <v>1164</v>
      </c>
    </row>
    <row r="91" spans="1:16">
      <c r="A91" s="15">
        <f>IF($P91="","",83)</f>
        <v>83</v>
      </c>
      <c r="B91" s="14" t="str">
        <f>IF($P91="","",IFERROR(IF(INDEX(MASTER!$C$4:$C$1463,$P91)="","",INDEX(MASTER!$C$4:$C$1463,$P91)),""))</f>
        <v>ToToR0</v>
      </c>
      <c r="C91" s="15" t="str">
        <f>IF($P91="","",IFERROR(IF(INDEX(MASTER!$D$4:$D$1463,$P91)="","",INDEX(MASTER!$D$4:$D$1463,$P91)),""))</f>
        <v/>
      </c>
      <c r="D91" s="15" t="str">
        <f>IF($P91="","",IFERROR(IF(INDEX(MASTER!$E$4:$E$1463,$P91)="","",INDEX(MASTER!$E$4:$E$1463,$P91)),""))</f>
        <v>NECROMANCER</v>
      </c>
      <c r="E91" s="15" t="str">
        <f>IF($P91="","",IFERROR(IF(INDEX(MASTER!$F$4:$F$1463,$P91)="","",INDEX(MASTER!$F$4:$F$1463,$P91)),""))</f>
        <v>Control</v>
      </c>
      <c r="F91" s="16">
        <f>IF($P91="","",IFERROR(IF(INDEX(MASTER!$G$4:$G$1463,$P91)="","",INDEX(MASTER!$G$4:$G$1463,$P91)),""))</f>
        <v>62089</v>
      </c>
      <c r="G91" s="15" t="str">
        <f>IF($P91="","",IFERROR(IF(INDEX(MASTER!$H$4:$H$1463,$P91)="","",INDEX(MASTER!$H$4:$H$1463,$P91)),""))</f>
        <v>62,000 - 62,999</v>
      </c>
      <c r="H91" s="16">
        <f>IF($P91="","",IFERROR(IF(INDEX(MASTER!$I$4:$I$1463,$P91)="","",INDEX(MASTER!$I$4:$I$1463,$P91)),""))</f>
        <v>540</v>
      </c>
      <c r="I91" s="15" t="str">
        <f>IF($P91="","",IFERROR(IF(INDEX(MASTER!$J$4:$J$1463,$P91)="","",INDEX(MASTER!$J$4:$J$1463,$P91)),""))</f>
        <v>ROOKIE</v>
      </c>
      <c r="J91" s="17">
        <f>IF($P91="","",IFERROR(IF(INDEX(MASTER!$L$4:$L$1463,$P91)="","",INDEX(MASTER!$L$4:$L$1463,$P91)),""))</f>
        <v>2.6</v>
      </c>
      <c r="K91" s="17">
        <f>IF($P91="","",IFERROR(IF(INDEX(MASTER!$N$4:$N$1463,$P91)="","",INDEX(MASTER!$N$4:$N$1463,$P91)),""))</f>
        <v>25.3</v>
      </c>
      <c r="L91" s="15" t="str">
        <f>IF($P91="","",IFERROR(IF(INDEX(MASTER!$O$4:$O$1463,$P91)="","",INDEX(MASTER!$O$4:$O$1463,$P91)),""))</f>
        <v>C</v>
      </c>
      <c r="M91" s="15">
        <f>IF($P91="","",IFERROR(IF(INDEX(MASTER!$Q$4:$Q$1463,$P91)="","",INDEX(MASTER!$Q$4:$Q$1463,$P91)),""))</f>
        <v>96</v>
      </c>
      <c r="N91" s="15" t="str">
        <f>IF($P91="","",IFERROR(IF(INDEX(MASTER!$S$4:$S$1463,$P91)="","",INDEX(MASTER!$S$4:$S$1463,$P91)),""))</f>
        <v>Complete</v>
      </c>
      <c r="P91">
        <f>IFERROR(MATCH($Q$1&amp;"@83",MASTER!$AC$4:$AC$1463,0),"")</f>
        <v>1165</v>
      </c>
    </row>
    <row r="92" spans="1:16">
      <c r="A92" s="19">
        <f>IF($P92="","",84)</f>
        <v>84</v>
      </c>
      <c r="B92" s="18" t="str">
        <f>IF($P92="","",IFERROR(IF(INDEX(MASTER!$C$4:$C$1463,$P92)="","",INDEX(MASTER!$C$4:$C$1463,$P92)),""))</f>
        <v>TrethiaSuneras</v>
      </c>
      <c r="C92" s="19" t="str">
        <f>IF($P92="","",IFERROR(IF(INDEX(MASTER!$D$4:$D$1463,$P92)="","",INDEX(MASTER!$D$4:$D$1463,$P92)),""))</f>
        <v/>
      </c>
      <c r="D92" s="19" t="str">
        <f>IF($P92="","",IFERROR(IF(INDEX(MASTER!$E$4:$E$1463,$P92)="","",INDEX(MASTER!$E$4:$E$1463,$P92)),""))</f>
        <v>DEMON HUNTER</v>
      </c>
      <c r="E92" s="19" t="str">
        <f>IF($P92="","",IFERROR(IF(INDEX(MASTER!$F$4:$F$1463,$P92)="","",INDEX(MASTER!$F$4:$F$1463,$P92)),""))</f>
        <v>Ranged DPS</v>
      </c>
      <c r="F92" s="20">
        <f>IF($P92="","",IFERROR(IF(INDEX(MASTER!$G$4:$G$1463,$P92)="","",INDEX(MASTER!$G$4:$G$1463,$P92)),""))</f>
        <v>59529</v>
      </c>
      <c r="G92" s="19" t="str">
        <f>IF($P92="","",IFERROR(IF(INDEX(MASTER!$H$4:$H$1463,$P92)="","",INDEX(MASTER!$H$4:$H$1463,$P92)),""))</f>
        <v>58,000 - 59,999</v>
      </c>
      <c r="H92" s="20">
        <f>IF($P92="","",IFERROR(IF(INDEX(MASTER!$I$4:$I$1463,$P92)="","",INDEX(MASTER!$I$4:$I$1463,$P92)),""))</f>
        <v>1230</v>
      </c>
      <c r="I92" s="19" t="str">
        <f>IF($P92="","",IFERROR(IF(INDEX(MASTER!$J$4:$J$1463,$P92)="","",INDEX(MASTER!$J$4:$J$1463,$P92)),""))</f>
        <v>ROOKIE</v>
      </c>
      <c r="J92" s="21">
        <f>IF($P92="","",IFERROR(IF(INDEX(MASTER!$L$4:$L$1463,$P92)="","",INDEX(MASTER!$L$4:$L$1463,$P92)),""))</f>
        <v>3.75</v>
      </c>
      <c r="K92" s="21">
        <f>IF($P92="","",IFERROR(IF(INDEX(MASTER!$N$4:$N$1463,$P92)="","",INDEX(MASTER!$N$4:$N$1463,$P92)),""))</f>
        <v>23.5</v>
      </c>
      <c r="L92" s="19" t="str">
        <f>IF($P92="","",IFERROR(IF(INDEX(MASTER!$O$4:$O$1463,$P92)="","",INDEX(MASTER!$O$4:$O$1463,$P92)),""))</f>
        <v>C</v>
      </c>
      <c r="M92" s="19">
        <f>IF($P92="","",IFERROR(IF(INDEX(MASTER!$Q$4:$Q$1463,$P92)="","",INDEX(MASTER!$Q$4:$Q$1463,$P92)),""))</f>
        <v>78</v>
      </c>
      <c r="N92" s="19" t="str">
        <f>IF($P92="","",IFERROR(IF(INDEX(MASTER!$S$4:$S$1463,$P92)="","",INDEX(MASTER!$S$4:$S$1463,$P92)),""))</f>
        <v>Complete</v>
      </c>
      <c r="P92">
        <f>IFERROR(MATCH($Q$1&amp;"@84",MASTER!$AC$4:$AC$1463,0),"")</f>
        <v>1170</v>
      </c>
    </row>
    <row r="93" spans="1:16">
      <c r="A93" s="15">
        <f>IF($P93="","",85)</f>
        <v>85</v>
      </c>
      <c r="B93" s="14" t="str">
        <f>IF($P93="","",IFERROR(IF(INDEX(MASTER!$C$4:$C$1463,$P93)="","",INDEX(MASTER!$C$4:$C$1463,$P93)),""))</f>
        <v>TreTrunk</v>
      </c>
      <c r="C93" s="15" t="str">
        <f>IF($P93="","",IFERROR(IF(INDEX(MASTER!$D$4:$D$1463,$P93)="","",INDEX(MASTER!$D$4:$D$1463,$P93)),""))</f>
        <v/>
      </c>
      <c r="D93" s="15" t="str">
        <f>IF($P93="","",IFERROR(IF(INDEX(MASTER!$E$4:$E$1463,$P93)="","",INDEX(MASTER!$E$4:$E$1463,$P93)),""))</f>
        <v>TEMPEST</v>
      </c>
      <c r="E93" s="15" t="str">
        <f>IF($P93="","",IFERROR(IF(INDEX(MASTER!$F$4:$F$1463,$P93)="","",INDEX(MASTER!$F$4:$F$1463,$P93)),""))</f>
        <v>Melee DPS</v>
      </c>
      <c r="F93" s="16">
        <f>IF($P93="","",IFERROR(IF(INDEX(MASTER!$G$4:$G$1463,$P93)="","",INDEX(MASTER!$G$4:$G$1463,$P93)),""))</f>
        <v>59591</v>
      </c>
      <c r="G93" s="15" t="str">
        <f>IF($P93="","",IFERROR(IF(INDEX(MASTER!$H$4:$H$1463,$P93)="","",INDEX(MASTER!$H$4:$H$1463,$P93)),""))</f>
        <v>58,000 - 59,999</v>
      </c>
      <c r="H93" s="16">
        <f>IF($P93="","",IFERROR(IF(INDEX(MASTER!$I$4:$I$1463,$P93)="","",INDEX(MASTER!$I$4:$I$1463,$P93)),""))</f>
        <v>2190</v>
      </c>
      <c r="I93" s="15" t="str">
        <f>IF($P93="","",IFERROR(IF(INDEX(MASTER!$J$4:$J$1463,$P93)="","",INDEX(MASTER!$J$4:$J$1463,$P93)),""))</f>
        <v>DEVELOPING</v>
      </c>
      <c r="J93" s="17">
        <f>IF($P93="","",IFERROR(IF(INDEX(MASTER!$L$4:$L$1463,$P93)="","",INDEX(MASTER!$L$4:$L$1463,$P93)),""))</f>
        <v>3.8</v>
      </c>
      <c r="K93" s="17">
        <f>IF($P93="","",IFERROR(IF(INDEX(MASTER!$N$4:$N$1463,$P93)="","",INDEX(MASTER!$N$4:$N$1463,$P93)),""))</f>
        <v>28</v>
      </c>
      <c r="L93" s="15" t="str">
        <f>IF($P93="","",IFERROR(IF(INDEX(MASTER!$O$4:$O$1463,$P93)="","",INDEX(MASTER!$O$4:$O$1463,$P93)),""))</f>
        <v>C</v>
      </c>
      <c r="M93" s="15">
        <f>IF($P93="","",IFERROR(IF(INDEX(MASTER!$Q$4:$Q$1463,$P93)="","",INDEX(MASTER!$Q$4:$Q$1463,$P93)),""))</f>
        <v>48</v>
      </c>
      <c r="N93" s="15" t="str">
        <f>IF($P93="","",IFERROR(IF(INDEX(MASTER!$S$4:$S$1463,$P93)="","",INDEX(MASTER!$S$4:$S$1463,$P93)),""))</f>
        <v>Complete</v>
      </c>
      <c r="P93">
        <f>IFERROR(MATCH($Q$1&amp;"@85",MASTER!$AC$4:$AC$1463,0),"")</f>
        <v>1171</v>
      </c>
    </row>
    <row r="94" spans="1:16">
      <c r="A94" s="19">
        <f>IF($P94="","",86)</f>
        <v>86</v>
      </c>
      <c r="B94" s="18" t="str">
        <f>IF($P94="","",IFERROR(IF(INDEX(MASTER!$C$4:$C$1463,$P94)="","",INDEX(MASTER!$C$4:$C$1463,$P94)),""))</f>
        <v>Tuvey</v>
      </c>
      <c r="C94" s="19" t="str">
        <f>IF($P94="","",IFERROR(IF(INDEX(MASTER!$D$4:$D$1463,$P94)="","",INDEX(MASTER!$D$4:$D$1463,$P94)),""))</f>
        <v/>
      </c>
      <c r="D94" s="19" t="str">
        <f>IF($P94="","",IFERROR(IF(INDEX(MASTER!$E$4:$E$1463,$P94)="","",INDEX(MASTER!$E$4:$E$1463,$P94)),""))</f>
        <v>WIZARD</v>
      </c>
      <c r="E94" s="19" t="str">
        <f>IF($P94="","",IFERROR(IF(INDEX(MASTER!$F$4:$F$1463,$P94)="","",INDEX(MASTER!$F$4:$F$1463,$P94)),""))</f>
        <v>Ranged DPS</v>
      </c>
      <c r="F94" s="20">
        <f>IF($P94="","",IFERROR(IF(INDEX(MASTER!$G$4:$G$1463,$P94)="","",INDEX(MASTER!$G$4:$G$1463,$P94)),""))</f>
        <v>60883</v>
      </c>
      <c r="G94" s="19" t="str">
        <f>IF($P94="","",IFERROR(IF(INDEX(MASTER!$H$4:$H$1463,$P94)="","",INDEX(MASTER!$H$4:$H$1463,$P94)),""))</f>
        <v>60,000 - 60,999</v>
      </c>
      <c r="H94" s="20">
        <f>IF($P94="","",IFERROR(IF(INDEX(MASTER!$I$4:$I$1463,$P94)="","",INDEX(MASTER!$I$4:$I$1463,$P94)),""))</f>
        <v>1766</v>
      </c>
      <c r="I94" s="19" t="str">
        <f>IF($P94="","",IFERROR(IF(INDEX(MASTER!$J$4:$J$1463,$P94)="","",INDEX(MASTER!$J$4:$J$1463,$P94)),""))</f>
        <v>ROOKIE</v>
      </c>
      <c r="J94" s="21">
        <f>IF($P94="","",IFERROR(IF(INDEX(MASTER!$L$4:$L$1463,$P94)="","",INDEX(MASTER!$L$4:$L$1463,$P94)),""))</f>
        <v>3.35</v>
      </c>
      <c r="K94" s="21">
        <f>IF($P94="","",IFERROR(IF(INDEX(MASTER!$N$4:$N$1463,$P94)="","",INDEX(MASTER!$N$4:$N$1463,$P94)),""))</f>
        <v>28.8</v>
      </c>
      <c r="L94" s="19" t="str">
        <f>IF($P94="","",IFERROR(IF(INDEX(MASTER!$O$4:$O$1463,$P94)="","",INDEX(MASTER!$O$4:$O$1463,$P94)),""))</f>
        <v>C</v>
      </c>
      <c r="M94" s="19">
        <f>IF($P94="","",IFERROR(IF(INDEX(MASTER!$Q$4:$Q$1463,$P94)="","",INDEX(MASTER!$Q$4:$Q$1463,$P94)),""))</f>
        <v>60</v>
      </c>
      <c r="N94" s="19" t="str">
        <f>IF($P94="","",IFERROR(IF(INDEX(MASTER!$S$4:$S$1463,$P94)="","",INDEX(MASTER!$S$4:$S$1463,$P94)),""))</f>
        <v>Complete</v>
      </c>
      <c r="P94">
        <f>IFERROR(MATCH($Q$1&amp;"@86",MASTER!$AC$4:$AC$1463,0),"")</f>
        <v>1178</v>
      </c>
    </row>
    <row r="95" spans="1:16">
      <c r="A95" s="15">
        <f>IF($P95="","",87)</f>
        <v>87</v>
      </c>
      <c r="B95" s="14" t="str">
        <f>IF($P95="","",IFERROR(IF(INDEX(MASTER!$C$4:$C$1463,$P95)="","",INDEX(MASTER!$C$4:$C$1463,$P95)),""))</f>
        <v>TwerkItBaby</v>
      </c>
      <c r="C95" s="15" t="str">
        <f>IF($P95="","",IFERROR(IF(INDEX(MASTER!$D$4:$D$1463,$P95)="","",INDEX(MASTER!$D$4:$D$1463,$P95)),""))</f>
        <v/>
      </c>
      <c r="D95" s="15" t="str">
        <f>IF($P95="","",IFERROR(IF(INDEX(MASTER!$E$4:$E$1463,$P95)="","",INDEX(MASTER!$E$4:$E$1463,$P95)),""))</f>
        <v>WIZARD</v>
      </c>
      <c r="E95" s="15" t="str">
        <f>IF($P95="","",IFERROR(IF(INDEX(MASTER!$F$4:$F$1463,$P95)="","",INDEX(MASTER!$F$4:$F$1463,$P95)),""))</f>
        <v>Ranged DPS</v>
      </c>
      <c r="F95" s="16">
        <f>IF($P95="","",IFERROR(IF(INDEX(MASTER!$G$4:$G$1463,$P95)="","",INDEX(MASTER!$G$4:$G$1463,$P95)),""))</f>
        <v>61647</v>
      </c>
      <c r="G95" s="15" t="str">
        <f>IF($P95="","",IFERROR(IF(INDEX(MASTER!$H$4:$H$1463,$P95)="","",INDEX(MASTER!$H$4:$H$1463,$P95)),""))</f>
        <v>61,000 - 61,999</v>
      </c>
      <c r="H95" s="16">
        <f>IF($P95="","",IFERROR(IF(INDEX(MASTER!$I$4:$I$1463,$P95)="","",INDEX(MASTER!$I$4:$I$1463,$P95)),""))</f>
        <v>4683</v>
      </c>
      <c r="I95" s="15" t="str">
        <f>IF($P95="","",IFERROR(IF(INDEX(MASTER!$J$4:$J$1463,$P95)="","",INDEX(MASTER!$J$4:$J$1463,$P95)),""))</f>
        <v>CORE</v>
      </c>
      <c r="J95" s="17">
        <f>IF($P95="","",IFERROR(IF(INDEX(MASTER!$L$4:$L$1463,$P95)="","",INDEX(MASTER!$L$4:$L$1463,$P95)),""))</f>
        <v>4.93</v>
      </c>
      <c r="K95" s="17">
        <f>IF($P95="","",IFERROR(IF(INDEX(MASTER!$N$4:$N$1463,$P95)="","",INDEX(MASTER!$N$4:$N$1463,$P95)),""))</f>
        <v>46.2</v>
      </c>
      <c r="L95" s="15" t="str">
        <f>IF($P95="","",IFERROR(IF(INDEX(MASTER!$O$4:$O$1463,$P95)="","",INDEX(MASTER!$O$4:$O$1463,$P95)),""))</f>
        <v>B</v>
      </c>
      <c r="M95" s="15">
        <f>IF($P95="","",IFERROR(IF(INDEX(MASTER!$Q$4:$Q$1463,$P95)="","",INDEX(MASTER!$Q$4:$Q$1463,$P95)),""))</f>
        <v>4</v>
      </c>
      <c r="N95" s="15" t="str">
        <f>IF($P95="","",IFERROR(IF(INDEX(MASTER!$S$4:$S$1463,$P95)="","",INDEX(MASTER!$S$4:$S$1463,$P95)),""))</f>
        <v>Complete</v>
      </c>
      <c r="P95">
        <f>IFERROR(MATCH($Q$1&amp;"@87",MASTER!$AC$4:$AC$1463,0),"")</f>
        <v>1181</v>
      </c>
    </row>
    <row r="96" spans="1:16">
      <c r="A96" s="19">
        <f>IF($P96="","",88)</f>
        <v>88</v>
      </c>
      <c r="B96" s="18" t="str">
        <f>IF($P96="","",IFERROR(IF(INDEX(MASTER!$C$4:$C$1463,$P96)="","",INDEX(MASTER!$C$4:$C$1463,$P96)),""))</f>
        <v>UnbiasedFoxNews</v>
      </c>
      <c r="C96" s="19" t="str">
        <f>IF($P96="","",IFERROR(IF(INDEX(MASTER!$D$4:$D$1463,$P96)="","",INDEX(MASTER!$D$4:$D$1463,$P96)),""))</f>
        <v/>
      </c>
      <c r="D96" s="19" t="str">
        <f>IF($P96="","",IFERROR(IF(INDEX(MASTER!$E$4:$E$1463,$P96)="","",INDEX(MASTER!$E$4:$E$1463,$P96)),""))</f>
        <v>WARLOCK</v>
      </c>
      <c r="E96" s="19" t="str">
        <f>IF($P96="","",IFERROR(IF(INDEX(MASTER!$F$4:$F$1463,$P96)="","",INDEX(MASTER!$F$4:$F$1463,$P96)),""))</f>
        <v>Control</v>
      </c>
      <c r="F96" s="20">
        <f>IF($P96="","",IFERROR(IF(INDEX(MASTER!$G$4:$G$1463,$P96)="","",INDEX(MASTER!$G$4:$G$1463,$P96)),""))</f>
        <v>62695</v>
      </c>
      <c r="G96" s="19" t="str">
        <f>IF($P96="","",IFERROR(IF(INDEX(MASTER!$H$4:$H$1463,$P96)="","",INDEX(MASTER!$H$4:$H$1463,$P96)),""))</f>
        <v>62,000 - 62,999</v>
      </c>
      <c r="H96" s="20">
        <f>IF($P96="","",IFERROR(IF(INDEX(MASTER!$I$4:$I$1463,$P96)="","",INDEX(MASTER!$I$4:$I$1463,$P96)),""))</f>
        <v>2292</v>
      </c>
      <c r="I96" s="19" t="str">
        <f>IF($P96="","",IFERROR(IF(INDEX(MASTER!$J$4:$J$1463,$P96)="","",INDEX(MASTER!$J$4:$J$1463,$P96)),""))</f>
        <v>DEVELOPING</v>
      </c>
      <c r="J96" s="21">
        <f>IF($P96="","",IFERROR(IF(INDEX(MASTER!$L$4:$L$1463,$P96)="","",INDEX(MASTER!$L$4:$L$1463,$P96)),""))</f>
        <v>3.8</v>
      </c>
      <c r="K96" s="21">
        <f>IF($P96="","",IFERROR(IF(INDEX(MASTER!$N$4:$N$1463,$P96)="","",INDEX(MASTER!$N$4:$N$1463,$P96)),""))</f>
        <v>36.6</v>
      </c>
      <c r="L96" s="19" t="str">
        <f>IF($P96="","",IFERROR(IF(INDEX(MASTER!$O$4:$O$1463,$P96)="","",INDEX(MASTER!$O$4:$O$1463,$P96)),""))</f>
        <v>B</v>
      </c>
      <c r="M96" s="19">
        <f>IF($P96="","",IFERROR(IF(INDEX(MASTER!$Q$4:$Q$1463,$P96)="","",INDEX(MASTER!$Q$4:$Q$1463,$P96)),""))</f>
        <v>47</v>
      </c>
      <c r="N96" s="19" t="str">
        <f>IF($P96="","",IFERROR(IF(INDEX(MASTER!$S$4:$S$1463,$P96)="","",INDEX(MASTER!$S$4:$S$1463,$P96)),""))</f>
        <v>Complete</v>
      </c>
      <c r="P96">
        <f>IFERROR(MATCH($Q$1&amp;"@88",MASTER!$AC$4:$AC$1463,0),"")</f>
        <v>1189</v>
      </c>
    </row>
    <row r="97" spans="1:16">
      <c r="A97" s="15">
        <f>IF($P97="","",89)</f>
        <v>89</v>
      </c>
      <c r="B97" s="14" t="str">
        <f>IF($P97="","",IFERROR(IF(INDEX(MASTER!$C$4:$C$1463,$P97)="","",INDEX(MASTER!$C$4:$C$1463,$P97)),""))</f>
        <v>Vanillacupcake</v>
      </c>
      <c r="C97" s="15" t="str">
        <f>IF($P97="","",IFERROR(IF(INDEX(MASTER!$D$4:$D$1463,$P97)="","",INDEX(MASTER!$D$4:$D$1463,$P97)),""))</f>
        <v/>
      </c>
      <c r="D97" s="15" t="str">
        <f>IF($P97="","",IFERROR(IF(INDEX(MASTER!$E$4:$E$1463,$P97)="","",INDEX(MASTER!$E$4:$E$1463,$P97)),""))</f>
        <v>WARLOCK</v>
      </c>
      <c r="E97" s="15" t="str">
        <f>IF($P97="","",IFERROR(IF(INDEX(MASTER!$F$4:$F$1463,$P97)="","",INDEX(MASTER!$F$4:$F$1463,$P97)),""))</f>
        <v>Control</v>
      </c>
      <c r="F97" s="16">
        <f>IF($P97="","",IFERROR(IF(INDEX(MASTER!$G$4:$G$1463,$P97)="","",INDEX(MASTER!$G$4:$G$1463,$P97)),""))</f>
        <v>62408</v>
      </c>
      <c r="G97" s="15" t="str">
        <f>IF($P97="","",IFERROR(IF(INDEX(MASTER!$H$4:$H$1463,$P97)="","",INDEX(MASTER!$H$4:$H$1463,$P97)),""))</f>
        <v>62,000 - 62,999</v>
      </c>
      <c r="H97" s="16">
        <f>IF($P97="","",IFERROR(IF(INDEX(MASTER!$I$4:$I$1463,$P97)="","",INDEX(MASTER!$I$4:$I$1463,$P97)),""))</f>
        <v>2903</v>
      </c>
      <c r="I97" s="15" t="str">
        <f>IF($P97="","",IFERROR(IF(INDEX(MASTER!$J$4:$J$1463,$P97)="","",INDEX(MASTER!$J$4:$J$1463,$P97)),""))</f>
        <v>DEVELOPING</v>
      </c>
      <c r="J97" s="17">
        <f>IF($P97="","",IFERROR(IF(INDEX(MASTER!$L$4:$L$1463,$P97)="","",INDEX(MASTER!$L$4:$L$1463,$P97)),""))</f>
        <v>3.45</v>
      </c>
      <c r="K97" s="17">
        <f>IF($P97="","",IFERROR(IF(INDEX(MASTER!$N$4:$N$1463,$P97)="","",INDEX(MASTER!$N$4:$N$1463,$P97)),""))</f>
        <v>37.9</v>
      </c>
      <c r="L97" s="15" t="str">
        <f>IF($P97="","",IFERROR(IF(INDEX(MASTER!$O$4:$O$1463,$P97)="","",INDEX(MASTER!$O$4:$O$1463,$P97)),""))</f>
        <v>B</v>
      </c>
      <c r="M97" s="15">
        <f>IF($P97="","",IFERROR(IF(INDEX(MASTER!$Q$4:$Q$1463,$P97)="","",INDEX(MASTER!$Q$4:$Q$1463,$P97)),""))</f>
        <v>26</v>
      </c>
      <c r="N97" s="15" t="str">
        <f>IF($P97="","",IFERROR(IF(INDEX(MASTER!$S$4:$S$1463,$P97)="","",INDEX(MASTER!$S$4:$S$1463,$P97)),""))</f>
        <v>Complete</v>
      </c>
      <c r="P97">
        <f>IFERROR(MATCH($Q$1&amp;"@89",MASTER!$AC$4:$AC$1463,0),"")</f>
        <v>1209</v>
      </c>
    </row>
    <row r="98" spans="1:16">
      <c r="A98" s="19">
        <f>IF($P98="","",90)</f>
        <v>90</v>
      </c>
      <c r="B98" s="18" t="str">
        <f>IF($P98="","",IFERROR(IF(INDEX(MASTER!$C$4:$C$1463,$P98)="","",INDEX(MASTER!$C$4:$C$1463,$P98)),""))</f>
        <v>Waarrf</v>
      </c>
      <c r="C98" s="19" t="str">
        <f>IF($P98="","",IFERROR(IF(INDEX(MASTER!$D$4:$D$1463,$P98)="","",INDEX(MASTER!$D$4:$D$1463,$P98)),""))</f>
        <v/>
      </c>
      <c r="D98" s="19" t="str">
        <f>IF($P98="","",IFERROR(IF(INDEX(MASTER!$E$4:$E$1463,$P98)="","",INDEX(MASTER!$E$4:$E$1463,$P98)),""))</f>
        <v>TEMPEST</v>
      </c>
      <c r="E98" s="19" t="str">
        <f>IF($P98="","",IFERROR(IF(INDEX(MASTER!$F$4:$F$1463,$P98)="","",INDEX(MASTER!$F$4:$F$1463,$P98)),""))</f>
        <v>Melee DPS</v>
      </c>
      <c r="F98" s="20">
        <f>IF($P98="","",IFERROR(IF(INDEX(MASTER!$G$4:$G$1463,$P98)="","",INDEX(MASTER!$G$4:$G$1463,$P98)),""))</f>
        <v>59501</v>
      </c>
      <c r="G98" s="19" t="str">
        <f>IF($P98="","",IFERROR(IF(INDEX(MASTER!$H$4:$H$1463,$P98)="","",INDEX(MASTER!$H$4:$H$1463,$P98)),""))</f>
        <v>58,000 - 59,999</v>
      </c>
      <c r="H98" s="20">
        <f>IF($P98="","",IFERROR(IF(INDEX(MASTER!$I$4:$I$1463,$P98)="","",INDEX(MASTER!$I$4:$I$1463,$P98)),""))</f>
        <v>1999</v>
      </c>
      <c r="I98" s="19" t="str">
        <f>IF($P98="","",IFERROR(IF(INDEX(MASTER!$J$4:$J$1463,$P98)="","",INDEX(MASTER!$J$4:$J$1463,$P98)),""))</f>
        <v>ROOKIE</v>
      </c>
      <c r="J98" s="21">
        <f>IF($P98="","",IFERROR(IF(INDEX(MASTER!$L$4:$L$1463,$P98)="","",INDEX(MASTER!$L$4:$L$1463,$P98)),""))</f>
        <v>3.1</v>
      </c>
      <c r="K98" s="21">
        <f>IF($P98="","",IFERROR(IF(INDEX(MASTER!$N$4:$N$1463,$P98)="","",INDEX(MASTER!$N$4:$N$1463,$P98)),""))</f>
        <v>25.7</v>
      </c>
      <c r="L98" s="19" t="str">
        <f>IF($P98="","",IFERROR(IF(INDEX(MASTER!$O$4:$O$1463,$P98)="","",INDEX(MASTER!$O$4:$O$1463,$P98)),""))</f>
        <v>C</v>
      </c>
      <c r="M98" s="19">
        <f>IF($P98="","",IFERROR(IF(INDEX(MASTER!$Q$4:$Q$1463,$P98)="","",INDEX(MASTER!$Q$4:$Q$1463,$P98)),""))</f>
        <v>55</v>
      </c>
      <c r="N98" s="19" t="str">
        <f>IF($P98="","",IFERROR(IF(INDEX(MASTER!$S$4:$S$1463,$P98)="","",INDEX(MASTER!$S$4:$S$1463,$P98)),""))</f>
        <v>Complete</v>
      </c>
      <c r="P98">
        <f>IFERROR(MATCH($Q$1&amp;"@90",MASTER!$AC$4:$AC$1463,0),"")</f>
        <v>1235</v>
      </c>
    </row>
    <row r="99" spans="1:16">
      <c r="A99" s="15">
        <f>IF($P99="","",91)</f>
        <v>91</v>
      </c>
      <c r="B99" s="14" t="str">
        <f>IF($P99="","",IFERROR(IF(INDEX(MASTER!$C$4:$C$1463,$P99)="","",INDEX(MASTER!$C$4:$C$1463,$P99)),""))</f>
        <v>WarlockFromMars</v>
      </c>
      <c r="C99" s="15" t="str">
        <f>IF($P99="","",IFERROR(IF(INDEX(MASTER!$D$4:$D$1463,$P99)="","",INDEX(MASTER!$D$4:$D$1463,$P99)),""))</f>
        <v/>
      </c>
      <c r="D99" s="15" t="str">
        <f>IF($P99="","",IFERROR(IF(INDEX(MASTER!$E$4:$E$1463,$P99)="","",INDEX(MASTER!$E$4:$E$1463,$P99)),""))</f>
        <v>WARLOCK</v>
      </c>
      <c r="E99" s="15" t="str">
        <f>IF($P99="","",IFERROR(IF(INDEX(MASTER!$F$4:$F$1463,$P99)="","",INDEX(MASTER!$F$4:$F$1463,$P99)),""))</f>
        <v>Control</v>
      </c>
      <c r="F99" s="16">
        <f>IF($P99="","",IFERROR(IF(INDEX(MASTER!$G$4:$G$1463,$P99)="","",INDEX(MASTER!$G$4:$G$1463,$P99)),""))</f>
        <v>60981</v>
      </c>
      <c r="G99" s="15" t="str">
        <f>IF($P99="","",IFERROR(IF(INDEX(MASTER!$H$4:$H$1463,$P99)="","",INDEX(MASTER!$H$4:$H$1463,$P99)),""))</f>
        <v>60,000 - 60,999</v>
      </c>
      <c r="H99" s="16">
        <f>IF($P99="","",IFERROR(IF(INDEX(MASTER!$I$4:$I$1463,$P99)="","",INDEX(MASTER!$I$4:$I$1463,$P99)),""))</f>
        <v>1050</v>
      </c>
      <c r="I99" s="15" t="str">
        <f>IF($P99="","",IFERROR(IF(INDEX(MASTER!$J$4:$J$1463,$P99)="","",INDEX(MASTER!$J$4:$J$1463,$P99)),""))</f>
        <v>ROOKIE</v>
      </c>
      <c r="J99" s="17">
        <f>IF($P99="","",IFERROR(IF(INDEX(MASTER!$L$4:$L$1463,$P99)="","",INDEX(MASTER!$L$4:$L$1463,$P99)),""))</f>
        <v>2.8</v>
      </c>
      <c r="K99" s="17">
        <f>IF($P99="","",IFERROR(IF(INDEX(MASTER!$N$4:$N$1463,$P99)="","",INDEX(MASTER!$N$4:$N$1463,$P99)),""))</f>
        <v>25</v>
      </c>
      <c r="L99" s="15" t="str">
        <f>IF($P99="","",IFERROR(IF(INDEX(MASTER!$O$4:$O$1463,$P99)="","",INDEX(MASTER!$O$4:$O$1463,$P99)),""))</f>
        <v>C</v>
      </c>
      <c r="M99" s="15">
        <f>IF($P99="","",IFERROR(IF(INDEX(MASTER!$Q$4:$Q$1463,$P99)="","",INDEX(MASTER!$Q$4:$Q$1463,$P99)),""))</f>
        <v>81</v>
      </c>
      <c r="N99" s="15" t="str">
        <f>IF($P99="","",IFERROR(IF(INDEX(MASTER!$S$4:$S$1463,$P99)="","",INDEX(MASTER!$S$4:$S$1463,$P99)),""))</f>
        <v>Complete</v>
      </c>
      <c r="P99">
        <f>IFERROR(MATCH($Q$1&amp;"@91",MASTER!$AC$4:$AC$1463,0),"")</f>
        <v>1240</v>
      </c>
    </row>
    <row r="100" spans="1:16">
      <c r="A100" s="19">
        <f>IF($P100="","",92)</f>
        <v>92</v>
      </c>
      <c r="B100" s="18" t="str">
        <f>IF($P100="","",IFERROR(IF(INDEX(MASTER!$C$4:$C$1463,$P100)="","",INDEX(MASTER!$C$4:$C$1463,$P100)),""))</f>
        <v>Wildrose78</v>
      </c>
      <c r="C100" s="19" t="str">
        <f>IF($P100="","",IFERROR(IF(INDEX(MASTER!$D$4:$D$1463,$P100)="","",INDEX(MASTER!$D$4:$D$1463,$P100)),""))</f>
        <v/>
      </c>
      <c r="D100" s="19" t="str">
        <f>IF($P100="","",IFERROR(IF(INDEX(MASTER!$E$4:$E$1463,$P100)="","",INDEX(MASTER!$E$4:$E$1463,$P100)),""))</f>
        <v>TEMPEST</v>
      </c>
      <c r="E100" s="19" t="str">
        <f>IF($P100="","",IFERROR(IF(INDEX(MASTER!$F$4:$F$1463,$P100)="","",INDEX(MASTER!$F$4:$F$1463,$P100)),""))</f>
        <v>Melee DPS</v>
      </c>
      <c r="F100" s="20">
        <f>IF($P100="","",IFERROR(IF(INDEX(MASTER!$G$4:$G$1463,$P100)="","",INDEX(MASTER!$G$4:$G$1463,$P100)),""))</f>
        <v>58145</v>
      </c>
      <c r="G100" s="19" t="str">
        <f>IF($P100="","",IFERROR(IF(INDEX(MASTER!$H$4:$H$1463,$P100)="","",INDEX(MASTER!$H$4:$H$1463,$P100)),""))</f>
        <v>58,000 - 59,999</v>
      </c>
      <c r="H100" s="20">
        <f>IF($P100="","",IFERROR(IF(INDEX(MASTER!$I$4:$I$1463,$P100)="","",INDEX(MASTER!$I$4:$I$1463,$P100)),""))</f>
        <v>710</v>
      </c>
      <c r="I100" s="19" t="str">
        <f>IF($P100="","",IFERROR(IF(INDEX(MASTER!$J$4:$J$1463,$P100)="","",INDEX(MASTER!$J$4:$J$1463,$P100)),""))</f>
        <v>ROOKIE</v>
      </c>
      <c r="J100" s="21">
        <f>IF($P100="","",IFERROR(IF(INDEX(MASTER!$L$4:$L$1463,$P100)="","",INDEX(MASTER!$L$4:$L$1463,$P100)),""))</f>
        <v>2.2000000000000002</v>
      </c>
      <c r="K100" s="21">
        <f>IF($P100="","",IFERROR(IF(INDEX(MASTER!$N$4:$N$1463,$P100)="","",INDEX(MASTER!$N$4:$N$1463,$P100)),""))</f>
        <v>15</v>
      </c>
      <c r="L100" s="19" t="str">
        <f>IF($P100="","",IFERROR(IF(INDEX(MASTER!$O$4:$O$1463,$P100)="","",INDEX(MASTER!$O$4:$O$1463,$P100)),""))</f>
        <v>D</v>
      </c>
      <c r="M100" s="19">
        <f>IF($P100="","",IFERROR(IF(INDEX(MASTER!$Q$4:$Q$1463,$P100)="","",INDEX(MASTER!$Q$4:$Q$1463,$P100)),""))</f>
        <v>91</v>
      </c>
      <c r="N100" s="19" t="str">
        <f>IF($P100="","",IFERROR(IF(INDEX(MASTER!$S$4:$S$1463,$P100)="","",INDEX(MASTER!$S$4:$S$1463,$P100)),""))</f>
        <v>Complete</v>
      </c>
      <c r="P100">
        <f>IFERROR(MATCH($Q$1&amp;"@92",MASTER!$AC$4:$AC$1463,0),"")</f>
        <v>1251</v>
      </c>
    </row>
    <row r="101" spans="1:16">
      <c r="A101" s="15">
        <f>IF($P101="","",93)</f>
        <v>93</v>
      </c>
      <c r="B101" s="14" t="str">
        <f>IF($P101="","",IFERROR(IF(INDEX(MASTER!$C$4:$C$1463,$P101)="","",INDEX(MASTER!$C$4:$C$1463,$P101)),""))</f>
        <v>Willowswitch</v>
      </c>
      <c r="C101" s="15" t="str">
        <f>IF($P101="","",IFERROR(IF(INDEX(MASTER!$D$4:$D$1463,$P101)="","",INDEX(MASTER!$D$4:$D$1463,$P101)),""))</f>
        <v/>
      </c>
      <c r="D101" s="15" t="str">
        <f>IF($P101="","",IFERROR(IF(INDEX(MASTER!$E$4:$E$1463,$P101)="","",INDEX(MASTER!$E$4:$E$1463,$P101)),""))</f>
        <v>BARBARIAN</v>
      </c>
      <c r="E101" s="15" t="str">
        <f>IF($P101="","",IFERROR(IF(INDEX(MASTER!$F$4:$F$1463,$P101)="","",INDEX(MASTER!$F$4:$F$1463,$P101)),""))</f>
        <v>Frontline</v>
      </c>
      <c r="F101" s="16">
        <f>IF($P101="","",IFERROR(IF(INDEX(MASTER!$G$4:$G$1463,$P101)="","",INDEX(MASTER!$G$4:$G$1463,$P101)),""))</f>
        <v>61216</v>
      </c>
      <c r="G101" s="15" t="str">
        <f>IF($P101="","",IFERROR(IF(INDEX(MASTER!$H$4:$H$1463,$P101)="","",INDEX(MASTER!$H$4:$H$1463,$P101)),""))</f>
        <v>61,000 - 61,999</v>
      </c>
      <c r="H101" s="16">
        <f>IF($P101="","",IFERROR(IF(INDEX(MASTER!$I$4:$I$1463,$P101)="","",INDEX(MASTER!$I$4:$I$1463,$P101)),""))</f>
        <v>2142</v>
      </c>
      <c r="I101" s="15" t="str">
        <f>IF($P101="","",IFERROR(IF(INDEX(MASTER!$J$4:$J$1463,$P101)="","",INDEX(MASTER!$J$4:$J$1463,$P101)),""))</f>
        <v>DEVELOPING</v>
      </c>
      <c r="J101" s="17">
        <f>IF($P101="","",IFERROR(IF(INDEX(MASTER!$L$4:$L$1463,$P101)="","",INDEX(MASTER!$L$4:$L$1463,$P101)),""))</f>
        <v>4.3</v>
      </c>
      <c r="K101" s="17">
        <f>IF($P101="","",IFERROR(IF(INDEX(MASTER!$N$4:$N$1463,$P101)="","",INDEX(MASTER!$N$4:$N$1463,$P101)),""))</f>
        <v>32.9</v>
      </c>
      <c r="L101" s="15" t="str">
        <f>IF($P101="","",IFERROR(IF(INDEX(MASTER!$O$4:$O$1463,$P101)="","",INDEX(MASTER!$O$4:$O$1463,$P101)),""))</f>
        <v>C</v>
      </c>
      <c r="M101" s="15">
        <f>IF($P101="","",IFERROR(IF(INDEX(MASTER!$Q$4:$Q$1463,$P101)="","",INDEX(MASTER!$Q$4:$Q$1463,$P101)),""))</f>
        <v>51</v>
      </c>
      <c r="N101" s="15" t="str">
        <f>IF($P101="","",IFERROR(IF(INDEX(MASTER!$S$4:$S$1463,$P101)="","",INDEX(MASTER!$S$4:$S$1463,$P101)),""))</f>
        <v>Complete</v>
      </c>
      <c r="P101">
        <f>IFERROR(MATCH($Q$1&amp;"@93",MASTER!$AC$4:$AC$1463,0),"")</f>
        <v>1255</v>
      </c>
    </row>
    <row r="102" spans="1:16">
      <c r="A102" s="19">
        <f>IF($P102="","",94)</f>
        <v>94</v>
      </c>
      <c r="B102" s="18" t="str">
        <f>IF($P102="","",IFERROR(IF(INDEX(MASTER!$C$4:$C$1463,$P102)="","",INDEX(MASTER!$C$4:$C$1463,$P102)),""))</f>
        <v>Wolffie</v>
      </c>
      <c r="C102" s="19" t="str">
        <f>IF($P102="","",IFERROR(IF(INDEX(MASTER!$D$4:$D$1463,$P102)="","",INDEX(MASTER!$D$4:$D$1463,$P102)),""))</f>
        <v/>
      </c>
      <c r="D102" s="19" t="str">
        <f>IF($P102="","",IFERROR(IF(INDEX(MASTER!$E$4:$E$1463,$P102)="","",INDEX(MASTER!$E$4:$E$1463,$P102)),""))</f>
        <v>DRUID</v>
      </c>
      <c r="E102" s="19" t="str">
        <f>IF($P102="","",IFERROR(IF(INDEX(MASTER!$F$4:$F$1463,$P102)="","",INDEX(MASTER!$F$4:$F$1463,$P102)),""))</f>
        <v>Support</v>
      </c>
      <c r="F102" s="20">
        <f>IF($P102="","",IFERROR(IF(INDEX(MASTER!$G$4:$G$1463,$P102)="","",INDEX(MASTER!$G$4:$G$1463,$P102)),""))</f>
        <v>60234</v>
      </c>
      <c r="G102" s="19" t="str">
        <f>IF($P102="","",IFERROR(IF(INDEX(MASTER!$H$4:$H$1463,$P102)="","",INDEX(MASTER!$H$4:$H$1463,$P102)),""))</f>
        <v>60,000 - 60,999</v>
      </c>
      <c r="H102" s="20">
        <f>IF($P102="","",IFERROR(IF(INDEX(MASTER!$I$4:$I$1463,$P102)="","",INDEX(MASTER!$I$4:$I$1463,$P102)),""))</f>
        <v>2393</v>
      </c>
      <c r="I102" s="19" t="str">
        <f>IF($P102="","",IFERROR(IF(INDEX(MASTER!$J$4:$J$1463,$P102)="","",INDEX(MASTER!$J$4:$J$1463,$P102)),""))</f>
        <v>DEVELOPING</v>
      </c>
      <c r="J102" s="21">
        <f>IF($P102="","",IFERROR(IF(INDEX(MASTER!$L$4:$L$1463,$P102)="","",INDEX(MASTER!$L$4:$L$1463,$P102)),""))</f>
        <v>3.75</v>
      </c>
      <c r="K102" s="21">
        <f>IF($P102="","",IFERROR(IF(INDEX(MASTER!$N$4:$N$1463,$P102)="","",INDEX(MASTER!$N$4:$N$1463,$P102)),""))</f>
        <v>30.5</v>
      </c>
      <c r="L102" s="19" t="str">
        <f>IF($P102="","",IFERROR(IF(INDEX(MASTER!$O$4:$O$1463,$P102)="","",INDEX(MASTER!$O$4:$O$1463,$P102)),""))</f>
        <v>C</v>
      </c>
      <c r="M102" s="19">
        <f>IF($P102="","",IFERROR(IF(INDEX(MASTER!$Q$4:$Q$1463,$P102)="","",INDEX(MASTER!$Q$4:$Q$1463,$P102)),""))</f>
        <v>44</v>
      </c>
      <c r="N102" s="19" t="str">
        <f>IF($P102="","",IFERROR(IF(INDEX(MASTER!$S$4:$S$1463,$P102)="","",INDEX(MASTER!$S$4:$S$1463,$P102)),""))</f>
        <v>Complete</v>
      </c>
      <c r="P102">
        <f>IFERROR(MATCH($Q$1&amp;"@94",MASTER!$AC$4:$AC$1463,0),"")</f>
        <v>1264</v>
      </c>
    </row>
    <row r="103" spans="1:16">
      <c r="A103" s="15">
        <f>IF($P103="","",95)</f>
        <v>95</v>
      </c>
      <c r="B103" s="14" t="str">
        <f>IF($P103="","",IFERROR(IF(INDEX(MASTER!$C$4:$C$1463,$P103)="","",INDEX(MASTER!$C$4:$C$1463,$P103)),""))</f>
        <v>Zaffle</v>
      </c>
      <c r="C103" s="15" t="str">
        <f>IF($P103="","",IFERROR(IF(INDEX(MASTER!$D$4:$D$1463,$P103)="","",INDEX(MASTER!$D$4:$D$1463,$P103)),""))</f>
        <v/>
      </c>
      <c r="D103" s="15" t="str">
        <f>IF($P103="","",IFERROR(IF(INDEX(MASTER!$E$4:$E$1463,$P103)="","",INDEX(MASTER!$E$4:$E$1463,$P103)),""))</f>
        <v>TEMPEST</v>
      </c>
      <c r="E103" s="15" t="str">
        <f>IF($P103="","",IFERROR(IF(INDEX(MASTER!$F$4:$F$1463,$P103)="","",INDEX(MASTER!$F$4:$F$1463,$P103)),""))</f>
        <v>Melee DPS</v>
      </c>
      <c r="F103" s="16">
        <f>IF($P103="","",IFERROR(IF(INDEX(MASTER!$G$4:$G$1463,$P103)="","",INDEX(MASTER!$G$4:$G$1463,$P103)),""))</f>
        <v>62900</v>
      </c>
      <c r="G103" s="15" t="str">
        <f>IF($P103="","",IFERROR(IF(INDEX(MASTER!$H$4:$H$1463,$P103)="","",INDEX(MASTER!$H$4:$H$1463,$P103)),""))</f>
        <v>62,000 - 62,999</v>
      </c>
      <c r="H103" s="16">
        <f>IF($P103="","",IFERROR(IF(INDEX(MASTER!$I$4:$I$1463,$P103)="","",INDEX(MASTER!$I$4:$I$1463,$P103)),""))</f>
        <v>2380</v>
      </c>
      <c r="I103" s="15" t="str">
        <f>IF($P103="","",IFERROR(IF(INDEX(MASTER!$J$4:$J$1463,$P103)="","",INDEX(MASTER!$J$4:$J$1463,$P103)),""))</f>
        <v>DEVELOPING</v>
      </c>
      <c r="J103" s="17">
        <f>IF($P103="","",IFERROR(IF(INDEX(MASTER!$L$4:$L$1463,$P103)="","",INDEX(MASTER!$L$4:$L$1463,$P103)),""))</f>
        <v>4.07</v>
      </c>
      <c r="K103" s="17">
        <f>IF($P103="","",IFERROR(IF(INDEX(MASTER!$N$4:$N$1463,$P103)="","",INDEX(MASTER!$N$4:$N$1463,$P103)),""))</f>
        <v>38</v>
      </c>
      <c r="L103" s="15" t="str">
        <f>IF($P103="","",IFERROR(IF(INDEX(MASTER!$O$4:$O$1463,$P103)="","",INDEX(MASTER!$O$4:$O$1463,$P103)),""))</f>
        <v>B</v>
      </c>
      <c r="M103" s="15">
        <f>IF($P103="","",IFERROR(IF(INDEX(MASTER!$Q$4:$Q$1463,$P103)="","",INDEX(MASTER!$Q$4:$Q$1463,$P103)),""))</f>
        <v>45</v>
      </c>
      <c r="N103" s="15" t="str">
        <f>IF($P103="","",IFERROR(IF(INDEX(MASTER!$S$4:$S$1463,$P103)="","",INDEX(MASTER!$S$4:$S$1463,$P103)),""))</f>
        <v>Complete</v>
      </c>
      <c r="P103">
        <f>IFERROR(MATCH($Q$1&amp;"@95",MASTER!$AC$4:$AC$1463,0),"")</f>
        <v>1312</v>
      </c>
    </row>
    <row r="104" spans="1:16">
      <c r="A104" s="19">
        <f>IF($P104="","",96)</f>
        <v>96</v>
      </c>
      <c r="B104" s="18" t="str">
        <f>IF($P104="","",IFERROR(IF(INDEX(MASTER!$C$4:$C$1463,$P104)="","",INDEX(MASTER!$C$4:$C$1463,$P104)),""))</f>
        <v>Żämäzentä 丶 Terps</v>
      </c>
      <c r="C104" s="19" t="str">
        <f>IF($P104="","",IFERROR(IF(INDEX(MASTER!$D$4:$D$1463,$P104)="","",INDEX(MASTER!$D$4:$D$1463,$P104)),""))</f>
        <v/>
      </c>
      <c r="D104" s="19" t="str">
        <f>IF($P104="","",IFERROR(IF(INDEX(MASTER!$E$4:$E$1463,$P104)="","",INDEX(MASTER!$E$4:$E$1463,$P104)),""))</f>
        <v>WARLOCK</v>
      </c>
      <c r="E104" s="19" t="str">
        <f>IF($P104="","",IFERROR(IF(INDEX(MASTER!$F$4:$F$1463,$P104)="","",INDEX(MASTER!$F$4:$F$1463,$P104)),""))</f>
        <v>Control</v>
      </c>
      <c r="F104" s="20">
        <f>IF($P104="","",IFERROR(IF(INDEX(MASTER!$G$4:$G$1463,$P104)="","",INDEX(MASTER!$G$4:$G$1463,$P104)),""))</f>
        <v>61940</v>
      </c>
      <c r="G104" s="19" t="str">
        <f>IF($P104="","",IFERROR(IF(INDEX(MASTER!$H$4:$H$1463,$P104)="","",INDEX(MASTER!$H$4:$H$1463,$P104)),""))</f>
        <v>61,000 - 61,999</v>
      </c>
      <c r="H104" s="20">
        <f>IF($P104="","",IFERROR(IF(INDEX(MASTER!$I$4:$I$1463,$P104)="","",INDEX(MASTER!$I$4:$I$1463,$P104)),""))</f>
        <v>4389</v>
      </c>
      <c r="I104" s="19" t="str">
        <f>IF($P104="","",IFERROR(IF(INDEX(MASTER!$J$4:$J$1463,$P104)="","",INDEX(MASTER!$J$4:$J$1463,$P104)),""))</f>
        <v>CORE</v>
      </c>
      <c r="J104" s="21">
        <f>IF($P104="","",IFERROR(IF(INDEX(MASTER!$L$4:$L$1463,$P104)="","",INDEX(MASTER!$L$4:$L$1463,$P104)),""))</f>
        <v>4.1500000000000004</v>
      </c>
      <c r="K104" s="21">
        <f>IF($P104="","",IFERROR(IF(INDEX(MASTER!$N$4:$N$1463,$P104)="","",INDEX(MASTER!$N$4:$N$1463,$P104)),""))</f>
        <v>44.3</v>
      </c>
      <c r="L104" s="19" t="str">
        <f>IF($P104="","",IFERROR(IF(INDEX(MASTER!$O$4:$O$1463,$P104)="","",INDEX(MASTER!$O$4:$O$1463,$P104)),""))</f>
        <v>B</v>
      </c>
      <c r="M104" s="19">
        <f>IF($P104="","",IFERROR(IF(INDEX(MASTER!$Q$4:$Q$1463,$P104)="","",INDEX(MASTER!$Q$4:$Q$1463,$P104)),""))</f>
        <v>7</v>
      </c>
      <c r="N104" s="19" t="str">
        <f>IF($P104="","",IFERROR(IF(INDEX(MASTER!$S$4:$S$1463,$P104)="","",INDEX(MASTER!$S$4:$S$1463,$P104)),""))</f>
        <v>Complete</v>
      </c>
      <c r="P104">
        <f>IFERROR(MATCH($Q$1&amp;"@96",MASTER!$AC$4:$AC$1463,0),"")</f>
        <v>1349</v>
      </c>
    </row>
    <row r="105" spans="1:16">
      <c r="A105" s="15">
        <f>IF($P105="","",97)</f>
        <v>97</v>
      </c>
      <c r="B105" s="14" t="str">
        <f>IF($P105="","",IFERROR(IF(INDEX(MASTER!$C$4:$C$1463,$P105)="","",INDEX(MASTER!$C$4:$C$1463,$P105)),""))</f>
        <v>愛WangLin来</v>
      </c>
      <c r="C105" s="15" t="str">
        <f>IF($P105="","",IFERROR(IF(INDEX(MASTER!$D$4:$D$1463,$P105)="","",INDEX(MASTER!$D$4:$D$1463,$P105)),""))</f>
        <v/>
      </c>
      <c r="D105" s="15" t="str">
        <f>IF($P105="","",IFERROR(IF(INDEX(MASTER!$E$4:$E$1463,$P105)="","",INDEX(MASTER!$E$4:$E$1463,$P105)),""))</f>
        <v>DEMON HUNTER</v>
      </c>
      <c r="E105" s="15" t="str">
        <f>IF($P105="","",IFERROR(IF(INDEX(MASTER!$F$4:$F$1463,$P105)="","",INDEX(MASTER!$F$4:$F$1463,$P105)),""))</f>
        <v>Ranged DPS</v>
      </c>
      <c r="F105" s="16">
        <f>IF($P105="","",IFERROR(IF(INDEX(MASTER!$G$4:$G$1463,$P105)="","",INDEX(MASTER!$G$4:$G$1463,$P105)),""))</f>
        <v>61159</v>
      </c>
      <c r="G105" s="15" t="str">
        <f>IF($P105="","",IFERROR(IF(INDEX(MASTER!$H$4:$H$1463,$P105)="","",INDEX(MASTER!$H$4:$H$1463,$P105)),""))</f>
        <v>61,000 - 61,999</v>
      </c>
      <c r="H105" s="16">
        <f>IF($P105="","",IFERROR(IF(INDEX(MASTER!$I$4:$I$1463,$P105)="","",INDEX(MASTER!$I$4:$I$1463,$P105)),""))</f>
        <v>4229</v>
      </c>
      <c r="I105" s="15" t="str">
        <f>IF($P105="","",IFERROR(IF(INDEX(MASTER!$J$4:$J$1463,$P105)="","",INDEX(MASTER!$J$4:$J$1463,$P105)),""))</f>
        <v>CORE</v>
      </c>
      <c r="J105" s="17">
        <f>IF($P105="","",IFERROR(IF(INDEX(MASTER!$L$4:$L$1463,$P105)="","",INDEX(MASTER!$L$4:$L$1463,$P105)),""))</f>
        <v>5.25</v>
      </c>
      <c r="K105" s="17">
        <f>IF($P105="","",IFERROR(IF(INDEX(MASTER!$N$4:$N$1463,$P105)="","",INDEX(MASTER!$N$4:$N$1463,$P105)),""))</f>
        <v>43.4</v>
      </c>
      <c r="L105" s="15" t="str">
        <f>IF($P105="","",IFERROR(IF(INDEX(MASTER!$O$4:$O$1463,$P105)="","",INDEX(MASTER!$O$4:$O$1463,$P105)),""))</f>
        <v>B</v>
      </c>
      <c r="M105" s="15">
        <f>IF($P105="","",IFERROR(IF(INDEX(MASTER!$Q$4:$Q$1463,$P105)="","",INDEX(MASTER!$Q$4:$Q$1463,$P105)),""))</f>
        <v>11</v>
      </c>
      <c r="N105" s="15" t="str">
        <f>IF($P105="","",IFERROR(IF(INDEX(MASTER!$S$4:$S$1463,$P105)="","",INDEX(MASTER!$S$4:$S$1463,$P105)),""))</f>
        <v>Complete</v>
      </c>
      <c r="P105">
        <f>IFERROR(MATCH($Q$1&amp;"@97",MASTER!$AC$4:$AC$1463,0),"")</f>
        <v>1360</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3" spans="1:16" ht="19.5" customHeight="1">
      <c r="B133" s="91" t="s">
        <v>488</v>
      </c>
      <c r="C133" s="91"/>
      <c r="D133" s="91"/>
      <c r="E133" s="91"/>
      <c r="F133" s="91"/>
      <c r="G133" s="91"/>
    </row>
    <row r="134" spans="1:16" ht="27.75" customHeight="1">
      <c r="B134" s="108" t="s">
        <v>68</v>
      </c>
      <c r="C134" s="108"/>
      <c r="D134" s="13" t="s">
        <v>69</v>
      </c>
      <c r="E134" s="13" t="s">
        <v>64</v>
      </c>
      <c r="F134" s="13" t="s">
        <v>50</v>
      </c>
      <c r="G134" s="13" t="s">
        <v>51</v>
      </c>
    </row>
    <row r="135" spans="1:16">
      <c r="B135" s="106" t="s">
        <v>71</v>
      </c>
      <c r="C135" s="106"/>
      <c r="D135" s="16" t="str">
        <f>IFERROR(INDEX(SETUP!$B$55:$B$64,MATCH($B135,SETUP!$A$55:$A$64,0)),"-")</f>
        <v>Frontline</v>
      </c>
      <c r="E135" s="16">
        <f>COUNTIFS(MASTER!$B:$B,$Q$1,MASTER!$E:$E,$B135)</f>
        <v>12</v>
      </c>
      <c r="F135" s="16">
        <f>IFERROR(ROUND(AVERAGEIFS(MASTER!$I:$I,MASTER!$B:$B,$Q$1,MASTER!$E:$E,$B135),0),"-")</f>
        <v>2937</v>
      </c>
      <c r="G135" s="16">
        <f>IF($E135=0,"-",IFERROR(_xlfn.MAXIFS(MASTER!$I:$I,MASTER!$B:$B,$Q$1,MASTER!$E:$E,$B135),"-"))</f>
        <v>4649</v>
      </c>
    </row>
    <row r="136" spans="1:16">
      <c r="B136" s="105" t="s">
        <v>72</v>
      </c>
      <c r="C136" s="105"/>
      <c r="D136" s="20" t="str">
        <f>IFERROR(INDEX(SETUP!$B$55:$B$64,MATCH($B136,SETUP!$A$55:$A$64,0)),"-")</f>
        <v>Frontline</v>
      </c>
      <c r="E136" s="20">
        <f>COUNTIFS(MASTER!$B:$B,$Q$1,MASTER!$E:$E,$B136)</f>
        <v>8</v>
      </c>
      <c r="F136" s="20">
        <f>IFERROR(ROUND(AVERAGEIFS(MASTER!$I:$I,MASTER!$B:$B,$Q$1,MASTER!$E:$E,$B136),0),"-")</f>
        <v>2373</v>
      </c>
      <c r="G136" s="20">
        <f>IF($E136=0,"-",IFERROR(_xlfn.MAXIFS(MASTER!$I:$I,MASTER!$B:$B,$Q$1,MASTER!$E:$E,$B136),"-"))</f>
        <v>4165</v>
      </c>
    </row>
    <row r="137" spans="1:16">
      <c r="B137" s="106" t="s">
        <v>73</v>
      </c>
      <c r="C137" s="106"/>
      <c r="D137" s="16" t="str">
        <f>IFERROR(INDEX(SETUP!$B$55:$B$64,MATCH($B137,SETUP!$A$55:$A$64,0)),"-")</f>
        <v>Frontline</v>
      </c>
      <c r="E137" s="16">
        <f>COUNTIFS(MASTER!$B:$B,$Q$1,MASTER!$E:$E,$B137)</f>
        <v>10</v>
      </c>
      <c r="F137" s="16">
        <f>IFERROR(ROUND(AVERAGEIFS(MASTER!$I:$I,MASTER!$B:$B,$Q$1,MASTER!$E:$E,$B137),0),"-")</f>
        <v>2420</v>
      </c>
      <c r="G137" s="16">
        <f>IF($E137=0,"-",IFERROR(_xlfn.MAXIFS(MASTER!$I:$I,MASTER!$B:$B,$Q$1,MASTER!$E:$E,$B137),"-"))</f>
        <v>3733</v>
      </c>
    </row>
    <row r="138" spans="1:16">
      <c r="B138" s="105" t="s">
        <v>74</v>
      </c>
      <c r="C138" s="105"/>
      <c r="D138" s="20" t="str">
        <f>IFERROR(INDEX(SETUP!$B$55:$B$64,MATCH($B138,SETUP!$A$55:$A$64,0)),"-")</f>
        <v>Ranged DPS</v>
      </c>
      <c r="E138" s="20">
        <f>COUNTIFS(MASTER!$B:$B,$Q$1,MASTER!$E:$E,$B138)</f>
        <v>9</v>
      </c>
      <c r="F138" s="20">
        <f>IFERROR(ROUND(AVERAGEIFS(MASTER!$I:$I,MASTER!$B:$B,$Q$1,MASTER!$E:$E,$B138),0),"-")</f>
        <v>2888</v>
      </c>
      <c r="G138" s="20">
        <f>IF($E138=0,"-",IFERROR(_xlfn.MAXIFS(MASTER!$I:$I,MASTER!$B:$B,$Q$1,MASTER!$E:$E,$B138),"-"))</f>
        <v>5118</v>
      </c>
    </row>
    <row r="139" spans="1:16">
      <c r="B139" s="106" t="s">
        <v>75</v>
      </c>
      <c r="C139" s="106"/>
      <c r="D139" s="16" t="str">
        <f>IFERROR(INDEX(SETUP!$B$55:$B$64,MATCH($B139,SETUP!$A$55:$A$64,0)),"-")</f>
        <v>Support</v>
      </c>
      <c r="E139" s="16">
        <f>COUNTIFS(MASTER!$B:$B,$Q$1,MASTER!$E:$E,$B139)</f>
        <v>8</v>
      </c>
      <c r="F139" s="16">
        <f>IFERROR(ROUND(AVERAGEIFS(MASTER!$I:$I,MASTER!$B:$B,$Q$1,MASTER!$E:$E,$B139),0),"-")</f>
        <v>1483</v>
      </c>
      <c r="G139" s="16">
        <f>IF($E139=0,"-",IFERROR(_xlfn.MAXIFS(MASTER!$I:$I,MASTER!$B:$B,$Q$1,MASTER!$E:$E,$B139),"-"))</f>
        <v>2393</v>
      </c>
    </row>
    <row r="140" spans="1:16">
      <c r="B140" s="105" t="s">
        <v>76</v>
      </c>
      <c r="C140" s="105"/>
      <c r="D140" s="20" t="str">
        <f>IFERROR(INDEX(SETUP!$B$55:$B$64,MATCH($B140,SETUP!$A$55:$A$64,0)),"-")</f>
        <v>Support</v>
      </c>
      <c r="E140" s="20">
        <f>COUNTIFS(MASTER!$B:$B,$Q$1,MASTER!$E:$E,$B140)</f>
        <v>1</v>
      </c>
      <c r="F140" s="20">
        <f>IFERROR(ROUND(AVERAGEIFS(MASTER!$I:$I,MASTER!$B:$B,$Q$1,MASTER!$E:$E,$B140),0),"-")</f>
        <v>2622</v>
      </c>
      <c r="G140" s="20">
        <f>IF($E140=0,"-",IFERROR(_xlfn.MAXIFS(MASTER!$I:$I,MASTER!$B:$B,$Q$1,MASTER!$E:$E,$B140),"-"))</f>
        <v>2622</v>
      </c>
    </row>
    <row r="141" spans="1:16">
      <c r="B141" s="106" t="s">
        <v>77</v>
      </c>
      <c r="C141" s="106"/>
      <c r="D141" s="16" t="str">
        <f>IFERROR(INDEX(SETUP!$B$55:$B$64,MATCH($B141,SETUP!$A$55:$A$64,0)),"-")</f>
        <v>Control</v>
      </c>
      <c r="E141" s="16">
        <f>COUNTIFS(MASTER!$B:$B,$Q$1,MASTER!$E:$E,$B141)</f>
        <v>12</v>
      </c>
      <c r="F141" s="16">
        <f>IFERROR(ROUND(AVERAGEIFS(MASTER!$I:$I,MASTER!$B:$B,$Q$1,MASTER!$E:$E,$B141),0),"-")</f>
        <v>1788</v>
      </c>
      <c r="G141" s="16">
        <f>IF($E141=0,"-",IFERROR(_xlfn.MAXIFS(MASTER!$I:$I,MASTER!$B:$B,$Q$1,MASTER!$E:$E,$B141),"-"))</f>
        <v>3295</v>
      </c>
    </row>
    <row r="142" spans="1:16">
      <c r="B142" s="105" t="s">
        <v>78</v>
      </c>
      <c r="C142" s="105"/>
      <c r="D142" s="20" t="str">
        <f>IFERROR(INDEX(SETUP!$B$55:$B$64,MATCH($B142,SETUP!$A$55:$A$64,0)),"-")</f>
        <v>Melee DPS</v>
      </c>
      <c r="E142" s="20">
        <f>COUNTIFS(MASTER!$B:$B,$Q$1,MASTER!$E:$E,$B142)</f>
        <v>9</v>
      </c>
      <c r="F142" s="20">
        <f>IFERROR(ROUND(AVERAGEIFS(MASTER!$I:$I,MASTER!$B:$B,$Q$1,MASTER!$E:$E,$B142),0),"-")</f>
        <v>1399</v>
      </c>
      <c r="G142" s="20">
        <f>IF($E142=0,"-",IFERROR(_xlfn.MAXIFS(MASTER!$I:$I,MASTER!$B:$B,$Q$1,MASTER!$E:$E,$B142),"-"))</f>
        <v>2380</v>
      </c>
    </row>
    <row r="143" spans="1:16">
      <c r="B143" s="106" t="s">
        <v>79</v>
      </c>
      <c r="C143" s="106"/>
      <c r="D143" s="16" t="str">
        <f>IFERROR(INDEX(SETUP!$B$55:$B$64,MATCH($B143,SETUP!$A$55:$A$64,0)),"-")</f>
        <v>Control</v>
      </c>
      <c r="E143" s="16">
        <f>COUNTIFS(MASTER!$B:$B,$Q$1,MASTER!$E:$E,$B143)</f>
        <v>20</v>
      </c>
      <c r="F143" s="16">
        <f>IFERROR(ROUND(AVERAGEIFS(MASTER!$I:$I,MASTER!$B:$B,$Q$1,MASTER!$E:$E,$B143),0),"-")</f>
        <v>2365</v>
      </c>
      <c r="G143" s="16">
        <f>IF($E143=0,"-",IFERROR(_xlfn.MAXIFS(MASTER!$I:$I,MASTER!$B:$B,$Q$1,MASTER!$E:$E,$B143),"-"))</f>
        <v>5260</v>
      </c>
    </row>
    <row r="144" spans="1:16">
      <c r="B144" s="105" t="s">
        <v>80</v>
      </c>
      <c r="C144" s="105"/>
      <c r="D144" s="20" t="str">
        <f>IFERROR(INDEX(SETUP!$B$55:$B$64,MATCH($B144,SETUP!$A$55:$A$64,0)),"-")</f>
        <v>Ranged DPS</v>
      </c>
      <c r="E144" s="20">
        <f>COUNTIFS(MASTER!$B:$B,$Q$1,MASTER!$E:$E,$B144)</f>
        <v>8</v>
      </c>
      <c r="F144" s="20">
        <f>IFERROR(ROUND(AVERAGEIFS(MASTER!$I:$I,MASTER!$B:$B,$Q$1,MASTER!$E:$E,$B144),0),"-")</f>
        <v>3081</v>
      </c>
      <c r="G144" s="20">
        <f>IF($E144=0,"-",IFERROR(_xlfn.MAXIFS(MASTER!$I:$I,MASTER!$B:$B,$Q$1,MASTER!$E:$E,$B144),"-"))</f>
        <v>5102</v>
      </c>
    </row>
  </sheetData>
  <autoFilter ref="A8:N130" xr:uid="{00000000-0009-0000-0000-000012000000}"/>
  <mergeCells count="29">
    <mergeCell ref="A1:N1"/>
    <mergeCell ref="A2:N2"/>
    <mergeCell ref="A4:B4"/>
    <mergeCell ref="C4:D4"/>
    <mergeCell ref="E4:F4"/>
    <mergeCell ref="G4:H4"/>
    <mergeCell ref="I4:J4"/>
    <mergeCell ref="K4:L4"/>
    <mergeCell ref="M4:N4"/>
    <mergeCell ref="K5:L5"/>
    <mergeCell ref="M5:N5"/>
    <mergeCell ref="A7:N7"/>
    <mergeCell ref="B133:G133"/>
    <mergeCell ref="B134:C134"/>
    <mergeCell ref="A5:B5"/>
    <mergeCell ref="C5:D5"/>
    <mergeCell ref="E5:F5"/>
    <mergeCell ref="G5:H5"/>
    <mergeCell ref="I5:J5"/>
    <mergeCell ref="B135:C135"/>
    <mergeCell ref="B136:C136"/>
    <mergeCell ref="B137:C137"/>
    <mergeCell ref="B138:C138"/>
    <mergeCell ref="B139:C139"/>
    <mergeCell ref="B140:C140"/>
    <mergeCell ref="B141:C141"/>
    <mergeCell ref="B142:C142"/>
    <mergeCell ref="B143:C143"/>
    <mergeCell ref="B144:C144"/>
  </mergeCells>
  <conditionalFormatting sqref="H9:H130">
    <cfRule type="colorScale" priority="2">
      <colorScale>
        <cfvo type="num" val="0"/>
        <cfvo type="num" val="5000"/>
        <cfvo type="num" val="12600"/>
        <color rgb="FFF8CBAD"/>
        <color rgb="FFFFE699"/>
        <color rgb="FFA9D08E"/>
      </colorScale>
    </cfRule>
  </conditionalFormatting>
  <conditionalFormatting sqref="N9:N130">
    <cfRule type="cellIs" dxfId="6"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4" evalError="1" twoDigitTextYear="1" numberStoredAsText="1" formula="1" formulaRange="1" unlockedFormula="1" emptyCellReference="1" listDataValidation="1" calculatedColumn="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30A0"/>
    <pageSetUpPr fitToPage="1"/>
  </sheetPr>
  <dimension ref="A1:Q140"/>
  <sheetViews>
    <sheetView showGridLines="0"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498</v>
      </c>
      <c r="B1" s="92"/>
      <c r="C1" s="92"/>
      <c r="D1" s="92"/>
      <c r="E1" s="92"/>
      <c r="F1" s="92"/>
      <c r="G1" s="92"/>
      <c r="H1" s="92"/>
      <c r="I1" s="92"/>
      <c r="J1" s="92"/>
      <c r="K1" s="92"/>
      <c r="L1" s="92"/>
      <c r="M1" s="92"/>
      <c r="N1" s="92"/>
      <c r="Q1" t="s">
        <v>115</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93</v>
      </c>
      <c r="B5" s="95"/>
      <c r="C5" s="95">
        <f>COUNTIFS(MASTER!$B:$B,$Q$1,MASTER!$S:$S,"Complete")</f>
        <v>68</v>
      </c>
      <c r="D5" s="95"/>
      <c r="E5" s="95">
        <f>IFERROR(ROUND(AVERAGEIFS(MASTER!$I:$I,MASTER!$B:$B,$Q$1),0),"-")</f>
        <v>3056</v>
      </c>
      <c r="F5" s="95"/>
      <c r="G5" s="95">
        <f>IFERROR(_xlfn.MAXIFS(MASTER!$I:$I,MASTER!$B:$B,$Q$1),"-")</f>
        <v>11094</v>
      </c>
      <c r="H5" s="95"/>
      <c r="I5" s="95">
        <f>COUNTIFS(MASTER!$B:$B,$Q$1,MASTER!$I:$I,"&gt;=10000")</f>
        <v>2</v>
      </c>
      <c r="J5" s="95"/>
      <c r="K5" s="107">
        <f>IFERROR(ROUND(AVERAGEIFS(MASTER!$N:$N,MASTER!$B:$B,$Q$1),1),"-")</f>
        <v>37.299999999999997</v>
      </c>
      <c r="L5" s="107"/>
      <c r="M5" s="95">
        <f>IF($Q$1="FUCT","- ours -",IFERROR(ROUND(AVERAGEIFS(MASTER!$I:$I,MASTER!$B:$B,$Q$1)-AVERAGEIF(MASTER!$B:$B,"FUCT",MASTER!$I:$I),0),"-"))</f>
        <v>-2158</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Aanic</v>
      </c>
      <c r="C9" s="15" t="str">
        <f>IF($P9="","",IFERROR(IF(INDEX(MASTER!$D$4:$D$1463,$P9)="","",INDEX(MASTER!$D$4:$D$1463,$P9)),""))</f>
        <v/>
      </c>
      <c r="D9" s="15" t="str">
        <f>IF($P9="","",IFERROR(IF(INDEX(MASTER!$E$4:$E$1463,$P9)="","",INDEX(MASTER!$E$4:$E$1463,$P9)),""))</f>
        <v>NECROMANCER</v>
      </c>
      <c r="E9" s="15" t="str">
        <f>IF($P9="","",IFERROR(IF(INDEX(MASTER!$F$4:$F$1463,$P9)="","",INDEX(MASTER!$F$4:$F$1463,$P9)),""))</f>
        <v>Control</v>
      </c>
      <c r="F9" s="16">
        <f>IF($P9="","",IFERROR(IF(INDEX(MASTER!$G$4:$G$1463,$P9)="","",INDEX(MASTER!$G$4:$G$1463,$P9)),""))</f>
        <v>55513</v>
      </c>
      <c r="G9" s="15" t="str">
        <f>IF($P9="","",IFERROR(IF(INDEX(MASTER!$H$4:$H$1463,$P9)="","",INDEX(MASTER!$H$4:$H$1463,$P9)),""))</f>
        <v>Under 58,000</v>
      </c>
      <c r="H9" s="16">
        <f>IF($P9="","",IFERROR(IF(INDEX(MASTER!$I$4:$I$1463,$P9)="","",INDEX(MASTER!$I$4:$I$1463,$P9)),""))</f>
        <v>791</v>
      </c>
      <c r="I9" s="15" t="str">
        <f>IF($P9="","",IFERROR(IF(INDEX(MASTER!$J$4:$J$1463,$P9)="","",INDEX(MASTER!$J$4:$J$1463,$P9)),""))</f>
        <v>ROOKIE</v>
      </c>
      <c r="J9" s="17">
        <f>IF($P9="","",IFERROR(IF(INDEX(MASTER!$L$4:$L$1463,$P9)="","",INDEX(MASTER!$L$4:$L$1463,$P9)),""))</f>
        <v>2.4</v>
      </c>
      <c r="K9" s="17">
        <f>IF($P9="","",IFERROR(IF(INDEX(MASTER!$N$4:$N$1463,$P9)="","",INDEX(MASTER!$N$4:$N$1463,$P9)),""))</f>
        <v>8.8000000000000007</v>
      </c>
      <c r="L9" s="15" t="str">
        <f>IF($P9="","",IFERROR(IF(INDEX(MASTER!$O$4:$O$1463,$P9)="","",INDEX(MASTER!$O$4:$O$1463,$P9)),""))</f>
        <v>D</v>
      </c>
      <c r="M9" s="15">
        <f>IF($P9="","",IFERROR(IF(INDEX(MASTER!$Q$4:$Q$1463,$P9)="","",INDEX(MASTER!$Q$4:$Q$1463,$P9)),""))</f>
        <v>65</v>
      </c>
      <c r="N9" s="15" t="str">
        <f>IF($P9="","",IFERROR(IF(INDEX(MASTER!$S$4:$S$1463,$P9)="","",INDEX(MASTER!$S$4:$S$1463,$P9)),""))</f>
        <v>Complete</v>
      </c>
      <c r="P9">
        <f>IFERROR(MATCH($Q$1&amp;"@1",MASTER!$AC$4:$AC$1463,0),"")</f>
        <v>13</v>
      </c>
    </row>
    <row r="10" spans="1:17">
      <c r="A10" s="19">
        <f>IF($P10="","",2)</f>
        <v>2</v>
      </c>
      <c r="B10" s="18" t="str">
        <f>IF($P10="","",IFERROR(IF(INDEX(MASTER!$C$4:$C$1463,$P10)="","",INDEX(MASTER!$C$4:$C$1463,$P10)),""))</f>
        <v>Aileai</v>
      </c>
      <c r="C10" s="19" t="str">
        <f>IF($P10="","",IFERROR(IF(INDEX(MASTER!$D$4:$D$1463,$P10)="","",INDEX(MASTER!$D$4:$D$1463,$P10)),""))</f>
        <v/>
      </c>
      <c r="D10" s="19" t="str">
        <f>IF($P10="","",IFERROR(IF(INDEX(MASTER!$E$4:$E$1463,$P10)="","",INDEX(MASTER!$E$4:$E$1463,$P10)),""))</f>
        <v>MONK</v>
      </c>
      <c r="E10" s="19" t="str">
        <f>IF($P10="","",IFERROR(IF(INDEX(MASTER!$F$4:$F$1463,$P10)="","",INDEX(MASTER!$F$4:$F$1463,$P10)),""))</f>
        <v>Support</v>
      </c>
      <c r="F10" s="20">
        <f>IF($P10="","",IFERROR(IF(INDEX(MASTER!$G$4:$G$1463,$P10)="","",INDEX(MASTER!$G$4:$G$1463,$P10)),""))</f>
        <v>62264</v>
      </c>
      <c r="G10" s="19" t="str">
        <f>IF($P10="","",IFERROR(IF(INDEX(MASTER!$H$4:$H$1463,$P10)="","",INDEX(MASTER!$H$4:$H$1463,$P10)),""))</f>
        <v>62,000 - 62,999</v>
      </c>
      <c r="H10" s="20">
        <f>IF($P10="","",IFERROR(IF(INDEX(MASTER!$I$4:$I$1463,$P10)="","",INDEX(MASTER!$I$4:$I$1463,$P10)),""))</f>
        <v>9887</v>
      </c>
      <c r="I10" s="19" t="str">
        <f>IF($P10="","",IFERROR(IF(INDEX(MASTER!$J$4:$J$1463,$P10)="","",INDEX(MASTER!$J$4:$J$1463,$P10)),""))</f>
        <v>ELITE</v>
      </c>
      <c r="J10" s="21">
        <f>IF($P10="","",IFERROR(IF(INDEX(MASTER!$L$4:$L$1463,$P10)="","",INDEX(MASTER!$L$4:$L$1463,$P10)),""))</f>
        <v>7.35</v>
      </c>
      <c r="K10" s="21">
        <f>IF($P10="","",IFERROR(IF(INDEX(MASTER!$N$4:$N$1463,$P10)="","",INDEX(MASTER!$N$4:$N$1463,$P10)),""))</f>
        <v>74.5</v>
      </c>
      <c r="L10" s="19" t="str">
        <f>IF($P10="","",IFERROR(IF(INDEX(MASTER!$O$4:$O$1463,$P10)="","",INDEX(MASTER!$O$4:$O$1463,$P10)),""))</f>
        <v>S</v>
      </c>
      <c r="M10" s="19">
        <f>IF($P10="","",IFERROR(IF(INDEX(MASTER!$Q$4:$Q$1463,$P10)="","",INDEX(MASTER!$Q$4:$Q$1463,$P10)),""))</f>
        <v>3</v>
      </c>
      <c r="N10" s="19" t="str">
        <f>IF($P10="","",IFERROR(IF(INDEX(MASTER!$S$4:$S$1463,$P10)="","",INDEX(MASTER!$S$4:$S$1463,$P10)),""))</f>
        <v>Complete</v>
      </c>
      <c r="P10">
        <f>IFERROR(MATCH($Q$1&amp;"@2",MASTER!$AC$4:$AC$1463,0),"")</f>
        <v>28</v>
      </c>
    </row>
    <row r="11" spans="1:17">
      <c r="A11" s="15">
        <f>IF($P11="","",3)</f>
        <v>3</v>
      </c>
      <c r="B11" s="14" t="str">
        <f>IF($P11="","",IFERROR(IF(INDEX(MASTER!$C$4:$C$1463,$P11)="","",INDEX(MASTER!$C$4:$C$1463,$P11)),""))</f>
        <v>ÃnnatarLG</v>
      </c>
      <c r="C11" s="15" t="str">
        <f>IF($P11="","",IFERROR(IF(INDEX(MASTER!$D$4:$D$1463,$P11)="","",INDEX(MASTER!$D$4:$D$1463,$P11)),""))</f>
        <v>H20</v>
      </c>
      <c r="D11" s="15" t="str">
        <f>IF($P11="","",IFERROR(IF(INDEX(MASTER!$E$4:$E$1463,$P11)="","",INDEX(MASTER!$E$4:$E$1463,$P11)),""))</f>
        <v>BLOOD KNIGHT</v>
      </c>
      <c r="E11" s="15" t="str">
        <f>IF($P11="","",IFERROR(IF(INDEX(MASTER!$F$4:$F$1463,$P11)="","",INDEX(MASTER!$F$4:$F$1463,$P11)),""))</f>
        <v>Frontline</v>
      </c>
      <c r="F11" s="16">
        <f>IF($P11="","",IFERROR(IF(INDEX(MASTER!$G$4:$G$1463,$P11)="","",INDEX(MASTER!$G$4:$G$1463,$P11)),""))</f>
        <v>62753</v>
      </c>
      <c r="G11" s="15" t="str">
        <f>IF($P11="","",IFERROR(IF(INDEX(MASTER!$H$4:$H$1463,$P11)="","",INDEX(MASTER!$H$4:$H$1463,$P11)),""))</f>
        <v>62,000 - 62,999</v>
      </c>
      <c r="H11" s="16">
        <f>IF($P11="","",IFERROR(IF(INDEX(MASTER!$I$4:$I$1463,$P11)="","",INDEX(MASTER!$I$4:$I$1463,$P11)),""))</f>
        <v>4110</v>
      </c>
      <c r="I11" s="15" t="str">
        <f>IF($P11="","",IFERROR(IF(INDEX(MASTER!$J$4:$J$1463,$P11)="","",INDEX(MASTER!$J$4:$J$1463,$P11)),""))</f>
        <v>CORE</v>
      </c>
      <c r="J11" s="17">
        <f>IF($P11="","",IFERROR(IF(INDEX(MASTER!$L$4:$L$1463,$P11)="","",INDEX(MASTER!$L$4:$L$1463,$P11)),""))</f>
        <v>4.5</v>
      </c>
      <c r="K11" s="17">
        <f>IF($P11="","",IFERROR(IF(INDEX(MASTER!$N$4:$N$1463,$P11)="","",INDEX(MASTER!$N$4:$N$1463,$P11)),""))</f>
        <v>45.8</v>
      </c>
      <c r="L11" s="15" t="str">
        <f>IF($P11="","",IFERROR(IF(INDEX(MASTER!$O$4:$O$1463,$P11)="","",INDEX(MASTER!$O$4:$O$1463,$P11)),""))</f>
        <v>B</v>
      </c>
      <c r="M11" s="15">
        <f>IF($P11="","",IFERROR(IF(INDEX(MASTER!$Q$4:$Q$1463,$P11)="","",INDEX(MASTER!$Q$4:$Q$1463,$P11)),""))</f>
        <v>15</v>
      </c>
      <c r="N11" s="15" t="str">
        <f>IF($P11="","",IFERROR(IF(INDEX(MASTER!$S$4:$S$1463,$P11)="","",INDEX(MASTER!$S$4:$S$1463,$P11)),""))</f>
        <v>Complete</v>
      </c>
      <c r="P11">
        <f>IFERROR(MATCH($Q$1&amp;"@3",MASTER!$AC$4:$AC$1463,0),"")</f>
        <v>1332</v>
      </c>
    </row>
    <row r="12" spans="1:17">
      <c r="A12" s="19">
        <f>IF($P12="","",4)</f>
        <v>4</v>
      </c>
      <c r="B12" s="18" t="str">
        <f>IF($P12="","",IFERROR(IF(INDEX(MASTER!$C$4:$C$1463,$P12)="","",INDEX(MASTER!$C$4:$C$1463,$P12)),""))</f>
        <v>Anoosh</v>
      </c>
      <c r="C12" s="19" t="str">
        <f>IF($P12="","",IFERROR(IF(INDEX(MASTER!$D$4:$D$1463,$P12)="","",INDEX(MASTER!$D$4:$D$1463,$P12)),""))</f>
        <v/>
      </c>
      <c r="D12" s="19" t="str">
        <f>IF($P12="","",IFERROR(IF(INDEX(MASTER!$E$4:$E$1463,$P12)="","",INDEX(MASTER!$E$4:$E$1463,$P12)),""))</f>
        <v>NECROMANCER</v>
      </c>
      <c r="E12" s="19" t="str">
        <f>IF($P12="","",IFERROR(IF(INDEX(MASTER!$F$4:$F$1463,$P12)="","",INDEX(MASTER!$F$4:$F$1463,$P12)),""))</f>
        <v>Control</v>
      </c>
      <c r="F12" s="20">
        <f>IF($P12="","",IFERROR(IF(INDEX(MASTER!$G$4:$G$1463,$P12)="","",INDEX(MASTER!$G$4:$G$1463,$P12)),""))</f>
        <v>60793</v>
      </c>
      <c r="G12" s="19" t="str">
        <f>IF($P12="","",IFERROR(IF(INDEX(MASTER!$H$4:$H$1463,$P12)="","",INDEX(MASTER!$H$4:$H$1463,$P12)),""))</f>
        <v>60,000 - 60,999</v>
      </c>
      <c r="H12" s="20">
        <f>IF($P12="","",IFERROR(IF(INDEX(MASTER!$I$4:$I$1463,$P12)="","",INDEX(MASTER!$I$4:$I$1463,$P12)),""))</f>
        <v>2308</v>
      </c>
      <c r="I12" s="19" t="str">
        <f>IF($P12="","",IFERROR(IF(INDEX(MASTER!$J$4:$J$1463,$P12)="","",INDEX(MASTER!$J$4:$J$1463,$P12)),""))</f>
        <v>DEVELOPING</v>
      </c>
      <c r="J12" s="21">
        <f>IF($P12="","",IFERROR(IF(INDEX(MASTER!$L$4:$L$1463,$P12)="","",INDEX(MASTER!$L$4:$L$1463,$P12)),""))</f>
        <v>4.5</v>
      </c>
      <c r="K12" s="21">
        <f>IF($P12="","",IFERROR(IF(INDEX(MASTER!$N$4:$N$1463,$P12)="","",INDEX(MASTER!$N$4:$N$1463,$P12)),""))</f>
        <v>32.799999999999997</v>
      </c>
      <c r="L12" s="19" t="str">
        <f>IF($P12="","",IFERROR(IF(INDEX(MASTER!$O$4:$O$1463,$P12)="","",INDEX(MASTER!$O$4:$O$1463,$P12)),""))</f>
        <v>C</v>
      </c>
      <c r="M12" s="19">
        <f>IF($P12="","",IFERROR(IF(INDEX(MASTER!$Q$4:$Q$1463,$P12)="","",INDEX(MASTER!$Q$4:$Q$1463,$P12)),""))</f>
        <v>36</v>
      </c>
      <c r="N12" s="19" t="str">
        <f>IF($P12="","",IFERROR(IF(INDEX(MASTER!$S$4:$S$1463,$P12)="","",INDEX(MASTER!$S$4:$S$1463,$P12)),""))</f>
        <v>Complete</v>
      </c>
      <c r="P12">
        <f>IFERROR(MATCH($Q$1&amp;"@4",MASTER!$AC$4:$AC$1463,0),"")</f>
        <v>49</v>
      </c>
    </row>
    <row r="13" spans="1:17">
      <c r="A13" s="15">
        <f>IF($P13="","",5)</f>
        <v>5</v>
      </c>
      <c r="B13" s="14" t="str">
        <f>IF($P13="","",IFERROR(IF(INDEX(MASTER!$C$4:$C$1463,$P13)="","",INDEX(MASTER!$C$4:$C$1463,$P13)),""))</f>
        <v>AntonTheNoble</v>
      </c>
      <c r="C13" s="15" t="str">
        <f>IF($P13="","",IFERROR(IF(INDEX(MASTER!$D$4:$D$1463,$P13)="","",INDEX(MASTER!$D$4:$D$1463,$P13)),""))</f>
        <v/>
      </c>
      <c r="D13" s="15" t="str">
        <f>IF($P13="","",IFERROR(IF(INDEX(MASTER!$E$4:$E$1463,$P13)="","",INDEX(MASTER!$E$4:$E$1463,$P13)),""))</f>
        <v>BLOOD KNIGHT</v>
      </c>
      <c r="E13" s="15" t="str">
        <f>IF($P13="","",IFERROR(IF(INDEX(MASTER!$F$4:$F$1463,$P13)="","",INDEX(MASTER!$F$4:$F$1463,$P13)),""))</f>
        <v>Frontline</v>
      </c>
      <c r="F13" s="16">
        <f>IF($P13="","",IFERROR(IF(INDEX(MASTER!$G$4:$G$1463,$P13)="","",INDEX(MASTER!$G$4:$G$1463,$P13)),""))</f>
        <v>61290</v>
      </c>
      <c r="G13" s="15" t="str">
        <f>IF($P13="","",IFERROR(IF(INDEX(MASTER!$H$4:$H$1463,$P13)="","",INDEX(MASTER!$H$4:$H$1463,$P13)),""))</f>
        <v>61,000 - 61,999</v>
      </c>
      <c r="H13" s="16">
        <f>IF($P13="","",IFERROR(IF(INDEX(MASTER!$I$4:$I$1463,$P13)="","",INDEX(MASTER!$I$4:$I$1463,$P13)),""))</f>
        <v>1030</v>
      </c>
      <c r="I13" s="15" t="str">
        <f>IF($P13="","",IFERROR(IF(INDEX(MASTER!$J$4:$J$1463,$P13)="","",INDEX(MASTER!$J$4:$J$1463,$P13)),""))</f>
        <v>ROOKIE</v>
      </c>
      <c r="J13" s="17">
        <f>IF($P13="","",IFERROR(IF(INDEX(MASTER!$L$4:$L$1463,$P13)="","",INDEX(MASTER!$L$4:$L$1463,$P13)),""))</f>
        <v>3.1</v>
      </c>
      <c r="K13" s="17">
        <f>IF($P13="","",IFERROR(IF(INDEX(MASTER!$N$4:$N$1463,$P13)="","",INDEX(MASTER!$N$4:$N$1463,$P13)),""))</f>
        <v>26.2</v>
      </c>
      <c r="L13" s="15" t="str">
        <f>IF($P13="","",IFERROR(IF(INDEX(MASTER!$O$4:$O$1463,$P13)="","",INDEX(MASTER!$O$4:$O$1463,$P13)),""))</f>
        <v>C</v>
      </c>
      <c r="M13" s="15">
        <f>IF($P13="","",IFERROR(IF(INDEX(MASTER!$Q$4:$Q$1463,$P13)="","",INDEX(MASTER!$Q$4:$Q$1463,$P13)),""))</f>
        <v>61</v>
      </c>
      <c r="N13" s="15" t="str">
        <f>IF($P13="","",IFERROR(IF(INDEX(MASTER!$S$4:$S$1463,$P13)="","",INDEX(MASTER!$S$4:$S$1463,$P13)),""))</f>
        <v>Complete</v>
      </c>
      <c r="P13">
        <f>IFERROR(MATCH($Q$1&amp;"@5",MASTER!$AC$4:$AC$1463,0),"")</f>
        <v>50</v>
      </c>
    </row>
    <row r="14" spans="1:17">
      <c r="A14" s="19">
        <f>IF($P14="","",6)</f>
        <v>6</v>
      </c>
      <c r="B14" s="18" t="str">
        <f>IF($P14="","",IFERROR(IF(INDEX(MASTER!$C$4:$C$1463,$P14)="","",INDEX(MASTER!$C$4:$C$1463,$P14)),""))</f>
        <v>ApeironOurea</v>
      </c>
      <c r="C14" s="19" t="str">
        <f>IF($P14="","",IFERROR(IF(INDEX(MASTER!$D$4:$D$1463,$P14)="","",INDEX(MASTER!$D$4:$D$1463,$P14)),""))</f>
        <v/>
      </c>
      <c r="D14" s="19" t="str">
        <f>IF($P14="","",IFERROR(IF(INDEX(MASTER!$E$4:$E$1463,$P14)="","",INDEX(MASTER!$E$4:$E$1463,$P14)),""))</f>
        <v>WARLOCK</v>
      </c>
      <c r="E14" s="19" t="str">
        <f>IF($P14="","",IFERROR(IF(INDEX(MASTER!$F$4:$F$1463,$P14)="","",INDEX(MASTER!$F$4:$F$1463,$P14)),""))</f>
        <v>Control</v>
      </c>
      <c r="F14" s="20">
        <f>IF($P14="","",IFERROR(IF(INDEX(MASTER!$G$4:$G$1463,$P14)="","",INDEX(MASTER!$G$4:$G$1463,$P14)),""))</f>
        <v>58237</v>
      </c>
      <c r="G14" s="19" t="str">
        <f>IF($P14="","",IFERROR(IF(INDEX(MASTER!$H$4:$H$1463,$P14)="","",INDEX(MASTER!$H$4:$H$1463,$P14)),""))</f>
        <v>58,000 - 59,999</v>
      </c>
      <c r="H14" s="20">
        <f>IF($P14="","",IFERROR(IF(INDEX(MASTER!$I$4:$I$1463,$P14)="","",INDEX(MASTER!$I$4:$I$1463,$P14)),""))</f>
        <v>465</v>
      </c>
      <c r="I14" s="19" t="str">
        <f>IF($P14="","",IFERROR(IF(INDEX(MASTER!$J$4:$J$1463,$P14)="","",INDEX(MASTER!$J$4:$J$1463,$P14)),""))</f>
        <v>ROOKIE</v>
      </c>
      <c r="J14" s="21">
        <f>IF($P14="","",IFERROR(IF(INDEX(MASTER!$L$4:$L$1463,$P14)="","",INDEX(MASTER!$L$4:$L$1463,$P14)),""))</f>
        <v>1.8</v>
      </c>
      <c r="K14" s="21">
        <f>IF($P14="","",IFERROR(IF(INDEX(MASTER!$N$4:$N$1463,$P14)="","",INDEX(MASTER!$N$4:$N$1463,$P14)),""))</f>
        <v>13.5</v>
      </c>
      <c r="L14" s="19" t="str">
        <f>IF($P14="","",IFERROR(IF(INDEX(MASTER!$O$4:$O$1463,$P14)="","",INDEX(MASTER!$O$4:$O$1463,$P14)),""))</f>
        <v>D</v>
      </c>
      <c r="M14" s="19">
        <f>IF($P14="","",IFERROR(IF(INDEX(MASTER!$Q$4:$Q$1463,$P14)="","",INDEX(MASTER!$Q$4:$Q$1463,$P14)),""))</f>
        <v>67</v>
      </c>
      <c r="N14" s="19" t="str">
        <f>IF($P14="","",IFERROR(IF(INDEX(MASTER!$S$4:$S$1463,$P14)="","",INDEX(MASTER!$S$4:$S$1463,$P14)),""))</f>
        <v>Complete</v>
      </c>
      <c r="P14">
        <f>IFERROR(MATCH($Q$1&amp;"@6",MASTER!$AC$4:$AC$1463,0),"")</f>
        <v>52</v>
      </c>
    </row>
    <row r="15" spans="1:17">
      <c r="A15" s="15">
        <f>IF($P15="","",7)</f>
        <v>7</v>
      </c>
      <c r="B15" s="14" t="str">
        <f>IF($P15="","",IFERROR(IF(INDEX(MASTER!$C$4:$C$1463,$P15)="","",INDEX(MASTER!$C$4:$C$1463,$P15)),""))</f>
        <v>Avellyn</v>
      </c>
      <c r="C15" s="15" t="str">
        <f>IF($P15="","",IFERROR(IF(INDEX(MASTER!$D$4:$D$1463,$P15)="","",INDEX(MASTER!$D$4:$D$1463,$P15)),""))</f>
        <v/>
      </c>
      <c r="D15" s="15" t="str">
        <f>IF($P15="","",IFERROR(IF(INDEX(MASTER!$E$4:$E$1463,$P15)="","",INDEX(MASTER!$E$4:$E$1463,$P15)),""))</f>
        <v>BARBARIAN</v>
      </c>
      <c r="E15" s="15" t="str">
        <f>IF($P15="","",IFERROR(IF(INDEX(MASTER!$F$4:$F$1463,$P15)="","",INDEX(MASTER!$F$4:$F$1463,$P15)),""))</f>
        <v>Frontline</v>
      </c>
      <c r="F15" s="16">
        <f>IF($P15="","",IFERROR(IF(INDEX(MASTER!$G$4:$G$1463,$P15)="","",INDEX(MASTER!$G$4:$G$1463,$P15)),""))</f>
        <v>59943</v>
      </c>
      <c r="G15" s="15" t="str">
        <f>IF($P15="","",IFERROR(IF(INDEX(MASTER!$H$4:$H$1463,$P15)="","",INDEX(MASTER!$H$4:$H$1463,$P15)),""))</f>
        <v>58,000 - 59,999</v>
      </c>
      <c r="H15" s="16">
        <f>IF($P15="","",IFERROR(IF(INDEX(MASTER!$I$4:$I$1463,$P15)="","",INDEX(MASTER!$I$4:$I$1463,$P15)),""))</f>
        <v>2308</v>
      </c>
      <c r="I15" s="15" t="str">
        <f>IF($P15="","",IFERROR(IF(INDEX(MASTER!$J$4:$J$1463,$P15)="","",INDEX(MASTER!$J$4:$J$1463,$P15)),""))</f>
        <v>DEVELOPING</v>
      </c>
      <c r="J15" s="17">
        <f>IF($P15="","",IFERROR(IF(INDEX(MASTER!$L$4:$L$1463,$P15)="","",INDEX(MASTER!$L$4:$L$1463,$P15)),""))</f>
        <v>3.2</v>
      </c>
      <c r="K15" s="17">
        <f>IF($P15="","",IFERROR(IF(INDEX(MASTER!$N$4:$N$1463,$P15)="","",INDEX(MASTER!$N$4:$N$1463,$P15)),""))</f>
        <v>28.4</v>
      </c>
      <c r="L15" s="15" t="str">
        <f>IF($P15="","",IFERROR(IF(INDEX(MASTER!$O$4:$O$1463,$P15)="","",INDEX(MASTER!$O$4:$O$1463,$P15)),""))</f>
        <v>C</v>
      </c>
      <c r="M15" s="15">
        <f>IF($P15="","",IFERROR(IF(INDEX(MASTER!$Q$4:$Q$1463,$P15)="","",INDEX(MASTER!$Q$4:$Q$1463,$P15)),""))</f>
        <v>37</v>
      </c>
      <c r="N15" s="15" t="str">
        <f>IF($P15="","",IFERROR(IF(INDEX(MASTER!$S$4:$S$1463,$P15)="","",INDEX(MASTER!$S$4:$S$1463,$P15)),""))</f>
        <v>Complete</v>
      </c>
      <c r="P15">
        <f>IFERROR(MATCH($Q$1&amp;"@7",MASTER!$AC$4:$AC$1463,0),"")</f>
        <v>79</v>
      </c>
    </row>
    <row r="16" spans="1:17">
      <c r="A16" s="19">
        <f>IF($P16="","",8)</f>
        <v>8</v>
      </c>
      <c r="B16" s="18" t="str">
        <f>IF($P16="","",IFERROR(IF(INDEX(MASTER!$C$4:$C$1463,$P16)="","",INDEX(MASTER!$C$4:$C$1463,$P16)),""))</f>
        <v>awadqwbq11</v>
      </c>
      <c r="C16" s="19" t="str">
        <f>IF($P16="","",IFERROR(IF(INDEX(MASTER!$D$4:$D$1463,$P16)="","",INDEX(MASTER!$D$4:$D$1463,$P16)),""))</f>
        <v/>
      </c>
      <c r="D16" s="19" t="str">
        <f>IF($P16="","",IFERROR(IF(INDEX(MASTER!$E$4:$E$1463,$P16)="","",INDEX(MASTER!$E$4:$E$1463,$P16)),""))</f>
        <v>CRUSADER</v>
      </c>
      <c r="E16" s="19" t="str">
        <f>IF($P16="","",IFERROR(IF(INDEX(MASTER!$F$4:$F$1463,$P16)="","",INDEX(MASTER!$F$4:$F$1463,$P16)),""))</f>
        <v>Frontline</v>
      </c>
      <c r="F16" s="20">
        <f>IF($P16="","",IFERROR(IF(INDEX(MASTER!$G$4:$G$1463,$P16)="","",INDEX(MASTER!$G$4:$G$1463,$P16)),""))</f>
        <v>61915</v>
      </c>
      <c r="G16" s="19" t="str">
        <f>IF($P16="","",IFERROR(IF(INDEX(MASTER!$H$4:$H$1463,$P16)="","",INDEX(MASTER!$H$4:$H$1463,$P16)),""))</f>
        <v>61,000 - 61,999</v>
      </c>
      <c r="H16" s="20">
        <f>IF($P16="","",IFERROR(IF(INDEX(MASTER!$I$4:$I$1463,$P16)="","",INDEX(MASTER!$I$4:$I$1463,$P16)),""))</f>
        <v>1390</v>
      </c>
      <c r="I16" s="19" t="str">
        <f>IF($P16="","",IFERROR(IF(INDEX(MASTER!$J$4:$J$1463,$P16)="","",INDEX(MASTER!$J$4:$J$1463,$P16)),""))</f>
        <v>ROOKIE</v>
      </c>
      <c r="J16" s="21">
        <f>IF($P16="","",IFERROR(IF(INDEX(MASTER!$L$4:$L$1463,$P16)="","",INDEX(MASTER!$L$4:$L$1463,$P16)),""))</f>
        <v>2.9</v>
      </c>
      <c r="K16" s="21">
        <f>IF($P16="","",IFERROR(IF(INDEX(MASTER!$N$4:$N$1463,$P16)="","",INDEX(MASTER!$N$4:$N$1463,$P16)),""))</f>
        <v>29.1</v>
      </c>
      <c r="L16" s="19" t="str">
        <f>IF($P16="","",IFERROR(IF(INDEX(MASTER!$O$4:$O$1463,$P16)="","",INDEX(MASTER!$O$4:$O$1463,$P16)),""))</f>
        <v>C</v>
      </c>
      <c r="M16" s="19">
        <f>IF($P16="","",IFERROR(IF(INDEX(MASTER!$Q$4:$Q$1463,$P16)="","",INDEX(MASTER!$Q$4:$Q$1463,$P16)),""))</f>
        <v>54</v>
      </c>
      <c r="N16" s="19" t="str">
        <f>IF($P16="","",IFERROR(IF(INDEX(MASTER!$S$4:$S$1463,$P16)="","",INDEX(MASTER!$S$4:$S$1463,$P16)),""))</f>
        <v>Complete</v>
      </c>
      <c r="P16">
        <f>IFERROR(MATCH($Q$1&amp;"@8",MASTER!$AC$4:$AC$1463,0),"")</f>
        <v>81</v>
      </c>
    </row>
    <row r="17" spans="1:16">
      <c r="A17" s="15">
        <f>IF($P17="","",9)</f>
        <v>9</v>
      </c>
      <c r="B17" s="14" t="str">
        <f>IF($P17="","",IFERROR(IF(INDEX(MASTER!$C$4:$C$1463,$P17)="","",INDEX(MASTER!$C$4:$C$1463,$P17)),""))</f>
        <v>babyRandoM</v>
      </c>
      <c r="C17" s="15" t="str">
        <f>IF($P17="","",IFERROR(IF(INDEX(MASTER!$D$4:$D$1463,$P17)="","",INDEX(MASTER!$D$4:$D$1463,$P17)),""))</f>
        <v/>
      </c>
      <c r="D17" s="15" t="str">
        <f>IF($P17="","",IFERROR(IF(INDEX(MASTER!$E$4:$E$1463,$P17)="","",INDEX(MASTER!$E$4:$E$1463,$P17)),""))</f>
        <v>WARLOCK</v>
      </c>
      <c r="E17" s="15" t="str">
        <f>IF($P17="","",IFERROR(IF(INDEX(MASTER!$F$4:$F$1463,$P17)="","",INDEX(MASTER!$F$4:$F$1463,$P17)),""))</f>
        <v>Control</v>
      </c>
      <c r="F17" s="16">
        <f>IF($P17="","",IFERROR(IF(INDEX(MASTER!$G$4:$G$1463,$P17)="","",INDEX(MASTER!$G$4:$G$1463,$P17)),""))</f>
        <v>61173</v>
      </c>
      <c r="G17" s="15" t="str">
        <f>IF($P17="","",IFERROR(IF(INDEX(MASTER!$H$4:$H$1463,$P17)="","",INDEX(MASTER!$H$4:$H$1463,$P17)),""))</f>
        <v>61,000 - 61,999</v>
      </c>
      <c r="H17" s="16">
        <f>IF($P17="","",IFERROR(IF(INDEX(MASTER!$I$4:$I$1463,$P17)="","",INDEX(MASTER!$I$4:$I$1463,$P17)),""))</f>
        <v>2554</v>
      </c>
      <c r="I17" s="15" t="str">
        <f>IF($P17="","",IFERROR(IF(INDEX(MASTER!$J$4:$J$1463,$P17)="","",INDEX(MASTER!$J$4:$J$1463,$P17)),""))</f>
        <v>DEVELOPING</v>
      </c>
      <c r="J17" s="17">
        <f>IF($P17="","",IFERROR(IF(INDEX(MASTER!$L$4:$L$1463,$P17)="","",INDEX(MASTER!$L$4:$L$1463,$P17)),""))</f>
        <v>3.8</v>
      </c>
      <c r="K17" s="17">
        <f>IF($P17="","",IFERROR(IF(INDEX(MASTER!$N$4:$N$1463,$P17)="","",INDEX(MASTER!$N$4:$N$1463,$P17)),""))</f>
        <v>33.700000000000003</v>
      </c>
      <c r="L17" s="15" t="str">
        <f>IF($P17="","",IFERROR(IF(INDEX(MASTER!$O$4:$O$1463,$P17)="","",INDEX(MASTER!$O$4:$O$1463,$P17)),""))</f>
        <v>C</v>
      </c>
      <c r="M17" s="15">
        <f>IF($P17="","",IFERROR(IF(INDEX(MASTER!$Q$4:$Q$1463,$P17)="","",INDEX(MASTER!$Q$4:$Q$1463,$P17)),""))</f>
        <v>34</v>
      </c>
      <c r="N17" s="15" t="str">
        <f>IF($P17="","",IFERROR(IF(INDEX(MASTER!$S$4:$S$1463,$P17)="","",INDEX(MASTER!$S$4:$S$1463,$P17)),""))</f>
        <v>Complete</v>
      </c>
      <c r="P17">
        <f>IFERROR(MATCH($Q$1&amp;"@9",MASTER!$AC$4:$AC$1463,0),"")</f>
        <v>96</v>
      </c>
    </row>
    <row r="18" spans="1:16">
      <c r="A18" s="19">
        <f>IF($P18="","",10)</f>
        <v>10</v>
      </c>
      <c r="B18" s="18" t="str">
        <f>IF($P18="","",IFERROR(IF(INDEX(MASTER!$C$4:$C$1463,$P18)="","",INDEX(MASTER!$C$4:$C$1463,$P18)),""))</f>
        <v>BlackFoxII</v>
      </c>
      <c r="C18" s="19" t="str">
        <f>IF($P18="","",IFERROR(IF(INDEX(MASTER!$D$4:$D$1463,$P18)="","",INDEX(MASTER!$D$4:$D$1463,$P18)),""))</f>
        <v/>
      </c>
      <c r="D18" s="19" t="str">
        <f>IF($P18="","",IFERROR(IF(INDEX(MASTER!$E$4:$E$1463,$P18)="","",INDEX(MASTER!$E$4:$E$1463,$P18)),""))</f>
        <v>WIZARD</v>
      </c>
      <c r="E18" s="19" t="str">
        <f>IF($P18="","",IFERROR(IF(INDEX(MASTER!$F$4:$F$1463,$P18)="","",INDEX(MASTER!$F$4:$F$1463,$P18)),""))</f>
        <v>Ranged DPS</v>
      </c>
      <c r="F18" s="20">
        <f>IF($P18="","",IFERROR(IF(INDEX(MASTER!$G$4:$G$1463,$P18)="","",INDEX(MASTER!$G$4:$G$1463,$P18)),""))</f>
        <v>59091</v>
      </c>
      <c r="G18" s="19" t="str">
        <f>IF($P18="","",IFERROR(IF(INDEX(MASTER!$H$4:$H$1463,$P18)="","",INDEX(MASTER!$H$4:$H$1463,$P18)),""))</f>
        <v>58,000 - 59,999</v>
      </c>
      <c r="H18" s="20">
        <f>IF($P18="","",IFERROR(IF(INDEX(MASTER!$I$4:$I$1463,$P18)="","",INDEX(MASTER!$I$4:$I$1463,$P18)),""))</f>
        <v>620</v>
      </c>
      <c r="I18" s="19" t="str">
        <f>IF($P18="","",IFERROR(IF(INDEX(MASTER!$J$4:$J$1463,$P18)="","",INDEX(MASTER!$J$4:$J$1463,$P18)),""))</f>
        <v>ROOKIE</v>
      </c>
      <c r="J18" s="21">
        <f>IF($P18="","",IFERROR(IF(INDEX(MASTER!$L$4:$L$1463,$P18)="","",INDEX(MASTER!$L$4:$L$1463,$P18)),""))</f>
        <v>2.6</v>
      </c>
      <c r="K18" s="21">
        <f>IF($P18="","",IFERROR(IF(INDEX(MASTER!$N$4:$N$1463,$P18)="","",INDEX(MASTER!$N$4:$N$1463,$P18)),""))</f>
        <v>17.8</v>
      </c>
      <c r="L18" s="19" t="str">
        <f>IF($P18="","",IFERROR(IF(INDEX(MASTER!$O$4:$O$1463,$P18)="","",INDEX(MASTER!$O$4:$O$1463,$P18)),""))</f>
        <v>D</v>
      </c>
      <c r="M18" s="19">
        <f>IF($P18="","",IFERROR(IF(INDEX(MASTER!$Q$4:$Q$1463,$P18)="","",INDEX(MASTER!$Q$4:$Q$1463,$P18)),""))</f>
        <v>66</v>
      </c>
      <c r="N18" s="19" t="str">
        <f>IF($P18="","",IFERROR(IF(INDEX(MASTER!$S$4:$S$1463,$P18)="","",INDEX(MASTER!$S$4:$S$1463,$P18)),""))</f>
        <v>Complete</v>
      </c>
      <c r="P18">
        <f>IFERROR(MATCH($Q$1&amp;"@10",MASTER!$AC$4:$AC$1463,0),"")</f>
        <v>140</v>
      </c>
    </row>
    <row r="19" spans="1:16">
      <c r="A19" s="15">
        <f>IF($P19="","",11)</f>
        <v>11</v>
      </c>
      <c r="B19" s="14" t="str">
        <f>IF($P19="","",IFERROR(IF(INDEX(MASTER!$C$4:$C$1463,$P19)="","",INDEX(MASTER!$C$4:$C$1463,$P19)),""))</f>
        <v>Bnsale</v>
      </c>
      <c r="C19" s="15" t="str">
        <f>IF($P19="","",IFERROR(IF(INDEX(MASTER!$D$4:$D$1463,$P19)="","",INDEX(MASTER!$D$4:$D$1463,$P19)),""))</f>
        <v/>
      </c>
      <c r="D19" s="15" t="str">
        <f>IF($P19="","",IFERROR(IF(INDEX(MASTER!$E$4:$E$1463,$P19)="","",INDEX(MASTER!$E$4:$E$1463,$P19)),""))</f>
        <v>WARLOCK</v>
      </c>
      <c r="E19" s="15" t="str">
        <f>IF($P19="","",IFERROR(IF(INDEX(MASTER!$F$4:$F$1463,$P19)="","",INDEX(MASTER!$F$4:$F$1463,$P19)),""))</f>
        <v>Control</v>
      </c>
      <c r="F19" s="16">
        <f>IF($P19="","",IFERROR(IF(INDEX(MASTER!$G$4:$G$1463,$P19)="","",INDEX(MASTER!$G$4:$G$1463,$P19)),""))</f>
        <v>59616</v>
      </c>
      <c r="G19" s="15" t="str">
        <f>IF($P19="","",IFERROR(IF(INDEX(MASTER!$H$4:$H$1463,$P19)="","",INDEX(MASTER!$H$4:$H$1463,$P19)),""))</f>
        <v>58,000 - 59,999</v>
      </c>
      <c r="H19" s="16">
        <f>IF($P19="","",IFERROR(IF(INDEX(MASTER!$I$4:$I$1463,$P19)="","",INDEX(MASTER!$I$4:$I$1463,$P19)),""))</f>
        <v>1060</v>
      </c>
      <c r="I19" s="15" t="str">
        <f>IF($P19="","",IFERROR(IF(INDEX(MASTER!$J$4:$J$1463,$P19)="","",INDEX(MASTER!$J$4:$J$1463,$P19)),""))</f>
        <v>ROOKIE</v>
      </c>
      <c r="J19" s="17">
        <f>IF($P19="","",IFERROR(IF(INDEX(MASTER!$L$4:$L$1463,$P19)="","",INDEX(MASTER!$L$4:$L$1463,$P19)),""))</f>
        <v>2.5</v>
      </c>
      <c r="K19" s="17">
        <f>IF($P19="","",IFERROR(IF(INDEX(MASTER!$N$4:$N$1463,$P19)="","",INDEX(MASTER!$N$4:$N$1463,$P19)),""))</f>
        <v>20.9</v>
      </c>
      <c r="L19" s="15" t="str">
        <f>IF($P19="","",IFERROR(IF(INDEX(MASTER!$O$4:$O$1463,$P19)="","",INDEX(MASTER!$O$4:$O$1463,$P19)),""))</f>
        <v>C</v>
      </c>
      <c r="M19" s="15">
        <f>IF($P19="","",IFERROR(IF(INDEX(MASTER!$Q$4:$Q$1463,$P19)="","",INDEX(MASTER!$Q$4:$Q$1463,$P19)),""))</f>
        <v>60</v>
      </c>
      <c r="N19" s="15" t="str">
        <f>IF($P19="","",IFERROR(IF(INDEX(MASTER!$S$4:$S$1463,$P19)="","",INDEX(MASTER!$S$4:$S$1463,$P19)),""))</f>
        <v>Complete</v>
      </c>
      <c r="P19">
        <f>IFERROR(MATCH($Q$1&amp;"@11",MASTER!$AC$4:$AC$1463,0),"")</f>
        <v>156</v>
      </c>
    </row>
    <row r="20" spans="1:16">
      <c r="A20" s="19">
        <f>IF($P20="","",12)</f>
        <v>12</v>
      </c>
      <c r="B20" s="18" t="str">
        <f>IF($P20="","",IFERROR(IF(INDEX(MASTER!$C$4:$C$1463,$P20)="","",INDEX(MASTER!$C$4:$C$1463,$P20)),""))</f>
        <v>Brendon</v>
      </c>
      <c r="C20" s="19" t="str">
        <f>IF($P20="","",IFERROR(IF(INDEX(MASTER!$D$4:$D$1463,$P20)="","",INDEX(MASTER!$D$4:$D$1463,$P20)),""))</f>
        <v/>
      </c>
      <c r="D20" s="19" t="str">
        <f>IF($P20="","",IFERROR(IF(INDEX(MASTER!$E$4:$E$1463,$P20)="","",INDEX(MASTER!$E$4:$E$1463,$P20)),""))</f>
        <v>BARBARIAN</v>
      </c>
      <c r="E20" s="19" t="str">
        <f>IF($P20="","",IFERROR(IF(INDEX(MASTER!$F$4:$F$1463,$P20)="","",INDEX(MASTER!$F$4:$F$1463,$P20)),""))</f>
        <v>Frontline</v>
      </c>
      <c r="F20" s="20">
        <f>IF($P20="","",IFERROR(IF(INDEX(MASTER!$G$4:$G$1463,$P20)="","",INDEX(MASTER!$G$4:$G$1463,$P20)),""))</f>
        <v>60381</v>
      </c>
      <c r="G20" s="19" t="str">
        <f>IF($P20="","",IFERROR(IF(INDEX(MASTER!$H$4:$H$1463,$P20)="","",INDEX(MASTER!$H$4:$H$1463,$P20)),""))</f>
        <v>60,000 - 60,999</v>
      </c>
      <c r="H20" s="20">
        <f>IF($P20="","",IFERROR(IF(INDEX(MASTER!$I$4:$I$1463,$P20)="","",INDEX(MASTER!$I$4:$I$1463,$P20)),""))</f>
        <v>2296</v>
      </c>
      <c r="I20" s="19" t="str">
        <f>IF($P20="","",IFERROR(IF(INDEX(MASTER!$J$4:$J$1463,$P20)="","",INDEX(MASTER!$J$4:$J$1463,$P20)),""))</f>
        <v>DEVELOPING</v>
      </c>
      <c r="J20" s="21">
        <f>IF($P20="","",IFERROR(IF(INDEX(MASTER!$L$4:$L$1463,$P20)="","",INDEX(MASTER!$L$4:$L$1463,$P20)),""))</f>
        <v>3.3</v>
      </c>
      <c r="K20" s="21">
        <f>IF($P20="","",IFERROR(IF(INDEX(MASTER!$N$4:$N$1463,$P20)="","",INDEX(MASTER!$N$4:$N$1463,$P20)),""))</f>
        <v>29.7</v>
      </c>
      <c r="L20" s="19" t="str">
        <f>IF($P20="","",IFERROR(IF(INDEX(MASTER!$O$4:$O$1463,$P20)="","",INDEX(MASTER!$O$4:$O$1463,$P20)),""))</f>
        <v>C</v>
      </c>
      <c r="M20" s="19">
        <f>IF($P20="","",IFERROR(IF(INDEX(MASTER!$Q$4:$Q$1463,$P20)="","",INDEX(MASTER!$Q$4:$Q$1463,$P20)),""))</f>
        <v>38</v>
      </c>
      <c r="N20" s="19" t="str">
        <f>IF($P20="","",IFERROR(IF(INDEX(MASTER!$S$4:$S$1463,$P20)="","",INDEX(MASTER!$S$4:$S$1463,$P20)),""))</f>
        <v>Complete</v>
      </c>
      <c r="P20">
        <f>IFERROR(MATCH($Q$1&amp;"@12",MASTER!$AC$4:$AC$1463,0),"")</f>
        <v>171</v>
      </c>
    </row>
    <row r="21" spans="1:16">
      <c r="A21" s="15">
        <f>IF($P21="","",13)</f>
        <v>13</v>
      </c>
      <c r="B21" s="14" t="str">
        <f>IF($P21="","",IFERROR(IF(INDEX(MASTER!$C$4:$C$1463,$P21)="","",INDEX(MASTER!$C$4:$C$1463,$P21)),""))</f>
        <v>Caeled</v>
      </c>
      <c r="C21" s="15" t="str">
        <f>IF($P21="","",IFERROR(IF(INDEX(MASTER!$D$4:$D$1463,$P21)="","",INDEX(MASTER!$D$4:$D$1463,$P21)),""))</f>
        <v/>
      </c>
      <c r="D21" s="15" t="str">
        <f>IF($P21="","",IFERROR(IF(INDEX(MASTER!$E$4:$E$1463,$P21)="","",INDEX(MASTER!$E$4:$E$1463,$P21)),""))</f>
        <v>TEMPEST</v>
      </c>
      <c r="E21" s="15" t="str">
        <f>IF($P21="","",IFERROR(IF(INDEX(MASTER!$F$4:$F$1463,$P21)="","",INDEX(MASTER!$F$4:$F$1463,$P21)),""))</f>
        <v>Melee DPS</v>
      </c>
      <c r="F21" s="16">
        <f>IF($P21="","",IFERROR(IF(INDEX(MASTER!$G$4:$G$1463,$P21)="","",INDEX(MASTER!$G$4:$G$1463,$P21)),""))</f>
        <v>62058</v>
      </c>
      <c r="G21" s="15" t="str">
        <f>IF($P21="","",IFERROR(IF(INDEX(MASTER!$H$4:$H$1463,$P21)="","",INDEX(MASTER!$H$4:$H$1463,$P21)),""))</f>
        <v>62,000 - 62,999</v>
      </c>
      <c r="H21" s="16">
        <f>IF($P21="","",IFERROR(IF(INDEX(MASTER!$I$4:$I$1463,$P21)="","",INDEX(MASTER!$I$4:$I$1463,$P21)),""))</f>
        <v>4690</v>
      </c>
      <c r="I21" s="15" t="str">
        <f>IF($P21="","",IFERROR(IF(INDEX(MASTER!$J$4:$J$1463,$P21)="","",INDEX(MASTER!$J$4:$J$1463,$P21)),""))</f>
        <v>CORE</v>
      </c>
      <c r="J21" s="17">
        <f>IF($P21="","",IFERROR(IF(INDEX(MASTER!$L$4:$L$1463,$P21)="","",INDEX(MASTER!$L$4:$L$1463,$P21)),""))</f>
        <v>3.9</v>
      </c>
      <c r="K21" s="17">
        <f>IF($P21="","",IFERROR(IF(INDEX(MASTER!$N$4:$N$1463,$P21)="","",INDEX(MASTER!$N$4:$N$1463,$P21)),""))</f>
        <v>45.5</v>
      </c>
      <c r="L21" s="15" t="str">
        <f>IF($P21="","",IFERROR(IF(INDEX(MASTER!$O$4:$O$1463,$P21)="","",INDEX(MASTER!$O$4:$O$1463,$P21)),""))</f>
        <v>B</v>
      </c>
      <c r="M21" s="15">
        <f>IF($P21="","",IFERROR(IF(INDEX(MASTER!$Q$4:$Q$1463,$P21)="","",INDEX(MASTER!$Q$4:$Q$1463,$P21)),""))</f>
        <v>11</v>
      </c>
      <c r="N21" s="15" t="str">
        <f>IF($P21="","",IFERROR(IF(INDEX(MASTER!$S$4:$S$1463,$P21)="","",INDEX(MASTER!$S$4:$S$1463,$P21)),""))</f>
        <v>Complete</v>
      </c>
      <c r="P21">
        <f>IFERROR(MATCH($Q$1&amp;"@13",MASTER!$AC$4:$AC$1463,0),"")</f>
        <v>185</v>
      </c>
    </row>
    <row r="22" spans="1:16">
      <c r="A22" s="19">
        <f>IF($P22="","",14)</f>
        <v>14</v>
      </c>
      <c r="B22" s="18" t="str">
        <f>IF($P22="","",IFERROR(IF(INDEX(MASTER!$C$4:$C$1463,$P22)="","",INDEX(MASTER!$C$4:$C$1463,$P22)),""))</f>
        <v>Chilonep</v>
      </c>
      <c r="C22" s="19" t="str">
        <f>IF($P22="","",IFERROR(IF(INDEX(MASTER!$D$4:$D$1463,$P22)="","",INDEX(MASTER!$D$4:$D$1463,$P22)),""))</f>
        <v/>
      </c>
      <c r="D22" s="19" t="str">
        <f>IF($P22="","",IFERROR(IF(INDEX(MASTER!$E$4:$E$1463,$P22)="","",INDEX(MASTER!$E$4:$E$1463,$P22)),""))</f>
        <v>BLOOD KNIGHT</v>
      </c>
      <c r="E22" s="19" t="str">
        <f>IF($P22="","",IFERROR(IF(INDEX(MASTER!$F$4:$F$1463,$P22)="","",INDEX(MASTER!$F$4:$F$1463,$P22)),""))</f>
        <v>Frontline</v>
      </c>
      <c r="F22" s="20">
        <f>IF($P22="","",IFERROR(IF(INDEX(MASTER!$G$4:$G$1463,$P22)="","",INDEX(MASTER!$G$4:$G$1463,$P22)),""))</f>
        <v>61863</v>
      </c>
      <c r="G22" s="19" t="str">
        <f>IF($P22="","",IFERROR(IF(INDEX(MASTER!$H$4:$H$1463,$P22)="","",INDEX(MASTER!$H$4:$H$1463,$P22)),""))</f>
        <v>61,000 - 61,999</v>
      </c>
      <c r="H22" s="20">
        <f>IF($P22="","",IFERROR(IF(INDEX(MASTER!$I$4:$I$1463,$P22)="","",INDEX(MASTER!$I$4:$I$1463,$P22)),""))</f>
        <v>2404</v>
      </c>
      <c r="I22" s="19" t="str">
        <f>IF($P22="","",IFERROR(IF(INDEX(MASTER!$J$4:$J$1463,$P22)="","",INDEX(MASTER!$J$4:$J$1463,$P22)),""))</f>
        <v>DEVELOPING</v>
      </c>
      <c r="J22" s="21">
        <f>IF($P22="","",IFERROR(IF(INDEX(MASTER!$L$4:$L$1463,$P22)="","",INDEX(MASTER!$L$4:$L$1463,$P22)),""))</f>
        <v>3.6</v>
      </c>
      <c r="K22" s="21">
        <f>IF($P22="","",IFERROR(IF(INDEX(MASTER!$N$4:$N$1463,$P22)="","",INDEX(MASTER!$N$4:$N$1463,$P22)),""))</f>
        <v>34.6</v>
      </c>
      <c r="L22" s="19" t="str">
        <f>IF($P22="","",IFERROR(IF(INDEX(MASTER!$O$4:$O$1463,$P22)="","",INDEX(MASTER!$O$4:$O$1463,$P22)),""))</f>
        <v>C</v>
      </c>
      <c r="M22" s="19">
        <f>IF($P22="","",IFERROR(IF(INDEX(MASTER!$Q$4:$Q$1463,$P22)="","",INDEX(MASTER!$Q$4:$Q$1463,$P22)),""))</f>
        <v>35</v>
      </c>
      <c r="N22" s="19" t="str">
        <f>IF($P22="","",IFERROR(IF(INDEX(MASTER!$S$4:$S$1463,$P22)="","",INDEX(MASTER!$S$4:$S$1463,$P22)),""))</f>
        <v>Complete</v>
      </c>
      <c r="P22">
        <f>IFERROR(MATCH($Q$1&amp;"@14",MASTER!$AC$4:$AC$1463,0),"")</f>
        <v>206</v>
      </c>
    </row>
    <row r="23" spans="1:16">
      <c r="A23" s="15">
        <f>IF($P23="","",15)</f>
        <v>15</v>
      </c>
      <c r="B23" s="14" t="str">
        <f>IF($P23="","",IFERROR(IF(INDEX(MASTER!$C$4:$C$1463,$P23)="","",INDEX(MASTER!$C$4:$C$1463,$P23)),""))</f>
        <v>DarkSummoner</v>
      </c>
      <c r="C23" s="15" t="str">
        <f>IF($P23="","",IFERROR(IF(INDEX(MASTER!$D$4:$D$1463,$P23)="","",INDEX(MASTER!$D$4:$D$1463,$P23)),""))</f>
        <v/>
      </c>
      <c r="D23" s="15" t="str">
        <f>IF($P23="","",IFERROR(IF(INDEX(MASTER!$E$4:$E$1463,$P23)="","",INDEX(MASTER!$E$4:$E$1463,$P23)),""))</f>
        <v>NECROMANCER</v>
      </c>
      <c r="E23" s="15" t="str">
        <f>IF($P23="","",IFERROR(IF(INDEX(MASTER!$F$4:$F$1463,$P23)="","",INDEX(MASTER!$F$4:$F$1463,$P23)),""))</f>
        <v>Control</v>
      </c>
      <c r="F23" s="16">
        <f>IF($P23="","",IFERROR(IF(INDEX(MASTER!$G$4:$G$1463,$P23)="","",INDEX(MASTER!$G$4:$G$1463,$P23)),""))</f>
        <v>61529</v>
      </c>
      <c r="G23" s="15" t="str">
        <f>IF($P23="","",IFERROR(IF(INDEX(MASTER!$H$4:$H$1463,$P23)="","",INDEX(MASTER!$H$4:$H$1463,$P23)),""))</f>
        <v>61,000 - 61,999</v>
      </c>
      <c r="H23" s="16">
        <f>IF($P23="","",IFERROR(IF(INDEX(MASTER!$I$4:$I$1463,$P23)="","",INDEX(MASTER!$I$4:$I$1463,$P23)),""))</f>
        <v>3149</v>
      </c>
      <c r="I23" s="15" t="str">
        <f>IF($P23="","",IFERROR(IF(INDEX(MASTER!$J$4:$J$1463,$P23)="","",INDEX(MASTER!$J$4:$J$1463,$P23)),""))</f>
        <v>DEVELOPING</v>
      </c>
      <c r="J23" s="17">
        <f>IF($P23="","",IFERROR(IF(INDEX(MASTER!$L$4:$L$1463,$P23)="","",INDEX(MASTER!$L$4:$L$1463,$P23)),""))</f>
        <v>3.6</v>
      </c>
      <c r="K23" s="17">
        <f>IF($P23="","",IFERROR(IF(INDEX(MASTER!$N$4:$N$1463,$P23)="","",INDEX(MASTER!$N$4:$N$1463,$P23)),""))</f>
        <v>36.9</v>
      </c>
      <c r="L23" s="15" t="str">
        <f>IF($P23="","",IFERROR(IF(INDEX(MASTER!$O$4:$O$1463,$P23)="","",INDEX(MASTER!$O$4:$O$1463,$P23)),""))</f>
        <v>B</v>
      </c>
      <c r="M23" s="15">
        <f>IF($P23="","",IFERROR(IF(INDEX(MASTER!$Q$4:$Q$1463,$P23)="","",INDEX(MASTER!$Q$4:$Q$1463,$P23)),""))</f>
        <v>22</v>
      </c>
      <c r="N23" s="15" t="str">
        <f>IF($P23="","",IFERROR(IF(INDEX(MASTER!$S$4:$S$1463,$P23)="","",INDEX(MASTER!$S$4:$S$1463,$P23)),""))</f>
        <v>Complete</v>
      </c>
      <c r="P23">
        <f>IFERROR(MATCH($Q$1&amp;"@15",MASTER!$AC$4:$AC$1463,0),"")</f>
        <v>254</v>
      </c>
    </row>
    <row r="24" spans="1:16">
      <c r="A24" s="19">
        <f>IF($P24="","",16)</f>
        <v>16</v>
      </c>
      <c r="B24" s="18" t="str">
        <f>IF($P24="","",IFERROR(IF(INDEX(MASTER!$C$4:$C$1463,$P24)="","",INDEX(MASTER!$C$4:$C$1463,$P24)),""))</f>
        <v>DeatNoTe</v>
      </c>
      <c r="C24" s="19" t="str">
        <f>IF($P24="","",IFERROR(IF(INDEX(MASTER!$D$4:$D$1463,$P24)="","",INDEX(MASTER!$D$4:$D$1463,$P24)),""))</f>
        <v/>
      </c>
      <c r="D24" s="19" t="str">
        <f>IF($P24="","",IFERROR(IF(INDEX(MASTER!$E$4:$E$1463,$P24)="","",INDEX(MASTER!$E$4:$E$1463,$P24)),""))</f>
        <v>WARLOCK</v>
      </c>
      <c r="E24" s="19" t="str">
        <f>IF($P24="","",IFERROR(IF(INDEX(MASTER!$F$4:$F$1463,$P24)="","",INDEX(MASTER!$F$4:$F$1463,$P24)),""))</f>
        <v>Control</v>
      </c>
      <c r="F24" s="20">
        <f>IF($P24="","",IFERROR(IF(INDEX(MASTER!$G$4:$G$1463,$P24)="","",INDEX(MASTER!$G$4:$G$1463,$P24)),""))</f>
        <v>59300</v>
      </c>
      <c r="G24" s="19" t="str">
        <f>IF($P24="","",IFERROR(IF(INDEX(MASTER!$H$4:$H$1463,$P24)="","",INDEX(MASTER!$H$4:$H$1463,$P24)),""))</f>
        <v>58,000 - 59,999</v>
      </c>
      <c r="H24" s="20">
        <f>IF($P24="","",IFERROR(IF(INDEX(MASTER!$I$4:$I$1463,$P24)="","",INDEX(MASTER!$I$4:$I$1463,$P24)),""))</f>
        <v>849</v>
      </c>
      <c r="I24" s="19" t="str">
        <f>IF($P24="","",IFERROR(IF(INDEX(MASTER!$J$4:$J$1463,$P24)="","",INDEX(MASTER!$J$4:$J$1463,$P24)),""))</f>
        <v>ROOKIE</v>
      </c>
      <c r="J24" s="21">
        <f>IF($P24="","",IFERROR(IF(INDEX(MASTER!$L$4:$L$1463,$P24)="","",INDEX(MASTER!$L$4:$L$1463,$P24)),""))</f>
        <v>2.9</v>
      </c>
      <c r="K24" s="21">
        <f>IF($P24="","",IFERROR(IF(INDEX(MASTER!$N$4:$N$1463,$P24)="","",INDEX(MASTER!$N$4:$N$1463,$P24)),""))</f>
        <v>19.899999999999999</v>
      </c>
      <c r="L24" s="19" t="str">
        <f>IF($P24="","",IFERROR(IF(INDEX(MASTER!$O$4:$O$1463,$P24)="","",INDEX(MASTER!$O$4:$O$1463,$P24)),""))</f>
        <v>D</v>
      </c>
      <c r="M24" s="19">
        <f>IF($P24="","",IFERROR(IF(INDEX(MASTER!$Q$4:$Q$1463,$P24)="","",INDEX(MASTER!$Q$4:$Q$1463,$P24)),""))</f>
        <v>64</v>
      </c>
      <c r="N24" s="19" t="str">
        <f>IF($P24="","",IFERROR(IF(INDEX(MASTER!$S$4:$S$1463,$P24)="","",INDEX(MASTER!$S$4:$S$1463,$P24)),""))</f>
        <v>Complete</v>
      </c>
      <c r="P24">
        <f>IFERROR(MATCH($Q$1&amp;"@16",MASTER!$AC$4:$AC$1463,0),"")</f>
        <v>271</v>
      </c>
    </row>
    <row r="25" spans="1:16">
      <c r="A25" s="15">
        <f>IF($P25="","",17)</f>
        <v>17</v>
      </c>
      <c r="B25" s="14" t="str">
        <f>IF($P25="","",IFERROR(IF(INDEX(MASTER!$C$4:$C$1463,$P25)="","",INDEX(MASTER!$C$4:$C$1463,$P25)),""))</f>
        <v>Douker</v>
      </c>
      <c r="C25" s="15" t="str">
        <f>IF($P25="","",IFERROR(IF(INDEX(MASTER!$D$4:$D$1463,$P25)="","",INDEX(MASTER!$D$4:$D$1463,$P25)),""))</f>
        <v/>
      </c>
      <c r="D25" s="15" t="str">
        <f>IF($P25="","",IFERROR(IF(INDEX(MASTER!$E$4:$E$1463,$P25)="","",INDEX(MASTER!$E$4:$E$1463,$P25)),""))</f>
        <v>WARLOCK</v>
      </c>
      <c r="E25" s="15" t="str">
        <f>IF($P25="","",IFERROR(IF(INDEX(MASTER!$F$4:$F$1463,$P25)="","",INDEX(MASTER!$F$4:$F$1463,$P25)),""))</f>
        <v>Control</v>
      </c>
      <c r="F25" s="16">
        <f>IF($P25="","",IFERROR(IF(INDEX(MASTER!$G$4:$G$1463,$P25)="","",INDEX(MASTER!$G$4:$G$1463,$P25)),""))</f>
        <v>61814</v>
      </c>
      <c r="G25" s="15" t="str">
        <f>IF($P25="","",IFERROR(IF(INDEX(MASTER!$H$4:$H$1463,$P25)="","",INDEX(MASTER!$H$4:$H$1463,$P25)),""))</f>
        <v>61,000 - 61,999</v>
      </c>
      <c r="H25" s="16">
        <f>IF($P25="","",IFERROR(IF(INDEX(MASTER!$I$4:$I$1463,$P25)="","",INDEX(MASTER!$I$4:$I$1463,$P25)),""))</f>
        <v>3548</v>
      </c>
      <c r="I25" s="15" t="str">
        <f>IF($P25="","",IFERROR(IF(INDEX(MASTER!$J$4:$J$1463,$P25)="","",INDEX(MASTER!$J$4:$J$1463,$P25)),""))</f>
        <v>DEVELOPING</v>
      </c>
      <c r="J25" s="17">
        <f>IF($P25="","",IFERROR(IF(INDEX(MASTER!$L$4:$L$1463,$P25)="","",INDEX(MASTER!$L$4:$L$1463,$P25)),""))</f>
        <v>4.5</v>
      </c>
      <c r="K25" s="17">
        <f>IF($P25="","",IFERROR(IF(INDEX(MASTER!$N$4:$N$1463,$P25)="","",INDEX(MASTER!$N$4:$N$1463,$P25)),""))</f>
        <v>40.9</v>
      </c>
      <c r="L25" s="15" t="str">
        <f>IF($P25="","",IFERROR(IF(INDEX(MASTER!$O$4:$O$1463,$P25)="","",INDEX(MASTER!$O$4:$O$1463,$P25)),""))</f>
        <v>B</v>
      </c>
      <c r="M25" s="15">
        <f>IF($P25="","",IFERROR(IF(INDEX(MASTER!$Q$4:$Q$1463,$P25)="","",INDEX(MASTER!$Q$4:$Q$1463,$P25)),""))</f>
        <v>19</v>
      </c>
      <c r="N25" s="15" t="str">
        <f>IF($P25="","",IFERROR(IF(INDEX(MASTER!$S$4:$S$1463,$P25)="","",INDEX(MASTER!$S$4:$S$1463,$P25)),""))</f>
        <v>Complete</v>
      </c>
      <c r="P25">
        <f>IFERROR(MATCH($Q$1&amp;"@17",MASTER!$AC$4:$AC$1463,0),"")</f>
        <v>308</v>
      </c>
    </row>
    <row r="26" spans="1:16">
      <c r="A26" s="19">
        <f>IF($P26="","",18)</f>
        <v>18</v>
      </c>
      <c r="B26" s="18" t="str">
        <f>IF($P26="","",IFERROR(IF(INDEX(MASTER!$C$4:$C$1463,$P26)="","",INDEX(MASTER!$C$4:$C$1463,$P26)),""))</f>
        <v>DreamSmasher</v>
      </c>
      <c r="C26" s="19" t="str">
        <f>IF($P26="","",IFERROR(IF(INDEX(MASTER!$D$4:$D$1463,$P26)="","",INDEX(MASTER!$D$4:$D$1463,$P26)),""))</f>
        <v/>
      </c>
      <c r="D26" s="19" t="str">
        <f>IF($P26="","",IFERROR(IF(INDEX(MASTER!$E$4:$E$1463,$P26)="","",INDEX(MASTER!$E$4:$E$1463,$P26)),""))</f>
        <v>WARLOCK</v>
      </c>
      <c r="E26" s="19" t="str">
        <f>IF($P26="","",IFERROR(IF(INDEX(MASTER!$F$4:$F$1463,$P26)="","",INDEX(MASTER!$F$4:$F$1463,$P26)),""))</f>
        <v>Control</v>
      </c>
      <c r="F26" s="20">
        <f>IF($P26="","",IFERROR(IF(INDEX(MASTER!$G$4:$G$1463,$P26)="","",INDEX(MASTER!$G$4:$G$1463,$P26)),""))</f>
        <v>61205</v>
      </c>
      <c r="G26" s="19" t="str">
        <f>IF($P26="","",IFERROR(IF(INDEX(MASTER!$H$4:$H$1463,$P26)="","",INDEX(MASTER!$H$4:$H$1463,$P26)),""))</f>
        <v>61,000 - 61,999</v>
      </c>
      <c r="H26" s="20">
        <f>IF($P26="","",IFERROR(IF(INDEX(MASTER!$I$4:$I$1463,$P26)="","",INDEX(MASTER!$I$4:$I$1463,$P26)),""))</f>
        <v>2139</v>
      </c>
      <c r="I26" s="19" t="str">
        <f>IF($P26="","",IFERROR(IF(INDEX(MASTER!$J$4:$J$1463,$P26)="","",INDEX(MASTER!$J$4:$J$1463,$P26)),""))</f>
        <v>DEVELOPING</v>
      </c>
      <c r="J26" s="21">
        <f>IF($P26="","",IFERROR(IF(INDEX(MASTER!$L$4:$L$1463,$P26)="","",INDEX(MASTER!$L$4:$L$1463,$P26)),""))</f>
        <v>4.5999999999999996</v>
      </c>
      <c r="K26" s="21">
        <f>IF($P26="","",IFERROR(IF(INDEX(MASTER!$N$4:$N$1463,$P26)="","",INDEX(MASTER!$N$4:$N$1463,$P26)),""))</f>
        <v>33.299999999999997</v>
      </c>
      <c r="L26" s="19" t="str">
        <f>IF($P26="","",IFERROR(IF(INDEX(MASTER!$O$4:$O$1463,$P26)="","",INDEX(MASTER!$O$4:$O$1463,$P26)),""))</f>
        <v>C</v>
      </c>
      <c r="M26" s="19">
        <f>IF($P26="","",IFERROR(IF(INDEX(MASTER!$Q$4:$Q$1463,$P26)="","",INDEX(MASTER!$Q$4:$Q$1463,$P26)),""))</f>
        <v>41</v>
      </c>
      <c r="N26" s="19" t="str">
        <f>IF($P26="","",IFERROR(IF(INDEX(MASTER!$S$4:$S$1463,$P26)="","",INDEX(MASTER!$S$4:$S$1463,$P26)),""))</f>
        <v>Complete</v>
      </c>
      <c r="P26">
        <f>IFERROR(MATCH($Q$1&amp;"@18",MASTER!$AC$4:$AC$1463,0),"")</f>
        <v>315</v>
      </c>
    </row>
    <row r="27" spans="1:16">
      <c r="A27" s="15">
        <f>IF($P27="","",19)</f>
        <v>19</v>
      </c>
      <c r="B27" s="14" t="str">
        <f>IF($P27="","",IFERROR(IF(INDEX(MASTER!$C$4:$C$1463,$P27)="","",INDEX(MASTER!$C$4:$C$1463,$P27)),""))</f>
        <v>Drunklegacy</v>
      </c>
      <c r="C27" s="15" t="str">
        <f>IF($P27="","",IFERROR(IF(INDEX(MASTER!$D$4:$D$1463,$P27)="","",INDEX(MASTER!$D$4:$D$1463,$P27)),""))</f>
        <v/>
      </c>
      <c r="D27" s="15" t="str">
        <f>IF($P27="","",IFERROR(IF(INDEX(MASTER!$E$4:$E$1463,$P27)="","",INDEX(MASTER!$E$4:$E$1463,$P27)),""))</f>
        <v>BARBARIAN</v>
      </c>
      <c r="E27" s="15" t="str">
        <f>IF($P27="","",IFERROR(IF(INDEX(MASTER!$F$4:$F$1463,$P27)="","",INDEX(MASTER!$F$4:$F$1463,$P27)),""))</f>
        <v>Frontline</v>
      </c>
      <c r="F27" s="16">
        <f>IF($P27="","",IFERROR(IF(INDEX(MASTER!$G$4:$G$1463,$P27)="","",INDEX(MASTER!$G$4:$G$1463,$P27)),""))</f>
        <v>61414</v>
      </c>
      <c r="G27" s="15" t="str">
        <f>IF($P27="","",IFERROR(IF(INDEX(MASTER!$H$4:$H$1463,$P27)="","",INDEX(MASTER!$H$4:$H$1463,$P27)),""))</f>
        <v>61,000 - 61,999</v>
      </c>
      <c r="H27" s="16">
        <f>IF($P27="","",IFERROR(IF(INDEX(MASTER!$I$4:$I$1463,$P27)="","",INDEX(MASTER!$I$4:$I$1463,$P27)),""))</f>
        <v>1910</v>
      </c>
      <c r="I27" s="15" t="str">
        <f>IF($P27="","",IFERROR(IF(INDEX(MASTER!$J$4:$J$1463,$P27)="","",INDEX(MASTER!$J$4:$J$1463,$P27)),""))</f>
        <v>ROOKIE</v>
      </c>
      <c r="J27" s="17">
        <f>IF($P27="","",IFERROR(IF(INDEX(MASTER!$L$4:$L$1463,$P27)="","",INDEX(MASTER!$L$4:$L$1463,$P27)),""))</f>
        <v>3.2</v>
      </c>
      <c r="K27" s="17">
        <f>IF($P27="","",IFERROR(IF(INDEX(MASTER!$N$4:$N$1463,$P27)="","",INDEX(MASTER!$N$4:$N$1463,$P27)),""))</f>
        <v>30.5</v>
      </c>
      <c r="L27" s="15" t="str">
        <f>IF($P27="","",IFERROR(IF(INDEX(MASTER!$O$4:$O$1463,$P27)="","",INDEX(MASTER!$O$4:$O$1463,$P27)),""))</f>
        <v>C</v>
      </c>
      <c r="M27" s="15">
        <f>IF($P27="","",IFERROR(IF(INDEX(MASTER!$Q$4:$Q$1463,$P27)="","",INDEX(MASTER!$Q$4:$Q$1463,$P27)),""))</f>
        <v>48</v>
      </c>
      <c r="N27" s="15" t="str">
        <f>IF($P27="","",IFERROR(IF(INDEX(MASTER!$S$4:$S$1463,$P27)="","",INDEX(MASTER!$S$4:$S$1463,$P27)),""))</f>
        <v>Complete</v>
      </c>
      <c r="P27">
        <f>IFERROR(MATCH($Q$1&amp;"@19",MASTER!$AC$4:$AC$1463,0),"")</f>
        <v>320</v>
      </c>
    </row>
    <row r="28" spans="1:16">
      <c r="A28" s="19">
        <f>IF($P28="","",20)</f>
        <v>20</v>
      </c>
      <c r="B28" s="18" t="str">
        <f>IF($P28="","",IFERROR(IF(INDEX(MASTER!$C$4:$C$1463,$P28)="","",INDEX(MASTER!$C$4:$C$1463,$P28)),""))</f>
        <v>Dwai</v>
      </c>
      <c r="C28" s="19" t="str">
        <f>IF($P28="","",IFERROR(IF(INDEX(MASTER!$D$4:$D$1463,$P28)="","",INDEX(MASTER!$D$4:$D$1463,$P28)),""))</f>
        <v/>
      </c>
      <c r="D28" s="19" t="str">
        <f>IF($P28="","",IFERROR(IF(INDEX(MASTER!$E$4:$E$1463,$P28)="","",INDEX(MASTER!$E$4:$E$1463,$P28)),""))</f>
        <v>CRUSADER</v>
      </c>
      <c r="E28" s="19" t="str">
        <f>IF($P28="","",IFERROR(IF(INDEX(MASTER!$F$4:$F$1463,$P28)="","",INDEX(MASTER!$F$4:$F$1463,$P28)),""))</f>
        <v>Frontline</v>
      </c>
      <c r="F28" s="20">
        <f>IF($P28="","",IFERROR(IF(INDEX(MASTER!$G$4:$G$1463,$P28)="","",INDEX(MASTER!$G$4:$G$1463,$P28)),""))</f>
        <v>64435</v>
      </c>
      <c r="G28" s="19" t="str">
        <f>IF($P28="","",IFERROR(IF(INDEX(MASTER!$H$4:$H$1463,$P28)="","",INDEX(MASTER!$H$4:$H$1463,$P28)),""))</f>
        <v>64,000 +</v>
      </c>
      <c r="H28" s="20">
        <f>IF($P28="","",IFERROR(IF(INDEX(MASTER!$I$4:$I$1463,$P28)="","",INDEX(MASTER!$I$4:$I$1463,$P28)),""))</f>
        <v>11094</v>
      </c>
      <c r="I28" s="19" t="str">
        <f>IF($P28="","",IFERROR(IF(INDEX(MASTER!$J$4:$J$1463,$P28)="","",INDEX(MASTER!$J$4:$J$1463,$P28)),""))</f>
        <v>APEX</v>
      </c>
      <c r="J28" s="21">
        <f>IF($P28="","",IFERROR(IF(INDEX(MASTER!$L$4:$L$1463,$P28)="","",INDEX(MASTER!$L$4:$L$1463,$P28)),""))</f>
        <v>6.75</v>
      </c>
      <c r="K28" s="21">
        <f>IF($P28="","",IFERROR(IF(INDEX(MASTER!$N$4:$N$1463,$P28)="","",INDEX(MASTER!$N$4:$N$1463,$P28)),""))</f>
        <v>84.5</v>
      </c>
      <c r="L28" s="19" t="str">
        <f>IF($P28="","",IFERROR(IF(INDEX(MASTER!$O$4:$O$1463,$P28)="","",INDEX(MASTER!$O$4:$O$1463,$P28)),""))</f>
        <v>S+</v>
      </c>
      <c r="M28" s="19">
        <f>IF($P28="","",IFERROR(IF(INDEX(MASTER!$Q$4:$Q$1463,$P28)="","",INDEX(MASTER!$Q$4:$Q$1463,$P28)),""))</f>
        <v>1</v>
      </c>
      <c r="N28" s="19" t="str">
        <f>IF($P28="","",IFERROR(IF(INDEX(MASTER!$S$4:$S$1463,$P28)="","",INDEX(MASTER!$S$4:$S$1463,$P28)),""))</f>
        <v>Complete</v>
      </c>
      <c r="P28">
        <f>IFERROR(MATCH($Q$1&amp;"@20",MASTER!$AC$4:$AC$1463,0),"")</f>
        <v>332</v>
      </c>
    </row>
    <row r="29" spans="1:16">
      <c r="A29" s="15">
        <f>IF($P29="","",21)</f>
        <v>21</v>
      </c>
      <c r="B29" s="14" t="str">
        <f>IF($P29="","",IFERROR(IF(INDEX(MASTER!$C$4:$C$1463,$P29)="","",INDEX(MASTER!$C$4:$C$1463,$P29)),""))</f>
        <v>Elsbethe</v>
      </c>
      <c r="C29" s="15" t="str">
        <f>IF($P29="","",IFERROR(IF(INDEX(MASTER!$D$4:$D$1463,$P29)="","",INDEX(MASTER!$D$4:$D$1463,$P29)),""))</f>
        <v/>
      </c>
      <c r="D29" s="15" t="str">
        <f>IF($P29="","",IFERROR(IF(INDEX(MASTER!$E$4:$E$1463,$P29)="","",INDEX(MASTER!$E$4:$E$1463,$P29)),""))</f>
        <v>DEMON HUNTER</v>
      </c>
      <c r="E29" s="15" t="str">
        <f>IF($P29="","",IFERROR(IF(INDEX(MASTER!$F$4:$F$1463,$P29)="","",INDEX(MASTER!$F$4:$F$1463,$P29)),""))</f>
        <v>Ranged DPS</v>
      </c>
      <c r="F29" s="16">
        <f>IF($P29="","",IFERROR(IF(INDEX(MASTER!$G$4:$G$1463,$P29)="","",INDEX(MASTER!$G$4:$G$1463,$P29)),""))</f>
        <v>61587</v>
      </c>
      <c r="G29" s="15" t="str">
        <f>IF($P29="","",IFERROR(IF(INDEX(MASTER!$H$4:$H$1463,$P29)="","",INDEX(MASTER!$H$4:$H$1463,$P29)),""))</f>
        <v>61,000 - 61,999</v>
      </c>
      <c r="H29" s="16">
        <f>IF($P29="","",IFERROR(IF(INDEX(MASTER!$I$4:$I$1463,$P29)="","",INDEX(MASTER!$I$4:$I$1463,$P29)),""))</f>
        <v>1842</v>
      </c>
      <c r="I29" s="15" t="str">
        <f>IF($P29="","",IFERROR(IF(INDEX(MASTER!$J$4:$J$1463,$P29)="","",INDEX(MASTER!$J$4:$J$1463,$P29)),""))</f>
        <v>ROOKIE</v>
      </c>
      <c r="J29" s="17">
        <f>IF($P29="","",IFERROR(IF(INDEX(MASTER!$L$4:$L$1463,$P29)="","",INDEX(MASTER!$L$4:$L$1463,$P29)),""))</f>
        <v>4.5999999999999996</v>
      </c>
      <c r="K29" s="17">
        <f>IF($P29="","",IFERROR(IF(INDEX(MASTER!$N$4:$N$1463,$P29)="","",INDEX(MASTER!$N$4:$N$1463,$P29)),""))</f>
        <v>33</v>
      </c>
      <c r="L29" s="15" t="str">
        <f>IF($P29="","",IFERROR(IF(INDEX(MASTER!$O$4:$O$1463,$P29)="","",INDEX(MASTER!$O$4:$O$1463,$P29)),""))</f>
        <v>C</v>
      </c>
      <c r="M29" s="15">
        <f>IF($P29="","",IFERROR(IF(INDEX(MASTER!$Q$4:$Q$1463,$P29)="","",INDEX(MASTER!$Q$4:$Q$1463,$P29)),""))</f>
        <v>49</v>
      </c>
      <c r="N29" s="15" t="str">
        <f>IF($P29="","",IFERROR(IF(INDEX(MASTER!$S$4:$S$1463,$P29)="","",INDEX(MASTER!$S$4:$S$1463,$P29)),""))</f>
        <v>Complete</v>
      </c>
      <c r="P29">
        <f>IFERROR(MATCH($Q$1&amp;"@21",MASTER!$AC$4:$AC$1463,0),"")</f>
        <v>354</v>
      </c>
    </row>
    <row r="30" spans="1:16">
      <c r="A30" s="19">
        <f>IF($P30="","",22)</f>
        <v>22</v>
      </c>
      <c r="B30" s="18" t="str">
        <f>IF($P30="","",IFERROR(IF(INDEX(MASTER!$C$4:$C$1463,$P30)="","",INDEX(MASTER!$C$4:$C$1463,$P30)),""))</f>
        <v>EricTheUnready</v>
      </c>
      <c r="C30" s="19" t="str">
        <f>IF($P30="","",IFERROR(IF(INDEX(MASTER!$D$4:$D$1463,$P30)="","",INDEX(MASTER!$D$4:$D$1463,$P30)),""))</f>
        <v/>
      </c>
      <c r="D30" s="19" t="str">
        <f>IF($P30="","",IFERROR(IF(INDEX(MASTER!$E$4:$E$1463,$P30)="","",INDEX(MASTER!$E$4:$E$1463,$P30)),""))</f>
        <v>WARLOCK</v>
      </c>
      <c r="E30" s="19" t="str">
        <f>IF($P30="","",IFERROR(IF(INDEX(MASTER!$F$4:$F$1463,$P30)="","",INDEX(MASTER!$F$4:$F$1463,$P30)),""))</f>
        <v>Control</v>
      </c>
      <c r="F30" s="20">
        <f>IF($P30="","",IFERROR(IF(INDEX(MASTER!$G$4:$G$1463,$P30)="","",INDEX(MASTER!$G$4:$G$1463,$P30)),""))</f>
        <v>62797</v>
      </c>
      <c r="G30" s="19" t="str">
        <f>IF($P30="","",IFERROR(IF(INDEX(MASTER!$H$4:$H$1463,$P30)="","",INDEX(MASTER!$H$4:$H$1463,$P30)),""))</f>
        <v>62,000 - 62,999</v>
      </c>
      <c r="H30" s="20">
        <f>IF($P30="","",IFERROR(IF(INDEX(MASTER!$I$4:$I$1463,$P30)="","",INDEX(MASTER!$I$4:$I$1463,$P30)),""))</f>
        <v>2650</v>
      </c>
      <c r="I30" s="19" t="str">
        <f>IF($P30="","",IFERROR(IF(INDEX(MASTER!$J$4:$J$1463,$P30)="","",INDEX(MASTER!$J$4:$J$1463,$P30)),""))</f>
        <v>DEVELOPING</v>
      </c>
      <c r="J30" s="21">
        <f>IF($P30="","",IFERROR(IF(INDEX(MASTER!$L$4:$L$1463,$P30)="","",INDEX(MASTER!$L$4:$L$1463,$P30)),""))</f>
        <v>5.13</v>
      </c>
      <c r="K30" s="21">
        <f>IF($P30="","",IFERROR(IF(INDEX(MASTER!$N$4:$N$1463,$P30)="","",INDEX(MASTER!$N$4:$N$1463,$P30)),""))</f>
        <v>40.6</v>
      </c>
      <c r="L30" s="19" t="str">
        <f>IF($P30="","",IFERROR(IF(INDEX(MASTER!$O$4:$O$1463,$P30)="","",INDEX(MASTER!$O$4:$O$1463,$P30)),""))</f>
        <v>B</v>
      </c>
      <c r="M30" s="19">
        <f>IF($P30="","",IFERROR(IF(INDEX(MASTER!$Q$4:$Q$1463,$P30)="","",INDEX(MASTER!$Q$4:$Q$1463,$P30)),""))</f>
        <v>31</v>
      </c>
      <c r="N30" s="19" t="str">
        <f>IF($P30="","",IFERROR(IF(INDEX(MASTER!$S$4:$S$1463,$P30)="","",INDEX(MASTER!$S$4:$S$1463,$P30)),""))</f>
        <v>Complete</v>
      </c>
      <c r="P30">
        <f>IFERROR(MATCH($Q$1&amp;"@22",MASTER!$AC$4:$AC$1463,0),"")</f>
        <v>365</v>
      </c>
    </row>
    <row r="31" spans="1:16">
      <c r="A31" s="15">
        <f>IF($P31="","",23)</f>
        <v>23</v>
      </c>
      <c r="B31" s="14" t="str">
        <f>IF($P31="","",IFERROR(IF(INDEX(MASTER!$C$4:$C$1463,$P31)="","",INDEX(MASTER!$C$4:$C$1463,$P31)),""))</f>
        <v>Erøs</v>
      </c>
      <c r="C31" s="15" t="str">
        <f>IF($P31="","",IFERROR(IF(INDEX(MASTER!$D$4:$D$1463,$P31)="","",INDEX(MASTER!$D$4:$D$1463,$P31)),""))</f>
        <v/>
      </c>
      <c r="D31" s="15" t="str">
        <f>IF($P31="","",IFERROR(IF(INDEX(MASTER!$E$4:$E$1463,$P31)="","",INDEX(MASTER!$E$4:$E$1463,$P31)),""))</f>
        <v>DEMON HUNTER</v>
      </c>
      <c r="E31" s="15" t="str">
        <f>IF($P31="","",IFERROR(IF(INDEX(MASTER!$F$4:$F$1463,$P31)="","",INDEX(MASTER!$F$4:$F$1463,$P31)),""))</f>
        <v>Ranged DPS</v>
      </c>
      <c r="F31" s="16">
        <f>IF($P31="","",IFERROR(IF(INDEX(MASTER!$G$4:$G$1463,$P31)="","",INDEX(MASTER!$G$4:$G$1463,$P31)),""))</f>
        <v>61555</v>
      </c>
      <c r="G31" s="15" t="str">
        <f>IF($P31="","",IFERROR(IF(INDEX(MASTER!$H$4:$H$1463,$P31)="","",INDEX(MASTER!$H$4:$H$1463,$P31)),""))</f>
        <v>61,000 - 61,999</v>
      </c>
      <c r="H31" s="16">
        <f>IF($P31="","",IFERROR(IF(INDEX(MASTER!$I$4:$I$1463,$P31)="","",INDEX(MASTER!$I$4:$I$1463,$P31)),""))</f>
        <v>1100</v>
      </c>
      <c r="I31" s="15" t="str">
        <f>IF($P31="","",IFERROR(IF(INDEX(MASTER!$J$4:$J$1463,$P31)="","",INDEX(MASTER!$J$4:$J$1463,$P31)),""))</f>
        <v>ROOKIE</v>
      </c>
      <c r="J31" s="17">
        <f>IF($P31="","",IFERROR(IF(INDEX(MASTER!$L$4:$L$1463,$P31)="","",INDEX(MASTER!$L$4:$L$1463,$P31)),""))</f>
        <v>2.95</v>
      </c>
      <c r="K31" s="17">
        <f>IF($P31="","",IFERROR(IF(INDEX(MASTER!$N$4:$N$1463,$P31)="","",INDEX(MASTER!$N$4:$N$1463,$P31)),""))</f>
        <v>27</v>
      </c>
      <c r="L31" s="15" t="str">
        <f>IF($P31="","",IFERROR(IF(INDEX(MASTER!$O$4:$O$1463,$P31)="","",INDEX(MASTER!$O$4:$O$1463,$P31)),""))</f>
        <v>C</v>
      </c>
      <c r="M31" s="15">
        <f>IF($P31="","",IFERROR(IF(INDEX(MASTER!$Q$4:$Q$1463,$P31)="","",INDEX(MASTER!$Q$4:$Q$1463,$P31)),""))</f>
        <v>59</v>
      </c>
      <c r="N31" s="15" t="str">
        <f>IF($P31="","",IFERROR(IF(INDEX(MASTER!$S$4:$S$1463,$P31)="","",INDEX(MASTER!$S$4:$S$1463,$P31)),""))</f>
        <v>Complete</v>
      </c>
      <c r="P31">
        <f>IFERROR(MATCH($Q$1&amp;"@23",MASTER!$AC$4:$AC$1463,0),"")</f>
        <v>367</v>
      </c>
    </row>
    <row r="32" spans="1:16">
      <c r="A32" s="19">
        <f>IF($P32="","",24)</f>
        <v>24</v>
      </c>
      <c r="B32" s="18" t="str">
        <f>IF($P32="","",IFERROR(IF(INDEX(MASTER!$C$4:$C$1463,$P32)="","",INDEX(MASTER!$C$4:$C$1463,$P32)),""))</f>
        <v>Exidusozz</v>
      </c>
      <c r="C32" s="19" t="str">
        <f>IF($P32="","",IFERROR(IF(INDEX(MASTER!$D$4:$D$1463,$P32)="","",INDEX(MASTER!$D$4:$D$1463,$P32)),""))</f>
        <v/>
      </c>
      <c r="D32" s="19" t="str">
        <f>IF($P32="","",IFERROR(IF(INDEX(MASTER!$E$4:$E$1463,$P32)="","",INDEX(MASTER!$E$4:$E$1463,$P32)),""))</f>
        <v>TEMPEST</v>
      </c>
      <c r="E32" s="19" t="str">
        <f>IF($P32="","",IFERROR(IF(INDEX(MASTER!$F$4:$F$1463,$P32)="","",INDEX(MASTER!$F$4:$F$1463,$P32)),""))</f>
        <v>Melee DPS</v>
      </c>
      <c r="F32" s="20">
        <f>IF($P32="","",IFERROR(IF(INDEX(MASTER!$G$4:$G$1463,$P32)="","",INDEX(MASTER!$G$4:$G$1463,$P32)),""))</f>
        <v>61844</v>
      </c>
      <c r="G32" s="19" t="str">
        <f>IF($P32="","",IFERROR(IF(INDEX(MASTER!$H$4:$H$1463,$P32)="","",INDEX(MASTER!$H$4:$H$1463,$P32)),""))</f>
        <v>61,000 - 61,999</v>
      </c>
      <c r="H32" s="20">
        <f>IF($P32="","",IFERROR(IF(INDEX(MASTER!$I$4:$I$1463,$P32)="","",INDEX(MASTER!$I$4:$I$1463,$P32)),""))</f>
        <v>7463</v>
      </c>
      <c r="I32" s="19" t="str">
        <f>IF($P32="","",IFERROR(IF(INDEX(MASTER!$J$4:$J$1463,$P32)="","",INDEX(MASTER!$J$4:$J$1463,$P32)),""))</f>
        <v>VETERAN</v>
      </c>
      <c r="J32" s="21">
        <f>IF($P32="","",IFERROR(IF(INDEX(MASTER!$L$4:$L$1463,$P32)="","",INDEX(MASTER!$L$4:$L$1463,$P32)),""))</f>
        <v>4.5</v>
      </c>
      <c r="K32" s="21">
        <f>IF($P32="","",IFERROR(IF(INDEX(MASTER!$N$4:$N$1463,$P32)="","",INDEX(MASTER!$N$4:$N$1463,$P32)),""))</f>
        <v>58.1</v>
      </c>
      <c r="L32" s="19" t="str">
        <f>IF($P32="","",IFERROR(IF(INDEX(MASTER!$O$4:$O$1463,$P32)="","",INDEX(MASTER!$O$4:$O$1463,$P32)),""))</f>
        <v>A</v>
      </c>
      <c r="M32" s="19">
        <f>IF($P32="","",IFERROR(IF(INDEX(MASTER!$Q$4:$Q$1463,$P32)="","",INDEX(MASTER!$Q$4:$Q$1463,$P32)),""))</f>
        <v>4</v>
      </c>
      <c r="N32" s="19" t="str">
        <f>IF($P32="","",IFERROR(IF(INDEX(MASTER!$S$4:$S$1463,$P32)="","",INDEX(MASTER!$S$4:$S$1463,$P32)),""))</f>
        <v>Complete</v>
      </c>
      <c r="P32">
        <f>IFERROR(MATCH($Q$1&amp;"@24",MASTER!$AC$4:$AC$1463,0),"")</f>
        <v>373</v>
      </c>
    </row>
    <row r="33" spans="1:16">
      <c r="A33" s="15">
        <f>IF($P33="","",25)</f>
        <v>25</v>
      </c>
      <c r="B33" s="14" t="str">
        <f>IF($P33="","",IFERROR(IF(INDEX(MASTER!$C$4:$C$1463,$P33)="","",INDEX(MASTER!$C$4:$C$1463,$P33)),""))</f>
        <v>GeorgeTimi</v>
      </c>
      <c r="C33" s="15" t="str">
        <f>IF($P33="","",IFERROR(IF(INDEX(MASTER!$D$4:$D$1463,$P33)="","",INDEX(MASTER!$D$4:$D$1463,$P33)),""))</f>
        <v/>
      </c>
      <c r="D33" s="15" t="str">
        <f>IF($P33="","",IFERROR(IF(INDEX(MASTER!$E$4:$E$1463,$P33)="","",INDEX(MASTER!$E$4:$E$1463,$P33)),""))</f>
        <v>WARLOCK</v>
      </c>
      <c r="E33" s="15" t="str">
        <f>IF($P33="","",IFERROR(IF(INDEX(MASTER!$F$4:$F$1463,$P33)="","",INDEX(MASTER!$F$4:$F$1463,$P33)),""))</f>
        <v>Control</v>
      </c>
      <c r="F33" s="16">
        <f>IF($P33="","",IFERROR(IF(INDEX(MASTER!$G$4:$G$1463,$P33)="","",INDEX(MASTER!$G$4:$G$1463,$P33)),""))</f>
        <v>61013</v>
      </c>
      <c r="G33" s="15" t="str">
        <f>IF($P33="","",IFERROR(IF(INDEX(MASTER!$H$4:$H$1463,$P33)="","",INDEX(MASTER!$H$4:$H$1463,$P33)),""))</f>
        <v>61,000 - 61,999</v>
      </c>
      <c r="H33" s="16">
        <f>IF($P33="","",IFERROR(IF(INDEX(MASTER!$I$4:$I$1463,$P33)="","",INDEX(MASTER!$I$4:$I$1463,$P33)),""))</f>
        <v>1126</v>
      </c>
      <c r="I33" s="15" t="str">
        <f>IF($P33="","",IFERROR(IF(INDEX(MASTER!$J$4:$J$1463,$P33)="","",INDEX(MASTER!$J$4:$J$1463,$P33)),""))</f>
        <v>ROOKIE</v>
      </c>
      <c r="J33" s="17">
        <f>IF($P33="","",IFERROR(IF(INDEX(MASTER!$L$4:$L$1463,$P33)="","",INDEX(MASTER!$L$4:$L$1463,$P33)),""))</f>
        <v>3.3</v>
      </c>
      <c r="K33" s="17">
        <f>IF($P33="","",IFERROR(IF(INDEX(MASTER!$N$4:$N$1463,$P33)="","",INDEX(MASTER!$N$4:$N$1463,$P33)),""))</f>
        <v>26.2</v>
      </c>
      <c r="L33" s="15" t="str">
        <f>IF($P33="","",IFERROR(IF(INDEX(MASTER!$O$4:$O$1463,$P33)="","",INDEX(MASTER!$O$4:$O$1463,$P33)),""))</f>
        <v>C</v>
      </c>
      <c r="M33" s="15">
        <f>IF($P33="","",IFERROR(IF(INDEX(MASTER!$Q$4:$Q$1463,$P33)="","",INDEX(MASTER!$Q$4:$Q$1463,$P33)),""))</f>
        <v>58</v>
      </c>
      <c r="N33" s="15" t="str">
        <f>IF($P33="","",IFERROR(IF(INDEX(MASTER!$S$4:$S$1463,$P33)="","",INDEX(MASTER!$S$4:$S$1463,$P33)),""))</f>
        <v>Complete</v>
      </c>
      <c r="P33">
        <f>IFERROR(MATCH($Q$1&amp;"@25",MASTER!$AC$4:$AC$1463,0),"")</f>
        <v>419</v>
      </c>
    </row>
    <row r="34" spans="1:16">
      <c r="A34" s="19">
        <f>IF($P34="","",26)</f>
        <v>26</v>
      </c>
      <c r="B34" s="18" t="str">
        <f>IF($P34="","",IFERROR(IF(INDEX(MASTER!$C$4:$C$1463,$P34)="","",INDEX(MASTER!$C$4:$C$1463,$P34)),""))</f>
        <v>Gotop</v>
      </c>
      <c r="C34" s="19" t="str">
        <f>IF($P34="","",IFERROR(IF(INDEX(MASTER!$D$4:$D$1463,$P34)="","",INDEX(MASTER!$D$4:$D$1463,$P34)),""))</f>
        <v/>
      </c>
      <c r="D34" s="19" t="str">
        <f>IF($P34="","",IFERROR(IF(INDEX(MASTER!$E$4:$E$1463,$P34)="","",INDEX(MASTER!$E$4:$E$1463,$P34)),""))</f>
        <v>WIZARD</v>
      </c>
      <c r="E34" s="19" t="str">
        <f>IF($P34="","",IFERROR(IF(INDEX(MASTER!$F$4:$F$1463,$P34)="","",INDEX(MASTER!$F$4:$F$1463,$P34)),""))</f>
        <v>Ranged DPS</v>
      </c>
      <c r="F34" s="20">
        <f>IF($P34="","",IFERROR(IF(INDEX(MASTER!$G$4:$G$1463,$P34)="","",INDEX(MASTER!$G$4:$G$1463,$P34)),""))</f>
        <v>64242</v>
      </c>
      <c r="G34" s="19" t="str">
        <f>IF($P34="","",IFERROR(IF(INDEX(MASTER!$H$4:$H$1463,$P34)="","",INDEX(MASTER!$H$4:$H$1463,$P34)),""))</f>
        <v>64,000 +</v>
      </c>
      <c r="H34" s="20">
        <f>IF($P34="","",IFERROR(IF(INDEX(MASTER!$I$4:$I$1463,$P34)="","",INDEX(MASTER!$I$4:$I$1463,$P34)),""))</f>
        <v>10121</v>
      </c>
      <c r="I34" s="19" t="str">
        <f>IF($P34="","",IFERROR(IF(INDEX(MASTER!$J$4:$J$1463,$P34)="","",INDEX(MASTER!$J$4:$J$1463,$P34)),""))</f>
        <v>APEX</v>
      </c>
      <c r="J34" s="21">
        <f>IF($P34="","",IFERROR(IF(INDEX(MASTER!$L$4:$L$1463,$P34)="","",INDEX(MASTER!$L$4:$L$1463,$P34)),""))</f>
        <v>7.65</v>
      </c>
      <c r="K34" s="21">
        <f>IF($P34="","",IFERROR(IF(INDEX(MASTER!$N$4:$N$1463,$P34)="","",INDEX(MASTER!$N$4:$N$1463,$P34)),""))</f>
        <v>81.3</v>
      </c>
      <c r="L34" s="19" t="str">
        <f>IF($P34="","",IFERROR(IF(INDEX(MASTER!$O$4:$O$1463,$P34)="","",INDEX(MASTER!$O$4:$O$1463,$P34)),""))</f>
        <v>S+</v>
      </c>
      <c r="M34" s="19">
        <f>IF($P34="","",IFERROR(IF(INDEX(MASTER!$Q$4:$Q$1463,$P34)="","",INDEX(MASTER!$Q$4:$Q$1463,$P34)),""))</f>
        <v>2</v>
      </c>
      <c r="N34" s="19" t="str">
        <f>IF($P34="","",IFERROR(IF(INDEX(MASTER!$S$4:$S$1463,$P34)="","",INDEX(MASTER!$S$4:$S$1463,$P34)),""))</f>
        <v>Complete</v>
      </c>
      <c r="P34">
        <f>IFERROR(MATCH($Q$1&amp;"@26",MASTER!$AC$4:$AC$1463,0),"")</f>
        <v>444</v>
      </c>
    </row>
    <row r="35" spans="1:16">
      <c r="A35" s="15">
        <f>IF($P35="","",27)</f>
        <v>27</v>
      </c>
      <c r="B35" s="14" t="str">
        <f>IF($P35="","",IFERROR(IF(INDEX(MASTER!$C$4:$C$1463,$P35)="","",INDEX(MASTER!$C$4:$C$1463,$P35)),""))</f>
        <v>Griswold-1</v>
      </c>
      <c r="C35" s="15" t="str">
        <f>IF($P35="","",IFERROR(IF(INDEX(MASTER!$D$4:$D$1463,$P35)="","",INDEX(MASTER!$D$4:$D$1463,$P35)),""))</f>
        <v/>
      </c>
      <c r="D35" s="15" t="str">
        <f>IF($P35="","",IFERROR(IF(INDEX(MASTER!$E$4:$E$1463,$P35)="","",INDEX(MASTER!$E$4:$E$1463,$P35)),""))</f>
        <v>CRUSADER</v>
      </c>
      <c r="E35" s="15" t="str">
        <f>IF($P35="","",IFERROR(IF(INDEX(MASTER!$F$4:$F$1463,$P35)="","",INDEX(MASTER!$F$4:$F$1463,$P35)),""))</f>
        <v>Frontline</v>
      </c>
      <c r="F35" s="16">
        <f>IF($P35="","",IFERROR(IF(INDEX(MASTER!$G$4:$G$1463,$P35)="","",INDEX(MASTER!$G$4:$G$1463,$P35)),""))</f>
        <v>62074</v>
      </c>
      <c r="G35" s="15" t="str">
        <f>IF($P35="","",IFERROR(IF(INDEX(MASTER!$H$4:$H$1463,$P35)="","",INDEX(MASTER!$H$4:$H$1463,$P35)),""))</f>
        <v>62,000 - 62,999</v>
      </c>
      <c r="H35" s="16">
        <f>IF($P35="","",IFERROR(IF(INDEX(MASTER!$I$4:$I$1463,$P35)="","",INDEX(MASTER!$I$4:$I$1463,$P35)),""))</f>
        <v>2722</v>
      </c>
      <c r="I35" s="15" t="str">
        <f>IF($P35="","",IFERROR(IF(INDEX(MASTER!$J$4:$J$1463,$P35)="","",INDEX(MASTER!$J$4:$J$1463,$P35)),""))</f>
        <v>DEVELOPING</v>
      </c>
      <c r="J35" s="17">
        <f>IF($P35="","",IFERROR(IF(INDEX(MASTER!$L$4:$L$1463,$P35)="","",INDEX(MASTER!$L$4:$L$1463,$P35)),""))</f>
        <v>4.0999999999999996</v>
      </c>
      <c r="K35" s="17">
        <f>IF($P35="","",IFERROR(IF(INDEX(MASTER!$N$4:$N$1463,$P35)="","",INDEX(MASTER!$N$4:$N$1463,$P35)),""))</f>
        <v>37.299999999999997</v>
      </c>
      <c r="L35" s="15" t="str">
        <f>IF($P35="","",IFERROR(IF(INDEX(MASTER!$O$4:$O$1463,$P35)="","",INDEX(MASTER!$O$4:$O$1463,$P35)),""))</f>
        <v>B</v>
      </c>
      <c r="M35" s="15">
        <f>IF($P35="","",IFERROR(IF(INDEX(MASTER!$Q$4:$Q$1463,$P35)="","",INDEX(MASTER!$Q$4:$Q$1463,$P35)),""))</f>
        <v>29</v>
      </c>
      <c r="N35" s="15" t="str">
        <f>IF($P35="","",IFERROR(IF(INDEX(MASTER!$S$4:$S$1463,$P35)="","",INDEX(MASTER!$S$4:$S$1463,$P35)),""))</f>
        <v>Complete</v>
      </c>
      <c r="P35">
        <f>IFERROR(MATCH($Q$1&amp;"@27",MASTER!$AC$4:$AC$1463,0),"")</f>
        <v>459</v>
      </c>
    </row>
    <row r="36" spans="1:16">
      <c r="A36" s="19">
        <f>IF($P36="","",28)</f>
        <v>28</v>
      </c>
      <c r="B36" s="18" t="str">
        <f>IF($P36="","",IFERROR(IF(INDEX(MASTER!$C$4:$C$1463,$P36)="","",INDEX(MASTER!$C$4:$C$1463,$P36)),""))</f>
        <v>Gumayusi</v>
      </c>
      <c r="C36" s="19" t="str">
        <f>IF($P36="","",IFERROR(IF(INDEX(MASTER!$D$4:$D$1463,$P36)="","",INDEX(MASTER!$D$4:$D$1463,$P36)),""))</f>
        <v/>
      </c>
      <c r="D36" s="19" t="str">
        <f>IF($P36="","",IFERROR(IF(INDEX(MASTER!$E$4:$E$1463,$P36)="","",INDEX(MASTER!$E$4:$E$1463,$P36)),""))</f>
        <v>WARLOCK</v>
      </c>
      <c r="E36" s="19" t="str">
        <f>IF($P36="","",IFERROR(IF(INDEX(MASTER!$F$4:$F$1463,$P36)="","",INDEX(MASTER!$F$4:$F$1463,$P36)),""))</f>
        <v>Control</v>
      </c>
      <c r="F36" s="20">
        <f>IF($P36="","",IFERROR(IF(INDEX(MASTER!$G$4:$G$1463,$P36)="","",INDEX(MASTER!$G$4:$G$1463,$P36)),""))</f>
        <v>61033</v>
      </c>
      <c r="G36" s="19" t="str">
        <f>IF($P36="","",IFERROR(IF(INDEX(MASTER!$H$4:$H$1463,$P36)="","",INDEX(MASTER!$H$4:$H$1463,$P36)),""))</f>
        <v>61,000 - 61,999</v>
      </c>
      <c r="H36" s="20">
        <f>IF($P36="","",IFERROR(IF(INDEX(MASTER!$I$4:$I$1463,$P36)="","",INDEX(MASTER!$I$4:$I$1463,$P36)),""))</f>
        <v>2057</v>
      </c>
      <c r="I36" s="19" t="str">
        <f>IF($P36="","",IFERROR(IF(INDEX(MASTER!$J$4:$J$1463,$P36)="","",INDEX(MASTER!$J$4:$J$1463,$P36)),""))</f>
        <v>DEVELOPING</v>
      </c>
      <c r="J36" s="21">
        <f>IF($P36="","",IFERROR(IF(INDEX(MASTER!$L$4:$L$1463,$P36)="","",INDEX(MASTER!$L$4:$L$1463,$P36)),""))</f>
        <v>3.4</v>
      </c>
      <c r="K36" s="21">
        <f>IF($P36="","",IFERROR(IF(INDEX(MASTER!$N$4:$N$1463,$P36)="","",INDEX(MASTER!$N$4:$N$1463,$P36)),""))</f>
        <v>30.5</v>
      </c>
      <c r="L36" s="19" t="str">
        <f>IF($P36="","",IFERROR(IF(INDEX(MASTER!$O$4:$O$1463,$P36)="","",INDEX(MASTER!$O$4:$O$1463,$P36)),""))</f>
        <v>C</v>
      </c>
      <c r="M36" s="19">
        <f>IF($P36="","",IFERROR(IF(INDEX(MASTER!$Q$4:$Q$1463,$P36)="","",INDEX(MASTER!$Q$4:$Q$1463,$P36)),""))</f>
        <v>44</v>
      </c>
      <c r="N36" s="19" t="str">
        <f>IF($P36="","",IFERROR(IF(INDEX(MASTER!$S$4:$S$1463,$P36)="","",INDEX(MASTER!$S$4:$S$1463,$P36)),""))</f>
        <v>Complete</v>
      </c>
      <c r="P36">
        <f>IFERROR(MATCH($Q$1&amp;"@28",MASTER!$AC$4:$AC$1463,0),"")</f>
        <v>464</v>
      </c>
    </row>
    <row r="37" spans="1:16">
      <c r="A37" s="15">
        <f>IF($P37="","",29)</f>
        <v>29</v>
      </c>
      <c r="B37" s="14" t="str">
        <f>IF($P37="","",IFERROR(IF(INDEX(MASTER!$C$4:$C$1463,$P37)="","",INDEX(MASTER!$C$4:$C$1463,$P37)),""))</f>
        <v>Hagrïd</v>
      </c>
      <c r="C37" s="15" t="str">
        <f>IF($P37="","",IFERROR(IF(INDEX(MASTER!$D$4:$D$1463,$P37)="","",INDEX(MASTER!$D$4:$D$1463,$P37)),""))</f>
        <v/>
      </c>
      <c r="D37" s="15" t="str">
        <f>IF($P37="","",IFERROR(IF(INDEX(MASTER!$E$4:$E$1463,$P37)="","",INDEX(MASTER!$E$4:$E$1463,$P37)),""))</f>
        <v>NECROMANCER</v>
      </c>
      <c r="E37" s="15" t="str">
        <f>IF($P37="","",IFERROR(IF(INDEX(MASTER!$F$4:$F$1463,$P37)="","",INDEX(MASTER!$F$4:$F$1463,$P37)),""))</f>
        <v>Control</v>
      </c>
      <c r="F37" s="16">
        <f>IF($P37="","",IFERROR(IF(INDEX(MASTER!$G$4:$G$1463,$P37)="","",INDEX(MASTER!$G$4:$G$1463,$P37)),""))</f>
        <v>62969</v>
      </c>
      <c r="G37" s="15" t="str">
        <f>IF($P37="","",IFERROR(IF(INDEX(MASTER!$H$4:$H$1463,$P37)="","",INDEX(MASTER!$H$4:$H$1463,$P37)),""))</f>
        <v>62,000 - 62,999</v>
      </c>
      <c r="H37" s="16">
        <f>IF($P37="","",IFERROR(IF(INDEX(MASTER!$I$4:$I$1463,$P37)="","",INDEX(MASTER!$I$4:$I$1463,$P37)),""))</f>
        <v>3050</v>
      </c>
      <c r="I37" s="15" t="str">
        <f>IF($P37="","",IFERROR(IF(INDEX(MASTER!$J$4:$J$1463,$P37)="","",INDEX(MASTER!$J$4:$J$1463,$P37)),""))</f>
        <v>DEVELOPING</v>
      </c>
      <c r="J37" s="17">
        <f>IF($P37="","",IFERROR(IF(INDEX(MASTER!$L$4:$L$1463,$P37)="","",INDEX(MASTER!$L$4:$L$1463,$P37)),""))</f>
        <v>4.5</v>
      </c>
      <c r="K37" s="17">
        <f>IF($P37="","",IFERROR(IF(INDEX(MASTER!$N$4:$N$1463,$P37)="","",INDEX(MASTER!$N$4:$N$1463,$P37)),""))</f>
        <v>41.8</v>
      </c>
      <c r="L37" s="15" t="str">
        <f>IF($P37="","",IFERROR(IF(INDEX(MASTER!$O$4:$O$1463,$P37)="","",INDEX(MASTER!$O$4:$O$1463,$P37)),""))</f>
        <v>B</v>
      </c>
      <c r="M37" s="15">
        <f>IF($P37="","",IFERROR(IF(INDEX(MASTER!$Q$4:$Q$1463,$P37)="","",INDEX(MASTER!$Q$4:$Q$1463,$P37)),""))</f>
        <v>25</v>
      </c>
      <c r="N37" s="15" t="str">
        <f>IF($P37="","",IFERROR(IF(INDEX(MASTER!$S$4:$S$1463,$P37)="","",INDEX(MASTER!$S$4:$S$1463,$P37)),""))</f>
        <v>Complete</v>
      </c>
      <c r="P37">
        <f>IFERROR(MATCH($Q$1&amp;"@29",MASTER!$AC$4:$AC$1463,0),"")</f>
        <v>467</v>
      </c>
    </row>
    <row r="38" spans="1:16">
      <c r="A38" s="19">
        <f>IF($P38="","",30)</f>
        <v>30</v>
      </c>
      <c r="B38" s="18" t="str">
        <f>IF($P38="","",IFERROR(IF(INDEX(MASTER!$C$4:$C$1463,$P38)="","",INDEX(MASTER!$C$4:$C$1463,$P38)),""))</f>
        <v>Harmed</v>
      </c>
      <c r="C38" s="19" t="str">
        <f>IF($P38="","",IFERROR(IF(INDEX(MASTER!$D$4:$D$1463,$P38)="","",INDEX(MASTER!$D$4:$D$1463,$P38)),""))</f>
        <v/>
      </c>
      <c r="D38" s="19" t="str">
        <f>IF($P38="","",IFERROR(IF(INDEX(MASTER!$E$4:$E$1463,$P38)="","",INDEX(MASTER!$E$4:$E$1463,$P38)),""))</f>
        <v>MONK</v>
      </c>
      <c r="E38" s="19" t="str">
        <f>IF($P38="","",IFERROR(IF(INDEX(MASTER!$F$4:$F$1463,$P38)="","",INDEX(MASTER!$F$4:$F$1463,$P38)),""))</f>
        <v>Support</v>
      </c>
      <c r="F38" s="20">
        <f>IF($P38="","",IFERROR(IF(INDEX(MASTER!$G$4:$G$1463,$P38)="","",INDEX(MASTER!$G$4:$G$1463,$P38)),""))</f>
        <v>59706</v>
      </c>
      <c r="G38" s="19" t="str">
        <f>IF($P38="","",IFERROR(IF(INDEX(MASTER!$H$4:$H$1463,$P38)="","",INDEX(MASTER!$H$4:$H$1463,$P38)),""))</f>
        <v>58,000 - 59,999</v>
      </c>
      <c r="H38" s="20">
        <f>IF($P38="","",IFERROR(IF(INDEX(MASTER!$I$4:$I$1463,$P38)="","",INDEX(MASTER!$I$4:$I$1463,$P38)),""))</f>
        <v>2857</v>
      </c>
      <c r="I38" s="19" t="str">
        <f>IF($P38="","",IFERROR(IF(INDEX(MASTER!$J$4:$J$1463,$P38)="","",INDEX(MASTER!$J$4:$J$1463,$P38)),""))</f>
        <v>DEVELOPING</v>
      </c>
      <c r="J38" s="21">
        <f>IF($P38="","",IFERROR(IF(INDEX(MASTER!$L$4:$L$1463,$P38)="","",INDEX(MASTER!$L$4:$L$1463,$P38)),""))</f>
        <v>3.4</v>
      </c>
      <c r="K38" s="21">
        <f>IF($P38="","",IFERROR(IF(INDEX(MASTER!$N$4:$N$1463,$P38)="","",INDEX(MASTER!$N$4:$N$1463,$P38)),""))</f>
        <v>30.5</v>
      </c>
      <c r="L38" s="19" t="str">
        <f>IF($P38="","",IFERROR(IF(INDEX(MASTER!$O$4:$O$1463,$P38)="","",INDEX(MASTER!$O$4:$O$1463,$P38)),""))</f>
        <v>C</v>
      </c>
      <c r="M38" s="19">
        <f>IF($P38="","",IFERROR(IF(INDEX(MASTER!$Q$4:$Q$1463,$P38)="","",INDEX(MASTER!$Q$4:$Q$1463,$P38)),""))</f>
        <v>27</v>
      </c>
      <c r="N38" s="19" t="str">
        <f>IF($P38="","",IFERROR(IF(INDEX(MASTER!$S$4:$S$1463,$P38)="","",INDEX(MASTER!$S$4:$S$1463,$P38)),""))</f>
        <v>Complete</v>
      </c>
      <c r="P38">
        <f>IFERROR(MATCH($Q$1&amp;"@30",MASTER!$AC$4:$AC$1463,0),"")</f>
        <v>474</v>
      </c>
    </row>
    <row r="39" spans="1:16">
      <c r="A39" s="15">
        <f>IF($P39="","",31)</f>
        <v>31</v>
      </c>
      <c r="B39" s="14" t="str">
        <f>IF($P39="","",IFERROR(IF(INDEX(MASTER!$C$4:$C$1463,$P39)="","",INDEX(MASTER!$C$4:$C$1463,$P39)),""))</f>
        <v>HazWiz</v>
      </c>
      <c r="C39" s="15" t="str">
        <f>IF($P39="","",IFERROR(IF(INDEX(MASTER!$D$4:$D$1463,$P39)="","",INDEX(MASTER!$D$4:$D$1463,$P39)),""))</f>
        <v/>
      </c>
      <c r="D39" s="15" t="str">
        <f>IF($P39="","",IFERROR(IF(INDEX(MASTER!$E$4:$E$1463,$P39)="","",INDEX(MASTER!$E$4:$E$1463,$P39)),""))</f>
        <v>WIZARD</v>
      </c>
      <c r="E39" s="15" t="str">
        <f>IF($P39="","",IFERROR(IF(INDEX(MASTER!$F$4:$F$1463,$P39)="","",INDEX(MASTER!$F$4:$F$1463,$P39)),""))</f>
        <v>Ranged DPS</v>
      </c>
      <c r="F39" s="16">
        <f>IF($P39="","",IFERROR(IF(INDEX(MASTER!$G$4:$G$1463,$P39)="","",INDEX(MASTER!$G$4:$G$1463,$P39)),""))</f>
        <v>58798</v>
      </c>
      <c r="G39" s="15" t="str">
        <f>IF($P39="","",IFERROR(IF(INDEX(MASTER!$H$4:$H$1463,$P39)="","",INDEX(MASTER!$H$4:$H$1463,$P39)),""))</f>
        <v>58,000 - 59,999</v>
      </c>
      <c r="H39" s="16">
        <f>IF($P39="","",IFERROR(IF(INDEX(MASTER!$I$4:$I$1463,$P39)="","",INDEX(MASTER!$I$4:$I$1463,$P39)),""))</f>
        <v>1240</v>
      </c>
      <c r="I39" s="15" t="str">
        <f>IF($P39="","",IFERROR(IF(INDEX(MASTER!$J$4:$J$1463,$P39)="","",INDEX(MASTER!$J$4:$J$1463,$P39)),""))</f>
        <v>ROOKIE</v>
      </c>
      <c r="J39" s="17">
        <f>IF($P39="","",IFERROR(IF(INDEX(MASTER!$L$4:$L$1463,$P39)="","",INDEX(MASTER!$L$4:$L$1463,$P39)),""))</f>
        <v>3.4</v>
      </c>
      <c r="K39" s="17">
        <f>IF($P39="","",IFERROR(IF(INDEX(MASTER!$N$4:$N$1463,$P39)="","",INDEX(MASTER!$N$4:$N$1463,$P39)),""))</f>
        <v>21.1</v>
      </c>
      <c r="L39" s="15" t="str">
        <f>IF($P39="","",IFERROR(IF(INDEX(MASTER!$O$4:$O$1463,$P39)="","",INDEX(MASTER!$O$4:$O$1463,$P39)),""))</f>
        <v>C</v>
      </c>
      <c r="M39" s="15">
        <f>IF($P39="","",IFERROR(IF(INDEX(MASTER!$Q$4:$Q$1463,$P39)="","",INDEX(MASTER!$Q$4:$Q$1463,$P39)),""))</f>
        <v>56</v>
      </c>
      <c r="N39" s="15" t="str">
        <f>IF($P39="","",IFERROR(IF(INDEX(MASTER!$S$4:$S$1463,$P39)="","",INDEX(MASTER!$S$4:$S$1463,$P39)),""))</f>
        <v>Complete</v>
      </c>
      <c r="P39">
        <f>IFERROR(MATCH($Q$1&amp;"@31",MASTER!$AC$4:$AC$1463,0),"")</f>
        <v>479</v>
      </c>
    </row>
    <row r="40" spans="1:16">
      <c r="A40" s="19">
        <f>IF($P40="","",32)</f>
        <v>32</v>
      </c>
      <c r="B40" s="18" t="str">
        <f>IF($P40="","",IFERROR(IF(INDEX(MASTER!$C$4:$C$1463,$P40)="","",INDEX(MASTER!$C$4:$C$1463,$P40)),""))</f>
        <v>Humter</v>
      </c>
      <c r="C40" s="19" t="str">
        <f>IF($P40="","",IFERROR(IF(INDEX(MASTER!$D$4:$D$1463,$P40)="","",INDEX(MASTER!$D$4:$D$1463,$P40)),""))</f>
        <v/>
      </c>
      <c r="D40" s="19" t="str">
        <f>IF($P40="","",IFERROR(IF(INDEX(MASTER!$E$4:$E$1463,$P40)="","",INDEX(MASTER!$E$4:$E$1463,$P40)),""))</f>
        <v>WARLOCK</v>
      </c>
      <c r="E40" s="19" t="str">
        <f>IF($P40="","",IFERROR(IF(INDEX(MASTER!$F$4:$F$1463,$P40)="","",INDEX(MASTER!$F$4:$F$1463,$P40)),""))</f>
        <v>Control</v>
      </c>
      <c r="F40" s="20">
        <f>IF($P40="","",IFERROR(IF(INDEX(MASTER!$G$4:$G$1463,$P40)="","",INDEX(MASTER!$G$4:$G$1463,$P40)),""))</f>
        <v>56167</v>
      </c>
      <c r="G40" s="19" t="str">
        <f>IF($P40="","",IFERROR(IF(INDEX(MASTER!$H$4:$H$1463,$P40)="","",INDEX(MASTER!$H$4:$H$1463,$P40)),""))</f>
        <v>Under 58,000</v>
      </c>
      <c r="H40" s="20">
        <f>IF($P40="","",IFERROR(IF(INDEX(MASTER!$I$4:$I$1463,$P40)="","",INDEX(MASTER!$I$4:$I$1463,$P40)),""))</f>
        <v>460</v>
      </c>
      <c r="I40" s="19" t="str">
        <f>IF($P40="","",IFERROR(IF(INDEX(MASTER!$J$4:$J$1463,$P40)="","",INDEX(MASTER!$J$4:$J$1463,$P40)),""))</f>
        <v>ROOKIE</v>
      </c>
      <c r="J40" s="21">
        <f>IF($P40="","",IFERROR(IF(INDEX(MASTER!$L$4:$L$1463,$P40)="","",INDEX(MASTER!$L$4:$L$1463,$P40)),""))</f>
        <v>2.5</v>
      </c>
      <c r="K40" s="21">
        <f>IF($P40="","",IFERROR(IF(INDEX(MASTER!$N$4:$N$1463,$P40)="","",INDEX(MASTER!$N$4:$N$1463,$P40)),""))</f>
        <v>9.1999999999999993</v>
      </c>
      <c r="L40" s="19" t="str">
        <f>IF($P40="","",IFERROR(IF(INDEX(MASTER!$O$4:$O$1463,$P40)="","",INDEX(MASTER!$O$4:$O$1463,$P40)),""))</f>
        <v>D</v>
      </c>
      <c r="M40" s="19">
        <f>IF($P40="","",IFERROR(IF(INDEX(MASTER!$Q$4:$Q$1463,$P40)="","",INDEX(MASTER!$Q$4:$Q$1463,$P40)),""))</f>
        <v>68</v>
      </c>
      <c r="N40" s="19" t="str">
        <f>IF($P40="","",IFERROR(IF(INDEX(MASTER!$S$4:$S$1463,$P40)="","",INDEX(MASTER!$S$4:$S$1463,$P40)),""))</f>
        <v>Complete</v>
      </c>
      <c r="P40">
        <f>IFERROR(MATCH($Q$1&amp;"@32",MASTER!$AC$4:$AC$1463,0),"")</f>
        <v>516</v>
      </c>
    </row>
    <row r="41" spans="1:16">
      <c r="A41" s="15">
        <f>IF($P41="","",33)</f>
        <v>33</v>
      </c>
      <c r="B41" s="14" t="str">
        <f>IF($P41="","",IFERROR(IF(INDEX(MASTER!$C$4:$C$1463,$P41)="","",INDEX(MASTER!$C$4:$C$1463,$P41)),""))</f>
        <v>HuntingWabbits</v>
      </c>
      <c r="C41" s="15" t="str">
        <f>IF($P41="","",IFERROR(IF(INDEX(MASTER!$D$4:$D$1463,$P41)="","",INDEX(MASTER!$D$4:$D$1463,$P41)),""))</f>
        <v/>
      </c>
      <c r="D41" s="15" t="str">
        <f>IF($P41="","",IFERROR(IF(INDEX(MASTER!$E$4:$E$1463,$P41)="","",INDEX(MASTER!$E$4:$E$1463,$P41)),""))</f>
        <v>TEMPEST</v>
      </c>
      <c r="E41" s="15" t="str">
        <f>IF($P41="","",IFERROR(IF(INDEX(MASTER!$F$4:$F$1463,$P41)="","",INDEX(MASTER!$F$4:$F$1463,$P41)),""))</f>
        <v>Melee DPS</v>
      </c>
      <c r="F41" s="16">
        <f>IF($P41="","",IFERROR(IF(INDEX(MASTER!$G$4:$G$1463,$P41)="","",INDEX(MASTER!$G$4:$G$1463,$P41)),""))</f>
        <v>62679</v>
      </c>
      <c r="G41" s="15" t="str">
        <f>IF($P41="","",IFERROR(IF(INDEX(MASTER!$H$4:$H$1463,$P41)="","",INDEX(MASTER!$H$4:$H$1463,$P41)),""))</f>
        <v>62,000 - 62,999</v>
      </c>
      <c r="H41" s="16">
        <f>IF($P41="","",IFERROR(IF(INDEX(MASTER!$I$4:$I$1463,$P41)="","",INDEX(MASTER!$I$4:$I$1463,$P41)),""))</f>
        <v>2100</v>
      </c>
      <c r="I41" s="15" t="str">
        <f>IF($P41="","",IFERROR(IF(INDEX(MASTER!$J$4:$J$1463,$P41)="","",INDEX(MASTER!$J$4:$J$1463,$P41)),""))</f>
        <v>DEVELOPING</v>
      </c>
      <c r="J41" s="17">
        <f>IF($P41="","",IFERROR(IF(INDEX(MASTER!$L$4:$L$1463,$P41)="","",INDEX(MASTER!$L$4:$L$1463,$P41)),""))</f>
        <v>3.5</v>
      </c>
      <c r="K41" s="17">
        <f>IF($P41="","",IFERROR(IF(INDEX(MASTER!$N$4:$N$1463,$P41)="","",INDEX(MASTER!$N$4:$N$1463,$P41)),""))</f>
        <v>35.200000000000003</v>
      </c>
      <c r="L41" s="15" t="str">
        <f>IF($P41="","",IFERROR(IF(INDEX(MASTER!$O$4:$O$1463,$P41)="","",INDEX(MASTER!$O$4:$O$1463,$P41)),""))</f>
        <v>B</v>
      </c>
      <c r="M41" s="15">
        <f>IF($P41="","",IFERROR(IF(INDEX(MASTER!$Q$4:$Q$1463,$P41)="","",INDEX(MASTER!$Q$4:$Q$1463,$P41)),""))</f>
        <v>42</v>
      </c>
      <c r="N41" s="15" t="str">
        <f>IF($P41="","",IFERROR(IF(INDEX(MASTER!$S$4:$S$1463,$P41)="","",INDEX(MASTER!$S$4:$S$1463,$P41)),""))</f>
        <v>Complete</v>
      </c>
      <c r="P41">
        <f>IFERROR(MATCH($Q$1&amp;"@33",MASTER!$AC$4:$AC$1463,0),"")</f>
        <v>519</v>
      </c>
    </row>
    <row r="42" spans="1:16">
      <c r="A42" s="19">
        <f>IF($P42="","",34)</f>
        <v>34</v>
      </c>
      <c r="B42" s="18" t="str">
        <f>IF($P42="","",IFERROR(IF(INDEX(MASTER!$C$4:$C$1463,$P42)="","",INDEX(MASTER!$C$4:$C$1463,$P42)),""))</f>
        <v>Ictalurus</v>
      </c>
      <c r="C42" s="19" t="str">
        <f>IF($P42="","",IFERROR(IF(INDEX(MASTER!$D$4:$D$1463,$P42)="","",INDEX(MASTER!$D$4:$D$1463,$P42)),""))</f>
        <v/>
      </c>
      <c r="D42" s="19" t="str">
        <f>IF($P42="","",IFERROR(IF(INDEX(MASTER!$E$4:$E$1463,$P42)="","",INDEX(MASTER!$E$4:$E$1463,$P42)),""))</f>
        <v>TEMPEST</v>
      </c>
      <c r="E42" s="19" t="str">
        <f>IF($P42="","",IFERROR(IF(INDEX(MASTER!$F$4:$F$1463,$P42)="","",INDEX(MASTER!$F$4:$F$1463,$P42)),""))</f>
        <v>Melee DPS</v>
      </c>
      <c r="F42" s="20">
        <f>IF($P42="","",IFERROR(IF(INDEX(MASTER!$G$4:$G$1463,$P42)="","",INDEX(MASTER!$G$4:$G$1463,$P42)),""))</f>
        <v>62024</v>
      </c>
      <c r="G42" s="19" t="str">
        <f>IF($P42="","",IFERROR(IF(INDEX(MASTER!$H$4:$H$1463,$P42)="","",INDEX(MASTER!$H$4:$H$1463,$P42)),""))</f>
        <v>62,000 - 62,999</v>
      </c>
      <c r="H42" s="20">
        <f>IF($P42="","",IFERROR(IF(INDEX(MASTER!$I$4:$I$1463,$P42)="","",INDEX(MASTER!$I$4:$I$1463,$P42)),""))</f>
        <v>3464</v>
      </c>
      <c r="I42" s="19" t="str">
        <f>IF($P42="","",IFERROR(IF(INDEX(MASTER!$J$4:$J$1463,$P42)="","",INDEX(MASTER!$J$4:$J$1463,$P42)),""))</f>
        <v>DEVELOPING</v>
      </c>
      <c r="J42" s="21">
        <f>IF($P42="","",IFERROR(IF(INDEX(MASTER!$L$4:$L$1463,$P42)="","",INDEX(MASTER!$L$4:$L$1463,$P42)),""))</f>
        <v>3.6</v>
      </c>
      <c r="K42" s="21">
        <f>IF($P42="","",IFERROR(IF(INDEX(MASTER!$N$4:$N$1463,$P42)="","",INDEX(MASTER!$N$4:$N$1463,$P42)),""))</f>
        <v>39.6</v>
      </c>
      <c r="L42" s="19" t="str">
        <f>IF($P42="","",IFERROR(IF(INDEX(MASTER!$O$4:$O$1463,$P42)="","",INDEX(MASTER!$O$4:$O$1463,$P42)),""))</f>
        <v>B</v>
      </c>
      <c r="M42" s="19">
        <f>IF($P42="","",IFERROR(IF(INDEX(MASTER!$Q$4:$Q$1463,$P42)="","",INDEX(MASTER!$Q$4:$Q$1463,$P42)),""))</f>
        <v>20</v>
      </c>
      <c r="N42" s="19" t="str">
        <f>IF($P42="","",IFERROR(IF(INDEX(MASTER!$S$4:$S$1463,$P42)="","",INDEX(MASTER!$S$4:$S$1463,$P42)),""))</f>
        <v>Complete</v>
      </c>
      <c r="P42">
        <f>IFERROR(MATCH($Q$1&amp;"@34",MASTER!$AC$4:$AC$1463,0),"")</f>
        <v>526</v>
      </c>
    </row>
    <row r="43" spans="1:16">
      <c r="A43" s="15">
        <f>IF($P43="","",35)</f>
        <v>35</v>
      </c>
      <c r="B43" s="14" t="str">
        <f>IF($P43="","",IFERROR(IF(INDEX(MASTER!$C$4:$C$1463,$P43)="","",INDEX(MASTER!$C$4:$C$1463,$P43)),""))</f>
        <v>Intrepid</v>
      </c>
      <c r="C43" s="15" t="str">
        <f>IF($P43="","",IFERROR(IF(INDEX(MASTER!$D$4:$D$1463,$P43)="","",INDEX(MASTER!$D$4:$D$1463,$P43)),""))</f>
        <v/>
      </c>
      <c r="D43" s="15" t="str">
        <f>IF($P43="","",IFERROR(IF(INDEX(MASTER!$E$4:$E$1463,$P43)="","",INDEX(MASTER!$E$4:$E$1463,$P43)),""))</f>
        <v>BARBARIAN</v>
      </c>
      <c r="E43" s="15" t="str">
        <f>IF($P43="","",IFERROR(IF(INDEX(MASTER!$F$4:$F$1463,$P43)="","",INDEX(MASTER!$F$4:$F$1463,$P43)),""))</f>
        <v>Frontline</v>
      </c>
      <c r="F43" s="16">
        <f>IF($P43="","",IFERROR(IF(INDEX(MASTER!$G$4:$G$1463,$P43)="","",INDEX(MASTER!$G$4:$G$1463,$P43)),""))</f>
        <v>61765</v>
      </c>
      <c r="G43" s="15" t="str">
        <f>IF($P43="","",IFERROR(IF(INDEX(MASTER!$H$4:$H$1463,$P43)="","",INDEX(MASTER!$H$4:$H$1463,$P43)),""))</f>
        <v>61,000 - 61,999</v>
      </c>
      <c r="H43" s="16">
        <f>IF($P43="","",IFERROR(IF(INDEX(MASTER!$I$4:$I$1463,$P43)="","",INDEX(MASTER!$I$4:$I$1463,$P43)),""))</f>
        <v>7163</v>
      </c>
      <c r="I43" s="15" t="str">
        <f>IF($P43="","",IFERROR(IF(INDEX(MASTER!$J$4:$J$1463,$P43)="","",INDEX(MASTER!$J$4:$J$1463,$P43)),""))</f>
        <v>VETERAN</v>
      </c>
      <c r="J43" s="17">
        <f>IF($P43="","",IFERROR(IF(INDEX(MASTER!$L$4:$L$1463,$P43)="","",INDEX(MASTER!$L$4:$L$1463,$P43)),""))</f>
        <v>5.5</v>
      </c>
      <c r="K43" s="17">
        <f>IF($P43="","",IFERROR(IF(INDEX(MASTER!$N$4:$N$1463,$P43)="","",INDEX(MASTER!$N$4:$N$1463,$P43)),""))</f>
        <v>58.2</v>
      </c>
      <c r="L43" s="15" t="str">
        <f>IF($P43="","",IFERROR(IF(INDEX(MASTER!$O$4:$O$1463,$P43)="","",INDEX(MASTER!$O$4:$O$1463,$P43)),""))</f>
        <v>A</v>
      </c>
      <c r="M43" s="15">
        <f>IF($P43="","",IFERROR(IF(INDEX(MASTER!$Q$4:$Q$1463,$P43)="","",INDEX(MASTER!$Q$4:$Q$1463,$P43)),""))</f>
        <v>5</v>
      </c>
      <c r="N43" s="15" t="str">
        <f>IF($P43="","",IFERROR(IF(INDEX(MASTER!$S$4:$S$1463,$P43)="","",INDEX(MASTER!$S$4:$S$1463,$P43)),""))</f>
        <v>Complete</v>
      </c>
      <c r="P43">
        <f>IFERROR(MATCH($Q$1&amp;"@35",MASTER!$AC$4:$AC$1463,0),"")</f>
        <v>535</v>
      </c>
    </row>
    <row r="44" spans="1:16">
      <c r="A44" s="19">
        <f>IF($P44="","",36)</f>
        <v>36</v>
      </c>
      <c r="B44" s="18" t="str">
        <f>IF($P44="","",IFERROR(IF(INDEX(MASTER!$C$4:$C$1463,$P44)="","",INDEX(MASTER!$C$4:$C$1463,$P44)),""))</f>
        <v>JadesRage</v>
      </c>
      <c r="C44" s="19" t="str">
        <f>IF($P44="","",IFERROR(IF(INDEX(MASTER!$D$4:$D$1463,$P44)="","",INDEX(MASTER!$D$4:$D$1463,$P44)),""))</f>
        <v/>
      </c>
      <c r="D44" s="19" t="str">
        <f>IF($P44="","",IFERROR(IF(INDEX(MASTER!$E$4:$E$1463,$P44)="","",INDEX(MASTER!$E$4:$E$1463,$P44)),""))</f>
        <v>TEMPEST</v>
      </c>
      <c r="E44" s="19" t="str">
        <f>IF($P44="","",IFERROR(IF(INDEX(MASTER!$F$4:$F$1463,$P44)="","",INDEX(MASTER!$F$4:$F$1463,$P44)),""))</f>
        <v>Melee DPS</v>
      </c>
      <c r="F44" s="20">
        <f>IF($P44="","",IFERROR(IF(INDEX(MASTER!$G$4:$G$1463,$P44)="","",INDEX(MASTER!$G$4:$G$1463,$P44)),""))</f>
        <v>59749</v>
      </c>
      <c r="G44" s="19" t="str">
        <f>IF($P44="","",IFERROR(IF(INDEX(MASTER!$H$4:$H$1463,$P44)="","",INDEX(MASTER!$H$4:$H$1463,$P44)),""))</f>
        <v>58,000 - 59,999</v>
      </c>
      <c r="H44" s="20">
        <f>IF($P44="","",IFERROR(IF(INDEX(MASTER!$I$4:$I$1463,$P44)="","",INDEX(MASTER!$I$4:$I$1463,$P44)),""))</f>
        <v>963</v>
      </c>
      <c r="I44" s="19" t="str">
        <f>IF($P44="","",IFERROR(IF(INDEX(MASTER!$J$4:$J$1463,$P44)="","",INDEX(MASTER!$J$4:$J$1463,$P44)),""))</f>
        <v>ROOKIE</v>
      </c>
      <c r="J44" s="21">
        <f>IF($P44="","",IFERROR(IF(INDEX(MASTER!$L$4:$L$1463,$P44)="","",INDEX(MASTER!$L$4:$L$1463,$P44)),""))</f>
        <v>2.85</v>
      </c>
      <c r="K44" s="21">
        <f>IF($P44="","",IFERROR(IF(INDEX(MASTER!$N$4:$N$1463,$P44)="","",INDEX(MASTER!$N$4:$N$1463,$P44)),""))</f>
        <v>21.5</v>
      </c>
      <c r="L44" s="19" t="str">
        <f>IF($P44="","",IFERROR(IF(INDEX(MASTER!$O$4:$O$1463,$P44)="","",INDEX(MASTER!$O$4:$O$1463,$P44)),""))</f>
        <v>C</v>
      </c>
      <c r="M44" s="19">
        <f>IF($P44="","",IFERROR(IF(INDEX(MASTER!$Q$4:$Q$1463,$P44)="","",INDEX(MASTER!$Q$4:$Q$1463,$P44)),""))</f>
        <v>63</v>
      </c>
      <c r="N44" s="19" t="str">
        <f>IF($P44="","",IFERROR(IF(INDEX(MASTER!$S$4:$S$1463,$P44)="","",INDEX(MASTER!$S$4:$S$1463,$P44)),""))</f>
        <v>Complete</v>
      </c>
      <c r="P44">
        <f>IFERROR(MATCH($Q$1&amp;"@36",MASTER!$AC$4:$AC$1463,0),"")</f>
        <v>546</v>
      </c>
    </row>
    <row r="45" spans="1:16">
      <c r="A45" s="15">
        <f>IF($P45="","",37)</f>
        <v>37</v>
      </c>
      <c r="B45" s="14" t="str">
        <f>IF($P45="","",IFERROR(IF(INDEX(MASTER!$C$4:$C$1463,$P45)="","",INDEX(MASTER!$C$4:$C$1463,$P45)),""))</f>
        <v>JayBreezy | CAE</v>
      </c>
      <c r="C45" s="15" t="str">
        <f>IF($P45="","",IFERROR(IF(INDEX(MASTER!$D$4:$D$1463,$P45)="","",INDEX(MASTER!$D$4:$D$1463,$P45)),""))</f>
        <v/>
      </c>
      <c r="D45" s="15" t="str">
        <f>IF($P45="","",IFERROR(IF(INDEX(MASTER!$E$4:$E$1463,$P45)="","",INDEX(MASTER!$E$4:$E$1463,$P45)),""))</f>
        <v>WARLOCK</v>
      </c>
      <c r="E45" s="15" t="str">
        <f>IF($P45="","",IFERROR(IF(INDEX(MASTER!$F$4:$F$1463,$P45)="","",INDEX(MASTER!$F$4:$F$1463,$P45)),""))</f>
        <v>Control</v>
      </c>
      <c r="F45" s="16">
        <f>IF($P45="","",IFERROR(IF(INDEX(MASTER!$G$4:$G$1463,$P45)="","",INDEX(MASTER!$G$4:$G$1463,$P45)),""))</f>
        <v>62357</v>
      </c>
      <c r="G45" s="15" t="str">
        <f>IF($P45="","",IFERROR(IF(INDEX(MASTER!$H$4:$H$1463,$P45)="","",INDEX(MASTER!$H$4:$H$1463,$P45)),""))</f>
        <v>62,000 - 62,999</v>
      </c>
      <c r="H45" s="16">
        <f>IF($P45="","",IFERROR(IF(INDEX(MASTER!$I$4:$I$1463,$P45)="","",INDEX(MASTER!$I$4:$I$1463,$P45)),""))</f>
        <v>3140</v>
      </c>
      <c r="I45" s="15" t="str">
        <f>IF($P45="","",IFERROR(IF(INDEX(MASTER!$J$4:$J$1463,$P45)="","",INDEX(MASTER!$J$4:$J$1463,$P45)),""))</f>
        <v>DEVELOPING</v>
      </c>
      <c r="J45" s="17">
        <f>IF($P45="","",IFERROR(IF(INDEX(MASTER!$L$4:$L$1463,$P45)="","",INDEX(MASTER!$L$4:$L$1463,$P45)),""))</f>
        <v>4.5</v>
      </c>
      <c r="K45" s="17">
        <f>IF($P45="","",IFERROR(IF(INDEX(MASTER!$N$4:$N$1463,$P45)="","",INDEX(MASTER!$N$4:$N$1463,$P45)),""))</f>
        <v>40.6</v>
      </c>
      <c r="L45" s="15" t="str">
        <f>IF($P45="","",IFERROR(IF(INDEX(MASTER!$O$4:$O$1463,$P45)="","",INDEX(MASTER!$O$4:$O$1463,$P45)),""))</f>
        <v>B</v>
      </c>
      <c r="M45" s="15">
        <f>IF($P45="","",IFERROR(IF(INDEX(MASTER!$Q$4:$Q$1463,$P45)="","",INDEX(MASTER!$Q$4:$Q$1463,$P45)),""))</f>
        <v>23</v>
      </c>
      <c r="N45" s="15" t="str">
        <f>IF($P45="","",IFERROR(IF(INDEX(MASTER!$S$4:$S$1463,$P45)="","",INDEX(MASTER!$S$4:$S$1463,$P45)),""))</f>
        <v>Complete</v>
      </c>
      <c r="P45">
        <f>IFERROR(MATCH($Q$1&amp;"@37",MASTER!$AC$4:$AC$1463,0),"")</f>
        <v>552</v>
      </c>
    </row>
    <row r="46" spans="1:16">
      <c r="A46" s="19">
        <f>IF($P46="","",38)</f>
        <v>38</v>
      </c>
      <c r="B46" s="18" t="str">
        <f>IF($P46="","",IFERROR(IF(INDEX(MASTER!$C$4:$C$1463,$P46)="","",INDEX(MASTER!$C$4:$C$1463,$P46)),""))</f>
        <v>Jazzonurface</v>
      </c>
      <c r="C46" s="19" t="str">
        <f>IF($P46="","",IFERROR(IF(INDEX(MASTER!$D$4:$D$1463,$P46)="","",INDEX(MASTER!$D$4:$D$1463,$P46)),""))</f>
        <v/>
      </c>
      <c r="D46" s="19" t="str">
        <f>IF($P46="","",IFERROR(IF(INDEX(MASTER!$E$4:$E$1463,$P46)="","",INDEX(MASTER!$E$4:$E$1463,$P46)),""))</f>
        <v>NECROMANCER</v>
      </c>
      <c r="E46" s="19" t="str">
        <f>IF($P46="","",IFERROR(IF(INDEX(MASTER!$F$4:$F$1463,$P46)="","",INDEX(MASTER!$F$4:$F$1463,$P46)),""))</f>
        <v>Control</v>
      </c>
      <c r="F46" s="20">
        <f>IF($P46="","",IFERROR(IF(INDEX(MASTER!$G$4:$G$1463,$P46)="","",INDEX(MASTER!$G$4:$G$1463,$P46)),""))</f>
        <v>61433</v>
      </c>
      <c r="G46" s="19" t="str">
        <f>IF($P46="","",IFERROR(IF(INDEX(MASTER!$H$4:$H$1463,$P46)="","",INDEX(MASTER!$H$4:$H$1463,$P46)),""))</f>
        <v>61,000 - 61,999</v>
      </c>
      <c r="H46" s="20">
        <f>IF($P46="","",IFERROR(IF(INDEX(MASTER!$I$4:$I$1463,$P46)="","",INDEX(MASTER!$I$4:$I$1463,$P46)),""))</f>
        <v>2630</v>
      </c>
      <c r="I46" s="19" t="str">
        <f>IF($P46="","",IFERROR(IF(INDEX(MASTER!$J$4:$J$1463,$P46)="","",INDEX(MASTER!$J$4:$J$1463,$P46)),""))</f>
        <v>DEVELOPING</v>
      </c>
      <c r="J46" s="21">
        <f>IF($P46="","",IFERROR(IF(INDEX(MASTER!$L$4:$L$1463,$P46)="","",INDEX(MASTER!$L$4:$L$1463,$P46)),""))</f>
        <v>3.5</v>
      </c>
      <c r="K46" s="21">
        <f>IF($P46="","",IFERROR(IF(INDEX(MASTER!$N$4:$N$1463,$P46)="","",INDEX(MASTER!$N$4:$N$1463,$P46)),""))</f>
        <v>34.200000000000003</v>
      </c>
      <c r="L46" s="19" t="str">
        <f>IF($P46="","",IFERROR(IF(INDEX(MASTER!$O$4:$O$1463,$P46)="","",INDEX(MASTER!$O$4:$O$1463,$P46)),""))</f>
        <v>C</v>
      </c>
      <c r="M46" s="19">
        <f>IF($P46="","",IFERROR(IF(INDEX(MASTER!$Q$4:$Q$1463,$P46)="","",INDEX(MASTER!$Q$4:$Q$1463,$P46)),""))</f>
        <v>32</v>
      </c>
      <c r="N46" s="19" t="str">
        <f>IF($P46="","",IFERROR(IF(INDEX(MASTER!$S$4:$S$1463,$P46)="","",INDEX(MASTER!$S$4:$S$1463,$P46)),""))</f>
        <v>Complete</v>
      </c>
      <c r="P46">
        <f>IFERROR(MATCH($Q$1&amp;"@38",MASTER!$AC$4:$AC$1463,0),"")</f>
        <v>553</v>
      </c>
    </row>
    <row r="47" spans="1:16">
      <c r="A47" s="15">
        <f>IF($P47="","",39)</f>
        <v>39</v>
      </c>
      <c r="B47" s="14" t="str">
        <f>IF($P47="","",IFERROR(IF(INDEX(MASTER!$C$4:$C$1463,$P47)="","",INDEX(MASTER!$C$4:$C$1463,$P47)),""))</f>
        <v>JesterHskr</v>
      </c>
      <c r="C47" s="15" t="str">
        <f>IF($P47="","",IFERROR(IF(INDEX(MASTER!$D$4:$D$1463,$P47)="","",INDEX(MASTER!$D$4:$D$1463,$P47)),""))</f>
        <v>H20</v>
      </c>
      <c r="D47" s="15" t="str">
        <f>IF($P47="","",IFERROR(IF(INDEX(MASTER!$E$4:$E$1463,$P47)="","",INDEX(MASTER!$E$4:$E$1463,$P47)),""))</f>
        <v>DEMON HUNTER</v>
      </c>
      <c r="E47" s="15" t="str">
        <f>IF($P47="","",IFERROR(IF(INDEX(MASTER!$F$4:$F$1463,$P47)="","",INDEX(MASTER!$F$4:$F$1463,$P47)),""))</f>
        <v>Ranged DPS</v>
      </c>
      <c r="F47" s="16">
        <f>IF($P47="","",IFERROR(IF(INDEX(MASTER!$G$4:$G$1463,$P47)="","",INDEX(MASTER!$G$4:$G$1463,$P47)),""))</f>
        <v>62610</v>
      </c>
      <c r="G47" s="15" t="str">
        <f>IF($P47="","",IFERROR(IF(INDEX(MASTER!$H$4:$H$1463,$P47)="","",INDEX(MASTER!$H$4:$H$1463,$P47)),""))</f>
        <v>62,000 - 62,999</v>
      </c>
      <c r="H47" s="16">
        <f>IF($P47="","",IFERROR(IF(INDEX(MASTER!$I$4:$I$1463,$P47)="","",INDEX(MASTER!$I$4:$I$1463,$P47)),""))</f>
        <v>3932</v>
      </c>
      <c r="I47" s="15" t="str">
        <f>IF($P47="","",IFERROR(IF(INDEX(MASTER!$J$4:$J$1463,$P47)="","",INDEX(MASTER!$J$4:$J$1463,$P47)),""))</f>
        <v>DEVELOPING</v>
      </c>
      <c r="J47" s="17">
        <f>IF($P47="","",IFERROR(IF(INDEX(MASTER!$L$4:$L$1463,$P47)="","",INDEX(MASTER!$L$4:$L$1463,$P47)),""))</f>
        <v>5.6</v>
      </c>
      <c r="K47" s="17">
        <f>IF($P47="","",IFERROR(IF(INDEX(MASTER!$N$4:$N$1463,$P47)="","",INDEX(MASTER!$N$4:$N$1463,$P47)),""))</f>
        <v>46.5</v>
      </c>
      <c r="L47" s="15" t="str">
        <f>IF($P47="","",IFERROR(IF(INDEX(MASTER!$O$4:$O$1463,$P47)="","",INDEX(MASTER!$O$4:$O$1463,$P47)),""))</f>
        <v>B</v>
      </c>
      <c r="M47" s="15">
        <f>IF($P47="","",IFERROR(IF(INDEX(MASTER!$Q$4:$Q$1463,$P47)="","",INDEX(MASTER!$Q$4:$Q$1463,$P47)),""))</f>
        <v>16</v>
      </c>
      <c r="N47" s="15" t="str">
        <f>IF($P47="","",IFERROR(IF(INDEX(MASTER!$S$4:$S$1463,$P47)="","",INDEX(MASTER!$S$4:$S$1463,$P47)),""))</f>
        <v>Complete</v>
      </c>
      <c r="P47">
        <f>IFERROR(MATCH($Q$1&amp;"@39",MASTER!$AC$4:$AC$1463,0),"")</f>
        <v>560</v>
      </c>
    </row>
    <row r="48" spans="1:16">
      <c r="A48" s="19">
        <f>IF($P48="","",40)</f>
        <v>40</v>
      </c>
      <c r="B48" s="18" t="str">
        <f>IF($P48="","",IFERROR(IF(INDEX(MASTER!$C$4:$C$1463,$P48)="","",INDEX(MASTER!$C$4:$C$1463,$P48)),""))</f>
        <v>Ketchupe</v>
      </c>
      <c r="C48" s="19" t="str">
        <f>IF($P48="","",IFERROR(IF(INDEX(MASTER!$D$4:$D$1463,$P48)="","",INDEX(MASTER!$D$4:$D$1463,$P48)),""))</f>
        <v/>
      </c>
      <c r="D48" s="19" t="str">
        <f>IF($P48="","",IFERROR(IF(INDEX(MASTER!$E$4:$E$1463,$P48)="","",INDEX(MASTER!$E$4:$E$1463,$P48)),""))</f>
        <v>MONK</v>
      </c>
      <c r="E48" s="19" t="str">
        <f>IF($P48="","",IFERROR(IF(INDEX(MASTER!$F$4:$F$1463,$P48)="","",INDEX(MASTER!$F$4:$F$1463,$P48)),""))</f>
        <v>Support</v>
      </c>
      <c r="F48" s="20">
        <f>IF($P48="","",IFERROR(IF(INDEX(MASTER!$G$4:$G$1463,$P48)="","",INDEX(MASTER!$G$4:$G$1463,$P48)),""))</f>
        <v>61732</v>
      </c>
      <c r="G48" s="19" t="str">
        <f>IF($P48="","",IFERROR(IF(INDEX(MASTER!$H$4:$H$1463,$P48)="","",INDEX(MASTER!$H$4:$H$1463,$P48)),""))</f>
        <v>61,000 - 61,999</v>
      </c>
      <c r="H48" s="20">
        <f>IF($P48="","",IFERROR(IF(INDEX(MASTER!$I$4:$I$1463,$P48)="","",INDEX(MASTER!$I$4:$I$1463,$P48)),""))</f>
        <v>2100</v>
      </c>
      <c r="I48" s="19" t="str">
        <f>IF($P48="","",IFERROR(IF(INDEX(MASTER!$J$4:$J$1463,$P48)="","",INDEX(MASTER!$J$4:$J$1463,$P48)),""))</f>
        <v>DEVELOPING</v>
      </c>
      <c r="J48" s="21">
        <f>IF($P48="","",IFERROR(IF(INDEX(MASTER!$L$4:$L$1463,$P48)="","",INDEX(MASTER!$L$4:$L$1463,$P48)),""))</f>
        <v>4.0999999999999996</v>
      </c>
      <c r="K48" s="21">
        <f>IF($P48="","",IFERROR(IF(INDEX(MASTER!$N$4:$N$1463,$P48)="","",INDEX(MASTER!$N$4:$N$1463,$P48)),""))</f>
        <v>33.700000000000003</v>
      </c>
      <c r="L48" s="19" t="str">
        <f>IF($P48="","",IFERROR(IF(INDEX(MASTER!$O$4:$O$1463,$P48)="","",INDEX(MASTER!$O$4:$O$1463,$P48)),""))</f>
        <v>C</v>
      </c>
      <c r="M48" s="19">
        <f>IF($P48="","",IFERROR(IF(INDEX(MASTER!$Q$4:$Q$1463,$P48)="","",INDEX(MASTER!$Q$4:$Q$1463,$P48)),""))</f>
        <v>43</v>
      </c>
      <c r="N48" s="19" t="str">
        <f>IF($P48="","",IFERROR(IF(INDEX(MASTER!$S$4:$S$1463,$P48)="","",INDEX(MASTER!$S$4:$S$1463,$P48)),""))</f>
        <v>Complete</v>
      </c>
      <c r="P48">
        <f>IFERROR(MATCH($Q$1&amp;"@40",MASTER!$AC$4:$AC$1463,0),"")</f>
        <v>600</v>
      </c>
    </row>
    <row r="49" spans="1:16">
      <c r="A49" s="15">
        <f>IF($P49="","",41)</f>
        <v>41</v>
      </c>
      <c r="B49" s="14" t="str">
        <f>IF($P49="","",IFERROR(IF(INDEX(MASTER!$C$4:$C$1463,$P49)="","",INDEX(MASTER!$C$4:$C$1463,$P49)),""))</f>
        <v>Killer1A</v>
      </c>
      <c r="C49" s="15" t="str">
        <f>IF($P49="","",IFERROR(IF(INDEX(MASTER!$D$4:$D$1463,$P49)="","",INDEX(MASTER!$D$4:$D$1463,$P49)),""))</f>
        <v/>
      </c>
      <c r="D49" s="15" t="str">
        <f>IF($P49="","",IFERROR(IF(INDEX(MASTER!$E$4:$E$1463,$P49)="","",INDEX(MASTER!$E$4:$E$1463,$P49)),""))</f>
        <v/>
      </c>
      <c r="E49" s="15" t="str">
        <f>IF($P49="","",IFERROR(IF(INDEX(MASTER!$F$4:$F$1463,$P49)="","",INDEX(MASTER!$F$4:$F$1463,$P49)),""))</f>
        <v>-</v>
      </c>
      <c r="F49" s="16" t="str">
        <f>IF($P49="","",IFERROR(IF(INDEX(MASTER!$G$4:$G$1463,$P49)="","",INDEX(MASTER!$G$4:$G$1463,$P49)),""))</f>
        <v/>
      </c>
      <c r="G49" s="15" t="str">
        <f>IF($P49="","",IFERROR(IF(INDEX(MASTER!$H$4:$H$1463,$P49)="","",INDEX(MASTER!$H$4:$H$1463,$P49)),""))</f>
        <v>-</v>
      </c>
      <c r="H49" s="16" t="str">
        <f>IF($P49="","",IFERROR(IF(INDEX(MASTER!$I$4:$I$1463,$P49)="","",INDEX(MASTER!$I$4:$I$1463,$P49)),""))</f>
        <v/>
      </c>
      <c r="I49" s="15" t="str">
        <f>IF($P49="","",IFERROR(IF(INDEX(MASTER!$J$4:$J$1463,$P49)="","",INDEX(MASTER!$J$4:$J$1463,$P49)),""))</f>
        <v>-</v>
      </c>
      <c r="J49" s="17" t="str">
        <f>IF($P49="","",IFERROR(IF(INDEX(MASTER!$L$4:$L$1463,$P49)="","",INDEX(MASTER!$L$4:$L$1463,$P49)),""))</f>
        <v/>
      </c>
      <c r="K49" s="17" t="str">
        <f>IF($P49="","",IFERROR(IF(INDEX(MASTER!$N$4:$N$1463,$P49)="","",INDEX(MASTER!$N$4:$N$1463,$P49)),""))</f>
        <v/>
      </c>
      <c r="L49" s="15" t="str">
        <f>IF($P49="","",IFERROR(IF(INDEX(MASTER!$O$4:$O$1463,$P49)="","",INDEX(MASTER!$O$4:$O$1463,$P49)),""))</f>
        <v>-</v>
      </c>
      <c r="M49" s="15">
        <f>IF($P49="","",IFERROR(IF(INDEX(MASTER!$Q$4:$Q$1463,$P49)="","",INDEX(MASTER!$Q$4:$Q$1463,$P49)),""))</f>
        <v>69</v>
      </c>
      <c r="N49" s="15" t="str">
        <f>IF($P49="","",IFERROR(IF(INDEX(MASTER!$S$4:$S$1463,$P49)="","",INDEX(MASTER!$S$4:$S$1463,$P49)),""))</f>
        <v>Name only</v>
      </c>
      <c r="P49">
        <f>IFERROR(MATCH($Q$1&amp;"@41",MASTER!$AC$4:$AC$1463,0),"")</f>
        <v>605</v>
      </c>
    </row>
    <row r="50" spans="1:16">
      <c r="A50" s="19">
        <f>IF($P50="","",42)</f>
        <v>42</v>
      </c>
      <c r="B50" s="18" t="str">
        <f>IF($P50="","",IFERROR(IF(INDEX(MASTER!$C$4:$C$1463,$P50)="","",INDEX(MASTER!$C$4:$C$1463,$P50)),""))</f>
        <v>LadyHel</v>
      </c>
      <c r="C50" s="19" t="str">
        <f>IF($P50="","",IFERROR(IF(INDEX(MASTER!$D$4:$D$1463,$P50)="","",INDEX(MASTER!$D$4:$D$1463,$P50)),""))</f>
        <v>H20</v>
      </c>
      <c r="D50" s="19" t="str">
        <f>IF($P50="","",IFERROR(IF(INDEX(MASTER!$E$4:$E$1463,$P50)="","",INDEX(MASTER!$E$4:$E$1463,$P50)),""))</f>
        <v>NECROMANCER</v>
      </c>
      <c r="E50" s="19" t="str">
        <f>IF($P50="","",IFERROR(IF(INDEX(MASTER!$F$4:$F$1463,$P50)="","",INDEX(MASTER!$F$4:$F$1463,$P50)),""))</f>
        <v>Control</v>
      </c>
      <c r="F50" s="20">
        <f>IF($P50="","",IFERROR(IF(INDEX(MASTER!$G$4:$G$1463,$P50)="","",INDEX(MASTER!$G$4:$G$1463,$P50)),""))</f>
        <v>63169</v>
      </c>
      <c r="G50" s="19" t="str">
        <f>IF($P50="","",IFERROR(IF(INDEX(MASTER!$H$4:$H$1463,$P50)="","",INDEX(MASTER!$H$4:$H$1463,$P50)),""))</f>
        <v>63,000 - 63,999</v>
      </c>
      <c r="H50" s="20">
        <f>IF($P50="","",IFERROR(IF(INDEX(MASTER!$I$4:$I$1463,$P50)="","",INDEX(MASTER!$I$4:$I$1463,$P50)),""))</f>
        <v>3397</v>
      </c>
      <c r="I50" s="19" t="str">
        <f>IF($P50="","",IFERROR(IF(INDEX(MASTER!$J$4:$J$1463,$P50)="","",INDEX(MASTER!$J$4:$J$1463,$P50)),""))</f>
        <v>DEVELOPING</v>
      </c>
      <c r="J50" s="21">
        <f>IF($P50="","",IFERROR(IF(INDEX(MASTER!$L$4:$L$1463,$P50)="","",INDEX(MASTER!$L$4:$L$1463,$P50)),""))</f>
        <v>6.2</v>
      </c>
      <c r="K50" s="21">
        <f>IF($P50="","",IFERROR(IF(INDEX(MASTER!$N$4:$N$1463,$P50)="","",INDEX(MASTER!$N$4:$N$1463,$P50)),""))</f>
        <v>46.7</v>
      </c>
      <c r="L50" s="19" t="str">
        <f>IF($P50="","",IFERROR(IF(INDEX(MASTER!$O$4:$O$1463,$P50)="","",INDEX(MASTER!$O$4:$O$1463,$P50)),""))</f>
        <v>B</v>
      </c>
      <c r="M50" s="19">
        <f>IF($P50="","",IFERROR(IF(INDEX(MASTER!$Q$4:$Q$1463,$P50)="","",INDEX(MASTER!$Q$4:$Q$1463,$P50)),""))</f>
        <v>21</v>
      </c>
      <c r="N50" s="19" t="str">
        <f>IF($P50="","",IFERROR(IF(INDEX(MASTER!$S$4:$S$1463,$P50)="","",INDEX(MASTER!$S$4:$S$1463,$P50)),""))</f>
        <v>Complete</v>
      </c>
      <c r="P50">
        <f>IFERROR(MATCH($Q$1&amp;"@42",MASTER!$AC$4:$AC$1463,0),"")</f>
        <v>645</v>
      </c>
    </row>
    <row r="51" spans="1:16">
      <c r="A51" s="15">
        <f>IF($P51="","",43)</f>
        <v>43</v>
      </c>
      <c r="B51" s="14" t="str">
        <f>IF($P51="","",IFERROR(IF(INDEX(MASTER!$C$4:$C$1463,$P51)="","",INDEX(MASTER!$C$4:$C$1463,$P51)),""))</f>
        <v>liRrilzZ</v>
      </c>
      <c r="C51" s="15" t="str">
        <f>IF($P51="","",IFERROR(IF(INDEX(MASTER!$D$4:$D$1463,$P51)="","",INDEX(MASTER!$D$4:$D$1463,$P51)),""))</f>
        <v/>
      </c>
      <c r="D51" s="15" t="str">
        <f>IF($P51="","",IFERROR(IF(INDEX(MASTER!$E$4:$E$1463,$P51)="","",INDEX(MASTER!$E$4:$E$1463,$P51)),""))</f>
        <v>NECROMANCER</v>
      </c>
      <c r="E51" s="15" t="str">
        <f>IF($P51="","",IFERROR(IF(INDEX(MASTER!$F$4:$F$1463,$P51)="","",INDEX(MASTER!$F$4:$F$1463,$P51)),""))</f>
        <v>Control</v>
      </c>
      <c r="F51" s="16">
        <f>IF($P51="","",IFERROR(IF(INDEX(MASTER!$G$4:$G$1463,$P51)="","",INDEX(MASTER!$G$4:$G$1463,$P51)),""))</f>
        <v>62604</v>
      </c>
      <c r="G51" s="15" t="str">
        <f>IF($P51="","",IFERROR(IF(INDEX(MASTER!$H$4:$H$1463,$P51)="","",INDEX(MASTER!$H$4:$H$1463,$P51)),""))</f>
        <v>62,000 - 62,999</v>
      </c>
      <c r="H51" s="16">
        <f>IF($P51="","",IFERROR(IF(INDEX(MASTER!$I$4:$I$1463,$P51)="","",INDEX(MASTER!$I$4:$I$1463,$P51)),""))</f>
        <v>2614</v>
      </c>
      <c r="I51" s="15" t="str">
        <f>IF($P51="","",IFERROR(IF(INDEX(MASTER!$J$4:$J$1463,$P51)="","",INDEX(MASTER!$J$4:$J$1463,$P51)),""))</f>
        <v>DEVELOPING</v>
      </c>
      <c r="J51" s="17">
        <f>IF($P51="","",IFERROR(IF(INDEX(MASTER!$L$4:$L$1463,$P51)="","",INDEX(MASTER!$L$4:$L$1463,$P51)),""))</f>
        <v>3.4</v>
      </c>
      <c r="K51" s="17">
        <f>IF($P51="","",IFERROR(IF(INDEX(MASTER!$N$4:$N$1463,$P51)="","",INDEX(MASTER!$N$4:$N$1463,$P51)),""))</f>
        <v>37.1</v>
      </c>
      <c r="L51" s="15" t="str">
        <f>IF($P51="","",IFERROR(IF(INDEX(MASTER!$O$4:$O$1463,$P51)="","",INDEX(MASTER!$O$4:$O$1463,$P51)),""))</f>
        <v>B</v>
      </c>
      <c r="M51" s="15">
        <f>IF($P51="","",IFERROR(IF(INDEX(MASTER!$Q$4:$Q$1463,$P51)="","",INDEX(MASTER!$Q$4:$Q$1463,$P51)),""))</f>
        <v>33</v>
      </c>
      <c r="N51" s="15" t="str">
        <f>IF($P51="","",IFERROR(IF(INDEX(MASTER!$S$4:$S$1463,$P51)="","",INDEX(MASTER!$S$4:$S$1463,$P51)),""))</f>
        <v>Complete</v>
      </c>
      <c r="P51">
        <f>IFERROR(MATCH($Q$1&amp;"@43",MASTER!$AC$4:$AC$1463,0),"")</f>
        <v>672</v>
      </c>
    </row>
    <row r="52" spans="1:16">
      <c r="A52" s="19">
        <f>IF($P52="","",44)</f>
        <v>44</v>
      </c>
      <c r="B52" s="18" t="str">
        <f>IF($P52="","",IFERROR(IF(INDEX(MASTER!$C$4:$C$1463,$P52)="","",INDEX(MASTER!$C$4:$C$1463,$P52)),""))</f>
        <v>Lordsbundy</v>
      </c>
      <c r="C52" s="19" t="str">
        <f>IF($P52="","",IFERROR(IF(INDEX(MASTER!$D$4:$D$1463,$P52)="","",INDEX(MASTER!$D$4:$D$1463,$P52)),""))</f>
        <v/>
      </c>
      <c r="D52" s="19" t="str">
        <f>IF($P52="","",IFERROR(IF(INDEX(MASTER!$E$4:$E$1463,$P52)="","",INDEX(MASTER!$E$4:$E$1463,$P52)),""))</f>
        <v>BARBARIAN</v>
      </c>
      <c r="E52" s="19" t="str">
        <f>IF($P52="","",IFERROR(IF(INDEX(MASTER!$F$4:$F$1463,$P52)="","",INDEX(MASTER!$F$4:$F$1463,$P52)),""))</f>
        <v>Frontline</v>
      </c>
      <c r="F52" s="20">
        <f>IF($P52="","",IFERROR(IF(INDEX(MASTER!$G$4:$G$1463,$P52)="","",INDEX(MASTER!$G$4:$G$1463,$P52)),""))</f>
        <v>61627</v>
      </c>
      <c r="G52" s="19" t="str">
        <f>IF($P52="","",IFERROR(IF(INDEX(MASTER!$H$4:$H$1463,$P52)="","",INDEX(MASTER!$H$4:$H$1463,$P52)),""))</f>
        <v>61,000 - 61,999</v>
      </c>
      <c r="H52" s="20">
        <f>IF($P52="","",IFERROR(IF(INDEX(MASTER!$I$4:$I$1463,$P52)="","",INDEX(MASTER!$I$4:$I$1463,$P52)),""))</f>
        <v>2260</v>
      </c>
      <c r="I52" s="19" t="str">
        <f>IF($P52="","",IFERROR(IF(INDEX(MASTER!$J$4:$J$1463,$P52)="","",INDEX(MASTER!$J$4:$J$1463,$P52)),""))</f>
        <v>DEVELOPING</v>
      </c>
      <c r="J52" s="21">
        <f>IF($P52="","",IFERROR(IF(INDEX(MASTER!$L$4:$L$1463,$P52)="","",INDEX(MASTER!$L$4:$L$1463,$P52)),""))</f>
        <v>2.5</v>
      </c>
      <c r="K52" s="21">
        <f>IF($P52="","",IFERROR(IF(INDEX(MASTER!$N$4:$N$1463,$P52)="","",INDEX(MASTER!$N$4:$N$1463,$P52)),""))</f>
        <v>31.5</v>
      </c>
      <c r="L52" s="19" t="str">
        <f>IF($P52="","",IFERROR(IF(INDEX(MASTER!$O$4:$O$1463,$P52)="","",INDEX(MASTER!$O$4:$O$1463,$P52)),""))</f>
        <v>C</v>
      </c>
      <c r="M52" s="19">
        <f>IF($P52="","",IFERROR(IF(INDEX(MASTER!$Q$4:$Q$1463,$P52)="","",INDEX(MASTER!$Q$4:$Q$1463,$P52)),""))</f>
        <v>39</v>
      </c>
      <c r="N52" s="19" t="str">
        <f>IF($P52="","",IFERROR(IF(INDEX(MASTER!$S$4:$S$1463,$P52)="","",INDEX(MASTER!$S$4:$S$1463,$P52)),""))</f>
        <v>Complete</v>
      </c>
      <c r="P52">
        <f>IFERROR(MATCH($Q$1&amp;"@44",MASTER!$AC$4:$AC$1463,0),"")</f>
        <v>683</v>
      </c>
    </row>
    <row r="53" spans="1:16">
      <c r="A53" s="15">
        <f>IF($P53="","",45)</f>
        <v>45</v>
      </c>
      <c r="B53" s="14" t="str">
        <f>IF($P53="","",IFERROR(IF(INDEX(MASTER!$C$4:$C$1463,$P53)="","",INDEX(MASTER!$C$4:$C$1463,$P53)),""))</f>
        <v>Lukusho</v>
      </c>
      <c r="C53" s="15" t="str">
        <f>IF($P53="","",IFERROR(IF(INDEX(MASTER!$D$4:$D$1463,$P53)="","",INDEX(MASTER!$D$4:$D$1463,$P53)),""))</f>
        <v/>
      </c>
      <c r="D53" s="15" t="str">
        <f>IF($P53="","",IFERROR(IF(INDEX(MASTER!$E$4:$E$1463,$P53)="","",INDEX(MASTER!$E$4:$E$1463,$P53)),""))</f>
        <v>TEMPEST</v>
      </c>
      <c r="E53" s="15" t="str">
        <f>IF($P53="","",IFERROR(IF(INDEX(MASTER!$F$4:$F$1463,$P53)="","",INDEX(MASTER!$F$4:$F$1463,$P53)),""))</f>
        <v>Melee DPS</v>
      </c>
      <c r="F53" s="16">
        <f>IF($P53="","",IFERROR(IF(INDEX(MASTER!$G$4:$G$1463,$P53)="","",INDEX(MASTER!$G$4:$G$1463,$P53)),""))</f>
        <v>59106</v>
      </c>
      <c r="G53" s="15" t="str">
        <f>IF($P53="","",IFERROR(IF(INDEX(MASTER!$H$4:$H$1463,$P53)="","",INDEX(MASTER!$H$4:$H$1463,$P53)),""))</f>
        <v>58,000 - 59,999</v>
      </c>
      <c r="H53" s="16">
        <f>IF($P53="","",IFERROR(IF(INDEX(MASTER!$I$4:$I$1463,$P53)="","",INDEX(MASTER!$I$4:$I$1463,$P53)),""))</f>
        <v>1533</v>
      </c>
      <c r="I53" s="15" t="str">
        <f>IF($P53="","",IFERROR(IF(INDEX(MASTER!$J$4:$J$1463,$P53)="","",INDEX(MASTER!$J$4:$J$1463,$P53)),""))</f>
        <v>ROOKIE</v>
      </c>
      <c r="J53" s="17">
        <f>IF($P53="","",IFERROR(IF(INDEX(MASTER!$L$4:$L$1463,$P53)="","",INDEX(MASTER!$L$4:$L$1463,$P53)),""))</f>
        <v>2.9</v>
      </c>
      <c r="K53" s="17">
        <f>IF($P53="","",IFERROR(IF(INDEX(MASTER!$N$4:$N$1463,$P53)="","",INDEX(MASTER!$N$4:$N$1463,$P53)),""))</f>
        <v>22.3</v>
      </c>
      <c r="L53" s="15" t="str">
        <f>IF($P53="","",IFERROR(IF(INDEX(MASTER!$O$4:$O$1463,$P53)="","",INDEX(MASTER!$O$4:$O$1463,$P53)),""))</f>
        <v>C</v>
      </c>
      <c r="M53" s="15">
        <f>IF($P53="","",IFERROR(IF(INDEX(MASTER!$Q$4:$Q$1463,$P53)="","",INDEX(MASTER!$Q$4:$Q$1463,$P53)),""))</f>
        <v>51</v>
      </c>
      <c r="N53" s="15" t="str">
        <f>IF($P53="","",IFERROR(IF(INDEX(MASTER!$S$4:$S$1463,$P53)="","",INDEX(MASTER!$S$4:$S$1463,$P53)),""))</f>
        <v>Complete</v>
      </c>
      <c r="P53">
        <f>IFERROR(MATCH($Q$1&amp;"@45",MASTER!$AC$4:$AC$1463,0),"")</f>
        <v>692</v>
      </c>
    </row>
    <row r="54" spans="1:16">
      <c r="A54" s="19">
        <f>IF($P54="","",46)</f>
        <v>46</v>
      </c>
      <c r="B54" s="18" t="str">
        <f>IF($P54="","",IFERROR(IF(INDEX(MASTER!$C$4:$C$1463,$P54)="","",INDEX(MASTER!$C$4:$C$1463,$P54)),""))</f>
        <v>LuxVenator</v>
      </c>
      <c r="C54" s="19" t="str">
        <f>IF($P54="","",IFERROR(IF(INDEX(MASTER!$D$4:$D$1463,$P54)="","",INDEX(MASTER!$D$4:$D$1463,$P54)),""))</f>
        <v/>
      </c>
      <c r="D54" s="19" t="str">
        <f>IF($P54="","",IFERROR(IF(INDEX(MASTER!$E$4:$E$1463,$P54)="","",INDEX(MASTER!$E$4:$E$1463,$P54)),""))</f>
        <v>BLOOD KNIGHT</v>
      </c>
      <c r="E54" s="19" t="str">
        <f>IF($P54="","",IFERROR(IF(INDEX(MASTER!$F$4:$F$1463,$P54)="","",INDEX(MASTER!$F$4:$F$1463,$P54)),""))</f>
        <v>Frontline</v>
      </c>
      <c r="F54" s="20">
        <f>IF($P54="","",IFERROR(IF(INDEX(MASTER!$G$4:$G$1463,$P54)="","",INDEX(MASTER!$G$4:$G$1463,$P54)),""))</f>
        <v>57634</v>
      </c>
      <c r="G54" s="19" t="str">
        <f>IF($P54="","",IFERROR(IF(INDEX(MASTER!$H$4:$H$1463,$P54)="","",INDEX(MASTER!$H$4:$H$1463,$P54)),""))</f>
        <v>Under 58,000</v>
      </c>
      <c r="H54" s="20">
        <f>IF($P54="","",IFERROR(IF(INDEX(MASTER!$I$4:$I$1463,$P54)="","",INDEX(MASTER!$I$4:$I$1463,$P54)),""))</f>
        <v>1214</v>
      </c>
      <c r="I54" s="19" t="str">
        <f>IF($P54="","",IFERROR(IF(INDEX(MASTER!$J$4:$J$1463,$P54)="","",INDEX(MASTER!$J$4:$J$1463,$P54)),""))</f>
        <v>ROOKIE</v>
      </c>
      <c r="J54" s="21">
        <f>IF($P54="","",IFERROR(IF(INDEX(MASTER!$L$4:$L$1463,$P54)="","",INDEX(MASTER!$L$4:$L$1463,$P54)),""))</f>
        <v>2.6</v>
      </c>
      <c r="K54" s="21">
        <f>IF($P54="","",IFERROR(IF(INDEX(MASTER!$N$4:$N$1463,$P54)="","",INDEX(MASTER!$N$4:$N$1463,$P54)),""))</f>
        <v>16.600000000000001</v>
      </c>
      <c r="L54" s="19" t="str">
        <f>IF($P54="","",IFERROR(IF(INDEX(MASTER!$O$4:$O$1463,$P54)="","",INDEX(MASTER!$O$4:$O$1463,$P54)),""))</f>
        <v>D</v>
      </c>
      <c r="M54" s="19">
        <f>IF($P54="","",IFERROR(IF(INDEX(MASTER!$Q$4:$Q$1463,$P54)="","",INDEX(MASTER!$Q$4:$Q$1463,$P54)),""))</f>
        <v>57</v>
      </c>
      <c r="N54" s="19" t="str">
        <f>IF($P54="","",IFERROR(IF(INDEX(MASTER!$S$4:$S$1463,$P54)="","",INDEX(MASTER!$S$4:$S$1463,$P54)),""))</f>
        <v>Complete</v>
      </c>
      <c r="P54">
        <f>IFERROR(MATCH($Q$1&amp;"@46",MASTER!$AC$4:$AC$1463,0),"")</f>
        <v>700</v>
      </c>
    </row>
    <row r="55" spans="1:16">
      <c r="A55" s="15">
        <f>IF($P55="","",47)</f>
        <v>47</v>
      </c>
      <c r="B55" s="14" t="str">
        <f>IF($P55="","",IFERROR(IF(INDEX(MASTER!$C$4:$C$1463,$P55)="","",INDEX(MASTER!$C$4:$C$1463,$P55)),""))</f>
        <v>M29P89</v>
      </c>
      <c r="C55" s="15" t="str">
        <f>IF($P55="","",IFERROR(IF(INDEX(MASTER!$D$4:$D$1463,$P55)="","",INDEX(MASTER!$D$4:$D$1463,$P55)),""))</f>
        <v/>
      </c>
      <c r="D55" s="15" t="str">
        <f>IF($P55="","",IFERROR(IF(INDEX(MASTER!$E$4:$E$1463,$P55)="","",INDEX(MASTER!$E$4:$E$1463,$P55)),""))</f>
        <v>DEMON HUNTER</v>
      </c>
      <c r="E55" s="15" t="str">
        <f>IF($P55="","",IFERROR(IF(INDEX(MASTER!$F$4:$F$1463,$P55)="","",INDEX(MASTER!$F$4:$F$1463,$P55)),""))</f>
        <v>Ranged DPS</v>
      </c>
      <c r="F55" s="16">
        <f>IF($P55="","",IFERROR(IF(INDEX(MASTER!$G$4:$G$1463,$P55)="","",INDEX(MASTER!$G$4:$G$1463,$P55)),""))</f>
        <v>62616</v>
      </c>
      <c r="G55" s="15" t="str">
        <f>IF($P55="","",IFERROR(IF(INDEX(MASTER!$H$4:$H$1463,$P55)="","",INDEX(MASTER!$H$4:$H$1463,$P55)),""))</f>
        <v>62,000 - 62,999</v>
      </c>
      <c r="H55" s="16">
        <f>IF($P55="","",IFERROR(IF(INDEX(MASTER!$I$4:$I$1463,$P55)="","",INDEX(MASTER!$I$4:$I$1463,$P55)),""))</f>
        <v>1969</v>
      </c>
      <c r="I55" s="15" t="str">
        <f>IF($P55="","",IFERROR(IF(INDEX(MASTER!$J$4:$J$1463,$P55)="","",INDEX(MASTER!$J$4:$J$1463,$P55)),""))</f>
        <v>ROOKIE</v>
      </c>
      <c r="J55" s="17">
        <f>IF($P55="","",IFERROR(IF(INDEX(MASTER!$L$4:$L$1463,$P55)="","",INDEX(MASTER!$L$4:$L$1463,$P55)),""))</f>
        <v>4</v>
      </c>
      <c r="K55" s="17">
        <f>IF($P55="","",IFERROR(IF(INDEX(MASTER!$N$4:$N$1463,$P55)="","",INDEX(MASTER!$N$4:$N$1463,$P55)),""))</f>
        <v>35.299999999999997</v>
      </c>
      <c r="L55" s="15" t="str">
        <f>IF($P55="","",IFERROR(IF(INDEX(MASTER!$O$4:$O$1463,$P55)="","",INDEX(MASTER!$O$4:$O$1463,$P55)),""))</f>
        <v>B</v>
      </c>
      <c r="M55" s="15">
        <f>IF($P55="","",IFERROR(IF(INDEX(MASTER!$Q$4:$Q$1463,$P55)="","",INDEX(MASTER!$Q$4:$Q$1463,$P55)),""))</f>
        <v>45</v>
      </c>
      <c r="N55" s="15" t="str">
        <f>IF($P55="","",IFERROR(IF(INDEX(MASTER!$S$4:$S$1463,$P55)="","",INDEX(MASTER!$S$4:$S$1463,$P55)),""))</f>
        <v>Complete</v>
      </c>
      <c r="P55">
        <f>IFERROR(MATCH($Q$1&amp;"@47",MASTER!$AC$4:$AC$1463,0),"")</f>
        <v>708</v>
      </c>
    </row>
    <row r="56" spans="1:16">
      <c r="A56" s="19">
        <f>IF($P56="","",48)</f>
        <v>48</v>
      </c>
      <c r="B56" s="18" t="str">
        <f>IF($P56="","",IFERROR(IF(INDEX(MASTER!$C$4:$C$1463,$P56)="","",INDEX(MASTER!$C$4:$C$1463,$P56)),""))</f>
        <v>Make43</v>
      </c>
      <c r="C56" s="19" t="str">
        <f>IF($P56="","",IFERROR(IF(INDEX(MASTER!$D$4:$D$1463,$P56)="","",INDEX(MASTER!$D$4:$D$1463,$P56)),""))</f>
        <v/>
      </c>
      <c r="D56" s="19" t="str">
        <f>IF($P56="","",IFERROR(IF(INDEX(MASTER!$E$4:$E$1463,$P56)="","",INDEX(MASTER!$E$4:$E$1463,$P56)),""))</f>
        <v>WARLOCK</v>
      </c>
      <c r="E56" s="19" t="str">
        <f>IF($P56="","",IFERROR(IF(INDEX(MASTER!$F$4:$F$1463,$P56)="","",INDEX(MASTER!$F$4:$F$1463,$P56)),""))</f>
        <v>Control</v>
      </c>
      <c r="F56" s="20">
        <f>IF($P56="","",IFERROR(IF(INDEX(MASTER!$G$4:$G$1463,$P56)="","",INDEX(MASTER!$G$4:$G$1463,$P56)),""))</f>
        <v>61585</v>
      </c>
      <c r="G56" s="19" t="str">
        <f>IF($P56="","",IFERROR(IF(INDEX(MASTER!$H$4:$H$1463,$P56)="","",INDEX(MASTER!$H$4:$H$1463,$P56)),""))</f>
        <v>61,000 - 61,999</v>
      </c>
      <c r="H56" s="20">
        <f>IF($P56="","",IFERROR(IF(INDEX(MASTER!$I$4:$I$1463,$P56)="","",INDEX(MASTER!$I$4:$I$1463,$P56)),""))</f>
        <v>1490</v>
      </c>
      <c r="I56" s="19" t="str">
        <f>IF($P56="","",IFERROR(IF(INDEX(MASTER!$J$4:$J$1463,$P56)="","",INDEX(MASTER!$J$4:$J$1463,$P56)),""))</f>
        <v>ROOKIE</v>
      </c>
      <c r="J56" s="21">
        <f>IF($P56="","",IFERROR(IF(INDEX(MASTER!$L$4:$L$1463,$P56)="","",INDEX(MASTER!$L$4:$L$1463,$P56)),""))</f>
        <v>2.8</v>
      </c>
      <c r="K56" s="21">
        <f>IF($P56="","",IFERROR(IF(INDEX(MASTER!$N$4:$N$1463,$P56)="","",INDEX(MASTER!$N$4:$N$1463,$P56)),""))</f>
        <v>28.5</v>
      </c>
      <c r="L56" s="19" t="str">
        <f>IF($P56="","",IFERROR(IF(INDEX(MASTER!$O$4:$O$1463,$P56)="","",INDEX(MASTER!$O$4:$O$1463,$P56)),""))</f>
        <v>C</v>
      </c>
      <c r="M56" s="19">
        <f>IF($P56="","",IFERROR(IF(INDEX(MASTER!$Q$4:$Q$1463,$P56)="","",INDEX(MASTER!$Q$4:$Q$1463,$P56)),""))</f>
        <v>52</v>
      </c>
      <c r="N56" s="19" t="str">
        <f>IF($P56="","",IFERROR(IF(INDEX(MASTER!$S$4:$S$1463,$P56)="","",INDEX(MASTER!$S$4:$S$1463,$P56)),""))</f>
        <v>Complete</v>
      </c>
      <c r="P56">
        <f>IFERROR(MATCH($Q$1&amp;"@48",MASTER!$AC$4:$AC$1463,0),"")</f>
        <v>721</v>
      </c>
    </row>
    <row r="57" spans="1:16">
      <c r="A57" s="15">
        <f>IF($P57="","",49)</f>
        <v>49</v>
      </c>
      <c r="B57" s="14" t="str">
        <f>IF($P57="","",IFERROR(IF(INDEX(MASTER!$C$4:$C$1463,$P57)="","",INDEX(MASTER!$C$4:$C$1463,$P57)),""))</f>
        <v>MelissaW</v>
      </c>
      <c r="C57" s="15" t="str">
        <f>IF($P57="","",IFERROR(IF(INDEX(MASTER!$D$4:$D$1463,$P57)="","",INDEX(MASTER!$D$4:$D$1463,$P57)),""))</f>
        <v/>
      </c>
      <c r="D57" s="15" t="str">
        <f>IF($P57="","",IFERROR(IF(INDEX(MASTER!$E$4:$E$1463,$P57)="","",INDEX(MASTER!$E$4:$E$1463,$P57)),""))</f>
        <v>BARBARIAN</v>
      </c>
      <c r="E57" s="15" t="str">
        <f>IF($P57="","",IFERROR(IF(INDEX(MASTER!$F$4:$F$1463,$P57)="","",INDEX(MASTER!$F$4:$F$1463,$P57)),""))</f>
        <v>Frontline</v>
      </c>
      <c r="F57" s="16">
        <f>IF($P57="","",IFERROR(IF(INDEX(MASTER!$G$4:$G$1463,$P57)="","",INDEX(MASTER!$G$4:$G$1463,$P57)),""))</f>
        <v>62248</v>
      </c>
      <c r="G57" s="15" t="str">
        <f>IF($P57="","",IFERROR(IF(INDEX(MASTER!$H$4:$H$1463,$P57)="","",INDEX(MASTER!$H$4:$H$1463,$P57)),""))</f>
        <v>62,000 - 62,999</v>
      </c>
      <c r="H57" s="16">
        <f>IF($P57="","",IFERROR(IF(INDEX(MASTER!$I$4:$I$1463,$P57)="","",INDEX(MASTER!$I$4:$I$1463,$P57)),""))</f>
        <v>2848</v>
      </c>
      <c r="I57" s="15" t="str">
        <f>IF($P57="","",IFERROR(IF(INDEX(MASTER!$J$4:$J$1463,$P57)="","",INDEX(MASTER!$J$4:$J$1463,$P57)),""))</f>
        <v>DEVELOPING</v>
      </c>
      <c r="J57" s="17">
        <f>IF($P57="","",IFERROR(IF(INDEX(MASTER!$L$4:$L$1463,$P57)="","",INDEX(MASTER!$L$4:$L$1463,$P57)),""))</f>
        <v>4.5</v>
      </c>
      <c r="K57" s="17">
        <f>IF($P57="","",IFERROR(IF(INDEX(MASTER!$N$4:$N$1463,$P57)="","",INDEX(MASTER!$N$4:$N$1463,$P57)),""))</f>
        <v>39</v>
      </c>
      <c r="L57" s="15" t="str">
        <f>IF($P57="","",IFERROR(IF(INDEX(MASTER!$O$4:$O$1463,$P57)="","",INDEX(MASTER!$O$4:$O$1463,$P57)),""))</f>
        <v>B</v>
      </c>
      <c r="M57" s="15">
        <f>IF($P57="","",IFERROR(IF(INDEX(MASTER!$Q$4:$Q$1463,$P57)="","",INDEX(MASTER!$Q$4:$Q$1463,$P57)),""))</f>
        <v>28</v>
      </c>
      <c r="N57" s="15" t="str">
        <f>IF($P57="","",IFERROR(IF(INDEX(MASTER!$S$4:$S$1463,$P57)="","",INDEX(MASTER!$S$4:$S$1463,$P57)),""))</f>
        <v>Complete</v>
      </c>
      <c r="P57">
        <f>IFERROR(MATCH($Q$1&amp;"@49",MASTER!$AC$4:$AC$1463,0),"")</f>
        <v>751</v>
      </c>
    </row>
    <row r="58" spans="1:16">
      <c r="A58" s="19">
        <f>IF($P58="","",50)</f>
        <v>50</v>
      </c>
      <c r="B58" s="18" t="str">
        <f>IF($P58="","",IFERROR(IF(INDEX(MASTER!$C$4:$C$1463,$P58)="","",INDEX(MASTER!$C$4:$C$1463,$P58)),""))</f>
        <v>MichealThESaint</v>
      </c>
      <c r="C58" s="19" t="str">
        <f>IF($P58="","",IFERROR(IF(INDEX(MASTER!$D$4:$D$1463,$P58)="","",INDEX(MASTER!$D$4:$D$1463,$P58)),""))</f>
        <v/>
      </c>
      <c r="D58" s="19" t="str">
        <f>IF($P58="","",IFERROR(IF(INDEX(MASTER!$E$4:$E$1463,$P58)="","",INDEX(MASTER!$E$4:$E$1463,$P58)),""))</f>
        <v/>
      </c>
      <c r="E58" s="19" t="str">
        <f>IF($P58="","",IFERROR(IF(INDEX(MASTER!$F$4:$F$1463,$P58)="","",INDEX(MASTER!$F$4:$F$1463,$P58)),""))</f>
        <v>-</v>
      </c>
      <c r="F58" s="20" t="str">
        <f>IF($P58="","",IFERROR(IF(INDEX(MASTER!$G$4:$G$1463,$P58)="","",INDEX(MASTER!$G$4:$G$1463,$P58)),""))</f>
        <v/>
      </c>
      <c r="G58" s="19" t="str">
        <f>IF($P58="","",IFERROR(IF(INDEX(MASTER!$H$4:$H$1463,$P58)="","",INDEX(MASTER!$H$4:$H$1463,$P58)),""))</f>
        <v>-</v>
      </c>
      <c r="H58" s="20" t="str">
        <f>IF($P58="","",IFERROR(IF(INDEX(MASTER!$I$4:$I$1463,$P58)="","",INDEX(MASTER!$I$4:$I$1463,$P58)),""))</f>
        <v/>
      </c>
      <c r="I58" s="19" t="str">
        <f>IF($P58="","",IFERROR(IF(INDEX(MASTER!$J$4:$J$1463,$P58)="","",INDEX(MASTER!$J$4:$J$1463,$P58)),""))</f>
        <v>-</v>
      </c>
      <c r="J58" s="21" t="str">
        <f>IF($P58="","",IFERROR(IF(INDEX(MASTER!$L$4:$L$1463,$P58)="","",INDEX(MASTER!$L$4:$L$1463,$P58)),""))</f>
        <v/>
      </c>
      <c r="K58" s="21" t="str">
        <f>IF($P58="","",IFERROR(IF(INDEX(MASTER!$N$4:$N$1463,$P58)="","",INDEX(MASTER!$N$4:$N$1463,$P58)),""))</f>
        <v/>
      </c>
      <c r="L58" s="19" t="str">
        <f>IF($P58="","",IFERROR(IF(INDEX(MASTER!$O$4:$O$1463,$P58)="","",INDEX(MASTER!$O$4:$O$1463,$P58)),""))</f>
        <v>-</v>
      </c>
      <c r="M58" s="19">
        <f>IF($P58="","",IFERROR(IF(INDEX(MASTER!$Q$4:$Q$1463,$P58)="","",INDEX(MASTER!$Q$4:$Q$1463,$P58)),""))</f>
        <v>70</v>
      </c>
      <c r="N58" s="19" t="str">
        <f>IF($P58="","",IFERROR(IF(INDEX(MASTER!$S$4:$S$1463,$P58)="","",INDEX(MASTER!$S$4:$S$1463,$P58)),""))</f>
        <v>Name only</v>
      </c>
      <c r="P58">
        <f>IFERROR(MATCH($Q$1&amp;"@50",MASTER!$AC$4:$AC$1463,0),"")</f>
        <v>759</v>
      </c>
    </row>
    <row r="59" spans="1:16">
      <c r="A59" s="15">
        <f>IF($P59="","",51)</f>
        <v>51</v>
      </c>
      <c r="B59" s="14" t="str">
        <f>IF($P59="","",IFERROR(IF(INDEX(MASTER!$C$4:$C$1463,$P59)="","",INDEX(MASTER!$C$4:$C$1463,$P59)),""))</f>
        <v>newts</v>
      </c>
      <c r="C59" s="15" t="str">
        <f>IF($P59="","",IFERROR(IF(INDEX(MASTER!$D$4:$D$1463,$P59)="","",INDEX(MASTER!$D$4:$D$1463,$P59)),""))</f>
        <v/>
      </c>
      <c r="D59" s="15" t="str">
        <f>IF($P59="","",IFERROR(IF(INDEX(MASTER!$E$4:$E$1463,$P59)="","",INDEX(MASTER!$E$4:$E$1463,$P59)),""))</f>
        <v>DEMON HUNTER</v>
      </c>
      <c r="E59" s="15" t="str">
        <f>IF($P59="","",IFERROR(IF(INDEX(MASTER!$F$4:$F$1463,$P59)="","",INDEX(MASTER!$F$4:$F$1463,$P59)),""))</f>
        <v>Ranged DPS</v>
      </c>
      <c r="F59" s="16">
        <f>IF($P59="","",IFERROR(IF(INDEX(MASTER!$G$4:$G$1463,$P59)="","",INDEX(MASTER!$G$4:$G$1463,$P59)),""))</f>
        <v>61559</v>
      </c>
      <c r="G59" s="15" t="str">
        <f>IF($P59="","",IFERROR(IF(INDEX(MASTER!$H$4:$H$1463,$P59)="","",INDEX(MASTER!$H$4:$H$1463,$P59)),""))</f>
        <v>61,000 - 61,999</v>
      </c>
      <c r="H59" s="16">
        <f>IF($P59="","",IFERROR(IF(INDEX(MASTER!$I$4:$I$1463,$P59)="","",INDEX(MASTER!$I$4:$I$1463,$P59)),""))</f>
        <v>1912</v>
      </c>
      <c r="I59" s="15" t="str">
        <f>IF($P59="","",IFERROR(IF(INDEX(MASTER!$J$4:$J$1463,$P59)="","",INDEX(MASTER!$J$4:$J$1463,$P59)),""))</f>
        <v>ROOKIE</v>
      </c>
      <c r="J59" s="17">
        <f>IF($P59="","",IFERROR(IF(INDEX(MASTER!$L$4:$L$1463,$P59)="","",INDEX(MASTER!$L$4:$L$1463,$P59)),""))</f>
        <v>3.2</v>
      </c>
      <c r="K59" s="17">
        <f>IF($P59="","",IFERROR(IF(INDEX(MASTER!$N$4:$N$1463,$P59)="","",INDEX(MASTER!$N$4:$N$1463,$P59)),""))</f>
        <v>30.9</v>
      </c>
      <c r="L59" s="15" t="str">
        <f>IF($P59="","",IFERROR(IF(INDEX(MASTER!$O$4:$O$1463,$P59)="","",INDEX(MASTER!$O$4:$O$1463,$P59)),""))</f>
        <v>C</v>
      </c>
      <c r="M59" s="15">
        <f>IF($P59="","",IFERROR(IF(INDEX(MASTER!$Q$4:$Q$1463,$P59)="","",INDEX(MASTER!$Q$4:$Q$1463,$P59)),""))</f>
        <v>47</v>
      </c>
      <c r="N59" s="15" t="str">
        <f>IF($P59="","",IFERROR(IF(INDEX(MASTER!$S$4:$S$1463,$P59)="","",INDEX(MASTER!$S$4:$S$1463,$P59)),""))</f>
        <v>Complete</v>
      </c>
      <c r="P59">
        <f>IFERROR(MATCH($Q$1&amp;"@51",MASTER!$AC$4:$AC$1463,0),"")</f>
        <v>816</v>
      </c>
    </row>
    <row r="60" spans="1:16">
      <c r="A60" s="19">
        <f>IF($P60="","",52)</f>
        <v>52</v>
      </c>
      <c r="B60" s="18" t="str">
        <f>IF($P60="","",IFERROR(IF(INDEX(MASTER!$C$4:$C$1463,$P60)="","",INDEX(MASTER!$C$4:$C$1463,$P60)),""))</f>
        <v>Ninx</v>
      </c>
      <c r="C60" s="19" t="str">
        <f>IF($P60="","",IFERROR(IF(INDEX(MASTER!$D$4:$D$1463,$P60)="","",INDEX(MASTER!$D$4:$D$1463,$P60)),""))</f>
        <v/>
      </c>
      <c r="D60" s="19" t="str">
        <f>IF($P60="","",IFERROR(IF(INDEX(MASTER!$E$4:$E$1463,$P60)="","",INDEX(MASTER!$E$4:$E$1463,$P60)),""))</f>
        <v>WARLOCK</v>
      </c>
      <c r="E60" s="19" t="str">
        <f>IF($P60="","",IFERROR(IF(INDEX(MASTER!$F$4:$F$1463,$P60)="","",INDEX(MASTER!$F$4:$F$1463,$P60)),""))</f>
        <v>Control</v>
      </c>
      <c r="F60" s="20">
        <f>IF($P60="","",IFERROR(IF(INDEX(MASTER!$G$4:$G$1463,$P60)="","",INDEX(MASTER!$G$4:$G$1463,$P60)),""))</f>
        <v>63013</v>
      </c>
      <c r="G60" s="19" t="str">
        <f>IF($P60="","",IFERROR(IF(INDEX(MASTER!$H$4:$H$1463,$P60)="","",INDEX(MASTER!$H$4:$H$1463,$P60)),""))</f>
        <v>63,000 - 63,999</v>
      </c>
      <c r="H60" s="20">
        <f>IF($P60="","",IFERROR(IF(INDEX(MASTER!$I$4:$I$1463,$P60)="","",INDEX(MASTER!$I$4:$I$1463,$P60)),""))</f>
        <v>3648</v>
      </c>
      <c r="I60" s="19" t="str">
        <f>IF($P60="","",IFERROR(IF(INDEX(MASTER!$J$4:$J$1463,$P60)="","",INDEX(MASTER!$J$4:$J$1463,$P60)),""))</f>
        <v>DEVELOPING</v>
      </c>
      <c r="J60" s="21">
        <f>IF($P60="","",IFERROR(IF(INDEX(MASTER!$L$4:$L$1463,$P60)="","",INDEX(MASTER!$L$4:$L$1463,$P60)),""))</f>
        <v>3.3</v>
      </c>
      <c r="K60" s="21">
        <f>IF($P60="","",IFERROR(IF(INDEX(MASTER!$N$4:$N$1463,$P60)="","",INDEX(MASTER!$N$4:$N$1463,$P60)),""))</f>
        <v>42.5</v>
      </c>
      <c r="L60" s="19" t="str">
        <f>IF($P60="","",IFERROR(IF(INDEX(MASTER!$O$4:$O$1463,$P60)="","",INDEX(MASTER!$O$4:$O$1463,$P60)),""))</f>
        <v>B</v>
      </c>
      <c r="M60" s="19">
        <f>IF($P60="","",IFERROR(IF(INDEX(MASTER!$Q$4:$Q$1463,$P60)="","",INDEX(MASTER!$Q$4:$Q$1463,$P60)),""))</f>
        <v>18</v>
      </c>
      <c r="N60" s="19" t="str">
        <f>IF($P60="","",IFERROR(IF(INDEX(MASTER!$S$4:$S$1463,$P60)="","",INDEX(MASTER!$S$4:$S$1463,$P60)),""))</f>
        <v>Complete</v>
      </c>
      <c r="P60">
        <f>IFERROR(MATCH($Q$1&amp;"@52",MASTER!$AC$4:$AC$1463,0),"")</f>
        <v>821</v>
      </c>
    </row>
    <row r="61" spans="1:16">
      <c r="A61" s="15">
        <f>IF($P61="","",53)</f>
        <v>53</v>
      </c>
      <c r="B61" s="14" t="str">
        <f>IF($P61="","",IFERROR(IF(INDEX(MASTER!$C$4:$C$1463,$P61)="","",INDEX(MASTER!$C$4:$C$1463,$P61)),""))</f>
        <v>Novia</v>
      </c>
      <c r="C61" s="15" t="str">
        <f>IF($P61="","",IFERROR(IF(INDEX(MASTER!$D$4:$D$1463,$P61)="","",INDEX(MASTER!$D$4:$D$1463,$P61)),""))</f>
        <v/>
      </c>
      <c r="D61" s="15" t="str">
        <f>IF($P61="","",IFERROR(IF(INDEX(MASTER!$E$4:$E$1463,$P61)="","",INDEX(MASTER!$E$4:$E$1463,$P61)),""))</f>
        <v/>
      </c>
      <c r="E61" s="15" t="str">
        <f>IF($P61="","",IFERROR(IF(INDEX(MASTER!$F$4:$F$1463,$P61)="","",INDEX(MASTER!$F$4:$F$1463,$P61)),""))</f>
        <v>-</v>
      </c>
      <c r="F61" s="16" t="str">
        <f>IF($P61="","",IFERROR(IF(INDEX(MASTER!$G$4:$G$1463,$P61)="","",INDEX(MASTER!$G$4:$G$1463,$P61)),""))</f>
        <v/>
      </c>
      <c r="G61" s="15" t="str">
        <f>IF($P61="","",IFERROR(IF(INDEX(MASTER!$H$4:$H$1463,$P61)="","",INDEX(MASTER!$H$4:$H$1463,$P61)),""))</f>
        <v>-</v>
      </c>
      <c r="H61" s="16" t="str">
        <f>IF($P61="","",IFERROR(IF(INDEX(MASTER!$I$4:$I$1463,$P61)="","",INDEX(MASTER!$I$4:$I$1463,$P61)),""))</f>
        <v/>
      </c>
      <c r="I61" s="15" t="str">
        <f>IF($P61="","",IFERROR(IF(INDEX(MASTER!$J$4:$J$1463,$P61)="","",INDEX(MASTER!$J$4:$J$1463,$P61)),""))</f>
        <v>-</v>
      </c>
      <c r="J61" s="17" t="str">
        <f>IF($P61="","",IFERROR(IF(INDEX(MASTER!$L$4:$L$1463,$P61)="","",INDEX(MASTER!$L$4:$L$1463,$P61)),""))</f>
        <v/>
      </c>
      <c r="K61" s="17" t="str">
        <f>IF($P61="","",IFERROR(IF(INDEX(MASTER!$N$4:$N$1463,$P61)="","",INDEX(MASTER!$N$4:$N$1463,$P61)),""))</f>
        <v/>
      </c>
      <c r="L61" s="15" t="str">
        <f>IF($P61="","",IFERROR(IF(INDEX(MASTER!$O$4:$O$1463,$P61)="","",INDEX(MASTER!$O$4:$O$1463,$P61)),""))</f>
        <v>-</v>
      </c>
      <c r="M61" s="15">
        <f>IF($P61="","",IFERROR(IF(INDEX(MASTER!$Q$4:$Q$1463,$P61)="","",INDEX(MASTER!$Q$4:$Q$1463,$P61)),""))</f>
        <v>71</v>
      </c>
      <c r="N61" s="15" t="str">
        <f>IF($P61="","",IFERROR(IF(INDEX(MASTER!$S$4:$S$1463,$P61)="","",INDEX(MASTER!$S$4:$S$1463,$P61)),""))</f>
        <v>Name only</v>
      </c>
      <c r="P61">
        <f>IFERROR(MATCH($Q$1&amp;"@53",MASTER!$AC$4:$AC$1463,0),"")</f>
        <v>828</v>
      </c>
    </row>
    <row r="62" spans="1:16">
      <c r="A62" s="19">
        <f>IF($P62="","",54)</f>
        <v>54</v>
      </c>
      <c r="B62" s="18" t="str">
        <f>IF($P62="","",IFERROR(IF(INDEX(MASTER!$C$4:$C$1463,$P62)="","",INDEX(MASTER!$C$4:$C$1463,$P62)),""))</f>
        <v>OhhhBarbara</v>
      </c>
      <c r="C62" s="19" t="str">
        <f>IF($P62="","",IFERROR(IF(INDEX(MASTER!$D$4:$D$1463,$P62)="","",INDEX(MASTER!$D$4:$D$1463,$P62)),""))</f>
        <v/>
      </c>
      <c r="D62" s="19" t="str">
        <f>IF($P62="","",IFERROR(IF(INDEX(MASTER!$E$4:$E$1463,$P62)="","",INDEX(MASTER!$E$4:$E$1463,$P62)),""))</f>
        <v>WARLOCK</v>
      </c>
      <c r="E62" s="19" t="str">
        <f>IF($P62="","",IFERROR(IF(INDEX(MASTER!$F$4:$F$1463,$P62)="","",INDEX(MASTER!$F$4:$F$1463,$P62)),""))</f>
        <v>Control</v>
      </c>
      <c r="F62" s="20">
        <f>IF($P62="","",IFERROR(IF(INDEX(MASTER!$G$4:$G$1463,$P62)="","",INDEX(MASTER!$G$4:$G$1463,$P62)),""))</f>
        <v>62118</v>
      </c>
      <c r="G62" s="19" t="str">
        <f>IF($P62="","",IFERROR(IF(INDEX(MASTER!$H$4:$H$1463,$P62)="","",INDEX(MASTER!$H$4:$H$1463,$P62)),""))</f>
        <v>62,000 - 62,999</v>
      </c>
      <c r="H62" s="20">
        <f>IF($P62="","",IFERROR(IF(INDEX(MASTER!$I$4:$I$1463,$P62)="","",INDEX(MASTER!$I$4:$I$1463,$P62)),""))</f>
        <v>1327</v>
      </c>
      <c r="I62" s="19" t="str">
        <f>IF($P62="","",IFERROR(IF(INDEX(MASTER!$J$4:$J$1463,$P62)="","",INDEX(MASTER!$J$4:$J$1463,$P62)),""))</f>
        <v>ROOKIE</v>
      </c>
      <c r="J62" s="21">
        <f>IF($P62="","",IFERROR(IF(INDEX(MASTER!$L$4:$L$1463,$P62)="","",INDEX(MASTER!$L$4:$L$1463,$P62)),""))</f>
        <v>3</v>
      </c>
      <c r="K62" s="21">
        <f>IF($P62="","",IFERROR(IF(INDEX(MASTER!$N$4:$N$1463,$P62)="","",INDEX(MASTER!$N$4:$N$1463,$P62)),""))</f>
        <v>29.5</v>
      </c>
      <c r="L62" s="19" t="str">
        <f>IF($P62="","",IFERROR(IF(INDEX(MASTER!$O$4:$O$1463,$P62)="","",INDEX(MASTER!$O$4:$O$1463,$P62)),""))</f>
        <v>C</v>
      </c>
      <c r="M62" s="19">
        <f>IF($P62="","",IFERROR(IF(INDEX(MASTER!$Q$4:$Q$1463,$P62)="","",INDEX(MASTER!$Q$4:$Q$1463,$P62)),""))</f>
        <v>55</v>
      </c>
      <c r="N62" s="19" t="str">
        <f>IF($P62="","",IFERROR(IF(INDEX(MASTER!$S$4:$S$1463,$P62)="","",INDEX(MASTER!$S$4:$S$1463,$P62)),""))</f>
        <v>Complete</v>
      </c>
      <c r="P62">
        <f>IFERROR(MATCH($Q$1&amp;"@54",MASTER!$AC$4:$AC$1463,0),"")</f>
        <v>845</v>
      </c>
    </row>
    <row r="63" spans="1:16">
      <c r="A63" s="15">
        <f>IF($P63="","",55)</f>
        <v>55</v>
      </c>
      <c r="B63" s="14" t="str">
        <f>IF($P63="","",IFERROR(IF(INDEX(MASTER!$C$4:$C$1463,$P63)="","",INDEX(MASTER!$C$4:$C$1463,$P63)),""))</f>
        <v>Olee</v>
      </c>
      <c r="C63" s="15" t="str">
        <f>IF($P63="","",IFERROR(IF(INDEX(MASTER!$D$4:$D$1463,$P63)="","",INDEX(MASTER!$D$4:$D$1463,$P63)),""))</f>
        <v/>
      </c>
      <c r="D63" s="15" t="str">
        <f>IF($P63="","",IFERROR(IF(INDEX(MASTER!$E$4:$E$1463,$P63)="","",INDEX(MASTER!$E$4:$E$1463,$P63)),""))</f>
        <v/>
      </c>
      <c r="E63" s="15" t="str">
        <f>IF($P63="","",IFERROR(IF(INDEX(MASTER!$F$4:$F$1463,$P63)="","",INDEX(MASTER!$F$4:$F$1463,$P63)),""))</f>
        <v>-</v>
      </c>
      <c r="F63" s="16" t="str">
        <f>IF($P63="","",IFERROR(IF(INDEX(MASTER!$G$4:$G$1463,$P63)="","",INDEX(MASTER!$G$4:$G$1463,$P63)),""))</f>
        <v/>
      </c>
      <c r="G63" s="15" t="str">
        <f>IF($P63="","",IFERROR(IF(INDEX(MASTER!$H$4:$H$1463,$P63)="","",INDEX(MASTER!$H$4:$H$1463,$P63)),""))</f>
        <v>-</v>
      </c>
      <c r="H63" s="16" t="str">
        <f>IF($P63="","",IFERROR(IF(INDEX(MASTER!$I$4:$I$1463,$P63)="","",INDEX(MASTER!$I$4:$I$1463,$P63)),""))</f>
        <v/>
      </c>
      <c r="I63" s="15" t="str">
        <f>IF($P63="","",IFERROR(IF(INDEX(MASTER!$J$4:$J$1463,$P63)="","",INDEX(MASTER!$J$4:$J$1463,$P63)),""))</f>
        <v>-</v>
      </c>
      <c r="J63" s="17" t="str">
        <f>IF($P63="","",IFERROR(IF(INDEX(MASTER!$L$4:$L$1463,$P63)="","",INDEX(MASTER!$L$4:$L$1463,$P63)),""))</f>
        <v/>
      </c>
      <c r="K63" s="17" t="str">
        <f>IF($P63="","",IFERROR(IF(INDEX(MASTER!$N$4:$N$1463,$P63)="","",INDEX(MASTER!$N$4:$N$1463,$P63)),""))</f>
        <v/>
      </c>
      <c r="L63" s="15" t="str">
        <f>IF($P63="","",IFERROR(IF(INDEX(MASTER!$O$4:$O$1463,$P63)="","",INDEX(MASTER!$O$4:$O$1463,$P63)),""))</f>
        <v>-</v>
      </c>
      <c r="M63" s="15">
        <f>IF($P63="","",IFERROR(IF(INDEX(MASTER!$Q$4:$Q$1463,$P63)="","",INDEX(MASTER!$Q$4:$Q$1463,$P63)),""))</f>
        <v>72</v>
      </c>
      <c r="N63" s="15" t="str">
        <f>IF($P63="","",IFERROR(IF(INDEX(MASTER!$S$4:$S$1463,$P63)="","",INDEX(MASTER!$S$4:$S$1463,$P63)),""))</f>
        <v>Name only</v>
      </c>
      <c r="P63">
        <f>IFERROR(MATCH($Q$1&amp;"@55",MASTER!$AC$4:$AC$1463,0),"")</f>
        <v>847</v>
      </c>
    </row>
    <row r="64" spans="1:16">
      <c r="A64" s="19">
        <f>IF($P64="","",56)</f>
        <v>56</v>
      </c>
      <c r="B64" s="18" t="str">
        <f>IF($P64="","",IFERROR(IF(INDEX(MASTER!$C$4:$C$1463,$P64)="","",INDEX(MASTER!$C$4:$C$1463,$P64)),""))</f>
        <v>PeterKing</v>
      </c>
      <c r="C64" s="19" t="str">
        <f>IF($P64="","",IFERROR(IF(INDEX(MASTER!$D$4:$D$1463,$P64)="","",INDEX(MASTER!$D$4:$D$1463,$P64)),""))</f>
        <v/>
      </c>
      <c r="D64" s="19" t="str">
        <f>IF($P64="","",IFERROR(IF(INDEX(MASTER!$E$4:$E$1463,$P64)="","",INDEX(MASTER!$E$4:$E$1463,$P64)),""))</f>
        <v>BARBARIAN</v>
      </c>
      <c r="E64" s="19" t="str">
        <f>IF($P64="","",IFERROR(IF(INDEX(MASTER!$F$4:$F$1463,$P64)="","",INDEX(MASTER!$F$4:$F$1463,$P64)),""))</f>
        <v>Frontline</v>
      </c>
      <c r="F64" s="20">
        <f>IF($P64="","",IFERROR(IF(INDEX(MASTER!$G$4:$G$1463,$P64)="","",INDEX(MASTER!$G$4:$G$1463,$P64)),""))</f>
        <v>61921</v>
      </c>
      <c r="G64" s="19" t="str">
        <f>IF($P64="","",IFERROR(IF(INDEX(MASTER!$H$4:$H$1463,$P64)="","",INDEX(MASTER!$H$4:$H$1463,$P64)),""))</f>
        <v>61,000 - 61,999</v>
      </c>
      <c r="H64" s="20">
        <f>IF($P64="","",IFERROR(IF(INDEX(MASTER!$I$4:$I$1463,$P64)="","",INDEX(MASTER!$I$4:$I$1463,$P64)),""))</f>
        <v>6165</v>
      </c>
      <c r="I64" s="19" t="str">
        <f>IF($P64="","",IFERROR(IF(INDEX(MASTER!$J$4:$J$1463,$P64)="","",INDEX(MASTER!$J$4:$J$1463,$P64)),""))</f>
        <v>VETERAN</v>
      </c>
      <c r="J64" s="21">
        <f>IF($P64="","",IFERROR(IF(INDEX(MASTER!$L$4:$L$1463,$P64)="","",INDEX(MASTER!$L$4:$L$1463,$P64)),""))</f>
        <v>5</v>
      </c>
      <c r="K64" s="21">
        <f>IF($P64="","",IFERROR(IF(INDEX(MASTER!$N$4:$N$1463,$P64)="","",INDEX(MASTER!$N$4:$N$1463,$P64)),""))</f>
        <v>53.5</v>
      </c>
      <c r="L64" s="19" t="str">
        <f>IF($P64="","",IFERROR(IF(INDEX(MASTER!$O$4:$O$1463,$P64)="","",INDEX(MASTER!$O$4:$O$1463,$P64)),""))</f>
        <v>A</v>
      </c>
      <c r="M64" s="19">
        <f>IF($P64="","",IFERROR(IF(INDEX(MASTER!$Q$4:$Q$1463,$P64)="","",INDEX(MASTER!$Q$4:$Q$1463,$P64)),""))</f>
        <v>7</v>
      </c>
      <c r="N64" s="19" t="str">
        <f>IF($P64="","",IFERROR(IF(INDEX(MASTER!$S$4:$S$1463,$P64)="","",INDEX(MASTER!$S$4:$S$1463,$P64)),""))</f>
        <v>Complete</v>
      </c>
      <c r="P64">
        <f>IFERROR(MATCH($Q$1&amp;"@56",MASTER!$AC$4:$AC$1463,0),"")</f>
        <v>886</v>
      </c>
    </row>
    <row r="65" spans="1:16">
      <c r="A65" s="15">
        <f>IF($P65="","",57)</f>
        <v>57</v>
      </c>
      <c r="B65" s="14" t="str">
        <f>IF($P65="","",IFERROR(IF(INDEX(MASTER!$C$4:$C$1463,$P65)="","",INDEX(MASTER!$C$4:$C$1463,$P65)),""))</f>
        <v>Phileep</v>
      </c>
      <c r="C65" s="15" t="str">
        <f>IF($P65="","",IFERROR(IF(INDEX(MASTER!$D$4:$D$1463,$P65)="","",INDEX(MASTER!$D$4:$D$1463,$P65)),""))</f>
        <v/>
      </c>
      <c r="D65" s="15" t="str">
        <f>IF($P65="","",IFERROR(IF(INDEX(MASTER!$E$4:$E$1463,$P65)="","",INDEX(MASTER!$E$4:$E$1463,$P65)),""))</f>
        <v/>
      </c>
      <c r="E65" s="15" t="str">
        <f>IF($P65="","",IFERROR(IF(INDEX(MASTER!$F$4:$F$1463,$P65)="","",INDEX(MASTER!$F$4:$F$1463,$P65)),""))</f>
        <v>-</v>
      </c>
      <c r="F65" s="16" t="str">
        <f>IF($P65="","",IFERROR(IF(INDEX(MASTER!$G$4:$G$1463,$P65)="","",INDEX(MASTER!$G$4:$G$1463,$P65)),""))</f>
        <v/>
      </c>
      <c r="G65" s="15" t="str">
        <f>IF($P65="","",IFERROR(IF(INDEX(MASTER!$H$4:$H$1463,$P65)="","",INDEX(MASTER!$H$4:$H$1463,$P65)),""))</f>
        <v>-</v>
      </c>
      <c r="H65" s="16" t="str">
        <f>IF($P65="","",IFERROR(IF(INDEX(MASTER!$I$4:$I$1463,$P65)="","",INDEX(MASTER!$I$4:$I$1463,$P65)),""))</f>
        <v/>
      </c>
      <c r="I65" s="15" t="str">
        <f>IF($P65="","",IFERROR(IF(INDEX(MASTER!$J$4:$J$1463,$P65)="","",INDEX(MASTER!$J$4:$J$1463,$P65)),""))</f>
        <v>-</v>
      </c>
      <c r="J65" s="17" t="str">
        <f>IF($P65="","",IFERROR(IF(INDEX(MASTER!$L$4:$L$1463,$P65)="","",INDEX(MASTER!$L$4:$L$1463,$P65)),""))</f>
        <v/>
      </c>
      <c r="K65" s="17" t="str">
        <f>IF($P65="","",IFERROR(IF(INDEX(MASTER!$N$4:$N$1463,$P65)="","",INDEX(MASTER!$N$4:$N$1463,$P65)),""))</f>
        <v/>
      </c>
      <c r="L65" s="15" t="str">
        <f>IF($P65="","",IFERROR(IF(INDEX(MASTER!$O$4:$O$1463,$P65)="","",INDEX(MASTER!$O$4:$O$1463,$P65)),""))</f>
        <v>-</v>
      </c>
      <c r="M65" s="15">
        <f>IF($P65="","",IFERROR(IF(INDEX(MASTER!$Q$4:$Q$1463,$P65)="","",INDEX(MASTER!$Q$4:$Q$1463,$P65)),""))</f>
        <v>73</v>
      </c>
      <c r="N65" s="15" t="str">
        <f>IF($P65="","",IFERROR(IF(INDEX(MASTER!$S$4:$S$1463,$P65)="","",INDEX(MASTER!$S$4:$S$1463,$P65)),""))</f>
        <v>Name only</v>
      </c>
      <c r="P65">
        <f>IFERROR(MATCH($Q$1&amp;"@57",MASTER!$AC$4:$AC$1463,0),"")</f>
        <v>888</v>
      </c>
    </row>
    <row r="66" spans="1:16">
      <c r="A66" s="19">
        <f>IF($P66="","",58)</f>
        <v>58</v>
      </c>
      <c r="B66" s="18" t="str">
        <f>IF($P66="","",IFERROR(IF(INDEX(MASTER!$C$4:$C$1463,$P66)="","",INDEX(MASTER!$C$4:$C$1463,$P66)),""))</f>
        <v>PieMay</v>
      </c>
      <c r="C66" s="19" t="str">
        <f>IF($P66="","",IFERROR(IF(INDEX(MASTER!$D$4:$D$1463,$P66)="","",INDEX(MASTER!$D$4:$D$1463,$P66)),""))</f>
        <v/>
      </c>
      <c r="D66" s="19" t="str">
        <f>IF($P66="","",IFERROR(IF(INDEX(MASTER!$E$4:$E$1463,$P66)="","",INDEX(MASTER!$E$4:$E$1463,$P66)),""))</f>
        <v>WARLOCK</v>
      </c>
      <c r="E66" s="19" t="str">
        <f>IF($P66="","",IFERROR(IF(INDEX(MASTER!$F$4:$F$1463,$P66)="","",INDEX(MASTER!$F$4:$F$1463,$P66)),""))</f>
        <v>Control</v>
      </c>
      <c r="F66" s="20">
        <f>IF($P66="","",IFERROR(IF(INDEX(MASTER!$G$4:$G$1463,$P66)="","",INDEX(MASTER!$G$4:$G$1463,$P66)),""))</f>
        <v>63032</v>
      </c>
      <c r="G66" s="19" t="str">
        <f>IF($P66="","",IFERROR(IF(INDEX(MASTER!$H$4:$H$1463,$P66)="","",INDEX(MASTER!$H$4:$H$1463,$P66)),""))</f>
        <v>63,000 - 63,999</v>
      </c>
      <c r="H66" s="20">
        <f>IF($P66="","",IFERROR(IF(INDEX(MASTER!$I$4:$I$1463,$P66)="","",INDEX(MASTER!$I$4:$I$1463,$P66)),""))</f>
        <v>3924</v>
      </c>
      <c r="I66" s="19" t="str">
        <f>IF($P66="","",IFERROR(IF(INDEX(MASTER!$J$4:$J$1463,$P66)="","",INDEX(MASTER!$J$4:$J$1463,$P66)),""))</f>
        <v>DEVELOPING</v>
      </c>
      <c r="J66" s="21">
        <f>IF($P66="","",IFERROR(IF(INDEX(MASTER!$L$4:$L$1463,$P66)="","",INDEX(MASTER!$L$4:$L$1463,$P66)),""))</f>
        <v>4.2</v>
      </c>
      <c r="K66" s="21">
        <f>IF($P66="","",IFERROR(IF(INDEX(MASTER!$N$4:$N$1463,$P66)="","",INDEX(MASTER!$N$4:$N$1463,$P66)),""))</f>
        <v>45.3</v>
      </c>
      <c r="L66" s="19" t="str">
        <f>IF($P66="","",IFERROR(IF(INDEX(MASTER!$O$4:$O$1463,$P66)="","",INDEX(MASTER!$O$4:$O$1463,$P66)),""))</f>
        <v>B</v>
      </c>
      <c r="M66" s="19">
        <f>IF($P66="","",IFERROR(IF(INDEX(MASTER!$Q$4:$Q$1463,$P66)="","",INDEX(MASTER!$Q$4:$Q$1463,$P66)),""))</f>
        <v>17</v>
      </c>
      <c r="N66" s="19" t="str">
        <f>IF($P66="","",IFERROR(IF(INDEX(MASTER!$S$4:$S$1463,$P66)="","",INDEX(MASTER!$S$4:$S$1463,$P66)),""))</f>
        <v>Complete</v>
      </c>
      <c r="P66">
        <f>IFERROR(MATCH($Q$1&amp;"@58",MASTER!$AC$4:$AC$1463,0),"")</f>
        <v>890</v>
      </c>
    </row>
    <row r="67" spans="1:16">
      <c r="A67" s="15">
        <f>IF($P67="","",59)</f>
        <v>59</v>
      </c>
      <c r="B67" s="14" t="str">
        <f>IF($P67="","",IFERROR(IF(INDEX(MASTER!$C$4:$C$1463,$P67)="","",INDEX(MASTER!$C$4:$C$1463,$P67)),""))</f>
        <v>Platfarm</v>
      </c>
      <c r="C67" s="15" t="str">
        <f>IF($P67="","",IFERROR(IF(INDEX(MASTER!$D$4:$D$1463,$P67)="","",INDEX(MASTER!$D$4:$D$1463,$P67)),""))</f>
        <v/>
      </c>
      <c r="D67" s="15" t="str">
        <f>IF($P67="","",IFERROR(IF(INDEX(MASTER!$E$4:$E$1463,$P67)="","",INDEX(MASTER!$E$4:$E$1463,$P67)),""))</f>
        <v>NECROMANCER</v>
      </c>
      <c r="E67" s="15" t="str">
        <f>IF($P67="","",IFERROR(IF(INDEX(MASTER!$F$4:$F$1463,$P67)="","",INDEX(MASTER!$F$4:$F$1463,$P67)),""))</f>
        <v>Control</v>
      </c>
      <c r="F67" s="16">
        <f>IF($P67="","",IFERROR(IF(INDEX(MASTER!$G$4:$G$1463,$P67)="","",INDEX(MASTER!$G$4:$G$1463,$P67)),""))</f>
        <v>61205</v>
      </c>
      <c r="G67" s="15" t="str">
        <f>IF($P67="","",IFERROR(IF(INDEX(MASTER!$H$4:$H$1463,$P67)="","",INDEX(MASTER!$H$4:$H$1463,$P67)),""))</f>
        <v>61,000 - 61,999</v>
      </c>
      <c r="H67" s="16">
        <f>IF($P67="","",IFERROR(IF(INDEX(MASTER!$I$4:$I$1463,$P67)="","",INDEX(MASTER!$I$4:$I$1463,$P67)),""))</f>
        <v>1920</v>
      </c>
      <c r="I67" s="15" t="str">
        <f>IF($P67="","",IFERROR(IF(INDEX(MASTER!$J$4:$J$1463,$P67)="","",INDEX(MASTER!$J$4:$J$1463,$P67)),""))</f>
        <v>ROOKIE</v>
      </c>
      <c r="J67" s="17">
        <f>IF($P67="","",IFERROR(IF(INDEX(MASTER!$L$4:$L$1463,$P67)="","",INDEX(MASTER!$L$4:$L$1463,$P67)),""))</f>
        <v>3.5</v>
      </c>
      <c r="K67" s="17">
        <f>IF($P67="","",IFERROR(IF(INDEX(MASTER!$N$4:$N$1463,$P67)="","",INDEX(MASTER!$N$4:$N$1463,$P67)),""))</f>
        <v>30.5</v>
      </c>
      <c r="L67" s="15" t="str">
        <f>IF($P67="","",IFERROR(IF(INDEX(MASTER!$O$4:$O$1463,$P67)="","",INDEX(MASTER!$O$4:$O$1463,$P67)),""))</f>
        <v>C</v>
      </c>
      <c r="M67" s="15">
        <f>IF($P67="","",IFERROR(IF(INDEX(MASTER!$Q$4:$Q$1463,$P67)="","",INDEX(MASTER!$Q$4:$Q$1463,$P67)),""))</f>
        <v>46</v>
      </c>
      <c r="N67" s="15" t="str">
        <f>IF($P67="","",IFERROR(IF(INDEX(MASTER!$S$4:$S$1463,$P67)="","",INDEX(MASTER!$S$4:$S$1463,$P67)),""))</f>
        <v>Complete</v>
      </c>
      <c r="P67">
        <f>IFERROR(MATCH($Q$1&amp;"@59",MASTER!$AC$4:$AC$1463,0),"")</f>
        <v>894</v>
      </c>
    </row>
    <row r="68" spans="1:16">
      <c r="A68" s="19">
        <f>IF($P68="","",60)</f>
        <v>60</v>
      </c>
      <c r="B68" s="18" t="str">
        <f>IF($P68="","",IFERROR(IF(INDEX(MASTER!$C$4:$C$1463,$P68)="","",INDEX(MASTER!$C$4:$C$1463,$P68)),""))</f>
        <v>PMithCrusader</v>
      </c>
      <c r="C68" s="19" t="str">
        <f>IF($P68="","",IFERROR(IF(INDEX(MASTER!$D$4:$D$1463,$P68)="","",INDEX(MASTER!$D$4:$D$1463,$P68)),""))</f>
        <v/>
      </c>
      <c r="D68" s="19" t="str">
        <f>IF($P68="","",IFERROR(IF(INDEX(MASTER!$E$4:$E$1463,$P68)="","",INDEX(MASTER!$E$4:$E$1463,$P68)),""))</f>
        <v>WARLOCK</v>
      </c>
      <c r="E68" s="19" t="str">
        <f>IF($P68="","",IFERROR(IF(INDEX(MASTER!$F$4:$F$1463,$P68)="","",INDEX(MASTER!$F$4:$F$1463,$P68)),""))</f>
        <v>Control</v>
      </c>
      <c r="F68" s="20">
        <f>IF($P68="","",IFERROR(IF(INDEX(MASTER!$G$4:$G$1463,$P68)="","",INDEX(MASTER!$G$4:$G$1463,$P68)),""))</f>
        <v>63934</v>
      </c>
      <c r="G68" s="19" t="str">
        <f>IF($P68="","",IFERROR(IF(INDEX(MASTER!$H$4:$H$1463,$P68)="","",INDEX(MASTER!$H$4:$H$1463,$P68)),""))</f>
        <v>63,000 - 63,999</v>
      </c>
      <c r="H68" s="20">
        <f>IF($P68="","",IFERROR(IF(INDEX(MASTER!$I$4:$I$1463,$P68)="","",INDEX(MASTER!$I$4:$I$1463,$P68)),""))</f>
        <v>6013</v>
      </c>
      <c r="I68" s="19" t="str">
        <f>IF($P68="","",IFERROR(IF(INDEX(MASTER!$J$4:$J$1463,$P68)="","",INDEX(MASTER!$J$4:$J$1463,$P68)),""))</f>
        <v>VETERAN</v>
      </c>
      <c r="J68" s="21">
        <f>IF($P68="","",IFERROR(IF(INDEX(MASTER!$L$4:$L$1463,$P68)="","",INDEX(MASTER!$L$4:$L$1463,$P68)),""))</f>
        <v>3.5</v>
      </c>
      <c r="K68" s="21">
        <f>IF($P68="","",IFERROR(IF(INDEX(MASTER!$N$4:$N$1463,$P68)="","",INDEX(MASTER!$N$4:$N$1463,$P68)),""))</f>
        <v>55.6</v>
      </c>
      <c r="L68" s="19" t="str">
        <f>IF($P68="","",IFERROR(IF(INDEX(MASTER!$O$4:$O$1463,$P68)="","",INDEX(MASTER!$O$4:$O$1463,$P68)),""))</f>
        <v>A</v>
      </c>
      <c r="M68" s="19">
        <f>IF($P68="","",IFERROR(IF(INDEX(MASTER!$Q$4:$Q$1463,$P68)="","",INDEX(MASTER!$Q$4:$Q$1463,$P68)),""))</f>
        <v>8</v>
      </c>
      <c r="N68" s="19" t="str">
        <f>IF($P68="","",IFERROR(IF(INDEX(MASTER!$S$4:$S$1463,$P68)="","",INDEX(MASTER!$S$4:$S$1463,$P68)),""))</f>
        <v>Complete</v>
      </c>
      <c r="P68">
        <f>IFERROR(MATCH($Q$1&amp;"@60",MASTER!$AC$4:$AC$1463,0),"")</f>
        <v>895</v>
      </c>
    </row>
    <row r="69" spans="1:16">
      <c r="A69" s="15">
        <f>IF($P69="","",61)</f>
        <v>61</v>
      </c>
      <c r="B69" s="14" t="str">
        <f>IF($P69="","",IFERROR(IF(INDEX(MASTER!$C$4:$C$1463,$P69)="","",INDEX(MASTER!$C$4:$C$1463,$P69)),""))</f>
        <v>RAKEHELL</v>
      </c>
      <c r="C69" s="15" t="str">
        <f>IF($P69="","",IFERROR(IF(INDEX(MASTER!$D$4:$D$1463,$P69)="","",INDEX(MASTER!$D$4:$D$1463,$P69)),""))</f>
        <v/>
      </c>
      <c r="D69" s="15" t="str">
        <f>IF($P69="","",IFERROR(IF(INDEX(MASTER!$E$4:$E$1463,$P69)="","",INDEX(MASTER!$E$4:$E$1463,$P69)),""))</f>
        <v/>
      </c>
      <c r="E69" s="15" t="str">
        <f>IF($P69="","",IFERROR(IF(INDEX(MASTER!$F$4:$F$1463,$P69)="","",INDEX(MASTER!$F$4:$F$1463,$P69)),""))</f>
        <v>-</v>
      </c>
      <c r="F69" s="16" t="str">
        <f>IF($P69="","",IFERROR(IF(INDEX(MASTER!$G$4:$G$1463,$P69)="","",INDEX(MASTER!$G$4:$G$1463,$P69)),""))</f>
        <v/>
      </c>
      <c r="G69" s="15" t="str">
        <f>IF($P69="","",IFERROR(IF(INDEX(MASTER!$H$4:$H$1463,$P69)="","",INDEX(MASTER!$H$4:$H$1463,$P69)),""))</f>
        <v>-</v>
      </c>
      <c r="H69" s="16" t="str">
        <f>IF($P69="","",IFERROR(IF(INDEX(MASTER!$I$4:$I$1463,$P69)="","",INDEX(MASTER!$I$4:$I$1463,$P69)),""))</f>
        <v/>
      </c>
      <c r="I69" s="15" t="str">
        <f>IF($P69="","",IFERROR(IF(INDEX(MASTER!$J$4:$J$1463,$P69)="","",INDEX(MASTER!$J$4:$J$1463,$P69)),""))</f>
        <v>-</v>
      </c>
      <c r="J69" s="17" t="str">
        <f>IF($P69="","",IFERROR(IF(INDEX(MASTER!$L$4:$L$1463,$P69)="","",INDEX(MASTER!$L$4:$L$1463,$P69)),""))</f>
        <v/>
      </c>
      <c r="K69" s="17" t="str">
        <f>IF($P69="","",IFERROR(IF(INDEX(MASTER!$N$4:$N$1463,$P69)="","",INDEX(MASTER!$N$4:$N$1463,$P69)),""))</f>
        <v/>
      </c>
      <c r="L69" s="15" t="str">
        <f>IF($P69="","",IFERROR(IF(INDEX(MASTER!$O$4:$O$1463,$P69)="","",INDEX(MASTER!$O$4:$O$1463,$P69)),""))</f>
        <v>-</v>
      </c>
      <c r="M69" s="15">
        <f>IF($P69="","",IFERROR(IF(INDEX(MASTER!$Q$4:$Q$1463,$P69)="","",INDEX(MASTER!$Q$4:$Q$1463,$P69)),""))</f>
        <v>74</v>
      </c>
      <c r="N69" s="15" t="str">
        <f>IF($P69="","",IFERROR(IF(INDEX(MASTER!$S$4:$S$1463,$P69)="","",INDEX(MASTER!$S$4:$S$1463,$P69)),""))</f>
        <v>Name only</v>
      </c>
      <c r="P69">
        <f>IFERROR(MATCH($Q$1&amp;"@61",MASTER!$AC$4:$AC$1463,0),"")</f>
        <v>925</v>
      </c>
    </row>
    <row r="70" spans="1:16">
      <c r="A70" s="19">
        <f>IF($P70="","",62)</f>
        <v>62</v>
      </c>
      <c r="B70" s="18" t="str">
        <f>IF($P70="","",IFERROR(IF(INDEX(MASTER!$C$4:$C$1463,$P70)="","",INDEX(MASTER!$C$4:$C$1463,$P70)),""))</f>
        <v>Renowned</v>
      </c>
      <c r="C70" s="19" t="str">
        <f>IF($P70="","",IFERROR(IF(INDEX(MASTER!$D$4:$D$1463,$P70)="","",INDEX(MASTER!$D$4:$D$1463,$P70)),""))</f>
        <v/>
      </c>
      <c r="D70" s="19" t="str">
        <f>IF($P70="","",IFERROR(IF(INDEX(MASTER!$E$4:$E$1463,$P70)="","",INDEX(MASTER!$E$4:$E$1463,$P70)),""))</f>
        <v>WARLOCK</v>
      </c>
      <c r="E70" s="19" t="str">
        <f>IF($P70="","",IFERROR(IF(INDEX(MASTER!$F$4:$F$1463,$P70)="","",INDEX(MASTER!$F$4:$F$1463,$P70)),""))</f>
        <v>Control</v>
      </c>
      <c r="F70" s="20">
        <f>IF($P70="","",IFERROR(IF(INDEX(MASTER!$G$4:$G$1463,$P70)="","",INDEX(MASTER!$G$4:$G$1463,$P70)),""))</f>
        <v>62208</v>
      </c>
      <c r="G70" s="19" t="str">
        <f>IF($P70="","",IFERROR(IF(INDEX(MASTER!$H$4:$H$1463,$P70)="","",INDEX(MASTER!$H$4:$H$1463,$P70)),""))</f>
        <v>62,000 - 62,999</v>
      </c>
      <c r="H70" s="20">
        <f>IF($P70="","",IFERROR(IF(INDEX(MASTER!$I$4:$I$1463,$P70)="","",INDEX(MASTER!$I$4:$I$1463,$P70)),""))</f>
        <v>1480</v>
      </c>
      <c r="I70" s="19" t="str">
        <f>IF($P70="","",IFERROR(IF(INDEX(MASTER!$J$4:$J$1463,$P70)="","",INDEX(MASTER!$J$4:$J$1463,$P70)),""))</f>
        <v>ROOKIE</v>
      </c>
      <c r="J70" s="21">
        <f>IF($P70="","",IFERROR(IF(INDEX(MASTER!$L$4:$L$1463,$P70)="","",INDEX(MASTER!$L$4:$L$1463,$P70)),""))</f>
        <v>3.3</v>
      </c>
      <c r="K70" s="21">
        <f>IF($P70="","",IFERROR(IF(INDEX(MASTER!$N$4:$N$1463,$P70)="","",INDEX(MASTER!$N$4:$N$1463,$P70)),""))</f>
        <v>30.9</v>
      </c>
      <c r="L70" s="19" t="str">
        <f>IF($P70="","",IFERROR(IF(INDEX(MASTER!$O$4:$O$1463,$P70)="","",INDEX(MASTER!$O$4:$O$1463,$P70)),""))</f>
        <v>C</v>
      </c>
      <c r="M70" s="19">
        <f>IF($P70="","",IFERROR(IF(INDEX(MASTER!$Q$4:$Q$1463,$P70)="","",INDEX(MASTER!$Q$4:$Q$1463,$P70)),""))</f>
        <v>53</v>
      </c>
      <c r="N70" s="19" t="str">
        <f>IF($P70="","",IFERROR(IF(INDEX(MASTER!$S$4:$S$1463,$P70)="","",INDEX(MASTER!$S$4:$S$1463,$P70)),""))</f>
        <v>Complete</v>
      </c>
      <c r="P70">
        <f>IFERROR(MATCH($Q$1&amp;"@62",MASTER!$AC$4:$AC$1463,0),"")</f>
        <v>946</v>
      </c>
    </row>
    <row r="71" spans="1:16">
      <c r="A71" s="15">
        <f>IF($P71="","",63)</f>
        <v>63</v>
      </c>
      <c r="B71" s="14" t="str">
        <f>IF($P71="","",IFERROR(IF(INDEX(MASTER!$C$4:$C$1463,$P71)="","",INDEX(MASTER!$C$4:$C$1463,$P71)),""))</f>
        <v>RoldanMoon</v>
      </c>
      <c r="C71" s="15" t="str">
        <f>IF($P71="","",IFERROR(IF(INDEX(MASTER!$D$4:$D$1463,$P71)="","",INDEX(MASTER!$D$4:$D$1463,$P71)),""))</f>
        <v/>
      </c>
      <c r="D71" s="15" t="str">
        <f>IF($P71="","",IFERROR(IF(INDEX(MASTER!$E$4:$E$1463,$P71)="","",INDEX(MASTER!$E$4:$E$1463,$P71)),""))</f>
        <v/>
      </c>
      <c r="E71" s="15" t="str">
        <f>IF($P71="","",IFERROR(IF(INDEX(MASTER!$F$4:$F$1463,$P71)="","",INDEX(MASTER!$F$4:$F$1463,$P71)),""))</f>
        <v>-</v>
      </c>
      <c r="F71" s="16" t="str">
        <f>IF($P71="","",IFERROR(IF(INDEX(MASTER!$G$4:$G$1463,$P71)="","",INDEX(MASTER!$G$4:$G$1463,$P71)),""))</f>
        <v/>
      </c>
      <c r="G71" s="15" t="str">
        <f>IF($P71="","",IFERROR(IF(INDEX(MASTER!$H$4:$H$1463,$P71)="","",INDEX(MASTER!$H$4:$H$1463,$P71)),""))</f>
        <v>-</v>
      </c>
      <c r="H71" s="16" t="str">
        <f>IF($P71="","",IFERROR(IF(INDEX(MASTER!$I$4:$I$1463,$P71)="","",INDEX(MASTER!$I$4:$I$1463,$P71)),""))</f>
        <v/>
      </c>
      <c r="I71" s="15" t="str">
        <f>IF($P71="","",IFERROR(IF(INDEX(MASTER!$J$4:$J$1463,$P71)="","",INDEX(MASTER!$J$4:$J$1463,$P71)),""))</f>
        <v>-</v>
      </c>
      <c r="J71" s="17" t="str">
        <f>IF($P71="","",IFERROR(IF(INDEX(MASTER!$L$4:$L$1463,$P71)="","",INDEX(MASTER!$L$4:$L$1463,$P71)),""))</f>
        <v/>
      </c>
      <c r="K71" s="17" t="str">
        <f>IF($P71="","",IFERROR(IF(INDEX(MASTER!$N$4:$N$1463,$P71)="","",INDEX(MASTER!$N$4:$N$1463,$P71)),""))</f>
        <v/>
      </c>
      <c r="L71" s="15" t="str">
        <f>IF($P71="","",IFERROR(IF(INDEX(MASTER!$O$4:$O$1463,$P71)="","",INDEX(MASTER!$O$4:$O$1463,$P71)),""))</f>
        <v>-</v>
      </c>
      <c r="M71" s="15">
        <f>IF($P71="","",IFERROR(IF(INDEX(MASTER!$Q$4:$Q$1463,$P71)="","",INDEX(MASTER!$Q$4:$Q$1463,$P71)),""))</f>
        <v>75</v>
      </c>
      <c r="N71" s="15" t="str">
        <f>IF($P71="","",IFERROR(IF(INDEX(MASTER!$S$4:$S$1463,$P71)="","",INDEX(MASTER!$S$4:$S$1463,$P71)),""))</f>
        <v>Name only</v>
      </c>
      <c r="P71">
        <f>IFERROR(MATCH($Q$1&amp;"@63",MASTER!$AC$4:$AC$1463,0),"")</f>
        <v>960</v>
      </c>
    </row>
    <row r="72" spans="1:16">
      <c r="A72" s="19">
        <f>IF($P72="","",64)</f>
        <v>64</v>
      </c>
      <c r="B72" s="18" t="str">
        <f>IF($P72="","",IFERROR(IF(INDEX(MASTER!$C$4:$C$1463,$P72)="","",INDEX(MASTER!$C$4:$C$1463,$P72)),""))</f>
        <v>Rolip</v>
      </c>
      <c r="C72" s="19" t="str">
        <f>IF($P72="","",IFERROR(IF(INDEX(MASTER!$D$4:$D$1463,$P72)="","",INDEX(MASTER!$D$4:$D$1463,$P72)),""))</f>
        <v/>
      </c>
      <c r="D72" s="19" t="str">
        <f>IF($P72="","",IFERROR(IF(INDEX(MASTER!$E$4:$E$1463,$P72)="","",INDEX(MASTER!$E$4:$E$1463,$P72)),""))</f>
        <v/>
      </c>
      <c r="E72" s="19" t="str">
        <f>IF($P72="","",IFERROR(IF(INDEX(MASTER!$F$4:$F$1463,$P72)="","",INDEX(MASTER!$F$4:$F$1463,$P72)),""))</f>
        <v>-</v>
      </c>
      <c r="F72" s="20" t="str">
        <f>IF($P72="","",IFERROR(IF(INDEX(MASTER!$G$4:$G$1463,$P72)="","",INDEX(MASTER!$G$4:$G$1463,$P72)),""))</f>
        <v/>
      </c>
      <c r="G72" s="19" t="str">
        <f>IF($P72="","",IFERROR(IF(INDEX(MASTER!$H$4:$H$1463,$P72)="","",INDEX(MASTER!$H$4:$H$1463,$P72)),""))</f>
        <v>-</v>
      </c>
      <c r="H72" s="20" t="str">
        <f>IF($P72="","",IFERROR(IF(INDEX(MASTER!$I$4:$I$1463,$P72)="","",INDEX(MASTER!$I$4:$I$1463,$P72)),""))</f>
        <v/>
      </c>
      <c r="I72" s="19" t="str">
        <f>IF($P72="","",IFERROR(IF(INDEX(MASTER!$J$4:$J$1463,$P72)="","",INDEX(MASTER!$J$4:$J$1463,$P72)),""))</f>
        <v>-</v>
      </c>
      <c r="J72" s="21" t="str">
        <f>IF($P72="","",IFERROR(IF(INDEX(MASTER!$L$4:$L$1463,$P72)="","",INDEX(MASTER!$L$4:$L$1463,$P72)),""))</f>
        <v/>
      </c>
      <c r="K72" s="21" t="str">
        <f>IF($P72="","",IFERROR(IF(INDEX(MASTER!$N$4:$N$1463,$P72)="","",INDEX(MASTER!$N$4:$N$1463,$P72)),""))</f>
        <v/>
      </c>
      <c r="L72" s="19" t="str">
        <f>IF($P72="","",IFERROR(IF(INDEX(MASTER!$O$4:$O$1463,$P72)="","",INDEX(MASTER!$O$4:$O$1463,$P72)),""))</f>
        <v>-</v>
      </c>
      <c r="M72" s="19">
        <f>IF($P72="","",IFERROR(IF(INDEX(MASTER!$Q$4:$Q$1463,$P72)="","",INDEX(MASTER!$Q$4:$Q$1463,$P72)),""))</f>
        <v>76</v>
      </c>
      <c r="N72" s="19" t="str">
        <f>IF($P72="","",IFERROR(IF(INDEX(MASTER!$S$4:$S$1463,$P72)="","",INDEX(MASTER!$S$4:$S$1463,$P72)),""))</f>
        <v>Name only</v>
      </c>
      <c r="P72">
        <f>IFERROR(MATCH($Q$1&amp;"@64",MASTER!$AC$4:$AC$1463,0),"")</f>
        <v>961</v>
      </c>
    </row>
    <row r="73" spans="1:16">
      <c r="A73" s="15">
        <f>IF($P73="","",65)</f>
        <v>65</v>
      </c>
      <c r="B73" s="14" t="str">
        <f>IF($P73="","",IFERROR(IF(INDEX(MASTER!$C$4:$C$1463,$P73)="","",INDEX(MASTER!$C$4:$C$1463,$P73)),""))</f>
        <v>Rozelynn</v>
      </c>
      <c r="C73" s="15" t="str">
        <f>IF($P73="","",IFERROR(IF(INDEX(MASTER!$D$4:$D$1463,$P73)="","",INDEX(MASTER!$D$4:$D$1463,$P73)),""))</f>
        <v/>
      </c>
      <c r="D73" s="15" t="str">
        <f>IF($P73="","",IFERROR(IF(INDEX(MASTER!$E$4:$E$1463,$P73)="","",INDEX(MASTER!$E$4:$E$1463,$P73)),""))</f>
        <v>WARLOCK</v>
      </c>
      <c r="E73" s="15" t="str">
        <f>IF($P73="","",IFERROR(IF(INDEX(MASTER!$F$4:$F$1463,$P73)="","",INDEX(MASTER!$F$4:$F$1463,$P73)),""))</f>
        <v>Control</v>
      </c>
      <c r="F73" s="16">
        <f>IF($P73="","",IFERROR(IF(INDEX(MASTER!$G$4:$G$1463,$P73)="","",INDEX(MASTER!$G$4:$G$1463,$P73)),""))</f>
        <v>62749</v>
      </c>
      <c r="G73" s="15" t="str">
        <f>IF($P73="","",IFERROR(IF(INDEX(MASTER!$H$4:$H$1463,$P73)="","",INDEX(MASTER!$H$4:$H$1463,$P73)),""))</f>
        <v>62,000 - 62,999</v>
      </c>
      <c r="H73" s="16">
        <f>IF($P73="","",IFERROR(IF(INDEX(MASTER!$I$4:$I$1463,$P73)="","",INDEX(MASTER!$I$4:$I$1463,$P73)),""))</f>
        <v>2710</v>
      </c>
      <c r="I73" s="15" t="str">
        <f>IF($P73="","",IFERROR(IF(INDEX(MASTER!$J$4:$J$1463,$P73)="","",INDEX(MASTER!$J$4:$J$1463,$P73)),""))</f>
        <v>DEVELOPING</v>
      </c>
      <c r="J73" s="17">
        <f>IF($P73="","",IFERROR(IF(INDEX(MASTER!$L$4:$L$1463,$P73)="","",INDEX(MASTER!$L$4:$L$1463,$P73)),""))</f>
        <v>5.2</v>
      </c>
      <c r="K73" s="17">
        <f>IF($P73="","",IFERROR(IF(INDEX(MASTER!$N$4:$N$1463,$P73)="","",INDEX(MASTER!$N$4:$N$1463,$P73)),""))</f>
        <v>40.9</v>
      </c>
      <c r="L73" s="15" t="str">
        <f>IF($P73="","",IFERROR(IF(INDEX(MASTER!$O$4:$O$1463,$P73)="","",INDEX(MASTER!$O$4:$O$1463,$P73)),""))</f>
        <v>B</v>
      </c>
      <c r="M73" s="15">
        <f>IF($P73="","",IFERROR(IF(INDEX(MASTER!$Q$4:$Q$1463,$P73)="","",INDEX(MASTER!$Q$4:$Q$1463,$P73)),""))</f>
        <v>30</v>
      </c>
      <c r="N73" s="15" t="str">
        <f>IF($P73="","",IFERROR(IF(INDEX(MASTER!$S$4:$S$1463,$P73)="","",INDEX(MASTER!$S$4:$S$1463,$P73)),""))</f>
        <v>Complete</v>
      </c>
      <c r="P73">
        <f>IFERROR(MATCH($Q$1&amp;"@65",MASTER!$AC$4:$AC$1463,0),"")</f>
        <v>968</v>
      </c>
    </row>
    <row r="74" spans="1:16">
      <c r="A74" s="19">
        <f>IF($P74="","",66)</f>
        <v>66</v>
      </c>
      <c r="B74" s="18" t="str">
        <f>IF($P74="","",IFERROR(IF(INDEX(MASTER!$C$4:$C$1463,$P74)="","",INDEX(MASTER!$C$4:$C$1463,$P74)),""))</f>
        <v>Rurilo</v>
      </c>
      <c r="C74" s="19" t="str">
        <f>IF($P74="","",IFERROR(IF(INDEX(MASTER!$D$4:$D$1463,$P74)="","",INDEX(MASTER!$D$4:$D$1463,$P74)),""))</f>
        <v/>
      </c>
      <c r="D74" s="19" t="str">
        <f>IF($P74="","",IFERROR(IF(INDEX(MASTER!$E$4:$E$1463,$P74)="","",INDEX(MASTER!$E$4:$E$1463,$P74)),""))</f>
        <v/>
      </c>
      <c r="E74" s="19" t="str">
        <f>IF($P74="","",IFERROR(IF(INDEX(MASTER!$F$4:$F$1463,$P74)="","",INDEX(MASTER!$F$4:$F$1463,$P74)),""))</f>
        <v>-</v>
      </c>
      <c r="F74" s="20" t="str">
        <f>IF($P74="","",IFERROR(IF(INDEX(MASTER!$G$4:$G$1463,$P74)="","",INDEX(MASTER!$G$4:$G$1463,$P74)),""))</f>
        <v/>
      </c>
      <c r="G74" s="19" t="str">
        <f>IF($P74="","",IFERROR(IF(INDEX(MASTER!$H$4:$H$1463,$P74)="","",INDEX(MASTER!$H$4:$H$1463,$P74)),""))</f>
        <v>-</v>
      </c>
      <c r="H74" s="20" t="str">
        <f>IF($P74="","",IFERROR(IF(INDEX(MASTER!$I$4:$I$1463,$P74)="","",INDEX(MASTER!$I$4:$I$1463,$P74)),""))</f>
        <v/>
      </c>
      <c r="I74" s="19" t="str">
        <f>IF($P74="","",IFERROR(IF(INDEX(MASTER!$J$4:$J$1463,$P74)="","",INDEX(MASTER!$J$4:$J$1463,$P74)),""))</f>
        <v>-</v>
      </c>
      <c r="J74" s="21" t="str">
        <f>IF($P74="","",IFERROR(IF(INDEX(MASTER!$L$4:$L$1463,$P74)="","",INDEX(MASTER!$L$4:$L$1463,$P74)),""))</f>
        <v/>
      </c>
      <c r="K74" s="21" t="str">
        <f>IF($P74="","",IFERROR(IF(INDEX(MASTER!$N$4:$N$1463,$P74)="","",INDEX(MASTER!$N$4:$N$1463,$P74)),""))</f>
        <v/>
      </c>
      <c r="L74" s="19" t="str">
        <f>IF($P74="","",IFERROR(IF(INDEX(MASTER!$O$4:$O$1463,$P74)="","",INDEX(MASTER!$O$4:$O$1463,$P74)),""))</f>
        <v>-</v>
      </c>
      <c r="M74" s="19">
        <f>IF($P74="","",IFERROR(IF(INDEX(MASTER!$Q$4:$Q$1463,$P74)="","",INDEX(MASTER!$Q$4:$Q$1463,$P74)),""))</f>
        <v>77</v>
      </c>
      <c r="N74" s="19" t="str">
        <f>IF($P74="","",IFERROR(IF(INDEX(MASTER!$S$4:$S$1463,$P74)="","",INDEX(MASTER!$S$4:$S$1463,$P74)),""))</f>
        <v>Name only</v>
      </c>
      <c r="P74">
        <f>IFERROR(MATCH($Q$1&amp;"@66",MASTER!$AC$4:$AC$1463,0),"")</f>
        <v>975</v>
      </c>
    </row>
    <row r="75" spans="1:16">
      <c r="A75" s="15">
        <f>IF($P75="","",67)</f>
        <v>67</v>
      </c>
      <c r="B75" s="14" t="str">
        <f>IF($P75="","",IFERROR(IF(INDEX(MASTER!$C$4:$C$1463,$P75)="","",INDEX(MASTER!$C$4:$C$1463,$P75)),""))</f>
        <v>Sand</v>
      </c>
      <c r="C75" s="15" t="str">
        <f>IF($P75="","",IFERROR(IF(INDEX(MASTER!$D$4:$D$1463,$P75)="","",INDEX(MASTER!$D$4:$D$1463,$P75)),""))</f>
        <v/>
      </c>
      <c r="D75" s="15" t="str">
        <f>IF($P75="","",IFERROR(IF(INDEX(MASTER!$E$4:$E$1463,$P75)="","",INDEX(MASTER!$E$4:$E$1463,$P75)),""))</f>
        <v>BARBARIAN</v>
      </c>
      <c r="E75" s="15" t="str">
        <f>IF($P75="","",IFERROR(IF(INDEX(MASTER!$F$4:$F$1463,$P75)="","",INDEX(MASTER!$F$4:$F$1463,$P75)),""))</f>
        <v>Frontline</v>
      </c>
      <c r="F75" s="16">
        <f>IF($P75="","",IFERROR(IF(INDEX(MASTER!$G$4:$G$1463,$P75)="","",INDEX(MASTER!$G$4:$G$1463,$P75)),""))</f>
        <v>62196</v>
      </c>
      <c r="G75" s="15" t="str">
        <f>IF($P75="","",IFERROR(IF(INDEX(MASTER!$H$4:$H$1463,$P75)="","",INDEX(MASTER!$H$4:$H$1463,$P75)),""))</f>
        <v>62,000 - 62,999</v>
      </c>
      <c r="H75" s="16">
        <f>IF($P75="","",IFERROR(IF(INDEX(MASTER!$I$4:$I$1463,$P75)="","",INDEX(MASTER!$I$4:$I$1463,$P75)),""))</f>
        <v>2876</v>
      </c>
      <c r="I75" s="15" t="str">
        <f>IF($P75="","",IFERROR(IF(INDEX(MASTER!$J$4:$J$1463,$P75)="","",INDEX(MASTER!$J$4:$J$1463,$P75)),""))</f>
        <v>DEVELOPING</v>
      </c>
      <c r="J75" s="17">
        <f>IF($P75="","",IFERROR(IF(INDEX(MASTER!$L$4:$L$1463,$P75)="","",INDEX(MASTER!$L$4:$L$1463,$P75)),""))</f>
        <v>4.5</v>
      </c>
      <c r="K75" s="17">
        <f>IF($P75="","",IFERROR(IF(INDEX(MASTER!$N$4:$N$1463,$P75)="","",INDEX(MASTER!$N$4:$N$1463,$P75)),""))</f>
        <v>39</v>
      </c>
      <c r="L75" s="15" t="str">
        <f>IF($P75="","",IFERROR(IF(INDEX(MASTER!$O$4:$O$1463,$P75)="","",INDEX(MASTER!$O$4:$O$1463,$P75)),""))</f>
        <v>B</v>
      </c>
      <c r="M75" s="15">
        <f>IF($P75="","",IFERROR(IF(INDEX(MASTER!$Q$4:$Q$1463,$P75)="","",INDEX(MASTER!$Q$4:$Q$1463,$P75)),""))</f>
        <v>26</v>
      </c>
      <c r="N75" s="15" t="str">
        <f>IF($P75="","",IFERROR(IF(INDEX(MASTER!$S$4:$S$1463,$P75)="","",INDEX(MASTER!$S$4:$S$1463,$P75)),""))</f>
        <v>Complete</v>
      </c>
      <c r="P75">
        <f>IFERROR(MATCH($Q$1&amp;"@67",MASTER!$AC$4:$AC$1463,0),"")</f>
        <v>985</v>
      </c>
    </row>
    <row r="76" spans="1:16">
      <c r="A76" s="19">
        <f>IF($P76="","",68)</f>
        <v>68</v>
      </c>
      <c r="B76" s="18" t="str">
        <f>IF($P76="","",IFERROR(IF(INDEX(MASTER!$C$4:$C$1463,$P76)="","",INDEX(MASTER!$C$4:$C$1463,$P76)),""))</f>
        <v>Scrotonicus</v>
      </c>
      <c r="C76" s="19" t="str">
        <f>IF($P76="","",IFERROR(IF(INDEX(MASTER!$D$4:$D$1463,$P76)="","",INDEX(MASTER!$D$4:$D$1463,$P76)),""))</f>
        <v/>
      </c>
      <c r="D76" s="19" t="str">
        <f>IF($P76="","",IFERROR(IF(INDEX(MASTER!$E$4:$E$1463,$P76)="","",INDEX(MASTER!$E$4:$E$1463,$P76)),""))</f>
        <v/>
      </c>
      <c r="E76" s="19" t="str">
        <f>IF($P76="","",IFERROR(IF(INDEX(MASTER!$F$4:$F$1463,$P76)="","",INDEX(MASTER!$F$4:$F$1463,$P76)),""))</f>
        <v>-</v>
      </c>
      <c r="F76" s="20" t="str">
        <f>IF($P76="","",IFERROR(IF(INDEX(MASTER!$G$4:$G$1463,$P76)="","",INDEX(MASTER!$G$4:$G$1463,$P76)),""))</f>
        <v/>
      </c>
      <c r="G76" s="19" t="str">
        <f>IF($P76="","",IFERROR(IF(INDEX(MASTER!$H$4:$H$1463,$P76)="","",INDEX(MASTER!$H$4:$H$1463,$P76)),""))</f>
        <v>-</v>
      </c>
      <c r="H76" s="20" t="str">
        <f>IF($P76="","",IFERROR(IF(INDEX(MASTER!$I$4:$I$1463,$P76)="","",INDEX(MASTER!$I$4:$I$1463,$P76)),""))</f>
        <v/>
      </c>
      <c r="I76" s="19" t="str">
        <f>IF($P76="","",IFERROR(IF(INDEX(MASTER!$J$4:$J$1463,$P76)="","",INDEX(MASTER!$J$4:$J$1463,$P76)),""))</f>
        <v>-</v>
      </c>
      <c r="J76" s="21" t="str">
        <f>IF($P76="","",IFERROR(IF(INDEX(MASTER!$L$4:$L$1463,$P76)="","",INDEX(MASTER!$L$4:$L$1463,$P76)),""))</f>
        <v/>
      </c>
      <c r="K76" s="21" t="str">
        <f>IF($P76="","",IFERROR(IF(INDEX(MASTER!$N$4:$N$1463,$P76)="","",INDEX(MASTER!$N$4:$N$1463,$P76)),""))</f>
        <v/>
      </c>
      <c r="L76" s="19" t="str">
        <f>IF($P76="","",IFERROR(IF(INDEX(MASTER!$O$4:$O$1463,$P76)="","",INDEX(MASTER!$O$4:$O$1463,$P76)),""))</f>
        <v>-</v>
      </c>
      <c r="M76" s="19">
        <f>IF($P76="","",IFERROR(IF(INDEX(MASTER!$Q$4:$Q$1463,$P76)="","",INDEX(MASTER!$Q$4:$Q$1463,$P76)),""))</f>
        <v>78</v>
      </c>
      <c r="N76" s="19" t="str">
        <f>IF($P76="","",IFERROR(IF(INDEX(MASTER!$S$4:$S$1463,$P76)="","",INDEX(MASTER!$S$4:$S$1463,$P76)),""))</f>
        <v>Name only</v>
      </c>
      <c r="P76">
        <f>IFERROR(MATCH($Q$1&amp;"@68",MASTER!$AC$4:$AC$1463,0),"")</f>
        <v>989</v>
      </c>
    </row>
    <row r="77" spans="1:16">
      <c r="A77" s="15">
        <f>IF($P77="","",69)</f>
        <v>69</v>
      </c>
      <c r="B77" s="14" t="str">
        <f>IF($P77="","",IFERROR(IF(INDEX(MASTER!$C$4:$C$1463,$P77)="","",INDEX(MASTER!$C$4:$C$1463,$P77)),""))</f>
        <v>ShadowTemplar</v>
      </c>
      <c r="C77" s="15" t="str">
        <f>IF($P77="","",IFERROR(IF(INDEX(MASTER!$D$4:$D$1463,$P77)="","",INDEX(MASTER!$D$4:$D$1463,$P77)),""))</f>
        <v/>
      </c>
      <c r="D77" s="15" t="str">
        <f>IF($P77="","",IFERROR(IF(INDEX(MASTER!$E$4:$E$1463,$P77)="","",INDEX(MASTER!$E$4:$E$1463,$P77)),""))</f>
        <v/>
      </c>
      <c r="E77" s="15" t="str">
        <f>IF($P77="","",IFERROR(IF(INDEX(MASTER!$F$4:$F$1463,$P77)="","",INDEX(MASTER!$F$4:$F$1463,$P77)),""))</f>
        <v>-</v>
      </c>
      <c r="F77" s="16" t="str">
        <f>IF($P77="","",IFERROR(IF(INDEX(MASTER!$G$4:$G$1463,$P77)="","",INDEX(MASTER!$G$4:$G$1463,$P77)),""))</f>
        <v/>
      </c>
      <c r="G77" s="15" t="str">
        <f>IF($P77="","",IFERROR(IF(INDEX(MASTER!$H$4:$H$1463,$P77)="","",INDEX(MASTER!$H$4:$H$1463,$P77)),""))</f>
        <v>-</v>
      </c>
      <c r="H77" s="16" t="str">
        <f>IF($P77="","",IFERROR(IF(INDEX(MASTER!$I$4:$I$1463,$P77)="","",INDEX(MASTER!$I$4:$I$1463,$P77)),""))</f>
        <v/>
      </c>
      <c r="I77" s="15" t="str">
        <f>IF($P77="","",IFERROR(IF(INDEX(MASTER!$J$4:$J$1463,$P77)="","",INDEX(MASTER!$J$4:$J$1463,$P77)),""))</f>
        <v>-</v>
      </c>
      <c r="J77" s="17" t="str">
        <f>IF($P77="","",IFERROR(IF(INDEX(MASTER!$L$4:$L$1463,$P77)="","",INDEX(MASTER!$L$4:$L$1463,$P77)),""))</f>
        <v/>
      </c>
      <c r="K77" s="17" t="str">
        <f>IF($P77="","",IFERROR(IF(INDEX(MASTER!$N$4:$N$1463,$P77)="","",INDEX(MASTER!$N$4:$N$1463,$P77)),""))</f>
        <v/>
      </c>
      <c r="L77" s="15" t="str">
        <f>IF($P77="","",IFERROR(IF(INDEX(MASTER!$O$4:$O$1463,$P77)="","",INDEX(MASTER!$O$4:$O$1463,$P77)),""))</f>
        <v>-</v>
      </c>
      <c r="M77" s="15">
        <f>IF($P77="","",IFERROR(IF(INDEX(MASTER!$Q$4:$Q$1463,$P77)="","",INDEX(MASTER!$Q$4:$Q$1463,$P77)),""))</f>
        <v>79</v>
      </c>
      <c r="N77" s="15" t="str">
        <f>IF($P77="","",IFERROR(IF(INDEX(MASTER!$S$4:$S$1463,$P77)="","",INDEX(MASTER!$S$4:$S$1463,$P77)),""))</f>
        <v>Name only</v>
      </c>
      <c r="P77">
        <f>IFERROR(MATCH($Q$1&amp;"@69",MASTER!$AC$4:$AC$1463,0),"")</f>
        <v>1002</v>
      </c>
    </row>
    <row r="78" spans="1:16">
      <c r="A78" s="19">
        <f>IF($P78="","",70)</f>
        <v>70</v>
      </c>
      <c r="B78" s="18" t="str">
        <f>IF($P78="","",IFERROR(IF(INDEX(MASTER!$C$4:$C$1463,$P78)="","",INDEX(MASTER!$C$4:$C$1463,$P78)),""))</f>
        <v>Slow320</v>
      </c>
      <c r="C78" s="19" t="str">
        <f>IF($P78="","",IFERROR(IF(INDEX(MASTER!$D$4:$D$1463,$P78)="","",INDEX(MASTER!$D$4:$D$1463,$P78)),""))</f>
        <v/>
      </c>
      <c r="D78" s="19" t="str">
        <f>IF($P78="","",IFERROR(IF(INDEX(MASTER!$E$4:$E$1463,$P78)="","",INDEX(MASTER!$E$4:$E$1463,$P78)),""))</f>
        <v/>
      </c>
      <c r="E78" s="19" t="str">
        <f>IF($P78="","",IFERROR(IF(INDEX(MASTER!$F$4:$F$1463,$P78)="","",INDEX(MASTER!$F$4:$F$1463,$P78)),""))</f>
        <v>-</v>
      </c>
      <c r="F78" s="20" t="str">
        <f>IF($P78="","",IFERROR(IF(INDEX(MASTER!$G$4:$G$1463,$P78)="","",INDEX(MASTER!$G$4:$G$1463,$P78)),""))</f>
        <v/>
      </c>
      <c r="G78" s="19" t="str">
        <f>IF($P78="","",IFERROR(IF(INDEX(MASTER!$H$4:$H$1463,$P78)="","",INDEX(MASTER!$H$4:$H$1463,$P78)),""))</f>
        <v>-</v>
      </c>
      <c r="H78" s="20" t="str">
        <f>IF($P78="","",IFERROR(IF(INDEX(MASTER!$I$4:$I$1463,$P78)="","",INDEX(MASTER!$I$4:$I$1463,$P78)),""))</f>
        <v/>
      </c>
      <c r="I78" s="19" t="str">
        <f>IF($P78="","",IFERROR(IF(INDEX(MASTER!$J$4:$J$1463,$P78)="","",INDEX(MASTER!$J$4:$J$1463,$P78)),""))</f>
        <v>-</v>
      </c>
      <c r="J78" s="21" t="str">
        <f>IF($P78="","",IFERROR(IF(INDEX(MASTER!$L$4:$L$1463,$P78)="","",INDEX(MASTER!$L$4:$L$1463,$P78)),""))</f>
        <v/>
      </c>
      <c r="K78" s="21" t="str">
        <f>IF($P78="","",IFERROR(IF(INDEX(MASTER!$N$4:$N$1463,$P78)="","",INDEX(MASTER!$N$4:$N$1463,$P78)),""))</f>
        <v/>
      </c>
      <c r="L78" s="19" t="str">
        <f>IF($P78="","",IFERROR(IF(INDEX(MASTER!$O$4:$O$1463,$P78)="","",INDEX(MASTER!$O$4:$O$1463,$P78)),""))</f>
        <v>-</v>
      </c>
      <c r="M78" s="19">
        <f>IF($P78="","",IFERROR(IF(INDEX(MASTER!$Q$4:$Q$1463,$P78)="","",INDEX(MASTER!$Q$4:$Q$1463,$P78)),""))</f>
        <v>80</v>
      </c>
      <c r="N78" s="19" t="str">
        <f>IF($P78="","",IFERROR(IF(INDEX(MASTER!$S$4:$S$1463,$P78)="","",INDEX(MASTER!$S$4:$S$1463,$P78)),""))</f>
        <v>Name only</v>
      </c>
      <c r="P78">
        <f>IFERROR(MATCH($Q$1&amp;"@70",MASTER!$AC$4:$AC$1463,0),"")</f>
        <v>1042</v>
      </c>
    </row>
    <row r="79" spans="1:16">
      <c r="A79" s="15">
        <f>IF($P79="","",71)</f>
        <v>71</v>
      </c>
      <c r="B79" s="14" t="str">
        <f>IF($P79="","",IFERROR(IF(INDEX(MASTER!$C$4:$C$1463,$P79)="","",INDEX(MASTER!$C$4:$C$1463,$P79)),""))</f>
        <v>snacksalot</v>
      </c>
      <c r="C79" s="15" t="str">
        <f>IF($P79="","",IFERROR(IF(INDEX(MASTER!$D$4:$D$1463,$P79)="","",INDEX(MASTER!$D$4:$D$1463,$P79)),""))</f>
        <v/>
      </c>
      <c r="D79" s="15" t="str">
        <f>IF($P79="","",IFERROR(IF(INDEX(MASTER!$E$4:$E$1463,$P79)="","",INDEX(MASTER!$E$4:$E$1463,$P79)),""))</f>
        <v/>
      </c>
      <c r="E79" s="15" t="str">
        <f>IF($P79="","",IFERROR(IF(INDEX(MASTER!$F$4:$F$1463,$P79)="","",INDEX(MASTER!$F$4:$F$1463,$P79)),""))</f>
        <v>-</v>
      </c>
      <c r="F79" s="16" t="str">
        <f>IF($P79="","",IFERROR(IF(INDEX(MASTER!$G$4:$G$1463,$P79)="","",INDEX(MASTER!$G$4:$G$1463,$P79)),""))</f>
        <v/>
      </c>
      <c r="G79" s="15" t="str">
        <f>IF($P79="","",IFERROR(IF(INDEX(MASTER!$H$4:$H$1463,$P79)="","",INDEX(MASTER!$H$4:$H$1463,$P79)),""))</f>
        <v>-</v>
      </c>
      <c r="H79" s="16" t="str">
        <f>IF($P79="","",IFERROR(IF(INDEX(MASTER!$I$4:$I$1463,$P79)="","",INDEX(MASTER!$I$4:$I$1463,$P79)),""))</f>
        <v/>
      </c>
      <c r="I79" s="15" t="str">
        <f>IF($P79="","",IFERROR(IF(INDEX(MASTER!$J$4:$J$1463,$P79)="","",INDEX(MASTER!$J$4:$J$1463,$P79)),""))</f>
        <v>-</v>
      </c>
      <c r="J79" s="17" t="str">
        <f>IF($P79="","",IFERROR(IF(INDEX(MASTER!$L$4:$L$1463,$P79)="","",INDEX(MASTER!$L$4:$L$1463,$P79)),""))</f>
        <v/>
      </c>
      <c r="K79" s="17" t="str">
        <f>IF($P79="","",IFERROR(IF(INDEX(MASTER!$N$4:$N$1463,$P79)="","",INDEX(MASTER!$N$4:$N$1463,$P79)),""))</f>
        <v/>
      </c>
      <c r="L79" s="15" t="str">
        <f>IF($P79="","",IFERROR(IF(INDEX(MASTER!$O$4:$O$1463,$P79)="","",INDEX(MASTER!$O$4:$O$1463,$P79)),""))</f>
        <v>-</v>
      </c>
      <c r="M79" s="15">
        <f>IF($P79="","",IFERROR(IF(INDEX(MASTER!$Q$4:$Q$1463,$P79)="","",INDEX(MASTER!$Q$4:$Q$1463,$P79)),""))</f>
        <v>81</v>
      </c>
      <c r="N79" s="15" t="str">
        <f>IF($P79="","",IFERROR(IF(INDEX(MASTER!$S$4:$S$1463,$P79)="","",INDEX(MASTER!$S$4:$S$1463,$P79)),""))</f>
        <v>Name only</v>
      </c>
      <c r="P79">
        <f>IFERROR(MATCH($Q$1&amp;"@71",MASTER!$AC$4:$AC$1463,0),"")</f>
        <v>1049</v>
      </c>
    </row>
    <row r="80" spans="1:16">
      <c r="A80" s="19">
        <f>IF($P80="","",72)</f>
        <v>72</v>
      </c>
      <c r="B80" s="18" t="str">
        <f>IF($P80="","",IFERROR(IF(INDEX(MASTER!$C$4:$C$1463,$P80)="","",INDEX(MASTER!$C$4:$C$1463,$P80)),""))</f>
        <v>SomSerious</v>
      </c>
      <c r="C80" s="19" t="str">
        <f>IF($P80="","",IFERROR(IF(INDEX(MASTER!$D$4:$D$1463,$P80)="","",INDEX(MASTER!$D$4:$D$1463,$P80)),""))</f>
        <v/>
      </c>
      <c r="D80" s="19" t="str">
        <f>IF($P80="","",IFERROR(IF(INDEX(MASTER!$E$4:$E$1463,$P80)="","",INDEX(MASTER!$E$4:$E$1463,$P80)),""))</f>
        <v/>
      </c>
      <c r="E80" s="19" t="str">
        <f>IF($P80="","",IFERROR(IF(INDEX(MASTER!$F$4:$F$1463,$P80)="","",INDEX(MASTER!$F$4:$F$1463,$P80)),""))</f>
        <v>-</v>
      </c>
      <c r="F80" s="20" t="str">
        <f>IF($P80="","",IFERROR(IF(INDEX(MASTER!$G$4:$G$1463,$P80)="","",INDEX(MASTER!$G$4:$G$1463,$P80)),""))</f>
        <v/>
      </c>
      <c r="G80" s="19" t="str">
        <f>IF($P80="","",IFERROR(IF(INDEX(MASTER!$H$4:$H$1463,$P80)="","",INDEX(MASTER!$H$4:$H$1463,$P80)),""))</f>
        <v>-</v>
      </c>
      <c r="H80" s="20" t="str">
        <f>IF($P80="","",IFERROR(IF(INDEX(MASTER!$I$4:$I$1463,$P80)="","",INDEX(MASTER!$I$4:$I$1463,$P80)),""))</f>
        <v/>
      </c>
      <c r="I80" s="19" t="str">
        <f>IF($P80="","",IFERROR(IF(INDEX(MASTER!$J$4:$J$1463,$P80)="","",INDEX(MASTER!$J$4:$J$1463,$P80)),""))</f>
        <v>-</v>
      </c>
      <c r="J80" s="21" t="str">
        <f>IF($P80="","",IFERROR(IF(INDEX(MASTER!$L$4:$L$1463,$P80)="","",INDEX(MASTER!$L$4:$L$1463,$P80)),""))</f>
        <v/>
      </c>
      <c r="K80" s="21" t="str">
        <f>IF($P80="","",IFERROR(IF(INDEX(MASTER!$N$4:$N$1463,$P80)="","",INDEX(MASTER!$N$4:$N$1463,$P80)),""))</f>
        <v/>
      </c>
      <c r="L80" s="19" t="str">
        <f>IF($P80="","",IFERROR(IF(INDEX(MASTER!$O$4:$O$1463,$P80)="","",INDEX(MASTER!$O$4:$O$1463,$P80)),""))</f>
        <v>-</v>
      </c>
      <c r="M80" s="19">
        <f>IF($P80="","",IFERROR(IF(INDEX(MASTER!$Q$4:$Q$1463,$P80)="","",INDEX(MASTER!$Q$4:$Q$1463,$P80)),""))</f>
        <v>82</v>
      </c>
      <c r="N80" s="19" t="str">
        <f>IF($P80="","",IFERROR(IF(INDEX(MASTER!$S$4:$S$1463,$P80)="","",INDEX(MASTER!$S$4:$S$1463,$P80)),""))</f>
        <v>Name only</v>
      </c>
      <c r="P80">
        <f>IFERROR(MATCH($Q$1&amp;"@72",MASTER!$AC$4:$AC$1463,0),"")</f>
        <v>1054</v>
      </c>
    </row>
    <row r="81" spans="1:16">
      <c r="A81" s="15">
        <f>IF($P81="","",73)</f>
        <v>73</v>
      </c>
      <c r="B81" s="14" t="str">
        <f>IF($P81="","",IFERROR(IF(INDEX(MASTER!$C$4:$C$1463,$P81)="","",INDEX(MASTER!$C$4:$C$1463,$P81)),""))</f>
        <v>SoulzReaver</v>
      </c>
      <c r="C81" s="15" t="str">
        <f>IF($P81="","",IFERROR(IF(INDEX(MASTER!$D$4:$D$1463,$P81)="","",INDEX(MASTER!$D$4:$D$1463,$P81)),""))</f>
        <v/>
      </c>
      <c r="D81" s="15" t="str">
        <f>IF($P81="","",IFERROR(IF(INDEX(MASTER!$E$4:$E$1463,$P81)="","",INDEX(MASTER!$E$4:$E$1463,$P81)),""))</f>
        <v/>
      </c>
      <c r="E81" s="15" t="str">
        <f>IF($P81="","",IFERROR(IF(INDEX(MASTER!$F$4:$F$1463,$P81)="","",INDEX(MASTER!$F$4:$F$1463,$P81)),""))</f>
        <v>-</v>
      </c>
      <c r="F81" s="16" t="str">
        <f>IF($P81="","",IFERROR(IF(INDEX(MASTER!$G$4:$G$1463,$P81)="","",INDEX(MASTER!$G$4:$G$1463,$P81)),""))</f>
        <v/>
      </c>
      <c r="G81" s="15" t="str">
        <f>IF($P81="","",IFERROR(IF(INDEX(MASTER!$H$4:$H$1463,$P81)="","",INDEX(MASTER!$H$4:$H$1463,$P81)),""))</f>
        <v>-</v>
      </c>
      <c r="H81" s="16" t="str">
        <f>IF($P81="","",IFERROR(IF(INDEX(MASTER!$I$4:$I$1463,$P81)="","",INDEX(MASTER!$I$4:$I$1463,$P81)),""))</f>
        <v/>
      </c>
      <c r="I81" s="15" t="str">
        <f>IF($P81="","",IFERROR(IF(INDEX(MASTER!$J$4:$J$1463,$P81)="","",INDEX(MASTER!$J$4:$J$1463,$P81)),""))</f>
        <v>-</v>
      </c>
      <c r="J81" s="17" t="str">
        <f>IF($P81="","",IFERROR(IF(INDEX(MASTER!$L$4:$L$1463,$P81)="","",INDEX(MASTER!$L$4:$L$1463,$P81)),""))</f>
        <v/>
      </c>
      <c r="K81" s="17" t="str">
        <f>IF($P81="","",IFERROR(IF(INDEX(MASTER!$N$4:$N$1463,$P81)="","",INDEX(MASTER!$N$4:$N$1463,$P81)),""))</f>
        <v/>
      </c>
      <c r="L81" s="15" t="str">
        <f>IF($P81="","",IFERROR(IF(INDEX(MASTER!$O$4:$O$1463,$P81)="","",INDEX(MASTER!$O$4:$O$1463,$P81)),""))</f>
        <v>-</v>
      </c>
      <c r="M81" s="15">
        <f>IF($P81="","",IFERROR(IF(INDEX(MASTER!$Q$4:$Q$1463,$P81)="","",INDEX(MASTER!$Q$4:$Q$1463,$P81)),""))</f>
        <v>83</v>
      </c>
      <c r="N81" s="15" t="str">
        <f>IF($P81="","",IFERROR(IF(INDEX(MASTER!$S$4:$S$1463,$P81)="","",INDEX(MASTER!$S$4:$S$1463,$P81)),""))</f>
        <v>Name only</v>
      </c>
      <c r="P81">
        <f>IFERROR(MATCH($Q$1&amp;"@73",MASTER!$AC$4:$AC$1463,0),"")</f>
        <v>1058</v>
      </c>
    </row>
    <row r="82" spans="1:16">
      <c r="A82" s="19">
        <f>IF($P82="","",74)</f>
        <v>74</v>
      </c>
      <c r="B82" s="18" t="str">
        <f>IF($P82="","",IFERROR(IF(INDEX(MASTER!$C$4:$C$1463,$P82)="","",INDEX(MASTER!$C$4:$C$1463,$P82)),""))</f>
        <v>Spewky</v>
      </c>
      <c r="C82" s="19" t="str">
        <f>IF($P82="","",IFERROR(IF(INDEX(MASTER!$D$4:$D$1463,$P82)="","",INDEX(MASTER!$D$4:$D$1463,$P82)),""))</f>
        <v/>
      </c>
      <c r="D82" s="19" t="str">
        <f>IF($P82="","",IFERROR(IF(INDEX(MASTER!$E$4:$E$1463,$P82)="","",INDEX(MASTER!$E$4:$E$1463,$P82)),""))</f>
        <v/>
      </c>
      <c r="E82" s="19" t="str">
        <f>IF($P82="","",IFERROR(IF(INDEX(MASTER!$F$4:$F$1463,$P82)="","",INDEX(MASTER!$F$4:$F$1463,$P82)),""))</f>
        <v>-</v>
      </c>
      <c r="F82" s="20" t="str">
        <f>IF($P82="","",IFERROR(IF(INDEX(MASTER!$G$4:$G$1463,$P82)="","",INDEX(MASTER!$G$4:$G$1463,$P82)),""))</f>
        <v/>
      </c>
      <c r="G82" s="19" t="str">
        <f>IF($P82="","",IFERROR(IF(INDEX(MASTER!$H$4:$H$1463,$P82)="","",INDEX(MASTER!$H$4:$H$1463,$P82)),""))</f>
        <v>-</v>
      </c>
      <c r="H82" s="20" t="str">
        <f>IF($P82="","",IFERROR(IF(INDEX(MASTER!$I$4:$I$1463,$P82)="","",INDEX(MASTER!$I$4:$I$1463,$P82)),""))</f>
        <v/>
      </c>
      <c r="I82" s="19" t="str">
        <f>IF($P82="","",IFERROR(IF(INDEX(MASTER!$J$4:$J$1463,$P82)="","",INDEX(MASTER!$J$4:$J$1463,$P82)),""))</f>
        <v>-</v>
      </c>
      <c r="J82" s="21" t="str">
        <f>IF($P82="","",IFERROR(IF(INDEX(MASTER!$L$4:$L$1463,$P82)="","",INDEX(MASTER!$L$4:$L$1463,$P82)),""))</f>
        <v/>
      </c>
      <c r="K82" s="21" t="str">
        <f>IF($P82="","",IFERROR(IF(INDEX(MASTER!$N$4:$N$1463,$P82)="","",INDEX(MASTER!$N$4:$N$1463,$P82)),""))</f>
        <v/>
      </c>
      <c r="L82" s="19" t="str">
        <f>IF($P82="","",IFERROR(IF(INDEX(MASTER!$O$4:$O$1463,$P82)="","",INDEX(MASTER!$O$4:$O$1463,$P82)),""))</f>
        <v>-</v>
      </c>
      <c r="M82" s="19">
        <f>IF($P82="","",IFERROR(IF(INDEX(MASTER!$Q$4:$Q$1463,$P82)="","",INDEX(MASTER!$Q$4:$Q$1463,$P82)),""))</f>
        <v>84</v>
      </c>
      <c r="N82" s="19" t="str">
        <f>IF($P82="","",IFERROR(IF(INDEX(MASTER!$S$4:$S$1463,$P82)="","",INDEX(MASTER!$S$4:$S$1463,$P82)),""))</f>
        <v>Name only</v>
      </c>
      <c r="P82">
        <f>IFERROR(MATCH($Q$1&amp;"@74",MASTER!$AC$4:$AC$1463,0),"")</f>
        <v>1064</v>
      </c>
    </row>
    <row r="83" spans="1:16">
      <c r="A83" s="15">
        <f>IF($P83="","",75)</f>
        <v>75</v>
      </c>
      <c r="B83" s="14" t="str">
        <f>IF($P83="","",IFERROR(IF(INDEX(MASTER!$C$4:$C$1463,$P83)="","",INDEX(MASTER!$C$4:$C$1463,$P83)),""))</f>
        <v>Spoofnug</v>
      </c>
      <c r="C83" s="15" t="str">
        <f>IF($P83="","",IFERROR(IF(INDEX(MASTER!$D$4:$D$1463,$P83)="","",INDEX(MASTER!$D$4:$D$1463,$P83)),""))</f>
        <v/>
      </c>
      <c r="D83" s="15" t="str">
        <f>IF($P83="","",IFERROR(IF(INDEX(MASTER!$E$4:$E$1463,$P83)="","",INDEX(MASTER!$E$4:$E$1463,$P83)),""))</f>
        <v>NECROMANCER</v>
      </c>
      <c r="E83" s="15" t="str">
        <f>IF($P83="","",IFERROR(IF(INDEX(MASTER!$F$4:$F$1463,$P83)="","",INDEX(MASTER!$F$4:$F$1463,$P83)),""))</f>
        <v>Control</v>
      </c>
      <c r="F83" s="16">
        <f>IF($P83="","",IFERROR(IF(INDEX(MASTER!$G$4:$G$1463,$P83)="","",INDEX(MASTER!$G$4:$G$1463,$P83)),""))</f>
        <v>62859</v>
      </c>
      <c r="G83" s="15" t="str">
        <f>IF($P83="","",IFERROR(IF(INDEX(MASTER!$H$4:$H$1463,$P83)="","",INDEX(MASTER!$H$4:$H$1463,$P83)),""))</f>
        <v>62,000 - 62,999</v>
      </c>
      <c r="H83" s="16">
        <f>IF($P83="","",IFERROR(IF(INDEX(MASTER!$I$4:$I$1463,$P83)="","",INDEX(MASTER!$I$4:$I$1463,$P83)),""))</f>
        <v>2192</v>
      </c>
      <c r="I83" s="15" t="str">
        <f>IF($P83="","",IFERROR(IF(INDEX(MASTER!$J$4:$J$1463,$P83)="","",INDEX(MASTER!$J$4:$J$1463,$P83)),""))</f>
        <v>DEVELOPING</v>
      </c>
      <c r="J83" s="17">
        <f>IF($P83="","",IFERROR(IF(INDEX(MASTER!$L$4:$L$1463,$P83)="","",INDEX(MASTER!$L$4:$L$1463,$P83)),""))</f>
        <v>3.8</v>
      </c>
      <c r="K83" s="17">
        <f>IF($P83="","",IFERROR(IF(INDEX(MASTER!$N$4:$N$1463,$P83)="","",INDEX(MASTER!$N$4:$N$1463,$P83)),""))</f>
        <v>36.6</v>
      </c>
      <c r="L83" s="15" t="str">
        <f>IF($P83="","",IFERROR(IF(INDEX(MASTER!$O$4:$O$1463,$P83)="","",INDEX(MASTER!$O$4:$O$1463,$P83)),""))</f>
        <v>B</v>
      </c>
      <c r="M83" s="15">
        <f>IF($P83="","",IFERROR(IF(INDEX(MASTER!$Q$4:$Q$1463,$P83)="","",INDEX(MASTER!$Q$4:$Q$1463,$P83)),""))</f>
        <v>40</v>
      </c>
      <c r="N83" s="15" t="str">
        <f>IF($P83="","",IFERROR(IF(INDEX(MASTER!$S$4:$S$1463,$P83)="","",INDEX(MASTER!$S$4:$S$1463,$P83)),""))</f>
        <v>Complete</v>
      </c>
      <c r="P83">
        <f>IFERROR(MATCH($Q$1&amp;"@75",MASTER!$AC$4:$AC$1463,0),"")</f>
        <v>1066</v>
      </c>
    </row>
    <row r="84" spans="1:16">
      <c r="A84" s="19">
        <f>IF($P84="","",76)</f>
        <v>76</v>
      </c>
      <c r="B84" s="18" t="str">
        <f>IF($P84="","",IFERROR(IF(INDEX(MASTER!$C$4:$C$1463,$P84)="","",INDEX(MASTER!$C$4:$C$1463,$P84)),""))</f>
        <v>SsjGaara</v>
      </c>
      <c r="C84" s="19" t="str">
        <f>IF($P84="","",IFERROR(IF(INDEX(MASTER!$D$4:$D$1463,$P84)="","",INDEX(MASTER!$D$4:$D$1463,$P84)),""))</f>
        <v/>
      </c>
      <c r="D84" s="19" t="str">
        <f>IF($P84="","",IFERROR(IF(INDEX(MASTER!$E$4:$E$1463,$P84)="","",INDEX(MASTER!$E$4:$E$1463,$P84)),""))</f>
        <v>DRUID</v>
      </c>
      <c r="E84" s="19" t="str">
        <f>IF($P84="","",IFERROR(IF(INDEX(MASTER!$F$4:$F$1463,$P84)="","",INDEX(MASTER!$F$4:$F$1463,$P84)),""))</f>
        <v>Support</v>
      </c>
      <c r="F84" s="20">
        <f>IF($P84="","",IFERROR(IF(INDEX(MASTER!$G$4:$G$1463,$P84)="","",INDEX(MASTER!$G$4:$G$1463,$P84)),""))</f>
        <v>61240</v>
      </c>
      <c r="G84" s="19" t="str">
        <f>IF($P84="","",IFERROR(IF(INDEX(MASTER!$H$4:$H$1463,$P84)="","",INDEX(MASTER!$H$4:$H$1463,$P84)),""))</f>
        <v>61,000 - 61,999</v>
      </c>
      <c r="H84" s="20">
        <f>IF($P84="","",IFERROR(IF(INDEX(MASTER!$I$4:$I$1463,$P84)="","",INDEX(MASTER!$I$4:$I$1463,$P84)),""))</f>
        <v>1010</v>
      </c>
      <c r="I84" s="19" t="str">
        <f>IF($P84="","",IFERROR(IF(INDEX(MASTER!$J$4:$J$1463,$P84)="","",INDEX(MASTER!$J$4:$J$1463,$P84)),""))</f>
        <v>ROOKIE</v>
      </c>
      <c r="J84" s="21">
        <f>IF($P84="","",IFERROR(IF(INDEX(MASTER!$L$4:$L$1463,$P84)="","",INDEX(MASTER!$L$4:$L$1463,$P84)),""))</f>
        <v>2.8</v>
      </c>
      <c r="K84" s="21">
        <f>IF($P84="","",IFERROR(IF(INDEX(MASTER!$N$4:$N$1463,$P84)="","",INDEX(MASTER!$N$4:$N$1463,$P84)),""))</f>
        <v>25.5</v>
      </c>
      <c r="L84" s="19" t="str">
        <f>IF($P84="","",IFERROR(IF(INDEX(MASTER!$O$4:$O$1463,$P84)="","",INDEX(MASTER!$O$4:$O$1463,$P84)),""))</f>
        <v>C</v>
      </c>
      <c r="M84" s="19">
        <f>IF($P84="","",IFERROR(IF(INDEX(MASTER!$Q$4:$Q$1463,$P84)="","",INDEX(MASTER!$Q$4:$Q$1463,$P84)),""))</f>
        <v>62</v>
      </c>
      <c r="N84" s="19" t="str">
        <f>IF($P84="","",IFERROR(IF(INDEX(MASTER!$S$4:$S$1463,$P84)="","",INDEX(MASTER!$S$4:$S$1463,$P84)),""))</f>
        <v>Complete</v>
      </c>
      <c r="P84">
        <f>IFERROR(MATCH($Q$1&amp;"@76",MASTER!$AC$4:$AC$1463,0),"")</f>
        <v>1071</v>
      </c>
    </row>
    <row r="85" spans="1:16">
      <c r="A85" s="15">
        <f>IF($P85="","",77)</f>
        <v>77</v>
      </c>
      <c r="B85" s="14" t="str">
        <f>IF($P85="","",IFERROR(IF(INDEX(MASTER!$C$4:$C$1463,$P85)="","",INDEX(MASTER!$C$4:$C$1463,$P85)),""))</f>
        <v>Summoned</v>
      </c>
      <c r="C85" s="15" t="str">
        <f>IF($P85="","",IFERROR(IF(INDEX(MASTER!$D$4:$D$1463,$P85)="","",INDEX(MASTER!$D$4:$D$1463,$P85)),""))</f>
        <v/>
      </c>
      <c r="D85" s="15" t="str">
        <f>IF($P85="","",IFERROR(IF(INDEX(MASTER!$E$4:$E$1463,$P85)="","",INDEX(MASTER!$E$4:$E$1463,$P85)),""))</f>
        <v/>
      </c>
      <c r="E85" s="15" t="str">
        <f>IF($P85="","",IFERROR(IF(INDEX(MASTER!$F$4:$F$1463,$P85)="","",INDEX(MASTER!$F$4:$F$1463,$P85)),""))</f>
        <v>-</v>
      </c>
      <c r="F85" s="16" t="str">
        <f>IF($P85="","",IFERROR(IF(INDEX(MASTER!$G$4:$G$1463,$P85)="","",INDEX(MASTER!$G$4:$G$1463,$P85)),""))</f>
        <v/>
      </c>
      <c r="G85" s="15" t="str">
        <f>IF($P85="","",IFERROR(IF(INDEX(MASTER!$H$4:$H$1463,$P85)="","",INDEX(MASTER!$H$4:$H$1463,$P85)),""))</f>
        <v>-</v>
      </c>
      <c r="H85" s="16" t="str">
        <f>IF($P85="","",IFERROR(IF(INDEX(MASTER!$I$4:$I$1463,$P85)="","",INDEX(MASTER!$I$4:$I$1463,$P85)),""))</f>
        <v/>
      </c>
      <c r="I85" s="15" t="str">
        <f>IF($P85="","",IFERROR(IF(INDEX(MASTER!$J$4:$J$1463,$P85)="","",INDEX(MASTER!$J$4:$J$1463,$P85)),""))</f>
        <v>-</v>
      </c>
      <c r="J85" s="17" t="str">
        <f>IF($P85="","",IFERROR(IF(INDEX(MASTER!$L$4:$L$1463,$P85)="","",INDEX(MASTER!$L$4:$L$1463,$P85)),""))</f>
        <v/>
      </c>
      <c r="K85" s="17" t="str">
        <f>IF($P85="","",IFERROR(IF(INDEX(MASTER!$N$4:$N$1463,$P85)="","",INDEX(MASTER!$N$4:$N$1463,$P85)),""))</f>
        <v/>
      </c>
      <c r="L85" s="15" t="str">
        <f>IF($P85="","",IFERROR(IF(INDEX(MASTER!$O$4:$O$1463,$P85)="","",INDEX(MASTER!$O$4:$O$1463,$P85)),""))</f>
        <v>-</v>
      </c>
      <c r="M85" s="15">
        <f>IF($P85="","",IFERROR(IF(INDEX(MASTER!$Q$4:$Q$1463,$P85)="","",INDEX(MASTER!$Q$4:$Q$1463,$P85)),""))</f>
        <v>85</v>
      </c>
      <c r="N85" s="15" t="str">
        <f>IF($P85="","",IFERROR(IF(INDEX(MASTER!$S$4:$S$1463,$P85)="","",INDEX(MASTER!$S$4:$S$1463,$P85)),""))</f>
        <v>Name only</v>
      </c>
      <c r="P85">
        <f>IFERROR(MATCH($Q$1&amp;"@77",MASTER!$AC$4:$AC$1463,0),"")</f>
        <v>1092</v>
      </c>
    </row>
    <row r="86" spans="1:16">
      <c r="A86" s="19">
        <f>IF($P86="","",78)</f>
        <v>78</v>
      </c>
      <c r="B86" s="18" t="str">
        <f>IF($P86="","",IFERROR(IF(INDEX(MASTER!$C$4:$C$1463,$P86)="","",INDEX(MASTER!$C$4:$C$1463,$P86)),""))</f>
        <v>SuperflyNecro</v>
      </c>
      <c r="C86" s="19" t="str">
        <f>IF($P86="","",IFERROR(IF(INDEX(MASTER!$D$4:$D$1463,$P86)="","",INDEX(MASTER!$D$4:$D$1463,$P86)),""))</f>
        <v/>
      </c>
      <c r="D86" s="19" t="str">
        <f>IF($P86="","",IFERROR(IF(INDEX(MASTER!$E$4:$E$1463,$P86)="","",INDEX(MASTER!$E$4:$E$1463,$P86)),""))</f>
        <v/>
      </c>
      <c r="E86" s="19" t="str">
        <f>IF($P86="","",IFERROR(IF(INDEX(MASTER!$F$4:$F$1463,$P86)="","",INDEX(MASTER!$F$4:$F$1463,$P86)),""))</f>
        <v>-</v>
      </c>
      <c r="F86" s="20" t="str">
        <f>IF($P86="","",IFERROR(IF(INDEX(MASTER!$G$4:$G$1463,$P86)="","",INDEX(MASTER!$G$4:$G$1463,$P86)),""))</f>
        <v/>
      </c>
      <c r="G86" s="19" t="str">
        <f>IF($P86="","",IFERROR(IF(INDEX(MASTER!$H$4:$H$1463,$P86)="","",INDEX(MASTER!$H$4:$H$1463,$P86)),""))</f>
        <v>-</v>
      </c>
      <c r="H86" s="20" t="str">
        <f>IF($P86="","",IFERROR(IF(INDEX(MASTER!$I$4:$I$1463,$P86)="","",INDEX(MASTER!$I$4:$I$1463,$P86)),""))</f>
        <v/>
      </c>
      <c r="I86" s="19" t="str">
        <f>IF($P86="","",IFERROR(IF(INDEX(MASTER!$J$4:$J$1463,$P86)="","",INDEX(MASTER!$J$4:$J$1463,$P86)),""))</f>
        <v>-</v>
      </c>
      <c r="J86" s="21" t="str">
        <f>IF($P86="","",IFERROR(IF(INDEX(MASTER!$L$4:$L$1463,$P86)="","",INDEX(MASTER!$L$4:$L$1463,$P86)),""))</f>
        <v/>
      </c>
      <c r="K86" s="21" t="str">
        <f>IF($P86="","",IFERROR(IF(INDEX(MASTER!$N$4:$N$1463,$P86)="","",INDEX(MASTER!$N$4:$N$1463,$P86)),""))</f>
        <v/>
      </c>
      <c r="L86" s="19" t="str">
        <f>IF($P86="","",IFERROR(IF(INDEX(MASTER!$O$4:$O$1463,$P86)="","",INDEX(MASTER!$O$4:$O$1463,$P86)),""))</f>
        <v>-</v>
      </c>
      <c r="M86" s="19">
        <f>IF($P86="","",IFERROR(IF(INDEX(MASTER!$Q$4:$Q$1463,$P86)="","",INDEX(MASTER!$Q$4:$Q$1463,$P86)),""))</f>
        <v>86</v>
      </c>
      <c r="N86" s="19" t="str">
        <f>IF($P86="","",IFERROR(IF(INDEX(MASTER!$S$4:$S$1463,$P86)="","",INDEX(MASTER!$S$4:$S$1463,$P86)),""))</f>
        <v>Name only</v>
      </c>
      <c r="P86">
        <f>IFERROR(MATCH($Q$1&amp;"@78",MASTER!$AC$4:$AC$1463,0),"")</f>
        <v>1095</v>
      </c>
    </row>
    <row r="87" spans="1:16">
      <c r="A87" s="15">
        <f>IF($P87="","",79)</f>
        <v>79</v>
      </c>
      <c r="B87" s="14" t="str">
        <f>IF($P87="","",IFERROR(IF(INDEX(MASTER!$C$4:$C$1463,$P87)="","",INDEX(MASTER!$C$4:$C$1463,$P87)),""))</f>
        <v>Tĭnkerbëll</v>
      </c>
      <c r="C87" s="15" t="str">
        <f>IF($P87="","",IFERROR(IF(INDEX(MASTER!$D$4:$D$1463,$P87)="","",INDEX(MASTER!$D$4:$D$1463,$P87)),""))</f>
        <v>H20</v>
      </c>
      <c r="D87" s="15" t="str">
        <f>IF($P87="","",IFERROR(IF(INDEX(MASTER!$E$4:$E$1463,$P87)="","",INDEX(MASTER!$E$4:$E$1463,$P87)),""))</f>
        <v>TEMPEST</v>
      </c>
      <c r="E87" s="15" t="str">
        <f>IF($P87="","",IFERROR(IF(INDEX(MASTER!$F$4:$F$1463,$P87)="","",INDEX(MASTER!$F$4:$F$1463,$P87)),""))</f>
        <v>Melee DPS</v>
      </c>
      <c r="F87" s="16">
        <f>IF($P87="","",IFERROR(IF(INDEX(MASTER!$G$4:$G$1463,$P87)="","",INDEX(MASTER!$G$4:$G$1463,$P87)),""))</f>
        <v>63404</v>
      </c>
      <c r="G87" s="15" t="str">
        <f>IF($P87="","",IFERROR(IF(INDEX(MASTER!$H$4:$H$1463,$P87)="","",INDEX(MASTER!$H$4:$H$1463,$P87)),""))</f>
        <v>63,000 - 63,999</v>
      </c>
      <c r="H87" s="16">
        <f>IF($P87="","",IFERROR(IF(INDEX(MASTER!$I$4:$I$1463,$P87)="","",INDEX(MASTER!$I$4:$I$1463,$P87)),""))</f>
        <v>5117</v>
      </c>
      <c r="I87" s="15" t="str">
        <f>IF($P87="","",IFERROR(IF(INDEX(MASTER!$J$4:$J$1463,$P87)="","",INDEX(MASTER!$J$4:$J$1463,$P87)),""))</f>
        <v>CORE</v>
      </c>
      <c r="J87" s="17">
        <f>IF($P87="","",IFERROR(IF(INDEX(MASTER!$L$4:$L$1463,$P87)="","",INDEX(MASTER!$L$4:$L$1463,$P87)),""))</f>
        <v>5.0999999999999996</v>
      </c>
      <c r="K87" s="17">
        <f>IF($P87="","",IFERROR(IF(INDEX(MASTER!$N$4:$N$1463,$P87)="","",INDEX(MASTER!$N$4:$N$1463,$P87)),""))</f>
        <v>53</v>
      </c>
      <c r="L87" s="15" t="str">
        <f>IF($P87="","",IFERROR(IF(INDEX(MASTER!$O$4:$O$1463,$P87)="","",INDEX(MASTER!$O$4:$O$1463,$P87)),""))</f>
        <v>A</v>
      </c>
      <c r="M87" s="15">
        <f>IF($P87="","",IFERROR(IF(INDEX(MASTER!$Q$4:$Q$1463,$P87)="","",INDEX(MASTER!$Q$4:$Q$1463,$P87)),""))</f>
        <v>9</v>
      </c>
      <c r="N87" s="15" t="str">
        <f>IF($P87="","",IFERROR(IF(INDEX(MASTER!$S$4:$S$1463,$P87)="","",INDEX(MASTER!$S$4:$S$1463,$P87)),""))</f>
        <v>Complete</v>
      </c>
      <c r="P87">
        <f>IFERROR(MATCH($Q$1&amp;"@79",MASTER!$AC$4:$AC$1463,0),"")</f>
        <v>1187</v>
      </c>
    </row>
    <row r="88" spans="1:16">
      <c r="A88" s="19">
        <f>IF($P88="","",80)</f>
        <v>80</v>
      </c>
      <c r="B88" s="18" t="str">
        <f>IF($P88="","",IFERROR(IF(INDEX(MASTER!$C$4:$C$1463,$P88)="","",INDEX(MASTER!$C$4:$C$1463,$P88)),""))</f>
        <v>Titaniium</v>
      </c>
      <c r="C88" s="19" t="str">
        <f>IF($P88="","",IFERROR(IF(INDEX(MASTER!$D$4:$D$1463,$P88)="","",INDEX(MASTER!$D$4:$D$1463,$P88)),""))</f>
        <v/>
      </c>
      <c r="D88" s="19" t="str">
        <f>IF($P88="","",IFERROR(IF(INDEX(MASTER!$E$4:$E$1463,$P88)="","",INDEX(MASTER!$E$4:$E$1463,$P88)),""))</f>
        <v/>
      </c>
      <c r="E88" s="19" t="str">
        <f>IF($P88="","",IFERROR(IF(INDEX(MASTER!$F$4:$F$1463,$P88)="","",INDEX(MASTER!$F$4:$F$1463,$P88)),""))</f>
        <v>-</v>
      </c>
      <c r="F88" s="20" t="str">
        <f>IF($P88="","",IFERROR(IF(INDEX(MASTER!$G$4:$G$1463,$P88)="","",INDEX(MASTER!$G$4:$G$1463,$P88)),""))</f>
        <v/>
      </c>
      <c r="G88" s="19" t="str">
        <f>IF($P88="","",IFERROR(IF(INDEX(MASTER!$H$4:$H$1463,$P88)="","",INDEX(MASTER!$H$4:$H$1463,$P88)),""))</f>
        <v>-</v>
      </c>
      <c r="H88" s="20" t="str">
        <f>IF($P88="","",IFERROR(IF(INDEX(MASTER!$I$4:$I$1463,$P88)="","",INDEX(MASTER!$I$4:$I$1463,$P88)),""))</f>
        <v/>
      </c>
      <c r="I88" s="19" t="str">
        <f>IF($P88="","",IFERROR(IF(INDEX(MASTER!$J$4:$J$1463,$P88)="","",INDEX(MASTER!$J$4:$J$1463,$P88)),""))</f>
        <v>-</v>
      </c>
      <c r="J88" s="21" t="str">
        <f>IF($P88="","",IFERROR(IF(INDEX(MASTER!$L$4:$L$1463,$P88)="","",INDEX(MASTER!$L$4:$L$1463,$P88)),""))</f>
        <v/>
      </c>
      <c r="K88" s="21" t="str">
        <f>IF($P88="","",IFERROR(IF(INDEX(MASTER!$N$4:$N$1463,$P88)="","",INDEX(MASTER!$N$4:$N$1463,$P88)),""))</f>
        <v/>
      </c>
      <c r="L88" s="19" t="str">
        <f>IF($P88="","",IFERROR(IF(INDEX(MASTER!$O$4:$O$1463,$P88)="","",INDEX(MASTER!$O$4:$O$1463,$P88)),""))</f>
        <v>-</v>
      </c>
      <c r="M88" s="19">
        <f>IF($P88="","",IFERROR(IF(INDEX(MASTER!$Q$4:$Q$1463,$P88)="","",INDEX(MASTER!$Q$4:$Q$1463,$P88)),""))</f>
        <v>87</v>
      </c>
      <c r="N88" s="19" t="str">
        <f>IF($P88="","",IFERROR(IF(INDEX(MASTER!$S$4:$S$1463,$P88)="","",INDEX(MASTER!$S$4:$S$1463,$P88)),""))</f>
        <v>Name only</v>
      </c>
      <c r="P88">
        <f>IFERROR(MATCH($Q$1&amp;"@80",MASTER!$AC$4:$AC$1463,0),"")</f>
        <v>1156</v>
      </c>
    </row>
    <row r="89" spans="1:16">
      <c r="A89" s="15">
        <f>IF($P89="","",81)</f>
        <v>81</v>
      </c>
      <c r="B89" s="14" t="str">
        <f>IF($P89="","",IFERROR(IF(INDEX(MASTER!$C$4:$C$1463,$P89)="","",INDEX(MASTER!$C$4:$C$1463,$P89)),""))</f>
        <v>TITANSHADOW</v>
      </c>
      <c r="C89" s="15" t="str">
        <f>IF($P89="","",IFERROR(IF(INDEX(MASTER!$D$4:$D$1463,$P89)="","",INDEX(MASTER!$D$4:$D$1463,$P89)),""))</f>
        <v/>
      </c>
      <c r="D89" s="15" t="str">
        <f>IF($P89="","",IFERROR(IF(INDEX(MASTER!$E$4:$E$1463,$P89)="","",INDEX(MASTER!$E$4:$E$1463,$P89)),""))</f>
        <v>DEMON HUNTER</v>
      </c>
      <c r="E89" s="15" t="str">
        <f>IF($P89="","",IFERROR(IF(INDEX(MASTER!$F$4:$F$1463,$P89)="","",INDEX(MASTER!$F$4:$F$1463,$P89)),""))</f>
        <v>Ranged DPS</v>
      </c>
      <c r="F89" s="16">
        <f>IF($P89="","",IFERROR(IF(INDEX(MASTER!$G$4:$G$1463,$P89)="","",INDEX(MASTER!$G$4:$G$1463,$P89)),""))</f>
        <v>63574</v>
      </c>
      <c r="G89" s="15" t="str">
        <f>IF($P89="","",IFERROR(IF(INDEX(MASTER!$H$4:$H$1463,$P89)="","",INDEX(MASTER!$H$4:$H$1463,$P89)),""))</f>
        <v>63,000 - 63,999</v>
      </c>
      <c r="H89" s="16">
        <f>IF($P89="","",IFERROR(IF(INDEX(MASTER!$I$4:$I$1463,$P89)="","",INDEX(MASTER!$I$4:$I$1463,$P89)),""))</f>
        <v>6342</v>
      </c>
      <c r="I89" s="15" t="str">
        <f>IF($P89="","",IFERROR(IF(INDEX(MASTER!$J$4:$J$1463,$P89)="","",INDEX(MASTER!$J$4:$J$1463,$P89)),""))</f>
        <v>VETERAN</v>
      </c>
      <c r="J89" s="17">
        <f>IF($P89="","",IFERROR(IF(INDEX(MASTER!$L$4:$L$1463,$P89)="","",INDEX(MASTER!$L$4:$L$1463,$P89)),""))</f>
        <v>7.96</v>
      </c>
      <c r="K89" s="17">
        <f>IF($P89="","",IFERROR(IF(INDEX(MASTER!$N$4:$N$1463,$P89)="","",INDEX(MASTER!$N$4:$N$1463,$P89)),""))</f>
        <v>63.5</v>
      </c>
      <c r="L89" s="15" t="str">
        <f>IF($P89="","",IFERROR(IF(INDEX(MASTER!$O$4:$O$1463,$P89)="","",INDEX(MASTER!$O$4:$O$1463,$P89)),""))</f>
        <v>A</v>
      </c>
      <c r="M89" s="15">
        <f>IF($P89="","",IFERROR(IF(INDEX(MASTER!$Q$4:$Q$1463,$P89)="","",INDEX(MASTER!$Q$4:$Q$1463,$P89)),""))</f>
        <v>6</v>
      </c>
      <c r="N89" s="15" t="str">
        <f>IF($P89="","",IFERROR(IF(INDEX(MASTER!$S$4:$S$1463,$P89)="","",INDEX(MASTER!$S$4:$S$1463,$P89)),""))</f>
        <v>Complete</v>
      </c>
      <c r="P89">
        <f>IFERROR(MATCH($Q$1&amp;"@81",MASTER!$AC$4:$AC$1463,0),"")</f>
        <v>1157</v>
      </c>
    </row>
    <row r="90" spans="1:16">
      <c r="A90" s="19">
        <f>IF($P90="","",82)</f>
        <v>82</v>
      </c>
      <c r="B90" s="18" t="str">
        <f>IF($P90="","",IFERROR(IF(INDEX(MASTER!$C$4:$C$1463,$P90)="","",INDEX(MASTER!$C$4:$C$1463,$P90)),""))</f>
        <v>Trixsee</v>
      </c>
      <c r="C90" s="19" t="str">
        <f>IF($P90="","",IFERROR(IF(INDEX(MASTER!$D$4:$D$1463,$P90)="","",INDEX(MASTER!$D$4:$D$1463,$P90)),""))</f>
        <v/>
      </c>
      <c r="D90" s="19" t="str">
        <f>IF($P90="","",IFERROR(IF(INDEX(MASTER!$E$4:$E$1463,$P90)="","",INDEX(MASTER!$E$4:$E$1463,$P90)),""))</f>
        <v/>
      </c>
      <c r="E90" s="19" t="str">
        <f>IF($P90="","",IFERROR(IF(INDEX(MASTER!$F$4:$F$1463,$P90)="","",INDEX(MASTER!$F$4:$F$1463,$P90)),""))</f>
        <v>-</v>
      </c>
      <c r="F90" s="20" t="str">
        <f>IF($P90="","",IFERROR(IF(INDEX(MASTER!$G$4:$G$1463,$P90)="","",INDEX(MASTER!$G$4:$G$1463,$P90)),""))</f>
        <v/>
      </c>
      <c r="G90" s="19" t="str">
        <f>IF($P90="","",IFERROR(IF(INDEX(MASTER!$H$4:$H$1463,$P90)="","",INDEX(MASTER!$H$4:$H$1463,$P90)),""))</f>
        <v>-</v>
      </c>
      <c r="H90" s="20" t="str">
        <f>IF($P90="","",IFERROR(IF(INDEX(MASTER!$I$4:$I$1463,$P90)="","",INDEX(MASTER!$I$4:$I$1463,$P90)),""))</f>
        <v/>
      </c>
      <c r="I90" s="19" t="str">
        <f>IF($P90="","",IFERROR(IF(INDEX(MASTER!$J$4:$J$1463,$P90)="","",INDEX(MASTER!$J$4:$J$1463,$P90)),""))</f>
        <v>-</v>
      </c>
      <c r="J90" s="21" t="str">
        <f>IF($P90="","",IFERROR(IF(INDEX(MASTER!$L$4:$L$1463,$P90)="","",INDEX(MASTER!$L$4:$L$1463,$P90)),""))</f>
        <v/>
      </c>
      <c r="K90" s="21" t="str">
        <f>IF($P90="","",IFERROR(IF(INDEX(MASTER!$N$4:$N$1463,$P90)="","",INDEX(MASTER!$N$4:$N$1463,$P90)),""))</f>
        <v/>
      </c>
      <c r="L90" s="19" t="str">
        <f>IF($P90="","",IFERROR(IF(INDEX(MASTER!$O$4:$O$1463,$P90)="","",INDEX(MASTER!$O$4:$O$1463,$P90)),""))</f>
        <v>-</v>
      </c>
      <c r="M90" s="19">
        <f>IF($P90="","",IFERROR(IF(INDEX(MASTER!$Q$4:$Q$1463,$P90)="","",INDEX(MASTER!$Q$4:$Q$1463,$P90)),""))</f>
        <v>88</v>
      </c>
      <c r="N90" s="19" t="str">
        <f>IF($P90="","",IFERROR(IF(INDEX(MASTER!$S$4:$S$1463,$P90)="","",INDEX(MASTER!$S$4:$S$1463,$P90)),""))</f>
        <v>Name only</v>
      </c>
      <c r="P90">
        <f>IFERROR(MATCH($Q$1&amp;"@82",MASTER!$AC$4:$AC$1463,0),"")</f>
        <v>1173</v>
      </c>
    </row>
    <row r="91" spans="1:16">
      <c r="A91" s="15">
        <f>IF($P91="","",83)</f>
        <v>83</v>
      </c>
      <c r="B91" s="14" t="str">
        <f>IF($P91="","",IFERROR(IF(INDEX(MASTER!$C$4:$C$1463,$P91)="","",INDEX(MASTER!$C$4:$C$1463,$P91)),""))</f>
        <v>uURAEUSs</v>
      </c>
      <c r="C91" s="15" t="str">
        <f>IF($P91="","",IFERROR(IF(INDEX(MASTER!$D$4:$D$1463,$P91)="","",INDEX(MASTER!$D$4:$D$1463,$P91)),""))</f>
        <v/>
      </c>
      <c r="D91" s="15" t="str">
        <f>IF($P91="","",IFERROR(IF(INDEX(MASTER!$E$4:$E$1463,$P91)="","",INDEX(MASTER!$E$4:$E$1463,$P91)),""))</f>
        <v>BARBARIAN</v>
      </c>
      <c r="E91" s="15" t="str">
        <f>IF($P91="","",IFERROR(IF(INDEX(MASTER!$F$4:$F$1463,$P91)="","",INDEX(MASTER!$F$4:$F$1463,$P91)),""))</f>
        <v>Frontline</v>
      </c>
      <c r="F91" s="16">
        <f>IF($P91="","",IFERROR(IF(INDEX(MASTER!$G$4:$G$1463,$P91)="","",INDEX(MASTER!$G$4:$G$1463,$P91)),""))</f>
        <v>62519</v>
      </c>
      <c r="G91" s="15" t="str">
        <f>IF($P91="","",IFERROR(IF(INDEX(MASTER!$H$4:$H$1463,$P91)="","",INDEX(MASTER!$H$4:$H$1463,$P91)),""))</f>
        <v>62,000 - 62,999</v>
      </c>
      <c r="H91" s="16">
        <f>IF($P91="","",IFERROR(IF(INDEX(MASTER!$I$4:$I$1463,$P91)="","",INDEX(MASTER!$I$4:$I$1463,$P91)),""))</f>
        <v>1786</v>
      </c>
      <c r="I91" s="15" t="str">
        <f>IF($P91="","",IFERROR(IF(INDEX(MASTER!$J$4:$J$1463,$P91)="","",INDEX(MASTER!$J$4:$J$1463,$P91)),""))</f>
        <v>ROOKIE</v>
      </c>
      <c r="J91" s="17">
        <f>IF($P91="","",IFERROR(IF(INDEX(MASTER!$L$4:$L$1463,$P91)="","",INDEX(MASTER!$L$4:$L$1463,$P91)),""))</f>
        <v>3.2</v>
      </c>
      <c r="K91" s="17">
        <f>IF($P91="","",IFERROR(IF(INDEX(MASTER!$N$4:$N$1463,$P91)="","",INDEX(MASTER!$N$4:$N$1463,$P91)),""))</f>
        <v>32.9</v>
      </c>
      <c r="L91" s="15" t="str">
        <f>IF($P91="","",IFERROR(IF(INDEX(MASTER!$O$4:$O$1463,$P91)="","",INDEX(MASTER!$O$4:$O$1463,$P91)),""))</f>
        <v>C</v>
      </c>
      <c r="M91" s="15">
        <f>IF($P91="","",IFERROR(IF(INDEX(MASTER!$Q$4:$Q$1463,$P91)="","",INDEX(MASTER!$Q$4:$Q$1463,$P91)),""))</f>
        <v>50</v>
      </c>
      <c r="N91" s="15" t="str">
        <f>IF($P91="","",IFERROR(IF(INDEX(MASTER!$S$4:$S$1463,$P91)="","",INDEX(MASTER!$S$4:$S$1463,$P91)),""))</f>
        <v>Complete</v>
      </c>
      <c r="P91">
        <f>IFERROR(MATCH($Q$1&amp;"@83",MASTER!$AC$4:$AC$1463,0),"")</f>
        <v>1200</v>
      </c>
    </row>
    <row r="92" spans="1:16">
      <c r="A92" s="19">
        <f>IF($P92="","",84)</f>
        <v>84</v>
      </c>
      <c r="B92" s="18" t="str">
        <f>IF($P92="","",IFERROR(IF(INDEX(MASTER!$C$4:$C$1463,$P92)="","",INDEX(MASTER!$C$4:$C$1463,$P92)),""))</f>
        <v>Virilia</v>
      </c>
      <c r="C92" s="19" t="str">
        <f>IF($P92="","",IFERROR(IF(INDEX(MASTER!$D$4:$D$1463,$P92)="","",INDEX(MASTER!$D$4:$D$1463,$P92)),""))</f>
        <v/>
      </c>
      <c r="D92" s="19" t="str">
        <f>IF($P92="","",IFERROR(IF(INDEX(MASTER!$E$4:$E$1463,$P92)="","",INDEX(MASTER!$E$4:$E$1463,$P92)),""))</f>
        <v/>
      </c>
      <c r="E92" s="19" t="str">
        <f>IF($P92="","",IFERROR(IF(INDEX(MASTER!$F$4:$F$1463,$P92)="","",INDEX(MASTER!$F$4:$F$1463,$P92)),""))</f>
        <v>-</v>
      </c>
      <c r="F92" s="20" t="str">
        <f>IF($P92="","",IFERROR(IF(INDEX(MASTER!$G$4:$G$1463,$P92)="","",INDEX(MASTER!$G$4:$G$1463,$P92)),""))</f>
        <v/>
      </c>
      <c r="G92" s="19" t="str">
        <f>IF($P92="","",IFERROR(IF(INDEX(MASTER!$H$4:$H$1463,$P92)="","",INDEX(MASTER!$H$4:$H$1463,$P92)),""))</f>
        <v>-</v>
      </c>
      <c r="H92" s="20" t="str">
        <f>IF($P92="","",IFERROR(IF(INDEX(MASTER!$I$4:$I$1463,$P92)="","",INDEX(MASTER!$I$4:$I$1463,$P92)),""))</f>
        <v/>
      </c>
      <c r="I92" s="19" t="str">
        <f>IF($P92="","",IFERROR(IF(INDEX(MASTER!$J$4:$J$1463,$P92)="","",INDEX(MASTER!$J$4:$J$1463,$P92)),""))</f>
        <v>-</v>
      </c>
      <c r="J92" s="21" t="str">
        <f>IF($P92="","",IFERROR(IF(INDEX(MASTER!$L$4:$L$1463,$P92)="","",INDEX(MASTER!$L$4:$L$1463,$P92)),""))</f>
        <v/>
      </c>
      <c r="K92" s="21" t="str">
        <f>IF($P92="","",IFERROR(IF(INDEX(MASTER!$N$4:$N$1463,$P92)="","",INDEX(MASTER!$N$4:$N$1463,$P92)),""))</f>
        <v/>
      </c>
      <c r="L92" s="19" t="str">
        <f>IF($P92="","",IFERROR(IF(INDEX(MASTER!$O$4:$O$1463,$P92)="","",INDEX(MASTER!$O$4:$O$1463,$P92)),""))</f>
        <v>-</v>
      </c>
      <c r="M92" s="19">
        <f>IF($P92="","",IFERROR(IF(INDEX(MASTER!$Q$4:$Q$1463,$P92)="","",INDEX(MASTER!$Q$4:$Q$1463,$P92)),""))</f>
        <v>89</v>
      </c>
      <c r="N92" s="19" t="str">
        <f>IF($P92="","",IFERROR(IF(INDEX(MASTER!$S$4:$S$1463,$P92)="","",INDEX(MASTER!$S$4:$S$1463,$P92)),""))</f>
        <v>Name only</v>
      </c>
      <c r="P92">
        <f>IFERROR(MATCH($Q$1&amp;"@84",MASTER!$AC$4:$AC$1463,0),"")</f>
        <v>1223</v>
      </c>
    </row>
    <row r="93" spans="1:16">
      <c r="A93" s="15">
        <f>IF($P93="","",85)</f>
        <v>85</v>
      </c>
      <c r="B93" s="14" t="str">
        <f>IF($P93="","",IFERROR(IF(INDEX(MASTER!$C$4:$C$1463,$P93)="","",INDEX(MASTER!$C$4:$C$1463,$P93)),""))</f>
        <v>Volcavos</v>
      </c>
      <c r="C93" s="15" t="str">
        <f>IF($P93="","",IFERROR(IF(INDEX(MASTER!$D$4:$D$1463,$P93)="","",INDEX(MASTER!$D$4:$D$1463,$P93)),""))</f>
        <v/>
      </c>
      <c r="D93" s="15" t="str">
        <f>IF($P93="","",IFERROR(IF(INDEX(MASTER!$E$4:$E$1463,$P93)="","",INDEX(MASTER!$E$4:$E$1463,$P93)),""))</f>
        <v/>
      </c>
      <c r="E93" s="15" t="str">
        <f>IF($P93="","",IFERROR(IF(INDEX(MASTER!$F$4:$F$1463,$P93)="","",INDEX(MASTER!$F$4:$F$1463,$P93)),""))</f>
        <v>-</v>
      </c>
      <c r="F93" s="16" t="str">
        <f>IF($P93="","",IFERROR(IF(INDEX(MASTER!$G$4:$G$1463,$P93)="","",INDEX(MASTER!$G$4:$G$1463,$P93)),""))</f>
        <v/>
      </c>
      <c r="G93" s="15" t="str">
        <f>IF($P93="","",IFERROR(IF(INDEX(MASTER!$H$4:$H$1463,$P93)="","",INDEX(MASTER!$H$4:$H$1463,$P93)),""))</f>
        <v>-</v>
      </c>
      <c r="H93" s="16" t="str">
        <f>IF($P93="","",IFERROR(IF(INDEX(MASTER!$I$4:$I$1463,$P93)="","",INDEX(MASTER!$I$4:$I$1463,$P93)),""))</f>
        <v/>
      </c>
      <c r="I93" s="15" t="str">
        <f>IF($P93="","",IFERROR(IF(INDEX(MASTER!$J$4:$J$1463,$P93)="","",INDEX(MASTER!$J$4:$J$1463,$P93)),""))</f>
        <v>-</v>
      </c>
      <c r="J93" s="17" t="str">
        <f>IF($P93="","",IFERROR(IF(INDEX(MASTER!$L$4:$L$1463,$P93)="","",INDEX(MASTER!$L$4:$L$1463,$P93)),""))</f>
        <v/>
      </c>
      <c r="K93" s="17" t="str">
        <f>IF($P93="","",IFERROR(IF(INDEX(MASTER!$N$4:$N$1463,$P93)="","",INDEX(MASTER!$N$4:$N$1463,$P93)),""))</f>
        <v/>
      </c>
      <c r="L93" s="15" t="str">
        <f>IF($P93="","",IFERROR(IF(INDEX(MASTER!$O$4:$O$1463,$P93)="","",INDEX(MASTER!$O$4:$O$1463,$P93)),""))</f>
        <v>-</v>
      </c>
      <c r="M93" s="15">
        <f>IF($P93="","",IFERROR(IF(INDEX(MASTER!$Q$4:$Q$1463,$P93)="","",INDEX(MASTER!$Q$4:$Q$1463,$P93)),""))</f>
        <v>90</v>
      </c>
      <c r="N93" s="15" t="str">
        <f>IF($P93="","",IFERROR(IF(INDEX(MASTER!$S$4:$S$1463,$P93)="","",INDEX(MASTER!$S$4:$S$1463,$P93)),""))</f>
        <v>Name only</v>
      </c>
      <c r="P93">
        <f>IFERROR(MATCH($Q$1&amp;"@85",MASTER!$AC$4:$AC$1463,0),"")</f>
        <v>1228</v>
      </c>
    </row>
    <row r="94" spans="1:16">
      <c r="A94" s="19">
        <f>IF($P94="","",86)</f>
        <v>86</v>
      </c>
      <c r="B94" s="18" t="str">
        <f>IF($P94="","",IFERROR(IF(INDEX(MASTER!$C$4:$C$1463,$P94)="","",INDEX(MASTER!$C$4:$C$1463,$P94)),""))</f>
        <v>Waldak</v>
      </c>
      <c r="C94" s="19" t="str">
        <f>IF($P94="","",IFERROR(IF(INDEX(MASTER!$D$4:$D$1463,$P94)="","",INDEX(MASTER!$D$4:$D$1463,$P94)),""))</f>
        <v/>
      </c>
      <c r="D94" s="19" t="str">
        <f>IF($P94="","",IFERROR(IF(INDEX(MASTER!$E$4:$E$1463,$P94)="","",INDEX(MASTER!$E$4:$E$1463,$P94)),""))</f>
        <v>NECROMANCER</v>
      </c>
      <c r="E94" s="19" t="str">
        <f>IF($P94="","",IFERROR(IF(INDEX(MASTER!$F$4:$F$1463,$P94)="","",INDEX(MASTER!$F$4:$F$1463,$P94)),""))</f>
        <v>Control</v>
      </c>
      <c r="F94" s="20">
        <f>IF($P94="","",IFERROR(IF(INDEX(MASTER!$G$4:$G$1463,$P94)="","",INDEX(MASTER!$G$4:$G$1463,$P94)),""))</f>
        <v>63426</v>
      </c>
      <c r="G94" s="19" t="str">
        <f>IF($P94="","",IFERROR(IF(INDEX(MASTER!$H$4:$H$1463,$P94)="","",INDEX(MASTER!$H$4:$H$1463,$P94)),""))</f>
        <v>63,000 - 63,999</v>
      </c>
      <c r="H94" s="20">
        <f>IF($P94="","",IFERROR(IF(INDEX(MASTER!$I$4:$I$1463,$P94)="","",INDEX(MASTER!$I$4:$I$1463,$P94)),""))</f>
        <v>4711</v>
      </c>
      <c r="I94" s="19" t="str">
        <f>IF($P94="","",IFERROR(IF(INDEX(MASTER!$J$4:$J$1463,$P94)="","",INDEX(MASTER!$J$4:$J$1463,$P94)),""))</f>
        <v>CORE</v>
      </c>
      <c r="J94" s="21">
        <f>IF($P94="","",IFERROR(IF(INDEX(MASTER!$L$4:$L$1463,$P94)="","",INDEX(MASTER!$L$4:$L$1463,$P94)),""))</f>
        <v>4.4000000000000004</v>
      </c>
      <c r="K94" s="21">
        <f>IF($P94="","",IFERROR(IF(INDEX(MASTER!$N$4:$N$1463,$P94)="","",INDEX(MASTER!$N$4:$N$1463,$P94)),""))</f>
        <v>50.1</v>
      </c>
      <c r="L94" s="19" t="str">
        <f>IF($P94="","",IFERROR(IF(INDEX(MASTER!$O$4:$O$1463,$P94)="","",INDEX(MASTER!$O$4:$O$1463,$P94)),""))</f>
        <v>A</v>
      </c>
      <c r="M94" s="19">
        <f>IF($P94="","",IFERROR(IF(INDEX(MASTER!$Q$4:$Q$1463,$P94)="","",INDEX(MASTER!$Q$4:$Q$1463,$P94)),""))</f>
        <v>10</v>
      </c>
      <c r="N94" s="19" t="str">
        <f>IF($P94="","",IFERROR(IF(INDEX(MASTER!$S$4:$S$1463,$P94)="","",INDEX(MASTER!$S$4:$S$1463,$P94)),""))</f>
        <v>Complete</v>
      </c>
      <c r="P94">
        <f>IFERROR(MATCH($Q$1&amp;"@86",MASTER!$AC$4:$AC$1463,0),"")</f>
        <v>1239</v>
      </c>
    </row>
    <row r="95" spans="1:16">
      <c r="A95" s="15">
        <f>IF($P95="","",87)</f>
        <v>87</v>
      </c>
      <c r="B95" s="14" t="str">
        <f>IF($P95="","",IFERROR(IF(INDEX(MASTER!$C$4:$C$1463,$P95)="","",INDEX(MASTER!$C$4:$C$1463,$P95)),""))</f>
        <v>WillGibson</v>
      </c>
      <c r="C95" s="15" t="str">
        <f>IF($P95="","",IFERROR(IF(INDEX(MASTER!$D$4:$D$1463,$P95)="","",INDEX(MASTER!$D$4:$D$1463,$P95)),""))</f>
        <v/>
      </c>
      <c r="D95" s="15" t="str">
        <f>IF($P95="","",IFERROR(IF(INDEX(MASTER!$E$4:$E$1463,$P95)="","",INDEX(MASTER!$E$4:$E$1463,$P95)),""))</f>
        <v/>
      </c>
      <c r="E95" s="15" t="str">
        <f>IF($P95="","",IFERROR(IF(INDEX(MASTER!$F$4:$F$1463,$P95)="","",INDEX(MASTER!$F$4:$F$1463,$P95)),""))</f>
        <v>-</v>
      </c>
      <c r="F95" s="16" t="str">
        <f>IF($P95="","",IFERROR(IF(INDEX(MASTER!$G$4:$G$1463,$P95)="","",INDEX(MASTER!$G$4:$G$1463,$P95)),""))</f>
        <v/>
      </c>
      <c r="G95" s="15" t="str">
        <f>IF($P95="","",IFERROR(IF(INDEX(MASTER!$H$4:$H$1463,$P95)="","",INDEX(MASTER!$H$4:$H$1463,$P95)),""))</f>
        <v>-</v>
      </c>
      <c r="H95" s="16" t="str">
        <f>IF($P95="","",IFERROR(IF(INDEX(MASTER!$I$4:$I$1463,$P95)="","",INDEX(MASTER!$I$4:$I$1463,$P95)),""))</f>
        <v/>
      </c>
      <c r="I95" s="15" t="str">
        <f>IF($P95="","",IFERROR(IF(INDEX(MASTER!$J$4:$J$1463,$P95)="","",INDEX(MASTER!$J$4:$J$1463,$P95)),""))</f>
        <v>-</v>
      </c>
      <c r="J95" s="17" t="str">
        <f>IF($P95="","",IFERROR(IF(INDEX(MASTER!$L$4:$L$1463,$P95)="","",INDEX(MASTER!$L$4:$L$1463,$P95)),""))</f>
        <v/>
      </c>
      <c r="K95" s="17" t="str">
        <f>IF($P95="","",IFERROR(IF(INDEX(MASTER!$N$4:$N$1463,$P95)="","",INDEX(MASTER!$N$4:$N$1463,$P95)),""))</f>
        <v/>
      </c>
      <c r="L95" s="15" t="str">
        <f>IF($P95="","",IFERROR(IF(INDEX(MASTER!$O$4:$O$1463,$P95)="","",INDEX(MASTER!$O$4:$O$1463,$P95)),""))</f>
        <v>-</v>
      </c>
      <c r="M95" s="15">
        <f>IF($P95="","",IFERROR(IF(INDEX(MASTER!$Q$4:$Q$1463,$P95)="","",INDEX(MASTER!$Q$4:$Q$1463,$P95)),""))</f>
        <v>91</v>
      </c>
      <c r="N95" s="15" t="str">
        <f>IF($P95="","",IFERROR(IF(INDEX(MASTER!$S$4:$S$1463,$P95)="","",INDEX(MASTER!$S$4:$S$1463,$P95)),""))</f>
        <v>Name only</v>
      </c>
      <c r="P95">
        <f>IFERROR(MATCH($Q$1&amp;"@87",MASTER!$AC$4:$AC$1463,0),"")</f>
        <v>1253</v>
      </c>
    </row>
    <row r="96" spans="1:16">
      <c r="A96" s="19">
        <f>IF($P96="","",88)</f>
        <v>88</v>
      </c>
      <c r="B96" s="18" t="str">
        <f>IF($P96="","",IFERROR(IF(INDEX(MASTER!$C$4:$C$1463,$P96)="","",INDEX(MASTER!$C$4:$C$1463,$P96)),""))</f>
        <v>Wisner</v>
      </c>
      <c r="C96" s="19" t="str">
        <f>IF($P96="","",IFERROR(IF(INDEX(MASTER!$D$4:$D$1463,$P96)="","",INDEX(MASTER!$D$4:$D$1463,$P96)),""))</f>
        <v/>
      </c>
      <c r="D96" s="19" t="str">
        <f>IF($P96="","",IFERROR(IF(INDEX(MASTER!$E$4:$E$1463,$P96)="","",INDEX(MASTER!$E$4:$E$1463,$P96)),""))</f>
        <v>NECROMANCER</v>
      </c>
      <c r="E96" s="19" t="str">
        <f>IF($P96="","",IFERROR(IF(INDEX(MASTER!$F$4:$F$1463,$P96)="","",INDEX(MASTER!$F$4:$F$1463,$P96)),""))</f>
        <v>Control</v>
      </c>
      <c r="F96" s="20">
        <f>IF($P96="","",IFERROR(IF(INDEX(MASTER!$G$4:$G$1463,$P96)="","",INDEX(MASTER!$G$4:$G$1463,$P96)),""))</f>
        <v>62833</v>
      </c>
      <c r="G96" s="19" t="str">
        <f>IF($P96="","",IFERROR(IF(INDEX(MASTER!$H$4:$H$1463,$P96)="","",INDEX(MASTER!$H$4:$H$1463,$P96)),""))</f>
        <v>62,000 - 62,999</v>
      </c>
      <c r="H96" s="20">
        <f>IF($P96="","",IFERROR(IF(INDEX(MASTER!$I$4:$I$1463,$P96)="","",INDEX(MASTER!$I$4:$I$1463,$P96)),""))</f>
        <v>3103</v>
      </c>
      <c r="I96" s="19" t="str">
        <f>IF($P96="","",IFERROR(IF(INDEX(MASTER!$J$4:$J$1463,$P96)="","",INDEX(MASTER!$J$4:$J$1463,$P96)),""))</f>
        <v>DEVELOPING</v>
      </c>
      <c r="J96" s="21">
        <f>IF($P96="","",IFERROR(IF(INDEX(MASTER!$L$4:$L$1463,$P96)="","",INDEX(MASTER!$L$4:$L$1463,$P96)),""))</f>
        <v>3.5</v>
      </c>
      <c r="K96" s="21">
        <f>IF($P96="","",IFERROR(IF(INDEX(MASTER!$N$4:$N$1463,$P96)="","",INDEX(MASTER!$N$4:$N$1463,$P96)),""))</f>
        <v>40</v>
      </c>
      <c r="L96" s="19" t="str">
        <f>IF($P96="","",IFERROR(IF(INDEX(MASTER!$O$4:$O$1463,$P96)="","",INDEX(MASTER!$O$4:$O$1463,$P96)),""))</f>
        <v>B</v>
      </c>
      <c r="M96" s="19">
        <f>IF($P96="","",IFERROR(IF(INDEX(MASTER!$Q$4:$Q$1463,$P96)="","",INDEX(MASTER!$Q$4:$Q$1463,$P96)),""))</f>
        <v>24</v>
      </c>
      <c r="N96" s="19" t="str">
        <f>IF($P96="","",IFERROR(IF(INDEX(MASTER!$S$4:$S$1463,$P96)="","",INDEX(MASTER!$S$4:$S$1463,$P96)),""))</f>
        <v>Complete</v>
      </c>
      <c r="P96">
        <f>IFERROR(MATCH($Q$1&amp;"@88",MASTER!$AC$4:$AC$1463,0),"")</f>
        <v>1258</v>
      </c>
    </row>
    <row r="97" spans="1:16">
      <c r="A97" s="15">
        <f>IF($P97="","",89)</f>
        <v>89</v>
      </c>
      <c r="B97" s="14" t="str">
        <f>IF($P97="","",IFERROR(IF(INDEX(MASTER!$C$4:$C$1463,$P97)="","",INDEX(MASTER!$C$4:$C$1463,$P97)),""))</f>
        <v>Xelor</v>
      </c>
      <c r="C97" s="15" t="str">
        <f>IF($P97="","",IFERROR(IF(INDEX(MASTER!$D$4:$D$1463,$P97)="","",INDEX(MASTER!$D$4:$D$1463,$P97)),""))</f>
        <v/>
      </c>
      <c r="D97" s="15" t="str">
        <f>IF($P97="","",IFERROR(IF(INDEX(MASTER!$E$4:$E$1463,$P97)="","",INDEX(MASTER!$E$4:$E$1463,$P97)),""))</f>
        <v>NECROMANCER</v>
      </c>
      <c r="E97" s="15" t="str">
        <f>IF($P97="","",IFERROR(IF(INDEX(MASTER!$F$4:$F$1463,$P97)="","",INDEX(MASTER!$F$4:$F$1463,$P97)),""))</f>
        <v>Control</v>
      </c>
      <c r="F97" s="16">
        <f>IF($P97="","",IFERROR(IF(INDEX(MASTER!$G$4:$G$1463,$P97)="","",INDEX(MASTER!$G$4:$G$1463,$P97)),""))</f>
        <v>63234</v>
      </c>
      <c r="G97" s="15" t="str">
        <f>IF($P97="","",IFERROR(IF(INDEX(MASTER!$H$4:$H$1463,$P97)="","",INDEX(MASTER!$H$4:$H$1463,$P97)),""))</f>
        <v>63,000 - 63,999</v>
      </c>
      <c r="H97" s="16">
        <f>IF($P97="","",IFERROR(IF(INDEX(MASTER!$I$4:$I$1463,$P97)="","",INDEX(MASTER!$I$4:$I$1463,$P97)),""))</f>
        <v>4581</v>
      </c>
      <c r="I97" s="15" t="str">
        <f>IF($P97="","",IFERROR(IF(INDEX(MASTER!$J$4:$J$1463,$P97)="","",INDEX(MASTER!$J$4:$J$1463,$P97)),""))</f>
        <v>CORE</v>
      </c>
      <c r="J97" s="17">
        <f>IF($P97="","",IFERROR(IF(INDEX(MASTER!$L$4:$L$1463,$P97)="","",INDEX(MASTER!$L$4:$L$1463,$P97)),""))</f>
        <v>4.45</v>
      </c>
      <c r="K97" s="17">
        <f>IF($P97="","",IFERROR(IF(INDEX(MASTER!$N$4:$N$1463,$P97)="","",INDEX(MASTER!$N$4:$N$1463,$P97)),""))</f>
        <v>49.1</v>
      </c>
      <c r="L97" s="15" t="str">
        <f>IF($P97="","",IFERROR(IF(INDEX(MASTER!$O$4:$O$1463,$P97)="","",INDEX(MASTER!$O$4:$O$1463,$P97)),""))</f>
        <v>B</v>
      </c>
      <c r="M97" s="15">
        <f>IF($P97="","",IFERROR(IF(INDEX(MASTER!$Q$4:$Q$1463,$P97)="","",INDEX(MASTER!$Q$4:$Q$1463,$P97)),""))</f>
        <v>12</v>
      </c>
      <c r="N97" s="15" t="str">
        <f>IF($P97="","",IFERROR(IF(INDEX(MASTER!$S$4:$S$1463,$P97)="","",INDEX(MASTER!$S$4:$S$1463,$P97)),""))</f>
        <v>Complete</v>
      </c>
      <c r="P97">
        <f>IFERROR(MATCH($Q$1&amp;"@89",MASTER!$AC$4:$AC$1463,0),"")</f>
        <v>1277</v>
      </c>
    </row>
    <row r="98" spans="1:16">
      <c r="A98" s="19">
        <f>IF($P98="","",90)</f>
        <v>90</v>
      </c>
      <c r="B98" s="18" t="str">
        <f>IF($P98="","",IFERROR(IF(INDEX(MASTER!$C$4:$C$1463,$P98)="","",INDEX(MASTER!$C$4:$C$1463,$P98)),""))</f>
        <v>Xiamara</v>
      </c>
      <c r="C98" s="19" t="str">
        <f>IF($P98="","",IFERROR(IF(INDEX(MASTER!$D$4:$D$1463,$P98)="","",INDEX(MASTER!$D$4:$D$1463,$P98)),""))</f>
        <v/>
      </c>
      <c r="D98" s="19" t="str">
        <f>IF($P98="","",IFERROR(IF(INDEX(MASTER!$E$4:$E$1463,$P98)="","",INDEX(MASTER!$E$4:$E$1463,$P98)),""))</f>
        <v>CRUSADER</v>
      </c>
      <c r="E98" s="19" t="str">
        <f>IF($P98="","",IFERROR(IF(INDEX(MASTER!$F$4:$F$1463,$P98)="","",INDEX(MASTER!$F$4:$F$1463,$P98)),""))</f>
        <v>Frontline</v>
      </c>
      <c r="F98" s="20">
        <f>IF($P98="","",IFERROR(IF(INDEX(MASTER!$G$4:$G$1463,$P98)="","",INDEX(MASTER!$G$4:$G$1463,$P98)),""))</f>
        <v>62244</v>
      </c>
      <c r="G98" s="19" t="str">
        <f>IF($P98="","",IFERROR(IF(INDEX(MASTER!$H$4:$H$1463,$P98)="","",INDEX(MASTER!$H$4:$H$1463,$P98)),""))</f>
        <v>62,000 - 62,999</v>
      </c>
      <c r="H98" s="20">
        <f>IF($P98="","",IFERROR(IF(INDEX(MASTER!$I$4:$I$1463,$P98)="","",INDEX(MASTER!$I$4:$I$1463,$P98)),""))</f>
        <v>4476</v>
      </c>
      <c r="I98" s="19" t="str">
        <f>IF($P98="","",IFERROR(IF(INDEX(MASTER!$J$4:$J$1463,$P98)="","",INDEX(MASTER!$J$4:$J$1463,$P98)),""))</f>
        <v>CORE</v>
      </c>
      <c r="J98" s="21">
        <f>IF($P98="","",IFERROR(IF(INDEX(MASTER!$L$4:$L$1463,$P98)="","",INDEX(MASTER!$L$4:$L$1463,$P98)),""))</f>
        <v>5.3</v>
      </c>
      <c r="K98" s="21">
        <f>IF($P98="","",IFERROR(IF(INDEX(MASTER!$N$4:$N$1463,$P98)="","",INDEX(MASTER!$N$4:$N$1463,$P98)),""))</f>
        <v>47.4</v>
      </c>
      <c r="L98" s="19" t="str">
        <f>IF($P98="","",IFERROR(IF(INDEX(MASTER!$O$4:$O$1463,$P98)="","",INDEX(MASTER!$O$4:$O$1463,$P98)),""))</f>
        <v>B</v>
      </c>
      <c r="M98" s="19">
        <f>IF($P98="","",IFERROR(IF(INDEX(MASTER!$Q$4:$Q$1463,$P98)="","",INDEX(MASTER!$Q$4:$Q$1463,$P98)),""))</f>
        <v>13</v>
      </c>
      <c r="N98" s="19" t="str">
        <f>IF($P98="","",IFERROR(IF(INDEX(MASTER!$S$4:$S$1463,$P98)="","",INDEX(MASTER!$S$4:$S$1463,$P98)),""))</f>
        <v>Complete</v>
      </c>
      <c r="P98">
        <f>IFERROR(MATCH($Q$1&amp;"@90",MASTER!$AC$4:$AC$1463,0),"")</f>
        <v>1280</v>
      </c>
    </row>
    <row r="99" spans="1:16">
      <c r="A99" s="15">
        <f>IF($P99="","",91)</f>
        <v>91</v>
      </c>
      <c r="B99" s="14" t="str">
        <f>IF($P99="","",IFERROR(IF(INDEX(MASTER!$C$4:$C$1463,$P99)="","",INDEX(MASTER!$C$4:$C$1463,$P99)),""))</f>
        <v>XiamaraJade</v>
      </c>
      <c r="C99" s="15" t="str">
        <f>IF($P99="","",IFERROR(IF(INDEX(MASTER!$D$4:$D$1463,$P99)="","",INDEX(MASTER!$D$4:$D$1463,$P99)),""))</f>
        <v>H2O</v>
      </c>
      <c r="D99" s="15" t="str">
        <f>IF($P99="","",IFERROR(IF(INDEX(MASTER!$E$4:$E$1463,$P99)="","",INDEX(MASTER!$E$4:$E$1463,$P99)),""))</f>
        <v>WIZARD</v>
      </c>
      <c r="E99" s="15" t="str">
        <f>IF($P99="","",IFERROR(IF(INDEX(MASTER!$F$4:$F$1463,$P99)="","",INDEX(MASTER!$F$4:$F$1463,$P99)),""))</f>
        <v>Ranged DPS</v>
      </c>
      <c r="F99" s="16">
        <f>IF($P99="","",IFERROR(IF(INDEX(MASTER!$G$4:$G$1463,$P99)="","",INDEX(MASTER!$G$4:$G$1463,$P99)),""))</f>
        <v>63428</v>
      </c>
      <c r="G99" s="15" t="str">
        <f>IF($P99="","",IFERROR(IF(INDEX(MASTER!$H$4:$H$1463,$P99)="","",INDEX(MASTER!$H$4:$H$1463,$P99)),""))</f>
        <v>63,000 - 63,999</v>
      </c>
      <c r="H99" s="16">
        <f>IF($P99="","",IFERROR(IF(INDEX(MASTER!$I$4:$I$1463,$P99)="","",INDEX(MASTER!$I$4:$I$1463,$P99)),""))</f>
        <v>4404</v>
      </c>
      <c r="I99" s="15" t="str">
        <f>IF($P99="","",IFERROR(IF(INDEX(MASTER!$J$4:$J$1463,$P99)="","",INDEX(MASTER!$J$4:$J$1463,$P99)),""))</f>
        <v>CORE</v>
      </c>
      <c r="J99" s="17">
        <f>IF($P99="","",IFERROR(IF(INDEX(MASTER!$L$4:$L$1463,$P99)="","",INDEX(MASTER!$L$4:$L$1463,$P99)),""))</f>
        <v>4.4000000000000004</v>
      </c>
      <c r="K99" s="17">
        <f>IF($P99="","",IFERROR(IF(INDEX(MASTER!$N$4:$N$1463,$P99)="","",INDEX(MASTER!$N$4:$N$1463,$P99)),""))</f>
        <v>48.7</v>
      </c>
      <c r="L99" s="15" t="str">
        <f>IF($P99="","",IFERROR(IF(INDEX(MASTER!$O$4:$O$1463,$P99)="","",INDEX(MASTER!$O$4:$O$1463,$P99)),""))</f>
        <v>B</v>
      </c>
      <c r="M99" s="15">
        <f>IF($P99="","",IFERROR(IF(INDEX(MASTER!$Q$4:$Q$1463,$P99)="","",INDEX(MASTER!$Q$4:$Q$1463,$P99)),""))</f>
        <v>14</v>
      </c>
      <c r="N99" s="15" t="str">
        <f>IF($P99="","",IFERROR(IF(INDEX(MASTER!$S$4:$S$1463,$P99)="","",INDEX(MASTER!$S$4:$S$1463,$P99)),""))</f>
        <v>Complete</v>
      </c>
      <c r="P99">
        <f>IFERROR(MATCH($Q$1&amp;"@91",MASTER!$AC$4:$AC$1463,0),"")</f>
        <v>1281</v>
      </c>
    </row>
    <row r="100" spans="1:16">
      <c r="A100" s="19">
        <f>IF($P100="","",92)</f>
        <v>92</v>
      </c>
      <c r="B100" s="18" t="str">
        <f>IF($P100="","",IFERROR(IF(INDEX(MASTER!$C$4:$C$1463,$P100)="","",INDEX(MASTER!$C$4:$C$1463,$P100)),""))</f>
        <v>Xiamarasbank</v>
      </c>
      <c r="C100" s="19" t="str">
        <f>IF($P100="","",IFERROR(IF(INDEX(MASTER!$D$4:$D$1463,$P100)="","",INDEX(MASTER!$D$4:$D$1463,$P100)),""))</f>
        <v/>
      </c>
      <c r="D100" s="19" t="str">
        <f>IF($P100="","",IFERROR(IF(INDEX(MASTER!$E$4:$E$1463,$P100)="","",INDEX(MASTER!$E$4:$E$1463,$P100)),""))</f>
        <v/>
      </c>
      <c r="E100" s="19" t="str">
        <f>IF($P100="","",IFERROR(IF(INDEX(MASTER!$F$4:$F$1463,$P100)="","",INDEX(MASTER!$F$4:$F$1463,$P100)),""))</f>
        <v>-</v>
      </c>
      <c r="F100" s="20" t="str">
        <f>IF($P100="","",IFERROR(IF(INDEX(MASTER!$G$4:$G$1463,$P100)="","",INDEX(MASTER!$G$4:$G$1463,$P100)),""))</f>
        <v/>
      </c>
      <c r="G100" s="19" t="str">
        <f>IF($P100="","",IFERROR(IF(INDEX(MASTER!$H$4:$H$1463,$P100)="","",INDEX(MASTER!$H$4:$H$1463,$P100)),""))</f>
        <v>-</v>
      </c>
      <c r="H100" s="20" t="str">
        <f>IF($P100="","",IFERROR(IF(INDEX(MASTER!$I$4:$I$1463,$P100)="","",INDEX(MASTER!$I$4:$I$1463,$P100)),""))</f>
        <v/>
      </c>
      <c r="I100" s="19" t="str">
        <f>IF($P100="","",IFERROR(IF(INDEX(MASTER!$J$4:$J$1463,$P100)="","",INDEX(MASTER!$J$4:$J$1463,$P100)),""))</f>
        <v>-</v>
      </c>
      <c r="J100" s="21" t="str">
        <f>IF($P100="","",IFERROR(IF(INDEX(MASTER!$L$4:$L$1463,$P100)="","",INDEX(MASTER!$L$4:$L$1463,$P100)),""))</f>
        <v/>
      </c>
      <c r="K100" s="21" t="str">
        <f>IF($P100="","",IFERROR(IF(INDEX(MASTER!$N$4:$N$1463,$P100)="","",INDEX(MASTER!$N$4:$N$1463,$P100)),""))</f>
        <v/>
      </c>
      <c r="L100" s="19" t="str">
        <f>IF($P100="","",IFERROR(IF(INDEX(MASTER!$O$4:$O$1463,$P100)="","",INDEX(MASTER!$O$4:$O$1463,$P100)),""))</f>
        <v>-</v>
      </c>
      <c r="M100" s="19">
        <f>IF($P100="","",IFERROR(IF(INDEX(MASTER!$Q$4:$Q$1463,$P100)="","",INDEX(MASTER!$Q$4:$Q$1463,$P100)),""))</f>
        <v>92</v>
      </c>
      <c r="N100" s="19" t="str">
        <f>IF($P100="","",IFERROR(IF(INDEX(MASTER!$S$4:$S$1463,$P100)="","",INDEX(MASTER!$S$4:$S$1463,$P100)),""))</f>
        <v>Name only</v>
      </c>
      <c r="P100">
        <f>IFERROR(MATCH($Q$1&amp;"@92",MASTER!$AC$4:$AC$1463,0),"")</f>
        <v>1282</v>
      </c>
    </row>
    <row r="101" spans="1:16">
      <c r="A101" s="15">
        <f>IF($P101="","",93)</f>
        <v>93</v>
      </c>
      <c r="B101" s="14" t="str">
        <f>IF($P101="","",IFERROR(IF(INDEX(MASTER!$C$4:$C$1463,$P101)="","",INDEX(MASTER!$C$4:$C$1463,$P101)),""))</f>
        <v>Xymmon</v>
      </c>
      <c r="C101" s="15" t="str">
        <f>IF($P101="","",IFERROR(IF(INDEX(MASTER!$D$4:$D$1463,$P101)="","",INDEX(MASTER!$D$4:$D$1463,$P101)),""))</f>
        <v/>
      </c>
      <c r="D101" s="15" t="str">
        <f>IF($P101="","",IFERROR(IF(INDEX(MASTER!$E$4:$E$1463,$P101)="","",INDEX(MASTER!$E$4:$E$1463,$P101)),""))</f>
        <v/>
      </c>
      <c r="E101" s="15" t="str">
        <f>IF($P101="","",IFERROR(IF(INDEX(MASTER!$F$4:$F$1463,$P101)="","",INDEX(MASTER!$F$4:$F$1463,$P101)),""))</f>
        <v>-</v>
      </c>
      <c r="F101" s="16" t="str">
        <f>IF($P101="","",IFERROR(IF(INDEX(MASTER!$G$4:$G$1463,$P101)="","",INDEX(MASTER!$G$4:$G$1463,$P101)),""))</f>
        <v/>
      </c>
      <c r="G101" s="15" t="str">
        <f>IF($P101="","",IFERROR(IF(INDEX(MASTER!$H$4:$H$1463,$P101)="","",INDEX(MASTER!$H$4:$H$1463,$P101)),""))</f>
        <v>-</v>
      </c>
      <c r="H101" s="16" t="str">
        <f>IF($P101="","",IFERROR(IF(INDEX(MASTER!$I$4:$I$1463,$P101)="","",INDEX(MASTER!$I$4:$I$1463,$P101)),""))</f>
        <v/>
      </c>
      <c r="I101" s="15" t="str">
        <f>IF($P101="","",IFERROR(IF(INDEX(MASTER!$J$4:$J$1463,$P101)="","",INDEX(MASTER!$J$4:$J$1463,$P101)),""))</f>
        <v>-</v>
      </c>
      <c r="J101" s="17" t="str">
        <f>IF($P101="","",IFERROR(IF(INDEX(MASTER!$L$4:$L$1463,$P101)="","",INDEX(MASTER!$L$4:$L$1463,$P101)),""))</f>
        <v/>
      </c>
      <c r="K101" s="17" t="str">
        <f>IF($P101="","",IFERROR(IF(INDEX(MASTER!$N$4:$N$1463,$P101)="","",INDEX(MASTER!$N$4:$N$1463,$P101)),""))</f>
        <v/>
      </c>
      <c r="L101" s="15" t="str">
        <f>IF($P101="","",IFERROR(IF(INDEX(MASTER!$O$4:$O$1463,$P101)="","",INDEX(MASTER!$O$4:$O$1463,$P101)),""))</f>
        <v>-</v>
      </c>
      <c r="M101" s="15">
        <f>IF($P101="","",IFERROR(IF(INDEX(MASTER!$Q$4:$Q$1463,$P101)="","",INDEX(MASTER!$Q$4:$Q$1463,$P101)),""))</f>
        <v>93</v>
      </c>
      <c r="N101" s="15" t="str">
        <f>IF($P101="","",IFERROR(IF(INDEX(MASTER!$S$4:$S$1463,$P101)="","",INDEX(MASTER!$S$4:$S$1463,$P101)),""))</f>
        <v>Name only</v>
      </c>
      <c r="P101">
        <f>IFERROR(MATCH($Q$1&amp;"@93",MASTER!$AC$4:$AC$1463,0),"")</f>
        <v>1293</v>
      </c>
    </row>
    <row r="102" spans="1:16">
      <c r="A102" s="19" t="str">
        <f>IF($P102="","",94)</f>
        <v/>
      </c>
      <c r="B102" s="18" t="str">
        <f>IF($P102="","",IFERROR(IF(INDEX(MASTER!$C$4:$C$1463,$P102)="","",INDEX(MASTER!$C$4:$C$1463,$P102)),""))</f>
        <v/>
      </c>
      <c r="C102" s="19" t="str">
        <f>IF($P102="","",IFERROR(IF(INDEX(MASTER!$D$4:$D$1463,$P102)="","",INDEX(MASTER!$D$4:$D$1463,$P102)),""))</f>
        <v/>
      </c>
      <c r="D102" s="19" t="str">
        <f>IF($P102="","",IFERROR(IF(INDEX(MASTER!$E$4:$E$1463,$P102)="","",INDEX(MASTER!$E$4:$E$1463,$P102)),""))</f>
        <v/>
      </c>
      <c r="E102" s="19" t="str">
        <f>IF($P102="","",IFERROR(IF(INDEX(MASTER!$F$4:$F$1463,$P102)="","",INDEX(MASTER!$F$4:$F$1463,$P102)),""))</f>
        <v/>
      </c>
      <c r="F102" s="20" t="str">
        <f>IF($P102="","",IFERROR(IF(INDEX(MASTER!$G$4:$G$1463,$P102)="","",INDEX(MASTER!$G$4:$G$1463,$P102)),""))</f>
        <v/>
      </c>
      <c r="G102" s="19" t="str">
        <f>IF($P102="","",IFERROR(IF(INDEX(MASTER!$H$4:$H$1463,$P102)="","",INDEX(MASTER!$H$4:$H$1463,$P102)),""))</f>
        <v/>
      </c>
      <c r="H102" s="20" t="str">
        <f>IF($P102="","",IFERROR(IF(INDEX(MASTER!$I$4:$I$1463,$P102)="","",INDEX(MASTER!$I$4:$I$1463,$P102)),""))</f>
        <v/>
      </c>
      <c r="I102" s="19" t="str">
        <f>IF($P102="","",IFERROR(IF(INDEX(MASTER!$J$4:$J$1463,$P102)="","",INDEX(MASTER!$J$4:$J$1463,$P102)),""))</f>
        <v/>
      </c>
      <c r="J102" s="21" t="str">
        <f>IF($P102="","",IFERROR(IF(INDEX(MASTER!$L$4:$L$1463,$P102)="","",INDEX(MASTER!$L$4:$L$1463,$P102)),""))</f>
        <v/>
      </c>
      <c r="K102" s="21" t="str">
        <f>IF($P102="","",IFERROR(IF(INDEX(MASTER!$N$4:$N$1463,$P102)="","",INDEX(MASTER!$N$4:$N$1463,$P102)),""))</f>
        <v/>
      </c>
      <c r="L102" s="19" t="str">
        <f>IF($P102="","",IFERROR(IF(INDEX(MASTER!$O$4:$O$1463,$P102)="","",INDEX(MASTER!$O$4:$O$1463,$P102)),""))</f>
        <v/>
      </c>
      <c r="M102" s="19" t="str">
        <f>IF($P102="","",IFERROR(IF(INDEX(MASTER!$Q$4:$Q$1463,$P102)="","",INDEX(MASTER!$Q$4:$Q$1463,$P102)),""))</f>
        <v/>
      </c>
      <c r="N102" s="19" t="str">
        <f>IF($P102="","",IFERROR(IF(INDEX(MASTER!$S$4:$S$1463,$P102)="","",INDEX(MASTER!$S$4:$S$1463,$P102)),""))</f>
        <v/>
      </c>
      <c r="P102" t="str">
        <f>IFERROR(MATCH($Q$1&amp;"@94",MASTER!$AC$4:$AC$1463,0),"")</f>
        <v/>
      </c>
    </row>
    <row r="103" spans="1:16">
      <c r="A103" s="15" t="str">
        <f>IF($P103="","",95)</f>
        <v/>
      </c>
      <c r="B103" s="14" t="str">
        <f>IF($P103="","",IFERROR(IF(INDEX(MASTER!$C$4:$C$1463,$P103)="","",INDEX(MASTER!$C$4:$C$1463,$P103)),""))</f>
        <v/>
      </c>
      <c r="C103" s="15" t="str">
        <f>IF($P103="","",IFERROR(IF(INDEX(MASTER!$D$4:$D$1463,$P103)="","",INDEX(MASTER!$D$4:$D$1463,$P103)),""))</f>
        <v/>
      </c>
      <c r="D103" s="15" t="str">
        <f>IF($P103="","",IFERROR(IF(INDEX(MASTER!$E$4:$E$1463,$P103)="","",INDEX(MASTER!$E$4:$E$1463,$P103)),""))</f>
        <v/>
      </c>
      <c r="E103" s="15" t="str">
        <f>IF($P103="","",IFERROR(IF(INDEX(MASTER!$F$4:$F$1463,$P103)="","",INDEX(MASTER!$F$4:$F$1463,$P103)),""))</f>
        <v/>
      </c>
      <c r="F103" s="16" t="str">
        <f>IF($P103="","",IFERROR(IF(INDEX(MASTER!$G$4:$G$1463,$P103)="","",INDEX(MASTER!$G$4:$G$1463,$P103)),""))</f>
        <v/>
      </c>
      <c r="G103" s="15" t="str">
        <f>IF($P103="","",IFERROR(IF(INDEX(MASTER!$H$4:$H$1463,$P103)="","",INDEX(MASTER!$H$4:$H$1463,$P103)),""))</f>
        <v/>
      </c>
      <c r="H103" s="16" t="str">
        <f>IF($P103="","",IFERROR(IF(INDEX(MASTER!$I$4:$I$1463,$P103)="","",INDEX(MASTER!$I$4:$I$1463,$P103)),""))</f>
        <v/>
      </c>
      <c r="I103" s="15" t="str">
        <f>IF($P103="","",IFERROR(IF(INDEX(MASTER!$J$4:$J$1463,$P103)="","",INDEX(MASTER!$J$4:$J$1463,$P103)),""))</f>
        <v/>
      </c>
      <c r="J103" s="17" t="str">
        <f>IF($P103="","",IFERROR(IF(INDEX(MASTER!$L$4:$L$1463,$P103)="","",INDEX(MASTER!$L$4:$L$1463,$P103)),""))</f>
        <v/>
      </c>
      <c r="K103" s="17" t="str">
        <f>IF($P103="","",IFERROR(IF(INDEX(MASTER!$N$4:$N$1463,$P103)="","",INDEX(MASTER!$N$4:$N$1463,$P103)),""))</f>
        <v/>
      </c>
      <c r="L103" s="15" t="str">
        <f>IF($P103="","",IFERROR(IF(INDEX(MASTER!$O$4:$O$1463,$P103)="","",INDEX(MASTER!$O$4:$O$1463,$P103)),""))</f>
        <v/>
      </c>
      <c r="M103" s="15" t="str">
        <f>IF($P103="","",IFERROR(IF(INDEX(MASTER!$Q$4:$Q$1463,$P103)="","",INDEX(MASTER!$Q$4:$Q$1463,$P103)),""))</f>
        <v/>
      </c>
      <c r="N103" s="15" t="str">
        <f>IF($P103="","",IFERROR(IF(INDEX(MASTER!$S$4:$S$1463,$P103)="","",INDEX(MASTER!$S$4:$S$1463,$P103)),""))</f>
        <v/>
      </c>
      <c r="P103" t="str">
        <f>IFERROR(MATCH($Q$1&amp;"@95",MASTER!$AC$4:$AC$1463,0),"")</f>
        <v/>
      </c>
    </row>
    <row r="104" spans="1:16">
      <c r="A104" s="19" t="str">
        <f>IF($P104="","",96)</f>
        <v/>
      </c>
      <c r="B104" s="18" t="str">
        <f>IF($P104="","",IFERROR(IF(INDEX(MASTER!$C$4:$C$1463,$P104)="","",INDEX(MASTER!$C$4:$C$1463,$P104)),""))</f>
        <v/>
      </c>
      <c r="C104" s="19" t="str">
        <f>IF($P104="","",IFERROR(IF(INDEX(MASTER!$D$4:$D$1463,$P104)="","",INDEX(MASTER!$D$4:$D$1463,$P104)),""))</f>
        <v/>
      </c>
      <c r="D104" s="19" t="str">
        <f>IF($P104="","",IFERROR(IF(INDEX(MASTER!$E$4:$E$1463,$P104)="","",INDEX(MASTER!$E$4:$E$1463,$P104)),""))</f>
        <v/>
      </c>
      <c r="E104" s="19" t="str">
        <f>IF($P104="","",IFERROR(IF(INDEX(MASTER!$F$4:$F$1463,$P104)="","",INDEX(MASTER!$F$4:$F$1463,$P104)),""))</f>
        <v/>
      </c>
      <c r="F104" s="20" t="str">
        <f>IF($P104="","",IFERROR(IF(INDEX(MASTER!$G$4:$G$1463,$P104)="","",INDEX(MASTER!$G$4:$G$1463,$P104)),""))</f>
        <v/>
      </c>
      <c r="G104" s="19" t="str">
        <f>IF($P104="","",IFERROR(IF(INDEX(MASTER!$H$4:$H$1463,$P104)="","",INDEX(MASTER!$H$4:$H$1463,$P104)),""))</f>
        <v/>
      </c>
      <c r="H104" s="20" t="str">
        <f>IF($P104="","",IFERROR(IF(INDEX(MASTER!$I$4:$I$1463,$P104)="","",INDEX(MASTER!$I$4:$I$1463,$P104)),""))</f>
        <v/>
      </c>
      <c r="I104" s="19" t="str">
        <f>IF($P104="","",IFERROR(IF(INDEX(MASTER!$J$4:$J$1463,$P104)="","",INDEX(MASTER!$J$4:$J$1463,$P104)),""))</f>
        <v/>
      </c>
      <c r="J104" s="21" t="str">
        <f>IF($P104="","",IFERROR(IF(INDEX(MASTER!$L$4:$L$1463,$P104)="","",INDEX(MASTER!$L$4:$L$1463,$P104)),""))</f>
        <v/>
      </c>
      <c r="K104" s="21" t="str">
        <f>IF($P104="","",IFERROR(IF(INDEX(MASTER!$N$4:$N$1463,$P104)="","",INDEX(MASTER!$N$4:$N$1463,$P104)),""))</f>
        <v/>
      </c>
      <c r="L104" s="19" t="str">
        <f>IF($P104="","",IFERROR(IF(INDEX(MASTER!$O$4:$O$1463,$P104)="","",INDEX(MASTER!$O$4:$O$1463,$P104)),""))</f>
        <v/>
      </c>
      <c r="M104" s="19" t="str">
        <f>IF($P104="","",IFERROR(IF(INDEX(MASTER!$Q$4:$Q$1463,$P104)="","",INDEX(MASTER!$Q$4:$Q$1463,$P104)),""))</f>
        <v/>
      </c>
      <c r="N104" s="19" t="str">
        <f>IF($P104="","",IFERROR(IF(INDEX(MASTER!$S$4:$S$1463,$P104)="","",INDEX(MASTER!$S$4:$S$1463,$P104)),""))</f>
        <v/>
      </c>
      <c r="P104" t="str">
        <f>IFERROR(MATCH($Q$1&amp;"@96",MASTER!$AC$4:$AC$1463,0),"")</f>
        <v/>
      </c>
    </row>
    <row r="105" spans="1:16">
      <c r="A105" s="15" t="str">
        <f>IF($P105="","",97)</f>
        <v/>
      </c>
      <c r="B105" s="14" t="str">
        <f>IF($P105="","",IFERROR(IF(INDEX(MASTER!$C$4:$C$1463,$P105)="","",INDEX(MASTER!$C$4:$C$1463,$P105)),""))</f>
        <v/>
      </c>
      <c r="C105" s="15" t="str">
        <f>IF($P105="","",IFERROR(IF(INDEX(MASTER!$D$4:$D$1463,$P105)="","",INDEX(MASTER!$D$4:$D$1463,$P105)),""))</f>
        <v/>
      </c>
      <c r="D105" s="15" t="str">
        <f>IF($P105="","",IFERROR(IF(INDEX(MASTER!$E$4:$E$1463,$P105)="","",INDEX(MASTER!$E$4:$E$1463,$P105)),""))</f>
        <v/>
      </c>
      <c r="E105" s="15" t="str">
        <f>IF($P105="","",IFERROR(IF(INDEX(MASTER!$F$4:$F$1463,$P105)="","",INDEX(MASTER!$F$4:$F$1463,$P105)),""))</f>
        <v/>
      </c>
      <c r="F105" s="16" t="str">
        <f>IF($P105="","",IFERROR(IF(INDEX(MASTER!$G$4:$G$1463,$P105)="","",INDEX(MASTER!$G$4:$G$1463,$P105)),""))</f>
        <v/>
      </c>
      <c r="G105" s="15" t="str">
        <f>IF($P105="","",IFERROR(IF(INDEX(MASTER!$H$4:$H$1463,$P105)="","",INDEX(MASTER!$H$4:$H$1463,$P105)),""))</f>
        <v/>
      </c>
      <c r="H105" s="16" t="str">
        <f>IF($P105="","",IFERROR(IF(INDEX(MASTER!$I$4:$I$1463,$P105)="","",INDEX(MASTER!$I$4:$I$1463,$P105)),""))</f>
        <v/>
      </c>
      <c r="I105" s="15" t="str">
        <f>IF($P105="","",IFERROR(IF(INDEX(MASTER!$J$4:$J$1463,$P105)="","",INDEX(MASTER!$J$4:$J$1463,$P105)),""))</f>
        <v/>
      </c>
      <c r="J105" s="17" t="str">
        <f>IF($P105="","",IFERROR(IF(INDEX(MASTER!$L$4:$L$1463,$P105)="","",INDEX(MASTER!$L$4:$L$1463,$P105)),""))</f>
        <v/>
      </c>
      <c r="K105" s="17" t="str">
        <f>IF($P105="","",IFERROR(IF(INDEX(MASTER!$N$4:$N$1463,$P105)="","",INDEX(MASTER!$N$4:$N$1463,$P105)),""))</f>
        <v/>
      </c>
      <c r="L105" s="15" t="str">
        <f>IF($P105="","",IFERROR(IF(INDEX(MASTER!$O$4:$O$1463,$P105)="","",INDEX(MASTER!$O$4:$O$1463,$P105)),""))</f>
        <v/>
      </c>
      <c r="M105" s="15" t="str">
        <f>IF($P105="","",IFERROR(IF(INDEX(MASTER!$Q$4:$Q$1463,$P105)="","",INDEX(MASTER!$Q$4:$Q$1463,$P105)),""))</f>
        <v/>
      </c>
      <c r="N105" s="15" t="str">
        <f>IF($P105="","",IFERROR(IF(INDEX(MASTER!$S$4:$S$1463,$P105)="","",INDEX(MASTER!$S$4:$S$1463,$P105)),""))</f>
        <v/>
      </c>
      <c r="P105" t="str">
        <f>IFERROR(MATCH($Q$1&amp;"@97",MASTER!$AC$4:$AC$1463,0),"")</f>
        <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9" spans="2:7" ht="19.5" customHeight="1">
      <c r="B129" s="91" t="s">
        <v>488</v>
      </c>
      <c r="C129" s="91"/>
      <c r="D129" s="91"/>
      <c r="E129" s="91"/>
      <c r="F129" s="91"/>
      <c r="G129" s="91"/>
    </row>
    <row r="130" spans="2:7" ht="27.75" customHeight="1">
      <c r="B130" s="108" t="s">
        <v>68</v>
      </c>
      <c r="C130" s="108"/>
      <c r="D130" s="13" t="s">
        <v>69</v>
      </c>
      <c r="E130" s="13" t="s">
        <v>64</v>
      </c>
      <c r="F130" s="13" t="s">
        <v>50</v>
      </c>
      <c r="G130" s="13" t="s">
        <v>51</v>
      </c>
    </row>
    <row r="131" spans="2:7">
      <c r="B131" s="106" t="s">
        <v>71</v>
      </c>
      <c r="C131" s="106"/>
      <c r="D131" s="16" t="str">
        <f>IFERROR(INDEX(SETUP!$B$55:$B$64,MATCH($B131,SETUP!$A$55:$A$64,0)),"-")</f>
        <v>Frontline</v>
      </c>
      <c r="E131" s="16">
        <f>COUNTIFS(MASTER!$B:$B,$Q$1,MASTER!$E:$E,$B131)</f>
        <v>9</v>
      </c>
      <c r="F131" s="16">
        <f>IFERROR(ROUND(AVERAGEIFS(MASTER!$I:$I,MASTER!$B:$B,$Q$1,MASTER!$E:$E,$B131),0),"-")</f>
        <v>3290</v>
      </c>
      <c r="G131" s="16">
        <f>IF($E131=0,"-",IFERROR(_xlfn.MAXIFS(MASTER!$I:$I,MASTER!$B:$B,$Q$1,MASTER!$E:$E,$B131),"-"))</f>
        <v>7163</v>
      </c>
    </row>
    <row r="132" spans="2:7">
      <c r="B132" s="105" t="s">
        <v>72</v>
      </c>
      <c r="C132" s="105"/>
      <c r="D132" s="20" t="str">
        <f>IFERROR(INDEX(SETUP!$B$55:$B$64,MATCH($B132,SETUP!$A$55:$A$64,0)),"-")</f>
        <v>Frontline</v>
      </c>
      <c r="E132" s="20">
        <f>COUNTIFS(MASTER!$B:$B,$Q$1,MASTER!$E:$E,$B132)</f>
        <v>4</v>
      </c>
      <c r="F132" s="20">
        <f>IFERROR(ROUND(AVERAGEIFS(MASTER!$I:$I,MASTER!$B:$B,$Q$1,MASTER!$E:$E,$B132),0),"-")</f>
        <v>2190</v>
      </c>
      <c r="G132" s="20">
        <f>IF($E132=0,"-",IFERROR(_xlfn.MAXIFS(MASTER!$I:$I,MASTER!$B:$B,$Q$1,MASTER!$E:$E,$B132),"-"))</f>
        <v>4110</v>
      </c>
    </row>
    <row r="133" spans="2:7">
      <c r="B133" s="106" t="s">
        <v>73</v>
      </c>
      <c r="C133" s="106"/>
      <c r="D133" s="16" t="str">
        <f>IFERROR(INDEX(SETUP!$B$55:$B$64,MATCH($B133,SETUP!$A$55:$A$64,0)),"-")</f>
        <v>Frontline</v>
      </c>
      <c r="E133" s="16">
        <f>COUNTIFS(MASTER!$B:$B,$Q$1,MASTER!$E:$E,$B133)</f>
        <v>4</v>
      </c>
      <c r="F133" s="16">
        <f>IFERROR(ROUND(AVERAGEIFS(MASTER!$I:$I,MASTER!$B:$B,$Q$1,MASTER!$E:$E,$B133),0),"-")</f>
        <v>4921</v>
      </c>
      <c r="G133" s="16">
        <f>IF($E133=0,"-",IFERROR(_xlfn.MAXIFS(MASTER!$I:$I,MASTER!$B:$B,$Q$1,MASTER!$E:$E,$B133),"-"))</f>
        <v>11094</v>
      </c>
    </row>
    <row r="134" spans="2:7">
      <c r="B134" s="105" t="s">
        <v>74</v>
      </c>
      <c r="C134" s="105"/>
      <c r="D134" s="20" t="str">
        <f>IFERROR(INDEX(SETUP!$B$55:$B$64,MATCH($B134,SETUP!$A$55:$A$64,0)),"-")</f>
        <v>Ranged DPS</v>
      </c>
      <c r="E134" s="20">
        <f>COUNTIFS(MASTER!$B:$B,$Q$1,MASTER!$E:$E,$B134)</f>
        <v>6</v>
      </c>
      <c r="F134" s="20">
        <f>IFERROR(ROUND(AVERAGEIFS(MASTER!$I:$I,MASTER!$B:$B,$Q$1,MASTER!$E:$E,$B134),0),"-")</f>
        <v>2850</v>
      </c>
      <c r="G134" s="20">
        <f>IF($E134=0,"-",IFERROR(_xlfn.MAXIFS(MASTER!$I:$I,MASTER!$B:$B,$Q$1,MASTER!$E:$E,$B134),"-"))</f>
        <v>6342</v>
      </c>
    </row>
    <row r="135" spans="2:7">
      <c r="B135" s="106" t="s">
        <v>75</v>
      </c>
      <c r="C135" s="106"/>
      <c r="D135" s="16" t="str">
        <f>IFERROR(INDEX(SETUP!$B$55:$B$64,MATCH($B135,SETUP!$A$55:$A$64,0)),"-")</f>
        <v>Support</v>
      </c>
      <c r="E135" s="16">
        <f>COUNTIFS(MASTER!$B:$B,$Q$1,MASTER!$E:$E,$B135)</f>
        <v>1</v>
      </c>
      <c r="F135" s="16">
        <f>IFERROR(ROUND(AVERAGEIFS(MASTER!$I:$I,MASTER!$B:$B,$Q$1,MASTER!$E:$E,$B135),0),"-")</f>
        <v>1010</v>
      </c>
      <c r="G135" s="16">
        <f>IF($E135=0,"-",IFERROR(_xlfn.MAXIFS(MASTER!$I:$I,MASTER!$B:$B,$Q$1,MASTER!$E:$E,$B135),"-"))</f>
        <v>1010</v>
      </c>
    </row>
    <row r="136" spans="2:7">
      <c r="B136" s="105" t="s">
        <v>76</v>
      </c>
      <c r="C136" s="105"/>
      <c r="D136" s="20" t="str">
        <f>IFERROR(INDEX(SETUP!$B$55:$B$64,MATCH($B136,SETUP!$A$55:$A$64,0)),"-")</f>
        <v>Support</v>
      </c>
      <c r="E136" s="20">
        <f>COUNTIFS(MASTER!$B:$B,$Q$1,MASTER!$E:$E,$B136)</f>
        <v>3</v>
      </c>
      <c r="F136" s="20">
        <f>IFERROR(ROUND(AVERAGEIFS(MASTER!$I:$I,MASTER!$B:$B,$Q$1,MASTER!$E:$E,$B136),0),"-")</f>
        <v>4948</v>
      </c>
      <c r="G136" s="20">
        <f>IF($E136=0,"-",IFERROR(_xlfn.MAXIFS(MASTER!$I:$I,MASTER!$B:$B,$Q$1,MASTER!$E:$E,$B136),"-"))</f>
        <v>9887</v>
      </c>
    </row>
    <row r="137" spans="2:7">
      <c r="B137" s="106" t="s">
        <v>77</v>
      </c>
      <c r="C137" s="106"/>
      <c r="D137" s="16" t="str">
        <f>IFERROR(INDEX(SETUP!$B$55:$B$64,MATCH($B137,SETUP!$A$55:$A$64,0)),"-")</f>
        <v>Control</v>
      </c>
      <c r="E137" s="16">
        <f>COUNTIFS(MASTER!$B:$B,$Q$1,MASTER!$E:$E,$B137)</f>
        <v>12</v>
      </c>
      <c r="F137" s="16">
        <f>IFERROR(ROUND(AVERAGEIFS(MASTER!$I:$I,MASTER!$B:$B,$Q$1,MASTER!$E:$E,$B137),0),"-")</f>
        <v>2871</v>
      </c>
      <c r="G137" s="16">
        <f>IF($E137=0,"-",IFERROR(_xlfn.MAXIFS(MASTER!$I:$I,MASTER!$B:$B,$Q$1,MASTER!$E:$E,$B137),"-"))</f>
        <v>4711</v>
      </c>
    </row>
    <row r="138" spans="2:7">
      <c r="B138" s="105" t="s">
        <v>78</v>
      </c>
      <c r="C138" s="105"/>
      <c r="D138" s="20" t="str">
        <f>IFERROR(INDEX(SETUP!$B$55:$B$64,MATCH($B138,SETUP!$A$55:$A$64,0)),"-")</f>
        <v>Melee DPS</v>
      </c>
      <c r="E138" s="20">
        <f>COUNTIFS(MASTER!$B:$B,$Q$1,MASTER!$E:$E,$B138)</f>
        <v>7</v>
      </c>
      <c r="F138" s="20">
        <f>IFERROR(ROUND(AVERAGEIFS(MASTER!$I:$I,MASTER!$B:$B,$Q$1,MASTER!$E:$E,$B138),0),"-")</f>
        <v>3619</v>
      </c>
      <c r="G138" s="20">
        <f>IF($E138=0,"-",IFERROR(_xlfn.MAXIFS(MASTER!$I:$I,MASTER!$B:$B,$Q$1,MASTER!$E:$E,$B138),"-"))</f>
        <v>7463</v>
      </c>
    </row>
    <row r="139" spans="2:7">
      <c r="B139" s="106" t="s">
        <v>79</v>
      </c>
      <c r="C139" s="106"/>
      <c r="D139" s="16" t="str">
        <f>IFERROR(INDEX(SETUP!$B$55:$B$64,MATCH($B139,SETUP!$A$55:$A$64,0)),"-")</f>
        <v>Control</v>
      </c>
      <c r="E139" s="16">
        <f>COUNTIFS(MASTER!$B:$B,$Q$1,MASTER!$E:$E,$B139)</f>
        <v>18</v>
      </c>
      <c r="F139" s="16">
        <f>IFERROR(ROUND(AVERAGEIFS(MASTER!$I:$I,MASTER!$B:$B,$Q$1,MASTER!$E:$E,$B139),0),"-")</f>
        <v>2258</v>
      </c>
      <c r="G139" s="16">
        <f>IF($E139=0,"-",IFERROR(_xlfn.MAXIFS(MASTER!$I:$I,MASTER!$B:$B,$Q$1,MASTER!$E:$E,$B139),"-"))</f>
        <v>6013</v>
      </c>
    </row>
    <row r="140" spans="2:7">
      <c r="B140" s="105" t="s">
        <v>80</v>
      </c>
      <c r="C140" s="105"/>
      <c r="D140" s="20" t="str">
        <f>IFERROR(INDEX(SETUP!$B$55:$B$64,MATCH($B140,SETUP!$A$55:$A$64,0)),"-")</f>
        <v>Ranged DPS</v>
      </c>
      <c r="E140" s="20">
        <f>COUNTIFS(MASTER!$B:$B,$Q$1,MASTER!$E:$E,$B140)</f>
        <v>4</v>
      </c>
      <c r="F140" s="20">
        <f>IFERROR(ROUND(AVERAGEIFS(MASTER!$I:$I,MASTER!$B:$B,$Q$1,MASTER!$E:$E,$B140),0),"-")</f>
        <v>4096</v>
      </c>
      <c r="G140" s="20">
        <f>IF($E140=0,"-",IFERROR(_xlfn.MAXIFS(MASTER!$I:$I,MASTER!$B:$B,$Q$1,MASTER!$E:$E,$B140),"-"))</f>
        <v>10121</v>
      </c>
    </row>
  </sheetData>
  <autoFilter ref="A8:N126" xr:uid="{00000000-0009-0000-0000-000013000000}"/>
  <mergeCells count="29">
    <mergeCell ref="A1:N1"/>
    <mergeCell ref="A2:N2"/>
    <mergeCell ref="A4:B4"/>
    <mergeCell ref="C4:D4"/>
    <mergeCell ref="E4:F4"/>
    <mergeCell ref="G4:H4"/>
    <mergeCell ref="I4:J4"/>
    <mergeCell ref="K4:L4"/>
    <mergeCell ref="M4:N4"/>
    <mergeCell ref="K5:L5"/>
    <mergeCell ref="M5:N5"/>
    <mergeCell ref="A7:N7"/>
    <mergeCell ref="B129:G129"/>
    <mergeCell ref="B130:C130"/>
    <mergeCell ref="A5:B5"/>
    <mergeCell ref="C5:D5"/>
    <mergeCell ref="E5:F5"/>
    <mergeCell ref="G5:H5"/>
    <mergeCell ref="I5:J5"/>
    <mergeCell ref="B131:C131"/>
    <mergeCell ref="B132:C132"/>
    <mergeCell ref="B133:C133"/>
    <mergeCell ref="B134:C134"/>
    <mergeCell ref="B135:C135"/>
    <mergeCell ref="B136:C136"/>
    <mergeCell ref="B137:C137"/>
    <mergeCell ref="B138:C138"/>
    <mergeCell ref="B139:C139"/>
    <mergeCell ref="B140:C140"/>
  </mergeCells>
  <conditionalFormatting sqref="H9:H126">
    <cfRule type="colorScale" priority="2">
      <colorScale>
        <cfvo type="num" val="0"/>
        <cfvo type="num" val="5000"/>
        <cfvo type="num" val="12600"/>
        <color rgb="FFF8CBAD"/>
        <color rgb="FFFFE699"/>
        <color rgb="FFA9D08E"/>
      </colorScale>
    </cfRule>
  </conditionalFormatting>
  <conditionalFormatting sqref="N9:N126">
    <cfRule type="cellIs" dxfId="5"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0" evalError="1" twoDigitTextYear="1" numberStoredAsText="1" formula="1" formulaRange="1" unlockedFormula="1" emptyCellReference="1" listDataValidation="1" calculatedColumn="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030A0"/>
    <pageSetUpPr fitToPage="1"/>
  </sheetPr>
  <dimension ref="A1:Q143"/>
  <sheetViews>
    <sheetView showGridLines="0"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499</v>
      </c>
      <c r="B1" s="92"/>
      <c r="C1" s="92"/>
      <c r="D1" s="92"/>
      <c r="E1" s="92"/>
      <c r="F1" s="92"/>
      <c r="G1" s="92"/>
      <c r="H1" s="92"/>
      <c r="I1" s="92"/>
      <c r="J1" s="92"/>
      <c r="K1" s="92"/>
      <c r="L1" s="92"/>
      <c r="M1" s="92"/>
      <c r="N1" s="92"/>
      <c r="Q1" t="s">
        <v>116</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96</v>
      </c>
      <c r="B5" s="95"/>
      <c r="C5" s="95">
        <f>COUNTIFS(MASTER!$B:$B,$Q$1,MASTER!$S:$S,"Complete")</f>
        <v>94</v>
      </c>
      <c r="D5" s="95"/>
      <c r="E5" s="95">
        <f>IFERROR(ROUND(AVERAGEIFS(MASTER!$I:$I,MASTER!$B:$B,$Q$1),0),"-")</f>
        <v>3603</v>
      </c>
      <c r="F5" s="95"/>
      <c r="G5" s="95">
        <f>IFERROR(_xlfn.MAXIFS(MASTER!$I:$I,MASTER!$B:$B,$Q$1),"-")</f>
        <v>7759</v>
      </c>
      <c r="H5" s="95"/>
      <c r="I5" s="95">
        <f>COUNTIFS(MASTER!$B:$B,$Q$1,MASTER!$I:$I,"&gt;=10000")</f>
        <v>0</v>
      </c>
      <c r="J5" s="95"/>
      <c r="K5" s="107">
        <f>IFERROR(ROUND(AVERAGEIFS(MASTER!$N:$N,MASTER!$B:$B,$Q$1),1),"-")</f>
        <v>41.9</v>
      </c>
      <c r="L5" s="107"/>
      <c r="M5" s="95">
        <f>IF($Q$1="FUCT","- ours -",IFERROR(ROUND(AVERAGEIFS(MASTER!$I:$I,MASTER!$B:$B,$Q$1)-AVERAGEIF(MASTER!$B:$B,"FUCT",MASTER!$I:$I),0),"-"))</f>
        <v>-1610</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2GuDii</v>
      </c>
      <c r="C9" s="15" t="str">
        <f>IF($P9="","",IFERROR(IF(INDEX(MASTER!$D$4:$D$1463,$P9)="","",INDEX(MASTER!$D$4:$D$1463,$P9)),""))</f>
        <v>VENGENCE</v>
      </c>
      <c r="D9" s="15" t="str">
        <f>IF($P9="","",IFERROR(IF(INDEX(MASTER!$E$4:$E$1463,$P9)="","",INDEX(MASTER!$E$4:$E$1463,$P9)),""))</f>
        <v>DRUID</v>
      </c>
      <c r="E9" s="15" t="str">
        <f>IF($P9="","",IFERROR(IF(INDEX(MASTER!$F$4:$F$1463,$P9)="","",INDEX(MASTER!$F$4:$F$1463,$P9)),""))</f>
        <v>Support</v>
      </c>
      <c r="F9" s="16">
        <f>IF($P9="","",IFERROR(IF(INDEX(MASTER!$G$4:$G$1463,$P9)="","",INDEX(MASTER!$G$4:$G$1463,$P9)),""))</f>
        <v>62044</v>
      </c>
      <c r="G9" s="15" t="str">
        <f>IF($P9="","",IFERROR(IF(INDEX(MASTER!$H$4:$H$1463,$P9)="","",INDEX(MASTER!$H$4:$H$1463,$P9)),""))</f>
        <v>62,000 - 62,999</v>
      </c>
      <c r="H9" s="16">
        <f>IF($P9="","",IFERROR(IF(INDEX(MASTER!$I$4:$I$1463,$P9)="","",INDEX(MASTER!$I$4:$I$1463,$P9)),""))</f>
        <v>2678</v>
      </c>
      <c r="I9" s="15" t="str">
        <f>IF($P9="","",IFERROR(IF(INDEX(MASTER!$J$4:$J$1463,$P9)="","",INDEX(MASTER!$J$4:$J$1463,$P9)),""))</f>
        <v>DEVELOPING</v>
      </c>
      <c r="J9" s="17">
        <f>IF($P9="","",IFERROR(IF(INDEX(MASTER!$L$4:$L$1463,$P9)="","",INDEX(MASTER!$L$4:$L$1463,$P9)),""))</f>
        <v>3.8</v>
      </c>
      <c r="K9" s="17">
        <f>IF($P9="","",IFERROR(IF(INDEX(MASTER!$N$4:$N$1463,$P9)="","",INDEX(MASTER!$N$4:$N$1463,$P9)),""))</f>
        <v>36.6</v>
      </c>
      <c r="L9" s="15" t="str">
        <f>IF($P9="","",IFERROR(IF(INDEX(MASTER!$O$4:$O$1463,$P9)="","",INDEX(MASTER!$O$4:$O$1463,$P9)),""))</f>
        <v>B</v>
      </c>
      <c r="M9" s="15">
        <f>IF($P9="","",IFERROR(IF(INDEX(MASTER!$Q$4:$Q$1463,$P9)="","",INDEX(MASTER!$Q$4:$Q$1463,$P9)),""))</f>
        <v>66</v>
      </c>
      <c r="N9" s="15" t="str">
        <f>IF($P9="","",IFERROR(IF(INDEX(MASTER!$S$4:$S$1463,$P9)="","",INDEX(MASTER!$S$4:$S$1463,$P9)),""))</f>
        <v>Complete</v>
      </c>
      <c r="P9">
        <f>IFERROR(MATCH($Q$1&amp;"@1",MASTER!$AC$4:$AC$1463,0),"")</f>
        <v>2</v>
      </c>
    </row>
    <row r="10" spans="1:17">
      <c r="A10" s="19">
        <f>IF($P10="","",2)</f>
        <v>2</v>
      </c>
      <c r="B10" s="18" t="str">
        <f>IF($P10="","",IFERROR(IF(INDEX(MASTER!$C$4:$C$1463,$P10)="","",INDEX(MASTER!$C$4:$C$1463,$P10)),""))</f>
        <v>30MgOxycodone</v>
      </c>
      <c r="C10" s="19" t="str">
        <f>IF($P10="","",IFERROR(IF(INDEX(MASTER!$D$4:$D$1463,$P10)="","",INDEX(MASTER!$D$4:$D$1463,$P10)),""))</f>
        <v>VENGENCE</v>
      </c>
      <c r="D10" s="19" t="str">
        <f>IF($P10="","",IFERROR(IF(INDEX(MASTER!$E$4:$E$1463,$P10)="","",INDEX(MASTER!$E$4:$E$1463,$P10)),""))</f>
        <v>BARBARIAN</v>
      </c>
      <c r="E10" s="19" t="str">
        <f>IF($P10="","",IFERROR(IF(INDEX(MASTER!$F$4:$F$1463,$P10)="","",INDEX(MASTER!$F$4:$F$1463,$P10)),""))</f>
        <v>Frontline</v>
      </c>
      <c r="F10" s="20">
        <f>IF($P10="","",IFERROR(IF(INDEX(MASTER!$G$4:$G$1463,$P10)="","",INDEX(MASTER!$G$4:$G$1463,$P10)),""))</f>
        <v>61329</v>
      </c>
      <c r="G10" s="19" t="str">
        <f>IF($P10="","",IFERROR(IF(INDEX(MASTER!$H$4:$H$1463,$P10)="","",INDEX(MASTER!$H$4:$H$1463,$P10)),""))</f>
        <v>61,000 - 61,999</v>
      </c>
      <c r="H10" s="20">
        <f>IF($P10="","",IFERROR(IF(INDEX(MASTER!$I$4:$I$1463,$P10)="","",INDEX(MASTER!$I$4:$I$1463,$P10)),""))</f>
        <v>5646</v>
      </c>
      <c r="I10" s="19" t="str">
        <f>IF($P10="","",IFERROR(IF(INDEX(MASTER!$J$4:$J$1463,$P10)="","",INDEX(MASTER!$J$4:$J$1463,$P10)),""))</f>
        <v>CORE</v>
      </c>
      <c r="J10" s="21">
        <f>IF($P10="","",IFERROR(IF(INDEX(MASTER!$L$4:$L$1463,$P10)="","",INDEX(MASTER!$L$4:$L$1463,$P10)),""))</f>
        <v>4.91</v>
      </c>
      <c r="K10" s="21">
        <f>IF($P10="","",IFERROR(IF(INDEX(MASTER!$N$4:$N$1463,$P10)="","",INDEX(MASTER!$N$4:$N$1463,$P10)),""))</f>
        <v>49.5</v>
      </c>
      <c r="L10" s="19" t="str">
        <f>IF($P10="","",IFERROR(IF(INDEX(MASTER!$O$4:$O$1463,$P10)="","",INDEX(MASTER!$O$4:$O$1463,$P10)),""))</f>
        <v>B</v>
      </c>
      <c r="M10" s="19">
        <f>IF($P10="","",IFERROR(IF(INDEX(MASTER!$Q$4:$Q$1463,$P10)="","",INDEX(MASTER!$Q$4:$Q$1463,$P10)),""))</f>
        <v>9</v>
      </c>
      <c r="N10" s="19" t="str">
        <f>IF($P10="","",IFERROR(IF(INDEX(MASTER!$S$4:$S$1463,$P10)="","",INDEX(MASTER!$S$4:$S$1463,$P10)),""))</f>
        <v>Complete</v>
      </c>
      <c r="P10">
        <f>IFERROR(MATCH($Q$1&amp;"@2",MASTER!$AC$4:$AC$1463,0),"")</f>
        <v>5</v>
      </c>
    </row>
    <row r="11" spans="1:17">
      <c r="A11" s="15">
        <f>IF($P11="","",3)</f>
        <v>3</v>
      </c>
      <c r="B11" s="14" t="str">
        <f>IF($P11="","",IFERROR(IF(INDEX(MASTER!$C$4:$C$1463,$P11)="","",INDEX(MASTER!$C$4:$C$1463,$P11)),""))</f>
        <v>Aalynn</v>
      </c>
      <c r="C11" s="15" t="str">
        <f>IF($P11="","",IFERROR(IF(INDEX(MASTER!$D$4:$D$1463,$P11)="","",INDEX(MASTER!$D$4:$D$1463,$P11)),""))</f>
        <v>VENGENCE</v>
      </c>
      <c r="D11" s="15" t="str">
        <f>IF($P11="","",IFERROR(IF(INDEX(MASTER!$E$4:$E$1463,$P11)="","",INDEX(MASTER!$E$4:$E$1463,$P11)),""))</f>
        <v>NECROMANCER</v>
      </c>
      <c r="E11" s="15" t="str">
        <f>IF($P11="","",IFERROR(IF(INDEX(MASTER!$F$4:$F$1463,$P11)="","",INDEX(MASTER!$F$4:$F$1463,$P11)),""))</f>
        <v>Control</v>
      </c>
      <c r="F11" s="16">
        <f>IF($P11="","",IFERROR(IF(INDEX(MASTER!$G$4:$G$1463,$P11)="","",INDEX(MASTER!$G$4:$G$1463,$P11)),""))</f>
        <v>59911</v>
      </c>
      <c r="G11" s="15" t="str">
        <f>IF($P11="","",IFERROR(IF(INDEX(MASTER!$H$4:$H$1463,$P11)="","",INDEX(MASTER!$H$4:$H$1463,$P11)),""))</f>
        <v>58,000 - 59,999</v>
      </c>
      <c r="H11" s="16">
        <f>IF($P11="","",IFERROR(IF(INDEX(MASTER!$I$4:$I$1463,$P11)="","",INDEX(MASTER!$I$4:$I$1463,$P11)),""))</f>
        <v>2308</v>
      </c>
      <c r="I11" s="15" t="str">
        <f>IF($P11="","",IFERROR(IF(INDEX(MASTER!$J$4:$J$1463,$P11)="","",INDEX(MASTER!$J$4:$J$1463,$P11)),""))</f>
        <v>DEVELOPING</v>
      </c>
      <c r="J11" s="17">
        <f>IF($P11="","",IFERROR(IF(INDEX(MASTER!$L$4:$L$1463,$P11)="","",INDEX(MASTER!$L$4:$L$1463,$P11)),""))</f>
        <v>4.5999999999999996</v>
      </c>
      <c r="K11" s="17">
        <f>IF($P11="","",IFERROR(IF(INDEX(MASTER!$N$4:$N$1463,$P11)="","",INDEX(MASTER!$N$4:$N$1463,$P11)),""))</f>
        <v>30.7</v>
      </c>
      <c r="L11" s="15" t="str">
        <f>IF($P11="","",IFERROR(IF(INDEX(MASTER!$O$4:$O$1463,$P11)="","",INDEX(MASTER!$O$4:$O$1463,$P11)),""))</f>
        <v>C</v>
      </c>
      <c r="M11" s="15">
        <f>IF($P11="","",IFERROR(IF(INDEX(MASTER!$Q$4:$Q$1463,$P11)="","",INDEX(MASTER!$Q$4:$Q$1463,$P11)),""))</f>
        <v>75</v>
      </c>
      <c r="N11" s="15" t="str">
        <f>IF($P11="","",IFERROR(IF(INDEX(MASTER!$S$4:$S$1463,$P11)="","",INDEX(MASTER!$S$4:$S$1463,$P11)),""))</f>
        <v>Complete</v>
      </c>
      <c r="P11">
        <f>IFERROR(MATCH($Q$1&amp;"@3",MASTER!$AC$4:$AC$1463,0),"")</f>
        <v>12</v>
      </c>
    </row>
    <row r="12" spans="1:17">
      <c r="A12" s="19">
        <f>IF($P12="","",4)</f>
        <v>4</v>
      </c>
      <c r="B12" s="18" t="str">
        <f>IF($P12="","",IFERROR(IF(INDEX(MASTER!$C$4:$C$1463,$P12)="","",INDEX(MASTER!$C$4:$C$1463,$P12)),""))</f>
        <v>Abzhu</v>
      </c>
      <c r="C12" s="19" t="str">
        <f>IF($P12="","",IFERROR(IF(INDEX(MASTER!$D$4:$D$1463,$P12)="","",INDEX(MASTER!$D$4:$D$1463,$P12)),""))</f>
        <v>VENGENCE</v>
      </c>
      <c r="D12" s="19" t="str">
        <f>IF($P12="","",IFERROR(IF(INDEX(MASTER!$E$4:$E$1463,$P12)="","",INDEX(MASTER!$E$4:$E$1463,$P12)),""))</f>
        <v>CRUSADER</v>
      </c>
      <c r="E12" s="19" t="str">
        <f>IF($P12="","",IFERROR(IF(INDEX(MASTER!$F$4:$F$1463,$P12)="","",INDEX(MASTER!$F$4:$F$1463,$P12)),""))</f>
        <v>Frontline</v>
      </c>
      <c r="F12" s="20">
        <f>IF($P12="","",IFERROR(IF(INDEX(MASTER!$G$4:$G$1463,$P12)="","",INDEX(MASTER!$G$4:$G$1463,$P12)),""))</f>
        <v>62542</v>
      </c>
      <c r="G12" s="19" t="str">
        <f>IF($P12="","",IFERROR(IF(INDEX(MASTER!$H$4:$H$1463,$P12)="","",INDEX(MASTER!$H$4:$H$1463,$P12)),""))</f>
        <v>62,000 - 62,999</v>
      </c>
      <c r="H12" s="20">
        <f>IF($P12="","",IFERROR(IF(INDEX(MASTER!$I$4:$I$1463,$P12)="","",INDEX(MASTER!$I$4:$I$1463,$P12)),""))</f>
        <v>4661</v>
      </c>
      <c r="I12" s="19" t="str">
        <f>IF($P12="","",IFERROR(IF(INDEX(MASTER!$J$4:$J$1463,$P12)="","",INDEX(MASTER!$J$4:$J$1463,$P12)),""))</f>
        <v>CORE</v>
      </c>
      <c r="J12" s="21">
        <f>IF($P12="","",IFERROR(IF(INDEX(MASTER!$L$4:$L$1463,$P12)="","",INDEX(MASTER!$L$4:$L$1463,$P12)),""))</f>
        <v>5.0999999999999996</v>
      </c>
      <c r="K12" s="21">
        <f>IF($P12="","",IFERROR(IF(INDEX(MASTER!$N$4:$N$1463,$P12)="","",INDEX(MASTER!$N$4:$N$1463,$P12)),""))</f>
        <v>48.7</v>
      </c>
      <c r="L12" s="19" t="str">
        <f>IF($P12="","",IFERROR(IF(INDEX(MASTER!$O$4:$O$1463,$P12)="","",INDEX(MASTER!$O$4:$O$1463,$P12)),""))</f>
        <v>B</v>
      </c>
      <c r="M12" s="19">
        <f>IF($P12="","",IFERROR(IF(INDEX(MASTER!$Q$4:$Q$1463,$P12)="","",INDEX(MASTER!$Q$4:$Q$1463,$P12)),""))</f>
        <v>21</v>
      </c>
      <c r="N12" s="19" t="str">
        <f>IF($P12="","",IFERROR(IF(INDEX(MASTER!$S$4:$S$1463,$P12)="","",INDEX(MASTER!$S$4:$S$1463,$P12)),""))</f>
        <v>Complete</v>
      </c>
      <c r="P12">
        <f>IFERROR(MATCH($Q$1&amp;"@4",MASTER!$AC$4:$AC$1463,0),"")</f>
        <v>15</v>
      </c>
    </row>
    <row r="13" spans="1:17">
      <c r="A13" s="15">
        <f>IF($P13="","",5)</f>
        <v>5</v>
      </c>
      <c r="B13" s="14" t="str">
        <f>IF($P13="","",IFERROR(IF(INDEX(MASTER!$C$4:$C$1463,$P13)="","",INDEX(MASTER!$C$4:$C$1463,$P13)),""))</f>
        <v>Aluxard</v>
      </c>
      <c r="C13" s="15" t="str">
        <f>IF($P13="","",IFERROR(IF(INDEX(MASTER!$D$4:$D$1463,$P13)="","",INDEX(MASTER!$D$4:$D$1463,$P13)),""))</f>
        <v>VENGENCE</v>
      </c>
      <c r="D13" s="15" t="str">
        <f>IF($P13="","",IFERROR(IF(INDEX(MASTER!$E$4:$E$1463,$P13)="","",INDEX(MASTER!$E$4:$E$1463,$P13)),""))</f>
        <v>DRUID</v>
      </c>
      <c r="E13" s="15" t="str">
        <f>IF($P13="","",IFERROR(IF(INDEX(MASTER!$F$4:$F$1463,$P13)="","",INDEX(MASTER!$F$4:$F$1463,$P13)),""))</f>
        <v>Support</v>
      </c>
      <c r="F13" s="16">
        <f>IF($P13="","",IFERROR(IF(INDEX(MASTER!$G$4:$G$1463,$P13)="","",INDEX(MASTER!$G$4:$G$1463,$P13)),""))</f>
        <v>62838</v>
      </c>
      <c r="G13" s="15" t="str">
        <f>IF($P13="","",IFERROR(IF(INDEX(MASTER!$H$4:$H$1463,$P13)="","",INDEX(MASTER!$H$4:$H$1463,$P13)),""))</f>
        <v>62,000 - 62,999</v>
      </c>
      <c r="H13" s="16">
        <f>IF($P13="","",IFERROR(IF(INDEX(MASTER!$I$4:$I$1463,$P13)="","",INDEX(MASTER!$I$4:$I$1463,$P13)),""))</f>
        <v>5114</v>
      </c>
      <c r="I13" s="15" t="str">
        <f>IF($P13="","",IFERROR(IF(INDEX(MASTER!$J$4:$J$1463,$P13)="","",INDEX(MASTER!$J$4:$J$1463,$P13)),""))</f>
        <v>CORE</v>
      </c>
      <c r="J13" s="17">
        <f>IF($P13="","",IFERROR(IF(INDEX(MASTER!$L$4:$L$1463,$P13)="","",INDEX(MASTER!$L$4:$L$1463,$P13)),""))</f>
        <v>5.5</v>
      </c>
      <c r="K13" s="17">
        <f>IF($P13="","",IFERROR(IF(INDEX(MASTER!$N$4:$N$1463,$P13)="","",INDEX(MASTER!$N$4:$N$1463,$P13)),""))</f>
        <v>52.1</v>
      </c>
      <c r="L13" s="15" t="str">
        <f>IF($P13="","",IFERROR(IF(INDEX(MASTER!$O$4:$O$1463,$P13)="","",INDEX(MASTER!$O$4:$O$1463,$P13)),""))</f>
        <v>A</v>
      </c>
      <c r="M13" s="15">
        <f>IF($P13="","",IFERROR(IF(INDEX(MASTER!$Q$4:$Q$1463,$P13)="","",INDEX(MASTER!$Q$4:$Q$1463,$P13)),""))</f>
        <v>15</v>
      </c>
      <c r="N13" s="15" t="str">
        <f>IF($P13="","",IFERROR(IF(INDEX(MASTER!$S$4:$S$1463,$P13)="","",INDEX(MASTER!$S$4:$S$1463,$P13)),""))</f>
        <v>Complete</v>
      </c>
      <c r="P13">
        <f>IFERROR(MATCH($Q$1&amp;"@5",MASTER!$AC$4:$AC$1463,0),"")</f>
        <v>36</v>
      </c>
    </row>
    <row r="14" spans="1:17">
      <c r="A14" s="19">
        <f>IF($P14="","",6)</f>
        <v>6</v>
      </c>
      <c r="B14" s="18" t="str">
        <f>IF($P14="","",IFERROR(IF(INDEX(MASTER!$C$4:$C$1463,$P14)="","",INDEX(MASTER!$C$4:$C$1463,$P14)),""))</f>
        <v>AndrejaVaruun</v>
      </c>
      <c r="C14" s="19" t="str">
        <f>IF($P14="","",IFERROR(IF(INDEX(MASTER!$D$4:$D$1463,$P14)="","",INDEX(MASTER!$D$4:$D$1463,$P14)),""))</f>
        <v>VENGENCE</v>
      </c>
      <c r="D14" s="19" t="str">
        <f>IF($P14="","",IFERROR(IF(INDEX(MASTER!$E$4:$E$1463,$P14)="","",INDEX(MASTER!$E$4:$E$1463,$P14)),""))</f>
        <v>DEMON HUNTER</v>
      </c>
      <c r="E14" s="19" t="str">
        <f>IF($P14="","",IFERROR(IF(INDEX(MASTER!$F$4:$F$1463,$P14)="","",INDEX(MASTER!$F$4:$F$1463,$P14)),""))</f>
        <v>Ranged DPS</v>
      </c>
      <c r="F14" s="20">
        <f>IF($P14="","",IFERROR(IF(INDEX(MASTER!$G$4:$G$1463,$P14)="","",INDEX(MASTER!$G$4:$G$1463,$P14)),""))</f>
        <v>62764</v>
      </c>
      <c r="G14" s="19" t="str">
        <f>IF($P14="","",IFERROR(IF(INDEX(MASTER!$H$4:$H$1463,$P14)="","",INDEX(MASTER!$H$4:$H$1463,$P14)),""))</f>
        <v>62,000 - 62,999</v>
      </c>
      <c r="H14" s="20">
        <f>IF($P14="","",IFERROR(IF(INDEX(MASTER!$I$4:$I$1463,$P14)="","",INDEX(MASTER!$I$4:$I$1463,$P14)),""))</f>
        <v>5695</v>
      </c>
      <c r="I14" s="19" t="str">
        <f>IF($P14="","",IFERROR(IF(INDEX(MASTER!$J$4:$J$1463,$P14)="","",INDEX(MASTER!$J$4:$J$1463,$P14)),""))</f>
        <v>CORE</v>
      </c>
      <c r="J14" s="21">
        <f>IF($P14="","",IFERROR(IF(INDEX(MASTER!$L$4:$L$1463,$P14)="","",INDEX(MASTER!$L$4:$L$1463,$P14)),""))</f>
        <v>8</v>
      </c>
      <c r="K14" s="21">
        <f>IF($P14="","",IFERROR(IF(INDEX(MASTER!$N$4:$N$1463,$P14)="","",INDEX(MASTER!$N$4:$N$1463,$P14)),""))</f>
        <v>58.6</v>
      </c>
      <c r="L14" s="19" t="str">
        <f>IF($P14="","",IFERROR(IF(INDEX(MASTER!$O$4:$O$1463,$P14)="","",INDEX(MASTER!$O$4:$O$1463,$P14)),""))</f>
        <v>A</v>
      </c>
      <c r="M14" s="19">
        <f>IF($P14="","",IFERROR(IF(INDEX(MASTER!$Q$4:$Q$1463,$P14)="","",INDEX(MASTER!$Q$4:$Q$1463,$P14)),""))</f>
        <v>8</v>
      </c>
      <c r="N14" s="19" t="str">
        <f>IF($P14="","",IFERROR(IF(INDEX(MASTER!$S$4:$S$1463,$P14)="","",INDEX(MASTER!$S$4:$S$1463,$P14)),""))</f>
        <v>Complete</v>
      </c>
      <c r="P14">
        <f>IFERROR(MATCH($Q$1&amp;"@6",MASTER!$AC$4:$AC$1463,0),"")</f>
        <v>42</v>
      </c>
    </row>
    <row r="15" spans="1:17">
      <c r="A15" s="15">
        <f>IF($P15="","",7)</f>
        <v>7</v>
      </c>
      <c r="B15" s="14" t="str">
        <f>IF($P15="","",IFERROR(IF(INDEX(MASTER!$C$4:$C$1463,$P15)="","",INDEX(MASTER!$C$4:$C$1463,$P15)),""))</f>
        <v>Asmodèus</v>
      </c>
      <c r="C15" s="15" t="str">
        <f>IF($P15="","",IFERROR(IF(INDEX(MASTER!$D$4:$D$1463,$P15)="","",INDEX(MASTER!$D$4:$D$1463,$P15)),""))</f>
        <v>VENGENCE</v>
      </c>
      <c r="D15" s="15" t="str">
        <f>IF($P15="","",IFERROR(IF(INDEX(MASTER!$E$4:$E$1463,$P15)="","",INDEX(MASTER!$E$4:$E$1463,$P15)),""))</f>
        <v>DRUID</v>
      </c>
      <c r="E15" s="15" t="str">
        <f>IF($P15="","",IFERROR(IF(INDEX(MASTER!$F$4:$F$1463,$P15)="","",INDEX(MASTER!$F$4:$F$1463,$P15)),""))</f>
        <v>Support</v>
      </c>
      <c r="F15" s="16">
        <f>IF($P15="","",IFERROR(IF(INDEX(MASTER!$G$4:$G$1463,$P15)="","",INDEX(MASTER!$G$4:$G$1463,$P15)),""))</f>
        <v>59279</v>
      </c>
      <c r="G15" s="15" t="str">
        <f>IF($P15="","",IFERROR(IF(INDEX(MASTER!$H$4:$H$1463,$P15)="","",INDEX(MASTER!$H$4:$H$1463,$P15)),""))</f>
        <v>58,000 - 59,999</v>
      </c>
      <c r="H15" s="16">
        <f>IF($P15="","",IFERROR(IF(INDEX(MASTER!$I$4:$I$1463,$P15)="","",INDEX(MASTER!$I$4:$I$1463,$P15)),""))</f>
        <v>3520</v>
      </c>
      <c r="I15" s="15" t="str">
        <f>IF($P15="","",IFERROR(IF(INDEX(MASTER!$J$4:$J$1463,$P15)="","",INDEX(MASTER!$J$4:$J$1463,$P15)),""))</f>
        <v>DEVELOPING</v>
      </c>
      <c r="J15" s="17">
        <f>IF($P15="","",IFERROR(IF(INDEX(MASTER!$L$4:$L$1463,$P15)="","",INDEX(MASTER!$L$4:$L$1463,$P15)),""))</f>
        <v>4.6100000000000003</v>
      </c>
      <c r="K15" s="17">
        <f>IF($P15="","",IFERROR(IF(INDEX(MASTER!$N$4:$N$1463,$P15)="","",INDEX(MASTER!$N$4:$N$1463,$P15)),""))</f>
        <v>34.299999999999997</v>
      </c>
      <c r="L15" s="15" t="str">
        <f>IF($P15="","",IFERROR(IF(INDEX(MASTER!$O$4:$O$1463,$P15)="","",INDEX(MASTER!$O$4:$O$1463,$P15)),""))</f>
        <v>C</v>
      </c>
      <c r="M15" s="15">
        <f>IF($P15="","",IFERROR(IF(INDEX(MASTER!$Q$4:$Q$1463,$P15)="","",INDEX(MASTER!$Q$4:$Q$1463,$P15)),""))</f>
        <v>44</v>
      </c>
      <c r="N15" s="15" t="str">
        <f>IF($P15="","",IFERROR(IF(INDEX(MASTER!$S$4:$S$1463,$P15)="","",INDEX(MASTER!$S$4:$S$1463,$P15)),""))</f>
        <v>Complete</v>
      </c>
      <c r="P15">
        <f>IFERROR(MATCH($Q$1&amp;"@7",MASTER!$AC$4:$AC$1463,0),"")</f>
        <v>67</v>
      </c>
    </row>
    <row r="16" spans="1:17">
      <c r="A16" s="19">
        <f>IF($P16="","",8)</f>
        <v>8</v>
      </c>
      <c r="B16" s="18" t="str">
        <f>IF($P16="","",IFERROR(IF(INDEX(MASTER!$C$4:$C$1463,$P16)="","",INDEX(MASTER!$C$4:$C$1463,$P16)),""))</f>
        <v>Athleticism</v>
      </c>
      <c r="C16" s="19" t="str">
        <f>IF($P16="","",IFERROR(IF(INDEX(MASTER!$D$4:$D$1463,$P16)="","",INDEX(MASTER!$D$4:$D$1463,$P16)),""))</f>
        <v>VENGENCE</v>
      </c>
      <c r="D16" s="19" t="str">
        <f>IF($P16="","",IFERROR(IF(INDEX(MASTER!$E$4:$E$1463,$P16)="","",INDEX(MASTER!$E$4:$E$1463,$P16)),""))</f>
        <v>WARLOCK</v>
      </c>
      <c r="E16" s="19" t="str">
        <f>IF($P16="","",IFERROR(IF(INDEX(MASTER!$F$4:$F$1463,$P16)="","",INDEX(MASTER!$F$4:$F$1463,$P16)),""))</f>
        <v>Control</v>
      </c>
      <c r="F16" s="20">
        <f>IF($P16="","",IFERROR(IF(INDEX(MASTER!$G$4:$G$1463,$P16)="","",INDEX(MASTER!$G$4:$G$1463,$P16)),""))</f>
        <v>62547</v>
      </c>
      <c r="G16" s="19" t="str">
        <f>IF($P16="","",IFERROR(IF(INDEX(MASTER!$H$4:$H$1463,$P16)="","",INDEX(MASTER!$H$4:$H$1463,$P16)),""))</f>
        <v>62,000 - 62,999</v>
      </c>
      <c r="H16" s="20">
        <f>IF($P16="","",IFERROR(IF(INDEX(MASTER!$I$4:$I$1463,$P16)="","",INDEX(MASTER!$I$4:$I$1463,$P16)),""))</f>
        <v>2707</v>
      </c>
      <c r="I16" s="19" t="str">
        <f>IF($P16="","",IFERROR(IF(INDEX(MASTER!$J$4:$J$1463,$P16)="","",INDEX(MASTER!$J$4:$J$1463,$P16)),""))</f>
        <v>DEVELOPING</v>
      </c>
      <c r="J16" s="21">
        <f>IF($P16="","",IFERROR(IF(INDEX(MASTER!$L$4:$L$1463,$P16)="","",INDEX(MASTER!$L$4:$L$1463,$P16)),""))</f>
        <v>4.58</v>
      </c>
      <c r="K16" s="21">
        <f>IF($P16="","",IFERROR(IF(INDEX(MASTER!$N$4:$N$1463,$P16)="","",INDEX(MASTER!$N$4:$N$1463,$P16)),""))</f>
        <v>39.299999999999997</v>
      </c>
      <c r="L16" s="19" t="str">
        <f>IF($P16="","",IFERROR(IF(INDEX(MASTER!$O$4:$O$1463,$P16)="","",INDEX(MASTER!$O$4:$O$1463,$P16)),""))</f>
        <v>B</v>
      </c>
      <c r="M16" s="19">
        <f>IF($P16="","",IFERROR(IF(INDEX(MASTER!$Q$4:$Q$1463,$P16)="","",INDEX(MASTER!$Q$4:$Q$1463,$P16)),""))</f>
        <v>63</v>
      </c>
      <c r="N16" s="19" t="str">
        <f>IF($P16="","",IFERROR(IF(INDEX(MASTER!$S$4:$S$1463,$P16)="","",INDEX(MASTER!$S$4:$S$1463,$P16)),""))</f>
        <v>Complete</v>
      </c>
      <c r="P16">
        <f>IFERROR(MATCH($Q$1&amp;"@8",MASTER!$AC$4:$AC$1463,0),"")</f>
        <v>73</v>
      </c>
    </row>
    <row r="17" spans="1:16">
      <c r="A17" s="15">
        <f>IF($P17="","",9)</f>
        <v>9</v>
      </c>
      <c r="B17" s="14" t="str">
        <f>IF($P17="","",IFERROR(IF(INDEX(MASTER!$C$4:$C$1463,$P17)="","",INDEX(MASTER!$C$4:$C$1463,$P17)),""))</f>
        <v>AtlasUnburdened</v>
      </c>
      <c r="C17" s="15" t="str">
        <f>IF($P17="","",IFERROR(IF(INDEX(MASTER!$D$4:$D$1463,$P17)="","",INDEX(MASTER!$D$4:$D$1463,$P17)),""))</f>
        <v>VENGENCE</v>
      </c>
      <c r="D17" s="15" t="str">
        <f>IF($P17="","",IFERROR(IF(INDEX(MASTER!$E$4:$E$1463,$P17)="","",INDEX(MASTER!$E$4:$E$1463,$P17)),""))</f>
        <v>TEMPEST</v>
      </c>
      <c r="E17" s="15" t="str">
        <f>IF($P17="","",IFERROR(IF(INDEX(MASTER!$F$4:$F$1463,$P17)="","",INDEX(MASTER!$F$4:$F$1463,$P17)),""))</f>
        <v>Melee DPS</v>
      </c>
      <c r="F17" s="16">
        <f>IF($P17="","",IFERROR(IF(INDEX(MASTER!$G$4:$G$1463,$P17)="","",INDEX(MASTER!$G$4:$G$1463,$P17)),""))</f>
        <v>63051</v>
      </c>
      <c r="G17" s="15" t="str">
        <f>IF($P17="","",IFERROR(IF(INDEX(MASTER!$H$4:$H$1463,$P17)="","",INDEX(MASTER!$H$4:$H$1463,$P17)),""))</f>
        <v>63,000 - 63,999</v>
      </c>
      <c r="H17" s="16">
        <f>IF($P17="","",IFERROR(IF(INDEX(MASTER!$I$4:$I$1463,$P17)="","",INDEX(MASTER!$I$4:$I$1463,$P17)),""))</f>
        <v>5185</v>
      </c>
      <c r="I17" s="15" t="str">
        <f>IF($P17="","",IFERROR(IF(INDEX(MASTER!$J$4:$J$1463,$P17)="","",INDEX(MASTER!$J$4:$J$1463,$P17)),""))</f>
        <v>CORE</v>
      </c>
      <c r="J17" s="17">
        <f>IF($P17="","",IFERROR(IF(INDEX(MASTER!$L$4:$L$1463,$P17)="","",INDEX(MASTER!$L$4:$L$1463,$P17)),""))</f>
        <v>5</v>
      </c>
      <c r="K17" s="17">
        <f>IF($P17="","",IFERROR(IF(INDEX(MASTER!$N$4:$N$1463,$P17)="","",INDEX(MASTER!$N$4:$N$1463,$P17)),""))</f>
        <v>52.2</v>
      </c>
      <c r="L17" s="15" t="str">
        <f>IF($P17="","",IFERROR(IF(INDEX(MASTER!$O$4:$O$1463,$P17)="","",INDEX(MASTER!$O$4:$O$1463,$P17)),""))</f>
        <v>A</v>
      </c>
      <c r="M17" s="15">
        <f>IF($P17="","",IFERROR(IF(INDEX(MASTER!$Q$4:$Q$1463,$P17)="","",INDEX(MASTER!$Q$4:$Q$1463,$P17)),""))</f>
        <v>13</v>
      </c>
      <c r="N17" s="15" t="str">
        <f>IF($P17="","",IFERROR(IF(INDEX(MASTER!$S$4:$S$1463,$P17)="","",INDEX(MASTER!$S$4:$S$1463,$P17)),""))</f>
        <v>Complete</v>
      </c>
      <c r="P17">
        <f>IFERROR(MATCH($Q$1&amp;"@9",MASTER!$AC$4:$AC$1463,0),"")</f>
        <v>74</v>
      </c>
    </row>
    <row r="18" spans="1:16">
      <c r="A18" s="19">
        <f>IF($P18="","",10)</f>
        <v>10</v>
      </c>
      <c r="B18" s="18" t="str">
        <f>IF($P18="","",IFERROR(IF(INDEX(MASTER!$C$4:$C$1463,$P18)="","",INDEX(MASTER!$C$4:$C$1463,$P18)),""))</f>
        <v>Attimo</v>
      </c>
      <c r="C18" s="19" t="str">
        <f>IF($P18="","",IFERROR(IF(INDEX(MASTER!$D$4:$D$1463,$P18)="","",INDEX(MASTER!$D$4:$D$1463,$P18)),""))</f>
        <v>VENGENCE</v>
      </c>
      <c r="D18" s="19" t="str">
        <f>IF($P18="","",IFERROR(IF(INDEX(MASTER!$E$4:$E$1463,$P18)="","",INDEX(MASTER!$E$4:$E$1463,$P18)),""))</f>
        <v>BARBARIAN</v>
      </c>
      <c r="E18" s="19" t="str">
        <f>IF($P18="","",IFERROR(IF(INDEX(MASTER!$F$4:$F$1463,$P18)="","",INDEX(MASTER!$F$4:$F$1463,$P18)),""))</f>
        <v>Frontline</v>
      </c>
      <c r="F18" s="20">
        <f>IF($P18="","",IFERROR(IF(INDEX(MASTER!$G$4:$G$1463,$P18)="","",INDEX(MASTER!$G$4:$G$1463,$P18)),""))</f>
        <v>63251</v>
      </c>
      <c r="G18" s="19" t="str">
        <f>IF($P18="","",IFERROR(IF(INDEX(MASTER!$H$4:$H$1463,$P18)="","",INDEX(MASTER!$H$4:$H$1463,$P18)),""))</f>
        <v>63,000 - 63,999</v>
      </c>
      <c r="H18" s="20">
        <f>IF($P18="","",IFERROR(IF(INDEX(MASTER!$I$4:$I$1463,$P18)="","",INDEX(MASTER!$I$4:$I$1463,$P18)),""))</f>
        <v>3918</v>
      </c>
      <c r="I18" s="19" t="str">
        <f>IF($P18="","",IFERROR(IF(INDEX(MASTER!$J$4:$J$1463,$P18)="","",INDEX(MASTER!$J$4:$J$1463,$P18)),""))</f>
        <v>DEVELOPING</v>
      </c>
      <c r="J18" s="21">
        <f>IF($P18="","",IFERROR(IF(INDEX(MASTER!$L$4:$L$1463,$P18)="","",INDEX(MASTER!$L$4:$L$1463,$P18)),""))</f>
        <v>4.29</v>
      </c>
      <c r="K18" s="21">
        <f>IF($P18="","",IFERROR(IF(INDEX(MASTER!$N$4:$N$1463,$P18)="","",INDEX(MASTER!$N$4:$N$1463,$P18)),""))</f>
        <v>46</v>
      </c>
      <c r="L18" s="19" t="str">
        <f>IF($P18="","",IFERROR(IF(INDEX(MASTER!$O$4:$O$1463,$P18)="","",INDEX(MASTER!$O$4:$O$1463,$P18)),""))</f>
        <v>B</v>
      </c>
      <c r="M18" s="19">
        <f>IF($P18="","",IFERROR(IF(INDEX(MASTER!$Q$4:$Q$1463,$P18)="","",INDEX(MASTER!$Q$4:$Q$1463,$P18)),""))</f>
        <v>35</v>
      </c>
      <c r="N18" s="19" t="str">
        <f>IF($P18="","",IFERROR(IF(INDEX(MASTER!$S$4:$S$1463,$P18)="","",INDEX(MASTER!$S$4:$S$1463,$P18)),""))</f>
        <v>Complete</v>
      </c>
      <c r="P18">
        <f>IFERROR(MATCH($Q$1&amp;"@10",MASTER!$AC$4:$AC$1463,0),"")</f>
        <v>75</v>
      </c>
    </row>
    <row r="19" spans="1:16">
      <c r="A19" s="15">
        <f>IF($P19="","",11)</f>
        <v>11</v>
      </c>
      <c r="B19" s="14" t="str">
        <f>IF($P19="","",IFERROR(IF(INDEX(MASTER!$C$4:$C$1463,$P19)="","",INDEX(MASTER!$C$4:$C$1463,$P19)),""))</f>
        <v>Benmolning</v>
      </c>
      <c r="C19" s="15" t="str">
        <f>IF($P19="","",IFERROR(IF(INDEX(MASTER!$D$4:$D$1463,$P19)="","",INDEX(MASTER!$D$4:$D$1463,$P19)),""))</f>
        <v>VENGENCE</v>
      </c>
      <c r="D19" s="15" t="str">
        <f>IF($P19="","",IFERROR(IF(INDEX(MASTER!$E$4:$E$1463,$P19)="","",INDEX(MASTER!$E$4:$E$1463,$P19)),""))</f>
        <v>BARBARIAN</v>
      </c>
      <c r="E19" s="15" t="str">
        <f>IF($P19="","",IFERROR(IF(INDEX(MASTER!$F$4:$F$1463,$P19)="","",INDEX(MASTER!$F$4:$F$1463,$P19)),""))</f>
        <v>Frontline</v>
      </c>
      <c r="F19" s="16">
        <f>IF($P19="","",IFERROR(IF(INDEX(MASTER!$G$4:$G$1463,$P19)="","",INDEX(MASTER!$G$4:$G$1463,$P19)),""))</f>
        <v>63469</v>
      </c>
      <c r="G19" s="15" t="str">
        <f>IF($P19="","",IFERROR(IF(INDEX(MASTER!$H$4:$H$1463,$P19)="","",INDEX(MASTER!$H$4:$H$1463,$P19)),""))</f>
        <v>63,000 - 63,999</v>
      </c>
      <c r="H19" s="16">
        <f>IF($P19="","",IFERROR(IF(INDEX(MASTER!$I$4:$I$1463,$P19)="","",INDEX(MASTER!$I$4:$I$1463,$P19)),""))</f>
        <v>7513</v>
      </c>
      <c r="I19" s="15" t="str">
        <f>IF($P19="","",IFERROR(IF(INDEX(MASTER!$J$4:$J$1463,$P19)="","",INDEX(MASTER!$J$4:$J$1463,$P19)),""))</f>
        <v>VETERAN</v>
      </c>
      <c r="J19" s="17">
        <f>IF($P19="","",IFERROR(IF(INDEX(MASTER!$L$4:$L$1463,$P19)="","",INDEX(MASTER!$L$4:$L$1463,$P19)),""))</f>
        <v>6.36</v>
      </c>
      <c r="K19" s="17">
        <f>IF($P19="","",IFERROR(IF(INDEX(MASTER!$N$4:$N$1463,$P19)="","",INDEX(MASTER!$N$4:$N$1463,$P19)),""))</f>
        <v>65.7</v>
      </c>
      <c r="L19" s="15" t="str">
        <f>IF($P19="","",IFERROR(IF(INDEX(MASTER!$O$4:$O$1463,$P19)="","",INDEX(MASTER!$O$4:$O$1463,$P19)),""))</f>
        <v>S</v>
      </c>
      <c r="M19" s="15">
        <f>IF($P19="","",IFERROR(IF(INDEX(MASTER!$Q$4:$Q$1463,$P19)="","",INDEX(MASTER!$Q$4:$Q$1463,$P19)),""))</f>
        <v>4</v>
      </c>
      <c r="N19" s="15" t="str">
        <f>IF($P19="","",IFERROR(IF(INDEX(MASTER!$S$4:$S$1463,$P19)="","",INDEX(MASTER!$S$4:$S$1463,$P19)),""))</f>
        <v>Complete</v>
      </c>
      <c r="P19">
        <f>IFERROR(MATCH($Q$1&amp;"@11",MASTER!$AC$4:$AC$1463,0),"")</f>
        <v>124</v>
      </c>
    </row>
    <row r="20" spans="1:16">
      <c r="A20" s="19">
        <f>IF($P20="","",12)</f>
        <v>12</v>
      </c>
      <c r="B20" s="18" t="str">
        <f>IF($P20="","",IFERROR(IF(INDEX(MASTER!$C$4:$C$1463,$P20)="","",INDEX(MASTER!$C$4:$C$1463,$P20)),""))</f>
        <v>Bleimbach</v>
      </c>
      <c r="C20" s="19" t="str">
        <f>IF($P20="","",IFERROR(IF(INDEX(MASTER!$D$4:$D$1463,$P20)="","",INDEX(MASTER!$D$4:$D$1463,$P20)),""))</f>
        <v>VENGENCE</v>
      </c>
      <c r="D20" s="19" t="str">
        <f>IF($P20="","",IFERROR(IF(INDEX(MASTER!$E$4:$E$1463,$P20)="","",INDEX(MASTER!$E$4:$E$1463,$P20)),""))</f>
        <v>DRUID</v>
      </c>
      <c r="E20" s="19" t="str">
        <f>IF($P20="","",IFERROR(IF(INDEX(MASTER!$F$4:$F$1463,$P20)="","",INDEX(MASTER!$F$4:$F$1463,$P20)),""))</f>
        <v>Support</v>
      </c>
      <c r="F20" s="20">
        <f>IF($P20="","",IFERROR(IF(INDEX(MASTER!$G$4:$G$1463,$P20)="","",INDEX(MASTER!$G$4:$G$1463,$P20)),""))</f>
        <v>63245</v>
      </c>
      <c r="G20" s="19" t="str">
        <f>IF($P20="","",IFERROR(IF(INDEX(MASTER!$H$4:$H$1463,$P20)="","",INDEX(MASTER!$H$4:$H$1463,$P20)),""))</f>
        <v>63,000 - 63,999</v>
      </c>
      <c r="H20" s="20">
        <f>IF($P20="","",IFERROR(IF(INDEX(MASTER!$I$4:$I$1463,$P20)="","",INDEX(MASTER!$I$4:$I$1463,$P20)),""))</f>
        <v>3490</v>
      </c>
      <c r="I20" s="19" t="str">
        <f>IF($P20="","",IFERROR(IF(INDEX(MASTER!$J$4:$J$1463,$P20)="","",INDEX(MASTER!$J$4:$J$1463,$P20)),""))</f>
        <v>DEVELOPING</v>
      </c>
      <c r="J20" s="21">
        <f>IF($P20="","",IFERROR(IF(INDEX(MASTER!$L$4:$L$1463,$P20)="","",INDEX(MASTER!$L$4:$L$1463,$P20)),""))</f>
        <v>4.5</v>
      </c>
      <c r="K20" s="21">
        <f>IF($P20="","",IFERROR(IF(INDEX(MASTER!$N$4:$N$1463,$P20)="","",INDEX(MASTER!$N$4:$N$1463,$P20)),""))</f>
        <v>44.4</v>
      </c>
      <c r="L20" s="19" t="str">
        <f>IF($P20="","",IFERROR(IF(INDEX(MASTER!$O$4:$O$1463,$P20)="","",INDEX(MASTER!$O$4:$O$1463,$P20)),""))</f>
        <v>B</v>
      </c>
      <c r="M20" s="19">
        <f>IF($P20="","",IFERROR(IF(INDEX(MASTER!$Q$4:$Q$1463,$P20)="","",INDEX(MASTER!$Q$4:$Q$1463,$P20)),""))</f>
        <v>45</v>
      </c>
      <c r="N20" s="19" t="str">
        <f>IF($P20="","",IFERROR(IF(INDEX(MASTER!$S$4:$S$1463,$P20)="","",INDEX(MASTER!$S$4:$S$1463,$P20)),""))</f>
        <v>Complete</v>
      </c>
      <c r="P20">
        <f>IFERROR(MATCH($Q$1&amp;"@12",MASTER!$AC$4:$AC$1463,0),"")</f>
        <v>143</v>
      </c>
    </row>
    <row r="21" spans="1:16">
      <c r="A21" s="15">
        <f>IF($P21="","",13)</f>
        <v>13</v>
      </c>
      <c r="B21" s="14" t="str">
        <f>IF($P21="","",IFERROR(IF(INDEX(MASTER!$C$4:$C$1463,$P21)="","",INDEX(MASTER!$C$4:$C$1463,$P21)),""))</f>
        <v>BlueAlice</v>
      </c>
      <c r="C21" s="15" t="str">
        <f>IF($P21="","",IFERROR(IF(INDEX(MASTER!$D$4:$D$1463,$P21)="","",INDEX(MASTER!$D$4:$D$1463,$P21)),""))</f>
        <v>VENGENCE</v>
      </c>
      <c r="D21" s="15" t="str">
        <f>IF($P21="","",IFERROR(IF(INDEX(MASTER!$E$4:$E$1463,$P21)="","",INDEX(MASTER!$E$4:$E$1463,$P21)),""))</f>
        <v>DRUID</v>
      </c>
      <c r="E21" s="15" t="str">
        <f>IF($P21="","",IFERROR(IF(INDEX(MASTER!$F$4:$F$1463,$P21)="","",INDEX(MASTER!$F$4:$F$1463,$P21)),""))</f>
        <v>Support</v>
      </c>
      <c r="F21" s="16">
        <f>IF($P21="","",IFERROR(IF(INDEX(MASTER!$G$4:$G$1463,$P21)="","",INDEX(MASTER!$G$4:$G$1463,$P21)),""))</f>
        <v>62575</v>
      </c>
      <c r="G21" s="15" t="str">
        <f>IF($P21="","",IFERROR(IF(INDEX(MASTER!$H$4:$H$1463,$P21)="","",INDEX(MASTER!$H$4:$H$1463,$P21)),""))</f>
        <v>62,000 - 62,999</v>
      </c>
      <c r="H21" s="16">
        <f>IF($P21="","",IFERROR(IF(INDEX(MASTER!$I$4:$I$1463,$P21)="","",INDEX(MASTER!$I$4:$I$1463,$P21)),""))</f>
        <v>2580</v>
      </c>
      <c r="I21" s="15" t="str">
        <f>IF($P21="","",IFERROR(IF(INDEX(MASTER!$J$4:$J$1463,$P21)="","",INDEX(MASTER!$J$4:$J$1463,$P21)),""))</f>
        <v>DEVELOPING</v>
      </c>
      <c r="J21" s="17">
        <f>IF($P21="","",IFERROR(IF(INDEX(MASTER!$L$4:$L$1463,$P21)="","",INDEX(MASTER!$L$4:$L$1463,$P21)),""))</f>
        <v>3.95</v>
      </c>
      <c r="K21" s="17">
        <f>IF($P21="","",IFERROR(IF(INDEX(MASTER!$N$4:$N$1463,$P21)="","",INDEX(MASTER!$N$4:$N$1463,$P21)),""))</f>
        <v>37.799999999999997</v>
      </c>
      <c r="L21" s="15" t="str">
        <f>IF($P21="","",IFERROR(IF(INDEX(MASTER!$O$4:$O$1463,$P21)="","",INDEX(MASTER!$O$4:$O$1463,$P21)),""))</f>
        <v>B</v>
      </c>
      <c r="M21" s="15">
        <f>IF($P21="","",IFERROR(IF(INDEX(MASTER!$Q$4:$Q$1463,$P21)="","",INDEX(MASTER!$Q$4:$Q$1463,$P21)),""))</f>
        <v>69</v>
      </c>
      <c r="N21" s="15" t="str">
        <f>IF($P21="","",IFERROR(IF(INDEX(MASTER!$S$4:$S$1463,$P21)="","",INDEX(MASTER!$S$4:$S$1463,$P21)),""))</f>
        <v>Complete</v>
      </c>
      <c r="P21">
        <f>IFERROR(MATCH($Q$1&amp;"@13",MASTER!$AC$4:$AC$1463,0),"")</f>
        <v>153</v>
      </c>
    </row>
    <row r="22" spans="1:16">
      <c r="A22" s="19">
        <f>IF($P22="","",14)</f>
        <v>14</v>
      </c>
      <c r="B22" s="18" t="str">
        <f>IF($P22="","",IFERROR(IF(INDEX(MASTER!$C$4:$C$1463,$P22)="","",INDEX(MASTER!$C$4:$C$1463,$P22)),""))</f>
        <v>CarinϕBrutal</v>
      </c>
      <c r="C22" s="19" t="str">
        <f>IF($P22="","",IFERROR(IF(INDEX(MASTER!$D$4:$D$1463,$P22)="","",INDEX(MASTER!$D$4:$D$1463,$P22)),""))</f>
        <v>VENGENCE</v>
      </c>
      <c r="D22" s="19" t="str">
        <f>IF($P22="","",IFERROR(IF(INDEX(MASTER!$E$4:$E$1463,$P22)="","",INDEX(MASTER!$E$4:$E$1463,$P22)),""))</f>
        <v>WARLOCK</v>
      </c>
      <c r="E22" s="19" t="str">
        <f>IF($P22="","",IFERROR(IF(INDEX(MASTER!$F$4:$F$1463,$P22)="","",INDEX(MASTER!$F$4:$F$1463,$P22)),""))</f>
        <v>Control</v>
      </c>
      <c r="F22" s="20">
        <f>IF($P22="","",IFERROR(IF(INDEX(MASTER!$G$4:$G$1463,$P22)="","",INDEX(MASTER!$G$4:$G$1463,$P22)),""))</f>
        <v>62638</v>
      </c>
      <c r="G22" s="19" t="str">
        <f>IF($P22="","",IFERROR(IF(INDEX(MASTER!$H$4:$H$1463,$P22)="","",INDEX(MASTER!$H$4:$H$1463,$P22)),""))</f>
        <v>62,000 - 62,999</v>
      </c>
      <c r="H22" s="20">
        <f>IF($P22="","",IFERROR(IF(INDEX(MASTER!$I$4:$I$1463,$P22)="","",INDEX(MASTER!$I$4:$I$1463,$P22)),""))</f>
        <v>4900</v>
      </c>
      <c r="I22" s="19" t="str">
        <f>IF($P22="","",IFERROR(IF(INDEX(MASTER!$J$4:$J$1463,$P22)="","",INDEX(MASTER!$J$4:$J$1463,$P22)),""))</f>
        <v>CORE</v>
      </c>
      <c r="J22" s="21">
        <f>IF($P22="","",IFERROR(IF(INDEX(MASTER!$L$4:$L$1463,$P22)="","",INDEX(MASTER!$L$4:$L$1463,$P22)),""))</f>
        <v>8.1999999999999993</v>
      </c>
      <c r="K22" s="21">
        <f>IF($P22="","",IFERROR(IF(INDEX(MASTER!$N$4:$N$1463,$P22)="","",INDEX(MASTER!$N$4:$N$1463,$P22)),""))</f>
        <v>55.2</v>
      </c>
      <c r="L22" s="19" t="str">
        <f>IF($P22="","",IFERROR(IF(INDEX(MASTER!$O$4:$O$1463,$P22)="","",INDEX(MASTER!$O$4:$O$1463,$P22)),""))</f>
        <v>A</v>
      </c>
      <c r="M22" s="19">
        <f>IF($P22="","",IFERROR(IF(INDEX(MASTER!$Q$4:$Q$1463,$P22)="","",INDEX(MASTER!$Q$4:$Q$1463,$P22)),""))</f>
        <v>17</v>
      </c>
      <c r="N22" s="19" t="str">
        <f>IF($P22="","",IFERROR(IF(INDEX(MASTER!$S$4:$S$1463,$P22)="","",INDEX(MASTER!$S$4:$S$1463,$P22)),""))</f>
        <v>Complete</v>
      </c>
      <c r="P22">
        <f>IFERROR(MATCH($Q$1&amp;"@14",MASTER!$AC$4:$AC$1463,0),"")</f>
        <v>196</v>
      </c>
    </row>
    <row r="23" spans="1:16">
      <c r="A23" s="15">
        <f>IF($P23="","",15)</f>
        <v>15</v>
      </c>
      <c r="B23" s="14" t="str">
        <f>IF($P23="","",IFERROR(IF(INDEX(MASTER!$C$4:$C$1463,$P23)="","",INDEX(MASTER!$C$4:$C$1463,$P23)),""))</f>
        <v>Cataco</v>
      </c>
      <c r="C23" s="15" t="str">
        <f>IF($P23="","",IFERROR(IF(INDEX(MASTER!$D$4:$D$1463,$P23)="","",INDEX(MASTER!$D$4:$D$1463,$P23)),""))</f>
        <v>VENGENCE</v>
      </c>
      <c r="D23" s="15" t="str">
        <f>IF($P23="","",IFERROR(IF(INDEX(MASTER!$E$4:$E$1463,$P23)="","",INDEX(MASTER!$E$4:$E$1463,$P23)),""))</f>
        <v>DEMON HUNTER</v>
      </c>
      <c r="E23" s="15" t="str">
        <f>IF($P23="","",IFERROR(IF(INDEX(MASTER!$F$4:$F$1463,$P23)="","",INDEX(MASTER!$F$4:$F$1463,$P23)),""))</f>
        <v>Ranged DPS</v>
      </c>
      <c r="F23" s="16">
        <f>IF($P23="","",IFERROR(IF(INDEX(MASTER!$G$4:$G$1463,$P23)="","",INDEX(MASTER!$G$4:$G$1463,$P23)),""))</f>
        <v>62510</v>
      </c>
      <c r="G23" s="15" t="str">
        <f>IF($P23="","",IFERROR(IF(INDEX(MASTER!$H$4:$H$1463,$P23)="","",INDEX(MASTER!$H$4:$H$1463,$P23)),""))</f>
        <v>62,000 - 62,999</v>
      </c>
      <c r="H23" s="16">
        <f>IF($P23="","",IFERROR(IF(INDEX(MASTER!$I$4:$I$1463,$P23)="","",INDEX(MASTER!$I$4:$I$1463,$P23)),""))</f>
        <v>3198</v>
      </c>
      <c r="I23" s="15" t="str">
        <f>IF($P23="","",IFERROR(IF(INDEX(MASTER!$J$4:$J$1463,$P23)="","",INDEX(MASTER!$J$4:$J$1463,$P23)),""))</f>
        <v>DEVELOPING</v>
      </c>
      <c r="J23" s="17">
        <f>IF($P23="","",IFERROR(IF(INDEX(MASTER!$L$4:$L$1463,$P23)="","",INDEX(MASTER!$L$4:$L$1463,$P23)),""))</f>
        <v>5.01</v>
      </c>
      <c r="K23" s="17">
        <f>IF($P23="","",IFERROR(IF(INDEX(MASTER!$N$4:$N$1463,$P23)="","",INDEX(MASTER!$N$4:$N$1463,$P23)),""))</f>
        <v>42.1</v>
      </c>
      <c r="L23" s="15" t="str">
        <f>IF($P23="","",IFERROR(IF(INDEX(MASTER!$O$4:$O$1463,$P23)="","",INDEX(MASTER!$O$4:$O$1463,$P23)),""))</f>
        <v>B</v>
      </c>
      <c r="M23" s="15">
        <f>IF($P23="","",IFERROR(IF(INDEX(MASTER!$Q$4:$Q$1463,$P23)="","",INDEX(MASTER!$Q$4:$Q$1463,$P23)),""))</f>
        <v>54</v>
      </c>
      <c r="N23" s="15" t="str">
        <f>IF($P23="","",IFERROR(IF(INDEX(MASTER!$S$4:$S$1463,$P23)="","",INDEX(MASTER!$S$4:$S$1463,$P23)),""))</f>
        <v>Complete</v>
      </c>
      <c r="P23">
        <f>IFERROR(MATCH($Q$1&amp;"@15",MASTER!$AC$4:$AC$1463,0),"")</f>
        <v>197</v>
      </c>
    </row>
    <row r="24" spans="1:16">
      <c r="A24" s="19">
        <f>IF($P24="","",16)</f>
        <v>16</v>
      </c>
      <c r="B24" s="18" t="str">
        <f>IF($P24="","",IFERROR(IF(INDEX(MASTER!$C$4:$C$1463,$P24)="","",INDEX(MASTER!$C$4:$C$1463,$P24)),""))</f>
        <v>Craemon</v>
      </c>
      <c r="C24" s="19" t="str">
        <f>IF($P24="","",IFERROR(IF(INDEX(MASTER!$D$4:$D$1463,$P24)="","",INDEX(MASTER!$D$4:$D$1463,$P24)),""))</f>
        <v>VENGENCE</v>
      </c>
      <c r="D24" s="19" t="str">
        <f>IF($P24="","",IFERROR(IF(INDEX(MASTER!$E$4:$E$1463,$P24)="","",INDEX(MASTER!$E$4:$E$1463,$P24)),""))</f>
        <v>MONK</v>
      </c>
      <c r="E24" s="19" t="str">
        <f>IF($P24="","",IFERROR(IF(INDEX(MASTER!$F$4:$F$1463,$P24)="","",INDEX(MASTER!$F$4:$F$1463,$P24)),""))</f>
        <v>Support</v>
      </c>
      <c r="F24" s="20">
        <f>IF($P24="","",IFERROR(IF(INDEX(MASTER!$G$4:$G$1463,$P24)="","",INDEX(MASTER!$G$4:$G$1463,$P24)),""))</f>
        <v>63257</v>
      </c>
      <c r="G24" s="19" t="str">
        <f>IF($P24="","",IFERROR(IF(INDEX(MASTER!$H$4:$H$1463,$P24)="","",INDEX(MASTER!$H$4:$H$1463,$P24)),""))</f>
        <v>63,000 - 63,999</v>
      </c>
      <c r="H24" s="20">
        <f>IF($P24="","",IFERROR(IF(INDEX(MASTER!$I$4:$I$1463,$P24)="","",INDEX(MASTER!$I$4:$I$1463,$P24)),""))</f>
        <v>4517</v>
      </c>
      <c r="I24" s="19" t="str">
        <f>IF($P24="","",IFERROR(IF(INDEX(MASTER!$J$4:$J$1463,$P24)="","",INDEX(MASTER!$J$4:$J$1463,$P24)),""))</f>
        <v>CORE</v>
      </c>
      <c r="J24" s="21">
        <f>IF($P24="","",IFERROR(IF(INDEX(MASTER!$L$4:$L$1463,$P24)="","",INDEX(MASTER!$L$4:$L$1463,$P24)),""))</f>
        <v>4.5999999999999996</v>
      </c>
      <c r="K24" s="21">
        <f>IF($P24="","",IFERROR(IF(INDEX(MASTER!$N$4:$N$1463,$P24)="","",INDEX(MASTER!$N$4:$N$1463,$P24)),""))</f>
        <v>49.1</v>
      </c>
      <c r="L24" s="19" t="str">
        <f>IF($P24="","",IFERROR(IF(INDEX(MASTER!$O$4:$O$1463,$P24)="","",INDEX(MASTER!$O$4:$O$1463,$P24)),""))</f>
        <v>B</v>
      </c>
      <c r="M24" s="19">
        <f>IF($P24="","",IFERROR(IF(INDEX(MASTER!$Q$4:$Q$1463,$P24)="","",INDEX(MASTER!$Q$4:$Q$1463,$P24)),""))</f>
        <v>23</v>
      </c>
      <c r="N24" s="19" t="str">
        <f>IF($P24="","",IFERROR(IF(INDEX(MASTER!$S$4:$S$1463,$P24)="","",INDEX(MASTER!$S$4:$S$1463,$P24)),""))</f>
        <v>Complete</v>
      </c>
      <c r="P24">
        <f>IFERROR(MATCH($Q$1&amp;"@16",MASTER!$AC$4:$AC$1463,0),"")</f>
        <v>231</v>
      </c>
    </row>
    <row r="25" spans="1:16">
      <c r="A25" s="15">
        <f>IF($P25="","",17)</f>
        <v>17</v>
      </c>
      <c r="B25" s="14" t="str">
        <f>IF($P25="","",IFERROR(IF(INDEX(MASTER!$C$4:$C$1463,$P25)="","",INDEX(MASTER!$C$4:$C$1463,$P25)),""))</f>
        <v>CrazyLoonMemnon</v>
      </c>
      <c r="C25" s="15" t="str">
        <f>IF($P25="","",IFERROR(IF(INDEX(MASTER!$D$4:$D$1463,$P25)="","",INDEX(MASTER!$D$4:$D$1463,$P25)),""))</f>
        <v>VENGENCE</v>
      </c>
      <c r="D25" s="15" t="str">
        <f>IF($P25="","",IFERROR(IF(INDEX(MASTER!$E$4:$E$1463,$P25)="","",INDEX(MASTER!$E$4:$E$1463,$P25)),""))</f>
        <v>WIZARD</v>
      </c>
      <c r="E25" s="15" t="str">
        <f>IF($P25="","",IFERROR(IF(INDEX(MASTER!$F$4:$F$1463,$P25)="","",INDEX(MASTER!$F$4:$F$1463,$P25)),""))</f>
        <v>Ranged DPS</v>
      </c>
      <c r="F25" s="16">
        <f>IF($P25="","",IFERROR(IF(INDEX(MASTER!$G$4:$G$1463,$P25)="","",INDEX(MASTER!$G$4:$G$1463,$P25)),""))</f>
        <v>62028</v>
      </c>
      <c r="G25" s="15" t="str">
        <f>IF($P25="","",IFERROR(IF(INDEX(MASTER!$H$4:$H$1463,$P25)="","",INDEX(MASTER!$H$4:$H$1463,$P25)),""))</f>
        <v>62,000 - 62,999</v>
      </c>
      <c r="H25" s="16">
        <f>IF($P25="","",IFERROR(IF(INDEX(MASTER!$I$4:$I$1463,$P25)="","",INDEX(MASTER!$I$4:$I$1463,$P25)),""))</f>
        <v>3524</v>
      </c>
      <c r="I25" s="15" t="str">
        <f>IF($P25="","",IFERROR(IF(INDEX(MASTER!$J$4:$J$1463,$P25)="","",INDEX(MASTER!$J$4:$J$1463,$P25)),""))</f>
        <v>DEVELOPING</v>
      </c>
      <c r="J25" s="17">
        <f>IF($P25="","",IFERROR(IF(INDEX(MASTER!$L$4:$L$1463,$P25)="","",INDEX(MASTER!$L$4:$L$1463,$P25)),""))</f>
        <v>3.65</v>
      </c>
      <c r="K25" s="17">
        <f>IF($P25="","",IFERROR(IF(INDEX(MASTER!$N$4:$N$1463,$P25)="","",INDEX(MASTER!$N$4:$N$1463,$P25)),""))</f>
        <v>40</v>
      </c>
      <c r="L25" s="15" t="str">
        <f>IF($P25="","",IFERROR(IF(INDEX(MASTER!$O$4:$O$1463,$P25)="","",INDEX(MASTER!$O$4:$O$1463,$P25)),""))</f>
        <v>B</v>
      </c>
      <c r="M25" s="15">
        <f>IF($P25="","",IFERROR(IF(INDEX(MASTER!$Q$4:$Q$1463,$P25)="","",INDEX(MASTER!$Q$4:$Q$1463,$P25)),""))</f>
        <v>43</v>
      </c>
      <c r="N25" s="15" t="str">
        <f>IF($P25="","",IFERROR(IF(INDEX(MASTER!$S$4:$S$1463,$P25)="","",INDEX(MASTER!$S$4:$S$1463,$P25)),""))</f>
        <v>Complete</v>
      </c>
      <c r="P25">
        <f>IFERROR(MATCH($Q$1&amp;"@17",MASTER!$AC$4:$AC$1463,0),"")</f>
        <v>232</v>
      </c>
    </row>
    <row r="26" spans="1:16">
      <c r="A26" s="19">
        <f>IF($P26="","",18)</f>
        <v>18</v>
      </c>
      <c r="B26" s="18" t="str">
        <f>IF($P26="","",IFERROR(IF(INDEX(MASTER!$C$4:$C$1463,$P26)="","",INDEX(MASTER!$C$4:$C$1463,$P26)),""))</f>
        <v>DarthDrachen</v>
      </c>
      <c r="C26" s="19" t="str">
        <f>IF($P26="","",IFERROR(IF(INDEX(MASTER!$D$4:$D$1463,$P26)="","",INDEX(MASTER!$D$4:$D$1463,$P26)),""))</f>
        <v>VENGENCE</v>
      </c>
      <c r="D26" s="19" t="str">
        <f>IF($P26="","",IFERROR(IF(INDEX(MASTER!$E$4:$E$1463,$P26)="","",INDEX(MASTER!$E$4:$E$1463,$P26)),""))</f>
        <v>CRUSADER</v>
      </c>
      <c r="E26" s="19" t="str">
        <f>IF($P26="","",IFERROR(IF(INDEX(MASTER!$F$4:$F$1463,$P26)="","",INDEX(MASTER!$F$4:$F$1463,$P26)),""))</f>
        <v>Frontline</v>
      </c>
      <c r="F26" s="20">
        <f>IF($P26="","",IFERROR(IF(INDEX(MASTER!$G$4:$G$1463,$P26)="","",INDEX(MASTER!$G$4:$G$1463,$P26)),""))</f>
        <v>61872</v>
      </c>
      <c r="G26" s="19" t="str">
        <f>IF($P26="","",IFERROR(IF(INDEX(MASTER!$H$4:$H$1463,$P26)="","",INDEX(MASTER!$H$4:$H$1463,$P26)),""))</f>
        <v>61,000 - 61,999</v>
      </c>
      <c r="H26" s="20">
        <f>IF($P26="","",IFERROR(IF(INDEX(MASTER!$I$4:$I$1463,$P26)="","",INDEX(MASTER!$I$4:$I$1463,$P26)),""))</f>
        <v>3418</v>
      </c>
      <c r="I26" s="19" t="str">
        <f>IF($P26="","",IFERROR(IF(INDEX(MASTER!$J$4:$J$1463,$P26)="","",INDEX(MASTER!$J$4:$J$1463,$P26)),""))</f>
        <v>DEVELOPING</v>
      </c>
      <c r="J26" s="21">
        <f>IF($P26="","",IFERROR(IF(INDEX(MASTER!$L$4:$L$1463,$P26)="","",INDEX(MASTER!$L$4:$L$1463,$P26)),""))</f>
        <v>3.6</v>
      </c>
      <c r="K26" s="21">
        <f>IF($P26="","",IFERROR(IF(INDEX(MASTER!$N$4:$N$1463,$P26)="","",INDEX(MASTER!$N$4:$N$1463,$P26)),""))</f>
        <v>39</v>
      </c>
      <c r="L26" s="19" t="str">
        <f>IF($P26="","",IFERROR(IF(INDEX(MASTER!$O$4:$O$1463,$P26)="","",INDEX(MASTER!$O$4:$O$1463,$P26)),""))</f>
        <v>B</v>
      </c>
      <c r="M26" s="19">
        <f>IF($P26="","",IFERROR(IF(INDEX(MASTER!$Q$4:$Q$1463,$P26)="","",INDEX(MASTER!$Q$4:$Q$1463,$P26)),""))</f>
        <v>47</v>
      </c>
      <c r="N26" s="19" t="str">
        <f>IF($P26="","",IFERROR(IF(INDEX(MASTER!$S$4:$S$1463,$P26)="","",INDEX(MASTER!$S$4:$S$1463,$P26)),""))</f>
        <v>Complete</v>
      </c>
      <c r="P26">
        <f>IFERROR(MATCH($Q$1&amp;"@18",MASTER!$AC$4:$AC$1463,0),"")</f>
        <v>256</v>
      </c>
    </row>
    <row r="27" spans="1:16">
      <c r="A27" s="15">
        <f>IF($P27="","",19)</f>
        <v>19</v>
      </c>
      <c r="B27" s="14" t="str">
        <f>IF($P27="","",IFERROR(IF(INDEX(MASTER!$C$4:$C$1463,$P27)="","",INDEX(MASTER!$C$4:$C$1463,$P27)),""))</f>
        <v>DeadlyKitten9</v>
      </c>
      <c r="C27" s="15" t="str">
        <f>IF($P27="","",IFERROR(IF(INDEX(MASTER!$D$4:$D$1463,$P27)="","",INDEX(MASTER!$D$4:$D$1463,$P27)),""))</f>
        <v>VENGENCE</v>
      </c>
      <c r="D27" s="15" t="str">
        <f>IF($P27="","",IFERROR(IF(INDEX(MASTER!$E$4:$E$1463,$P27)="","",INDEX(MASTER!$E$4:$E$1463,$P27)),""))</f>
        <v>WARLOCK</v>
      </c>
      <c r="E27" s="15" t="str">
        <f>IF($P27="","",IFERROR(IF(INDEX(MASTER!$F$4:$F$1463,$P27)="","",INDEX(MASTER!$F$4:$F$1463,$P27)),""))</f>
        <v>Control</v>
      </c>
      <c r="F27" s="16">
        <f>IF($P27="","",IFERROR(IF(INDEX(MASTER!$G$4:$G$1463,$P27)="","",INDEX(MASTER!$G$4:$G$1463,$P27)),""))</f>
        <v>62576</v>
      </c>
      <c r="G27" s="15" t="str">
        <f>IF($P27="","",IFERROR(IF(INDEX(MASTER!$H$4:$H$1463,$P27)="","",INDEX(MASTER!$H$4:$H$1463,$P27)),""))</f>
        <v>62,000 - 62,999</v>
      </c>
      <c r="H27" s="16">
        <f>IF($P27="","",IFERROR(IF(INDEX(MASTER!$I$4:$I$1463,$P27)="","",INDEX(MASTER!$I$4:$I$1463,$P27)),""))</f>
        <v>6757</v>
      </c>
      <c r="I27" s="15" t="str">
        <f>IF($P27="","",IFERROR(IF(INDEX(MASTER!$J$4:$J$1463,$P27)="","",INDEX(MASTER!$J$4:$J$1463,$P27)),""))</f>
        <v>VETERAN</v>
      </c>
      <c r="J27" s="17">
        <f>IF($P27="","",IFERROR(IF(INDEX(MASTER!$L$4:$L$1463,$P27)="","",INDEX(MASTER!$L$4:$L$1463,$P27)),""))</f>
        <v>6.25</v>
      </c>
      <c r="K27" s="17">
        <f>IF($P27="","",IFERROR(IF(INDEX(MASTER!$N$4:$N$1463,$P27)="","",INDEX(MASTER!$N$4:$N$1463,$P27)),""))</f>
        <v>59.8</v>
      </c>
      <c r="L27" s="15" t="str">
        <f>IF($P27="","",IFERROR(IF(INDEX(MASTER!$O$4:$O$1463,$P27)="","",INDEX(MASTER!$O$4:$O$1463,$P27)),""))</f>
        <v>A</v>
      </c>
      <c r="M27" s="15">
        <f>IF($P27="","",IFERROR(IF(INDEX(MASTER!$Q$4:$Q$1463,$P27)="","",INDEX(MASTER!$Q$4:$Q$1463,$P27)),""))</f>
        <v>5</v>
      </c>
      <c r="N27" s="15" t="str">
        <f>IF($P27="","",IFERROR(IF(INDEX(MASTER!$S$4:$S$1463,$P27)="","",INDEX(MASTER!$S$4:$S$1463,$P27)),""))</f>
        <v>Complete</v>
      </c>
      <c r="P27">
        <f>IFERROR(MATCH($Q$1&amp;"@19",MASTER!$AC$4:$AC$1463,0),"")</f>
        <v>263</v>
      </c>
    </row>
    <row r="28" spans="1:16">
      <c r="A28" s="19">
        <f>IF($P28="","",20)</f>
        <v>20</v>
      </c>
      <c r="B28" s="18" t="str">
        <f>IF($P28="","",IFERROR(IF(INDEX(MASTER!$C$4:$C$1463,$P28)="","",INDEX(MASTER!$C$4:$C$1463,$P28)),""))</f>
        <v>DedmanWho</v>
      </c>
      <c r="C28" s="19" t="str">
        <f>IF($P28="","",IFERROR(IF(INDEX(MASTER!$D$4:$D$1463,$P28)="","",INDEX(MASTER!$D$4:$D$1463,$P28)),""))</f>
        <v>VENGENCE</v>
      </c>
      <c r="D28" s="19" t="str">
        <f>IF($P28="","",IFERROR(IF(INDEX(MASTER!$E$4:$E$1463,$P28)="","",INDEX(MASTER!$E$4:$E$1463,$P28)),""))</f>
        <v>WARLOCK</v>
      </c>
      <c r="E28" s="19" t="str">
        <f>IF($P28="","",IFERROR(IF(INDEX(MASTER!$F$4:$F$1463,$P28)="","",INDEX(MASTER!$F$4:$F$1463,$P28)),""))</f>
        <v>Control</v>
      </c>
      <c r="F28" s="20">
        <f>IF($P28="","",IFERROR(IF(INDEX(MASTER!$G$4:$G$1463,$P28)="","",INDEX(MASTER!$G$4:$G$1463,$P28)),""))</f>
        <v>60207</v>
      </c>
      <c r="G28" s="19" t="str">
        <f>IF($P28="","",IFERROR(IF(INDEX(MASTER!$H$4:$H$1463,$P28)="","",INDEX(MASTER!$H$4:$H$1463,$P28)),""))</f>
        <v>60,000 - 60,999</v>
      </c>
      <c r="H28" s="20">
        <f>IF($P28="","",IFERROR(IF(INDEX(MASTER!$I$4:$I$1463,$P28)="","",INDEX(MASTER!$I$4:$I$1463,$P28)),""))</f>
        <v>2977</v>
      </c>
      <c r="I28" s="19" t="str">
        <f>IF($P28="","",IFERROR(IF(INDEX(MASTER!$J$4:$J$1463,$P28)="","",INDEX(MASTER!$J$4:$J$1463,$P28)),""))</f>
        <v>DEVELOPING</v>
      </c>
      <c r="J28" s="21">
        <f>IF($P28="","",IFERROR(IF(INDEX(MASTER!$L$4:$L$1463,$P28)="","",INDEX(MASTER!$L$4:$L$1463,$P28)),""))</f>
        <v>4.5999999999999996</v>
      </c>
      <c r="K28" s="21">
        <f>IF($P28="","",IFERROR(IF(INDEX(MASTER!$N$4:$N$1463,$P28)="","",INDEX(MASTER!$N$4:$N$1463,$P28)),""))</f>
        <v>34.4</v>
      </c>
      <c r="L28" s="19" t="str">
        <f>IF($P28="","",IFERROR(IF(INDEX(MASTER!$O$4:$O$1463,$P28)="","",INDEX(MASTER!$O$4:$O$1463,$P28)),""))</f>
        <v>C</v>
      </c>
      <c r="M28" s="19">
        <f>IF($P28="","",IFERROR(IF(INDEX(MASTER!$Q$4:$Q$1463,$P28)="","",INDEX(MASTER!$Q$4:$Q$1463,$P28)),""))</f>
        <v>59</v>
      </c>
      <c r="N28" s="19" t="str">
        <f>IF($P28="","",IFERROR(IF(INDEX(MASTER!$S$4:$S$1463,$P28)="","",INDEX(MASTER!$S$4:$S$1463,$P28)),""))</f>
        <v>Complete</v>
      </c>
      <c r="P28">
        <f>IFERROR(MATCH($Q$1&amp;"@20",MASTER!$AC$4:$AC$1463,0),"")</f>
        <v>273</v>
      </c>
    </row>
    <row r="29" spans="1:16">
      <c r="A29" s="15">
        <f>IF($P29="","",21)</f>
        <v>21</v>
      </c>
      <c r="B29" s="14" t="str">
        <f>IF($P29="","",IFERROR(IF(INDEX(MASTER!$C$4:$C$1463,$P29)="","",INDEX(MASTER!$C$4:$C$1463,$P29)),""))</f>
        <v>DillyDilly42</v>
      </c>
      <c r="C29" s="15" t="str">
        <f>IF($P29="","",IFERROR(IF(INDEX(MASTER!$D$4:$D$1463,$P29)="","",INDEX(MASTER!$D$4:$D$1463,$P29)),""))</f>
        <v>VENGENCE</v>
      </c>
      <c r="D29" s="15" t="str">
        <f>IF($P29="","",IFERROR(IF(INDEX(MASTER!$E$4:$E$1463,$P29)="","",INDEX(MASTER!$E$4:$E$1463,$P29)),""))</f>
        <v>WARLOCK</v>
      </c>
      <c r="E29" s="15" t="str">
        <f>IF($P29="","",IFERROR(IF(INDEX(MASTER!$F$4:$F$1463,$P29)="","",INDEX(MASTER!$F$4:$F$1463,$P29)),""))</f>
        <v>Control</v>
      </c>
      <c r="F29" s="16">
        <f>IF($P29="","",IFERROR(IF(INDEX(MASTER!$G$4:$G$1463,$P29)="","",INDEX(MASTER!$G$4:$G$1463,$P29)),""))</f>
        <v>58462</v>
      </c>
      <c r="G29" s="15" t="str">
        <f>IF($P29="","",IFERROR(IF(INDEX(MASTER!$H$4:$H$1463,$P29)="","",INDEX(MASTER!$H$4:$H$1463,$P29)),""))</f>
        <v>58,000 - 59,999</v>
      </c>
      <c r="H29" s="16">
        <f>IF($P29="","",IFERROR(IF(INDEX(MASTER!$I$4:$I$1463,$P29)="","",INDEX(MASTER!$I$4:$I$1463,$P29)),""))</f>
        <v>2981</v>
      </c>
      <c r="I29" s="15" t="str">
        <f>IF($P29="","",IFERROR(IF(INDEX(MASTER!$J$4:$J$1463,$P29)="","",INDEX(MASTER!$J$4:$J$1463,$P29)),""))</f>
        <v>DEVELOPING</v>
      </c>
      <c r="J29" s="17">
        <f>IF($P29="","",IFERROR(IF(INDEX(MASTER!$L$4:$L$1463,$P29)="","",INDEX(MASTER!$L$4:$L$1463,$P29)),""))</f>
        <v>4</v>
      </c>
      <c r="K29" s="17">
        <f>IF($P29="","",IFERROR(IF(INDEX(MASTER!$N$4:$N$1463,$P29)="","",INDEX(MASTER!$N$4:$N$1463,$P29)),""))</f>
        <v>28.8</v>
      </c>
      <c r="L29" s="15" t="str">
        <f>IF($P29="","",IFERROR(IF(INDEX(MASTER!$O$4:$O$1463,$P29)="","",INDEX(MASTER!$O$4:$O$1463,$P29)),""))</f>
        <v>C</v>
      </c>
      <c r="M29" s="15">
        <f>IF($P29="","",IFERROR(IF(INDEX(MASTER!$Q$4:$Q$1463,$P29)="","",INDEX(MASTER!$Q$4:$Q$1463,$P29)),""))</f>
        <v>58</v>
      </c>
      <c r="N29" s="15" t="str">
        <f>IF($P29="","",IFERROR(IF(INDEX(MASTER!$S$4:$S$1463,$P29)="","",INDEX(MASTER!$S$4:$S$1463,$P29)),""))</f>
        <v>Complete</v>
      </c>
      <c r="P29">
        <f>IFERROR(MATCH($Q$1&amp;"@21",MASTER!$AC$4:$AC$1463,0),"")</f>
        <v>292</v>
      </c>
    </row>
    <row r="30" spans="1:16">
      <c r="A30" s="19">
        <f>IF($P30="","",22)</f>
        <v>22</v>
      </c>
      <c r="B30" s="18" t="str">
        <f>IF($P30="","",IFERROR(IF(INDEX(MASTER!$C$4:$C$1463,$P30)="","",INDEX(MASTER!$C$4:$C$1463,$P30)),""))</f>
        <v>DjHotdog</v>
      </c>
      <c r="C30" s="19" t="str">
        <f>IF($P30="","",IFERROR(IF(INDEX(MASTER!$D$4:$D$1463,$P30)="","",INDEX(MASTER!$D$4:$D$1463,$P30)),""))</f>
        <v>VENGENCE</v>
      </c>
      <c r="D30" s="19" t="str">
        <f>IF($P30="","",IFERROR(IF(INDEX(MASTER!$E$4:$E$1463,$P30)="","",INDEX(MASTER!$E$4:$E$1463,$P30)),""))</f>
        <v>NECROMANCER</v>
      </c>
      <c r="E30" s="19" t="str">
        <f>IF($P30="","",IFERROR(IF(INDEX(MASTER!$F$4:$F$1463,$P30)="","",INDEX(MASTER!$F$4:$F$1463,$P30)),""))</f>
        <v>Control</v>
      </c>
      <c r="F30" s="20">
        <f>IF($P30="","",IFERROR(IF(INDEX(MASTER!$G$4:$G$1463,$P30)="","",INDEX(MASTER!$G$4:$G$1463,$P30)),""))</f>
        <v>60891</v>
      </c>
      <c r="G30" s="19" t="str">
        <f>IF($P30="","",IFERROR(IF(INDEX(MASTER!$H$4:$H$1463,$P30)="","",INDEX(MASTER!$H$4:$H$1463,$P30)),""))</f>
        <v>60,000 - 60,999</v>
      </c>
      <c r="H30" s="20">
        <f>IF($P30="","",IFERROR(IF(INDEX(MASTER!$I$4:$I$1463,$P30)="","",INDEX(MASTER!$I$4:$I$1463,$P30)),""))</f>
        <v>1780</v>
      </c>
      <c r="I30" s="19" t="str">
        <f>IF($P30="","",IFERROR(IF(INDEX(MASTER!$J$4:$J$1463,$P30)="","",INDEX(MASTER!$J$4:$J$1463,$P30)),""))</f>
        <v>ROOKIE</v>
      </c>
      <c r="J30" s="21">
        <f>IF($P30="","",IFERROR(IF(INDEX(MASTER!$L$4:$L$1463,$P30)="","",INDEX(MASTER!$L$4:$L$1463,$P30)),""))</f>
        <v>2.5</v>
      </c>
      <c r="K30" s="21">
        <f>IF($P30="","",IFERROR(IF(INDEX(MASTER!$N$4:$N$1463,$P30)="","",INDEX(MASTER!$N$4:$N$1463,$P30)),""))</f>
        <v>27.4</v>
      </c>
      <c r="L30" s="19" t="str">
        <f>IF($P30="","",IFERROR(IF(INDEX(MASTER!$O$4:$O$1463,$P30)="","",INDEX(MASTER!$O$4:$O$1463,$P30)),""))</f>
        <v>C</v>
      </c>
      <c r="M30" s="19">
        <f>IF($P30="","",IFERROR(IF(INDEX(MASTER!$Q$4:$Q$1463,$P30)="","",INDEX(MASTER!$Q$4:$Q$1463,$P30)),""))</f>
        <v>87</v>
      </c>
      <c r="N30" s="19" t="str">
        <f>IF($P30="","",IFERROR(IF(INDEX(MASTER!$S$4:$S$1463,$P30)="","",INDEX(MASTER!$S$4:$S$1463,$P30)),""))</f>
        <v>Complete</v>
      </c>
      <c r="P30">
        <f>IFERROR(MATCH($Q$1&amp;"@22",MASTER!$AC$4:$AC$1463,0),"")</f>
        <v>297</v>
      </c>
    </row>
    <row r="31" spans="1:16">
      <c r="A31" s="15">
        <f>IF($P31="","",23)</f>
        <v>23</v>
      </c>
      <c r="B31" s="14" t="str">
        <f>IF($P31="","",IFERROR(IF(INDEX(MASTER!$C$4:$C$1463,$P31)="","",INDEX(MASTER!$C$4:$C$1463,$P31)),""))</f>
        <v>Dusty33</v>
      </c>
      <c r="C31" s="15" t="str">
        <f>IF($P31="","",IFERROR(IF(INDEX(MASTER!$D$4:$D$1463,$P31)="","",INDEX(MASTER!$D$4:$D$1463,$P31)),""))</f>
        <v>VENGENCE</v>
      </c>
      <c r="D31" s="15" t="str">
        <f>IF($P31="","",IFERROR(IF(INDEX(MASTER!$E$4:$E$1463,$P31)="","",INDEX(MASTER!$E$4:$E$1463,$P31)),""))</f>
        <v>BARBARIAN</v>
      </c>
      <c r="E31" s="15" t="str">
        <f>IF($P31="","",IFERROR(IF(INDEX(MASTER!$F$4:$F$1463,$P31)="","",INDEX(MASTER!$F$4:$F$1463,$P31)),""))</f>
        <v>Frontline</v>
      </c>
      <c r="F31" s="16">
        <f>IF($P31="","",IFERROR(IF(INDEX(MASTER!$G$4:$G$1463,$P31)="","",INDEX(MASTER!$G$4:$G$1463,$P31)),""))</f>
        <v>62348</v>
      </c>
      <c r="G31" s="15" t="str">
        <f>IF($P31="","",IFERROR(IF(INDEX(MASTER!$H$4:$H$1463,$P31)="","",INDEX(MASTER!$H$4:$H$1463,$P31)),""))</f>
        <v>62,000 - 62,999</v>
      </c>
      <c r="H31" s="16">
        <f>IF($P31="","",IFERROR(IF(INDEX(MASTER!$I$4:$I$1463,$P31)="","",INDEX(MASTER!$I$4:$I$1463,$P31)),""))</f>
        <v>4332</v>
      </c>
      <c r="I31" s="15" t="str">
        <f>IF($P31="","",IFERROR(IF(INDEX(MASTER!$J$4:$J$1463,$P31)="","",INDEX(MASTER!$J$4:$J$1463,$P31)),""))</f>
        <v>CORE</v>
      </c>
      <c r="J31" s="17">
        <f>IF($P31="","",IFERROR(IF(INDEX(MASTER!$L$4:$L$1463,$P31)="","",INDEX(MASTER!$L$4:$L$1463,$P31)),""))</f>
        <v>3.8</v>
      </c>
      <c r="K31" s="17">
        <f>IF($P31="","",IFERROR(IF(INDEX(MASTER!$N$4:$N$1463,$P31)="","",INDEX(MASTER!$N$4:$N$1463,$P31)),""))</f>
        <v>44.6</v>
      </c>
      <c r="L31" s="15" t="str">
        <f>IF($P31="","",IFERROR(IF(INDEX(MASTER!$O$4:$O$1463,$P31)="","",INDEX(MASTER!$O$4:$O$1463,$P31)),""))</f>
        <v>B</v>
      </c>
      <c r="M31" s="15">
        <f>IF($P31="","",IFERROR(IF(INDEX(MASTER!$Q$4:$Q$1463,$P31)="","",INDEX(MASTER!$Q$4:$Q$1463,$P31)),""))</f>
        <v>25</v>
      </c>
      <c r="N31" s="15" t="str">
        <f>IF($P31="","",IFERROR(IF(INDEX(MASTER!$S$4:$S$1463,$P31)="","",INDEX(MASTER!$S$4:$S$1463,$P31)),""))</f>
        <v>Complete</v>
      </c>
      <c r="P31">
        <f>IFERROR(MATCH($Q$1&amp;"@23",MASTER!$AC$4:$AC$1463,0),"")</f>
        <v>331</v>
      </c>
    </row>
    <row r="32" spans="1:16">
      <c r="A32" s="19">
        <f>IF($P32="","",24)</f>
        <v>24</v>
      </c>
      <c r="B32" s="18" t="str">
        <f>IF($P32="","",IFERROR(IF(INDEX(MASTER!$C$4:$C$1463,$P32)="","",INDEX(MASTER!$C$4:$C$1463,$P32)),""))</f>
        <v>Eggviper</v>
      </c>
      <c r="C32" s="19" t="str">
        <f>IF($P32="","",IFERROR(IF(INDEX(MASTER!$D$4:$D$1463,$P32)="","",INDEX(MASTER!$D$4:$D$1463,$P32)),""))</f>
        <v>VENGENCE</v>
      </c>
      <c r="D32" s="19" t="str">
        <f>IF($P32="","",IFERROR(IF(INDEX(MASTER!$E$4:$E$1463,$P32)="","",INDEX(MASTER!$E$4:$E$1463,$P32)),""))</f>
        <v>WIZARD</v>
      </c>
      <c r="E32" s="19" t="str">
        <f>IF($P32="","",IFERROR(IF(INDEX(MASTER!$F$4:$F$1463,$P32)="","",INDEX(MASTER!$F$4:$F$1463,$P32)),""))</f>
        <v>Ranged DPS</v>
      </c>
      <c r="F32" s="20">
        <f>IF($P32="","",IFERROR(IF(INDEX(MASTER!$G$4:$G$1463,$P32)="","",INDEX(MASTER!$G$4:$G$1463,$P32)),""))</f>
        <v>61931</v>
      </c>
      <c r="G32" s="19" t="str">
        <f>IF($P32="","",IFERROR(IF(INDEX(MASTER!$H$4:$H$1463,$P32)="","",INDEX(MASTER!$H$4:$H$1463,$P32)),""))</f>
        <v>61,000 - 61,999</v>
      </c>
      <c r="H32" s="20">
        <f>IF($P32="","",IFERROR(IF(INDEX(MASTER!$I$4:$I$1463,$P32)="","",INDEX(MASTER!$I$4:$I$1463,$P32)),""))</f>
        <v>3408</v>
      </c>
      <c r="I32" s="19" t="str">
        <f>IF($P32="","",IFERROR(IF(INDEX(MASTER!$J$4:$J$1463,$P32)="","",INDEX(MASTER!$J$4:$J$1463,$P32)),""))</f>
        <v>DEVELOPING</v>
      </c>
      <c r="J32" s="21">
        <f>IF($P32="","",IFERROR(IF(INDEX(MASTER!$L$4:$L$1463,$P32)="","",INDEX(MASTER!$L$4:$L$1463,$P32)),""))</f>
        <v>4.9800000000000004</v>
      </c>
      <c r="K32" s="21">
        <f>IF($P32="","",IFERROR(IF(INDEX(MASTER!$N$4:$N$1463,$P32)="","",INDEX(MASTER!$N$4:$N$1463,$P32)),""))</f>
        <v>41.4</v>
      </c>
      <c r="L32" s="19" t="str">
        <f>IF($P32="","",IFERROR(IF(INDEX(MASTER!$O$4:$O$1463,$P32)="","",INDEX(MASTER!$O$4:$O$1463,$P32)),""))</f>
        <v>B</v>
      </c>
      <c r="M32" s="19">
        <f>IF($P32="","",IFERROR(IF(INDEX(MASTER!$Q$4:$Q$1463,$P32)="","",INDEX(MASTER!$Q$4:$Q$1463,$P32)),""))</f>
        <v>48</v>
      </c>
      <c r="N32" s="19" t="str">
        <f>IF($P32="","",IFERROR(IF(INDEX(MASTER!$S$4:$S$1463,$P32)="","",INDEX(MASTER!$S$4:$S$1463,$P32)),""))</f>
        <v>Complete</v>
      </c>
      <c r="P32">
        <f>IFERROR(MATCH($Q$1&amp;"@24",MASTER!$AC$4:$AC$1463,0),"")</f>
        <v>342</v>
      </c>
    </row>
    <row r="33" spans="1:16">
      <c r="A33" s="15">
        <f>IF($P33="","",25)</f>
        <v>25</v>
      </c>
      <c r="B33" s="14" t="str">
        <f>IF($P33="","",IFERROR(IF(INDEX(MASTER!$C$4:$C$1463,$P33)="","",INDEX(MASTER!$C$4:$C$1463,$P33)),""))</f>
        <v>Ezekria</v>
      </c>
      <c r="C33" s="15" t="str">
        <f>IF($P33="","",IFERROR(IF(INDEX(MASTER!$D$4:$D$1463,$P33)="","",INDEX(MASTER!$D$4:$D$1463,$P33)),""))</f>
        <v>VENGENCE</v>
      </c>
      <c r="D33" s="15" t="str">
        <f>IF($P33="","",IFERROR(IF(INDEX(MASTER!$E$4:$E$1463,$P33)="","",INDEX(MASTER!$E$4:$E$1463,$P33)),""))</f>
        <v>BLOOD KNIGHT</v>
      </c>
      <c r="E33" s="15" t="str">
        <f>IF($P33="","",IFERROR(IF(INDEX(MASTER!$F$4:$F$1463,$P33)="","",INDEX(MASTER!$F$4:$F$1463,$P33)),""))</f>
        <v>Frontline</v>
      </c>
      <c r="F33" s="16">
        <f>IF($P33="","",IFERROR(IF(INDEX(MASTER!$G$4:$G$1463,$P33)="","",INDEX(MASTER!$G$4:$G$1463,$P33)),""))</f>
        <v>61733</v>
      </c>
      <c r="G33" s="15" t="str">
        <f>IF($P33="","",IFERROR(IF(INDEX(MASTER!$H$4:$H$1463,$P33)="","",INDEX(MASTER!$H$4:$H$1463,$P33)),""))</f>
        <v>61,000 - 61,999</v>
      </c>
      <c r="H33" s="16">
        <f>IF($P33="","",IFERROR(IF(INDEX(MASTER!$I$4:$I$1463,$P33)="","",INDEX(MASTER!$I$4:$I$1463,$P33)),""))</f>
        <v>2219</v>
      </c>
      <c r="I33" s="15" t="str">
        <f>IF($P33="","",IFERROR(IF(INDEX(MASTER!$J$4:$J$1463,$P33)="","",INDEX(MASTER!$J$4:$J$1463,$P33)),""))</f>
        <v>DEVELOPING</v>
      </c>
      <c r="J33" s="17">
        <f>IF($P33="","",IFERROR(IF(INDEX(MASTER!$L$4:$L$1463,$P33)="","",INDEX(MASTER!$L$4:$L$1463,$P33)),""))</f>
        <v>3.5</v>
      </c>
      <c r="K33" s="17">
        <f>IF($P33="","",IFERROR(IF(INDEX(MASTER!$N$4:$N$1463,$P33)="","",INDEX(MASTER!$N$4:$N$1463,$P33)),""))</f>
        <v>33.200000000000003</v>
      </c>
      <c r="L33" s="15" t="str">
        <f>IF($P33="","",IFERROR(IF(INDEX(MASTER!$O$4:$O$1463,$P33)="","",INDEX(MASTER!$O$4:$O$1463,$P33)),""))</f>
        <v>C</v>
      </c>
      <c r="M33" s="15">
        <f>IF($P33="","",IFERROR(IF(INDEX(MASTER!$Q$4:$Q$1463,$P33)="","",INDEX(MASTER!$Q$4:$Q$1463,$P33)),""))</f>
        <v>78</v>
      </c>
      <c r="N33" s="15" t="str">
        <f>IF($P33="","",IFERROR(IF(INDEX(MASTER!$S$4:$S$1463,$P33)="","",INDEX(MASTER!$S$4:$S$1463,$P33)),""))</f>
        <v>Complete</v>
      </c>
      <c r="P33">
        <f>IFERROR(MATCH($Q$1&amp;"@25",MASTER!$AC$4:$AC$1463,0),"")</f>
        <v>374</v>
      </c>
    </row>
    <row r="34" spans="1:16">
      <c r="A34" s="19">
        <f>IF($P34="","",26)</f>
        <v>26</v>
      </c>
      <c r="B34" s="18" t="str">
        <f>IF($P34="","",IFERROR(IF(INDEX(MASTER!$C$4:$C$1463,$P34)="","",INDEX(MASTER!$C$4:$C$1463,$P34)),""))</f>
        <v>FERRET42</v>
      </c>
      <c r="C34" s="19" t="str">
        <f>IF($P34="","",IFERROR(IF(INDEX(MASTER!$D$4:$D$1463,$P34)="","",INDEX(MASTER!$D$4:$D$1463,$P34)),""))</f>
        <v>VENGENCE</v>
      </c>
      <c r="D34" s="19" t="str">
        <f>IF($P34="","",IFERROR(IF(INDEX(MASTER!$E$4:$E$1463,$P34)="","",INDEX(MASTER!$E$4:$E$1463,$P34)),""))</f>
        <v>WARLOCK</v>
      </c>
      <c r="E34" s="19" t="str">
        <f>IF($P34="","",IFERROR(IF(INDEX(MASTER!$F$4:$F$1463,$P34)="","",INDEX(MASTER!$F$4:$F$1463,$P34)),""))</f>
        <v>Control</v>
      </c>
      <c r="F34" s="20">
        <f>IF($P34="","",IFERROR(IF(INDEX(MASTER!$G$4:$G$1463,$P34)="","",INDEX(MASTER!$G$4:$G$1463,$P34)),""))</f>
        <v>60167</v>
      </c>
      <c r="G34" s="19" t="str">
        <f>IF($P34="","",IFERROR(IF(INDEX(MASTER!$H$4:$H$1463,$P34)="","",INDEX(MASTER!$H$4:$H$1463,$P34)),""))</f>
        <v>60,000 - 60,999</v>
      </c>
      <c r="H34" s="20">
        <f>IF($P34="","",IFERROR(IF(INDEX(MASTER!$I$4:$I$1463,$P34)="","",INDEX(MASTER!$I$4:$I$1463,$P34)),""))</f>
        <v>3299</v>
      </c>
      <c r="I34" s="19" t="str">
        <f>IF($P34="","",IFERROR(IF(INDEX(MASTER!$J$4:$J$1463,$P34)="","",INDEX(MASTER!$J$4:$J$1463,$P34)),""))</f>
        <v>DEVELOPING</v>
      </c>
      <c r="J34" s="21">
        <f>IF($P34="","",IFERROR(IF(INDEX(MASTER!$L$4:$L$1463,$P34)="","",INDEX(MASTER!$L$4:$L$1463,$P34)),""))</f>
        <v>4.5</v>
      </c>
      <c r="K34" s="21">
        <f>IF($P34="","",IFERROR(IF(INDEX(MASTER!$N$4:$N$1463,$P34)="","",INDEX(MASTER!$N$4:$N$1463,$P34)),""))</f>
        <v>35.5</v>
      </c>
      <c r="L34" s="19" t="str">
        <f>IF($P34="","",IFERROR(IF(INDEX(MASTER!$O$4:$O$1463,$P34)="","",INDEX(MASTER!$O$4:$O$1463,$P34)),""))</f>
        <v>B</v>
      </c>
      <c r="M34" s="19">
        <f>IF($P34="","",IFERROR(IF(INDEX(MASTER!$Q$4:$Q$1463,$P34)="","",INDEX(MASTER!$Q$4:$Q$1463,$P34)),""))</f>
        <v>51</v>
      </c>
      <c r="N34" s="19" t="str">
        <f>IF($P34="","",IFERROR(IF(INDEX(MASTER!$S$4:$S$1463,$P34)="","",INDEX(MASTER!$S$4:$S$1463,$P34)),""))</f>
        <v>Complete</v>
      </c>
      <c r="P34">
        <f>IFERROR(MATCH($Q$1&amp;"@26",MASTER!$AC$4:$AC$1463,0),"")</f>
        <v>386</v>
      </c>
    </row>
    <row r="35" spans="1:16">
      <c r="A35" s="15">
        <f>IF($P35="","",27)</f>
        <v>27</v>
      </c>
      <c r="B35" s="14" t="str">
        <f>IF($P35="","",IFERROR(IF(INDEX(MASTER!$C$4:$C$1463,$P35)="","",INDEX(MASTER!$C$4:$C$1463,$P35)),""))</f>
        <v>ForceTempRelease</v>
      </c>
      <c r="C35" s="15" t="str">
        <f>IF($P35="","",IFERROR(IF(INDEX(MASTER!$D$4:$D$1463,$P35)="","",INDEX(MASTER!$D$4:$D$1463,$P35)),""))</f>
        <v>VENGENCE</v>
      </c>
      <c r="D35" s="15" t="str">
        <f>IF($P35="","",IFERROR(IF(INDEX(MASTER!$E$4:$E$1463,$P35)="","",INDEX(MASTER!$E$4:$E$1463,$P35)),""))</f>
        <v>TEMPEST</v>
      </c>
      <c r="E35" s="15" t="str">
        <f>IF($P35="","",IFERROR(IF(INDEX(MASTER!$F$4:$F$1463,$P35)="","",INDEX(MASTER!$F$4:$F$1463,$P35)),""))</f>
        <v>Melee DPS</v>
      </c>
      <c r="F35" s="16">
        <f>IF($P35="","",IFERROR(IF(INDEX(MASTER!$G$4:$G$1463,$P35)="","",INDEX(MASTER!$G$4:$G$1463,$P35)),""))</f>
        <v>63209</v>
      </c>
      <c r="G35" s="15" t="str">
        <f>IF($P35="","",IFERROR(IF(INDEX(MASTER!$H$4:$H$1463,$P35)="","",INDEX(MASTER!$H$4:$H$1463,$P35)),""))</f>
        <v>63,000 - 63,999</v>
      </c>
      <c r="H35" s="16">
        <f>IF($P35="","",IFERROR(IF(INDEX(MASTER!$I$4:$I$1463,$P35)="","",INDEX(MASTER!$I$4:$I$1463,$P35)),""))</f>
        <v>4069</v>
      </c>
      <c r="I35" s="15" t="str">
        <f>IF($P35="","",IFERROR(IF(INDEX(MASTER!$J$4:$J$1463,$P35)="","",INDEX(MASTER!$J$4:$J$1463,$P35)),""))</f>
        <v>CORE</v>
      </c>
      <c r="J35" s="17">
        <f>IF($P35="","",IFERROR(IF(INDEX(MASTER!$L$4:$L$1463,$P35)="","",INDEX(MASTER!$L$4:$L$1463,$P35)),""))</f>
        <v>4.88</v>
      </c>
      <c r="K35" s="17">
        <f>IF($P35="","",IFERROR(IF(INDEX(MASTER!$N$4:$N$1463,$P35)="","",INDEX(MASTER!$N$4:$N$1463,$P35)),""))</f>
        <v>47.5</v>
      </c>
      <c r="L35" s="15" t="str">
        <f>IF($P35="","",IFERROR(IF(INDEX(MASTER!$O$4:$O$1463,$P35)="","",INDEX(MASTER!$O$4:$O$1463,$P35)),""))</f>
        <v>B</v>
      </c>
      <c r="M35" s="15">
        <f>IF($P35="","",IFERROR(IF(INDEX(MASTER!$Q$4:$Q$1463,$P35)="","",INDEX(MASTER!$Q$4:$Q$1463,$P35)),""))</f>
        <v>31</v>
      </c>
      <c r="N35" s="15" t="str">
        <f>IF($P35="","",IFERROR(IF(INDEX(MASTER!$S$4:$S$1463,$P35)="","",INDEX(MASTER!$S$4:$S$1463,$P35)),""))</f>
        <v>Complete</v>
      </c>
      <c r="P35">
        <f>IFERROR(MATCH($Q$1&amp;"@27",MASTER!$AC$4:$AC$1463,0),"")</f>
        <v>397</v>
      </c>
    </row>
    <row r="36" spans="1:16">
      <c r="A36" s="19">
        <f>IF($P36="","",28)</f>
        <v>28</v>
      </c>
      <c r="B36" s="18" t="str">
        <f>IF($P36="","",IFERROR(IF(INDEX(MASTER!$C$4:$C$1463,$P36)="","",INDEX(MASTER!$C$4:$C$1463,$P36)),""))</f>
        <v>FrostyT</v>
      </c>
      <c r="C36" s="19" t="str">
        <f>IF($P36="","",IFERROR(IF(INDEX(MASTER!$D$4:$D$1463,$P36)="","",INDEX(MASTER!$D$4:$D$1463,$P36)),""))</f>
        <v>VENGENCE</v>
      </c>
      <c r="D36" s="19" t="str">
        <f>IF($P36="","",IFERROR(IF(INDEX(MASTER!$E$4:$E$1463,$P36)="","",INDEX(MASTER!$E$4:$E$1463,$P36)),""))</f>
        <v>WARLOCK</v>
      </c>
      <c r="E36" s="19" t="str">
        <f>IF($P36="","",IFERROR(IF(INDEX(MASTER!$F$4:$F$1463,$P36)="","",INDEX(MASTER!$F$4:$F$1463,$P36)),""))</f>
        <v>Control</v>
      </c>
      <c r="F36" s="20">
        <f>IF($P36="","",IFERROR(IF(INDEX(MASTER!$G$4:$G$1463,$P36)="","",INDEX(MASTER!$G$4:$G$1463,$P36)),""))</f>
        <v>63288</v>
      </c>
      <c r="G36" s="19" t="str">
        <f>IF($P36="","",IFERROR(IF(INDEX(MASTER!$H$4:$H$1463,$P36)="","",INDEX(MASTER!$H$4:$H$1463,$P36)),""))</f>
        <v>63,000 - 63,999</v>
      </c>
      <c r="H36" s="20">
        <f>IF($P36="","",IFERROR(IF(INDEX(MASTER!$I$4:$I$1463,$P36)="","",INDEX(MASTER!$I$4:$I$1463,$P36)),""))</f>
        <v>4629</v>
      </c>
      <c r="I36" s="19" t="str">
        <f>IF($P36="","",IFERROR(IF(INDEX(MASTER!$J$4:$J$1463,$P36)="","",INDEX(MASTER!$J$4:$J$1463,$P36)),""))</f>
        <v>CORE</v>
      </c>
      <c r="J36" s="21">
        <f>IF($P36="","",IFERROR(IF(INDEX(MASTER!$L$4:$L$1463,$P36)="","",INDEX(MASTER!$L$4:$L$1463,$P36)),""))</f>
        <v>4.9000000000000004</v>
      </c>
      <c r="K36" s="21">
        <f>IF($P36="","",IFERROR(IF(INDEX(MASTER!$N$4:$N$1463,$P36)="","",INDEX(MASTER!$N$4:$N$1463,$P36)),""))</f>
        <v>50.2</v>
      </c>
      <c r="L36" s="19" t="str">
        <f>IF($P36="","",IFERROR(IF(INDEX(MASTER!$O$4:$O$1463,$P36)="","",INDEX(MASTER!$O$4:$O$1463,$P36)),""))</f>
        <v>A</v>
      </c>
      <c r="M36" s="19">
        <f>IF($P36="","",IFERROR(IF(INDEX(MASTER!$Q$4:$Q$1463,$P36)="","",INDEX(MASTER!$Q$4:$Q$1463,$P36)),""))</f>
        <v>22</v>
      </c>
      <c r="N36" s="19" t="str">
        <f>IF($P36="","",IFERROR(IF(INDEX(MASTER!$S$4:$S$1463,$P36)="","",INDEX(MASTER!$S$4:$S$1463,$P36)),""))</f>
        <v>Complete</v>
      </c>
      <c r="P36">
        <f>IFERROR(MATCH($Q$1&amp;"@28",MASTER!$AC$4:$AC$1463,0),"")</f>
        <v>401</v>
      </c>
    </row>
    <row r="37" spans="1:16">
      <c r="A37" s="15">
        <f>IF($P37="","",29)</f>
        <v>29</v>
      </c>
      <c r="B37" s="14" t="str">
        <f>IF($P37="","",IFERROR(IF(INDEX(MASTER!$C$4:$C$1463,$P37)="","",INDEX(MASTER!$C$4:$C$1463,$P37)),""))</f>
        <v>FuHao</v>
      </c>
      <c r="C37" s="15" t="str">
        <f>IF($P37="","",IFERROR(IF(INDEX(MASTER!$D$4:$D$1463,$P37)="","",INDEX(MASTER!$D$4:$D$1463,$P37)),""))</f>
        <v>VENGENCE</v>
      </c>
      <c r="D37" s="15" t="str">
        <f>IF($P37="","",IFERROR(IF(INDEX(MASTER!$E$4:$E$1463,$P37)="","",INDEX(MASTER!$E$4:$E$1463,$P37)),""))</f>
        <v>CRUSADER</v>
      </c>
      <c r="E37" s="15" t="str">
        <f>IF($P37="","",IFERROR(IF(INDEX(MASTER!$F$4:$F$1463,$P37)="","",INDEX(MASTER!$F$4:$F$1463,$P37)),""))</f>
        <v>Frontline</v>
      </c>
      <c r="F37" s="16">
        <f>IF($P37="","",IFERROR(IF(INDEX(MASTER!$G$4:$G$1463,$P37)="","",INDEX(MASTER!$G$4:$G$1463,$P37)),""))</f>
        <v>61301</v>
      </c>
      <c r="G37" s="15" t="str">
        <f>IF($P37="","",IFERROR(IF(INDEX(MASTER!$H$4:$H$1463,$P37)="","",INDEX(MASTER!$H$4:$H$1463,$P37)),""))</f>
        <v>61,000 - 61,999</v>
      </c>
      <c r="H37" s="16">
        <f>IF($P37="","",IFERROR(IF(INDEX(MASTER!$I$4:$I$1463,$P37)="","",INDEX(MASTER!$I$4:$I$1463,$P37)),""))</f>
        <v>2609</v>
      </c>
      <c r="I37" s="15" t="str">
        <f>IF($P37="","",IFERROR(IF(INDEX(MASTER!$J$4:$J$1463,$P37)="","",INDEX(MASTER!$J$4:$J$1463,$P37)),""))</f>
        <v>DEVELOPING</v>
      </c>
      <c r="J37" s="17">
        <f>IF($P37="","",IFERROR(IF(INDEX(MASTER!$L$4:$L$1463,$P37)="","",INDEX(MASTER!$L$4:$L$1463,$P37)),""))</f>
        <v>4.1500000000000004</v>
      </c>
      <c r="K37" s="17">
        <f>IF($P37="","",IFERROR(IF(INDEX(MASTER!$N$4:$N$1463,$P37)="","",INDEX(MASTER!$N$4:$N$1463,$P37)),""))</f>
        <v>34.9</v>
      </c>
      <c r="L37" s="15" t="str">
        <f>IF($P37="","",IFERROR(IF(INDEX(MASTER!$O$4:$O$1463,$P37)="","",INDEX(MASTER!$O$4:$O$1463,$P37)),""))</f>
        <v>C</v>
      </c>
      <c r="M37" s="15">
        <f>IF($P37="","",IFERROR(IF(INDEX(MASTER!$Q$4:$Q$1463,$P37)="","",INDEX(MASTER!$Q$4:$Q$1463,$P37)),""))</f>
        <v>68</v>
      </c>
      <c r="N37" s="15" t="str">
        <f>IF($P37="","",IFERROR(IF(INDEX(MASTER!$S$4:$S$1463,$P37)="","",INDEX(MASTER!$S$4:$S$1463,$P37)),""))</f>
        <v>Complete</v>
      </c>
      <c r="P37">
        <f>IFERROR(MATCH($Q$1&amp;"@29",MASTER!$AC$4:$AC$1463,0),"")</f>
        <v>403</v>
      </c>
    </row>
    <row r="38" spans="1:16">
      <c r="A38" s="19">
        <f>IF($P38="","",30)</f>
        <v>30</v>
      </c>
      <c r="B38" s="18" t="str">
        <f>IF($P38="","",IFERROR(IF(INDEX(MASTER!$C$4:$C$1463,$P38)="","",INDEX(MASTER!$C$4:$C$1463,$P38)),""))</f>
        <v>Furkious</v>
      </c>
      <c r="C38" s="19" t="str">
        <f>IF($P38="","",IFERROR(IF(INDEX(MASTER!$D$4:$D$1463,$P38)="","",INDEX(MASTER!$D$4:$D$1463,$P38)),""))</f>
        <v>VENGENCE</v>
      </c>
      <c r="D38" s="19" t="str">
        <f>IF($P38="","",IFERROR(IF(INDEX(MASTER!$E$4:$E$1463,$P38)="","",INDEX(MASTER!$E$4:$E$1463,$P38)),""))</f>
        <v>WARLOCK</v>
      </c>
      <c r="E38" s="19" t="str">
        <f>IF($P38="","",IFERROR(IF(INDEX(MASTER!$F$4:$F$1463,$P38)="","",INDEX(MASTER!$F$4:$F$1463,$P38)),""))</f>
        <v>Control</v>
      </c>
      <c r="F38" s="20">
        <f>IF($P38="","",IFERROR(IF(INDEX(MASTER!$G$4:$G$1463,$P38)="","",INDEX(MASTER!$G$4:$G$1463,$P38)),""))</f>
        <v>61007</v>
      </c>
      <c r="G38" s="19" t="str">
        <f>IF($P38="","",IFERROR(IF(INDEX(MASTER!$H$4:$H$1463,$P38)="","",INDEX(MASTER!$H$4:$H$1463,$P38)),""))</f>
        <v>61,000 - 61,999</v>
      </c>
      <c r="H38" s="20">
        <f>IF($P38="","",IFERROR(IF(INDEX(MASTER!$I$4:$I$1463,$P38)="","",INDEX(MASTER!$I$4:$I$1463,$P38)),""))</f>
        <v>2098</v>
      </c>
      <c r="I38" s="19" t="str">
        <f>IF($P38="","",IFERROR(IF(INDEX(MASTER!$J$4:$J$1463,$P38)="","",INDEX(MASTER!$J$4:$J$1463,$P38)),""))</f>
        <v>DEVELOPING</v>
      </c>
      <c r="J38" s="21">
        <f>IF($P38="","",IFERROR(IF(INDEX(MASTER!$L$4:$L$1463,$P38)="","",INDEX(MASTER!$L$4:$L$1463,$P38)),""))</f>
        <v>4.3</v>
      </c>
      <c r="K38" s="21">
        <f>IF($P38="","",IFERROR(IF(INDEX(MASTER!$N$4:$N$1463,$P38)="","",INDEX(MASTER!$N$4:$N$1463,$P38)),""))</f>
        <v>32.1</v>
      </c>
      <c r="L38" s="19" t="str">
        <f>IF($P38="","",IFERROR(IF(INDEX(MASTER!$O$4:$O$1463,$P38)="","",INDEX(MASTER!$O$4:$O$1463,$P38)),""))</f>
        <v>C</v>
      </c>
      <c r="M38" s="19">
        <f>IF($P38="","",IFERROR(IF(INDEX(MASTER!$Q$4:$Q$1463,$P38)="","",INDEX(MASTER!$Q$4:$Q$1463,$P38)),""))</f>
        <v>81</v>
      </c>
      <c r="N38" s="19" t="str">
        <f>IF($P38="","",IFERROR(IF(INDEX(MASTER!$S$4:$S$1463,$P38)="","",INDEX(MASTER!$S$4:$S$1463,$P38)),""))</f>
        <v>Complete</v>
      </c>
      <c r="P38">
        <f>IFERROR(MATCH($Q$1&amp;"@30",MASTER!$AC$4:$AC$1463,0),"")</f>
        <v>407</v>
      </c>
    </row>
    <row r="39" spans="1:16">
      <c r="A39" s="15">
        <f>IF($P39="","",31)</f>
        <v>31</v>
      </c>
      <c r="B39" s="14" t="str">
        <f>IF($P39="","",IFERROR(IF(INDEX(MASTER!$C$4:$C$1463,$P39)="","",INDEX(MASTER!$C$4:$C$1463,$P39)),""))</f>
        <v>Ğhǒůlybąbyy</v>
      </c>
      <c r="C39" s="15" t="str">
        <f>IF($P39="","",IFERROR(IF(INDEX(MASTER!$D$4:$D$1463,$P39)="","",INDEX(MASTER!$D$4:$D$1463,$P39)),""))</f>
        <v>VENGENCE</v>
      </c>
      <c r="D39" s="15" t="str">
        <f>IF($P39="","",IFERROR(IF(INDEX(MASTER!$E$4:$E$1463,$P39)="","",INDEX(MASTER!$E$4:$E$1463,$P39)),""))</f>
        <v/>
      </c>
      <c r="E39" s="15" t="str">
        <f>IF($P39="","",IFERROR(IF(INDEX(MASTER!$F$4:$F$1463,$P39)="","",INDEX(MASTER!$F$4:$F$1463,$P39)),""))</f>
        <v>-</v>
      </c>
      <c r="F39" s="16" t="str">
        <f>IF($P39="","",IFERROR(IF(INDEX(MASTER!$G$4:$G$1463,$P39)="","",INDEX(MASTER!$G$4:$G$1463,$P39)),""))</f>
        <v/>
      </c>
      <c r="G39" s="15" t="str">
        <f>IF($P39="","",IFERROR(IF(INDEX(MASTER!$H$4:$H$1463,$P39)="","",INDEX(MASTER!$H$4:$H$1463,$P39)),""))</f>
        <v>-</v>
      </c>
      <c r="H39" s="16" t="str">
        <f>IF($P39="","",IFERROR(IF(INDEX(MASTER!$I$4:$I$1463,$P39)="","",INDEX(MASTER!$I$4:$I$1463,$P39)),""))</f>
        <v/>
      </c>
      <c r="I39" s="15" t="str">
        <f>IF($P39="","",IFERROR(IF(INDEX(MASTER!$J$4:$J$1463,$P39)="","",INDEX(MASTER!$J$4:$J$1463,$P39)),""))</f>
        <v>-</v>
      </c>
      <c r="J39" s="17" t="str">
        <f>IF($P39="","",IFERROR(IF(INDEX(MASTER!$L$4:$L$1463,$P39)="","",INDEX(MASTER!$L$4:$L$1463,$P39)),""))</f>
        <v/>
      </c>
      <c r="K39" s="17" t="str">
        <f>IF($P39="","",IFERROR(IF(INDEX(MASTER!$N$4:$N$1463,$P39)="","",INDEX(MASTER!$N$4:$N$1463,$P39)),""))</f>
        <v/>
      </c>
      <c r="L39" s="15" t="str">
        <f>IF($P39="","",IFERROR(IF(INDEX(MASTER!$O$4:$O$1463,$P39)="","",INDEX(MASTER!$O$4:$O$1463,$P39)),""))</f>
        <v>-</v>
      </c>
      <c r="M39" s="15">
        <f>IF($P39="","",IFERROR(IF(INDEX(MASTER!$Q$4:$Q$1463,$P39)="","",INDEX(MASTER!$Q$4:$Q$1463,$P39)),""))</f>
        <v>96</v>
      </c>
      <c r="N39" s="15" t="str">
        <f>IF($P39="","",IFERROR(IF(INDEX(MASTER!$S$4:$S$1463,$P39)="","",INDEX(MASTER!$S$4:$S$1463,$P39)),""))</f>
        <v>Name only</v>
      </c>
      <c r="P39">
        <f>IFERROR(MATCH($Q$1&amp;"@31",MASTER!$AC$4:$AC$1463,0),"")</f>
        <v>1343</v>
      </c>
    </row>
    <row r="40" spans="1:16">
      <c r="A40" s="19">
        <f>IF($P40="","",32)</f>
        <v>32</v>
      </c>
      <c r="B40" s="18" t="str">
        <f>IF($P40="","",IFERROR(IF(INDEX(MASTER!$C$4:$C$1463,$P40)="","",INDEX(MASTER!$C$4:$C$1463,$P40)),""))</f>
        <v>GiggityGuru</v>
      </c>
      <c r="C40" s="19" t="str">
        <f>IF($P40="","",IFERROR(IF(INDEX(MASTER!$D$4:$D$1463,$P40)="","",INDEX(MASTER!$D$4:$D$1463,$P40)),""))</f>
        <v>VENGENCE</v>
      </c>
      <c r="D40" s="19" t="str">
        <f>IF($P40="","",IFERROR(IF(INDEX(MASTER!$E$4:$E$1463,$P40)="","",INDEX(MASTER!$E$4:$E$1463,$P40)),""))</f>
        <v>CRUSADER</v>
      </c>
      <c r="E40" s="19" t="str">
        <f>IF($P40="","",IFERROR(IF(INDEX(MASTER!$F$4:$F$1463,$P40)="","",INDEX(MASTER!$F$4:$F$1463,$P40)),""))</f>
        <v>Frontline</v>
      </c>
      <c r="F40" s="20">
        <f>IF($P40="","",IFERROR(IF(INDEX(MASTER!$G$4:$G$1463,$P40)="","",INDEX(MASTER!$G$4:$G$1463,$P40)),""))</f>
        <v>62839</v>
      </c>
      <c r="G40" s="19" t="str">
        <f>IF($P40="","",IFERROR(IF(INDEX(MASTER!$H$4:$H$1463,$P40)="","",INDEX(MASTER!$H$4:$H$1463,$P40)),""))</f>
        <v>62,000 - 62,999</v>
      </c>
      <c r="H40" s="20">
        <f>IF($P40="","",IFERROR(IF(INDEX(MASTER!$I$4:$I$1463,$P40)="","",INDEX(MASTER!$I$4:$I$1463,$P40)),""))</f>
        <v>4695</v>
      </c>
      <c r="I40" s="19" t="str">
        <f>IF($P40="","",IFERROR(IF(INDEX(MASTER!$J$4:$J$1463,$P40)="","",INDEX(MASTER!$J$4:$J$1463,$P40)),""))</f>
        <v>CORE</v>
      </c>
      <c r="J40" s="21">
        <f>IF($P40="","",IFERROR(IF(INDEX(MASTER!$L$4:$L$1463,$P40)="","",INDEX(MASTER!$L$4:$L$1463,$P40)),""))</f>
        <v>5.4</v>
      </c>
      <c r="K40" s="21">
        <f>IF($P40="","",IFERROR(IF(INDEX(MASTER!$N$4:$N$1463,$P40)="","",INDEX(MASTER!$N$4:$N$1463,$P40)),""))</f>
        <v>50.1</v>
      </c>
      <c r="L40" s="19" t="str">
        <f>IF($P40="","",IFERROR(IF(INDEX(MASTER!$O$4:$O$1463,$P40)="","",INDEX(MASTER!$O$4:$O$1463,$P40)),""))</f>
        <v>A</v>
      </c>
      <c r="M40" s="19">
        <f>IF($P40="","",IFERROR(IF(INDEX(MASTER!$Q$4:$Q$1463,$P40)="","",INDEX(MASTER!$Q$4:$Q$1463,$P40)),""))</f>
        <v>20</v>
      </c>
      <c r="N40" s="19" t="str">
        <f>IF($P40="","",IFERROR(IF(INDEX(MASTER!$S$4:$S$1463,$P40)="","",INDEX(MASTER!$S$4:$S$1463,$P40)),""))</f>
        <v>Complete</v>
      </c>
      <c r="P40">
        <f>IFERROR(MATCH($Q$1&amp;"@32",MASTER!$AC$4:$AC$1463,0),"")</f>
        <v>430</v>
      </c>
    </row>
    <row r="41" spans="1:16">
      <c r="A41" s="15">
        <f>IF($P41="","",33)</f>
        <v>33</v>
      </c>
      <c r="B41" s="14" t="str">
        <f>IF($P41="","",IFERROR(IF(INDEX(MASTER!$C$4:$C$1463,$P41)="","",INDEX(MASTER!$C$4:$C$1463,$P41)),""))</f>
        <v>Glitter-1</v>
      </c>
      <c r="C41" s="15" t="str">
        <f>IF($P41="","",IFERROR(IF(INDEX(MASTER!$D$4:$D$1463,$P41)="","",INDEX(MASTER!$D$4:$D$1463,$P41)),""))</f>
        <v>VENGENCE</v>
      </c>
      <c r="D41" s="15" t="str">
        <f>IF($P41="","",IFERROR(IF(INDEX(MASTER!$E$4:$E$1463,$P41)="","",INDEX(MASTER!$E$4:$E$1463,$P41)),""))</f>
        <v>WIZARD</v>
      </c>
      <c r="E41" s="15" t="str">
        <f>IF($P41="","",IFERROR(IF(INDEX(MASTER!$F$4:$F$1463,$P41)="","",INDEX(MASTER!$F$4:$F$1463,$P41)),""))</f>
        <v>Ranged DPS</v>
      </c>
      <c r="F41" s="16">
        <f>IF($P41="","",IFERROR(IF(INDEX(MASTER!$G$4:$G$1463,$P41)="","",INDEX(MASTER!$G$4:$G$1463,$P41)),""))</f>
        <v>61937</v>
      </c>
      <c r="G41" s="15" t="str">
        <f>IF($P41="","",IFERROR(IF(INDEX(MASTER!$H$4:$H$1463,$P41)="","",INDEX(MASTER!$H$4:$H$1463,$P41)),""))</f>
        <v>61,000 - 61,999</v>
      </c>
      <c r="H41" s="16">
        <f>IF($P41="","",IFERROR(IF(INDEX(MASTER!$I$4:$I$1463,$P41)="","",INDEX(MASTER!$I$4:$I$1463,$P41)),""))</f>
        <v>3844</v>
      </c>
      <c r="I41" s="15" t="str">
        <f>IF($P41="","",IFERROR(IF(INDEX(MASTER!$J$4:$J$1463,$P41)="","",INDEX(MASTER!$J$4:$J$1463,$P41)),""))</f>
        <v>DEVELOPING</v>
      </c>
      <c r="J41" s="17">
        <f>IF($P41="","",IFERROR(IF(INDEX(MASTER!$L$4:$L$1463,$P41)="","",INDEX(MASTER!$L$4:$L$1463,$P41)),""))</f>
        <v>4.05</v>
      </c>
      <c r="K41" s="17">
        <f>IF($P41="","",IFERROR(IF(INDEX(MASTER!$N$4:$N$1463,$P41)="","",INDEX(MASTER!$N$4:$N$1463,$P41)),""))</f>
        <v>41.8</v>
      </c>
      <c r="L41" s="15" t="str">
        <f>IF($P41="","",IFERROR(IF(INDEX(MASTER!$O$4:$O$1463,$P41)="","",INDEX(MASTER!$O$4:$O$1463,$P41)),""))</f>
        <v>B</v>
      </c>
      <c r="M41" s="15">
        <f>IF($P41="","",IFERROR(IF(INDEX(MASTER!$Q$4:$Q$1463,$P41)="","",INDEX(MASTER!$Q$4:$Q$1463,$P41)),""))</f>
        <v>37</v>
      </c>
      <c r="N41" s="15" t="str">
        <f>IF($P41="","",IFERROR(IF(INDEX(MASTER!$S$4:$S$1463,$P41)="","",INDEX(MASTER!$S$4:$S$1463,$P41)),""))</f>
        <v>Complete</v>
      </c>
      <c r="P41">
        <f>IFERROR(MATCH($Q$1&amp;"@33",MASTER!$AC$4:$AC$1463,0),"")</f>
        <v>434</v>
      </c>
    </row>
    <row r="42" spans="1:16">
      <c r="A42" s="19">
        <f>IF($P42="","",34)</f>
        <v>34</v>
      </c>
      <c r="B42" s="18" t="str">
        <f>IF($P42="","",IFERROR(IF(INDEX(MASTER!$C$4:$C$1463,$P42)="","",INDEX(MASTER!$C$4:$C$1463,$P42)),""))</f>
        <v>GoneForGood</v>
      </c>
      <c r="C42" s="19" t="str">
        <f>IF($P42="","",IFERROR(IF(INDEX(MASTER!$D$4:$D$1463,$P42)="","",INDEX(MASTER!$D$4:$D$1463,$P42)),""))</f>
        <v>VENGENCE</v>
      </c>
      <c r="D42" s="19" t="str">
        <f>IF($P42="","",IFERROR(IF(INDEX(MASTER!$E$4:$E$1463,$P42)="","",INDEX(MASTER!$E$4:$E$1463,$P42)),""))</f>
        <v>WARLOCK</v>
      </c>
      <c r="E42" s="19" t="str">
        <f>IF($P42="","",IFERROR(IF(INDEX(MASTER!$F$4:$F$1463,$P42)="","",INDEX(MASTER!$F$4:$F$1463,$P42)),""))</f>
        <v>Control</v>
      </c>
      <c r="F42" s="20">
        <f>IF($P42="","",IFERROR(IF(INDEX(MASTER!$G$4:$G$1463,$P42)="","",INDEX(MASTER!$G$4:$G$1463,$P42)),""))</f>
        <v>62386</v>
      </c>
      <c r="G42" s="19" t="str">
        <f>IF($P42="","",IFERROR(IF(INDEX(MASTER!$H$4:$H$1463,$P42)="","",INDEX(MASTER!$H$4:$H$1463,$P42)),""))</f>
        <v>62,000 - 62,999</v>
      </c>
      <c r="H42" s="20">
        <f>IF($P42="","",IFERROR(IF(INDEX(MASTER!$I$4:$I$1463,$P42)="","",INDEX(MASTER!$I$4:$I$1463,$P42)),""))</f>
        <v>1869</v>
      </c>
      <c r="I42" s="19" t="str">
        <f>IF($P42="","",IFERROR(IF(INDEX(MASTER!$J$4:$J$1463,$P42)="","",INDEX(MASTER!$J$4:$J$1463,$P42)),""))</f>
        <v>ROOKIE</v>
      </c>
      <c r="J42" s="21">
        <f>IF($P42="","",IFERROR(IF(INDEX(MASTER!$L$4:$L$1463,$P42)="","",INDEX(MASTER!$L$4:$L$1463,$P42)),""))</f>
        <v>3.4</v>
      </c>
      <c r="K42" s="21">
        <f>IF($P42="","",IFERROR(IF(INDEX(MASTER!$N$4:$N$1463,$P42)="","",INDEX(MASTER!$N$4:$N$1463,$P42)),""))</f>
        <v>33.299999999999997</v>
      </c>
      <c r="L42" s="19" t="str">
        <f>IF($P42="","",IFERROR(IF(INDEX(MASTER!$O$4:$O$1463,$P42)="","",INDEX(MASTER!$O$4:$O$1463,$P42)),""))</f>
        <v>C</v>
      </c>
      <c r="M42" s="19">
        <f>IF($P42="","",IFERROR(IF(INDEX(MASTER!$Q$4:$Q$1463,$P42)="","",INDEX(MASTER!$Q$4:$Q$1463,$P42)),""))</f>
        <v>85</v>
      </c>
      <c r="N42" s="19" t="str">
        <f>IF($P42="","",IFERROR(IF(INDEX(MASTER!$S$4:$S$1463,$P42)="","",INDEX(MASTER!$S$4:$S$1463,$P42)),""))</f>
        <v>Complete</v>
      </c>
      <c r="P42">
        <f>IFERROR(MATCH($Q$1&amp;"@34",MASTER!$AC$4:$AC$1463,0),"")</f>
        <v>440</v>
      </c>
    </row>
    <row r="43" spans="1:16">
      <c r="A43" s="15">
        <f>IF($P43="","",35)</f>
        <v>35</v>
      </c>
      <c r="B43" s="14" t="str">
        <f>IF($P43="","",IFERROR(IF(INDEX(MASTER!$C$4:$C$1463,$P43)="","",INDEX(MASTER!$C$4:$C$1463,$P43)),""))</f>
        <v>GrandKyle29</v>
      </c>
      <c r="C43" s="15" t="str">
        <f>IF($P43="","",IFERROR(IF(INDEX(MASTER!$D$4:$D$1463,$P43)="","",INDEX(MASTER!$D$4:$D$1463,$P43)),""))</f>
        <v>VENGENCE</v>
      </c>
      <c r="D43" s="15" t="str">
        <f>IF($P43="","",IFERROR(IF(INDEX(MASTER!$E$4:$E$1463,$P43)="","",INDEX(MASTER!$E$4:$E$1463,$P43)),""))</f>
        <v>NECROMANCER</v>
      </c>
      <c r="E43" s="15" t="str">
        <f>IF($P43="","",IFERROR(IF(INDEX(MASTER!$F$4:$F$1463,$P43)="","",INDEX(MASTER!$F$4:$F$1463,$P43)),""))</f>
        <v>Control</v>
      </c>
      <c r="F43" s="16">
        <f>IF($P43="","",IFERROR(IF(INDEX(MASTER!$G$4:$G$1463,$P43)="","",INDEX(MASTER!$G$4:$G$1463,$P43)),""))</f>
        <v>60532</v>
      </c>
      <c r="G43" s="15" t="str">
        <f>IF($P43="","",IFERROR(IF(INDEX(MASTER!$H$4:$H$1463,$P43)="","",INDEX(MASTER!$H$4:$H$1463,$P43)),""))</f>
        <v>60,000 - 60,999</v>
      </c>
      <c r="H43" s="16">
        <f>IF($P43="","",IFERROR(IF(INDEX(MASTER!$I$4:$I$1463,$P43)="","",INDEX(MASTER!$I$4:$I$1463,$P43)),""))</f>
        <v>2619</v>
      </c>
      <c r="I43" s="15" t="str">
        <f>IF($P43="","",IFERROR(IF(INDEX(MASTER!$J$4:$J$1463,$P43)="","",INDEX(MASTER!$J$4:$J$1463,$P43)),""))</f>
        <v>DEVELOPING</v>
      </c>
      <c r="J43" s="17">
        <f>IF($P43="","",IFERROR(IF(INDEX(MASTER!$L$4:$L$1463,$P43)="","",INDEX(MASTER!$L$4:$L$1463,$P43)),""))</f>
        <v>4.6500000000000004</v>
      </c>
      <c r="K43" s="17">
        <f>IF($P43="","",IFERROR(IF(INDEX(MASTER!$N$4:$N$1463,$P43)="","",INDEX(MASTER!$N$4:$N$1463,$P43)),""))</f>
        <v>33.700000000000003</v>
      </c>
      <c r="L43" s="15" t="str">
        <f>IF($P43="","",IFERROR(IF(INDEX(MASTER!$O$4:$O$1463,$P43)="","",INDEX(MASTER!$O$4:$O$1463,$P43)),""))</f>
        <v>C</v>
      </c>
      <c r="M43" s="15">
        <f>IF($P43="","",IFERROR(IF(INDEX(MASTER!$Q$4:$Q$1463,$P43)="","",INDEX(MASTER!$Q$4:$Q$1463,$P43)),""))</f>
        <v>67</v>
      </c>
      <c r="N43" s="15" t="str">
        <f>IF($P43="","",IFERROR(IF(INDEX(MASTER!$S$4:$S$1463,$P43)="","",INDEX(MASTER!$S$4:$S$1463,$P43)),""))</f>
        <v>Complete</v>
      </c>
      <c r="P43">
        <f>IFERROR(MATCH($Q$1&amp;"@35",MASTER!$AC$4:$AC$1463,0),"")</f>
        <v>448</v>
      </c>
    </row>
    <row r="44" spans="1:16">
      <c r="A44" s="19">
        <f>IF($P44="","",36)</f>
        <v>36</v>
      </c>
      <c r="B44" s="18" t="str">
        <f>IF($P44="","",IFERROR(IF(INDEX(MASTER!$C$4:$C$1463,$P44)="","",INDEX(MASTER!$C$4:$C$1463,$P44)),""))</f>
        <v>Hensen</v>
      </c>
      <c r="C44" s="19" t="str">
        <f>IF($P44="","",IFERROR(IF(INDEX(MASTER!$D$4:$D$1463,$P44)="","",INDEX(MASTER!$D$4:$D$1463,$P44)),""))</f>
        <v>VENGENCE</v>
      </c>
      <c r="D44" s="19" t="str">
        <f>IF($P44="","",IFERROR(IF(INDEX(MASTER!$E$4:$E$1463,$P44)="","",INDEX(MASTER!$E$4:$E$1463,$P44)),""))</f>
        <v>WARLOCK</v>
      </c>
      <c r="E44" s="19" t="str">
        <f>IF($P44="","",IFERROR(IF(INDEX(MASTER!$F$4:$F$1463,$P44)="","",INDEX(MASTER!$F$4:$F$1463,$P44)),""))</f>
        <v>Control</v>
      </c>
      <c r="F44" s="20">
        <f>IF($P44="","",IFERROR(IF(INDEX(MASTER!$G$4:$G$1463,$P44)="","",INDEX(MASTER!$G$4:$G$1463,$P44)),""))</f>
        <v>63118</v>
      </c>
      <c r="G44" s="19" t="str">
        <f>IF($P44="","",IFERROR(IF(INDEX(MASTER!$H$4:$H$1463,$P44)="","",INDEX(MASTER!$H$4:$H$1463,$P44)),""))</f>
        <v>63,000 - 63,999</v>
      </c>
      <c r="H44" s="20">
        <f>IF($P44="","",IFERROR(IF(INDEX(MASTER!$I$4:$I$1463,$P44)="","",INDEX(MASTER!$I$4:$I$1463,$P44)),""))</f>
        <v>4410</v>
      </c>
      <c r="I44" s="19" t="str">
        <f>IF($P44="","",IFERROR(IF(INDEX(MASTER!$J$4:$J$1463,$P44)="","",INDEX(MASTER!$J$4:$J$1463,$P44)),""))</f>
        <v>CORE</v>
      </c>
      <c r="J44" s="21">
        <f>IF($P44="","",IFERROR(IF(INDEX(MASTER!$L$4:$L$1463,$P44)="","",INDEX(MASTER!$L$4:$L$1463,$P44)),""))</f>
        <v>4.3</v>
      </c>
      <c r="K44" s="21">
        <f>IF($P44="","",IFERROR(IF(INDEX(MASTER!$N$4:$N$1463,$P44)="","",INDEX(MASTER!$N$4:$N$1463,$P44)),""))</f>
        <v>47.8</v>
      </c>
      <c r="L44" s="19" t="str">
        <f>IF($P44="","",IFERROR(IF(INDEX(MASTER!$O$4:$O$1463,$P44)="","",INDEX(MASTER!$O$4:$O$1463,$P44)),""))</f>
        <v>B</v>
      </c>
      <c r="M44" s="19">
        <f>IF($P44="","",IFERROR(IF(INDEX(MASTER!$Q$4:$Q$1463,$P44)="","",INDEX(MASTER!$Q$4:$Q$1463,$P44)),""))</f>
        <v>24</v>
      </c>
      <c r="N44" s="19" t="str">
        <f>IF($P44="","",IFERROR(IF(INDEX(MASTER!$S$4:$S$1463,$P44)="","",INDEX(MASTER!$S$4:$S$1463,$P44)),""))</f>
        <v>Complete</v>
      </c>
      <c r="P44">
        <f>IFERROR(MATCH($Q$1&amp;"@36",MASTER!$AC$4:$AC$1463,0),"")</f>
        <v>495</v>
      </c>
    </row>
    <row r="45" spans="1:16">
      <c r="A45" s="15">
        <f>IF($P45="","",37)</f>
        <v>37</v>
      </c>
      <c r="B45" s="14" t="str">
        <f>IF($P45="","",IFERROR(IF(INDEX(MASTER!$C$4:$C$1463,$P45)="","",INDEX(MASTER!$C$4:$C$1463,$P45)),""))</f>
        <v>Immuarka</v>
      </c>
      <c r="C45" s="15" t="str">
        <f>IF($P45="","",IFERROR(IF(INDEX(MASTER!$D$4:$D$1463,$P45)="","",INDEX(MASTER!$D$4:$D$1463,$P45)),""))</f>
        <v>VENGENCE</v>
      </c>
      <c r="D45" s="15" t="str">
        <f>IF($P45="","",IFERROR(IF(INDEX(MASTER!$E$4:$E$1463,$P45)="","",INDEX(MASTER!$E$4:$E$1463,$P45)),""))</f>
        <v>CRUSADER</v>
      </c>
      <c r="E45" s="15" t="str">
        <f>IF($P45="","",IFERROR(IF(INDEX(MASTER!$F$4:$F$1463,$P45)="","",INDEX(MASTER!$F$4:$F$1463,$P45)),""))</f>
        <v>Frontline</v>
      </c>
      <c r="F45" s="16">
        <f>IF($P45="","",IFERROR(IF(INDEX(MASTER!$G$4:$G$1463,$P45)="","",INDEX(MASTER!$G$4:$G$1463,$P45)),""))</f>
        <v>61599</v>
      </c>
      <c r="G45" s="15" t="str">
        <f>IF($P45="","",IFERROR(IF(INDEX(MASTER!$H$4:$H$1463,$P45)="","",INDEX(MASTER!$H$4:$H$1463,$P45)),""))</f>
        <v>61,000 - 61,999</v>
      </c>
      <c r="H45" s="16">
        <f>IF($P45="","",IFERROR(IF(INDEX(MASTER!$I$4:$I$1463,$P45)="","",INDEX(MASTER!$I$4:$I$1463,$P45)),""))</f>
        <v>3566</v>
      </c>
      <c r="I45" s="15" t="str">
        <f>IF($P45="","",IFERROR(IF(INDEX(MASTER!$J$4:$J$1463,$P45)="","",INDEX(MASTER!$J$4:$J$1463,$P45)),""))</f>
        <v>DEVELOPING</v>
      </c>
      <c r="J45" s="17">
        <f>IF($P45="","",IFERROR(IF(INDEX(MASTER!$L$4:$L$1463,$P45)="","",INDEX(MASTER!$L$4:$L$1463,$P45)),""))</f>
        <v>6</v>
      </c>
      <c r="K45" s="17">
        <f>IF($P45="","",IFERROR(IF(INDEX(MASTER!$N$4:$N$1463,$P45)="","",INDEX(MASTER!$N$4:$N$1463,$P45)),""))</f>
        <v>42.9</v>
      </c>
      <c r="L45" s="15" t="str">
        <f>IF($P45="","",IFERROR(IF(INDEX(MASTER!$O$4:$O$1463,$P45)="","",INDEX(MASTER!$O$4:$O$1463,$P45)),""))</f>
        <v>B</v>
      </c>
      <c r="M45" s="15">
        <f>IF($P45="","",IFERROR(IF(INDEX(MASTER!$Q$4:$Q$1463,$P45)="","",INDEX(MASTER!$Q$4:$Q$1463,$P45)),""))</f>
        <v>40</v>
      </c>
      <c r="N45" s="15" t="str">
        <f>IF($P45="","",IFERROR(IF(INDEX(MASTER!$S$4:$S$1463,$P45)="","",INDEX(MASTER!$S$4:$S$1463,$P45)),""))</f>
        <v>Complete</v>
      </c>
      <c r="P45">
        <f>IFERROR(MATCH($Q$1&amp;"@37",MASTER!$AC$4:$AC$1463,0),"")</f>
        <v>532</v>
      </c>
    </row>
    <row r="46" spans="1:16">
      <c r="A46" s="19">
        <f>IF($P46="","",38)</f>
        <v>38</v>
      </c>
      <c r="B46" s="18" t="str">
        <f>IF($P46="","",IFERROR(IF(INDEX(MASTER!$C$4:$C$1463,$P46)="","",INDEX(MASTER!$C$4:$C$1463,$P46)),""))</f>
        <v>KingAzyx</v>
      </c>
      <c r="C46" s="19" t="str">
        <f>IF($P46="","",IFERROR(IF(INDEX(MASTER!$D$4:$D$1463,$P46)="","",INDEX(MASTER!$D$4:$D$1463,$P46)),""))</f>
        <v>VENGENCE</v>
      </c>
      <c r="D46" s="19" t="str">
        <f>IF($P46="","",IFERROR(IF(INDEX(MASTER!$E$4:$E$1463,$P46)="","",INDEX(MASTER!$E$4:$E$1463,$P46)),""))</f>
        <v>WARLOCK</v>
      </c>
      <c r="E46" s="19" t="str">
        <f>IF($P46="","",IFERROR(IF(INDEX(MASTER!$F$4:$F$1463,$P46)="","",INDEX(MASTER!$F$4:$F$1463,$P46)),""))</f>
        <v>Control</v>
      </c>
      <c r="F46" s="20">
        <f>IF($P46="","",IFERROR(IF(INDEX(MASTER!$G$4:$G$1463,$P46)="","",INDEX(MASTER!$G$4:$G$1463,$P46)),""))</f>
        <v>62730</v>
      </c>
      <c r="G46" s="19" t="str">
        <f>IF($P46="","",IFERROR(IF(INDEX(MASTER!$H$4:$H$1463,$P46)="","",INDEX(MASTER!$H$4:$H$1463,$P46)),""))</f>
        <v>62,000 - 62,999</v>
      </c>
      <c r="H46" s="20">
        <f>IF($P46="","",IFERROR(IF(INDEX(MASTER!$I$4:$I$1463,$P46)="","",INDEX(MASTER!$I$4:$I$1463,$P46)),""))</f>
        <v>2536</v>
      </c>
      <c r="I46" s="19" t="str">
        <f>IF($P46="","",IFERROR(IF(INDEX(MASTER!$J$4:$J$1463,$P46)="","",INDEX(MASTER!$J$4:$J$1463,$P46)),""))</f>
        <v>DEVELOPING</v>
      </c>
      <c r="J46" s="21">
        <f>IF($P46="","",IFERROR(IF(INDEX(MASTER!$L$4:$L$1463,$P46)="","",INDEX(MASTER!$L$4:$L$1463,$P46)),""))</f>
        <v>4.17</v>
      </c>
      <c r="K46" s="21">
        <f>IF($P46="","",IFERROR(IF(INDEX(MASTER!$N$4:$N$1463,$P46)="","",INDEX(MASTER!$N$4:$N$1463,$P46)),""))</f>
        <v>38.4</v>
      </c>
      <c r="L46" s="19" t="str">
        <f>IF($P46="","",IFERROR(IF(INDEX(MASTER!$O$4:$O$1463,$P46)="","",INDEX(MASTER!$O$4:$O$1463,$P46)),""))</f>
        <v>B</v>
      </c>
      <c r="M46" s="19">
        <f>IF($P46="","",IFERROR(IF(INDEX(MASTER!$Q$4:$Q$1463,$P46)="","",INDEX(MASTER!$Q$4:$Q$1463,$P46)),""))</f>
        <v>70</v>
      </c>
      <c r="N46" s="19" t="str">
        <f>IF($P46="","",IFERROR(IF(INDEX(MASTER!$S$4:$S$1463,$P46)="","",INDEX(MASTER!$S$4:$S$1463,$P46)),""))</f>
        <v>Complete</v>
      </c>
      <c r="P46">
        <f>IFERROR(MATCH($Q$1&amp;"@38",MASTER!$AC$4:$AC$1463,0),"")</f>
        <v>611</v>
      </c>
    </row>
    <row r="47" spans="1:16">
      <c r="A47" s="15">
        <f>IF($P47="","",39)</f>
        <v>39</v>
      </c>
      <c r="B47" s="14" t="str">
        <f>IF($P47="","",IFERROR(IF(INDEX(MASTER!$C$4:$C$1463,$P47)="","",INDEX(MASTER!$C$4:$C$1463,$P47)),""))</f>
        <v>LE2</v>
      </c>
      <c r="C47" s="15" t="str">
        <f>IF($P47="","",IFERROR(IF(INDEX(MASTER!$D$4:$D$1463,$P47)="","",INDEX(MASTER!$D$4:$D$1463,$P47)),""))</f>
        <v>VENGENCE</v>
      </c>
      <c r="D47" s="15" t="str">
        <f>IF($P47="","",IFERROR(IF(INDEX(MASTER!$E$4:$E$1463,$P47)="","",INDEX(MASTER!$E$4:$E$1463,$P47)),""))</f>
        <v>BARBARIAN</v>
      </c>
      <c r="E47" s="15" t="str">
        <f>IF($P47="","",IFERROR(IF(INDEX(MASTER!$F$4:$F$1463,$P47)="","",INDEX(MASTER!$F$4:$F$1463,$P47)),""))</f>
        <v>Frontline</v>
      </c>
      <c r="F47" s="16">
        <f>IF($P47="","",IFERROR(IF(INDEX(MASTER!$G$4:$G$1463,$P47)="","",INDEX(MASTER!$G$4:$G$1463,$P47)),""))</f>
        <v>62649</v>
      </c>
      <c r="G47" s="15" t="str">
        <f>IF($P47="","",IFERROR(IF(INDEX(MASTER!$H$4:$H$1463,$P47)="","",INDEX(MASTER!$H$4:$H$1463,$P47)),""))</f>
        <v>62,000 - 62,999</v>
      </c>
      <c r="H47" s="16">
        <f>IF($P47="","",IFERROR(IF(INDEX(MASTER!$I$4:$I$1463,$P47)="","",INDEX(MASTER!$I$4:$I$1463,$P47)),""))</f>
        <v>1686</v>
      </c>
      <c r="I47" s="15" t="str">
        <f>IF($P47="","",IFERROR(IF(INDEX(MASTER!$J$4:$J$1463,$P47)="","",INDEX(MASTER!$J$4:$J$1463,$P47)),""))</f>
        <v>ROOKIE</v>
      </c>
      <c r="J47" s="17">
        <f>IF($P47="","",IFERROR(IF(INDEX(MASTER!$L$4:$L$1463,$P47)="","",INDEX(MASTER!$L$4:$L$1463,$P47)),""))</f>
        <v>3.8</v>
      </c>
      <c r="K47" s="17">
        <f>IF($P47="","",IFERROR(IF(INDEX(MASTER!$N$4:$N$1463,$P47)="","",INDEX(MASTER!$N$4:$N$1463,$P47)),""))</f>
        <v>33.799999999999997</v>
      </c>
      <c r="L47" s="15" t="str">
        <f>IF($P47="","",IFERROR(IF(INDEX(MASTER!$O$4:$O$1463,$P47)="","",INDEX(MASTER!$O$4:$O$1463,$P47)),""))</f>
        <v>C</v>
      </c>
      <c r="M47" s="15">
        <f>IF($P47="","",IFERROR(IF(INDEX(MASTER!$Q$4:$Q$1463,$P47)="","",INDEX(MASTER!$Q$4:$Q$1463,$P47)),""))</f>
        <v>89</v>
      </c>
      <c r="N47" s="15" t="str">
        <f>IF($P47="","",IFERROR(IF(INDEX(MASTER!$S$4:$S$1463,$P47)="","",INDEX(MASTER!$S$4:$S$1463,$P47)),""))</f>
        <v>Complete</v>
      </c>
      <c r="P47">
        <f>IFERROR(MATCH($Q$1&amp;"@39",MASTER!$AC$4:$AC$1463,0),"")</f>
        <v>654</v>
      </c>
    </row>
    <row r="48" spans="1:16">
      <c r="A48" s="19">
        <f>IF($P48="","",40)</f>
        <v>40</v>
      </c>
      <c r="B48" s="18" t="str">
        <f>IF($P48="","",IFERROR(IF(INDEX(MASTER!$C$4:$C$1463,$P48)="","",INDEX(MASTER!$C$4:$C$1463,$P48)),""))</f>
        <v>Legolax</v>
      </c>
      <c r="C48" s="19" t="str">
        <f>IF($P48="","",IFERROR(IF(INDEX(MASTER!$D$4:$D$1463,$P48)="","",INDEX(MASTER!$D$4:$D$1463,$P48)),""))</f>
        <v>VENGENCE</v>
      </c>
      <c r="D48" s="19" t="str">
        <f>IF($P48="","",IFERROR(IF(INDEX(MASTER!$E$4:$E$1463,$P48)="","",INDEX(MASTER!$E$4:$E$1463,$P48)),""))</f>
        <v>DEMON HUNTER</v>
      </c>
      <c r="E48" s="19" t="str">
        <f>IF($P48="","",IFERROR(IF(INDEX(MASTER!$F$4:$F$1463,$P48)="","",INDEX(MASTER!$F$4:$F$1463,$P48)),""))</f>
        <v>Ranged DPS</v>
      </c>
      <c r="F48" s="20">
        <f>IF($P48="","",IFERROR(IF(INDEX(MASTER!$G$4:$G$1463,$P48)="","",INDEX(MASTER!$G$4:$G$1463,$P48)),""))</f>
        <v>62711</v>
      </c>
      <c r="G48" s="19" t="str">
        <f>IF($P48="","",IFERROR(IF(INDEX(MASTER!$H$4:$H$1463,$P48)="","",INDEX(MASTER!$H$4:$H$1463,$P48)),""))</f>
        <v>62,000 - 62,999</v>
      </c>
      <c r="H48" s="20">
        <f>IF($P48="","",IFERROR(IF(INDEX(MASTER!$I$4:$I$1463,$P48)="","",INDEX(MASTER!$I$4:$I$1463,$P48)),""))</f>
        <v>3708</v>
      </c>
      <c r="I48" s="19" t="str">
        <f>IF($P48="","",IFERROR(IF(INDEX(MASTER!$J$4:$J$1463,$P48)="","",INDEX(MASTER!$J$4:$J$1463,$P48)),""))</f>
        <v>DEVELOPING</v>
      </c>
      <c r="J48" s="21">
        <f>IF($P48="","",IFERROR(IF(INDEX(MASTER!$L$4:$L$1463,$P48)="","",INDEX(MASTER!$L$4:$L$1463,$P48)),""))</f>
        <v>5.0999999999999996</v>
      </c>
      <c r="K48" s="21">
        <f>IF($P48="","",IFERROR(IF(INDEX(MASTER!$N$4:$N$1463,$P48)="","",INDEX(MASTER!$N$4:$N$1463,$P48)),""))</f>
        <v>45</v>
      </c>
      <c r="L48" s="19" t="str">
        <f>IF($P48="","",IFERROR(IF(INDEX(MASTER!$O$4:$O$1463,$P48)="","",INDEX(MASTER!$O$4:$O$1463,$P48)),""))</f>
        <v>B</v>
      </c>
      <c r="M48" s="19">
        <f>IF($P48="","",IFERROR(IF(INDEX(MASTER!$Q$4:$Q$1463,$P48)="","",INDEX(MASTER!$Q$4:$Q$1463,$P48)),""))</f>
        <v>39</v>
      </c>
      <c r="N48" s="19" t="str">
        <f>IF($P48="","",IFERROR(IF(INDEX(MASTER!$S$4:$S$1463,$P48)="","",INDEX(MASTER!$S$4:$S$1463,$P48)),""))</f>
        <v>Complete</v>
      </c>
      <c r="P48">
        <f>IFERROR(MATCH($Q$1&amp;"@40",MASTER!$AC$4:$AC$1463,0),"")</f>
        <v>657</v>
      </c>
    </row>
    <row r="49" spans="1:16">
      <c r="A49" s="15">
        <f>IF($P49="","",41)</f>
        <v>41</v>
      </c>
      <c r="B49" s="14" t="str">
        <f>IF($P49="","",IFERROR(IF(INDEX(MASTER!$C$4:$C$1463,$P49)="","",INDEX(MASTER!$C$4:$C$1463,$P49)),""))</f>
        <v>LilWilder</v>
      </c>
      <c r="C49" s="15" t="str">
        <f>IF($P49="","",IFERROR(IF(INDEX(MASTER!$D$4:$D$1463,$P49)="","",INDEX(MASTER!$D$4:$D$1463,$P49)),""))</f>
        <v>VENGENCE</v>
      </c>
      <c r="D49" s="15" t="str">
        <f>IF($P49="","",IFERROR(IF(INDEX(MASTER!$E$4:$E$1463,$P49)="","",INDEX(MASTER!$E$4:$E$1463,$P49)),""))</f>
        <v>DEMON HUNTER</v>
      </c>
      <c r="E49" s="15" t="str">
        <f>IF($P49="","",IFERROR(IF(INDEX(MASTER!$F$4:$F$1463,$P49)="","",INDEX(MASTER!$F$4:$F$1463,$P49)),""))</f>
        <v>Ranged DPS</v>
      </c>
      <c r="F49" s="16">
        <f>IF($P49="","",IFERROR(IF(INDEX(MASTER!$G$4:$G$1463,$P49)="","",INDEX(MASTER!$G$4:$G$1463,$P49)),""))</f>
        <v>63104</v>
      </c>
      <c r="G49" s="15" t="str">
        <f>IF($P49="","",IFERROR(IF(INDEX(MASTER!$H$4:$H$1463,$P49)="","",INDEX(MASTER!$H$4:$H$1463,$P49)),""))</f>
        <v>63,000 - 63,999</v>
      </c>
      <c r="H49" s="16">
        <f>IF($P49="","",IFERROR(IF(INDEX(MASTER!$I$4:$I$1463,$P49)="","",INDEX(MASTER!$I$4:$I$1463,$P49)),""))</f>
        <v>4020</v>
      </c>
      <c r="I49" s="15" t="str">
        <f>IF($P49="","",IFERROR(IF(INDEX(MASTER!$J$4:$J$1463,$P49)="","",INDEX(MASTER!$J$4:$J$1463,$P49)),""))</f>
        <v>CORE</v>
      </c>
      <c r="J49" s="17">
        <f>IF($P49="","",IFERROR(IF(INDEX(MASTER!$L$4:$L$1463,$P49)="","",INDEX(MASTER!$L$4:$L$1463,$P49)),""))</f>
        <v>6</v>
      </c>
      <c r="K49" s="17">
        <f>IF($P49="","",IFERROR(IF(INDEX(MASTER!$N$4:$N$1463,$P49)="","",INDEX(MASTER!$N$4:$N$1463,$P49)),""))</f>
        <v>48.9</v>
      </c>
      <c r="L49" s="15" t="str">
        <f>IF($P49="","",IFERROR(IF(INDEX(MASTER!$O$4:$O$1463,$P49)="","",INDEX(MASTER!$O$4:$O$1463,$P49)),""))</f>
        <v>B</v>
      </c>
      <c r="M49" s="15">
        <f>IF($P49="","",IFERROR(IF(INDEX(MASTER!$Q$4:$Q$1463,$P49)="","",INDEX(MASTER!$Q$4:$Q$1463,$P49)),""))</f>
        <v>34</v>
      </c>
      <c r="N49" s="15" t="str">
        <f>IF($P49="","",IFERROR(IF(INDEX(MASTER!$S$4:$S$1463,$P49)="","",INDEX(MASTER!$S$4:$S$1463,$P49)),""))</f>
        <v>Complete</v>
      </c>
      <c r="P49">
        <f>IFERROR(MATCH($Q$1&amp;"@41",MASTER!$AC$4:$AC$1463,0),"")</f>
        <v>671</v>
      </c>
    </row>
    <row r="50" spans="1:16">
      <c r="A50" s="19">
        <f>IF($P50="","",42)</f>
        <v>42</v>
      </c>
      <c r="B50" s="18" t="str">
        <f>IF($P50="","",IFERROR(IF(INDEX(MASTER!$C$4:$C$1463,$P50)="","",INDEX(MASTER!$C$4:$C$1463,$P50)),""))</f>
        <v>LordZolt</v>
      </c>
      <c r="C50" s="19" t="str">
        <f>IF($P50="","",IFERROR(IF(INDEX(MASTER!$D$4:$D$1463,$P50)="","",INDEX(MASTER!$D$4:$D$1463,$P50)),""))</f>
        <v>VENGENCE</v>
      </c>
      <c r="D50" s="19" t="str">
        <f>IF($P50="","",IFERROR(IF(INDEX(MASTER!$E$4:$E$1463,$P50)="","",INDEX(MASTER!$E$4:$E$1463,$P50)),""))</f>
        <v>WIZARD</v>
      </c>
      <c r="E50" s="19" t="str">
        <f>IF($P50="","",IFERROR(IF(INDEX(MASTER!$F$4:$F$1463,$P50)="","",INDEX(MASTER!$F$4:$F$1463,$P50)),""))</f>
        <v>Ranged DPS</v>
      </c>
      <c r="F50" s="20">
        <f>IF($P50="","",IFERROR(IF(INDEX(MASTER!$G$4:$G$1463,$P50)="","",INDEX(MASTER!$G$4:$G$1463,$P50)),""))</f>
        <v>57622</v>
      </c>
      <c r="G50" s="19" t="str">
        <f>IF($P50="","",IFERROR(IF(INDEX(MASTER!$H$4:$H$1463,$P50)="","",INDEX(MASTER!$H$4:$H$1463,$P50)),""))</f>
        <v>Under 58,000</v>
      </c>
      <c r="H50" s="20">
        <f>IF($P50="","",IFERROR(IF(INDEX(MASTER!$I$4:$I$1463,$P50)="","",INDEX(MASTER!$I$4:$I$1463,$P50)),""))</f>
        <v>2526</v>
      </c>
      <c r="I50" s="19" t="str">
        <f>IF($P50="","",IFERROR(IF(INDEX(MASTER!$J$4:$J$1463,$P50)="","",INDEX(MASTER!$J$4:$J$1463,$P50)),""))</f>
        <v>DEVELOPING</v>
      </c>
      <c r="J50" s="21">
        <f>IF($P50="","",IFERROR(IF(INDEX(MASTER!$L$4:$L$1463,$P50)="","",INDEX(MASTER!$L$4:$L$1463,$P50)),""))</f>
        <v>4.0999999999999996</v>
      </c>
      <c r="K50" s="21">
        <f>IF($P50="","",IFERROR(IF(INDEX(MASTER!$N$4:$N$1463,$P50)="","",INDEX(MASTER!$N$4:$N$1463,$P50)),""))</f>
        <v>24.8</v>
      </c>
      <c r="L50" s="19" t="str">
        <f>IF($P50="","",IFERROR(IF(INDEX(MASTER!$O$4:$O$1463,$P50)="","",INDEX(MASTER!$O$4:$O$1463,$P50)),""))</f>
        <v>C</v>
      </c>
      <c r="M50" s="19">
        <f>IF($P50="","",IFERROR(IF(INDEX(MASTER!$Q$4:$Q$1463,$P50)="","",INDEX(MASTER!$Q$4:$Q$1463,$P50)),""))</f>
        <v>72</v>
      </c>
      <c r="N50" s="19" t="str">
        <f>IF($P50="","",IFERROR(IF(INDEX(MASTER!$S$4:$S$1463,$P50)="","",INDEX(MASTER!$S$4:$S$1463,$P50)),""))</f>
        <v>Complete</v>
      </c>
      <c r="P50">
        <f>IFERROR(MATCH($Q$1&amp;"@42",MASTER!$AC$4:$AC$1463,0),"")</f>
        <v>684</v>
      </c>
    </row>
    <row r="51" spans="1:16">
      <c r="A51" s="15">
        <f>IF($P51="","",43)</f>
        <v>43</v>
      </c>
      <c r="B51" s="14" t="str">
        <f>IF($P51="","",IFERROR(IF(INDEX(MASTER!$C$4:$C$1463,$P51)="","",INDEX(MASTER!$C$4:$C$1463,$P51)),""))</f>
        <v>Lücid</v>
      </c>
      <c r="C51" s="15" t="str">
        <f>IF($P51="","",IFERROR(IF(INDEX(MASTER!$D$4:$D$1463,$P51)="","",INDEX(MASTER!$D$4:$D$1463,$P51)),""))</f>
        <v>VENGENCE</v>
      </c>
      <c r="D51" s="15" t="str">
        <f>IF($P51="","",IFERROR(IF(INDEX(MASTER!$E$4:$E$1463,$P51)="","",INDEX(MASTER!$E$4:$E$1463,$P51)),""))</f>
        <v>DEMON HUNTER</v>
      </c>
      <c r="E51" s="15" t="str">
        <f>IF($P51="","",IFERROR(IF(INDEX(MASTER!$F$4:$F$1463,$P51)="","",INDEX(MASTER!$F$4:$F$1463,$P51)),""))</f>
        <v>Ranged DPS</v>
      </c>
      <c r="F51" s="16">
        <f>IF($P51="","",IFERROR(IF(INDEX(MASTER!$G$4:$G$1463,$P51)="","",INDEX(MASTER!$G$4:$G$1463,$P51)),""))</f>
        <v>62889</v>
      </c>
      <c r="G51" s="15" t="str">
        <f>IF($P51="","",IFERROR(IF(INDEX(MASTER!$H$4:$H$1463,$P51)="","",INDEX(MASTER!$H$4:$H$1463,$P51)),""))</f>
        <v>62,000 - 62,999</v>
      </c>
      <c r="H51" s="16">
        <f>IF($P51="","",IFERROR(IF(INDEX(MASTER!$I$4:$I$1463,$P51)="","",INDEX(MASTER!$I$4:$I$1463,$P51)),""))</f>
        <v>3422</v>
      </c>
      <c r="I51" s="15" t="str">
        <f>IF($P51="","",IFERROR(IF(INDEX(MASTER!$J$4:$J$1463,$P51)="","",INDEX(MASTER!$J$4:$J$1463,$P51)),""))</f>
        <v>DEVELOPING</v>
      </c>
      <c r="J51" s="17">
        <f>IF($P51="","",IFERROR(IF(INDEX(MASTER!$L$4:$L$1463,$P51)="","",INDEX(MASTER!$L$4:$L$1463,$P51)),""))</f>
        <v>5.0999999999999996</v>
      </c>
      <c r="K51" s="17">
        <f>IF($P51="","",IFERROR(IF(INDEX(MASTER!$N$4:$N$1463,$P51)="","",INDEX(MASTER!$N$4:$N$1463,$P51)),""))</f>
        <v>44.2</v>
      </c>
      <c r="L51" s="15" t="str">
        <f>IF($P51="","",IFERROR(IF(INDEX(MASTER!$O$4:$O$1463,$P51)="","",INDEX(MASTER!$O$4:$O$1463,$P51)),""))</f>
        <v>B</v>
      </c>
      <c r="M51" s="15">
        <f>IF($P51="","",IFERROR(IF(INDEX(MASTER!$Q$4:$Q$1463,$P51)="","",INDEX(MASTER!$Q$4:$Q$1463,$P51)),""))</f>
        <v>46</v>
      </c>
      <c r="N51" s="15" t="str">
        <f>IF($P51="","",IFERROR(IF(INDEX(MASTER!$S$4:$S$1463,$P51)="","",INDEX(MASTER!$S$4:$S$1463,$P51)),""))</f>
        <v>Complete</v>
      </c>
      <c r="P51">
        <f>IFERROR(MATCH($Q$1&amp;"@43",MASTER!$AC$4:$AC$1463,0),"")</f>
        <v>705</v>
      </c>
    </row>
    <row r="52" spans="1:16">
      <c r="A52" s="19">
        <f>IF($P52="","",44)</f>
        <v>44</v>
      </c>
      <c r="B52" s="18" t="str">
        <f>IF($P52="","",IFERROR(IF(INDEX(MASTER!$C$4:$C$1463,$P52)="","",INDEX(MASTER!$C$4:$C$1463,$P52)),""))</f>
        <v>Lusterea</v>
      </c>
      <c r="C52" s="19" t="str">
        <f>IF($P52="","",IFERROR(IF(INDEX(MASTER!$D$4:$D$1463,$P52)="","",INDEX(MASTER!$D$4:$D$1463,$P52)),""))</f>
        <v>VENGENCE</v>
      </c>
      <c r="D52" s="19" t="str">
        <f>IF($P52="","",IFERROR(IF(INDEX(MASTER!$E$4:$E$1463,$P52)="","",INDEX(MASTER!$E$4:$E$1463,$P52)),""))</f>
        <v>WARLOCK</v>
      </c>
      <c r="E52" s="19" t="str">
        <f>IF($P52="","",IFERROR(IF(INDEX(MASTER!$F$4:$F$1463,$P52)="","",INDEX(MASTER!$F$4:$F$1463,$P52)),""))</f>
        <v>Control</v>
      </c>
      <c r="F52" s="20">
        <f>IF($P52="","",IFERROR(IF(INDEX(MASTER!$G$4:$G$1463,$P52)="","",INDEX(MASTER!$G$4:$G$1463,$P52)),""))</f>
        <v>61945</v>
      </c>
      <c r="G52" s="19" t="str">
        <f>IF($P52="","",IFERROR(IF(INDEX(MASTER!$H$4:$H$1463,$P52)="","",INDEX(MASTER!$H$4:$H$1463,$P52)),""))</f>
        <v>61,000 - 61,999</v>
      </c>
      <c r="H52" s="20">
        <f>IF($P52="","",IFERROR(IF(INDEX(MASTER!$I$4:$I$1463,$P52)="","",INDEX(MASTER!$I$4:$I$1463,$P52)),""))</f>
        <v>2270</v>
      </c>
      <c r="I52" s="19" t="str">
        <f>IF($P52="","",IFERROR(IF(INDEX(MASTER!$J$4:$J$1463,$P52)="","",INDEX(MASTER!$J$4:$J$1463,$P52)),""))</f>
        <v>DEVELOPING</v>
      </c>
      <c r="J52" s="21">
        <f>IF($P52="","",IFERROR(IF(INDEX(MASTER!$L$4:$L$1463,$P52)="","",INDEX(MASTER!$L$4:$L$1463,$P52)),""))</f>
        <v>4.2</v>
      </c>
      <c r="K52" s="21">
        <f>IF($P52="","",IFERROR(IF(INDEX(MASTER!$N$4:$N$1463,$P52)="","",INDEX(MASTER!$N$4:$N$1463,$P52)),""))</f>
        <v>35.200000000000003</v>
      </c>
      <c r="L52" s="19" t="str">
        <f>IF($P52="","",IFERROR(IF(INDEX(MASTER!$O$4:$O$1463,$P52)="","",INDEX(MASTER!$O$4:$O$1463,$P52)),""))</f>
        <v>B</v>
      </c>
      <c r="M52" s="19">
        <f>IF($P52="","",IFERROR(IF(INDEX(MASTER!$Q$4:$Q$1463,$P52)="","",INDEX(MASTER!$Q$4:$Q$1463,$P52)),""))</f>
        <v>77</v>
      </c>
      <c r="N52" s="19" t="str">
        <f>IF($P52="","",IFERROR(IF(INDEX(MASTER!$S$4:$S$1463,$P52)="","",INDEX(MASTER!$S$4:$S$1463,$P52)),""))</f>
        <v>Complete</v>
      </c>
      <c r="P52">
        <f>IFERROR(MATCH($Q$1&amp;"@44",MASTER!$AC$4:$AC$1463,0),"")</f>
        <v>697</v>
      </c>
    </row>
    <row r="53" spans="1:16">
      <c r="A53" s="15">
        <f>IF($P53="","",45)</f>
        <v>45</v>
      </c>
      <c r="B53" s="14" t="str">
        <f>IF($P53="","",IFERROR(IF(INDEX(MASTER!$C$4:$C$1463,$P53)="","",INDEX(MASTER!$C$4:$C$1463,$P53)),""))</f>
        <v>MaxRockatansky</v>
      </c>
      <c r="C53" s="15" t="str">
        <f>IF($P53="","",IFERROR(IF(INDEX(MASTER!$D$4:$D$1463,$P53)="","",INDEX(MASTER!$D$4:$D$1463,$P53)),""))</f>
        <v>VENGENCE</v>
      </c>
      <c r="D53" s="15" t="str">
        <f>IF($P53="","",IFERROR(IF(INDEX(MASTER!$E$4:$E$1463,$P53)="","",INDEX(MASTER!$E$4:$E$1463,$P53)),""))</f>
        <v>BLOOD KNIGHT</v>
      </c>
      <c r="E53" s="15" t="str">
        <f>IF($P53="","",IFERROR(IF(INDEX(MASTER!$F$4:$F$1463,$P53)="","",INDEX(MASTER!$F$4:$F$1463,$P53)),""))</f>
        <v>Frontline</v>
      </c>
      <c r="F53" s="16">
        <f>IF($P53="","",IFERROR(IF(INDEX(MASTER!$G$4:$G$1463,$P53)="","",INDEX(MASTER!$G$4:$G$1463,$P53)),""))</f>
        <v>63038</v>
      </c>
      <c r="G53" s="15" t="str">
        <f>IF($P53="","",IFERROR(IF(INDEX(MASTER!$H$4:$H$1463,$P53)="","",INDEX(MASTER!$H$4:$H$1463,$P53)),""))</f>
        <v>63,000 - 63,999</v>
      </c>
      <c r="H53" s="16">
        <f>IF($P53="","",IFERROR(IF(INDEX(MASTER!$I$4:$I$1463,$P53)="","",INDEX(MASTER!$I$4:$I$1463,$P53)),""))</f>
        <v>4291</v>
      </c>
      <c r="I53" s="15" t="str">
        <f>IF($P53="","",IFERROR(IF(INDEX(MASTER!$J$4:$J$1463,$P53)="","",INDEX(MASTER!$J$4:$J$1463,$P53)),""))</f>
        <v>CORE</v>
      </c>
      <c r="J53" s="17">
        <f>IF($P53="","",IFERROR(IF(INDEX(MASTER!$L$4:$L$1463,$P53)="","",INDEX(MASTER!$L$4:$L$1463,$P53)),""))</f>
        <v>5.7</v>
      </c>
      <c r="K53" s="17">
        <f>IF($P53="","",IFERROR(IF(INDEX(MASTER!$N$4:$N$1463,$P53)="","",INDEX(MASTER!$N$4:$N$1463,$P53)),""))</f>
        <v>49.4</v>
      </c>
      <c r="L53" s="15" t="str">
        <f>IF($P53="","",IFERROR(IF(INDEX(MASTER!$O$4:$O$1463,$P53)="","",INDEX(MASTER!$O$4:$O$1463,$P53)),""))</f>
        <v>B</v>
      </c>
      <c r="M53" s="15">
        <f>IF($P53="","",IFERROR(IF(INDEX(MASTER!$Q$4:$Q$1463,$P53)="","",INDEX(MASTER!$Q$4:$Q$1463,$P53)),""))</f>
        <v>27</v>
      </c>
      <c r="N53" s="15" t="str">
        <f>IF($P53="","",IFERROR(IF(INDEX(MASTER!$S$4:$S$1463,$P53)="","",INDEX(MASTER!$S$4:$S$1463,$P53)),""))</f>
        <v>Complete</v>
      </c>
      <c r="P53">
        <f>IFERROR(MATCH($Q$1&amp;"@45",MASTER!$AC$4:$AC$1463,0),"")</f>
        <v>739</v>
      </c>
    </row>
    <row r="54" spans="1:16">
      <c r="A54" s="19">
        <f>IF($P54="","",46)</f>
        <v>46</v>
      </c>
      <c r="B54" s="18" t="str">
        <f>IF($P54="","",IFERROR(IF(INDEX(MASTER!$C$4:$C$1463,$P54)="","",INDEX(MASTER!$C$4:$C$1463,$P54)),""))</f>
        <v>MCHamburger</v>
      </c>
      <c r="C54" s="19" t="str">
        <f>IF($P54="","",IFERROR(IF(INDEX(MASTER!$D$4:$D$1463,$P54)="","",INDEX(MASTER!$D$4:$D$1463,$P54)),""))</f>
        <v>VENGENCE</v>
      </c>
      <c r="D54" s="19" t="str">
        <f>IF($P54="","",IFERROR(IF(INDEX(MASTER!$E$4:$E$1463,$P54)="","",INDEX(MASTER!$E$4:$E$1463,$P54)),""))</f>
        <v>NECROMANCER</v>
      </c>
      <c r="E54" s="19" t="str">
        <f>IF($P54="","",IFERROR(IF(INDEX(MASTER!$F$4:$F$1463,$P54)="","",INDEX(MASTER!$F$4:$F$1463,$P54)),""))</f>
        <v>Control</v>
      </c>
      <c r="F54" s="20">
        <f>IF($P54="","",IFERROR(IF(INDEX(MASTER!$G$4:$G$1463,$P54)="","",INDEX(MASTER!$G$4:$G$1463,$P54)),""))</f>
        <v>60723</v>
      </c>
      <c r="G54" s="19" t="str">
        <f>IF($P54="","",IFERROR(IF(INDEX(MASTER!$H$4:$H$1463,$P54)="","",INDEX(MASTER!$H$4:$H$1463,$P54)),""))</f>
        <v>60,000 - 60,999</v>
      </c>
      <c r="H54" s="20">
        <f>IF($P54="","",IFERROR(IF(INDEX(MASTER!$I$4:$I$1463,$P54)="","",INDEX(MASTER!$I$4:$I$1463,$P54)),""))</f>
        <v>1680</v>
      </c>
      <c r="I54" s="19" t="str">
        <f>IF($P54="","",IFERROR(IF(INDEX(MASTER!$J$4:$J$1463,$P54)="","",INDEX(MASTER!$J$4:$J$1463,$P54)),""))</f>
        <v>ROOKIE</v>
      </c>
      <c r="J54" s="21">
        <f>IF($P54="","",IFERROR(IF(INDEX(MASTER!$L$4:$L$1463,$P54)="","",INDEX(MASTER!$L$4:$L$1463,$P54)),""))</f>
        <v>3.3</v>
      </c>
      <c r="K54" s="21">
        <f>IF($P54="","",IFERROR(IF(INDEX(MASTER!$N$4:$N$1463,$P54)="","",INDEX(MASTER!$N$4:$N$1463,$P54)),""))</f>
        <v>27.9</v>
      </c>
      <c r="L54" s="19" t="str">
        <f>IF($P54="","",IFERROR(IF(INDEX(MASTER!$O$4:$O$1463,$P54)="","",INDEX(MASTER!$O$4:$O$1463,$P54)),""))</f>
        <v>C</v>
      </c>
      <c r="M54" s="19">
        <f>IF($P54="","",IFERROR(IF(INDEX(MASTER!$Q$4:$Q$1463,$P54)="","",INDEX(MASTER!$Q$4:$Q$1463,$P54)),""))</f>
        <v>90</v>
      </c>
      <c r="N54" s="19" t="str">
        <f>IF($P54="","",IFERROR(IF(INDEX(MASTER!$S$4:$S$1463,$P54)="","",INDEX(MASTER!$S$4:$S$1463,$P54)),""))</f>
        <v>Complete</v>
      </c>
      <c r="P54">
        <f>IFERROR(MATCH($Q$1&amp;"@46",MASTER!$AC$4:$AC$1463,0),"")</f>
        <v>742</v>
      </c>
    </row>
    <row r="55" spans="1:16">
      <c r="A55" s="15">
        <f>IF($P55="","",47)</f>
        <v>47</v>
      </c>
      <c r="B55" s="14" t="str">
        <f>IF($P55="","",IFERROR(IF(INDEX(MASTER!$C$4:$C$1463,$P55)="","",INDEX(MASTER!$C$4:$C$1463,$P55)),""))</f>
        <v>miniVi0lettt</v>
      </c>
      <c r="C55" s="15" t="str">
        <f>IF($P55="","",IFERROR(IF(INDEX(MASTER!$D$4:$D$1463,$P55)="","",INDEX(MASTER!$D$4:$D$1463,$P55)),""))</f>
        <v>VENGENCE</v>
      </c>
      <c r="D55" s="15" t="str">
        <f>IF($P55="","",IFERROR(IF(INDEX(MASTER!$E$4:$E$1463,$P55)="","",INDEX(MASTER!$E$4:$E$1463,$P55)),""))</f>
        <v>WIZARD</v>
      </c>
      <c r="E55" s="15" t="str">
        <f>IF($P55="","",IFERROR(IF(INDEX(MASTER!$F$4:$F$1463,$P55)="","",INDEX(MASTER!$F$4:$F$1463,$P55)),""))</f>
        <v>Ranged DPS</v>
      </c>
      <c r="F55" s="16">
        <f>IF($P55="","",IFERROR(IF(INDEX(MASTER!$G$4:$G$1463,$P55)="","",INDEX(MASTER!$G$4:$G$1463,$P55)),""))</f>
        <v>62410</v>
      </c>
      <c r="G55" s="15" t="str">
        <f>IF($P55="","",IFERROR(IF(INDEX(MASTER!$H$4:$H$1463,$P55)="","",INDEX(MASTER!$H$4:$H$1463,$P55)),""))</f>
        <v>62,000 - 62,999</v>
      </c>
      <c r="H55" s="16">
        <f>IF($P55="","",IFERROR(IF(INDEX(MASTER!$I$4:$I$1463,$P55)="","",INDEX(MASTER!$I$4:$I$1463,$P55)),""))</f>
        <v>4744</v>
      </c>
      <c r="I55" s="15" t="str">
        <f>IF($P55="","",IFERROR(IF(INDEX(MASTER!$J$4:$J$1463,$P55)="","",INDEX(MASTER!$J$4:$J$1463,$P55)),""))</f>
        <v>CORE</v>
      </c>
      <c r="J55" s="17">
        <f>IF($P55="","",IFERROR(IF(INDEX(MASTER!$L$4:$L$1463,$P55)="","",INDEX(MASTER!$L$4:$L$1463,$P55)),""))</f>
        <v>6.43</v>
      </c>
      <c r="K55" s="17">
        <f>IF($P55="","",IFERROR(IF(INDEX(MASTER!$N$4:$N$1463,$P55)="","",INDEX(MASTER!$N$4:$N$1463,$P55)),""))</f>
        <v>50.9</v>
      </c>
      <c r="L55" s="15" t="str">
        <f>IF($P55="","",IFERROR(IF(INDEX(MASTER!$O$4:$O$1463,$P55)="","",INDEX(MASTER!$O$4:$O$1463,$P55)),""))</f>
        <v>A</v>
      </c>
      <c r="M55" s="15">
        <f>IF($P55="","",IFERROR(IF(INDEX(MASTER!$Q$4:$Q$1463,$P55)="","",INDEX(MASTER!$Q$4:$Q$1463,$P55)),""))</f>
        <v>19</v>
      </c>
      <c r="N55" s="15" t="str">
        <f>IF($P55="","",IFERROR(IF(INDEX(MASTER!$S$4:$S$1463,$P55)="","",INDEX(MASTER!$S$4:$S$1463,$P55)),""))</f>
        <v>Complete</v>
      </c>
      <c r="P55">
        <f>IFERROR(MATCH($Q$1&amp;"@47",MASTER!$AC$4:$AC$1463,0),"")</f>
        <v>768</v>
      </c>
    </row>
    <row r="56" spans="1:16">
      <c r="A56" s="19">
        <f>IF($P56="","",48)</f>
        <v>48</v>
      </c>
      <c r="B56" s="18" t="str">
        <f>IF($P56="","",IFERROR(IF(INDEX(MASTER!$C$4:$C$1463,$P56)="","",INDEX(MASTER!$C$4:$C$1463,$P56)),""))</f>
        <v>Mish</v>
      </c>
      <c r="C56" s="19" t="str">
        <f>IF($P56="","",IFERROR(IF(INDEX(MASTER!$D$4:$D$1463,$P56)="","",INDEX(MASTER!$D$4:$D$1463,$P56)),""))</f>
        <v>VENGENCE</v>
      </c>
      <c r="D56" s="19" t="str">
        <f>IF($P56="","",IFERROR(IF(INDEX(MASTER!$E$4:$E$1463,$P56)="","",INDEX(MASTER!$E$4:$E$1463,$P56)),""))</f>
        <v>WARLOCK</v>
      </c>
      <c r="E56" s="19" t="str">
        <f>IF($P56="","",IFERROR(IF(INDEX(MASTER!$F$4:$F$1463,$P56)="","",INDEX(MASTER!$F$4:$F$1463,$P56)),""))</f>
        <v>Control</v>
      </c>
      <c r="F56" s="20">
        <f>IF($P56="","",IFERROR(IF(INDEX(MASTER!$G$4:$G$1463,$P56)="","",INDEX(MASTER!$G$4:$G$1463,$P56)),""))</f>
        <v>63174</v>
      </c>
      <c r="G56" s="19" t="str">
        <f>IF($P56="","",IFERROR(IF(INDEX(MASTER!$H$4:$H$1463,$P56)="","",INDEX(MASTER!$H$4:$H$1463,$P56)),""))</f>
        <v>63,000 - 63,999</v>
      </c>
      <c r="H56" s="20">
        <f>IF($P56="","",IFERROR(IF(INDEX(MASTER!$I$4:$I$1463,$P56)="","",INDEX(MASTER!$I$4:$I$1463,$P56)),""))</f>
        <v>4081</v>
      </c>
      <c r="I56" s="19" t="str">
        <f>IF($P56="","",IFERROR(IF(INDEX(MASTER!$J$4:$J$1463,$P56)="","",INDEX(MASTER!$J$4:$J$1463,$P56)),""))</f>
        <v>CORE</v>
      </c>
      <c r="J56" s="21">
        <f>IF($P56="","",IFERROR(IF(INDEX(MASTER!$L$4:$L$1463,$P56)="","",INDEX(MASTER!$L$4:$L$1463,$P56)),""))</f>
        <v>4.5</v>
      </c>
      <c r="K56" s="21">
        <f>IF($P56="","",IFERROR(IF(INDEX(MASTER!$N$4:$N$1463,$P56)="","",INDEX(MASTER!$N$4:$N$1463,$P56)),""))</f>
        <v>46.8</v>
      </c>
      <c r="L56" s="19" t="str">
        <f>IF($P56="","",IFERROR(IF(INDEX(MASTER!$O$4:$O$1463,$P56)="","",INDEX(MASTER!$O$4:$O$1463,$P56)),""))</f>
        <v>B</v>
      </c>
      <c r="M56" s="19">
        <f>IF($P56="","",IFERROR(IF(INDEX(MASTER!$Q$4:$Q$1463,$P56)="","",INDEX(MASTER!$Q$4:$Q$1463,$P56)),""))</f>
        <v>30</v>
      </c>
      <c r="N56" s="19" t="str">
        <f>IF($P56="","",IFERROR(IF(INDEX(MASTER!$S$4:$S$1463,$P56)="","",INDEX(MASTER!$S$4:$S$1463,$P56)),""))</f>
        <v>Complete</v>
      </c>
      <c r="P56">
        <f>IFERROR(MATCH($Q$1&amp;"@48",MASTER!$AC$4:$AC$1463,0),"")</f>
        <v>770</v>
      </c>
    </row>
    <row r="57" spans="1:16">
      <c r="A57" s="15">
        <f>IF($P57="","",49)</f>
        <v>49</v>
      </c>
      <c r="B57" s="14" t="str">
        <f>IF($P57="","",IFERROR(IF(INDEX(MASTER!$C$4:$C$1463,$P57)="","",INDEX(MASTER!$C$4:$C$1463,$P57)),""))</f>
        <v>MistressMisery</v>
      </c>
      <c r="C57" s="15" t="str">
        <f>IF($P57="","",IFERROR(IF(INDEX(MASTER!$D$4:$D$1463,$P57)="","",INDEX(MASTER!$D$4:$D$1463,$P57)),""))</f>
        <v>VENGENCE</v>
      </c>
      <c r="D57" s="15" t="str">
        <f>IF($P57="","",IFERROR(IF(INDEX(MASTER!$E$4:$E$1463,$P57)="","",INDEX(MASTER!$E$4:$E$1463,$P57)),""))</f>
        <v>WIZARD</v>
      </c>
      <c r="E57" s="15" t="str">
        <f>IF($P57="","",IFERROR(IF(INDEX(MASTER!$F$4:$F$1463,$P57)="","",INDEX(MASTER!$F$4:$F$1463,$P57)),""))</f>
        <v>Ranged DPS</v>
      </c>
      <c r="F57" s="16">
        <f>IF($P57="","",IFERROR(IF(INDEX(MASTER!$G$4:$G$1463,$P57)="","",INDEX(MASTER!$G$4:$G$1463,$P57)),""))</f>
        <v>61331</v>
      </c>
      <c r="G57" s="15" t="str">
        <f>IF($P57="","",IFERROR(IF(INDEX(MASTER!$H$4:$H$1463,$P57)="","",INDEX(MASTER!$H$4:$H$1463,$P57)),""))</f>
        <v>61,000 - 61,999</v>
      </c>
      <c r="H57" s="16">
        <f>IF($P57="","",IFERROR(IF(INDEX(MASTER!$I$4:$I$1463,$P57)="","",INDEX(MASTER!$I$4:$I$1463,$P57)),""))</f>
        <v>3529</v>
      </c>
      <c r="I57" s="15" t="str">
        <f>IF($P57="","",IFERROR(IF(INDEX(MASTER!$J$4:$J$1463,$P57)="","",INDEX(MASTER!$J$4:$J$1463,$P57)),""))</f>
        <v>DEVELOPING</v>
      </c>
      <c r="J57" s="17">
        <f>IF($P57="","",IFERROR(IF(INDEX(MASTER!$L$4:$L$1463,$P57)="","",INDEX(MASTER!$L$4:$L$1463,$P57)),""))</f>
        <v>4.4000000000000004</v>
      </c>
      <c r="K57" s="17">
        <f>IF($P57="","",IFERROR(IF(INDEX(MASTER!$N$4:$N$1463,$P57)="","",INDEX(MASTER!$N$4:$N$1463,$P57)),""))</f>
        <v>39.4</v>
      </c>
      <c r="L57" s="15" t="str">
        <f>IF($P57="","",IFERROR(IF(INDEX(MASTER!$O$4:$O$1463,$P57)="","",INDEX(MASTER!$O$4:$O$1463,$P57)),""))</f>
        <v>B</v>
      </c>
      <c r="M57" s="15">
        <f>IF($P57="","",IFERROR(IF(INDEX(MASTER!$Q$4:$Q$1463,$P57)="","",INDEX(MASTER!$Q$4:$Q$1463,$P57)),""))</f>
        <v>42</v>
      </c>
      <c r="N57" s="15" t="str">
        <f>IF($P57="","",IFERROR(IF(INDEX(MASTER!$S$4:$S$1463,$P57)="","",INDEX(MASTER!$S$4:$S$1463,$P57)),""))</f>
        <v>Complete</v>
      </c>
      <c r="P57">
        <f>IFERROR(MATCH($Q$1&amp;"@49",MASTER!$AC$4:$AC$1463,0),"")</f>
        <v>774</v>
      </c>
    </row>
    <row r="58" spans="1:16">
      <c r="A58" s="19">
        <f>IF($P58="","",50)</f>
        <v>50</v>
      </c>
      <c r="B58" s="18" t="str">
        <f>IF($P58="","",IFERROR(IF(INDEX(MASTER!$C$4:$C$1463,$P58)="","",INDEX(MASTER!$C$4:$C$1463,$P58)),""))</f>
        <v>Nazwreck</v>
      </c>
      <c r="C58" s="19" t="str">
        <f>IF($P58="","",IFERROR(IF(INDEX(MASTER!$D$4:$D$1463,$P58)="","",INDEX(MASTER!$D$4:$D$1463,$P58)),""))</f>
        <v>VENGENCE</v>
      </c>
      <c r="D58" s="19" t="str">
        <f>IF($P58="","",IFERROR(IF(INDEX(MASTER!$E$4:$E$1463,$P58)="","",INDEX(MASTER!$E$4:$E$1463,$P58)),""))</f>
        <v>CRUSADER</v>
      </c>
      <c r="E58" s="19" t="str">
        <f>IF($P58="","",IFERROR(IF(INDEX(MASTER!$F$4:$F$1463,$P58)="","",INDEX(MASTER!$F$4:$F$1463,$P58)),""))</f>
        <v>Frontline</v>
      </c>
      <c r="F58" s="20">
        <f>IF($P58="","",IFERROR(IF(INDEX(MASTER!$G$4:$G$1463,$P58)="","",INDEX(MASTER!$G$4:$G$1463,$P58)),""))</f>
        <v>62861</v>
      </c>
      <c r="G58" s="19" t="str">
        <f>IF($P58="","",IFERROR(IF(INDEX(MASTER!$H$4:$H$1463,$P58)="","",INDEX(MASTER!$H$4:$H$1463,$P58)),""))</f>
        <v>62,000 - 62,999</v>
      </c>
      <c r="H58" s="20">
        <f>IF($P58="","",IFERROR(IF(INDEX(MASTER!$I$4:$I$1463,$P58)="","",INDEX(MASTER!$I$4:$I$1463,$P58)),""))</f>
        <v>6380</v>
      </c>
      <c r="I58" s="19" t="str">
        <f>IF($P58="","",IFERROR(IF(INDEX(MASTER!$J$4:$J$1463,$P58)="","",INDEX(MASTER!$J$4:$J$1463,$P58)),""))</f>
        <v>VETERAN</v>
      </c>
      <c r="J58" s="21">
        <f>IF($P58="","",IFERROR(IF(INDEX(MASTER!$L$4:$L$1463,$P58)="","",INDEX(MASTER!$L$4:$L$1463,$P58)),""))</f>
        <v>5.8</v>
      </c>
      <c r="K58" s="21">
        <f>IF($P58="","",IFERROR(IF(INDEX(MASTER!$N$4:$N$1463,$P58)="","",INDEX(MASTER!$N$4:$N$1463,$P58)),""))</f>
        <v>58.2</v>
      </c>
      <c r="L58" s="19" t="str">
        <f>IF($P58="","",IFERROR(IF(INDEX(MASTER!$O$4:$O$1463,$P58)="","",INDEX(MASTER!$O$4:$O$1463,$P58)),""))</f>
        <v>A</v>
      </c>
      <c r="M58" s="19">
        <f>IF($P58="","",IFERROR(IF(INDEX(MASTER!$Q$4:$Q$1463,$P58)="","",INDEX(MASTER!$Q$4:$Q$1463,$P58)),""))</f>
        <v>6</v>
      </c>
      <c r="N58" s="19" t="str">
        <f>IF($P58="","",IFERROR(IF(INDEX(MASTER!$S$4:$S$1463,$P58)="","",INDEX(MASTER!$S$4:$S$1463,$P58)),""))</f>
        <v>Complete</v>
      </c>
      <c r="P58">
        <f>IFERROR(MATCH($Q$1&amp;"@50",MASTER!$AC$4:$AC$1463,0),"")</f>
        <v>809</v>
      </c>
    </row>
    <row r="59" spans="1:16">
      <c r="A59" s="15">
        <f>IF($P59="","",51)</f>
        <v>51</v>
      </c>
      <c r="B59" s="14" t="str">
        <f>IF($P59="","",IFERROR(IF(INDEX(MASTER!$C$4:$C$1463,$P59)="","",INDEX(MASTER!$C$4:$C$1463,$P59)),""))</f>
        <v>Neeraa</v>
      </c>
      <c r="C59" s="15" t="str">
        <f>IF($P59="","",IFERROR(IF(INDEX(MASTER!$D$4:$D$1463,$P59)="","",INDEX(MASTER!$D$4:$D$1463,$P59)),""))</f>
        <v>VENGENCE</v>
      </c>
      <c r="D59" s="15" t="str">
        <f>IF($P59="","",IFERROR(IF(INDEX(MASTER!$E$4:$E$1463,$P59)="","",INDEX(MASTER!$E$4:$E$1463,$P59)),""))</f>
        <v>TEMPEST</v>
      </c>
      <c r="E59" s="15" t="str">
        <f>IF($P59="","",IFERROR(IF(INDEX(MASTER!$F$4:$F$1463,$P59)="","",INDEX(MASTER!$F$4:$F$1463,$P59)),""))</f>
        <v>Melee DPS</v>
      </c>
      <c r="F59" s="16">
        <f>IF($P59="","",IFERROR(IF(INDEX(MASTER!$G$4:$G$1463,$P59)="","",INDEX(MASTER!$G$4:$G$1463,$P59)),""))</f>
        <v>61420</v>
      </c>
      <c r="G59" s="15" t="str">
        <f>IF($P59="","",IFERROR(IF(INDEX(MASTER!$H$4:$H$1463,$P59)="","",INDEX(MASTER!$H$4:$H$1463,$P59)),""))</f>
        <v>61,000 - 61,999</v>
      </c>
      <c r="H59" s="16">
        <f>IF($P59="","",IFERROR(IF(INDEX(MASTER!$I$4:$I$1463,$P59)="","",INDEX(MASTER!$I$4:$I$1463,$P59)),""))</f>
        <v>2184</v>
      </c>
      <c r="I59" s="15" t="str">
        <f>IF($P59="","",IFERROR(IF(INDEX(MASTER!$J$4:$J$1463,$P59)="","",INDEX(MASTER!$J$4:$J$1463,$P59)),""))</f>
        <v>DEVELOPING</v>
      </c>
      <c r="J59" s="17">
        <f>IF($P59="","",IFERROR(IF(INDEX(MASTER!$L$4:$L$1463,$P59)="","",INDEX(MASTER!$L$4:$L$1463,$P59)),""))</f>
        <v>3.6</v>
      </c>
      <c r="K59" s="17">
        <f>IF($P59="","",IFERROR(IF(INDEX(MASTER!$N$4:$N$1463,$P59)="","",INDEX(MASTER!$N$4:$N$1463,$P59)),""))</f>
        <v>32.4</v>
      </c>
      <c r="L59" s="15" t="str">
        <f>IF($P59="","",IFERROR(IF(INDEX(MASTER!$O$4:$O$1463,$P59)="","",INDEX(MASTER!$O$4:$O$1463,$P59)),""))</f>
        <v>C</v>
      </c>
      <c r="M59" s="15">
        <f>IF($P59="","",IFERROR(IF(INDEX(MASTER!$Q$4:$Q$1463,$P59)="","",INDEX(MASTER!$Q$4:$Q$1463,$P59)),""))</f>
        <v>80</v>
      </c>
      <c r="N59" s="15" t="str">
        <f>IF($P59="","",IFERROR(IF(INDEX(MASTER!$S$4:$S$1463,$P59)="","",INDEX(MASTER!$S$4:$S$1463,$P59)),""))</f>
        <v>Complete</v>
      </c>
      <c r="P59">
        <f>IFERROR(MATCH($Q$1&amp;"@51",MASTER!$AC$4:$AC$1463,0),"")</f>
        <v>811</v>
      </c>
    </row>
    <row r="60" spans="1:16">
      <c r="A60" s="19">
        <f>IF($P60="","",52)</f>
        <v>52</v>
      </c>
      <c r="B60" s="18" t="str">
        <f>IF($P60="","",IFERROR(IF(INDEX(MASTER!$C$4:$C$1463,$P60)="","",INDEX(MASTER!$C$4:$C$1463,$P60)),""))</f>
        <v>Netzky</v>
      </c>
      <c r="C60" s="19" t="str">
        <f>IF($P60="","",IFERROR(IF(INDEX(MASTER!$D$4:$D$1463,$P60)="","",INDEX(MASTER!$D$4:$D$1463,$P60)),""))</f>
        <v>VENGENCE</v>
      </c>
      <c r="D60" s="19" t="str">
        <f>IF($P60="","",IFERROR(IF(INDEX(MASTER!$E$4:$E$1463,$P60)="","",INDEX(MASTER!$E$4:$E$1463,$P60)),""))</f>
        <v>BLOOD KNIGHT</v>
      </c>
      <c r="E60" s="19" t="str">
        <f>IF($P60="","",IFERROR(IF(INDEX(MASTER!$F$4:$F$1463,$P60)="","",INDEX(MASTER!$F$4:$F$1463,$P60)),""))</f>
        <v>Frontline</v>
      </c>
      <c r="F60" s="20">
        <f>IF($P60="","",IFERROR(IF(INDEX(MASTER!$G$4:$G$1463,$P60)="","",INDEX(MASTER!$G$4:$G$1463,$P60)),""))</f>
        <v>61738</v>
      </c>
      <c r="G60" s="19" t="str">
        <f>IF($P60="","",IFERROR(IF(INDEX(MASTER!$H$4:$H$1463,$P60)="","",INDEX(MASTER!$H$4:$H$1463,$P60)),""))</f>
        <v>61,000 - 61,999</v>
      </c>
      <c r="H60" s="20">
        <f>IF($P60="","",IFERROR(IF(INDEX(MASTER!$I$4:$I$1463,$P60)="","",INDEX(MASTER!$I$4:$I$1463,$P60)),""))</f>
        <v>1855</v>
      </c>
      <c r="I60" s="19" t="str">
        <f>IF($P60="","",IFERROR(IF(INDEX(MASTER!$J$4:$J$1463,$P60)="","",INDEX(MASTER!$J$4:$J$1463,$P60)),""))</f>
        <v>ROOKIE</v>
      </c>
      <c r="J60" s="21">
        <f>IF($P60="","",IFERROR(IF(INDEX(MASTER!$L$4:$L$1463,$P60)="","",INDEX(MASTER!$L$4:$L$1463,$P60)),""))</f>
        <v>3.7</v>
      </c>
      <c r="K60" s="21">
        <f>IF($P60="","",IFERROR(IF(INDEX(MASTER!$N$4:$N$1463,$P60)="","",INDEX(MASTER!$N$4:$N$1463,$P60)),""))</f>
        <v>32</v>
      </c>
      <c r="L60" s="19" t="str">
        <f>IF($P60="","",IFERROR(IF(INDEX(MASTER!$O$4:$O$1463,$P60)="","",INDEX(MASTER!$O$4:$O$1463,$P60)),""))</f>
        <v>C</v>
      </c>
      <c r="M60" s="19">
        <f>IF($P60="","",IFERROR(IF(INDEX(MASTER!$Q$4:$Q$1463,$P60)="","",INDEX(MASTER!$Q$4:$Q$1463,$P60)),""))</f>
        <v>86</v>
      </c>
      <c r="N60" s="19" t="str">
        <f>IF($P60="","",IFERROR(IF(INDEX(MASTER!$S$4:$S$1463,$P60)="","",INDEX(MASTER!$S$4:$S$1463,$P60)),""))</f>
        <v>Complete</v>
      </c>
      <c r="P60">
        <f>IFERROR(MATCH($Q$1&amp;"@52",MASTER!$AC$4:$AC$1463,0),"")</f>
        <v>814</v>
      </c>
    </row>
    <row r="61" spans="1:16">
      <c r="A61" s="15">
        <f>IF($P61="","",53)</f>
        <v>53</v>
      </c>
      <c r="B61" s="14" t="str">
        <f>IF($P61="","",IFERROR(IF(INDEX(MASTER!$C$4:$C$1463,$P61)="","",INDEX(MASTER!$C$4:$C$1463,$P61)),""))</f>
        <v>NoBodyNoName</v>
      </c>
      <c r="C61" s="15" t="str">
        <f>IF($P61="","",IFERROR(IF(INDEX(MASTER!$D$4:$D$1463,$P61)="","",INDEX(MASTER!$D$4:$D$1463,$P61)),""))</f>
        <v>VENGENCE</v>
      </c>
      <c r="D61" s="15" t="str">
        <f>IF($P61="","",IFERROR(IF(INDEX(MASTER!$E$4:$E$1463,$P61)="","",INDEX(MASTER!$E$4:$E$1463,$P61)),""))</f>
        <v>BLOOD KNIGHT</v>
      </c>
      <c r="E61" s="15" t="str">
        <f>IF($P61="","",IFERROR(IF(INDEX(MASTER!$F$4:$F$1463,$P61)="","",INDEX(MASTER!$F$4:$F$1463,$P61)),""))</f>
        <v>Frontline</v>
      </c>
      <c r="F61" s="16">
        <f>IF($P61="","",IFERROR(IF(INDEX(MASTER!$G$4:$G$1463,$P61)="","",INDEX(MASTER!$G$4:$G$1463,$P61)),""))</f>
        <v>63184</v>
      </c>
      <c r="G61" s="15" t="str">
        <f>IF($P61="","",IFERROR(IF(INDEX(MASTER!$H$4:$H$1463,$P61)="","",INDEX(MASTER!$H$4:$H$1463,$P61)),""))</f>
        <v>63,000 - 63,999</v>
      </c>
      <c r="H61" s="16">
        <f>IF($P61="","",IFERROR(IF(INDEX(MASTER!$I$4:$I$1463,$P61)="","",INDEX(MASTER!$I$4:$I$1463,$P61)),""))</f>
        <v>3104</v>
      </c>
      <c r="I61" s="15" t="str">
        <f>IF($P61="","",IFERROR(IF(INDEX(MASTER!$J$4:$J$1463,$P61)="","",INDEX(MASTER!$J$4:$J$1463,$P61)),""))</f>
        <v>DEVELOPING</v>
      </c>
      <c r="J61" s="17">
        <f>IF($P61="","",IFERROR(IF(INDEX(MASTER!$L$4:$L$1463,$P61)="","",INDEX(MASTER!$L$4:$L$1463,$P61)),""))</f>
        <v>5.2</v>
      </c>
      <c r="K61" s="17">
        <f>IF($P61="","",IFERROR(IF(INDEX(MASTER!$N$4:$N$1463,$P61)="","",INDEX(MASTER!$N$4:$N$1463,$P61)),""))</f>
        <v>43.8</v>
      </c>
      <c r="L61" s="15" t="str">
        <f>IF($P61="","",IFERROR(IF(INDEX(MASTER!$O$4:$O$1463,$P61)="","",INDEX(MASTER!$O$4:$O$1463,$P61)),""))</f>
        <v>B</v>
      </c>
      <c r="M61" s="15">
        <f>IF($P61="","",IFERROR(IF(INDEX(MASTER!$Q$4:$Q$1463,$P61)="","",INDEX(MASTER!$Q$4:$Q$1463,$P61)),""))</f>
        <v>56</v>
      </c>
      <c r="N61" s="15" t="str">
        <f>IF($P61="","",IFERROR(IF(INDEX(MASTER!$S$4:$S$1463,$P61)="","",INDEX(MASTER!$S$4:$S$1463,$P61)),""))</f>
        <v>Complete</v>
      </c>
      <c r="P61">
        <f>IFERROR(MATCH($Q$1&amp;"@53",MASTER!$AC$4:$AC$1463,0),"")</f>
        <v>822</v>
      </c>
    </row>
    <row r="62" spans="1:16">
      <c r="A62" s="19">
        <f>IF($P62="","",54)</f>
        <v>54</v>
      </c>
      <c r="B62" s="18" t="str">
        <f>IF($P62="","",IFERROR(IF(INDEX(MASTER!$C$4:$C$1463,$P62)="","",INDEX(MASTER!$C$4:$C$1463,$P62)),""))</f>
        <v>NôŠfÊrÂtÛ</v>
      </c>
      <c r="C62" s="19" t="str">
        <f>IF($P62="","",IFERROR(IF(INDEX(MASTER!$D$4:$D$1463,$P62)="","",INDEX(MASTER!$D$4:$D$1463,$P62)),""))</f>
        <v>VENGENCE</v>
      </c>
      <c r="D62" s="19" t="str">
        <f>IF($P62="","",IFERROR(IF(INDEX(MASTER!$E$4:$E$1463,$P62)="","",INDEX(MASTER!$E$4:$E$1463,$P62)),""))</f>
        <v>BLOOD KNIGHT</v>
      </c>
      <c r="E62" s="19" t="str">
        <f>IF($P62="","",IFERROR(IF(INDEX(MASTER!$F$4:$F$1463,$P62)="","",INDEX(MASTER!$F$4:$F$1463,$P62)),""))</f>
        <v>Frontline</v>
      </c>
      <c r="F62" s="20">
        <f>IF($P62="","",IFERROR(IF(INDEX(MASTER!$G$4:$G$1463,$P62)="","",INDEX(MASTER!$G$4:$G$1463,$P62)),""))</f>
        <v>60164</v>
      </c>
      <c r="G62" s="19" t="str">
        <f>IF($P62="","",IFERROR(IF(INDEX(MASTER!$H$4:$H$1463,$P62)="","",INDEX(MASTER!$H$4:$H$1463,$P62)),""))</f>
        <v>60,000 - 60,999</v>
      </c>
      <c r="H62" s="20">
        <f>IF($P62="","",IFERROR(IF(INDEX(MASTER!$I$4:$I$1463,$P62)="","",INDEX(MASTER!$I$4:$I$1463,$P62)),""))</f>
        <v>2281</v>
      </c>
      <c r="I62" s="19" t="str">
        <f>IF($P62="","",IFERROR(IF(INDEX(MASTER!$J$4:$J$1463,$P62)="","",INDEX(MASTER!$J$4:$J$1463,$P62)),""))</f>
        <v>DEVELOPING</v>
      </c>
      <c r="J62" s="21">
        <f>IF($P62="","",IFERROR(IF(INDEX(MASTER!$L$4:$L$1463,$P62)="","",INDEX(MASTER!$L$4:$L$1463,$P62)),""))</f>
        <v>3.5</v>
      </c>
      <c r="K62" s="21">
        <f>IF($P62="","",IFERROR(IF(INDEX(MASTER!$N$4:$N$1463,$P62)="","",INDEX(MASTER!$N$4:$N$1463,$P62)),""))</f>
        <v>29.4</v>
      </c>
      <c r="L62" s="19" t="str">
        <f>IF($P62="","",IFERROR(IF(INDEX(MASTER!$O$4:$O$1463,$P62)="","",INDEX(MASTER!$O$4:$O$1463,$P62)),""))</f>
        <v>C</v>
      </c>
      <c r="M62" s="19">
        <f>IF($P62="","",IFERROR(IF(INDEX(MASTER!$Q$4:$Q$1463,$P62)="","",INDEX(MASTER!$Q$4:$Q$1463,$P62)),""))</f>
        <v>76</v>
      </c>
      <c r="N62" s="19" t="str">
        <f>IF($P62="","",IFERROR(IF(INDEX(MASTER!$S$4:$S$1463,$P62)="","",INDEX(MASTER!$S$4:$S$1463,$P62)),""))</f>
        <v>Complete</v>
      </c>
      <c r="P62">
        <f>IFERROR(MATCH($Q$1&amp;"@54",MASTER!$AC$4:$AC$1463,0),"")</f>
        <v>837</v>
      </c>
    </row>
    <row r="63" spans="1:16">
      <c r="A63" s="15">
        <f>IF($P63="","",55)</f>
        <v>55</v>
      </c>
      <c r="B63" s="14" t="str">
        <f>IF($P63="","",IFERROR(IF(INDEX(MASTER!$C$4:$C$1463,$P63)="","",INDEX(MASTER!$C$4:$C$1463,$P63)),""))</f>
        <v>Nuggles</v>
      </c>
      <c r="C63" s="15" t="str">
        <f>IF($P63="","",IFERROR(IF(INDEX(MASTER!$D$4:$D$1463,$P63)="","",INDEX(MASTER!$D$4:$D$1463,$P63)),""))</f>
        <v>VENGENCE</v>
      </c>
      <c r="D63" s="15" t="str">
        <f>IF($P63="","",IFERROR(IF(INDEX(MASTER!$E$4:$E$1463,$P63)="","",INDEX(MASTER!$E$4:$E$1463,$P63)),""))</f>
        <v>CRUSADER</v>
      </c>
      <c r="E63" s="15" t="str">
        <f>IF($P63="","",IFERROR(IF(INDEX(MASTER!$F$4:$F$1463,$P63)="","",INDEX(MASTER!$F$4:$F$1463,$P63)),""))</f>
        <v>Frontline</v>
      </c>
      <c r="F63" s="16">
        <f>IF($P63="","",IFERROR(IF(INDEX(MASTER!$G$4:$G$1463,$P63)="","",INDEX(MASTER!$G$4:$G$1463,$P63)),""))</f>
        <v>61805</v>
      </c>
      <c r="G63" s="15" t="str">
        <f>IF($P63="","",IFERROR(IF(INDEX(MASTER!$H$4:$H$1463,$P63)="","",INDEX(MASTER!$H$4:$H$1463,$P63)),""))</f>
        <v>61,000 - 61,999</v>
      </c>
      <c r="H63" s="16">
        <f>IF($P63="","",IFERROR(IF(INDEX(MASTER!$I$4:$I$1463,$P63)="","",INDEX(MASTER!$I$4:$I$1463,$P63)),""))</f>
        <v>4164</v>
      </c>
      <c r="I63" s="15" t="str">
        <f>IF($P63="","",IFERROR(IF(INDEX(MASTER!$J$4:$J$1463,$P63)="","",INDEX(MASTER!$J$4:$J$1463,$P63)),""))</f>
        <v>CORE</v>
      </c>
      <c r="J63" s="17">
        <f>IF($P63="","",IFERROR(IF(INDEX(MASTER!$L$4:$L$1463,$P63)="","",INDEX(MASTER!$L$4:$L$1463,$P63)),""))</f>
        <v>4.7</v>
      </c>
      <c r="K63" s="17">
        <f>IF($P63="","",IFERROR(IF(INDEX(MASTER!$N$4:$N$1463,$P63)="","",INDEX(MASTER!$N$4:$N$1463,$P63)),""))</f>
        <v>43.9</v>
      </c>
      <c r="L63" s="15" t="str">
        <f>IF($P63="","",IFERROR(IF(INDEX(MASTER!$O$4:$O$1463,$P63)="","",INDEX(MASTER!$O$4:$O$1463,$P63)),""))</f>
        <v>B</v>
      </c>
      <c r="M63" s="15">
        <f>IF($P63="","",IFERROR(IF(INDEX(MASTER!$Q$4:$Q$1463,$P63)="","",INDEX(MASTER!$Q$4:$Q$1463,$P63)),""))</f>
        <v>29</v>
      </c>
      <c r="N63" s="15" t="str">
        <f>IF($P63="","",IFERROR(IF(INDEX(MASTER!$S$4:$S$1463,$P63)="","",INDEX(MASTER!$S$4:$S$1463,$P63)),""))</f>
        <v>Complete</v>
      </c>
      <c r="P63">
        <f>IFERROR(MATCH($Q$1&amp;"@55",MASTER!$AC$4:$AC$1463,0),"")</f>
        <v>831</v>
      </c>
    </row>
    <row r="64" spans="1:16">
      <c r="A64" s="19">
        <f>IF($P64="","",56)</f>
        <v>56</v>
      </c>
      <c r="B64" s="18" t="str">
        <f>IF($P64="","",IFERROR(IF(INDEX(MASTER!$C$4:$C$1463,$P64)="","",INDEX(MASTER!$C$4:$C$1463,$P64)),""))</f>
        <v>Nuggonomanon</v>
      </c>
      <c r="C64" s="19" t="str">
        <f>IF($P64="","",IFERROR(IF(INDEX(MASTER!$D$4:$D$1463,$P64)="","",INDEX(MASTER!$D$4:$D$1463,$P64)),""))</f>
        <v>VENGENCE</v>
      </c>
      <c r="D64" s="19" t="str">
        <f>IF($P64="","",IFERROR(IF(INDEX(MASTER!$E$4:$E$1463,$P64)="","",INDEX(MASTER!$E$4:$E$1463,$P64)),""))</f>
        <v>BLOOD KNIGHT</v>
      </c>
      <c r="E64" s="19" t="str">
        <f>IF($P64="","",IFERROR(IF(INDEX(MASTER!$F$4:$F$1463,$P64)="","",INDEX(MASTER!$F$4:$F$1463,$P64)),""))</f>
        <v>Frontline</v>
      </c>
      <c r="F64" s="20">
        <f>IF($P64="","",IFERROR(IF(INDEX(MASTER!$G$4:$G$1463,$P64)="","",INDEX(MASTER!$G$4:$G$1463,$P64)),""))</f>
        <v>61688</v>
      </c>
      <c r="G64" s="19" t="str">
        <f>IF($P64="","",IFERROR(IF(INDEX(MASTER!$H$4:$H$1463,$P64)="","",INDEX(MASTER!$H$4:$H$1463,$P64)),""))</f>
        <v>61,000 - 61,999</v>
      </c>
      <c r="H64" s="20">
        <f>IF($P64="","",IFERROR(IF(INDEX(MASTER!$I$4:$I$1463,$P64)="","",INDEX(MASTER!$I$4:$I$1463,$P64)),""))</f>
        <v>3542</v>
      </c>
      <c r="I64" s="19" t="str">
        <f>IF($P64="","",IFERROR(IF(INDEX(MASTER!$J$4:$J$1463,$P64)="","",INDEX(MASTER!$J$4:$J$1463,$P64)),""))</f>
        <v>DEVELOPING</v>
      </c>
      <c r="J64" s="21">
        <f>IF($P64="","",IFERROR(IF(INDEX(MASTER!$L$4:$L$1463,$P64)="","",INDEX(MASTER!$L$4:$L$1463,$P64)),""))</f>
        <v>5.5</v>
      </c>
      <c r="K64" s="21">
        <f>IF($P64="","",IFERROR(IF(INDEX(MASTER!$N$4:$N$1463,$P64)="","",INDEX(MASTER!$N$4:$N$1463,$P64)),""))</f>
        <v>42.2</v>
      </c>
      <c r="L64" s="19" t="str">
        <f>IF($P64="","",IFERROR(IF(INDEX(MASTER!$O$4:$O$1463,$P64)="","",INDEX(MASTER!$O$4:$O$1463,$P64)),""))</f>
        <v>B</v>
      </c>
      <c r="M64" s="19">
        <f>IF($P64="","",IFERROR(IF(INDEX(MASTER!$Q$4:$Q$1463,$P64)="","",INDEX(MASTER!$Q$4:$Q$1463,$P64)),""))</f>
        <v>41</v>
      </c>
      <c r="N64" s="19" t="str">
        <f>IF($P64="","",IFERROR(IF(INDEX(MASTER!$S$4:$S$1463,$P64)="","",INDEX(MASTER!$S$4:$S$1463,$P64)),""))</f>
        <v>Complete</v>
      </c>
      <c r="P64">
        <f>IFERROR(MATCH($Q$1&amp;"@56",MASTER!$AC$4:$AC$1463,0),"")</f>
        <v>832</v>
      </c>
    </row>
    <row r="65" spans="1:16">
      <c r="A65" s="15">
        <f>IF($P65="","",57)</f>
        <v>57</v>
      </c>
      <c r="B65" s="14" t="str">
        <f>IF($P65="","",IFERROR(IF(INDEX(MASTER!$C$4:$C$1463,$P65)="","",INDEX(MASTER!$C$4:$C$1463,$P65)),""))</f>
        <v>PrincessBoba</v>
      </c>
      <c r="C65" s="15" t="str">
        <f>IF($P65="","",IFERROR(IF(INDEX(MASTER!$D$4:$D$1463,$P65)="","",INDEX(MASTER!$D$4:$D$1463,$P65)),""))</f>
        <v>VENGENCE</v>
      </c>
      <c r="D65" s="15" t="str">
        <f>IF($P65="","",IFERROR(IF(INDEX(MASTER!$E$4:$E$1463,$P65)="","",INDEX(MASTER!$E$4:$E$1463,$P65)),""))</f>
        <v>DEMON HUNTER</v>
      </c>
      <c r="E65" s="15" t="str">
        <f>IF($P65="","",IFERROR(IF(INDEX(MASTER!$F$4:$F$1463,$P65)="","",INDEX(MASTER!$F$4:$F$1463,$P65)),""))</f>
        <v>Ranged DPS</v>
      </c>
      <c r="F65" s="16">
        <f>IF($P65="","",IFERROR(IF(INDEX(MASTER!$G$4:$G$1463,$P65)="","",INDEX(MASTER!$G$4:$G$1463,$P65)),""))</f>
        <v>61010</v>
      </c>
      <c r="G65" s="15" t="str">
        <f>IF($P65="","",IFERROR(IF(INDEX(MASTER!$H$4:$H$1463,$P65)="","",INDEX(MASTER!$H$4:$H$1463,$P65)),""))</f>
        <v>61,000 - 61,999</v>
      </c>
      <c r="H65" s="16">
        <f>IF($P65="","",IFERROR(IF(INDEX(MASTER!$I$4:$I$1463,$P65)="","",INDEX(MASTER!$I$4:$I$1463,$P65)),""))</f>
        <v>2806</v>
      </c>
      <c r="I65" s="15" t="str">
        <f>IF($P65="","",IFERROR(IF(INDEX(MASTER!$J$4:$J$1463,$P65)="","",INDEX(MASTER!$J$4:$J$1463,$P65)),""))</f>
        <v>DEVELOPING</v>
      </c>
      <c r="J65" s="17">
        <f>IF($P65="","",IFERROR(IF(INDEX(MASTER!$L$4:$L$1463,$P65)="","",INDEX(MASTER!$L$4:$L$1463,$P65)),""))</f>
        <v>5.37</v>
      </c>
      <c r="K65" s="17">
        <f>IF($P65="","",IFERROR(IF(INDEX(MASTER!$N$4:$N$1463,$P65)="","",INDEX(MASTER!$N$4:$N$1463,$P65)),""))</f>
        <v>37</v>
      </c>
      <c r="L65" s="15" t="str">
        <f>IF($P65="","",IFERROR(IF(INDEX(MASTER!$O$4:$O$1463,$P65)="","",INDEX(MASTER!$O$4:$O$1463,$P65)),""))</f>
        <v>B</v>
      </c>
      <c r="M65" s="15">
        <f>IF($P65="","",IFERROR(IF(INDEX(MASTER!$Q$4:$Q$1463,$P65)="","",INDEX(MASTER!$Q$4:$Q$1463,$P65)),""))</f>
        <v>61</v>
      </c>
      <c r="N65" s="15" t="str">
        <f>IF($P65="","",IFERROR(IF(INDEX(MASTER!$S$4:$S$1463,$P65)="","",INDEX(MASTER!$S$4:$S$1463,$P65)),""))</f>
        <v>Complete</v>
      </c>
      <c r="P65">
        <f>IFERROR(MATCH($Q$1&amp;"@57",MASTER!$AC$4:$AC$1463,0),"")</f>
        <v>904</v>
      </c>
    </row>
    <row r="66" spans="1:16">
      <c r="A66" s="19">
        <f>IF($P66="","",58)</f>
        <v>58</v>
      </c>
      <c r="B66" s="18" t="str">
        <f>IF($P66="","",IFERROR(IF(INDEX(MASTER!$C$4:$C$1463,$P66)="","",INDEX(MASTER!$C$4:$C$1463,$P66)),""))</f>
        <v>QB13</v>
      </c>
      <c r="C66" s="19" t="str">
        <f>IF($P66="","",IFERROR(IF(INDEX(MASTER!$D$4:$D$1463,$P66)="","",INDEX(MASTER!$D$4:$D$1463,$P66)),""))</f>
        <v>VENGENCE</v>
      </c>
      <c r="D66" s="19" t="str">
        <f>IF($P66="","",IFERROR(IF(INDEX(MASTER!$E$4:$E$1463,$P66)="","",INDEX(MASTER!$E$4:$E$1463,$P66)),""))</f>
        <v>WARLOCK</v>
      </c>
      <c r="E66" s="19" t="str">
        <f>IF($P66="","",IFERROR(IF(INDEX(MASTER!$F$4:$F$1463,$P66)="","",INDEX(MASTER!$F$4:$F$1463,$P66)),""))</f>
        <v>Control</v>
      </c>
      <c r="F66" s="20">
        <f>IF($P66="","",IFERROR(IF(INDEX(MASTER!$G$4:$G$1463,$P66)="","",INDEX(MASTER!$G$4:$G$1463,$P66)),""))</f>
        <v>62191</v>
      </c>
      <c r="G66" s="19" t="str">
        <f>IF($P66="","",IFERROR(IF(INDEX(MASTER!$H$4:$H$1463,$P66)="","",INDEX(MASTER!$H$4:$H$1463,$P66)),""))</f>
        <v>62,000 - 62,999</v>
      </c>
      <c r="H66" s="20">
        <f>IF($P66="","",IFERROR(IF(INDEX(MASTER!$I$4:$I$1463,$P66)="","",INDEX(MASTER!$I$4:$I$1463,$P66)),""))</f>
        <v>4332</v>
      </c>
      <c r="I66" s="19" t="str">
        <f>IF($P66="","",IFERROR(IF(INDEX(MASTER!$J$4:$J$1463,$P66)="","",INDEX(MASTER!$J$4:$J$1463,$P66)),""))</f>
        <v>CORE</v>
      </c>
      <c r="J66" s="21">
        <f>IF($P66="","",IFERROR(IF(INDEX(MASTER!$L$4:$L$1463,$P66)="","",INDEX(MASTER!$L$4:$L$1463,$P66)),""))</f>
        <v>4.87</v>
      </c>
      <c r="K66" s="21">
        <f>IF($P66="","",IFERROR(IF(INDEX(MASTER!$N$4:$N$1463,$P66)="","",INDEX(MASTER!$N$4:$N$1463,$P66)),""))</f>
        <v>45.9</v>
      </c>
      <c r="L66" s="19" t="str">
        <f>IF($P66="","",IFERROR(IF(INDEX(MASTER!$O$4:$O$1463,$P66)="","",INDEX(MASTER!$O$4:$O$1463,$P66)),""))</f>
        <v>B</v>
      </c>
      <c r="M66" s="19">
        <f>IF($P66="","",IFERROR(IF(INDEX(MASTER!$Q$4:$Q$1463,$P66)="","",INDEX(MASTER!$Q$4:$Q$1463,$P66)),""))</f>
        <v>26</v>
      </c>
      <c r="N66" s="19" t="str">
        <f>IF($P66="","",IFERROR(IF(INDEX(MASTER!$S$4:$S$1463,$P66)="","",INDEX(MASTER!$S$4:$S$1463,$P66)),""))</f>
        <v>Complete</v>
      </c>
      <c r="P66">
        <f>IFERROR(MATCH($Q$1&amp;"@58",MASTER!$AC$4:$AC$1463,0),"")</f>
        <v>912</v>
      </c>
    </row>
    <row r="67" spans="1:16">
      <c r="A67" s="15">
        <f>IF($P67="","",59)</f>
        <v>59</v>
      </c>
      <c r="B67" s="14" t="str">
        <f>IF($P67="","",IFERROR(IF(INDEX(MASTER!$C$4:$C$1463,$P67)="","",INDEX(MASTER!$C$4:$C$1463,$P67)),""))</f>
        <v>RageKnight</v>
      </c>
      <c r="C67" s="15" t="str">
        <f>IF($P67="","",IFERROR(IF(INDEX(MASTER!$D$4:$D$1463,$P67)="","",INDEX(MASTER!$D$4:$D$1463,$P67)),""))</f>
        <v>VENGENCE</v>
      </c>
      <c r="D67" s="15" t="str">
        <f>IF($P67="","",IFERROR(IF(INDEX(MASTER!$E$4:$E$1463,$P67)="","",INDEX(MASTER!$E$4:$E$1463,$P67)),""))</f>
        <v>DEMON HUNTER</v>
      </c>
      <c r="E67" s="15" t="str">
        <f>IF($P67="","",IFERROR(IF(INDEX(MASTER!$F$4:$F$1463,$P67)="","",INDEX(MASTER!$F$4:$F$1463,$P67)),""))</f>
        <v>Ranged DPS</v>
      </c>
      <c r="F67" s="16">
        <f>IF($P67="","",IFERROR(IF(INDEX(MASTER!$G$4:$G$1463,$P67)="","",INDEX(MASTER!$G$4:$G$1463,$P67)),""))</f>
        <v>61167</v>
      </c>
      <c r="G67" s="15" t="str">
        <f>IF($P67="","",IFERROR(IF(INDEX(MASTER!$H$4:$H$1463,$P67)="","",INDEX(MASTER!$H$4:$H$1463,$P67)),""))</f>
        <v>61,000 - 61,999</v>
      </c>
      <c r="H67" s="16">
        <f>IF($P67="","",IFERROR(IF(INDEX(MASTER!$I$4:$I$1463,$P67)="","",INDEX(MASTER!$I$4:$I$1463,$P67)),""))</f>
        <v>2044</v>
      </c>
      <c r="I67" s="15" t="str">
        <f>IF($P67="","",IFERROR(IF(INDEX(MASTER!$J$4:$J$1463,$P67)="","",INDEX(MASTER!$J$4:$J$1463,$P67)),""))</f>
        <v>DEVELOPING</v>
      </c>
      <c r="J67" s="17">
        <f>IF($P67="","",IFERROR(IF(INDEX(MASTER!$L$4:$L$1463,$P67)="","",INDEX(MASTER!$L$4:$L$1463,$P67)),""))</f>
        <v>4.8</v>
      </c>
      <c r="K67" s="17">
        <f>IF($P67="","",IFERROR(IF(INDEX(MASTER!$N$4:$N$1463,$P67)="","",INDEX(MASTER!$N$4:$N$1463,$P67)),""))</f>
        <v>33.200000000000003</v>
      </c>
      <c r="L67" s="15" t="str">
        <f>IF($P67="","",IFERROR(IF(INDEX(MASTER!$O$4:$O$1463,$P67)="","",INDEX(MASTER!$O$4:$O$1463,$P67)),""))</f>
        <v>C</v>
      </c>
      <c r="M67" s="15">
        <f>IF($P67="","",IFERROR(IF(INDEX(MASTER!$Q$4:$Q$1463,$P67)="","",INDEX(MASTER!$Q$4:$Q$1463,$P67)),""))</f>
        <v>83</v>
      </c>
      <c r="N67" s="15" t="str">
        <f>IF($P67="","",IFERROR(IF(INDEX(MASTER!$S$4:$S$1463,$P67)="","",INDEX(MASTER!$S$4:$S$1463,$P67)),""))</f>
        <v>Complete</v>
      </c>
      <c r="P67">
        <f>IFERROR(MATCH($Q$1&amp;"@59",MASTER!$AC$4:$AC$1463,0),"")</f>
        <v>920</v>
      </c>
    </row>
    <row r="68" spans="1:16">
      <c r="A68" s="19">
        <f>IF($P68="","",60)</f>
        <v>60</v>
      </c>
      <c r="B68" s="18" t="str">
        <f>IF($P68="","",IFERROR(IF(INDEX(MASTER!$C$4:$C$1463,$P68)="","",INDEX(MASTER!$C$4:$C$1463,$P68)),""))</f>
        <v>Randomy</v>
      </c>
      <c r="C68" s="19" t="str">
        <f>IF($P68="","",IFERROR(IF(INDEX(MASTER!$D$4:$D$1463,$P68)="","",INDEX(MASTER!$D$4:$D$1463,$P68)),""))</f>
        <v>VENGENCE</v>
      </c>
      <c r="D68" s="19" t="str">
        <f>IF($P68="","",IFERROR(IF(INDEX(MASTER!$E$4:$E$1463,$P68)="","",INDEX(MASTER!$E$4:$E$1463,$P68)),""))</f>
        <v>CRUSADER</v>
      </c>
      <c r="E68" s="19" t="str">
        <f>IF($P68="","",IFERROR(IF(INDEX(MASTER!$F$4:$F$1463,$P68)="","",INDEX(MASTER!$F$4:$F$1463,$P68)),""))</f>
        <v>Frontline</v>
      </c>
      <c r="F68" s="20">
        <f>IF($P68="","",IFERROR(IF(INDEX(MASTER!$G$4:$G$1463,$P68)="","",INDEX(MASTER!$G$4:$G$1463,$P68)),""))</f>
        <v>61110</v>
      </c>
      <c r="G68" s="19" t="str">
        <f>IF($P68="","",IFERROR(IF(INDEX(MASTER!$H$4:$H$1463,$P68)="","",INDEX(MASTER!$H$4:$H$1463,$P68)),""))</f>
        <v>61,000 - 61,999</v>
      </c>
      <c r="H68" s="20">
        <f>IF($P68="","",IFERROR(IF(INDEX(MASTER!$I$4:$I$1463,$P68)="","",INDEX(MASTER!$I$4:$I$1463,$P68)),""))</f>
        <v>2688</v>
      </c>
      <c r="I68" s="19" t="str">
        <f>IF($P68="","",IFERROR(IF(INDEX(MASTER!$J$4:$J$1463,$P68)="","",INDEX(MASTER!$J$4:$J$1463,$P68)),""))</f>
        <v>DEVELOPING</v>
      </c>
      <c r="J68" s="21">
        <f>IF($P68="","",IFERROR(IF(INDEX(MASTER!$L$4:$L$1463,$P68)="","",INDEX(MASTER!$L$4:$L$1463,$P68)),""))</f>
        <v>4.83</v>
      </c>
      <c r="K68" s="21">
        <f>IF($P68="","",IFERROR(IF(INDEX(MASTER!$N$4:$N$1463,$P68)="","",INDEX(MASTER!$N$4:$N$1463,$P68)),""))</f>
        <v>35.9</v>
      </c>
      <c r="L68" s="19" t="str">
        <f>IF($P68="","",IFERROR(IF(INDEX(MASTER!$O$4:$O$1463,$P68)="","",INDEX(MASTER!$O$4:$O$1463,$P68)),""))</f>
        <v>B</v>
      </c>
      <c r="M68" s="19">
        <f>IF($P68="","",IFERROR(IF(INDEX(MASTER!$Q$4:$Q$1463,$P68)="","",INDEX(MASTER!$Q$4:$Q$1463,$P68)),""))</f>
        <v>64</v>
      </c>
      <c r="N68" s="19" t="str">
        <f>IF($P68="","",IFERROR(IF(INDEX(MASTER!$S$4:$S$1463,$P68)="","",INDEX(MASTER!$S$4:$S$1463,$P68)),""))</f>
        <v>Complete</v>
      </c>
      <c r="P68">
        <f>IFERROR(MATCH($Q$1&amp;"@60",MASTER!$AC$4:$AC$1463,0),"")</f>
        <v>926</v>
      </c>
    </row>
    <row r="69" spans="1:16">
      <c r="A69" s="15">
        <f>IF($P69="","",61)</f>
        <v>61</v>
      </c>
      <c r="B69" s="14" t="str">
        <f>IF($P69="","",IFERROR(IF(INDEX(MASTER!$C$4:$C$1463,$P69)="","",INDEX(MASTER!$C$4:$C$1463,$P69)),""))</f>
        <v>RisingSugata</v>
      </c>
      <c r="C69" s="15" t="str">
        <f>IF($P69="","",IFERROR(IF(INDEX(MASTER!$D$4:$D$1463,$P69)="","",INDEX(MASTER!$D$4:$D$1463,$P69)),""))</f>
        <v>VENGENCE</v>
      </c>
      <c r="D69" s="15" t="str">
        <f>IF($P69="","",IFERROR(IF(INDEX(MASTER!$E$4:$E$1463,$P69)="","",INDEX(MASTER!$E$4:$E$1463,$P69)),""))</f>
        <v>DRUID</v>
      </c>
      <c r="E69" s="15" t="str">
        <f>IF($P69="","",IFERROR(IF(INDEX(MASTER!$F$4:$F$1463,$P69)="","",INDEX(MASTER!$F$4:$F$1463,$P69)),""))</f>
        <v>Support</v>
      </c>
      <c r="F69" s="16">
        <f>IF($P69="","",IFERROR(IF(INDEX(MASTER!$G$4:$G$1463,$P69)="","",INDEX(MASTER!$G$4:$G$1463,$P69)),""))</f>
        <v>62510</v>
      </c>
      <c r="G69" s="15" t="str">
        <f>IF($P69="","",IFERROR(IF(INDEX(MASTER!$H$4:$H$1463,$P69)="","",INDEX(MASTER!$H$4:$H$1463,$P69)),""))</f>
        <v>62,000 - 62,999</v>
      </c>
      <c r="H69" s="16">
        <f>IF($P69="","",IFERROR(IF(INDEX(MASTER!$I$4:$I$1463,$P69)="","",INDEX(MASTER!$I$4:$I$1463,$P69)),""))</f>
        <v>3399</v>
      </c>
      <c r="I69" s="15" t="str">
        <f>IF($P69="","",IFERROR(IF(INDEX(MASTER!$J$4:$J$1463,$P69)="","",INDEX(MASTER!$J$4:$J$1463,$P69)),""))</f>
        <v>DEVELOPING</v>
      </c>
      <c r="J69" s="17">
        <f>IF($P69="","",IFERROR(IF(INDEX(MASTER!$L$4:$L$1463,$P69)="","",INDEX(MASTER!$L$4:$L$1463,$P69)),""))</f>
        <v>5.5</v>
      </c>
      <c r="K69" s="17">
        <f>IF($P69="","",IFERROR(IF(INDEX(MASTER!$N$4:$N$1463,$P69)="","",INDEX(MASTER!$N$4:$N$1463,$P69)),""))</f>
        <v>43.8</v>
      </c>
      <c r="L69" s="15" t="str">
        <f>IF($P69="","",IFERROR(IF(INDEX(MASTER!$O$4:$O$1463,$P69)="","",INDEX(MASTER!$O$4:$O$1463,$P69)),""))</f>
        <v>B</v>
      </c>
      <c r="M69" s="15">
        <f>IF($P69="","",IFERROR(IF(INDEX(MASTER!$Q$4:$Q$1463,$P69)="","",INDEX(MASTER!$Q$4:$Q$1463,$P69)),""))</f>
        <v>49</v>
      </c>
      <c r="N69" s="15" t="str">
        <f>IF($P69="","",IFERROR(IF(INDEX(MASTER!$S$4:$S$1463,$P69)="","",INDEX(MASTER!$S$4:$S$1463,$P69)),""))</f>
        <v>Complete</v>
      </c>
      <c r="P69">
        <f>IFERROR(MATCH($Q$1&amp;"@61",MASTER!$AC$4:$AC$1463,0),"")</f>
        <v>954</v>
      </c>
    </row>
    <row r="70" spans="1:16">
      <c r="A70" s="19">
        <f>IF($P70="","",62)</f>
        <v>62</v>
      </c>
      <c r="B70" s="18" t="str">
        <f>IF($P70="","",IFERROR(IF(INDEX(MASTER!$C$4:$C$1463,$P70)="","",INDEX(MASTER!$C$4:$C$1463,$P70)),""))</f>
        <v>Rowengirl</v>
      </c>
      <c r="C70" s="19" t="str">
        <f>IF($P70="","",IFERROR(IF(INDEX(MASTER!$D$4:$D$1463,$P70)="","",INDEX(MASTER!$D$4:$D$1463,$P70)),""))</f>
        <v>VENGENCE</v>
      </c>
      <c r="D70" s="19" t="str">
        <f>IF($P70="","",IFERROR(IF(INDEX(MASTER!$E$4:$E$1463,$P70)="","",INDEX(MASTER!$E$4:$E$1463,$P70)),""))</f>
        <v>DEMON HUNTER</v>
      </c>
      <c r="E70" s="19" t="str">
        <f>IF($P70="","",IFERROR(IF(INDEX(MASTER!$F$4:$F$1463,$P70)="","",INDEX(MASTER!$F$4:$F$1463,$P70)),""))</f>
        <v>Ranged DPS</v>
      </c>
      <c r="F70" s="20">
        <f>IF($P70="","",IFERROR(IF(INDEX(MASTER!$G$4:$G$1463,$P70)="","",INDEX(MASTER!$G$4:$G$1463,$P70)),""))</f>
        <v>61259</v>
      </c>
      <c r="G70" s="19" t="str">
        <f>IF($P70="","",IFERROR(IF(INDEX(MASTER!$H$4:$H$1463,$P70)="","",INDEX(MASTER!$H$4:$H$1463,$P70)),""))</f>
        <v>61,000 - 61,999</v>
      </c>
      <c r="H70" s="20">
        <f>IF($P70="","",IFERROR(IF(INDEX(MASTER!$I$4:$I$1463,$P70)="","",INDEX(MASTER!$I$4:$I$1463,$P70)),""))</f>
        <v>3250</v>
      </c>
      <c r="I70" s="19" t="str">
        <f>IF($P70="","",IFERROR(IF(INDEX(MASTER!$J$4:$J$1463,$P70)="","",INDEX(MASTER!$J$4:$J$1463,$P70)),""))</f>
        <v>DEVELOPING</v>
      </c>
      <c r="J70" s="21">
        <f>IF($P70="","",IFERROR(IF(INDEX(MASTER!$L$4:$L$1463,$P70)="","",INDEX(MASTER!$L$4:$L$1463,$P70)),""))</f>
        <v>4.8</v>
      </c>
      <c r="K70" s="21">
        <f>IF($P70="","",IFERROR(IF(INDEX(MASTER!$N$4:$N$1463,$P70)="","",INDEX(MASTER!$N$4:$N$1463,$P70)),""))</f>
        <v>38.700000000000003</v>
      </c>
      <c r="L70" s="19" t="str">
        <f>IF($P70="","",IFERROR(IF(INDEX(MASTER!$O$4:$O$1463,$P70)="","",INDEX(MASTER!$O$4:$O$1463,$P70)),""))</f>
        <v>B</v>
      </c>
      <c r="M70" s="19">
        <f>IF($P70="","",IFERROR(IF(INDEX(MASTER!$Q$4:$Q$1463,$P70)="","",INDEX(MASTER!$Q$4:$Q$1463,$P70)),""))</f>
        <v>52</v>
      </c>
      <c r="N70" s="19" t="str">
        <f>IF($P70="","",IFERROR(IF(INDEX(MASTER!$S$4:$S$1463,$P70)="","",INDEX(MASTER!$S$4:$S$1463,$P70)),""))</f>
        <v>Complete</v>
      </c>
      <c r="P70">
        <f>IFERROR(MATCH($Q$1&amp;"@62",MASTER!$AC$4:$AC$1463,0),"")</f>
        <v>965</v>
      </c>
    </row>
    <row r="71" spans="1:16">
      <c r="A71" s="15">
        <f>IF($P71="","",63)</f>
        <v>63</v>
      </c>
      <c r="B71" s="14" t="str">
        <f>IF($P71="","",IFERROR(IF(INDEX(MASTER!$C$4:$C$1463,$P71)="","",INDEX(MASTER!$C$4:$C$1463,$P71)),""))</f>
        <v>Rukhma</v>
      </c>
      <c r="C71" s="15" t="str">
        <f>IF($P71="","",IFERROR(IF(INDEX(MASTER!$D$4:$D$1463,$P71)="","",INDEX(MASTER!$D$4:$D$1463,$P71)),""))</f>
        <v>VENGENCE</v>
      </c>
      <c r="D71" s="15" t="str">
        <f>IF($P71="","",IFERROR(IF(INDEX(MASTER!$E$4:$E$1463,$P71)="","",INDEX(MASTER!$E$4:$E$1463,$P71)),""))</f>
        <v>CRUSADER</v>
      </c>
      <c r="E71" s="15" t="str">
        <f>IF($P71="","",IFERROR(IF(INDEX(MASTER!$F$4:$F$1463,$P71)="","",INDEX(MASTER!$F$4:$F$1463,$P71)),""))</f>
        <v>Frontline</v>
      </c>
      <c r="F71" s="16">
        <f>IF($P71="","",IFERROR(IF(INDEX(MASTER!$G$4:$G$1463,$P71)="","",INDEX(MASTER!$G$4:$G$1463,$P71)),""))</f>
        <v>60081</v>
      </c>
      <c r="G71" s="15" t="str">
        <f>IF($P71="","",IFERROR(IF(INDEX(MASTER!$H$4:$H$1463,$P71)="","",INDEX(MASTER!$H$4:$H$1463,$P71)),""))</f>
        <v>60,000 - 60,999</v>
      </c>
      <c r="H71" s="16">
        <f>IF($P71="","",IFERROR(IF(INDEX(MASTER!$I$4:$I$1463,$P71)="","",INDEX(MASTER!$I$4:$I$1463,$P71)),""))</f>
        <v>440</v>
      </c>
      <c r="I71" s="15" t="str">
        <f>IF($P71="","",IFERROR(IF(INDEX(MASTER!$J$4:$J$1463,$P71)="","",INDEX(MASTER!$J$4:$J$1463,$P71)),""))</f>
        <v>ROOKIE</v>
      </c>
      <c r="J71" s="17">
        <f>IF($P71="","",IFERROR(IF(INDEX(MASTER!$L$4:$L$1463,$P71)="","",INDEX(MASTER!$L$4:$L$1463,$P71)),""))</f>
        <v>2</v>
      </c>
      <c r="K71" s="17">
        <f>IF($P71="","",IFERROR(IF(INDEX(MASTER!$N$4:$N$1463,$P71)="","",INDEX(MASTER!$N$4:$N$1463,$P71)),""))</f>
        <v>18.600000000000001</v>
      </c>
      <c r="L71" s="15" t="str">
        <f>IF($P71="","",IFERROR(IF(INDEX(MASTER!$O$4:$O$1463,$P71)="","",INDEX(MASTER!$O$4:$O$1463,$P71)),""))</f>
        <v>D</v>
      </c>
      <c r="M71" s="15">
        <f>IF($P71="","",IFERROR(IF(INDEX(MASTER!$Q$4:$Q$1463,$P71)="","",INDEX(MASTER!$Q$4:$Q$1463,$P71)),""))</f>
        <v>94</v>
      </c>
      <c r="N71" s="15" t="str">
        <f>IF($P71="","",IFERROR(IF(INDEX(MASTER!$S$4:$S$1463,$P71)="","",INDEX(MASTER!$S$4:$S$1463,$P71)),""))</f>
        <v>Complete</v>
      </c>
      <c r="P71">
        <f>IFERROR(MATCH($Q$1&amp;"@63",MASTER!$AC$4:$AC$1463,0),"")</f>
        <v>971</v>
      </c>
    </row>
    <row r="72" spans="1:16">
      <c r="A72" s="19">
        <f>IF($P72="","",64)</f>
        <v>64</v>
      </c>
      <c r="B72" s="18" t="str">
        <f>IF($P72="","",IFERROR(IF(INDEX(MASTER!$C$4:$C$1463,$P72)="","",INDEX(MASTER!$C$4:$C$1463,$P72)),""))</f>
        <v>S0ulcraft3r</v>
      </c>
      <c r="C72" s="19" t="str">
        <f>IF($P72="","",IFERROR(IF(INDEX(MASTER!$D$4:$D$1463,$P72)="","",INDEX(MASTER!$D$4:$D$1463,$P72)),""))</f>
        <v>VENGENCE</v>
      </c>
      <c r="D72" s="19" t="str">
        <f>IF($P72="","",IFERROR(IF(INDEX(MASTER!$E$4:$E$1463,$P72)="","",INDEX(MASTER!$E$4:$E$1463,$P72)),""))</f>
        <v>DEMON HUNTER</v>
      </c>
      <c r="E72" s="19" t="str">
        <f>IF($P72="","",IFERROR(IF(INDEX(MASTER!$F$4:$F$1463,$P72)="","",INDEX(MASTER!$F$4:$F$1463,$P72)),""))</f>
        <v>Ranged DPS</v>
      </c>
      <c r="F72" s="20">
        <f>IF($P72="","",IFERROR(IF(INDEX(MASTER!$G$4:$G$1463,$P72)="","",INDEX(MASTER!$G$4:$G$1463,$P72)),""))</f>
        <v>61209</v>
      </c>
      <c r="G72" s="19" t="str">
        <f>IF($P72="","",IFERROR(IF(INDEX(MASTER!$H$4:$H$1463,$P72)="","",INDEX(MASTER!$H$4:$H$1463,$P72)),""))</f>
        <v>61,000 - 61,999</v>
      </c>
      <c r="H72" s="20">
        <f>IF($P72="","",IFERROR(IF(INDEX(MASTER!$I$4:$I$1463,$P72)="","",INDEX(MASTER!$I$4:$I$1463,$P72)),""))</f>
        <v>3239</v>
      </c>
      <c r="I72" s="19" t="str">
        <f>IF($P72="","",IFERROR(IF(INDEX(MASTER!$J$4:$J$1463,$P72)="","",INDEX(MASTER!$J$4:$J$1463,$P72)),""))</f>
        <v>DEVELOPING</v>
      </c>
      <c r="J72" s="21">
        <f>IF($P72="","",IFERROR(IF(INDEX(MASTER!$L$4:$L$1463,$P72)="","",INDEX(MASTER!$L$4:$L$1463,$P72)),""))</f>
        <v>3.4</v>
      </c>
      <c r="K72" s="21">
        <f>IF($P72="","",IFERROR(IF(INDEX(MASTER!$N$4:$N$1463,$P72)="","",INDEX(MASTER!$N$4:$N$1463,$P72)),""))</f>
        <v>36.1</v>
      </c>
      <c r="L72" s="19" t="str">
        <f>IF($P72="","",IFERROR(IF(INDEX(MASTER!$O$4:$O$1463,$P72)="","",INDEX(MASTER!$O$4:$O$1463,$P72)),""))</f>
        <v>B</v>
      </c>
      <c r="M72" s="19">
        <f>IF($P72="","",IFERROR(IF(INDEX(MASTER!$Q$4:$Q$1463,$P72)="","",INDEX(MASTER!$Q$4:$Q$1463,$P72)),""))</f>
        <v>53</v>
      </c>
      <c r="N72" s="19" t="str">
        <f>IF($P72="","",IFERROR(IF(INDEX(MASTER!$S$4:$S$1463,$P72)="","",INDEX(MASTER!$S$4:$S$1463,$P72)),""))</f>
        <v>Complete</v>
      </c>
      <c r="P72">
        <f>IFERROR(MATCH($Q$1&amp;"@64",MASTER!$AC$4:$AC$1463,0),"")</f>
        <v>981</v>
      </c>
    </row>
    <row r="73" spans="1:16">
      <c r="A73" s="15">
        <f>IF($P73="","",65)</f>
        <v>65</v>
      </c>
      <c r="B73" s="14" t="str">
        <f>IF($P73="","",IFERROR(IF(INDEX(MASTER!$C$4:$C$1463,$P73)="","",INDEX(MASTER!$C$4:$C$1463,$P73)),""))</f>
        <v>Seke</v>
      </c>
      <c r="C73" s="15" t="str">
        <f>IF($P73="","",IFERROR(IF(INDEX(MASTER!$D$4:$D$1463,$P73)="","",INDEX(MASTER!$D$4:$D$1463,$P73)),""))</f>
        <v>VENGENCE</v>
      </c>
      <c r="D73" s="15" t="str">
        <f>IF($P73="","",IFERROR(IF(INDEX(MASTER!$E$4:$E$1463,$P73)="","",INDEX(MASTER!$E$4:$E$1463,$P73)),""))</f>
        <v>MONK</v>
      </c>
      <c r="E73" s="15" t="str">
        <f>IF($P73="","",IFERROR(IF(INDEX(MASTER!$F$4:$F$1463,$P73)="","",INDEX(MASTER!$F$4:$F$1463,$P73)),""))</f>
        <v>Support</v>
      </c>
      <c r="F73" s="16">
        <f>IF($P73="","",IFERROR(IF(INDEX(MASTER!$G$4:$G$1463,$P73)="","",INDEX(MASTER!$G$4:$G$1463,$P73)),""))</f>
        <v>62966</v>
      </c>
      <c r="G73" s="15" t="str">
        <f>IF($P73="","",IFERROR(IF(INDEX(MASTER!$H$4:$H$1463,$P73)="","",INDEX(MASTER!$H$4:$H$1463,$P73)),""))</f>
        <v>62,000 - 62,999</v>
      </c>
      <c r="H73" s="16">
        <f>IF($P73="","",IFERROR(IF(INDEX(MASTER!$I$4:$I$1463,$P73)="","",INDEX(MASTER!$I$4:$I$1463,$P73)),""))</f>
        <v>2803</v>
      </c>
      <c r="I73" s="15" t="str">
        <f>IF($P73="","",IFERROR(IF(INDEX(MASTER!$J$4:$J$1463,$P73)="","",INDEX(MASTER!$J$4:$J$1463,$P73)),""))</f>
        <v>DEVELOPING</v>
      </c>
      <c r="J73" s="17">
        <f>IF($P73="","",IFERROR(IF(INDEX(MASTER!$L$4:$L$1463,$P73)="","",INDEX(MASTER!$L$4:$L$1463,$P73)),""))</f>
        <v>3.9</v>
      </c>
      <c r="K73" s="17">
        <f>IF($P73="","",IFERROR(IF(INDEX(MASTER!$N$4:$N$1463,$P73)="","",INDEX(MASTER!$N$4:$N$1463,$P73)),""))</f>
        <v>39.700000000000003</v>
      </c>
      <c r="L73" s="15" t="str">
        <f>IF($P73="","",IFERROR(IF(INDEX(MASTER!$O$4:$O$1463,$P73)="","",INDEX(MASTER!$O$4:$O$1463,$P73)),""))</f>
        <v>B</v>
      </c>
      <c r="M73" s="15">
        <f>IF($P73="","",IFERROR(IF(INDEX(MASTER!$Q$4:$Q$1463,$P73)="","",INDEX(MASTER!$Q$4:$Q$1463,$P73)),""))</f>
        <v>62</v>
      </c>
      <c r="N73" s="15" t="str">
        <f>IF($P73="","",IFERROR(IF(INDEX(MASTER!$S$4:$S$1463,$P73)="","",INDEX(MASTER!$S$4:$S$1463,$P73)),""))</f>
        <v>Complete</v>
      </c>
      <c r="P73">
        <f>IFERROR(MATCH($Q$1&amp;"@65",MASTER!$AC$4:$AC$1463,0),"")</f>
        <v>991</v>
      </c>
    </row>
    <row r="74" spans="1:16">
      <c r="A74" s="19">
        <f>IF($P74="","",66)</f>
        <v>66</v>
      </c>
      <c r="B74" s="18" t="str">
        <f>IF($P74="","",IFERROR(IF(INDEX(MASTER!$C$4:$C$1463,$P74)="","",INDEX(MASTER!$C$4:$C$1463,$P74)),""))</f>
        <v>SelenaGolemez</v>
      </c>
      <c r="C74" s="19" t="str">
        <f>IF($P74="","",IFERROR(IF(INDEX(MASTER!$D$4:$D$1463,$P74)="","",INDEX(MASTER!$D$4:$D$1463,$P74)),""))</f>
        <v>VENGENCE</v>
      </c>
      <c r="D74" s="19" t="str">
        <f>IF($P74="","",IFERROR(IF(INDEX(MASTER!$E$4:$E$1463,$P74)="","",INDEX(MASTER!$E$4:$E$1463,$P74)),""))</f>
        <v>NECROMANCER</v>
      </c>
      <c r="E74" s="19" t="str">
        <f>IF($P74="","",IFERROR(IF(INDEX(MASTER!$F$4:$F$1463,$P74)="","",INDEX(MASTER!$F$4:$F$1463,$P74)),""))</f>
        <v>Control</v>
      </c>
      <c r="F74" s="20">
        <f>IF($P74="","",IFERROR(IF(INDEX(MASTER!$G$4:$G$1463,$P74)="","",INDEX(MASTER!$G$4:$G$1463,$P74)),""))</f>
        <v>60780</v>
      </c>
      <c r="G74" s="19" t="str">
        <f>IF($P74="","",IFERROR(IF(INDEX(MASTER!$H$4:$H$1463,$P74)="","",INDEX(MASTER!$H$4:$H$1463,$P74)),""))</f>
        <v>60,000 - 60,999</v>
      </c>
      <c r="H74" s="20">
        <f>IF($P74="","",IFERROR(IF(INDEX(MASTER!$I$4:$I$1463,$P74)="","",INDEX(MASTER!$I$4:$I$1463,$P74)),""))</f>
        <v>1680</v>
      </c>
      <c r="I74" s="19" t="str">
        <f>IF($P74="","",IFERROR(IF(INDEX(MASTER!$J$4:$J$1463,$P74)="","",INDEX(MASTER!$J$4:$J$1463,$P74)),""))</f>
        <v>ROOKIE</v>
      </c>
      <c r="J74" s="21">
        <f>IF($P74="","",IFERROR(IF(INDEX(MASTER!$L$4:$L$1463,$P74)="","",INDEX(MASTER!$L$4:$L$1463,$P74)),""))</f>
        <v>3.2</v>
      </c>
      <c r="K74" s="21">
        <f>IF($P74="","",IFERROR(IF(INDEX(MASTER!$N$4:$N$1463,$P74)="","",INDEX(MASTER!$N$4:$N$1463,$P74)),""))</f>
        <v>27.9</v>
      </c>
      <c r="L74" s="19" t="str">
        <f>IF($P74="","",IFERROR(IF(INDEX(MASTER!$O$4:$O$1463,$P74)="","",INDEX(MASTER!$O$4:$O$1463,$P74)),""))</f>
        <v>C</v>
      </c>
      <c r="M74" s="19">
        <f>IF($P74="","",IFERROR(IF(INDEX(MASTER!$Q$4:$Q$1463,$P74)="","",INDEX(MASTER!$Q$4:$Q$1463,$P74)),""))</f>
        <v>91</v>
      </c>
      <c r="N74" s="19" t="str">
        <f>IF($P74="","",IFERROR(IF(INDEX(MASTER!$S$4:$S$1463,$P74)="","",INDEX(MASTER!$S$4:$S$1463,$P74)),""))</f>
        <v>Complete</v>
      </c>
      <c r="P74">
        <f>IFERROR(MATCH($Q$1&amp;"@66",MASTER!$AC$4:$AC$1463,0),"")</f>
        <v>992</v>
      </c>
    </row>
    <row r="75" spans="1:16">
      <c r="A75" s="15">
        <f>IF($P75="","",67)</f>
        <v>67</v>
      </c>
      <c r="B75" s="14" t="str">
        <f>IF($P75="","",IFERROR(IF(INDEX(MASTER!$C$4:$C$1463,$P75)="","",INDEX(MASTER!$C$4:$C$1463,$P75)),""))</f>
        <v>Shesty_0</v>
      </c>
      <c r="C75" s="15" t="str">
        <f>IF($P75="","",IFERROR(IF(INDEX(MASTER!$D$4:$D$1463,$P75)="","",INDEX(MASTER!$D$4:$D$1463,$P75)),""))</f>
        <v>VENGENCE</v>
      </c>
      <c r="D75" s="15" t="str">
        <f>IF($P75="","",IFERROR(IF(INDEX(MASTER!$E$4:$E$1463,$P75)="","",INDEX(MASTER!$E$4:$E$1463,$P75)),""))</f>
        <v>DEMON HUNTER</v>
      </c>
      <c r="E75" s="15" t="str">
        <f>IF($P75="","",IFERROR(IF(INDEX(MASTER!$F$4:$F$1463,$P75)="","",INDEX(MASTER!$F$4:$F$1463,$P75)),""))</f>
        <v>Ranged DPS</v>
      </c>
      <c r="F75" s="16">
        <f>IF($P75="","",IFERROR(IF(INDEX(MASTER!$G$4:$G$1463,$P75)="","",INDEX(MASTER!$G$4:$G$1463,$P75)),""))</f>
        <v>61612</v>
      </c>
      <c r="G75" s="15" t="str">
        <f>IF($P75="","",IFERROR(IF(INDEX(MASTER!$H$4:$H$1463,$P75)="","",INDEX(MASTER!$H$4:$H$1463,$P75)),""))</f>
        <v>61,000 - 61,999</v>
      </c>
      <c r="H75" s="16">
        <f>IF($P75="","",IFERROR(IF(INDEX(MASTER!$I$4:$I$1463,$P75)="","",INDEX(MASTER!$I$4:$I$1463,$P75)),""))</f>
        <v>2202</v>
      </c>
      <c r="I75" s="15" t="str">
        <f>IF($P75="","",IFERROR(IF(INDEX(MASTER!$J$4:$J$1463,$P75)="","",INDEX(MASTER!$J$4:$J$1463,$P75)),""))</f>
        <v>DEVELOPING</v>
      </c>
      <c r="J75" s="17">
        <f>IF($P75="","",IFERROR(IF(INDEX(MASTER!$L$4:$L$1463,$P75)="","",INDEX(MASTER!$L$4:$L$1463,$P75)),""))</f>
        <v>3.5</v>
      </c>
      <c r="K75" s="17">
        <f>IF($P75="","",IFERROR(IF(INDEX(MASTER!$N$4:$N$1463,$P75)="","",INDEX(MASTER!$N$4:$N$1463,$P75)),""))</f>
        <v>32.799999999999997</v>
      </c>
      <c r="L75" s="15" t="str">
        <f>IF($P75="","",IFERROR(IF(INDEX(MASTER!$O$4:$O$1463,$P75)="","",INDEX(MASTER!$O$4:$O$1463,$P75)),""))</f>
        <v>C</v>
      </c>
      <c r="M75" s="15">
        <f>IF($P75="","",IFERROR(IF(INDEX(MASTER!$Q$4:$Q$1463,$P75)="","",INDEX(MASTER!$Q$4:$Q$1463,$P75)),""))</f>
        <v>79</v>
      </c>
      <c r="N75" s="15" t="str">
        <f>IF($P75="","",IFERROR(IF(INDEX(MASTER!$S$4:$S$1463,$P75)="","",INDEX(MASTER!$S$4:$S$1463,$P75)),""))</f>
        <v>Complete</v>
      </c>
      <c r="P75">
        <f>IFERROR(MATCH($Q$1&amp;"@67",MASTER!$AC$4:$AC$1463,0),"")</f>
        <v>1010</v>
      </c>
    </row>
    <row r="76" spans="1:16">
      <c r="A76" s="19">
        <f>IF($P76="","",68)</f>
        <v>68</v>
      </c>
      <c r="B76" s="18" t="str">
        <f>IF($P76="","",IFERROR(IF(INDEX(MASTER!$C$4:$C$1463,$P76)="","",INDEX(MASTER!$C$4:$C$1463,$P76)),""))</f>
        <v>SHOVELFACE</v>
      </c>
      <c r="C76" s="19" t="str">
        <f>IF($P76="","",IFERROR(IF(INDEX(MASTER!$D$4:$D$1463,$P76)="","",INDEX(MASTER!$D$4:$D$1463,$P76)),""))</f>
        <v>VENGENCE</v>
      </c>
      <c r="D76" s="19" t="str">
        <f>IF($P76="","",IFERROR(IF(INDEX(MASTER!$E$4:$E$1463,$P76)="","",INDEX(MASTER!$E$4:$E$1463,$P76)),""))</f>
        <v>DEMON HUNTER</v>
      </c>
      <c r="E76" s="19" t="str">
        <f>IF($P76="","",IFERROR(IF(INDEX(MASTER!$F$4:$F$1463,$P76)="","",INDEX(MASTER!$F$4:$F$1463,$P76)),""))</f>
        <v>Ranged DPS</v>
      </c>
      <c r="F76" s="20">
        <f>IF($P76="","",IFERROR(IF(INDEX(MASTER!$G$4:$G$1463,$P76)="","",INDEX(MASTER!$G$4:$G$1463,$P76)),""))</f>
        <v>61863</v>
      </c>
      <c r="G76" s="19" t="str">
        <f>IF($P76="","",IFERROR(IF(INDEX(MASTER!$H$4:$H$1463,$P76)="","",INDEX(MASTER!$H$4:$H$1463,$P76)),""))</f>
        <v>61,000 - 61,999</v>
      </c>
      <c r="H76" s="20">
        <f>IF($P76="","",IFERROR(IF(INDEX(MASTER!$I$4:$I$1463,$P76)="","",INDEX(MASTER!$I$4:$I$1463,$P76)),""))</f>
        <v>3860</v>
      </c>
      <c r="I76" s="19" t="str">
        <f>IF($P76="","",IFERROR(IF(INDEX(MASTER!$J$4:$J$1463,$P76)="","",INDEX(MASTER!$J$4:$J$1463,$P76)),""))</f>
        <v>DEVELOPING</v>
      </c>
      <c r="J76" s="21">
        <f>IF($P76="","",IFERROR(IF(INDEX(MASTER!$L$4:$L$1463,$P76)="","",INDEX(MASTER!$L$4:$L$1463,$P76)),""))</f>
        <v>3.6</v>
      </c>
      <c r="K76" s="21">
        <f>IF($P76="","",IFERROR(IF(INDEX(MASTER!$N$4:$N$1463,$P76)="","",INDEX(MASTER!$N$4:$N$1463,$P76)),""))</f>
        <v>40.9</v>
      </c>
      <c r="L76" s="19" t="str">
        <f>IF($P76="","",IFERROR(IF(INDEX(MASTER!$O$4:$O$1463,$P76)="","",INDEX(MASTER!$O$4:$O$1463,$P76)),""))</f>
        <v>B</v>
      </c>
      <c r="M76" s="19">
        <f>IF($P76="","",IFERROR(IF(INDEX(MASTER!$Q$4:$Q$1463,$P76)="","",INDEX(MASTER!$Q$4:$Q$1463,$P76)),""))</f>
        <v>36</v>
      </c>
      <c r="N76" s="19" t="str">
        <f>IF($P76="","",IFERROR(IF(INDEX(MASTER!$S$4:$S$1463,$P76)="","",INDEX(MASTER!$S$4:$S$1463,$P76)),""))</f>
        <v>Complete</v>
      </c>
      <c r="P76">
        <f>IFERROR(MATCH($Q$1&amp;"@68",MASTER!$AC$4:$AC$1463,0),"")</f>
        <v>1012</v>
      </c>
    </row>
    <row r="77" spans="1:16">
      <c r="A77" s="15">
        <f>IF($P77="","",69)</f>
        <v>69</v>
      </c>
      <c r="B77" s="14" t="str">
        <f>IF($P77="","",IFERROR(IF(INDEX(MASTER!$C$4:$C$1463,$P77)="","",INDEX(MASTER!$C$4:$C$1463,$P77)),""))</f>
        <v>skydefect</v>
      </c>
      <c r="C77" s="15" t="str">
        <f>IF($P77="","",IFERROR(IF(INDEX(MASTER!$D$4:$D$1463,$P77)="","",INDEX(MASTER!$D$4:$D$1463,$P77)),""))</f>
        <v>VENGENCE</v>
      </c>
      <c r="D77" s="15" t="str">
        <f>IF($P77="","",IFERROR(IF(INDEX(MASTER!$E$4:$E$1463,$P77)="","",INDEX(MASTER!$E$4:$E$1463,$P77)),""))</f>
        <v>WARLOCK</v>
      </c>
      <c r="E77" s="15" t="str">
        <f>IF($P77="","",IFERROR(IF(INDEX(MASTER!$F$4:$F$1463,$P77)="","",INDEX(MASTER!$F$4:$F$1463,$P77)),""))</f>
        <v>Control</v>
      </c>
      <c r="F77" s="16">
        <f>IF($P77="","",IFERROR(IF(INDEX(MASTER!$G$4:$G$1463,$P77)="","",INDEX(MASTER!$G$4:$G$1463,$P77)),""))</f>
        <v>61582</v>
      </c>
      <c r="G77" s="15" t="str">
        <f>IF($P77="","",IFERROR(IF(INDEX(MASTER!$H$4:$H$1463,$P77)="","",INDEX(MASTER!$H$4:$H$1463,$P77)),""))</f>
        <v>61,000 - 61,999</v>
      </c>
      <c r="H77" s="16">
        <f>IF($P77="","",IFERROR(IF(INDEX(MASTER!$I$4:$I$1463,$P77)="","",INDEX(MASTER!$I$4:$I$1463,$P77)),""))</f>
        <v>2080</v>
      </c>
      <c r="I77" s="15" t="str">
        <f>IF($P77="","",IFERROR(IF(INDEX(MASTER!$J$4:$J$1463,$P77)="","",INDEX(MASTER!$J$4:$J$1463,$P77)),""))</f>
        <v>DEVELOPING</v>
      </c>
      <c r="J77" s="17">
        <f>IF($P77="","",IFERROR(IF(INDEX(MASTER!$L$4:$L$1463,$P77)="","",INDEX(MASTER!$L$4:$L$1463,$P77)),""))</f>
        <v>3.5</v>
      </c>
      <c r="K77" s="17">
        <f>IF($P77="","",IFERROR(IF(INDEX(MASTER!$N$4:$N$1463,$P77)="","",INDEX(MASTER!$N$4:$N$1463,$P77)),""))</f>
        <v>32.200000000000003</v>
      </c>
      <c r="L77" s="15" t="str">
        <f>IF($P77="","",IFERROR(IF(INDEX(MASTER!$O$4:$O$1463,$P77)="","",INDEX(MASTER!$O$4:$O$1463,$P77)),""))</f>
        <v>C</v>
      </c>
      <c r="M77" s="15">
        <f>IF($P77="","",IFERROR(IF(INDEX(MASTER!$Q$4:$Q$1463,$P77)="","",INDEX(MASTER!$Q$4:$Q$1463,$P77)),""))</f>
        <v>82</v>
      </c>
      <c r="N77" s="15" t="str">
        <f>IF($P77="","",IFERROR(IF(INDEX(MASTER!$S$4:$S$1463,$P77)="","",INDEX(MASTER!$S$4:$S$1463,$P77)),""))</f>
        <v>Complete</v>
      </c>
      <c r="P77">
        <f>IFERROR(MATCH($Q$1&amp;"@69",MASTER!$AC$4:$AC$1463,0),"")</f>
        <v>1034</v>
      </c>
    </row>
    <row r="78" spans="1:16">
      <c r="A78" s="19">
        <f>IF($P78="","",70)</f>
        <v>70</v>
      </c>
      <c r="B78" s="18" t="str">
        <f>IF($P78="","",IFERROR(IF(INDEX(MASTER!$C$4:$C$1463,$P78)="","",INDEX(MASTER!$C$4:$C$1463,$P78)),""))</f>
        <v>Sloaxon</v>
      </c>
      <c r="C78" s="19" t="str">
        <f>IF($P78="","",IFERROR(IF(INDEX(MASTER!$D$4:$D$1463,$P78)="","",INDEX(MASTER!$D$4:$D$1463,$P78)),""))</f>
        <v>VENGENCE</v>
      </c>
      <c r="D78" s="19" t="str">
        <f>IF($P78="","",IFERROR(IF(INDEX(MASTER!$E$4:$E$1463,$P78)="","",INDEX(MASTER!$E$4:$E$1463,$P78)),""))</f>
        <v>NECROMANCER</v>
      </c>
      <c r="E78" s="19" t="str">
        <f>IF($P78="","",IFERROR(IF(INDEX(MASTER!$F$4:$F$1463,$P78)="","",INDEX(MASTER!$F$4:$F$1463,$P78)),""))</f>
        <v>Control</v>
      </c>
      <c r="F78" s="20">
        <f>IF($P78="","",IFERROR(IF(INDEX(MASTER!$G$4:$G$1463,$P78)="","",INDEX(MASTER!$G$4:$G$1463,$P78)),""))</f>
        <v>59420</v>
      </c>
      <c r="G78" s="19" t="str">
        <f>IF($P78="","",IFERROR(IF(INDEX(MASTER!$H$4:$H$1463,$P78)="","",INDEX(MASTER!$H$4:$H$1463,$P78)),""))</f>
        <v>58,000 - 59,999</v>
      </c>
      <c r="H78" s="20">
        <f>IF($P78="","",IFERROR(IF(INDEX(MASTER!$I$4:$I$1463,$P78)="","",INDEX(MASTER!$I$4:$I$1463,$P78)),""))</f>
        <v>2895</v>
      </c>
      <c r="I78" s="19" t="str">
        <f>IF($P78="","",IFERROR(IF(INDEX(MASTER!$J$4:$J$1463,$P78)="","",INDEX(MASTER!$J$4:$J$1463,$P78)),""))</f>
        <v>DEVELOPING</v>
      </c>
      <c r="J78" s="21">
        <f>IF($P78="","",IFERROR(IF(INDEX(MASTER!$L$4:$L$1463,$P78)="","",INDEX(MASTER!$L$4:$L$1463,$P78)),""))</f>
        <v>4.9000000000000004</v>
      </c>
      <c r="K78" s="21">
        <f>IF($P78="","",IFERROR(IF(INDEX(MASTER!$N$4:$N$1463,$P78)="","",INDEX(MASTER!$N$4:$N$1463,$P78)),""))</f>
        <v>32.4</v>
      </c>
      <c r="L78" s="19" t="str">
        <f>IF($P78="","",IFERROR(IF(INDEX(MASTER!$O$4:$O$1463,$P78)="","",INDEX(MASTER!$O$4:$O$1463,$P78)),""))</f>
        <v>C</v>
      </c>
      <c r="M78" s="19">
        <f>IF($P78="","",IFERROR(IF(INDEX(MASTER!$Q$4:$Q$1463,$P78)="","",INDEX(MASTER!$Q$4:$Q$1463,$P78)),""))</f>
        <v>60</v>
      </c>
      <c r="N78" s="19" t="str">
        <f>IF($P78="","",IFERROR(IF(INDEX(MASTER!$S$4:$S$1463,$P78)="","",INDEX(MASTER!$S$4:$S$1463,$P78)),""))</f>
        <v>Complete</v>
      </c>
      <c r="P78">
        <f>IFERROR(MATCH($Q$1&amp;"@70",MASTER!$AC$4:$AC$1463,0),"")</f>
        <v>1041</v>
      </c>
    </row>
    <row r="79" spans="1:16">
      <c r="A79" s="15">
        <f>IF($P79="","",71)</f>
        <v>71</v>
      </c>
      <c r="B79" s="14" t="str">
        <f>IF($P79="","",IFERROR(IF(INDEX(MASTER!$C$4:$C$1463,$P79)="","",INDEX(MASTER!$C$4:$C$1463,$P79)),""))</f>
        <v>Sterva</v>
      </c>
      <c r="C79" s="15" t="str">
        <f>IF($P79="","",IFERROR(IF(INDEX(MASTER!$D$4:$D$1463,$P79)="","",INDEX(MASTER!$D$4:$D$1463,$P79)),""))</f>
        <v>VENGENCE</v>
      </c>
      <c r="D79" s="15" t="str">
        <f>IF($P79="","",IFERROR(IF(INDEX(MASTER!$E$4:$E$1463,$P79)="","",INDEX(MASTER!$E$4:$E$1463,$P79)),""))</f>
        <v>WARLOCK</v>
      </c>
      <c r="E79" s="15" t="str">
        <f>IF($P79="","",IFERROR(IF(INDEX(MASTER!$F$4:$F$1463,$P79)="","",INDEX(MASTER!$F$4:$F$1463,$P79)),""))</f>
        <v>Control</v>
      </c>
      <c r="F79" s="16">
        <f>IF($P79="","",IFERROR(IF(INDEX(MASTER!$G$4:$G$1463,$P79)="","",INDEX(MASTER!$G$4:$G$1463,$P79)),""))</f>
        <v>62768</v>
      </c>
      <c r="G79" s="15" t="str">
        <f>IF($P79="","",IFERROR(IF(INDEX(MASTER!$H$4:$H$1463,$P79)="","",INDEX(MASTER!$H$4:$H$1463,$P79)),""))</f>
        <v>62,000 - 62,999</v>
      </c>
      <c r="H79" s="16">
        <f>IF($P79="","",IFERROR(IF(INDEX(MASTER!$I$4:$I$1463,$P79)="","",INDEX(MASTER!$I$4:$I$1463,$P79)),""))</f>
        <v>2681</v>
      </c>
      <c r="I79" s="15" t="str">
        <f>IF($P79="","",IFERROR(IF(INDEX(MASTER!$J$4:$J$1463,$P79)="","",INDEX(MASTER!$J$4:$J$1463,$P79)),""))</f>
        <v>DEVELOPING</v>
      </c>
      <c r="J79" s="17">
        <f>IF($P79="","",IFERROR(IF(INDEX(MASTER!$L$4:$L$1463,$P79)="","",INDEX(MASTER!$L$4:$L$1463,$P79)),""))</f>
        <v>4.6500000000000004</v>
      </c>
      <c r="K79" s="17">
        <f>IF($P79="","",IFERROR(IF(INDEX(MASTER!$N$4:$N$1463,$P79)="","",INDEX(MASTER!$N$4:$N$1463,$P79)),""))</f>
        <v>39.9</v>
      </c>
      <c r="L79" s="15" t="str">
        <f>IF($P79="","",IFERROR(IF(INDEX(MASTER!$O$4:$O$1463,$P79)="","",INDEX(MASTER!$O$4:$O$1463,$P79)),""))</f>
        <v>B</v>
      </c>
      <c r="M79" s="15">
        <f>IF($P79="","",IFERROR(IF(INDEX(MASTER!$Q$4:$Q$1463,$P79)="","",INDEX(MASTER!$Q$4:$Q$1463,$P79)),""))</f>
        <v>65</v>
      </c>
      <c r="N79" s="15" t="str">
        <f>IF($P79="","",IFERROR(IF(INDEX(MASTER!$S$4:$S$1463,$P79)="","",INDEX(MASTER!$S$4:$S$1463,$P79)),""))</f>
        <v>Complete</v>
      </c>
      <c r="P79">
        <f>IFERROR(MATCH($Q$1&amp;"@71",MASTER!$AC$4:$AC$1463,0),"")</f>
        <v>1076</v>
      </c>
    </row>
    <row r="80" spans="1:16">
      <c r="A80" s="19">
        <f>IF($P80="","",72)</f>
        <v>72</v>
      </c>
      <c r="B80" s="18" t="str">
        <f>IF($P80="","",IFERROR(IF(INDEX(MASTER!$C$4:$C$1463,$P80)="","",INDEX(MASTER!$C$4:$C$1463,$P80)),""))</f>
        <v>Stevo77</v>
      </c>
      <c r="C80" s="19" t="str">
        <f>IF($P80="","",IFERROR(IF(INDEX(MASTER!$D$4:$D$1463,$P80)="","",INDEX(MASTER!$D$4:$D$1463,$P80)),""))</f>
        <v>VENGENCE</v>
      </c>
      <c r="D80" s="19" t="str">
        <f>IF($P80="","",IFERROR(IF(INDEX(MASTER!$E$4:$E$1463,$P80)="","",INDEX(MASTER!$E$4:$E$1463,$P80)),""))</f>
        <v>BARBARIAN</v>
      </c>
      <c r="E80" s="19" t="str">
        <f>IF($P80="","",IFERROR(IF(INDEX(MASTER!$F$4:$F$1463,$P80)="","",INDEX(MASTER!$F$4:$F$1463,$P80)),""))</f>
        <v>Frontline</v>
      </c>
      <c r="F80" s="20">
        <f>IF($P80="","",IFERROR(IF(INDEX(MASTER!$G$4:$G$1463,$P80)="","",INDEX(MASTER!$G$4:$G$1463,$P80)),""))</f>
        <v>63590</v>
      </c>
      <c r="G80" s="19" t="str">
        <f>IF($P80="","",IFERROR(IF(INDEX(MASTER!$H$4:$H$1463,$P80)="","",INDEX(MASTER!$H$4:$H$1463,$P80)),""))</f>
        <v>63,000 - 63,999</v>
      </c>
      <c r="H80" s="20">
        <f>IF($P80="","",IFERROR(IF(INDEX(MASTER!$I$4:$I$1463,$P80)="","",INDEX(MASTER!$I$4:$I$1463,$P80)),""))</f>
        <v>7759</v>
      </c>
      <c r="I80" s="19" t="str">
        <f>IF($P80="","",IFERROR(IF(INDEX(MASTER!$J$4:$J$1463,$P80)="","",INDEX(MASTER!$J$4:$J$1463,$P80)),""))</f>
        <v>VETERAN</v>
      </c>
      <c r="J80" s="21">
        <f>IF($P80="","",IFERROR(IF(INDEX(MASTER!$L$4:$L$1463,$P80)="","",INDEX(MASTER!$L$4:$L$1463,$P80)),""))</f>
        <v>6.39</v>
      </c>
      <c r="K80" s="21">
        <f>IF($P80="","",IFERROR(IF(INDEX(MASTER!$N$4:$N$1463,$P80)="","",INDEX(MASTER!$N$4:$N$1463,$P80)),""))</f>
        <v>67.099999999999994</v>
      </c>
      <c r="L80" s="19" t="str">
        <f>IF($P80="","",IFERROR(IF(INDEX(MASTER!$O$4:$O$1463,$P80)="","",INDEX(MASTER!$O$4:$O$1463,$P80)),""))</f>
        <v>S</v>
      </c>
      <c r="M80" s="19">
        <f>IF($P80="","",IFERROR(IF(INDEX(MASTER!$Q$4:$Q$1463,$P80)="","",INDEX(MASTER!$Q$4:$Q$1463,$P80)),""))</f>
        <v>1</v>
      </c>
      <c r="N80" s="19" t="str">
        <f>IF($P80="","",IFERROR(IF(INDEX(MASTER!$S$4:$S$1463,$P80)="","",INDEX(MASTER!$S$4:$S$1463,$P80)),""))</f>
        <v>Complete</v>
      </c>
      <c r="P80">
        <f>IFERROR(MATCH($Q$1&amp;"@72",MASTER!$AC$4:$AC$1463,0),"")</f>
        <v>1078</v>
      </c>
    </row>
    <row r="81" spans="1:16">
      <c r="A81" s="15">
        <f>IF($P81="","",73)</f>
        <v>73</v>
      </c>
      <c r="B81" s="14" t="str">
        <f>IF($P81="","",IFERROR(IF(INDEX(MASTER!$C$4:$C$1463,$P81)="","",INDEX(MASTER!$C$4:$C$1463,$P81)),""))</f>
        <v>Stínkfinger</v>
      </c>
      <c r="C81" s="15" t="str">
        <f>IF($P81="","",IFERROR(IF(INDEX(MASTER!$D$4:$D$1463,$P81)="","",INDEX(MASTER!$D$4:$D$1463,$P81)),""))</f>
        <v>VENGENCE</v>
      </c>
      <c r="D81" s="15" t="str">
        <f>IF($P81="","",IFERROR(IF(INDEX(MASTER!$E$4:$E$1463,$P81)="","",INDEX(MASTER!$E$4:$E$1463,$P81)),""))</f>
        <v/>
      </c>
      <c r="E81" s="15" t="str">
        <f>IF($P81="","",IFERROR(IF(INDEX(MASTER!$F$4:$F$1463,$P81)="","",INDEX(MASTER!$F$4:$F$1463,$P81)),""))</f>
        <v>-</v>
      </c>
      <c r="F81" s="16" t="str">
        <f>IF($P81="","",IFERROR(IF(INDEX(MASTER!$G$4:$G$1463,$P81)="","",INDEX(MASTER!$G$4:$G$1463,$P81)),""))</f>
        <v/>
      </c>
      <c r="G81" s="15" t="str">
        <f>IF($P81="","",IFERROR(IF(INDEX(MASTER!$H$4:$H$1463,$P81)="","",INDEX(MASTER!$H$4:$H$1463,$P81)),""))</f>
        <v>-</v>
      </c>
      <c r="H81" s="16" t="str">
        <f>IF($P81="","",IFERROR(IF(INDEX(MASTER!$I$4:$I$1463,$P81)="","",INDEX(MASTER!$I$4:$I$1463,$P81)),""))</f>
        <v/>
      </c>
      <c r="I81" s="15" t="str">
        <f>IF($P81="","",IFERROR(IF(INDEX(MASTER!$J$4:$J$1463,$P81)="","",INDEX(MASTER!$J$4:$J$1463,$P81)),""))</f>
        <v>-</v>
      </c>
      <c r="J81" s="17" t="str">
        <f>IF($P81="","",IFERROR(IF(INDEX(MASTER!$L$4:$L$1463,$P81)="","",INDEX(MASTER!$L$4:$L$1463,$P81)),""))</f>
        <v/>
      </c>
      <c r="K81" s="17" t="str">
        <f>IF($P81="","",IFERROR(IF(INDEX(MASTER!$N$4:$N$1463,$P81)="","",INDEX(MASTER!$N$4:$N$1463,$P81)),""))</f>
        <v/>
      </c>
      <c r="L81" s="15" t="str">
        <f>IF($P81="","",IFERROR(IF(INDEX(MASTER!$O$4:$O$1463,$P81)="","",INDEX(MASTER!$O$4:$O$1463,$P81)),""))</f>
        <v>-</v>
      </c>
      <c r="M81" s="15">
        <f>IF($P81="","",IFERROR(IF(INDEX(MASTER!$Q$4:$Q$1463,$P81)="","",INDEX(MASTER!$Q$4:$Q$1463,$P81)),""))</f>
        <v>95</v>
      </c>
      <c r="N81" s="15" t="str">
        <f>IF($P81="","",IFERROR(IF(INDEX(MASTER!$S$4:$S$1463,$P81)="","",INDEX(MASTER!$S$4:$S$1463,$P81)),""))</f>
        <v>Name only</v>
      </c>
      <c r="P81">
        <f>IFERROR(MATCH($Q$1&amp;"@73",MASTER!$AC$4:$AC$1463,0),"")</f>
        <v>1086</v>
      </c>
    </row>
    <row r="82" spans="1:16">
      <c r="A82" s="19">
        <f>IF($P82="","",74)</f>
        <v>74</v>
      </c>
      <c r="B82" s="18" t="str">
        <f>IF($P82="","",IFERROR(IF(INDEX(MASTER!$C$4:$C$1463,$P82)="","",INDEX(MASTER!$C$4:$C$1463,$P82)),""))</f>
        <v>Sumimasen</v>
      </c>
      <c r="C82" s="19" t="str">
        <f>IF($P82="","",IFERROR(IF(INDEX(MASTER!$D$4:$D$1463,$P82)="","",INDEX(MASTER!$D$4:$D$1463,$P82)),""))</f>
        <v>VENGENCE</v>
      </c>
      <c r="D82" s="19" t="str">
        <f>IF($P82="","",IFERROR(IF(INDEX(MASTER!$E$4:$E$1463,$P82)="","",INDEX(MASTER!$E$4:$E$1463,$P82)),""))</f>
        <v>WARLOCK</v>
      </c>
      <c r="E82" s="19" t="str">
        <f>IF($P82="","",IFERROR(IF(INDEX(MASTER!$F$4:$F$1463,$P82)="","",INDEX(MASTER!$F$4:$F$1463,$P82)),""))</f>
        <v>Control</v>
      </c>
      <c r="F82" s="20">
        <f>IF($P82="","",IFERROR(IF(INDEX(MASTER!$G$4:$G$1463,$P82)="","",INDEX(MASTER!$G$4:$G$1463,$P82)),""))</f>
        <v>62502</v>
      </c>
      <c r="G82" s="19" t="str">
        <f>IF($P82="","",IFERROR(IF(INDEX(MASTER!$H$4:$H$1463,$P82)="","",INDEX(MASTER!$H$4:$H$1463,$P82)),""))</f>
        <v>62,000 - 62,999</v>
      </c>
      <c r="H82" s="20">
        <f>IF($P82="","",IFERROR(IF(INDEX(MASTER!$I$4:$I$1463,$P82)="","",INDEX(MASTER!$I$4:$I$1463,$P82)),""))</f>
        <v>5177</v>
      </c>
      <c r="I82" s="19" t="str">
        <f>IF($P82="","",IFERROR(IF(INDEX(MASTER!$J$4:$J$1463,$P82)="","",INDEX(MASTER!$J$4:$J$1463,$P82)),""))</f>
        <v>CORE</v>
      </c>
      <c r="J82" s="21">
        <f>IF($P82="","",IFERROR(IF(INDEX(MASTER!$L$4:$L$1463,$P82)="","",INDEX(MASTER!$L$4:$L$1463,$P82)),""))</f>
        <v>5.8</v>
      </c>
      <c r="K82" s="21">
        <f>IF($P82="","",IFERROR(IF(INDEX(MASTER!$N$4:$N$1463,$P82)="","",INDEX(MASTER!$N$4:$N$1463,$P82)),""))</f>
        <v>52</v>
      </c>
      <c r="L82" s="19" t="str">
        <f>IF($P82="","",IFERROR(IF(INDEX(MASTER!$O$4:$O$1463,$P82)="","",INDEX(MASTER!$O$4:$O$1463,$P82)),""))</f>
        <v>A</v>
      </c>
      <c r="M82" s="19">
        <f>IF($P82="","",IFERROR(IF(INDEX(MASTER!$Q$4:$Q$1463,$P82)="","",INDEX(MASTER!$Q$4:$Q$1463,$P82)),""))</f>
        <v>14</v>
      </c>
      <c r="N82" s="19" t="str">
        <f>IF($P82="","",IFERROR(IF(INDEX(MASTER!$S$4:$S$1463,$P82)="","",INDEX(MASTER!$S$4:$S$1463,$P82)),""))</f>
        <v>Complete</v>
      </c>
      <c r="P82">
        <f>IFERROR(MATCH($Q$1&amp;"@74",MASTER!$AC$4:$AC$1463,0),"")</f>
        <v>1091</v>
      </c>
    </row>
    <row r="83" spans="1:16">
      <c r="A83" s="15">
        <f>IF($P83="","",75)</f>
        <v>75</v>
      </c>
      <c r="B83" s="14" t="str">
        <f>IF($P83="","",IFERROR(IF(INDEX(MASTER!$C$4:$C$1463,$P83)="","",INDEX(MASTER!$C$4:$C$1463,$P83)),""))</f>
        <v>Suriël</v>
      </c>
      <c r="C83" s="15" t="str">
        <f>IF($P83="","",IFERROR(IF(INDEX(MASTER!$D$4:$D$1463,$P83)="","",INDEX(MASTER!$D$4:$D$1463,$P83)),""))</f>
        <v>VENGENCE</v>
      </c>
      <c r="D83" s="15" t="str">
        <f>IF($P83="","",IFERROR(IF(INDEX(MASTER!$E$4:$E$1463,$P83)="","",INDEX(MASTER!$E$4:$E$1463,$P83)),""))</f>
        <v>WARLOCK</v>
      </c>
      <c r="E83" s="15" t="str">
        <f>IF($P83="","",IFERROR(IF(INDEX(MASTER!$F$4:$F$1463,$P83)="","",INDEX(MASTER!$F$4:$F$1463,$P83)),""))</f>
        <v>Control</v>
      </c>
      <c r="F83" s="16">
        <f>IF($P83="","",IFERROR(IF(INDEX(MASTER!$G$4:$G$1463,$P83)="","",INDEX(MASTER!$G$4:$G$1463,$P83)),""))</f>
        <v>62019</v>
      </c>
      <c r="G83" s="15" t="str">
        <f>IF($P83="","",IFERROR(IF(INDEX(MASTER!$H$4:$H$1463,$P83)="","",INDEX(MASTER!$H$4:$H$1463,$P83)),""))</f>
        <v>62,000 - 62,999</v>
      </c>
      <c r="H83" s="16">
        <f>IF($P83="","",IFERROR(IF(INDEX(MASTER!$I$4:$I$1463,$P83)="","",INDEX(MASTER!$I$4:$I$1463,$P83)),""))</f>
        <v>2536</v>
      </c>
      <c r="I83" s="15" t="str">
        <f>IF($P83="","",IFERROR(IF(INDEX(MASTER!$J$4:$J$1463,$P83)="","",INDEX(MASTER!$J$4:$J$1463,$P83)),""))</f>
        <v>DEVELOPING</v>
      </c>
      <c r="J83" s="17">
        <f>IF($P83="","",IFERROR(IF(INDEX(MASTER!$L$4:$L$1463,$P83)="","",INDEX(MASTER!$L$4:$L$1463,$P83)),""))</f>
        <v>3.8</v>
      </c>
      <c r="K83" s="17">
        <f>IF($P83="","",IFERROR(IF(INDEX(MASTER!$N$4:$N$1463,$P83)="","",INDEX(MASTER!$N$4:$N$1463,$P83)),""))</f>
        <v>35.9</v>
      </c>
      <c r="L83" s="15" t="str">
        <f>IF($P83="","",IFERROR(IF(INDEX(MASTER!$O$4:$O$1463,$P83)="","",INDEX(MASTER!$O$4:$O$1463,$P83)),""))</f>
        <v>B</v>
      </c>
      <c r="M83" s="15">
        <f>IF($P83="","",IFERROR(IF(INDEX(MASTER!$Q$4:$Q$1463,$P83)="","",INDEX(MASTER!$Q$4:$Q$1463,$P83)),""))</f>
        <v>71</v>
      </c>
      <c r="N83" s="15" t="str">
        <f>IF($P83="","",IFERROR(IF(INDEX(MASTER!$S$4:$S$1463,$P83)="","",INDEX(MASTER!$S$4:$S$1463,$P83)),""))</f>
        <v>Complete</v>
      </c>
      <c r="P83">
        <f>IFERROR(MATCH($Q$1&amp;"@75",MASTER!$AC$4:$AC$1463,0),"")</f>
        <v>1096</v>
      </c>
    </row>
    <row r="84" spans="1:16">
      <c r="A84" s="19">
        <f>IF($P84="","",76)</f>
        <v>76</v>
      </c>
      <c r="B84" s="18" t="str">
        <f>IF($P84="","",IFERROR(IF(INDEX(MASTER!$C$4:$C$1463,$P84)="","",INDEX(MASTER!$C$4:$C$1463,$P84)),""))</f>
        <v>Swango</v>
      </c>
      <c r="C84" s="19" t="str">
        <f>IF($P84="","",IFERROR(IF(INDEX(MASTER!$D$4:$D$1463,$P84)="","",INDEX(MASTER!$D$4:$D$1463,$P84)),""))</f>
        <v>VENGENCE</v>
      </c>
      <c r="D84" s="19" t="str">
        <f>IF($P84="","",IFERROR(IF(INDEX(MASTER!$E$4:$E$1463,$P84)="","",INDEX(MASTER!$E$4:$E$1463,$P84)),""))</f>
        <v>WARLOCK</v>
      </c>
      <c r="E84" s="19" t="str">
        <f>IF($P84="","",IFERROR(IF(INDEX(MASTER!$F$4:$F$1463,$P84)="","",INDEX(MASTER!$F$4:$F$1463,$P84)),""))</f>
        <v>Control</v>
      </c>
      <c r="F84" s="20">
        <f>IF($P84="","",IFERROR(IF(INDEX(MASTER!$G$4:$G$1463,$P84)="","",INDEX(MASTER!$G$4:$G$1463,$P84)),""))</f>
        <v>62021</v>
      </c>
      <c r="G84" s="19" t="str">
        <f>IF($P84="","",IFERROR(IF(INDEX(MASTER!$H$4:$H$1463,$P84)="","",INDEX(MASTER!$H$4:$H$1463,$P84)),""))</f>
        <v>62,000 - 62,999</v>
      </c>
      <c r="H84" s="20">
        <f>IF($P84="","",IFERROR(IF(INDEX(MASTER!$I$4:$I$1463,$P84)="","",INDEX(MASTER!$I$4:$I$1463,$P84)),""))</f>
        <v>4030</v>
      </c>
      <c r="I84" s="19" t="str">
        <f>IF($P84="","",IFERROR(IF(INDEX(MASTER!$J$4:$J$1463,$P84)="","",INDEX(MASTER!$J$4:$J$1463,$P84)),""))</f>
        <v>CORE</v>
      </c>
      <c r="J84" s="21">
        <f>IF($P84="","",IFERROR(IF(INDEX(MASTER!$L$4:$L$1463,$P84)="","",INDEX(MASTER!$L$4:$L$1463,$P84)),""))</f>
        <v>5.0999999999999996</v>
      </c>
      <c r="K84" s="21">
        <f>IF($P84="","",IFERROR(IF(INDEX(MASTER!$N$4:$N$1463,$P84)="","",INDEX(MASTER!$N$4:$N$1463,$P84)),""))</f>
        <v>44.6</v>
      </c>
      <c r="L84" s="19" t="str">
        <f>IF($P84="","",IFERROR(IF(INDEX(MASTER!$O$4:$O$1463,$P84)="","",INDEX(MASTER!$O$4:$O$1463,$P84)),""))</f>
        <v>B</v>
      </c>
      <c r="M84" s="19">
        <f>IF($P84="","",IFERROR(IF(INDEX(MASTER!$Q$4:$Q$1463,$P84)="","",INDEX(MASTER!$Q$4:$Q$1463,$P84)),""))</f>
        <v>32</v>
      </c>
      <c r="N84" s="19" t="str">
        <f>IF($P84="","",IFERROR(IF(INDEX(MASTER!$S$4:$S$1463,$P84)="","",INDEX(MASTER!$S$4:$S$1463,$P84)),""))</f>
        <v>Complete</v>
      </c>
      <c r="P84">
        <f>IFERROR(MATCH($Q$1&amp;"@76",MASTER!$AC$4:$AC$1463,0),"")</f>
        <v>1099</v>
      </c>
    </row>
    <row r="85" spans="1:16">
      <c r="A85" s="15">
        <f>IF($P85="","",77)</f>
        <v>77</v>
      </c>
      <c r="B85" s="14" t="str">
        <f>IF($P85="","",IFERROR(IF(INDEX(MASTER!$C$4:$C$1463,$P85)="","",INDEX(MASTER!$C$4:$C$1463,$P85)),""))</f>
        <v>TacoCrusader</v>
      </c>
      <c r="C85" s="15" t="str">
        <f>IF($P85="","",IFERROR(IF(INDEX(MASTER!$D$4:$D$1463,$P85)="","",INDEX(MASTER!$D$4:$D$1463,$P85)),""))</f>
        <v>VENGENCE</v>
      </c>
      <c r="D85" s="15" t="str">
        <f>IF($P85="","",IFERROR(IF(INDEX(MASTER!$E$4:$E$1463,$P85)="","",INDEX(MASTER!$E$4:$E$1463,$P85)),""))</f>
        <v>CRUSADER</v>
      </c>
      <c r="E85" s="15" t="str">
        <f>IF($P85="","",IFERROR(IF(INDEX(MASTER!$F$4:$F$1463,$P85)="","",INDEX(MASTER!$F$4:$F$1463,$P85)),""))</f>
        <v>Frontline</v>
      </c>
      <c r="F85" s="16">
        <f>IF($P85="","",IFERROR(IF(INDEX(MASTER!$G$4:$G$1463,$P85)="","",INDEX(MASTER!$G$4:$G$1463,$P85)),""))</f>
        <v>60655</v>
      </c>
      <c r="G85" s="15" t="str">
        <f>IF($P85="","",IFERROR(IF(INDEX(MASTER!$H$4:$H$1463,$P85)="","",INDEX(MASTER!$H$4:$H$1463,$P85)),""))</f>
        <v>60,000 - 60,999</v>
      </c>
      <c r="H85" s="16">
        <f>IF($P85="","",IFERROR(IF(INDEX(MASTER!$I$4:$I$1463,$P85)="","",INDEX(MASTER!$I$4:$I$1463,$P85)),""))</f>
        <v>1304</v>
      </c>
      <c r="I85" s="15" t="str">
        <f>IF($P85="","",IFERROR(IF(INDEX(MASTER!$J$4:$J$1463,$P85)="","",INDEX(MASTER!$J$4:$J$1463,$P85)),""))</f>
        <v>ROOKIE</v>
      </c>
      <c r="J85" s="17">
        <f>IF($P85="","",IFERROR(IF(INDEX(MASTER!$L$4:$L$1463,$P85)="","",INDEX(MASTER!$L$4:$L$1463,$P85)),""))</f>
        <v>3.2</v>
      </c>
      <c r="K85" s="17">
        <f>IF($P85="","",IFERROR(IF(INDEX(MASTER!$N$4:$N$1463,$P85)="","",INDEX(MASTER!$N$4:$N$1463,$P85)),""))</f>
        <v>25.9</v>
      </c>
      <c r="L85" s="15" t="str">
        <f>IF($P85="","",IFERROR(IF(INDEX(MASTER!$O$4:$O$1463,$P85)="","",INDEX(MASTER!$O$4:$O$1463,$P85)),""))</f>
        <v>C</v>
      </c>
      <c r="M85" s="15">
        <f>IF($P85="","",IFERROR(IF(INDEX(MASTER!$Q$4:$Q$1463,$P85)="","",INDEX(MASTER!$Q$4:$Q$1463,$P85)),""))</f>
        <v>93</v>
      </c>
      <c r="N85" s="15" t="str">
        <f>IF($P85="","",IFERROR(IF(INDEX(MASTER!$S$4:$S$1463,$P85)="","",INDEX(MASTER!$S$4:$S$1463,$P85)),""))</f>
        <v>Complete</v>
      </c>
      <c r="P85">
        <f>IFERROR(MATCH($Q$1&amp;"@77",MASTER!$AC$4:$AC$1463,0),"")</f>
        <v>1112</v>
      </c>
    </row>
    <row r="86" spans="1:16">
      <c r="A86" s="19">
        <f>IF($P86="","",78)</f>
        <v>78</v>
      </c>
      <c r="B86" s="18" t="str">
        <f>IF($P86="","",IFERROR(IF(INDEX(MASTER!$C$4:$C$1463,$P86)="","",INDEX(MASTER!$C$4:$C$1463,$P86)),""))</f>
        <v>Tallinis</v>
      </c>
      <c r="C86" s="19" t="str">
        <f>IF($P86="","",IFERROR(IF(INDEX(MASTER!$D$4:$D$1463,$P86)="","",INDEX(MASTER!$D$4:$D$1463,$P86)),""))</f>
        <v>VENGENCE</v>
      </c>
      <c r="D86" s="19" t="str">
        <f>IF($P86="","",IFERROR(IF(INDEX(MASTER!$E$4:$E$1463,$P86)="","",INDEX(MASTER!$E$4:$E$1463,$P86)),""))</f>
        <v>DEMON HUNTER</v>
      </c>
      <c r="E86" s="19" t="str">
        <f>IF($P86="","",IFERROR(IF(INDEX(MASTER!$F$4:$F$1463,$P86)="","",INDEX(MASTER!$F$4:$F$1463,$P86)),""))</f>
        <v>Ranged DPS</v>
      </c>
      <c r="F86" s="20">
        <f>IF($P86="","",IFERROR(IF(INDEX(MASTER!$G$4:$G$1463,$P86)="","",INDEX(MASTER!$G$4:$G$1463,$P86)),""))</f>
        <v>63213</v>
      </c>
      <c r="G86" s="19" t="str">
        <f>IF($P86="","",IFERROR(IF(INDEX(MASTER!$H$4:$H$1463,$P86)="","",INDEX(MASTER!$H$4:$H$1463,$P86)),""))</f>
        <v>63,000 - 63,999</v>
      </c>
      <c r="H86" s="20">
        <f>IF($P86="","",IFERROR(IF(INDEX(MASTER!$I$4:$I$1463,$P86)="","",INDEX(MASTER!$I$4:$I$1463,$P86)),""))</f>
        <v>4911</v>
      </c>
      <c r="I86" s="19" t="str">
        <f>IF($P86="","",IFERROR(IF(INDEX(MASTER!$J$4:$J$1463,$P86)="","",INDEX(MASTER!$J$4:$J$1463,$P86)),""))</f>
        <v>CORE</v>
      </c>
      <c r="J86" s="21">
        <f>IF($P86="","",IFERROR(IF(INDEX(MASTER!$L$4:$L$1463,$P86)="","",INDEX(MASTER!$L$4:$L$1463,$P86)),""))</f>
        <v>8.1999999999999993</v>
      </c>
      <c r="K86" s="21">
        <f>IF($P86="","",IFERROR(IF(INDEX(MASTER!$N$4:$N$1463,$P86)="","",INDEX(MASTER!$N$4:$N$1463,$P86)),""))</f>
        <v>56.7</v>
      </c>
      <c r="L86" s="19" t="str">
        <f>IF($P86="","",IFERROR(IF(INDEX(MASTER!$O$4:$O$1463,$P86)="","",INDEX(MASTER!$O$4:$O$1463,$P86)),""))</f>
        <v>A</v>
      </c>
      <c r="M86" s="19">
        <f>IF($P86="","",IFERROR(IF(INDEX(MASTER!$Q$4:$Q$1463,$P86)="","",INDEX(MASTER!$Q$4:$Q$1463,$P86)),""))</f>
        <v>16</v>
      </c>
      <c r="N86" s="19" t="str">
        <f>IF($P86="","",IFERROR(IF(INDEX(MASTER!$S$4:$S$1463,$P86)="","",INDEX(MASTER!$S$4:$S$1463,$P86)),""))</f>
        <v>Complete</v>
      </c>
      <c r="P86">
        <f>IFERROR(MATCH($Q$1&amp;"@78",MASTER!$AC$4:$AC$1463,0),"")</f>
        <v>1115</v>
      </c>
    </row>
    <row r="87" spans="1:16">
      <c r="A87" s="15">
        <f>IF($P87="","",79)</f>
        <v>79</v>
      </c>
      <c r="B87" s="14" t="str">
        <f>IF($P87="","",IFERROR(IF(INDEX(MASTER!$C$4:$C$1463,$P87)="","",INDEX(MASTER!$C$4:$C$1463,$P87)),""))</f>
        <v>Tanya2</v>
      </c>
      <c r="C87" s="15" t="str">
        <f>IF($P87="","",IFERROR(IF(INDEX(MASTER!$D$4:$D$1463,$P87)="","",INDEX(MASTER!$D$4:$D$1463,$P87)),""))</f>
        <v>VENGENCE</v>
      </c>
      <c r="D87" s="15" t="str">
        <f>IF($P87="","",IFERROR(IF(INDEX(MASTER!$E$4:$E$1463,$P87)="","",INDEX(MASTER!$E$4:$E$1463,$P87)),""))</f>
        <v>NECROMANCER</v>
      </c>
      <c r="E87" s="15" t="str">
        <f>IF($P87="","",IFERROR(IF(INDEX(MASTER!$F$4:$F$1463,$P87)="","",INDEX(MASTER!$F$4:$F$1463,$P87)),""))</f>
        <v>Control</v>
      </c>
      <c r="F87" s="16">
        <f>IF($P87="","",IFERROR(IF(INDEX(MASTER!$G$4:$G$1463,$P87)="","",INDEX(MASTER!$G$4:$G$1463,$P87)),""))</f>
        <v>62691</v>
      </c>
      <c r="G87" s="15" t="str">
        <f>IF($P87="","",IFERROR(IF(INDEX(MASTER!$H$4:$H$1463,$P87)="","",INDEX(MASTER!$H$4:$H$1463,$P87)),""))</f>
        <v>62,000 - 62,999</v>
      </c>
      <c r="H87" s="16">
        <f>IF($P87="","",IFERROR(IF(INDEX(MASTER!$I$4:$I$1463,$P87)="","",INDEX(MASTER!$I$4:$I$1463,$P87)),""))</f>
        <v>5268</v>
      </c>
      <c r="I87" s="15" t="str">
        <f>IF($P87="","",IFERROR(IF(INDEX(MASTER!$J$4:$J$1463,$P87)="","",INDEX(MASTER!$J$4:$J$1463,$P87)),""))</f>
        <v>CORE</v>
      </c>
      <c r="J87" s="17">
        <f>IF($P87="","",IFERROR(IF(INDEX(MASTER!$L$4:$L$1463,$P87)="","",INDEX(MASTER!$L$4:$L$1463,$P87)),""))</f>
        <v>4.8</v>
      </c>
      <c r="K87" s="17">
        <f>IF($P87="","",IFERROR(IF(INDEX(MASTER!$N$4:$N$1463,$P87)="","",INDEX(MASTER!$N$4:$N$1463,$P87)),""))</f>
        <v>51.2</v>
      </c>
      <c r="L87" s="15" t="str">
        <f>IF($P87="","",IFERROR(IF(INDEX(MASTER!$O$4:$O$1463,$P87)="","",INDEX(MASTER!$O$4:$O$1463,$P87)),""))</f>
        <v>A</v>
      </c>
      <c r="M87" s="15">
        <f>IF($P87="","",IFERROR(IF(INDEX(MASTER!$Q$4:$Q$1463,$P87)="","",INDEX(MASTER!$Q$4:$Q$1463,$P87)),""))</f>
        <v>12</v>
      </c>
      <c r="N87" s="15" t="str">
        <f>IF($P87="","",IFERROR(IF(INDEX(MASTER!$S$4:$S$1463,$P87)="","",INDEX(MASTER!$S$4:$S$1463,$P87)),""))</f>
        <v>Complete</v>
      </c>
      <c r="P87">
        <f>IFERROR(MATCH($Q$1&amp;"@79",MASTER!$AC$4:$AC$1463,0),"")</f>
        <v>1117</v>
      </c>
    </row>
    <row r="88" spans="1:16">
      <c r="A88" s="19">
        <f>IF($P88="","",80)</f>
        <v>80</v>
      </c>
      <c r="B88" s="18" t="str">
        <f>IF($P88="","",IFERROR(IF(INDEX(MASTER!$C$4:$C$1463,$P88)="","",INDEX(MASTER!$C$4:$C$1463,$P88)),""))</f>
        <v>TazMdevil</v>
      </c>
      <c r="C88" s="19" t="str">
        <f>IF($P88="","",IFERROR(IF(INDEX(MASTER!$D$4:$D$1463,$P88)="","",INDEX(MASTER!$D$4:$D$1463,$P88)),""))</f>
        <v>VENGENCE</v>
      </c>
      <c r="D88" s="19" t="str">
        <f>IF($P88="","",IFERROR(IF(INDEX(MASTER!$E$4:$E$1463,$P88)="","",INDEX(MASTER!$E$4:$E$1463,$P88)),""))</f>
        <v>DEMON HUNTER</v>
      </c>
      <c r="E88" s="19" t="str">
        <f>IF($P88="","",IFERROR(IF(INDEX(MASTER!$F$4:$F$1463,$P88)="","",INDEX(MASTER!$F$4:$F$1463,$P88)),""))</f>
        <v>Ranged DPS</v>
      </c>
      <c r="F88" s="20">
        <f>IF($P88="","",IFERROR(IF(INDEX(MASTER!$G$4:$G$1463,$P88)="","",INDEX(MASTER!$G$4:$G$1463,$P88)),""))</f>
        <v>63432</v>
      </c>
      <c r="G88" s="19" t="str">
        <f>IF($P88="","",IFERROR(IF(INDEX(MASTER!$H$4:$H$1463,$P88)="","",INDEX(MASTER!$H$4:$H$1463,$P88)),""))</f>
        <v>63,000 - 63,999</v>
      </c>
      <c r="H88" s="20">
        <f>IF($P88="","",IFERROR(IF(INDEX(MASTER!$I$4:$I$1463,$P88)="","",INDEX(MASTER!$I$4:$I$1463,$P88)),""))</f>
        <v>7544</v>
      </c>
      <c r="I88" s="19" t="str">
        <f>IF($P88="","",IFERROR(IF(INDEX(MASTER!$J$4:$J$1463,$P88)="","",INDEX(MASTER!$J$4:$J$1463,$P88)),""))</f>
        <v>VETERAN</v>
      </c>
      <c r="J88" s="21">
        <f>IF($P88="","",IFERROR(IF(INDEX(MASTER!$L$4:$L$1463,$P88)="","",INDEX(MASTER!$L$4:$L$1463,$P88)),""))</f>
        <v>7.4</v>
      </c>
      <c r="K88" s="21">
        <f>IF($P88="","",IFERROR(IF(INDEX(MASTER!$N$4:$N$1463,$P88)="","",INDEX(MASTER!$N$4:$N$1463,$P88)),""))</f>
        <v>67.5</v>
      </c>
      <c r="L88" s="19" t="str">
        <f>IF($P88="","",IFERROR(IF(INDEX(MASTER!$O$4:$O$1463,$P88)="","",INDEX(MASTER!$O$4:$O$1463,$P88)),""))</f>
        <v>S</v>
      </c>
      <c r="M88" s="19">
        <f>IF($P88="","",IFERROR(IF(INDEX(MASTER!$Q$4:$Q$1463,$P88)="","",INDEX(MASTER!$Q$4:$Q$1463,$P88)),""))</f>
        <v>3</v>
      </c>
      <c r="N88" s="19" t="str">
        <f>IF($P88="","",IFERROR(IF(INDEX(MASTER!$S$4:$S$1463,$P88)="","",INDEX(MASTER!$S$4:$S$1463,$P88)),""))</f>
        <v>Complete</v>
      </c>
      <c r="P88">
        <f>IFERROR(MATCH($Q$1&amp;"@80",MASTER!$AC$4:$AC$1463,0),"")</f>
        <v>1125</v>
      </c>
    </row>
    <row r="89" spans="1:16">
      <c r="A89" s="15">
        <f>IF($P89="","",81)</f>
        <v>81</v>
      </c>
      <c r="B89" s="14" t="str">
        <f>IF($P89="","",IFERROR(IF(INDEX(MASTER!$C$4:$C$1463,$P89)="","",INDEX(MASTER!$C$4:$C$1463,$P89)),""))</f>
        <v>Tessieee</v>
      </c>
      <c r="C89" s="15" t="str">
        <f>IF($P89="","",IFERROR(IF(INDEX(MASTER!$D$4:$D$1463,$P89)="","",INDEX(MASTER!$D$4:$D$1463,$P89)),""))</f>
        <v>VENGENCE</v>
      </c>
      <c r="D89" s="15" t="str">
        <f>IF($P89="","",IFERROR(IF(INDEX(MASTER!$E$4:$E$1463,$P89)="","",INDEX(MASTER!$E$4:$E$1463,$P89)),""))</f>
        <v>DEMON HUNTER</v>
      </c>
      <c r="E89" s="15" t="str">
        <f>IF($P89="","",IFERROR(IF(INDEX(MASTER!$F$4:$F$1463,$P89)="","",INDEX(MASTER!$F$4:$F$1463,$P89)),""))</f>
        <v>Ranged DPS</v>
      </c>
      <c r="F89" s="16">
        <f>IF($P89="","",IFERROR(IF(INDEX(MASTER!$G$4:$G$1463,$P89)="","",INDEX(MASTER!$G$4:$G$1463,$P89)),""))</f>
        <v>61071</v>
      </c>
      <c r="G89" s="15" t="str">
        <f>IF($P89="","",IFERROR(IF(INDEX(MASTER!$H$4:$H$1463,$P89)="","",INDEX(MASTER!$H$4:$H$1463,$P89)),""))</f>
        <v>61,000 - 61,999</v>
      </c>
      <c r="H89" s="16">
        <f>IF($P89="","",IFERROR(IF(INDEX(MASTER!$I$4:$I$1463,$P89)="","",INDEX(MASTER!$I$4:$I$1463,$P89)),""))</f>
        <v>3302</v>
      </c>
      <c r="I89" s="15" t="str">
        <f>IF($P89="","",IFERROR(IF(INDEX(MASTER!$J$4:$J$1463,$P89)="","",INDEX(MASTER!$J$4:$J$1463,$P89)),""))</f>
        <v>DEVELOPING</v>
      </c>
      <c r="J89" s="17">
        <f>IF($P89="","",IFERROR(IF(INDEX(MASTER!$L$4:$L$1463,$P89)="","",INDEX(MASTER!$L$4:$L$1463,$P89)),""))</f>
        <v>3.6</v>
      </c>
      <c r="K89" s="17">
        <f>IF($P89="","",IFERROR(IF(INDEX(MASTER!$N$4:$N$1463,$P89)="","",INDEX(MASTER!$N$4:$N$1463,$P89)),""))</f>
        <v>36.4</v>
      </c>
      <c r="L89" s="15" t="str">
        <f>IF($P89="","",IFERROR(IF(INDEX(MASTER!$O$4:$O$1463,$P89)="","",INDEX(MASTER!$O$4:$O$1463,$P89)),""))</f>
        <v>B</v>
      </c>
      <c r="M89" s="15">
        <f>IF($P89="","",IFERROR(IF(INDEX(MASTER!$Q$4:$Q$1463,$P89)="","",INDEX(MASTER!$Q$4:$Q$1463,$P89)),""))</f>
        <v>50</v>
      </c>
      <c r="N89" s="15" t="str">
        <f>IF($P89="","",IFERROR(IF(INDEX(MASTER!$S$4:$S$1463,$P89)="","",INDEX(MASTER!$S$4:$S$1463,$P89)),""))</f>
        <v>Complete</v>
      </c>
      <c r="P89">
        <f>IFERROR(MATCH($Q$1&amp;"@81",MASTER!$AC$4:$AC$1463,0),"")</f>
        <v>1131</v>
      </c>
    </row>
    <row r="90" spans="1:16">
      <c r="A90" s="19">
        <f>IF($P90="","",82)</f>
        <v>82</v>
      </c>
      <c r="B90" s="18" t="str">
        <f>IF($P90="","",IFERROR(IF(INDEX(MASTER!$C$4:$C$1463,$P90)="","",INDEX(MASTER!$C$4:$C$1463,$P90)),""))</f>
        <v>TheWēakest</v>
      </c>
      <c r="C90" s="19" t="str">
        <f>IF($P90="","",IFERROR(IF(INDEX(MASTER!$D$4:$D$1463,$P90)="","",INDEX(MASTER!$D$4:$D$1463,$P90)),""))</f>
        <v>VENGENCE</v>
      </c>
      <c r="D90" s="19" t="str">
        <f>IF($P90="","",IFERROR(IF(INDEX(MASTER!$E$4:$E$1463,$P90)="","",INDEX(MASTER!$E$4:$E$1463,$P90)),""))</f>
        <v>MONK</v>
      </c>
      <c r="E90" s="19" t="str">
        <f>IF($P90="","",IFERROR(IF(INDEX(MASTER!$F$4:$F$1463,$P90)="","",INDEX(MASTER!$F$4:$F$1463,$P90)),""))</f>
        <v>Support</v>
      </c>
      <c r="F90" s="20">
        <f>IF($P90="","",IFERROR(IF(INDEX(MASTER!$G$4:$G$1463,$P90)="","",INDEX(MASTER!$G$4:$G$1463,$P90)),""))</f>
        <v>63037</v>
      </c>
      <c r="G90" s="19" t="str">
        <f>IF($P90="","",IFERROR(IF(INDEX(MASTER!$H$4:$H$1463,$P90)="","",INDEX(MASTER!$H$4:$H$1463,$P90)),""))</f>
        <v>63,000 - 63,999</v>
      </c>
      <c r="H90" s="20">
        <f>IF($P90="","",IFERROR(IF(INDEX(MASTER!$I$4:$I$1463,$P90)="","",INDEX(MASTER!$I$4:$I$1463,$P90)),""))</f>
        <v>3762</v>
      </c>
      <c r="I90" s="19" t="str">
        <f>IF($P90="","",IFERROR(IF(INDEX(MASTER!$J$4:$J$1463,$P90)="","",INDEX(MASTER!$J$4:$J$1463,$P90)),""))</f>
        <v>DEVELOPING</v>
      </c>
      <c r="J90" s="21">
        <f>IF($P90="","",IFERROR(IF(INDEX(MASTER!$L$4:$L$1463,$P90)="","",INDEX(MASTER!$L$4:$L$1463,$P90)),""))</f>
        <v>5.3</v>
      </c>
      <c r="K90" s="21">
        <f>IF($P90="","",IFERROR(IF(INDEX(MASTER!$N$4:$N$1463,$P90)="","",INDEX(MASTER!$N$4:$N$1463,$P90)),""))</f>
        <v>46.4</v>
      </c>
      <c r="L90" s="19" t="str">
        <f>IF($P90="","",IFERROR(IF(INDEX(MASTER!$O$4:$O$1463,$P90)="","",INDEX(MASTER!$O$4:$O$1463,$P90)),""))</f>
        <v>B</v>
      </c>
      <c r="M90" s="19">
        <f>IF($P90="","",IFERROR(IF(INDEX(MASTER!$Q$4:$Q$1463,$P90)="","",INDEX(MASTER!$Q$4:$Q$1463,$P90)),""))</f>
        <v>38</v>
      </c>
      <c r="N90" s="19" t="str">
        <f>IF($P90="","",IFERROR(IF(INDEX(MASTER!$S$4:$S$1463,$P90)="","",INDEX(MASTER!$S$4:$S$1463,$P90)),""))</f>
        <v>Complete</v>
      </c>
      <c r="P90">
        <f>IFERROR(MATCH($Q$1&amp;"@82",MASTER!$AC$4:$AC$1463,0),"")</f>
        <v>1147</v>
      </c>
    </row>
    <row r="91" spans="1:16">
      <c r="A91" s="15">
        <f>IF($P91="","",83)</f>
        <v>83</v>
      </c>
      <c r="B91" s="14" t="str">
        <f>IF($P91="","",IFERROR(IF(INDEX(MASTER!$C$4:$C$1463,$P91)="","",INDEX(MASTER!$C$4:$C$1463,$P91)),""))</f>
        <v>TigerOn2Wheels</v>
      </c>
      <c r="C91" s="15" t="str">
        <f>IF($P91="","",IFERROR(IF(INDEX(MASTER!$D$4:$D$1463,$P91)="","",INDEX(MASTER!$D$4:$D$1463,$P91)),""))</f>
        <v>VENGENCE</v>
      </c>
      <c r="D91" s="15" t="str">
        <f>IF($P91="","",IFERROR(IF(INDEX(MASTER!$E$4:$E$1463,$P91)="","",INDEX(MASTER!$E$4:$E$1463,$P91)),""))</f>
        <v>DEMON HUNTER</v>
      </c>
      <c r="E91" s="15" t="str">
        <f>IF($P91="","",IFERROR(IF(INDEX(MASTER!$F$4:$F$1463,$P91)="","",INDEX(MASTER!$F$4:$F$1463,$P91)),""))</f>
        <v>Ranged DPS</v>
      </c>
      <c r="F91" s="16">
        <f>IF($P91="","",IFERROR(IF(INDEX(MASTER!$G$4:$G$1463,$P91)="","",INDEX(MASTER!$G$4:$G$1463,$P91)),""))</f>
        <v>63525</v>
      </c>
      <c r="G91" s="15" t="str">
        <f>IF($P91="","",IFERROR(IF(INDEX(MASTER!$H$4:$H$1463,$P91)="","",INDEX(MASTER!$H$4:$H$1463,$P91)),""))</f>
        <v>63,000 - 63,999</v>
      </c>
      <c r="H91" s="16">
        <f>IF($P91="","",IFERROR(IF(INDEX(MASTER!$I$4:$I$1463,$P91)="","",INDEX(MASTER!$I$4:$I$1463,$P91)),""))</f>
        <v>5909</v>
      </c>
      <c r="I91" s="15" t="str">
        <f>IF($P91="","",IFERROR(IF(INDEX(MASTER!$J$4:$J$1463,$P91)="","",INDEX(MASTER!$J$4:$J$1463,$P91)),""))</f>
        <v>CORE</v>
      </c>
      <c r="J91" s="17">
        <f>IF($P91="","",IFERROR(IF(INDEX(MASTER!$L$4:$L$1463,$P91)="","",INDEX(MASTER!$L$4:$L$1463,$P91)),""))</f>
        <v>8.35</v>
      </c>
      <c r="K91" s="17">
        <f>IF($P91="","",IFERROR(IF(INDEX(MASTER!$N$4:$N$1463,$P91)="","",INDEX(MASTER!$N$4:$N$1463,$P91)),""))</f>
        <v>62.1</v>
      </c>
      <c r="L91" s="15" t="str">
        <f>IF($P91="","",IFERROR(IF(INDEX(MASTER!$O$4:$O$1463,$P91)="","",INDEX(MASTER!$O$4:$O$1463,$P91)),""))</f>
        <v>A</v>
      </c>
      <c r="M91" s="15">
        <f>IF($P91="","",IFERROR(IF(INDEX(MASTER!$Q$4:$Q$1463,$P91)="","",INDEX(MASTER!$Q$4:$Q$1463,$P91)),""))</f>
        <v>7</v>
      </c>
      <c r="N91" s="15" t="str">
        <f>IF($P91="","",IFERROR(IF(INDEX(MASTER!$S$4:$S$1463,$P91)="","",INDEX(MASTER!$S$4:$S$1463,$P91)),""))</f>
        <v>Complete</v>
      </c>
      <c r="P91">
        <f>IFERROR(MATCH($Q$1&amp;"@83",MASTER!$AC$4:$AC$1463,0),"")</f>
        <v>1151</v>
      </c>
    </row>
    <row r="92" spans="1:16">
      <c r="A92" s="19">
        <f>IF($P92="","",84)</f>
        <v>84</v>
      </c>
      <c r="B92" s="18" t="str">
        <f>IF($P92="","",IFERROR(IF(INDEX(MASTER!$C$4:$C$1463,$P92)="","",INDEX(MASTER!$C$4:$C$1463,$P92)),""))</f>
        <v>trailertrasher</v>
      </c>
      <c r="C92" s="19" t="str">
        <f>IF($P92="","",IFERROR(IF(INDEX(MASTER!$D$4:$D$1463,$P92)="","",INDEX(MASTER!$D$4:$D$1463,$P92)),""))</f>
        <v>VENGENCE</v>
      </c>
      <c r="D92" s="19" t="str">
        <f>IF($P92="","",IFERROR(IF(INDEX(MASTER!$E$4:$E$1463,$P92)="","",INDEX(MASTER!$E$4:$E$1463,$P92)),""))</f>
        <v>TEMPEST</v>
      </c>
      <c r="E92" s="19" t="str">
        <f>IF($P92="","",IFERROR(IF(INDEX(MASTER!$F$4:$F$1463,$P92)="","",INDEX(MASTER!$F$4:$F$1463,$P92)),""))</f>
        <v>Melee DPS</v>
      </c>
      <c r="F92" s="20">
        <f>IF($P92="","",IFERROR(IF(INDEX(MASTER!$G$4:$G$1463,$P92)="","",INDEX(MASTER!$G$4:$G$1463,$P92)),""))</f>
        <v>60289</v>
      </c>
      <c r="G92" s="19" t="str">
        <f>IF($P92="","",IFERROR(IF(INDEX(MASTER!$H$4:$H$1463,$P92)="","",INDEX(MASTER!$H$4:$H$1463,$P92)),""))</f>
        <v>60,000 - 60,999</v>
      </c>
      <c r="H92" s="20">
        <f>IF($P92="","",IFERROR(IF(INDEX(MASTER!$I$4:$I$1463,$P92)="","",INDEX(MASTER!$I$4:$I$1463,$P92)),""))</f>
        <v>3172</v>
      </c>
      <c r="I92" s="19" t="str">
        <f>IF($P92="","",IFERROR(IF(INDEX(MASTER!$J$4:$J$1463,$P92)="","",INDEX(MASTER!$J$4:$J$1463,$P92)),""))</f>
        <v>DEVELOPING</v>
      </c>
      <c r="J92" s="21">
        <f>IF($P92="","",IFERROR(IF(INDEX(MASTER!$L$4:$L$1463,$P92)="","",INDEX(MASTER!$L$4:$L$1463,$P92)),""))</f>
        <v>3.35</v>
      </c>
      <c r="K92" s="21">
        <f>IF($P92="","",IFERROR(IF(INDEX(MASTER!$N$4:$N$1463,$P92)="","",INDEX(MASTER!$N$4:$N$1463,$P92)),""))</f>
        <v>33.299999999999997</v>
      </c>
      <c r="L92" s="19" t="str">
        <f>IF($P92="","",IFERROR(IF(INDEX(MASTER!$O$4:$O$1463,$P92)="","",INDEX(MASTER!$O$4:$O$1463,$P92)),""))</f>
        <v>C</v>
      </c>
      <c r="M92" s="19">
        <f>IF($P92="","",IFERROR(IF(INDEX(MASTER!$Q$4:$Q$1463,$P92)="","",INDEX(MASTER!$Q$4:$Q$1463,$P92)),""))</f>
        <v>55</v>
      </c>
      <c r="N92" s="19" t="str">
        <f>IF($P92="","",IFERROR(IF(INDEX(MASTER!$S$4:$S$1463,$P92)="","",INDEX(MASTER!$S$4:$S$1463,$P92)),""))</f>
        <v>Complete</v>
      </c>
      <c r="P92">
        <f>IFERROR(MATCH($Q$1&amp;"@84",MASTER!$AC$4:$AC$1463,0),"")</f>
        <v>1167</v>
      </c>
    </row>
    <row r="93" spans="1:16">
      <c r="A93" s="15">
        <f>IF($P93="","",85)</f>
        <v>85</v>
      </c>
      <c r="B93" s="14" t="str">
        <f>IF($P93="","",IFERROR(IF(INDEX(MASTER!$C$4:$C$1463,$P93)="","",INDEX(MASTER!$C$4:$C$1463,$P93)),""))</f>
        <v>Valenai</v>
      </c>
      <c r="C93" s="15" t="str">
        <f>IF($P93="","",IFERROR(IF(INDEX(MASTER!$D$4:$D$1463,$P93)="","",INDEX(MASTER!$D$4:$D$1463,$P93)),""))</f>
        <v>VENGENCE</v>
      </c>
      <c r="D93" s="15" t="str">
        <f>IF($P93="","",IFERROR(IF(INDEX(MASTER!$E$4:$E$1463,$P93)="","",INDEX(MASTER!$E$4:$E$1463,$P93)),""))</f>
        <v>WIZARD</v>
      </c>
      <c r="E93" s="15" t="str">
        <f>IF($P93="","",IFERROR(IF(INDEX(MASTER!$F$4:$F$1463,$P93)="","",INDEX(MASTER!$F$4:$F$1463,$P93)),""))</f>
        <v>Ranged DPS</v>
      </c>
      <c r="F93" s="16">
        <f>IF($P93="","",IFERROR(IF(INDEX(MASTER!$G$4:$G$1463,$P93)="","",INDEX(MASTER!$G$4:$G$1463,$P93)),""))</f>
        <v>63211</v>
      </c>
      <c r="G93" s="15" t="str">
        <f>IF($P93="","",IFERROR(IF(INDEX(MASTER!$H$4:$H$1463,$P93)="","",INDEX(MASTER!$H$4:$H$1463,$P93)),""))</f>
        <v>63,000 - 63,999</v>
      </c>
      <c r="H93" s="16">
        <f>IF($P93="","",IFERROR(IF(INDEX(MASTER!$I$4:$I$1463,$P93)="","",INDEX(MASTER!$I$4:$I$1463,$P93)),""))</f>
        <v>5626</v>
      </c>
      <c r="I93" s="15" t="str">
        <f>IF($P93="","",IFERROR(IF(INDEX(MASTER!$J$4:$J$1463,$P93)="","",INDEX(MASTER!$J$4:$J$1463,$P93)),""))</f>
        <v>CORE</v>
      </c>
      <c r="J93" s="17">
        <f>IF($P93="","",IFERROR(IF(INDEX(MASTER!$L$4:$L$1463,$P93)="","",INDEX(MASTER!$L$4:$L$1463,$P93)),""))</f>
        <v>6.5</v>
      </c>
      <c r="K93" s="17">
        <f>IF($P93="","",IFERROR(IF(INDEX(MASTER!$N$4:$N$1463,$P93)="","",INDEX(MASTER!$N$4:$N$1463,$P93)),""))</f>
        <v>57</v>
      </c>
      <c r="L93" s="15" t="str">
        <f>IF($P93="","",IFERROR(IF(INDEX(MASTER!$O$4:$O$1463,$P93)="","",INDEX(MASTER!$O$4:$O$1463,$P93)),""))</f>
        <v>A</v>
      </c>
      <c r="M93" s="15">
        <f>IF($P93="","",IFERROR(IF(INDEX(MASTER!$Q$4:$Q$1463,$P93)="","",INDEX(MASTER!$Q$4:$Q$1463,$P93)),""))</f>
        <v>10</v>
      </c>
      <c r="N93" s="15" t="str">
        <f>IF($P93="","",IFERROR(IF(INDEX(MASTER!$S$4:$S$1463,$P93)="","",INDEX(MASTER!$S$4:$S$1463,$P93)),""))</f>
        <v>Complete</v>
      </c>
      <c r="P93">
        <f>IFERROR(MATCH($Q$1&amp;"@85",MASTER!$AC$4:$AC$1463,0),"")</f>
        <v>1204</v>
      </c>
    </row>
    <row r="94" spans="1:16">
      <c r="A94" s="19">
        <f>IF($P94="","",86)</f>
        <v>86</v>
      </c>
      <c r="B94" s="18" t="str">
        <f>IF($P94="","",IFERROR(IF(INDEX(MASTER!$C$4:$C$1463,$P94)="","",INDEX(MASTER!$C$4:$C$1463,$P94)),""))</f>
        <v>Valta7</v>
      </c>
      <c r="C94" s="19" t="str">
        <f>IF($P94="","",IFERROR(IF(INDEX(MASTER!$D$4:$D$1463,$P94)="","",INDEX(MASTER!$D$4:$D$1463,$P94)),""))</f>
        <v>VENGENCE</v>
      </c>
      <c r="D94" s="19" t="str">
        <f>IF($P94="","",IFERROR(IF(INDEX(MASTER!$E$4:$E$1463,$P94)="","",INDEX(MASTER!$E$4:$E$1463,$P94)),""))</f>
        <v>BARBARIAN</v>
      </c>
      <c r="E94" s="19" t="str">
        <f>IF($P94="","",IFERROR(IF(INDEX(MASTER!$F$4:$F$1463,$P94)="","",INDEX(MASTER!$F$4:$F$1463,$P94)),""))</f>
        <v>Frontline</v>
      </c>
      <c r="F94" s="20">
        <f>IF($P94="","",IFERROR(IF(INDEX(MASTER!$G$4:$G$1463,$P94)="","",INDEX(MASTER!$G$4:$G$1463,$P94)),""))</f>
        <v>63189</v>
      </c>
      <c r="G94" s="19" t="str">
        <f>IF($P94="","",IFERROR(IF(INDEX(MASTER!$H$4:$H$1463,$P94)="","",INDEX(MASTER!$H$4:$H$1463,$P94)),""))</f>
        <v>63,000 - 63,999</v>
      </c>
      <c r="H94" s="20">
        <f>IF($P94="","",IFERROR(IF(INDEX(MASTER!$I$4:$I$1463,$P94)="","",INDEX(MASTER!$I$4:$I$1463,$P94)),""))</f>
        <v>5330</v>
      </c>
      <c r="I94" s="19" t="str">
        <f>IF($P94="","",IFERROR(IF(INDEX(MASTER!$J$4:$J$1463,$P94)="","",INDEX(MASTER!$J$4:$J$1463,$P94)),""))</f>
        <v>CORE</v>
      </c>
      <c r="J94" s="21">
        <f>IF($P94="","",IFERROR(IF(INDEX(MASTER!$L$4:$L$1463,$P94)="","",INDEX(MASTER!$L$4:$L$1463,$P94)),""))</f>
        <v>5.8</v>
      </c>
      <c r="K94" s="21">
        <f>IF($P94="","",IFERROR(IF(INDEX(MASTER!$N$4:$N$1463,$P94)="","",INDEX(MASTER!$N$4:$N$1463,$P94)),""))</f>
        <v>54.5</v>
      </c>
      <c r="L94" s="19" t="str">
        <f>IF($P94="","",IFERROR(IF(INDEX(MASTER!$O$4:$O$1463,$P94)="","",INDEX(MASTER!$O$4:$O$1463,$P94)),""))</f>
        <v>A</v>
      </c>
      <c r="M94" s="19">
        <f>IF($P94="","",IFERROR(IF(INDEX(MASTER!$Q$4:$Q$1463,$P94)="","",INDEX(MASTER!$Q$4:$Q$1463,$P94)),""))</f>
        <v>11</v>
      </c>
      <c r="N94" s="19" t="str">
        <f>IF($P94="","",IFERROR(IF(INDEX(MASTER!$S$4:$S$1463,$P94)="","",INDEX(MASTER!$S$4:$S$1463,$P94)),""))</f>
        <v>Complete</v>
      </c>
      <c r="P94">
        <f>IFERROR(MATCH($Q$1&amp;"@86",MASTER!$AC$4:$AC$1463,0),"")</f>
        <v>1206</v>
      </c>
    </row>
    <row r="95" spans="1:16">
      <c r="A95" s="15">
        <f>IF($P95="","",87)</f>
        <v>87</v>
      </c>
      <c r="B95" s="14" t="str">
        <f>IF($P95="","",IFERROR(IF(INDEX(MASTER!$C$4:$C$1463,$P95)="","",INDEX(MASTER!$C$4:$C$1463,$P95)),""))</f>
        <v>Veggie-1</v>
      </c>
      <c r="C95" s="15" t="str">
        <f>IF($P95="","",IFERROR(IF(INDEX(MASTER!$D$4:$D$1463,$P95)="","",INDEX(MASTER!$D$4:$D$1463,$P95)),""))</f>
        <v>VENGENCE</v>
      </c>
      <c r="D95" s="15" t="str">
        <f>IF($P95="","",IFERROR(IF(INDEX(MASTER!$E$4:$E$1463,$P95)="","",INDEX(MASTER!$E$4:$E$1463,$P95)),""))</f>
        <v>WARLOCK</v>
      </c>
      <c r="E95" s="15" t="str">
        <f>IF($P95="","",IFERROR(IF(INDEX(MASTER!$F$4:$F$1463,$P95)="","",INDEX(MASTER!$F$4:$F$1463,$P95)),""))</f>
        <v>Control</v>
      </c>
      <c r="F95" s="16">
        <f>IF($P95="","",IFERROR(IF(INDEX(MASTER!$G$4:$G$1463,$P95)="","",INDEX(MASTER!$G$4:$G$1463,$P95)),""))</f>
        <v>61604</v>
      </c>
      <c r="G95" s="15" t="str">
        <f>IF($P95="","",IFERROR(IF(INDEX(MASTER!$H$4:$H$1463,$P95)="","",INDEX(MASTER!$H$4:$H$1463,$P95)),""))</f>
        <v>61,000 - 61,999</v>
      </c>
      <c r="H95" s="16">
        <f>IF($P95="","",IFERROR(IF(INDEX(MASTER!$I$4:$I$1463,$P95)="","",INDEX(MASTER!$I$4:$I$1463,$P95)),""))</f>
        <v>2472</v>
      </c>
      <c r="I95" s="15" t="str">
        <f>IF($P95="","",IFERROR(IF(INDEX(MASTER!$J$4:$J$1463,$P95)="","",INDEX(MASTER!$J$4:$J$1463,$P95)),""))</f>
        <v>DEVELOPING</v>
      </c>
      <c r="J95" s="17">
        <f>IF($P95="","",IFERROR(IF(INDEX(MASTER!$L$4:$L$1463,$P95)="","",INDEX(MASTER!$L$4:$L$1463,$P95)),""))</f>
        <v>3.8</v>
      </c>
      <c r="K95" s="17">
        <f>IF($P95="","",IFERROR(IF(INDEX(MASTER!$N$4:$N$1463,$P95)="","",INDEX(MASTER!$N$4:$N$1463,$P95)),""))</f>
        <v>34.5</v>
      </c>
      <c r="L95" s="15" t="str">
        <f>IF($P95="","",IFERROR(IF(INDEX(MASTER!$O$4:$O$1463,$P95)="","",INDEX(MASTER!$O$4:$O$1463,$P95)),""))</f>
        <v>C</v>
      </c>
      <c r="M95" s="15">
        <f>IF($P95="","",IFERROR(IF(INDEX(MASTER!$Q$4:$Q$1463,$P95)="","",INDEX(MASTER!$Q$4:$Q$1463,$P95)),""))</f>
        <v>73</v>
      </c>
      <c r="N95" s="15" t="str">
        <f>IF($P95="","",IFERROR(IF(INDEX(MASTER!$S$4:$S$1463,$P95)="","",INDEX(MASTER!$S$4:$S$1463,$P95)),""))</f>
        <v>Complete</v>
      </c>
      <c r="P95">
        <f>IFERROR(MATCH($Q$1&amp;"@87",MASTER!$AC$4:$AC$1463,0),"")</f>
        <v>1214</v>
      </c>
    </row>
    <row r="96" spans="1:16">
      <c r="A96" s="19">
        <f>IF($P96="","",88)</f>
        <v>88</v>
      </c>
      <c r="B96" s="18" t="str">
        <f>IF($P96="","",IFERROR(IF(INDEX(MASTER!$C$4:$C$1463,$P96)="","",INDEX(MASTER!$C$4:$C$1463,$P96)),""))</f>
        <v>Wizstryker</v>
      </c>
      <c r="C96" s="19" t="str">
        <f>IF($P96="","",IFERROR(IF(INDEX(MASTER!$D$4:$D$1463,$P96)="","",INDEX(MASTER!$D$4:$D$1463,$P96)),""))</f>
        <v>VENGENCE</v>
      </c>
      <c r="D96" s="19" t="str">
        <f>IF($P96="","",IFERROR(IF(INDEX(MASTER!$E$4:$E$1463,$P96)="","",INDEX(MASTER!$E$4:$E$1463,$P96)),""))</f>
        <v>WARLOCK</v>
      </c>
      <c r="E96" s="19" t="str">
        <f>IF($P96="","",IFERROR(IF(INDEX(MASTER!$F$4:$F$1463,$P96)="","",INDEX(MASTER!$F$4:$F$1463,$P96)),""))</f>
        <v>Control</v>
      </c>
      <c r="F96" s="20">
        <f>IF($P96="","",IFERROR(IF(INDEX(MASTER!$G$4:$G$1463,$P96)="","",INDEX(MASTER!$G$4:$G$1463,$P96)),""))</f>
        <v>61630</v>
      </c>
      <c r="G96" s="19" t="str">
        <f>IF($P96="","",IFERROR(IF(INDEX(MASTER!$H$4:$H$1463,$P96)="","",INDEX(MASTER!$H$4:$H$1463,$P96)),""))</f>
        <v>61,000 - 61,999</v>
      </c>
      <c r="H96" s="20">
        <f>IF($P96="","",IFERROR(IF(INDEX(MASTER!$I$4:$I$1463,$P96)="","",INDEX(MASTER!$I$4:$I$1463,$P96)),""))</f>
        <v>3002</v>
      </c>
      <c r="I96" s="19" t="str">
        <f>IF($P96="","",IFERROR(IF(INDEX(MASTER!$J$4:$J$1463,$P96)="","",INDEX(MASTER!$J$4:$J$1463,$P96)),""))</f>
        <v>DEVELOPING</v>
      </c>
      <c r="J96" s="21">
        <f>IF($P96="","",IFERROR(IF(INDEX(MASTER!$L$4:$L$1463,$P96)="","",INDEX(MASTER!$L$4:$L$1463,$P96)),""))</f>
        <v>3.75</v>
      </c>
      <c r="K96" s="21">
        <f>IF($P96="","",IFERROR(IF(INDEX(MASTER!$N$4:$N$1463,$P96)="","",INDEX(MASTER!$N$4:$N$1463,$P96)),""))</f>
        <v>36.799999999999997</v>
      </c>
      <c r="L96" s="19" t="str">
        <f>IF($P96="","",IFERROR(IF(INDEX(MASTER!$O$4:$O$1463,$P96)="","",INDEX(MASTER!$O$4:$O$1463,$P96)),""))</f>
        <v>B</v>
      </c>
      <c r="M96" s="19">
        <f>IF($P96="","",IFERROR(IF(INDEX(MASTER!$Q$4:$Q$1463,$P96)="","",INDEX(MASTER!$Q$4:$Q$1463,$P96)),""))</f>
        <v>57</v>
      </c>
      <c r="N96" s="19" t="str">
        <f>IF($P96="","",IFERROR(IF(INDEX(MASTER!$S$4:$S$1463,$P96)="","",INDEX(MASTER!$S$4:$S$1463,$P96)),""))</f>
        <v>Complete</v>
      </c>
      <c r="P96">
        <f>IFERROR(MATCH($Q$1&amp;"@88",MASTER!$AC$4:$AC$1463,0),"")</f>
        <v>1263</v>
      </c>
    </row>
    <row r="97" spans="1:16">
      <c r="A97" s="15">
        <f>IF($P97="","",89)</f>
        <v>89</v>
      </c>
      <c r="B97" s="14" t="str">
        <f>IF($P97="","",IFERROR(IF(INDEX(MASTER!$C$4:$C$1463,$P97)="","",INDEX(MASTER!$C$4:$C$1463,$P97)),""))</f>
        <v>WraithDareDevil</v>
      </c>
      <c r="C97" s="15" t="str">
        <f>IF($P97="","",IFERROR(IF(INDEX(MASTER!$D$4:$D$1463,$P97)="","",INDEX(MASTER!$D$4:$D$1463,$P97)),""))</f>
        <v>VENGENCE</v>
      </c>
      <c r="D97" s="15" t="str">
        <f>IF($P97="","",IFERROR(IF(INDEX(MASTER!$E$4:$E$1463,$P97)="","",INDEX(MASTER!$E$4:$E$1463,$P97)),""))</f>
        <v>DEMON HUNTER</v>
      </c>
      <c r="E97" s="15" t="str">
        <f>IF($P97="","",IFERROR(IF(INDEX(MASTER!$F$4:$F$1463,$P97)="","",INDEX(MASTER!$F$4:$F$1463,$P97)),""))</f>
        <v>Ranged DPS</v>
      </c>
      <c r="F97" s="16">
        <f>IF($P97="","",IFERROR(IF(INDEX(MASTER!$G$4:$G$1463,$P97)="","",INDEX(MASTER!$G$4:$G$1463,$P97)),""))</f>
        <v>61236</v>
      </c>
      <c r="G97" s="15" t="str">
        <f>IF($P97="","",IFERROR(IF(INDEX(MASTER!$H$4:$H$1463,$P97)="","",INDEX(MASTER!$H$4:$H$1463,$P97)),""))</f>
        <v>61,000 - 61,999</v>
      </c>
      <c r="H97" s="16">
        <f>IF($P97="","",IFERROR(IF(INDEX(MASTER!$I$4:$I$1463,$P97)="","",INDEX(MASTER!$I$4:$I$1463,$P97)),""))</f>
        <v>2039</v>
      </c>
      <c r="I97" s="15" t="str">
        <f>IF($P97="","",IFERROR(IF(INDEX(MASTER!$J$4:$J$1463,$P97)="","",INDEX(MASTER!$J$4:$J$1463,$P97)),""))</f>
        <v>DEVELOPING</v>
      </c>
      <c r="J97" s="17">
        <f>IF($P97="","",IFERROR(IF(INDEX(MASTER!$L$4:$L$1463,$P97)="","",INDEX(MASTER!$L$4:$L$1463,$P97)),""))</f>
        <v>3.45</v>
      </c>
      <c r="K97" s="17">
        <f>IF($P97="","",IFERROR(IF(INDEX(MASTER!$N$4:$N$1463,$P97)="","",INDEX(MASTER!$N$4:$N$1463,$P97)),""))</f>
        <v>31.1</v>
      </c>
      <c r="L97" s="15" t="str">
        <f>IF($P97="","",IFERROR(IF(INDEX(MASTER!$O$4:$O$1463,$P97)="","",INDEX(MASTER!$O$4:$O$1463,$P97)),""))</f>
        <v>C</v>
      </c>
      <c r="M97" s="15">
        <f>IF($P97="","",IFERROR(IF(INDEX(MASTER!$Q$4:$Q$1463,$P97)="","",INDEX(MASTER!$Q$4:$Q$1463,$P97)),""))</f>
        <v>84</v>
      </c>
      <c r="N97" s="15" t="str">
        <f>IF($P97="","",IFERROR(IF(INDEX(MASTER!$S$4:$S$1463,$P97)="","",INDEX(MASTER!$S$4:$S$1463,$P97)),""))</f>
        <v>Complete</v>
      </c>
      <c r="P97">
        <f>IFERROR(MATCH($Q$1&amp;"@89",MASTER!$AC$4:$AC$1463,0),"")</f>
        <v>1265</v>
      </c>
    </row>
    <row r="98" spans="1:16">
      <c r="A98" s="19">
        <f>IF($P98="","",90)</f>
        <v>90</v>
      </c>
      <c r="B98" s="18" t="str">
        <f>IF($P98="","",IFERROR(IF(INDEX(MASTER!$C$4:$C$1463,$P98)="","",INDEX(MASTER!$C$4:$C$1463,$P98)),""))</f>
        <v>Xangelx</v>
      </c>
      <c r="C98" s="19" t="str">
        <f>IF($P98="","",IFERROR(IF(INDEX(MASTER!$D$4:$D$1463,$P98)="","",INDEX(MASTER!$D$4:$D$1463,$P98)),""))</f>
        <v>VENGENCE</v>
      </c>
      <c r="D98" s="19" t="str">
        <f>IF($P98="","",IFERROR(IF(INDEX(MASTER!$E$4:$E$1463,$P98)="","",INDEX(MASTER!$E$4:$E$1463,$P98)),""))</f>
        <v>NECROMANCER</v>
      </c>
      <c r="E98" s="19" t="str">
        <f>IF($P98="","",IFERROR(IF(INDEX(MASTER!$F$4:$F$1463,$P98)="","",INDEX(MASTER!$F$4:$F$1463,$P98)),""))</f>
        <v>Control</v>
      </c>
      <c r="F98" s="20">
        <f>IF($P98="","",IFERROR(IF(INDEX(MASTER!$G$4:$G$1463,$P98)="","",INDEX(MASTER!$G$4:$G$1463,$P98)),""))</f>
        <v>60542</v>
      </c>
      <c r="G98" s="19" t="str">
        <f>IF($P98="","",IFERROR(IF(INDEX(MASTER!$H$4:$H$1463,$P98)="","",INDEX(MASTER!$H$4:$H$1463,$P98)),""))</f>
        <v>60,000 - 60,999</v>
      </c>
      <c r="H98" s="20">
        <f>IF($P98="","",IFERROR(IF(INDEX(MASTER!$I$4:$I$1463,$P98)="","",INDEX(MASTER!$I$4:$I$1463,$P98)),""))</f>
        <v>1588</v>
      </c>
      <c r="I98" s="19" t="str">
        <f>IF($P98="","",IFERROR(IF(INDEX(MASTER!$J$4:$J$1463,$P98)="","",INDEX(MASTER!$J$4:$J$1463,$P98)),""))</f>
        <v>ROOKIE</v>
      </c>
      <c r="J98" s="21">
        <f>IF($P98="","",IFERROR(IF(INDEX(MASTER!$L$4:$L$1463,$P98)="","",INDEX(MASTER!$L$4:$L$1463,$P98)),""))</f>
        <v>2.9</v>
      </c>
      <c r="K98" s="21">
        <f>IF($P98="","",IFERROR(IF(INDEX(MASTER!$N$4:$N$1463,$P98)="","",INDEX(MASTER!$N$4:$N$1463,$P98)),""))</f>
        <v>26.3</v>
      </c>
      <c r="L98" s="19" t="str">
        <f>IF($P98="","",IFERROR(IF(INDEX(MASTER!$O$4:$O$1463,$P98)="","",INDEX(MASTER!$O$4:$O$1463,$P98)),""))</f>
        <v>C</v>
      </c>
      <c r="M98" s="19">
        <f>IF($P98="","",IFERROR(IF(INDEX(MASTER!$Q$4:$Q$1463,$P98)="","",INDEX(MASTER!$Q$4:$Q$1463,$P98)),""))</f>
        <v>92</v>
      </c>
      <c r="N98" s="19" t="str">
        <f>IF($P98="","",IFERROR(IF(INDEX(MASTER!$S$4:$S$1463,$P98)="","",INDEX(MASTER!$S$4:$S$1463,$P98)),""))</f>
        <v>Complete</v>
      </c>
      <c r="P98">
        <f>IFERROR(MATCH($Q$1&amp;"@90",MASTER!$AC$4:$AC$1463,0),"")</f>
        <v>1274</v>
      </c>
    </row>
    <row r="99" spans="1:16">
      <c r="A99" s="15">
        <f>IF($P99="","",91)</f>
        <v>91</v>
      </c>
      <c r="B99" s="14" t="str">
        <f>IF($P99="","",IFERROR(IF(INDEX(MASTER!$C$4:$C$1463,$P99)="","",INDEX(MASTER!$C$4:$C$1463,$P99)),""))</f>
        <v>Xarcia</v>
      </c>
      <c r="C99" s="15" t="str">
        <f>IF($P99="","",IFERROR(IF(INDEX(MASTER!$D$4:$D$1463,$P99)="","",INDEX(MASTER!$D$4:$D$1463,$P99)),""))</f>
        <v>VENGENCE</v>
      </c>
      <c r="D99" s="15" t="str">
        <f>IF($P99="","",IFERROR(IF(INDEX(MASTER!$E$4:$E$1463,$P99)="","",INDEX(MASTER!$E$4:$E$1463,$P99)),""))</f>
        <v>WARLOCK</v>
      </c>
      <c r="E99" s="15" t="str">
        <f>IF($P99="","",IFERROR(IF(INDEX(MASTER!$F$4:$F$1463,$P99)="","",INDEX(MASTER!$F$4:$F$1463,$P99)),""))</f>
        <v>Control</v>
      </c>
      <c r="F99" s="16">
        <f>IF($P99="","",IFERROR(IF(INDEX(MASTER!$G$4:$G$1463,$P99)="","",INDEX(MASTER!$G$4:$G$1463,$P99)),""))</f>
        <v>61592</v>
      </c>
      <c r="G99" s="15" t="str">
        <f>IF($P99="","",IFERROR(IF(INDEX(MASTER!$H$4:$H$1463,$P99)="","",INDEX(MASTER!$H$4:$H$1463,$P99)),""))</f>
        <v>61,000 - 61,999</v>
      </c>
      <c r="H99" s="16">
        <f>IF($P99="","",IFERROR(IF(INDEX(MASTER!$I$4:$I$1463,$P99)="","",INDEX(MASTER!$I$4:$I$1463,$P99)),""))</f>
        <v>1717</v>
      </c>
      <c r="I99" s="15" t="str">
        <f>IF($P99="","",IFERROR(IF(INDEX(MASTER!$J$4:$J$1463,$P99)="","",INDEX(MASTER!$J$4:$J$1463,$P99)),""))</f>
        <v>ROOKIE</v>
      </c>
      <c r="J99" s="17">
        <f>IF($P99="","",IFERROR(IF(INDEX(MASTER!$L$4:$L$1463,$P99)="","",INDEX(MASTER!$L$4:$L$1463,$P99)),""))</f>
        <v>3.45</v>
      </c>
      <c r="K99" s="17">
        <f>IF($P99="","",IFERROR(IF(INDEX(MASTER!$N$4:$N$1463,$P99)="","",INDEX(MASTER!$N$4:$N$1463,$P99)),""))</f>
        <v>30.6</v>
      </c>
      <c r="L99" s="15" t="str">
        <f>IF($P99="","",IFERROR(IF(INDEX(MASTER!$O$4:$O$1463,$P99)="","",INDEX(MASTER!$O$4:$O$1463,$P99)),""))</f>
        <v>C</v>
      </c>
      <c r="M99" s="15">
        <f>IF($P99="","",IFERROR(IF(INDEX(MASTER!$Q$4:$Q$1463,$P99)="","",INDEX(MASTER!$Q$4:$Q$1463,$P99)),""))</f>
        <v>88</v>
      </c>
      <c r="N99" s="15" t="str">
        <f>IF($P99="","",IFERROR(IF(INDEX(MASTER!$S$4:$S$1463,$P99)="","",INDEX(MASTER!$S$4:$S$1463,$P99)),""))</f>
        <v>Complete</v>
      </c>
      <c r="P99">
        <f>IFERROR(MATCH($Q$1&amp;"@91",MASTER!$AC$4:$AC$1463,0),"")</f>
        <v>1275</v>
      </c>
    </row>
    <row r="100" spans="1:16">
      <c r="A100" s="19">
        <f>IF($P100="","",92)</f>
        <v>92</v>
      </c>
      <c r="B100" s="18" t="str">
        <f>IF($P100="","",IFERROR(IF(INDEX(MASTER!$C$4:$C$1463,$P100)="","",INDEX(MASTER!$C$4:$C$1463,$P100)),""))</f>
        <v>Xithea</v>
      </c>
      <c r="C100" s="19" t="str">
        <f>IF($P100="","",IFERROR(IF(INDEX(MASTER!$D$4:$D$1463,$P100)="","",INDEX(MASTER!$D$4:$D$1463,$P100)),""))</f>
        <v>VENGENCE</v>
      </c>
      <c r="D100" s="19" t="str">
        <f>IF($P100="","",IFERROR(IF(INDEX(MASTER!$E$4:$E$1463,$P100)="","",INDEX(MASTER!$E$4:$E$1463,$P100)),""))</f>
        <v>WIZARD</v>
      </c>
      <c r="E100" s="19" t="str">
        <f>IF($P100="","",IFERROR(IF(INDEX(MASTER!$F$4:$F$1463,$P100)="","",INDEX(MASTER!$F$4:$F$1463,$P100)),""))</f>
        <v>Ranged DPS</v>
      </c>
      <c r="F100" s="20">
        <f>IF($P100="","",IFERROR(IF(INDEX(MASTER!$G$4:$G$1463,$P100)="","",INDEX(MASTER!$G$4:$G$1463,$P100)),""))</f>
        <v>63051</v>
      </c>
      <c r="G100" s="19" t="str">
        <f>IF($P100="","",IFERROR(IF(INDEX(MASTER!$H$4:$H$1463,$P100)="","",INDEX(MASTER!$H$4:$H$1463,$P100)),""))</f>
        <v>63,000 - 63,999</v>
      </c>
      <c r="H100" s="20">
        <f>IF($P100="","",IFERROR(IF(INDEX(MASTER!$I$4:$I$1463,$P100)="","",INDEX(MASTER!$I$4:$I$1463,$P100)),""))</f>
        <v>4884</v>
      </c>
      <c r="I100" s="19" t="str">
        <f>IF($P100="","",IFERROR(IF(INDEX(MASTER!$J$4:$J$1463,$P100)="","",INDEX(MASTER!$J$4:$J$1463,$P100)),""))</f>
        <v>CORE</v>
      </c>
      <c r="J100" s="21">
        <f>IF($P100="","",IFERROR(IF(INDEX(MASTER!$L$4:$L$1463,$P100)="","",INDEX(MASTER!$L$4:$L$1463,$P100)),""))</f>
        <v>4.8</v>
      </c>
      <c r="K100" s="21">
        <f>IF($P100="","",IFERROR(IF(INDEX(MASTER!$N$4:$N$1463,$P100)="","",INDEX(MASTER!$N$4:$N$1463,$P100)),""))</f>
        <v>50.5</v>
      </c>
      <c r="L100" s="19" t="str">
        <f>IF($P100="","",IFERROR(IF(INDEX(MASTER!$O$4:$O$1463,$P100)="","",INDEX(MASTER!$O$4:$O$1463,$P100)),""))</f>
        <v>A</v>
      </c>
      <c r="M100" s="19">
        <f>IF($P100="","",IFERROR(IF(INDEX(MASTER!$Q$4:$Q$1463,$P100)="","",INDEX(MASTER!$Q$4:$Q$1463,$P100)),""))</f>
        <v>18</v>
      </c>
      <c r="N100" s="19" t="str">
        <f>IF($P100="","",IFERROR(IF(INDEX(MASTER!$S$4:$S$1463,$P100)="","",INDEX(MASTER!$S$4:$S$1463,$P100)),""))</f>
        <v>Complete</v>
      </c>
      <c r="P100">
        <f>IFERROR(MATCH($Q$1&amp;"@92",MASTER!$AC$4:$AC$1463,0),"")</f>
        <v>1283</v>
      </c>
    </row>
    <row r="101" spans="1:16">
      <c r="A101" s="15">
        <f>IF($P101="","",93)</f>
        <v>93</v>
      </c>
      <c r="B101" s="14" t="str">
        <f>IF($P101="","",IFERROR(IF(INDEX(MASTER!$C$4:$C$1463,$P101)="","",INDEX(MASTER!$C$4:$C$1463,$P101)),""))</f>
        <v>Y o o o H o o o</v>
      </c>
      <c r="C101" s="15" t="str">
        <f>IF($P101="","",IFERROR(IF(INDEX(MASTER!$D$4:$D$1463,$P101)="","",INDEX(MASTER!$D$4:$D$1463,$P101)),""))</f>
        <v>VENGENCE</v>
      </c>
      <c r="D101" s="15" t="str">
        <f>IF($P101="","",IFERROR(IF(INDEX(MASTER!$E$4:$E$1463,$P101)="","",INDEX(MASTER!$E$4:$E$1463,$P101)),""))</f>
        <v>DEMON HUNTER</v>
      </c>
      <c r="E101" s="15" t="str">
        <f>IF($P101="","",IFERROR(IF(INDEX(MASTER!$F$4:$F$1463,$P101)="","",INDEX(MASTER!$F$4:$F$1463,$P101)),""))</f>
        <v>Ranged DPS</v>
      </c>
      <c r="F101" s="16">
        <f>IF($P101="","",IFERROR(IF(INDEX(MASTER!$G$4:$G$1463,$P101)="","",INDEX(MASTER!$G$4:$G$1463,$P101)),""))</f>
        <v>63107</v>
      </c>
      <c r="G101" s="15" t="str">
        <f>IF($P101="","",IFERROR(IF(INDEX(MASTER!$H$4:$H$1463,$P101)="","",INDEX(MASTER!$H$4:$H$1463,$P101)),""))</f>
        <v>63,000 - 63,999</v>
      </c>
      <c r="H101" s="16">
        <f>IF($P101="","",IFERROR(IF(INDEX(MASTER!$I$4:$I$1463,$P101)="","",INDEX(MASTER!$I$4:$I$1463,$P101)),""))</f>
        <v>4022</v>
      </c>
      <c r="I101" s="15" t="str">
        <f>IF($P101="","",IFERROR(IF(INDEX(MASTER!$J$4:$J$1463,$P101)="","",INDEX(MASTER!$J$4:$J$1463,$P101)),""))</f>
        <v>CORE</v>
      </c>
      <c r="J101" s="17">
        <f>IF($P101="","",IFERROR(IF(INDEX(MASTER!$L$4:$L$1463,$P101)="","",INDEX(MASTER!$L$4:$L$1463,$P101)),""))</f>
        <v>5.35</v>
      </c>
      <c r="K101" s="17">
        <f>IF($P101="","",IFERROR(IF(INDEX(MASTER!$N$4:$N$1463,$P101)="","",INDEX(MASTER!$N$4:$N$1463,$P101)),""))</f>
        <v>47.8</v>
      </c>
      <c r="L101" s="15" t="str">
        <f>IF($P101="","",IFERROR(IF(INDEX(MASTER!$O$4:$O$1463,$P101)="","",INDEX(MASTER!$O$4:$O$1463,$P101)),""))</f>
        <v>B</v>
      </c>
      <c r="M101" s="15">
        <f>IF($P101="","",IFERROR(IF(INDEX(MASTER!$Q$4:$Q$1463,$P101)="","",INDEX(MASTER!$Q$4:$Q$1463,$P101)),""))</f>
        <v>33</v>
      </c>
      <c r="N101" s="15" t="str">
        <f>IF($P101="","",IFERROR(IF(INDEX(MASTER!$S$4:$S$1463,$P101)="","",INDEX(MASTER!$S$4:$S$1463,$P101)),""))</f>
        <v>Complete</v>
      </c>
      <c r="P101">
        <f>IFERROR(MATCH($Q$1&amp;"@93",MASTER!$AC$4:$AC$1463,0),"")</f>
        <v>1295</v>
      </c>
    </row>
    <row r="102" spans="1:16">
      <c r="A102" s="19">
        <f>IF($P102="","",94)</f>
        <v>94</v>
      </c>
      <c r="B102" s="18" t="str">
        <f>IF($P102="","",IFERROR(IF(INDEX(MASTER!$C$4:$C$1463,$P102)="","",INDEX(MASTER!$C$4:$C$1463,$P102)),""))</f>
        <v>Yakumaru</v>
      </c>
      <c r="C102" s="19" t="str">
        <f>IF($P102="","",IFERROR(IF(INDEX(MASTER!$D$4:$D$1463,$P102)="","",INDEX(MASTER!$D$4:$D$1463,$P102)),""))</f>
        <v>VENGENCE</v>
      </c>
      <c r="D102" s="19" t="str">
        <f>IF($P102="","",IFERROR(IF(INDEX(MASTER!$E$4:$E$1463,$P102)="","",INDEX(MASTER!$E$4:$E$1463,$P102)),""))</f>
        <v>DEMON HUNTER</v>
      </c>
      <c r="E102" s="19" t="str">
        <f>IF($P102="","",IFERROR(IF(INDEX(MASTER!$F$4:$F$1463,$P102)="","",INDEX(MASTER!$F$4:$F$1463,$P102)),""))</f>
        <v>Ranged DPS</v>
      </c>
      <c r="F102" s="20">
        <f>IF($P102="","",IFERROR(IF(INDEX(MASTER!$G$4:$G$1463,$P102)="","",INDEX(MASTER!$G$4:$G$1463,$P102)),""))</f>
        <v>63732</v>
      </c>
      <c r="G102" s="19" t="str">
        <f>IF($P102="","",IFERROR(IF(INDEX(MASTER!$H$4:$H$1463,$P102)="","",INDEX(MASTER!$H$4:$H$1463,$P102)),""))</f>
        <v>63,000 - 63,999</v>
      </c>
      <c r="H102" s="20">
        <f>IF($P102="","",IFERROR(IF(INDEX(MASTER!$I$4:$I$1463,$P102)="","",INDEX(MASTER!$I$4:$I$1463,$P102)),""))</f>
        <v>7574</v>
      </c>
      <c r="I102" s="19" t="str">
        <f>IF($P102="","",IFERROR(IF(INDEX(MASTER!$J$4:$J$1463,$P102)="","",INDEX(MASTER!$J$4:$J$1463,$P102)),""))</f>
        <v>VETERAN</v>
      </c>
      <c r="J102" s="21">
        <f>IF($P102="","",IFERROR(IF(INDEX(MASTER!$L$4:$L$1463,$P102)="","",INDEX(MASTER!$L$4:$L$1463,$P102)),""))</f>
        <v>9.5500000000000007</v>
      </c>
      <c r="K102" s="21">
        <f>IF($P102="","",IFERROR(IF(INDEX(MASTER!$N$4:$N$1463,$P102)="","",INDEX(MASTER!$N$4:$N$1463,$P102)),""))</f>
        <v>72</v>
      </c>
      <c r="L102" s="19" t="str">
        <f>IF($P102="","",IFERROR(IF(INDEX(MASTER!$O$4:$O$1463,$P102)="","",INDEX(MASTER!$O$4:$O$1463,$P102)),""))</f>
        <v>S</v>
      </c>
      <c r="M102" s="19">
        <f>IF($P102="","",IFERROR(IF(INDEX(MASTER!$Q$4:$Q$1463,$P102)="","",INDEX(MASTER!$Q$4:$Q$1463,$P102)),""))</f>
        <v>2</v>
      </c>
      <c r="N102" s="19" t="str">
        <f>IF($P102="","",IFERROR(IF(INDEX(MASTER!$S$4:$S$1463,$P102)="","",INDEX(MASTER!$S$4:$S$1463,$P102)),""))</f>
        <v>Complete</v>
      </c>
      <c r="P102">
        <f>IFERROR(MATCH($Q$1&amp;"@94",MASTER!$AC$4:$AC$1463,0),"")</f>
        <v>1297</v>
      </c>
    </row>
    <row r="103" spans="1:16">
      <c r="A103" s="15">
        <f>IF($P103="","",95)</f>
        <v>95</v>
      </c>
      <c r="B103" s="14" t="str">
        <f>IF($P103="","",IFERROR(IF(INDEX(MASTER!$C$4:$C$1463,$P103)="","",INDEX(MASTER!$C$4:$C$1463,$P103)),""))</f>
        <v>Zhaki</v>
      </c>
      <c r="C103" s="15" t="str">
        <f>IF($P103="","",IFERROR(IF(INDEX(MASTER!$D$4:$D$1463,$P103)="","",INDEX(MASTER!$D$4:$D$1463,$P103)),""))</f>
        <v>VENGENCE</v>
      </c>
      <c r="D103" s="15" t="str">
        <f>IF($P103="","",IFERROR(IF(INDEX(MASTER!$E$4:$E$1463,$P103)="","",INDEX(MASTER!$E$4:$E$1463,$P103)),""))</f>
        <v>BARBARIAN</v>
      </c>
      <c r="E103" s="15" t="str">
        <f>IF($P103="","",IFERROR(IF(INDEX(MASTER!$F$4:$F$1463,$P103)="","",INDEX(MASTER!$F$4:$F$1463,$P103)),""))</f>
        <v>Frontline</v>
      </c>
      <c r="F103" s="16">
        <f>IF($P103="","",IFERROR(IF(INDEX(MASTER!$G$4:$G$1463,$P103)="","",INDEX(MASTER!$G$4:$G$1463,$P103)),""))</f>
        <v>62673</v>
      </c>
      <c r="G103" s="15" t="str">
        <f>IF($P103="","",IFERROR(IF(INDEX(MASTER!$H$4:$H$1463,$P103)="","",INDEX(MASTER!$H$4:$H$1463,$P103)),""))</f>
        <v>62,000 - 62,999</v>
      </c>
      <c r="H103" s="16">
        <f>IF($P103="","",IFERROR(IF(INDEX(MASTER!$I$4:$I$1463,$P103)="","",INDEX(MASTER!$I$4:$I$1463,$P103)),""))</f>
        <v>4213</v>
      </c>
      <c r="I103" s="15" t="str">
        <f>IF($P103="","",IFERROR(IF(INDEX(MASTER!$J$4:$J$1463,$P103)="","",INDEX(MASTER!$J$4:$J$1463,$P103)),""))</f>
        <v>CORE</v>
      </c>
      <c r="J103" s="17">
        <f>IF($P103="","",IFERROR(IF(INDEX(MASTER!$L$4:$L$1463,$P103)="","",INDEX(MASTER!$L$4:$L$1463,$P103)),""))</f>
        <v>5.0999999999999996</v>
      </c>
      <c r="K103" s="17">
        <f>IF($P103="","",IFERROR(IF(INDEX(MASTER!$N$4:$N$1463,$P103)="","",INDEX(MASTER!$N$4:$N$1463,$P103)),""))</f>
        <v>47.1</v>
      </c>
      <c r="L103" s="15" t="str">
        <f>IF($P103="","",IFERROR(IF(INDEX(MASTER!$O$4:$O$1463,$P103)="","",INDEX(MASTER!$O$4:$O$1463,$P103)),""))</f>
        <v>B</v>
      </c>
      <c r="M103" s="15">
        <f>IF($P103="","",IFERROR(IF(INDEX(MASTER!$Q$4:$Q$1463,$P103)="","",INDEX(MASTER!$Q$4:$Q$1463,$P103)),""))</f>
        <v>28</v>
      </c>
      <c r="N103" s="15" t="str">
        <f>IF($P103="","",IFERROR(IF(INDEX(MASTER!$S$4:$S$1463,$P103)="","",INDEX(MASTER!$S$4:$S$1463,$P103)),""))</f>
        <v>Complete</v>
      </c>
      <c r="P103">
        <f>IFERROR(MATCH($Q$1&amp;"@95",MASTER!$AC$4:$AC$1463,0),"")</f>
        <v>1321</v>
      </c>
    </row>
    <row r="104" spans="1:16">
      <c r="A104" s="19">
        <f>IF($P104="","",96)</f>
        <v>96</v>
      </c>
      <c r="B104" s="18" t="str">
        <f>IF($P104="","",IFERROR(IF(INDEX(MASTER!$C$4:$C$1463,$P104)="","",INDEX(MASTER!$C$4:$C$1463,$P104)),""))</f>
        <v>ラレン</v>
      </c>
      <c r="C104" s="19" t="str">
        <f>IF($P104="","",IFERROR(IF(INDEX(MASTER!$D$4:$D$1463,$P104)="","",INDEX(MASTER!$D$4:$D$1463,$P104)),""))</f>
        <v>VENGENCE</v>
      </c>
      <c r="D104" s="19" t="str">
        <f>IF($P104="","",IFERROR(IF(INDEX(MASTER!$E$4:$E$1463,$P104)="","",INDEX(MASTER!$E$4:$E$1463,$P104)),""))</f>
        <v>TEMPEST</v>
      </c>
      <c r="E104" s="19" t="str">
        <f>IF($P104="","",IFERROR(IF(INDEX(MASTER!$F$4:$F$1463,$P104)="","",INDEX(MASTER!$F$4:$F$1463,$P104)),""))</f>
        <v>Melee DPS</v>
      </c>
      <c r="F104" s="20">
        <f>IF($P104="","",IFERROR(IF(INDEX(MASTER!$G$4:$G$1463,$P104)="","",INDEX(MASTER!$G$4:$G$1463,$P104)),""))</f>
        <v>59722</v>
      </c>
      <c r="G104" s="19" t="str">
        <f>IF($P104="","",IFERROR(IF(INDEX(MASTER!$H$4:$H$1463,$P104)="","",INDEX(MASTER!$H$4:$H$1463,$P104)),""))</f>
        <v>58,000 - 59,999</v>
      </c>
      <c r="H104" s="20">
        <f>IF($P104="","",IFERROR(IF(INDEX(MASTER!$I$4:$I$1463,$P104)="","",INDEX(MASTER!$I$4:$I$1463,$P104)),""))</f>
        <v>2450</v>
      </c>
      <c r="I104" s="19" t="str">
        <f>IF($P104="","",IFERROR(IF(INDEX(MASTER!$J$4:$J$1463,$P104)="","",INDEX(MASTER!$J$4:$J$1463,$P104)),""))</f>
        <v>DEVELOPING</v>
      </c>
      <c r="J104" s="21">
        <f>IF($P104="","",IFERROR(IF(INDEX(MASTER!$L$4:$L$1463,$P104)="","",INDEX(MASTER!$L$4:$L$1463,$P104)),""))</f>
        <v>4.45</v>
      </c>
      <c r="K104" s="21">
        <f>IF($P104="","",IFERROR(IF(INDEX(MASTER!$N$4:$N$1463,$P104)="","",INDEX(MASTER!$N$4:$N$1463,$P104)),""))</f>
        <v>30.5</v>
      </c>
      <c r="L104" s="19" t="str">
        <f>IF($P104="","",IFERROR(IF(INDEX(MASTER!$O$4:$O$1463,$P104)="","",INDEX(MASTER!$O$4:$O$1463,$P104)),""))</f>
        <v>C</v>
      </c>
      <c r="M104" s="19">
        <f>IF($P104="","",IFERROR(IF(INDEX(MASTER!$Q$4:$Q$1463,$P104)="","",INDEX(MASTER!$Q$4:$Q$1463,$P104)),""))</f>
        <v>74</v>
      </c>
      <c r="N104" s="19" t="str">
        <f>IF($P104="","",IFERROR(IF(INDEX(MASTER!$S$4:$S$1463,$P104)="","",INDEX(MASTER!$S$4:$S$1463,$P104)),""))</f>
        <v>Complete</v>
      </c>
      <c r="P104">
        <f>IFERROR(MATCH($Q$1&amp;"@96",MASTER!$AC$4:$AC$1463,0),"")</f>
        <v>1355</v>
      </c>
    </row>
    <row r="105" spans="1:16">
      <c r="A105" s="15" t="str">
        <f>IF($P105="","",97)</f>
        <v/>
      </c>
      <c r="B105" s="14" t="str">
        <f>IF($P105="","",IFERROR(IF(INDEX(MASTER!$C$4:$C$1463,$P105)="","",INDEX(MASTER!$C$4:$C$1463,$P105)),""))</f>
        <v/>
      </c>
      <c r="C105" s="15" t="str">
        <f>IF($P105="","",IFERROR(IF(INDEX(MASTER!$D$4:$D$1463,$P105)="","",INDEX(MASTER!$D$4:$D$1463,$P105)),""))</f>
        <v/>
      </c>
      <c r="D105" s="15" t="str">
        <f>IF($P105="","",IFERROR(IF(INDEX(MASTER!$E$4:$E$1463,$P105)="","",INDEX(MASTER!$E$4:$E$1463,$P105)),""))</f>
        <v/>
      </c>
      <c r="E105" s="15" t="str">
        <f>IF($P105="","",IFERROR(IF(INDEX(MASTER!$F$4:$F$1463,$P105)="","",INDEX(MASTER!$F$4:$F$1463,$P105)),""))</f>
        <v/>
      </c>
      <c r="F105" s="16" t="str">
        <f>IF($P105="","",IFERROR(IF(INDEX(MASTER!$G$4:$G$1463,$P105)="","",INDEX(MASTER!$G$4:$G$1463,$P105)),""))</f>
        <v/>
      </c>
      <c r="G105" s="15" t="str">
        <f>IF($P105="","",IFERROR(IF(INDEX(MASTER!$H$4:$H$1463,$P105)="","",INDEX(MASTER!$H$4:$H$1463,$P105)),""))</f>
        <v/>
      </c>
      <c r="H105" s="16" t="str">
        <f>IF($P105="","",IFERROR(IF(INDEX(MASTER!$I$4:$I$1463,$P105)="","",INDEX(MASTER!$I$4:$I$1463,$P105)),""))</f>
        <v/>
      </c>
      <c r="I105" s="15" t="str">
        <f>IF($P105="","",IFERROR(IF(INDEX(MASTER!$J$4:$J$1463,$P105)="","",INDEX(MASTER!$J$4:$J$1463,$P105)),""))</f>
        <v/>
      </c>
      <c r="J105" s="17" t="str">
        <f>IF($P105="","",IFERROR(IF(INDEX(MASTER!$L$4:$L$1463,$P105)="","",INDEX(MASTER!$L$4:$L$1463,$P105)),""))</f>
        <v/>
      </c>
      <c r="K105" s="17" t="str">
        <f>IF($P105="","",IFERROR(IF(INDEX(MASTER!$N$4:$N$1463,$P105)="","",INDEX(MASTER!$N$4:$N$1463,$P105)),""))</f>
        <v/>
      </c>
      <c r="L105" s="15" t="str">
        <f>IF($P105="","",IFERROR(IF(INDEX(MASTER!$O$4:$O$1463,$P105)="","",INDEX(MASTER!$O$4:$O$1463,$P105)),""))</f>
        <v/>
      </c>
      <c r="M105" s="15" t="str">
        <f>IF($P105="","",IFERROR(IF(INDEX(MASTER!$Q$4:$Q$1463,$P105)="","",INDEX(MASTER!$Q$4:$Q$1463,$P105)),""))</f>
        <v/>
      </c>
      <c r="N105" s="15" t="str">
        <f>IF($P105="","",IFERROR(IF(INDEX(MASTER!$S$4:$S$1463,$P105)="","",INDEX(MASTER!$S$4:$S$1463,$P105)),""))</f>
        <v/>
      </c>
      <c r="P105" t="str">
        <f>IFERROR(MATCH($Q$1&amp;"@97",MASTER!$AC$4:$AC$1463,0),"")</f>
        <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2" spans="1:16" ht="19.5" customHeight="1">
      <c r="B132" s="91" t="s">
        <v>488</v>
      </c>
      <c r="C132" s="91"/>
      <c r="D132" s="91"/>
      <c r="E132" s="91"/>
      <c r="F132" s="91"/>
      <c r="G132" s="91"/>
    </row>
    <row r="133" spans="1:16" ht="27.75" customHeight="1">
      <c r="B133" s="108" t="s">
        <v>68</v>
      </c>
      <c r="C133" s="108"/>
      <c r="D133" s="13" t="s">
        <v>69</v>
      </c>
      <c r="E133" s="13" t="s">
        <v>64</v>
      </c>
      <c r="F133" s="13" t="s">
        <v>50</v>
      </c>
      <c r="G133" s="13" t="s">
        <v>51</v>
      </c>
    </row>
    <row r="134" spans="1:16">
      <c r="B134" s="105" t="s">
        <v>71</v>
      </c>
      <c r="C134" s="105"/>
      <c r="D134" s="20" t="str">
        <f>IFERROR(INDEX(SETUP!$B$55:$B$64,MATCH($B134,SETUP!$A$55:$A$64,0)),"-")</f>
        <v>Frontline</v>
      </c>
      <c r="E134" s="20">
        <f>COUNTIFS(MASTER!$B:$B,$Q$1,MASTER!$E:$E,$B134)</f>
        <v>8</v>
      </c>
      <c r="F134" s="20">
        <f>IFERROR(ROUND(AVERAGEIFS(MASTER!$I:$I,MASTER!$B:$B,$Q$1,MASTER!$E:$E,$B134),0),"-")</f>
        <v>5050</v>
      </c>
      <c r="G134" s="20">
        <f>IF($E134=0,"-",IFERROR(_xlfn.MAXIFS(MASTER!$I:$I,MASTER!$B:$B,$Q$1,MASTER!$E:$E,$B134),"-"))</f>
        <v>7759</v>
      </c>
    </row>
    <row r="135" spans="1:16">
      <c r="B135" s="106" t="s">
        <v>72</v>
      </c>
      <c r="C135" s="106"/>
      <c r="D135" s="16" t="str">
        <f>IFERROR(INDEX(SETUP!$B$55:$B$64,MATCH($B135,SETUP!$A$55:$A$64,0)),"-")</f>
        <v>Frontline</v>
      </c>
      <c r="E135" s="16">
        <f>COUNTIFS(MASTER!$B:$B,$Q$1,MASTER!$E:$E,$B135)</f>
        <v>6</v>
      </c>
      <c r="F135" s="16">
        <f>IFERROR(ROUND(AVERAGEIFS(MASTER!$I:$I,MASTER!$B:$B,$Q$1,MASTER!$E:$E,$B135),0),"-")</f>
        <v>2882</v>
      </c>
      <c r="G135" s="16">
        <f>IF($E135=0,"-",IFERROR(_xlfn.MAXIFS(MASTER!$I:$I,MASTER!$B:$B,$Q$1,MASTER!$E:$E,$B135),"-"))</f>
        <v>4291</v>
      </c>
    </row>
    <row r="136" spans="1:16">
      <c r="B136" s="105" t="s">
        <v>73</v>
      </c>
      <c r="C136" s="105"/>
      <c r="D136" s="20" t="str">
        <f>IFERROR(INDEX(SETUP!$B$55:$B$64,MATCH($B136,SETUP!$A$55:$A$64,0)),"-")</f>
        <v>Frontline</v>
      </c>
      <c r="E136" s="20">
        <f>COUNTIFS(MASTER!$B:$B,$Q$1,MASTER!$E:$E,$B136)</f>
        <v>10</v>
      </c>
      <c r="F136" s="20">
        <f>IFERROR(ROUND(AVERAGEIFS(MASTER!$I:$I,MASTER!$B:$B,$Q$1,MASTER!$E:$E,$B136),0),"-")</f>
        <v>3393</v>
      </c>
      <c r="G136" s="20">
        <f>IF($E136=0,"-",IFERROR(_xlfn.MAXIFS(MASTER!$I:$I,MASTER!$B:$B,$Q$1,MASTER!$E:$E,$B136),"-"))</f>
        <v>6380</v>
      </c>
    </row>
    <row r="137" spans="1:16">
      <c r="B137" s="106" t="s">
        <v>74</v>
      </c>
      <c r="C137" s="106"/>
      <c r="D137" s="16" t="str">
        <f>IFERROR(INDEX(SETUP!$B$55:$B$64,MATCH($B137,SETUP!$A$55:$A$64,0)),"-")</f>
        <v>Ranged DPS</v>
      </c>
      <c r="E137" s="16">
        <f>COUNTIFS(MASTER!$B:$B,$Q$1,MASTER!$E:$E,$B137)</f>
        <v>18</v>
      </c>
      <c r="F137" s="16">
        <f>IFERROR(ROUND(AVERAGEIFS(MASTER!$I:$I,MASTER!$B:$B,$Q$1,MASTER!$E:$E,$B137),0),"-")</f>
        <v>4041</v>
      </c>
      <c r="G137" s="16">
        <f>IF($E137=0,"-",IFERROR(_xlfn.MAXIFS(MASTER!$I:$I,MASTER!$B:$B,$Q$1,MASTER!$E:$E,$B137),"-"))</f>
        <v>7574</v>
      </c>
    </row>
    <row r="138" spans="1:16">
      <c r="B138" s="105" t="s">
        <v>75</v>
      </c>
      <c r="C138" s="105"/>
      <c r="D138" s="20" t="str">
        <f>IFERROR(INDEX(SETUP!$B$55:$B$64,MATCH($B138,SETUP!$A$55:$A$64,0)),"-")</f>
        <v>Support</v>
      </c>
      <c r="E138" s="20">
        <f>COUNTIFS(MASTER!$B:$B,$Q$1,MASTER!$E:$E,$B138)</f>
        <v>6</v>
      </c>
      <c r="F138" s="20">
        <f>IFERROR(ROUND(AVERAGEIFS(MASTER!$I:$I,MASTER!$B:$B,$Q$1,MASTER!$E:$E,$B138),0),"-")</f>
        <v>3464</v>
      </c>
      <c r="G138" s="20">
        <f>IF($E138=0,"-",IFERROR(_xlfn.MAXIFS(MASTER!$I:$I,MASTER!$B:$B,$Q$1,MASTER!$E:$E,$B138),"-"))</f>
        <v>5114</v>
      </c>
    </row>
    <row r="139" spans="1:16">
      <c r="B139" s="106" t="s">
        <v>76</v>
      </c>
      <c r="C139" s="106"/>
      <c r="D139" s="16" t="str">
        <f>IFERROR(INDEX(SETUP!$B$55:$B$64,MATCH($B139,SETUP!$A$55:$A$64,0)),"-")</f>
        <v>Support</v>
      </c>
      <c r="E139" s="16">
        <f>COUNTIFS(MASTER!$B:$B,$Q$1,MASTER!$E:$E,$B139)</f>
        <v>3</v>
      </c>
      <c r="F139" s="16">
        <f>IFERROR(ROUND(AVERAGEIFS(MASTER!$I:$I,MASTER!$B:$B,$Q$1,MASTER!$E:$E,$B139),0),"-")</f>
        <v>3694</v>
      </c>
      <c r="G139" s="16">
        <f>IF($E139=0,"-",IFERROR(_xlfn.MAXIFS(MASTER!$I:$I,MASTER!$B:$B,$Q$1,MASTER!$E:$E,$B139),"-"))</f>
        <v>4517</v>
      </c>
    </row>
    <row r="140" spans="1:16">
      <c r="B140" s="105" t="s">
        <v>77</v>
      </c>
      <c r="C140" s="105"/>
      <c r="D140" s="20" t="str">
        <f>IFERROR(INDEX(SETUP!$B$55:$B$64,MATCH($B140,SETUP!$A$55:$A$64,0)),"-")</f>
        <v>Control</v>
      </c>
      <c r="E140" s="20">
        <f>COUNTIFS(MASTER!$B:$B,$Q$1,MASTER!$E:$E,$B140)</f>
        <v>8</v>
      </c>
      <c r="F140" s="20">
        <f>IFERROR(ROUND(AVERAGEIFS(MASTER!$I:$I,MASTER!$B:$B,$Q$1,MASTER!$E:$E,$B140),0),"-")</f>
        <v>2477</v>
      </c>
      <c r="G140" s="20">
        <f>IF($E140=0,"-",IFERROR(_xlfn.MAXIFS(MASTER!$I:$I,MASTER!$B:$B,$Q$1,MASTER!$E:$E,$B140),"-"))</f>
        <v>5268</v>
      </c>
    </row>
    <row r="141" spans="1:16">
      <c r="B141" s="106" t="s">
        <v>78</v>
      </c>
      <c r="C141" s="106"/>
      <c r="D141" s="16" t="str">
        <f>IFERROR(INDEX(SETUP!$B$55:$B$64,MATCH($B141,SETUP!$A$55:$A$64,0)),"-")</f>
        <v>Melee DPS</v>
      </c>
      <c r="E141" s="16">
        <f>COUNTIFS(MASTER!$B:$B,$Q$1,MASTER!$E:$E,$B141)</f>
        <v>5</v>
      </c>
      <c r="F141" s="16">
        <f>IFERROR(ROUND(AVERAGEIFS(MASTER!$I:$I,MASTER!$B:$B,$Q$1,MASTER!$E:$E,$B141),0),"-")</f>
        <v>3412</v>
      </c>
      <c r="G141" s="16">
        <f>IF($E141=0,"-",IFERROR(_xlfn.MAXIFS(MASTER!$I:$I,MASTER!$B:$B,$Q$1,MASTER!$E:$E,$B141),"-"))</f>
        <v>5185</v>
      </c>
    </row>
    <row r="142" spans="1:16">
      <c r="B142" s="105" t="s">
        <v>79</v>
      </c>
      <c r="C142" s="105"/>
      <c r="D142" s="20" t="str">
        <f>IFERROR(INDEX(SETUP!$B$55:$B$64,MATCH($B142,SETUP!$A$55:$A$64,0)),"-")</f>
        <v>Control</v>
      </c>
      <c r="E142" s="20">
        <f>COUNTIFS(MASTER!$B:$B,$Q$1,MASTER!$E:$E,$B142)</f>
        <v>22</v>
      </c>
      <c r="F142" s="20">
        <f>IFERROR(ROUND(AVERAGEIFS(MASTER!$I:$I,MASTER!$B:$B,$Q$1,MASTER!$E:$E,$B142),0),"-")</f>
        <v>3343</v>
      </c>
      <c r="G142" s="20">
        <f>IF($E142=0,"-",IFERROR(_xlfn.MAXIFS(MASTER!$I:$I,MASTER!$B:$B,$Q$1,MASTER!$E:$E,$B142),"-"))</f>
        <v>6757</v>
      </c>
    </row>
    <row r="143" spans="1:16">
      <c r="B143" s="106" t="s">
        <v>80</v>
      </c>
      <c r="C143" s="106"/>
      <c r="D143" s="16" t="str">
        <f>IFERROR(INDEX(SETUP!$B$55:$B$64,MATCH($B143,SETUP!$A$55:$A$64,0)),"-")</f>
        <v>Ranged DPS</v>
      </c>
      <c r="E143" s="16">
        <f>COUNTIFS(MASTER!$B:$B,$Q$1,MASTER!$E:$E,$B143)</f>
        <v>8</v>
      </c>
      <c r="F143" s="16">
        <f>IFERROR(ROUND(AVERAGEIFS(MASTER!$I:$I,MASTER!$B:$B,$Q$1,MASTER!$E:$E,$B143),0),"-")</f>
        <v>4011</v>
      </c>
      <c r="G143" s="16">
        <f>IF($E143=0,"-",IFERROR(_xlfn.MAXIFS(MASTER!$I:$I,MASTER!$B:$B,$Q$1,MASTER!$E:$E,$B143),"-"))</f>
        <v>5626</v>
      </c>
    </row>
  </sheetData>
  <autoFilter ref="A8:N129" xr:uid="{00000000-0009-0000-0000-000014000000}"/>
  <mergeCells count="29">
    <mergeCell ref="A1:N1"/>
    <mergeCell ref="A2:N2"/>
    <mergeCell ref="A4:B4"/>
    <mergeCell ref="C4:D4"/>
    <mergeCell ref="E4:F4"/>
    <mergeCell ref="G4:H4"/>
    <mergeCell ref="I4:J4"/>
    <mergeCell ref="K4:L4"/>
    <mergeCell ref="M4:N4"/>
    <mergeCell ref="K5:L5"/>
    <mergeCell ref="M5:N5"/>
    <mergeCell ref="A7:N7"/>
    <mergeCell ref="B132:G132"/>
    <mergeCell ref="B133:C133"/>
    <mergeCell ref="A5:B5"/>
    <mergeCell ref="C5:D5"/>
    <mergeCell ref="E5:F5"/>
    <mergeCell ref="G5:H5"/>
    <mergeCell ref="I5:J5"/>
    <mergeCell ref="B134:C134"/>
    <mergeCell ref="B135:C135"/>
    <mergeCell ref="B136:C136"/>
    <mergeCell ref="B137:C137"/>
    <mergeCell ref="B138:C138"/>
    <mergeCell ref="B139:C139"/>
    <mergeCell ref="B140:C140"/>
    <mergeCell ref="B141:C141"/>
    <mergeCell ref="B142:C142"/>
    <mergeCell ref="B143:C143"/>
  </mergeCells>
  <conditionalFormatting sqref="H9:H129">
    <cfRule type="colorScale" priority="2">
      <colorScale>
        <cfvo type="num" val="0"/>
        <cfvo type="num" val="5000"/>
        <cfvo type="num" val="12600"/>
        <color rgb="FFF8CBAD"/>
        <color rgb="FFFFE699"/>
        <color rgb="FFA9D08E"/>
      </colorScale>
    </cfRule>
  </conditionalFormatting>
  <conditionalFormatting sqref="N9:N129">
    <cfRule type="cellIs" dxfId="4"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3" evalError="1" twoDigitTextYear="1" numberStoredAsText="1" formula="1" formulaRange="1" unlockedFormula="1" emptyCellReference="1" listDataValidation="1" calculatedColumn="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030A0"/>
    <pageSetUpPr fitToPage="1"/>
  </sheetPr>
  <dimension ref="A1:Q141"/>
  <sheetViews>
    <sheetView showGridLines="0" zoomScaleNormal="100" workbookViewId="0">
      <pane xSplit="1" ySplit="8" topLeftCell="B9" activePane="bottomRight" state="frozen"/>
      <selection pane="topRight" activeCell="B1" sqref="B1"/>
      <selection pane="bottomLeft" activeCell="A9" sqref="A9"/>
      <selection pane="bottomRight" sqref="A1:N1"/>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500</v>
      </c>
      <c r="B1" s="92"/>
      <c r="C1" s="92"/>
      <c r="D1" s="92"/>
      <c r="E1" s="92"/>
      <c r="F1" s="92"/>
      <c r="G1" s="92"/>
      <c r="H1" s="92"/>
      <c r="I1" s="92"/>
      <c r="J1" s="92"/>
      <c r="K1" s="92"/>
      <c r="L1" s="92"/>
      <c r="M1" s="92"/>
      <c r="N1" s="92"/>
      <c r="Q1" t="s">
        <v>117</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94</v>
      </c>
      <c r="B5" s="95"/>
      <c r="C5" s="95">
        <f>COUNTIFS(MASTER!$B:$B,$Q$1,MASTER!$S:$S,"Complete")</f>
        <v>93</v>
      </c>
      <c r="D5" s="95"/>
      <c r="E5" s="95">
        <f>IFERROR(ROUND(AVERAGEIFS(MASTER!$I:$I,MASTER!$B:$B,$Q$1),0),"-")</f>
        <v>2098</v>
      </c>
      <c r="F5" s="95"/>
      <c r="G5" s="95">
        <f>IFERROR(_xlfn.MAXIFS(MASTER!$I:$I,MASTER!$B:$B,$Q$1),"-")</f>
        <v>4790</v>
      </c>
      <c r="H5" s="95"/>
      <c r="I5" s="95">
        <f>COUNTIFS(MASTER!$B:$B,$Q$1,MASTER!$I:$I,"&gt;=10000")</f>
        <v>0</v>
      </c>
      <c r="J5" s="95"/>
      <c r="K5" s="107">
        <f>IFERROR(ROUND(AVERAGEIFS(MASTER!$N:$N,MASTER!$B:$B,$Q$1),1),"-")</f>
        <v>32.299999999999997</v>
      </c>
      <c r="L5" s="107"/>
      <c r="M5" s="95">
        <f>IF($Q$1="FUCT","- ours -",IFERROR(ROUND(AVERAGEIFS(MASTER!$I:$I,MASTER!$B:$B,$Q$1)-AVERAGEIF(MASTER!$B:$B,"FUCT",MASTER!$I:$I),0),"-"))</f>
        <v>-3116</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⋚dгыітёя⋚</v>
      </c>
      <c r="C9" s="15" t="str">
        <f>IF($P9="","",IFERROR(IF(INDEX(MASTER!$D$4:$D$1463,$P9)="","",INDEX(MASTER!$D$4:$D$1463,$P9)),""))</f>
        <v/>
      </c>
      <c r="D9" s="15" t="str">
        <f>IF($P9="","",IFERROR(IF(INDEX(MASTER!$E$4:$E$1463,$P9)="","",INDEX(MASTER!$E$4:$E$1463,$P9)),""))</f>
        <v/>
      </c>
      <c r="E9" s="15" t="str">
        <f>IF($P9="","",IFERROR(IF(INDEX(MASTER!$F$4:$F$1463,$P9)="","",INDEX(MASTER!$F$4:$F$1463,$P9)),""))</f>
        <v>-</v>
      </c>
      <c r="F9" s="16" t="str">
        <f>IF($P9="","",IFERROR(IF(INDEX(MASTER!$G$4:$G$1463,$P9)="","",INDEX(MASTER!$G$4:$G$1463,$P9)),""))</f>
        <v/>
      </c>
      <c r="G9" s="15" t="str">
        <f>IF($P9="","",IFERROR(IF(INDEX(MASTER!$H$4:$H$1463,$P9)="","",INDEX(MASTER!$H$4:$H$1463,$P9)),""))</f>
        <v>-</v>
      </c>
      <c r="H9" s="16" t="str">
        <f>IF($P9="","",IFERROR(IF(INDEX(MASTER!$I$4:$I$1463,$P9)="","",INDEX(MASTER!$I$4:$I$1463,$P9)),""))</f>
        <v/>
      </c>
      <c r="I9" s="15" t="str">
        <f>IF($P9="","",IFERROR(IF(INDEX(MASTER!$J$4:$J$1463,$P9)="","",INDEX(MASTER!$J$4:$J$1463,$P9)),""))</f>
        <v>-</v>
      </c>
      <c r="J9" s="17" t="str">
        <f>IF($P9="","",IFERROR(IF(INDEX(MASTER!$L$4:$L$1463,$P9)="","",INDEX(MASTER!$L$4:$L$1463,$P9)),""))</f>
        <v/>
      </c>
      <c r="K9" s="17" t="str">
        <f>IF($P9="","",IFERROR(IF(INDEX(MASTER!$N$4:$N$1463,$P9)="","",INDEX(MASTER!$N$4:$N$1463,$P9)),""))</f>
        <v/>
      </c>
      <c r="L9" s="15" t="str">
        <f>IF($P9="","",IFERROR(IF(INDEX(MASTER!$O$4:$O$1463,$P9)="","",INDEX(MASTER!$O$4:$O$1463,$P9)),""))</f>
        <v>-</v>
      </c>
      <c r="M9" s="15">
        <f>IF($P9="","",IFERROR(IF(INDEX(MASTER!$Q$4:$Q$1463,$P9)="","",INDEX(MASTER!$Q$4:$Q$1463,$P9)),""))</f>
        <v>94</v>
      </c>
      <c r="N9" s="15" t="str">
        <f>IF($P9="","",IFERROR(IF(INDEX(MASTER!$S$4:$S$1463,$P9)="","",INDEX(MASTER!$S$4:$S$1463,$P9)),""))</f>
        <v>Name only</v>
      </c>
      <c r="P9">
        <f>IFERROR(MATCH($Q$1&amp;"@1",MASTER!$AC$4:$AC$1463,0),"")</f>
        <v>1353</v>
      </c>
    </row>
    <row r="10" spans="1:17">
      <c r="A10" s="19">
        <f>IF($P10="","",2)</f>
        <v>2</v>
      </c>
      <c r="B10" s="18" t="str">
        <f>IF($P10="","",IFERROR(IF(INDEX(MASTER!$C$4:$C$1463,$P10)="","",INDEX(MASTER!$C$4:$C$1463,$P10)),""))</f>
        <v>7ron</v>
      </c>
      <c r="C10" s="19" t="str">
        <f>IF($P10="","",IFERROR(IF(INDEX(MASTER!$D$4:$D$1463,$P10)="","",INDEX(MASTER!$D$4:$D$1463,$P10)),""))</f>
        <v>ムÐ</v>
      </c>
      <c r="D10" s="19" t="str">
        <f>IF($P10="","",IFERROR(IF(INDEX(MASTER!$E$4:$E$1463,$P10)="","",INDEX(MASTER!$E$4:$E$1463,$P10)),""))</f>
        <v>DEMON HUNTER</v>
      </c>
      <c r="E10" s="19" t="str">
        <f>IF($P10="","",IFERROR(IF(INDEX(MASTER!$F$4:$F$1463,$P10)="","",INDEX(MASTER!$F$4:$F$1463,$P10)),""))</f>
        <v>Ranged DPS</v>
      </c>
      <c r="F10" s="20">
        <f>IF($P10="","",IFERROR(IF(INDEX(MASTER!$G$4:$G$1463,$P10)="","",INDEX(MASTER!$G$4:$G$1463,$P10)),""))</f>
        <v>62742</v>
      </c>
      <c r="G10" s="19" t="str">
        <f>IF($P10="","",IFERROR(IF(INDEX(MASTER!$H$4:$H$1463,$P10)="","",INDEX(MASTER!$H$4:$H$1463,$P10)),""))</f>
        <v>62,000 - 62,999</v>
      </c>
      <c r="H10" s="20">
        <f>IF($P10="","",IFERROR(IF(INDEX(MASTER!$I$4:$I$1463,$P10)="","",INDEX(MASTER!$I$4:$I$1463,$P10)),""))</f>
        <v>3833</v>
      </c>
      <c r="I10" s="19" t="str">
        <f>IF($P10="","",IFERROR(IF(INDEX(MASTER!$J$4:$J$1463,$P10)="","",INDEX(MASTER!$J$4:$J$1463,$P10)),""))</f>
        <v>DEVELOPING</v>
      </c>
      <c r="J10" s="21">
        <f>IF($P10="","",IFERROR(IF(INDEX(MASTER!$L$4:$L$1463,$P10)="","",INDEX(MASTER!$L$4:$L$1463,$P10)),""))</f>
        <v>5.8</v>
      </c>
      <c r="K10" s="21">
        <f>IF($P10="","",IFERROR(IF(INDEX(MASTER!$N$4:$N$1463,$P10)="","",INDEX(MASTER!$N$4:$N$1463,$P10)),""))</f>
        <v>46.8</v>
      </c>
      <c r="L10" s="19" t="str">
        <f>IF($P10="","",IFERROR(IF(INDEX(MASTER!$O$4:$O$1463,$P10)="","",INDEX(MASTER!$O$4:$O$1463,$P10)),""))</f>
        <v>B</v>
      </c>
      <c r="M10" s="19">
        <f>IF($P10="","",IFERROR(IF(INDEX(MASTER!$Q$4:$Q$1463,$P10)="","",INDEX(MASTER!$Q$4:$Q$1463,$P10)),""))</f>
        <v>3</v>
      </c>
      <c r="N10" s="19" t="str">
        <f>IF($P10="","",IFERROR(IF(INDEX(MASTER!$S$4:$S$1463,$P10)="","",INDEX(MASTER!$S$4:$S$1463,$P10)),""))</f>
        <v>Complete</v>
      </c>
      <c r="P10">
        <f>IFERROR(MATCH($Q$1&amp;"@2",MASTER!$AC$4:$AC$1463,0),"")</f>
        <v>9</v>
      </c>
    </row>
    <row r="11" spans="1:17">
      <c r="A11" s="15">
        <f>IF($P11="","",3)</f>
        <v>3</v>
      </c>
      <c r="B11" s="14" t="str">
        <f>IF($P11="","",IFERROR(IF(INDEX(MASTER!$C$4:$C$1463,$P11)="","",INDEX(MASTER!$C$4:$C$1463,$P11)),""))</f>
        <v>AdarMagnus</v>
      </c>
      <c r="C11" s="15" t="str">
        <f>IF($P11="","",IFERROR(IF(INDEX(MASTER!$D$4:$D$1463,$P11)="","",INDEX(MASTER!$D$4:$D$1463,$P11)),""))</f>
        <v/>
      </c>
      <c r="D11" s="15" t="str">
        <f>IF($P11="","",IFERROR(IF(INDEX(MASTER!$E$4:$E$1463,$P11)="","",INDEX(MASTER!$E$4:$E$1463,$P11)),""))</f>
        <v>NECROMANCER</v>
      </c>
      <c r="E11" s="15" t="str">
        <f>IF($P11="","",IFERROR(IF(INDEX(MASTER!$F$4:$F$1463,$P11)="","",INDEX(MASTER!$F$4:$F$1463,$P11)),""))</f>
        <v>Control</v>
      </c>
      <c r="F11" s="16">
        <f>IF($P11="","",IFERROR(IF(INDEX(MASTER!$G$4:$G$1463,$P11)="","",INDEX(MASTER!$G$4:$G$1463,$P11)),""))</f>
        <v>62059</v>
      </c>
      <c r="G11" s="15" t="str">
        <f>IF($P11="","",IFERROR(IF(INDEX(MASTER!$H$4:$H$1463,$P11)="","",INDEX(MASTER!$H$4:$H$1463,$P11)),""))</f>
        <v>62,000 - 62,999</v>
      </c>
      <c r="H11" s="16">
        <f>IF($P11="","",IFERROR(IF(INDEX(MASTER!$I$4:$I$1463,$P11)="","",INDEX(MASTER!$I$4:$I$1463,$P11)),""))</f>
        <v>2635</v>
      </c>
      <c r="I11" s="15" t="str">
        <f>IF($P11="","",IFERROR(IF(INDEX(MASTER!$J$4:$J$1463,$P11)="","",INDEX(MASTER!$J$4:$J$1463,$P11)),""))</f>
        <v>DEVELOPING</v>
      </c>
      <c r="J11" s="17">
        <f>IF($P11="","",IFERROR(IF(INDEX(MASTER!$L$4:$L$1463,$P11)="","",INDEX(MASTER!$L$4:$L$1463,$P11)),""))</f>
        <v>4.3499999999999996</v>
      </c>
      <c r="K11" s="17">
        <f>IF($P11="","",IFERROR(IF(INDEX(MASTER!$N$4:$N$1463,$P11)="","",INDEX(MASTER!$N$4:$N$1463,$P11)),""))</f>
        <v>37.299999999999997</v>
      </c>
      <c r="L11" s="15" t="str">
        <f>IF($P11="","",IFERROR(IF(INDEX(MASTER!$O$4:$O$1463,$P11)="","",INDEX(MASTER!$O$4:$O$1463,$P11)),""))</f>
        <v>B</v>
      </c>
      <c r="M11" s="15">
        <f>IF($P11="","",IFERROR(IF(INDEX(MASTER!$Q$4:$Q$1463,$P11)="","",INDEX(MASTER!$Q$4:$Q$1463,$P11)),""))</f>
        <v>27</v>
      </c>
      <c r="N11" s="15" t="str">
        <f>IF($P11="","",IFERROR(IF(INDEX(MASTER!$S$4:$S$1463,$P11)="","",INDEX(MASTER!$S$4:$S$1463,$P11)),""))</f>
        <v>Complete</v>
      </c>
      <c r="P11">
        <f>IFERROR(MATCH($Q$1&amp;"@3",MASTER!$AC$4:$AC$1463,0),"")</f>
        <v>18</v>
      </c>
    </row>
    <row r="12" spans="1:17">
      <c r="A12" s="19">
        <f>IF($P12="","",4)</f>
        <v>4</v>
      </c>
      <c r="B12" s="18" t="str">
        <f>IF($P12="","",IFERROR(IF(INDEX(MASTER!$C$4:$C$1463,$P12)="","",INDEX(MASTER!$C$4:$C$1463,$P12)),""))</f>
        <v>Adwan213</v>
      </c>
      <c r="C12" s="19" t="str">
        <f>IF($P12="","",IFERROR(IF(INDEX(MASTER!$D$4:$D$1463,$P12)="","",INDEX(MASTER!$D$4:$D$1463,$P12)),""))</f>
        <v/>
      </c>
      <c r="D12" s="19" t="str">
        <f>IF($P12="","",IFERROR(IF(INDEX(MASTER!$E$4:$E$1463,$P12)="","",INDEX(MASTER!$E$4:$E$1463,$P12)),""))</f>
        <v>WARLOCK</v>
      </c>
      <c r="E12" s="19" t="str">
        <f>IF($P12="","",IFERROR(IF(INDEX(MASTER!$F$4:$F$1463,$P12)="","",INDEX(MASTER!$F$4:$F$1463,$P12)),""))</f>
        <v>Control</v>
      </c>
      <c r="F12" s="20">
        <f>IF($P12="","",IFERROR(IF(INDEX(MASTER!$G$4:$G$1463,$P12)="","",INDEX(MASTER!$G$4:$G$1463,$P12)),""))</f>
        <v>61484</v>
      </c>
      <c r="G12" s="19" t="str">
        <f>IF($P12="","",IFERROR(IF(INDEX(MASTER!$H$4:$H$1463,$P12)="","",INDEX(MASTER!$H$4:$H$1463,$P12)),""))</f>
        <v>61,000 - 61,999</v>
      </c>
      <c r="H12" s="20">
        <f>IF($P12="","",IFERROR(IF(INDEX(MASTER!$I$4:$I$1463,$P12)="","",INDEX(MASTER!$I$4:$I$1463,$P12)),""))</f>
        <v>3238</v>
      </c>
      <c r="I12" s="19" t="str">
        <f>IF($P12="","",IFERROR(IF(INDEX(MASTER!$J$4:$J$1463,$P12)="","",INDEX(MASTER!$J$4:$J$1463,$P12)),""))</f>
        <v>DEVELOPING</v>
      </c>
      <c r="J12" s="21">
        <f>IF($P12="","",IFERROR(IF(INDEX(MASTER!$L$4:$L$1463,$P12)="","",INDEX(MASTER!$L$4:$L$1463,$P12)),""))</f>
        <v>5.15</v>
      </c>
      <c r="K12" s="21">
        <f>IF($P12="","",IFERROR(IF(INDEX(MASTER!$N$4:$N$1463,$P12)="","",INDEX(MASTER!$N$4:$N$1463,$P12)),""))</f>
        <v>39.799999999999997</v>
      </c>
      <c r="L12" s="19" t="str">
        <f>IF($P12="","",IFERROR(IF(INDEX(MASTER!$O$4:$O$1463,$P12)="","",INDEX(MASTER!$O$4:$O$1463,$P12)),""))</f>
        <v>B</v>
      </c>
      <c r="M12" s="19">
        <f>IF($P12="","",IFERROR(IF(INDEX(MASTER!$Q$4:$Q$1463,$P12)="","",INDEX(MASTER!$Q$4:$Q$1463,$P12)),""))</f>
        <v>10</v>
      </c>
      <c r="N12" s="19" t="str">
        <f>IF($P12="","",IFERROR(IF(INDEX(MASTER!$S$4:$S$1463,$P12)="","",INDEX(MASTER!$S$4:$S$1463,$P12)),""))</f>
        <v>Complete</v>
      </c>
      <c r="P12">
        <f>IFERROR(MATCH($Q$1&amp;"@4",MASTER!$AC$4:$AC$1463,0),"")</f>
        <v>22</v>
      </c>
    </row>
    <row r="13" spans="1:17">
      <c r="A13" s="15">
        <f>IF($P13="","",5)</f>
        <v>5</v>
      </c>
      <c r="B13" s="14" t="str">
        <f>IF($P13="","",IFERROR(IF(INDEX(MASTER!$C$4:$C$1463,$P13)="","",INDEX(MASTER!$C$4:$C$1463,$P13)),""))</f>
        <v>ÆPƐX</v>
      </c>
      <c r="C13" s="15" t="str">
        <f>IF($P13="","",IFERROR(IF(INDEX(MASTER!$D$4:$D$1463,$P13)="","",INDEX(MASTER!$D$4:$D$1463,$P13)),""))</f>
        <v/>
      </c>
      <c r="D13" s="15" t="str">
        <f>IF($P13="","",IFERROR(IF(INDEX(MASTER!$E$4:$E$1463,$P13)="","",INDEX(MASTER!$E$4:$E$1463,$P13)),""))</f>
        <v>BARBARIAN</v>
      </c>
      <c r="E13" s="15" t="str">
        <f>IF($P13="","",IFERROR(IF(INDEX(MASTER!$F$4:$F$1463,$P13)="","",INDEX(MASTER!$F$4:$F$1463,$P13)),""))</f>
        <v>Frontline</v>
      </c>
      <c r="F13" s="16">
        <f>IF($P13="","",IFERROR(IF(INDEX(MASTER!$G$4:$G$1463,$P13)="","",INDEX(MASTER!$G$4:$G$1463,$P13)),""))</f>
        <v>61390</v>
      </c>
      <c r="G13" s="15" t="str">
        <f>IF($P13="","",IFERROR(IF(INDEX(MASTER!$H$4:$H$1463,$P13)="","",INDEX(MASTER!$H$4:$H$1463,$P13)),""))</f>
        <v>61,000 - 61,999</v>
      </c>
      <c r="H13" s="16">
        <f>IF($P13="","",IFERROR(IF(INDEX(MASTER!$I$4:$I$1463,$P13)="","",INDEX(MASTER!$I$4:$I$1463,$P13)),""))</f>
        <v>2085</v>
      </c>
      <c r="I13" s="15" t="str">
        <f>IF($P13="","",IFERROR(IF(INDEX(MASTER!$J$4:$J$1463,$P13)="","",INDEX(MASTER!$J$4:$J$1463,$P13)),""))</f>
        <v>DEVELOPING</v>
      </c>
      <c r="J13" s="17">
        <f>IF($P13="","",IFERROR(IF(INDEX(MASTER!$L$4:$L$1463,$P13)="","",INDEX(MASTER!$L$4:$L$1463,$P13)),""))</f>
        <v>4</v>
      </c>
      <c r="K13" s="17">
        <f>IF($P13="","",IFERROR(IF(INDEX(MASTER!$N$4:$N$1463,$P13)="","",INDEX(MASTER!$N$4:$N$1463,$P13)),""))</f>
        <v>32.6</v>
      </c>
      <c r="L13" s="15" t="str">
        <f>IF($P13="","",IFERROR(IF(INDEX(MASTER!$O$4:$O$1463,$P13)="","",INDEX(MASTER!$O$4:$O$1463,$P13)),""))</f>
        <v>C</v>
      </c>
      <c r="M13" s="15">
        <f>IF($P13="","",IFERROR(IF(INDEX(MASTER!$Q$4:$Q$1463,$P13)="","",INDEX(MASTER!$Q$4:$Q$1463,$P13)),""))</f>
        <v>44</v>
      </c>
      <c r="N13" s="15" t="str">
        <f>IF($P13="","",IFERROR(IF(INDEX(MASTER!$S$4:$S$1463,$P13)="","",INDEX(MASTER!$S$4:$S$1463,$P13)),""))</f>
        <v>Complete</v>
      </c>
      <c r="P13">
        <f>IFERROR(MATCH($Q$1&amp;"@5",MASTER!$AC$4:$AC$1463,0),"")</f>
        <v>1335</v>
      </c>
    </row>
    <row r="14" spans="1:17">
      <c r="A14" s="19">
        <f>IF($P14="","",6)</f>
        <v>6</v>
      </c>
      <c r="B14" s="18" t="str">
        <f>IF($P14="","",IFERROR(IF(INDEX(MASTER!$C$4:$C$1463,$P14)="","",INDEX(MASTER!$C$4:$C$1463,$P14)),""))</f>
        <v>anamal</v>
      </c>
      <c r="C14" s="19" t="str">
        <f>IF($P14="","",IFERROR(IF(INDEX(MASTER!$D$4:$D$1463,$P14)="","",INDEX(MASTER!$D$4:$D$1463,$P14)),""))</f>
        <v/>
      </c>
      <c r="D14" s="19" t="str">
        <f>IF($P14="","",IFERROR(IF(INDEX(MASTER!$E$4:$E$1463,$P14)="","",INDEX(MASTER!$E$4:$E$1463,$P14)),""))</f>
        <v>BARBARIAN</v>
      </c>
      <c r="E14" s="19" t="str">
        <f>IF($P14="","",IFERROR(IF(INDEX(MASTER!$F$4:$F$1463,$P14)="","",INDEX(MASTER!$F$4:$F$1463,$P14)),""))</f>
        <v>Frontline</v>
      </c>
      <c r="F14" s="20">
        <f>IF($P14="","",IFERROR(IF(INDEX(MASTER!$G$4:$G$1463,$P14)="","",INDEX(MASTER!$G$4:$G$1463,$P14)),""))</f>
        <v>63539</v>
      </c>
      <c r="G14" s="19" t="str">
        <f>IF($P14="","",IFERROR(IF(INDEX(MASTER!$H$4:$H$1463,$P14)="","",INDEX(MASTER!$H$4:$H$1463,$P14)),""))</f>
        <v>63,000 - 63,999</v>
      </c>
      <c r="H14" s="20">
        <f>IF($P14="","",IFERROR(IF(INDEX(MASTER!$I$4:$I$1463,$P14)="","",INDEX(MASTER!$I$4:$I$1463,$P14)),""))</f>
        <v>4790</v>
      </c>
      <c r="I14" s="19" t="str">
        <f>IF($P14="","",IFERROR(IF(INDEX(MASTER!$J$4:$J$1463,$P14)="","",INDEX(MASTER!$J$4:$J$1463,$P14)),""))</f>
        <v>CORE</v>
      </c>
      <c r="J14" s="21">
        <f>IF($P14="","",IFERROR(IF(INDEX(MASTER!$L$4:$L$1463,$P14)="","",INDEX(MASTER!$L$4:$L$1463,$P14)),""))</f>
        <v>4.9000000000000004</v>
      </c>
      <c r="K14" s="21">
        <f>IF($P14="","",IFERROR(IF(INDEX(MASTER!$N$4:$N$1463,$P14)="","",INDEX(MASTER!$N$4:$N$1463,$P14)),""))</f>
        <v>51.5</v>
      </c>
      <c r="L14" s="19" t="str">
        <f>IF($P14="","",IFERROR(IF(INDEX(MASTER!$O$4:$O$1463,$P14)="","",INDEX(MASTER!$O$4:$O$1463,$P14)),""))</f>
        <v>A</v>
      </c>
      <c r="M14" s="19">
        <f>IF($P14="","",IFERROR(IF(INDEX(MASTER!$Q$4:$Q$1463,$P14)="","",INDEX(MASTER!$Q$4:$Q$1463,$P14)),""))</f>
        <v>1</v>
      </c>
      <c r="N14" s="19" t="str">
        <f>IF($P14="","",IFERROR(IF(INDEX(MASTER!$S$4:$S$1463,$P14)="","",INDEX(MASTER!$S$4:$S$1463,$P14)),""))</f>
        <v>Complete</v>
      </c>
      <c r="P14">
        <f>IFERROR(MATCH($Q$1&amp;"@6",MASTER!$AC$4:$AC$1463,0),"")</f>
        <v>41</v>
      </c>
    </row>
    <row r="15" spans="1:17">
      <c r="A15" s="15">
        <f>IF($P15="","",7)</f>
        <v>7</v>
      </c>
      <c r="B15" s="14" t="str">
        <f>IF($P15="","",IFERROR(IF(INDEX(MASTER!$C$4:$C$1463,$P15)="","",INDEX(MASTER!$C$4:$C$1463,$P15)),""))</f>
        <v>Andrex</v>
      </c>
      <c r="C15" s="15" t="str">
        <f>IF($P15="","",IFERROR(IF(INDEX(MASTER!$D$4:$D$1463,$P15)="","",INDEX(MASTER!$D$4:$D$1463,$P15)),""))</f>
        <v/>
      </c>
      <c r="D15" s="15" t="str">
        <f>IF($P15="","",IFERROR(IF(INDEX(MASTER!$E$4:$E$1463,$P15)="","",INDEX(MASTER!$E$4:$E$1463,$P15)),""))</f>
        <v>BARBARIAN</v>
      </c>
      <c r="E15" s="15" t="str">
        <f>IF($P15="","",IFERROR(IF(INDEX(MASTER!$F$4:$F$1463,$P15)="","",INDEX(MASTER!$F$4:$F$1463,$P15)),""))</f>
        <v>Frontline</v>
      </c>
      <c r="F15" s="16">
        <f>IF($P15="","",IFERROR(IF(INDEX(MASTER!$G$4:$G$1463,$P15)="","",INDEX(MASTER!$G$4:$G$1463,$P15)),""))</f>
        <v>62279</v>
      </c>
      <c r="G15" s="15" t="str">
        <f>IF($P15="","",IFERROR(IF(INDEX(MASTER!$H$4:$H$1463,$P15)="","",INDEX(MASTER!$H$4:$H$1463,$P15)),""))</f>
        <v>62,000 - 62,999</v>
      </c>
      <c r="H15" s="16">
        <f>IF($P15="","",IFERROR(IF(INDEX(MASTER!$I$4:$I$1463,$P15)="","",INDEX(MASTER!$I$4:$I$1463,$P15)),""))</f>
        <v>1310</v>
      </c>
      <c r="I15" s="15" t="str">
        <f>IF($P15="","",IFERROR(IF(INDEX(MASTER!$J$4:$J$1463,$P15)="","",INDEX(MASTER!$J$4:$J$1463,$P15)),""))</f>
        <v>ROOKIE</v>
      </c>
      <c r="J15" s="17">
        <f>IF($P15="","",IFERROR(IF(INDEX(MASTER!$L$4:$L$1463,$P15)="","",INDEX(MASTER!$L$4:$L$1463,$P15)),""))</f>
        <v>4.3</v>
      </c>
      <c r="K15" s="17">
        <f>IF($P15="","",IFERROR(IF(INDEX(MASTER!$N$4:$N$1463,$P15)="","",INDEX(MASTER!$N$4:$N$1463,$P15)),""))</f>
        <v>32</v>
      </c>
      <c r="L15" s="15" t="str">
        <f>IF($P15="","",IFERROR(IF(INDEX(MASTER!$O$4:$O$1463,$P15)="","",INDEX(MASTER!$O$4:$O$1463,$P15)),""))</f>
        <v>C</v>
      </c>
      <c r="M15" s="15">
        <f>IF($P15="","",IFERROR(IF(INDEX(MASTER!$Q$4:$Q$1463,$P15)="","",INDEX(MASTER!$Q$4:$Q$1463,$P15)),""))</f>
        <v>77</v>
      </c>
      <c r="N15" s="15" t="str">
        <f>IF($P15="","",IFERROR(IF(INDEX(MASTER!$S$4:$S$1463,$P15)="","",INDEX(MASTER!$S$4:$S$1463,$P15)),""))</f>
        <v>Complete</v>
      </c>
      <c r="P15">
        <f>IFERROR(MATCH($Q$1&amp;"@7",MASTER!$AC$4:$AC$1463,0),"")</f>
        <v>43</v>
      </c>
    </row>
    <row r="16" spans="1:17">
      <c r="A16" s="19">
        <f>IF($P16="","",8)</f>
        <v>8</v>
      </c>
      <c r="B16" s="18" t="str">
        <f>IF($P16="","",IFERROR(IF(INDEX(MASTER!$C$4:$C$1463,$P16)="","",INDEX(MASTER!$C$4:$C$1463,$P16)),""))</f>
        <v>Åpex</v>
      </c>
      <c r="C16" s="19" t="str">
        <f>IF($P16="","",IFERROR(IF(INDEX(MASTER!$D$4:$D$1463,$P16)="","",INDEX(MASTER!$D$4:$D$1463,$P16)),""))</f>
        <v/>
      </c>
      <c r="D16" s="19" t="str">
        <f>IF($P16="","",IFERROR(IF(INDEX(MASTER!$E$4:$E$1463,$P16)="","",INDEX(MASTER!$E$4:$E$1463,$P16)),""))</f>
        <v>CRUSADER</v>
      </c>
      <c r="E16" s="19" t="str">
        <f>IF($P16="","",IFERROR(IF(INDEX(MASTER!$F$4:$F$1463,$P16)="","",INDEX(MASTER!$F$4:$F$1463,$P16)),""))</f>
        <v>Frontline</v>
      </c>
      <c r="F16" s="20">
        <f>IF($P16="","",IFERROR(IF(INDEX(MASTER!$G$4:$G$1463,$P16)="","",INDEX(MASTER!$G$4:$G$1463,$P16)),""))</f>
        <v>60870</v>
      </c>
      <c r="G16" s="19" t="str">
        <f>IF($P16="","",IFERROR(IF(INDEX(MASTER!$H$4:$H$1463,$P16)="","",INDEX(MASTER!$H$4:$H$1463,$P16)),""))</f>
        <v>60,000 - 60,999</v>
      </c>
      <c r="H16" s="20">
        <f>IF($P16="","",IFERROR(IF(INDEX(MASTER!$I$4:$I$1463,$P16)="","",INDEX(MASTER!$I$4:$I$1463,$P16)),""))</f>
        <v>1854</v>
      </c>
      <c r="I16" s="19" t="str">
        <f>IF($P16="","",IFERROR(IF(INDEX(MASTER!$J$4:$J$1463,$P16)="","",INDEX(MASTER!$J$4:$J$1463,$P16)),""))</f>
        <v>ROOKIE</v>
      </c>
      <c r="J16" s="21">
        <f>IF($P16="","",IFERROR(IF(INDEX(MASTER!$L$4:$L$1463,$P16)="","",INDEX(MASTER!$L$4:$L$1463,$P16)),""))</f>
        <v>4.5999999999999996</v>
      </c>
      <c r="K16" s="21">
        <f>IF($P16="","",IFERROR(IF(INDEX(MASTER!$N$4:$N$1463,$P16)="","",INDEX(MASTER!$N$4:$N$1463,$P16)),""))</f>
        <v>31.2</v>
      </c>
      <c r="L16" s="19" t="str">
        <f>IF($P16="","",IFERROR(IF(INDEX(MASTER!$O$4:$O$1463,$P16)="","",INDEX(MASTER!$O$4:$O$1463,$P16)),""))</f>
        <v>C</v>
      </c>
      <c r="M16" s="19">
        <f>IF($P16="","",IFERROR(IF(INDEX(MASTER!$Q$4:$Q$1463,$P16)="","",INDEX(MASTER!$Q$4:$Q$1463,$P16)),""))</f>
        <v>53</v>
      </c>
      <c r="N16" s="19" t="str">
        <f>IF($P16="","",IFERROR(IF(INDEX(MASTER!$S$4:$S$1463,$P16)="","",INDEX(MASTER!$S$4:$S$1463,$P16)),""))</f>
        <v>Complete</v>
      </c>
      <c r="P16">
        <f>IFERROR(MATCH($Q$1&amp;"@8",MASTER!$AC$4:$AC$1463,0),"")</f>
        <v>1334</v>
      </c>
    </row>
    <row r="17" spans="1:16">
      <c r="A17" s="15">
        <f>IF($P17="","",9)</f>
        <v>9</v>
      </c>
      <c r="B17" s="14" t="str">
        <f>IF($P17="","",IFERROR(IF(INDEX(MASTER!$C$4:$C$1463,$P17)="","",INDEX(MASTER!$C$4:$C$1463,$P17)),""))</f>
        <v>Ashelias</v>
      </c>
      <c r="C17" s="15" t="str">
        <f>IF($P17="","",IFERROR(IF(INDEX(MASTER!$D$4:$D$1463,$P17)="","",INDEX(MASTER!$D$4:$D$1463,$P17)),""))</f>
        <v/>
      </c>
      <c r="D17" s="15" t="str">
        <f>IF($P17="","",IFERROR(IF(INDEX(MASTER!$E$4:$E$1463,$P17)="","",INDEX(MASTER!$E$4:$E$1463,$P17)),""))</f>
        <v>WARLOCK</v>
      </c>
      <c r="E17" s="15" t="str">
        <f>IF($P17="","",IFERROR(IF(INDEX(MASTER!$F$4:$F$1463,$P17)="","",INDEX(MASTER!$F$4:$F$1463,$P17)),""))</f>
        <v>Control</v>
      </c>
      <c r="F17" s="16">
        <f>IF($P17="","",IFERROR(IF(INDEX(MASTER!$G$4:$G$1463,$P17)="","",INDEX(MASTER!$G$4:$G$1463,$P17)),""))</f>
        <v>62811</v>
      </c>
      <c r="G17" s="15" t="str">
        <f>IF($P17="","",IFERROR(IF(INDEX(MASTER!$H$4:$H$1463,$P17)="","",INDEX(MASTER!$H$4:$H$1463,$P17)),""))</f>
        <v>62,000 - 62,999</v>
      </c>
      <c r="H17" s="16">
        <f>IF($P17="","",IFERROR(IF(INDEX(MASTER!$I$4:$I$1463,$P17)="","",INDEX(MASTER!$I$4:$I$1463,$P17)),""))</f>
        <v>2718</v>
      </c>
      <c r="I17" s="15" t="str">
        <f>IF($P17="","",IFERROR(IF(INDEX(MASTER!$J$4:$J$1463,$P17)="","",INDEX(MASTER!$J$4:$J$1463,$P17)),""))</f>
        <v>DEVELOPING</v>
      </c>
      <c r="J17" s="17">
        <f>IF($P17="","",IFERROR(IF(INDEX(MASTER!$L$4:$L$1463,$P17)="","",INDEX(MASTER!$L$4:$L$1463,$P17)),""))</f>
        <v>5.15</v>
      </c>
      <c r="K17" s="17">
        <f>IF($P17="","",IFERROR(IF(INDEX(MASTER!$N$4:$N$1463,$P17)="","",INDEX(MASTER!$N$4:$N$1463,$P17)),""))</f>
        <v>41</v>
      </c>
      <c r="L17" s="15" t="str">
        <f>IF($P17="","",IFERROR(IF(INDEX(MASTER!$O$4:$O$1463,$P17)="","",INDEX(MASTER!$O$4:$O$1463,$P17)),""))</f>
        <v>B</v>
      </c>
      <c r="M17" s="15">
        <f>IF($P17="","",IFERROR(IF(INDEX(MASTER!$Q$4:$Q$1463,$P17)="","",INDEX(MASTER!$Q$4:$Q$1463,$P17)),""))</f>
        <v>25</v>
      </c>
      <c r="N17" s="15" t="str">
        <f>IF($P17="","",IFERROR(IF(INDEX(MASTER!$S$4:$S$1463,$P17)="","",INDEX(MASTER!$S$4:$S$1463,$P17)),""))</f>
        <v>Complete</v>
      </c>
      <c r="P17">
        <f>IFERROR(MATCH($Q$1&amp;"@9",MASTER!$AC$4:$AC$1463,0),"")</f>
        <v>65</v>
      </c>
    </row>
    <row r="18" spans="1:16">
      <c r="A18" s="19">
        <f>IF($P18="","",10)</f>
        <v>10</v>
      </c>
      <c r="B18" s="18" t="str">
        <f>IF($P18="","",IFERROR(IF(INDEX(MASTER!$C$4:$C$1463,$P18)="","",INDEX(MASTER!$C$4:$C$1463,$P18)),""))</f>
        <v>Azraeus</v>
      </c>
      <c r="C18" s="19" t="str">
        <f>IF($P18="","",IFERROR(IF(INDEX(MASTER!$D$4:$D$1463,$P18)="","",INDEX(MASTER!$D$4:$D$1463,$P18)),""))</f>
        <v/>
      </c>
      <c r="D18" s="19" t="str">
        <f>IF($P18="","",IFERROR(IF(INDEX(MASTER!$E$4:$E$1463,$P18)="","",INDEX(MASTER!$E$4:$E$1463,$P18)),""))</f>
        <v>WARLOCK</v>
      </c>
      <c r="E18" s="19" t="str">
        <f>IF($P18="","",IFERROR(IF(INDEX(MASTER!$F$4:$F$1463,$P18)="","",INDEX(MASTER!$F$4:$F$1463,$P18)),""))</f>
        <v>Control</v>
      </c>
      <c r="F18" s="20">
        <f>IF($P18="","",IFERROR(IF(INDEX(MASTER!$G$4:$G$1463,$P18)="","",INDEX(MASTER!$G$4:$G$1463,$P18)),""))</f>
        <v>61375</v>
      </c>
      <c r="G18" s="19" t="str">
        <f>IF($P18="","",IFERROR(IF(INDEX(MASTER!$H$4:$H$1463,$P18)="","",INDEX(MASTER!$H$4:$H$1463,$P18)),""))</f>
        <v>61,000 - 61,999</v>
      </c>
      <c r="H18" s="20">
        <f>IF($P18="","",IFERROR(IF(INDEX(MASTER!$I$4:$I$1463,$P18)="","",INDEX(MASTER!$I$4:$I$1463,$P18)),""))</f>
        <v>2328</v>
      </c>
      <c r="I18" s="19" t="str">
        <f>IF($P18="","",IFERROR(IF(INDEX(MASTER!$J$4:$J$1463,$P18)="","",INDEX(MASTER!$J$4:$J$1463,$P18)),""))</f>
        <v>DEVELOPING</v>
      </c>
      <c r="J18" s="21">
        <f>IF($P18="","",IFERROR(IF(INDEX(MASTER!$L$4:$L$1463,$P18)="","",INDEX(MASTER!$L$4:$L$1463,$P18)),""))</f>
        <v>4.0999999999999996</v>
      </c>
      <c r="K18" s="21">
        <f>IF($P18="","",IFERROR(IF(INDEX(MASTER!$N$4:$N$1463,$P18)="","",INDEX(MASTER!$N$4:$N$1463,$P18)),""))</f>
        <v>33.799999999999997</v>
      </c>
      <c r="L18" s="19" t="str">
        <f>IF($P18="","",IFERROR(IF(INDEX(MASTER!$O$4:$O$1463,$P18)="","",INDEX(MASTER!$O$4:$O$1463,$P18)),""))</f>
        <v>C</v>
      </c>
      <c r="M18" s="19">
        <f>IF($P18="","",IFERROR(IF(INDEX(MASTER!$Q$4:$Q$1463,$P18)="","",INDEX(MASTER!$Q$4:$Q$1463,$P18)),""))</f>
        <v>36</v>
      </c>
      <c r="N18" s="19" t="str">
        <f>IF($P18="","",IFERROR(IF(INDEX(MASTER!$S$4:$S$1463,$P18)="","",INDEX(MASTER!$S$4:$S$1463,$P18)),""))</f>
        <v>Complete</v>
      </c>
      <c r="P18">
        <f>IFERROR(MATCH($Q$1&amp;"@10",MASTER!$AC$4:$AC$1463,0),"")</f>
        <v>88</v>
      </c>
    </row>
    <row r="19" spans="1:16">
      <c r="A19" s="15">
        <f>IF($P19="","",11)</f>
        <v>11</v>
      </c>
      <c r="B19" s="14" t="str">
        <f>IF($P19="","",IFERROR(IF(INDEX(MASTER!$C$4:$C$1463,$P19)="","",INDEX(MASTER!$C$4:$C$1463,$P19)),""))</f>
        <v>Badazz1</v>
      </c>
      <c r="C19" s="15" t="str">
        <f>IF($P19="","",IFERROR(IF(INDEX(MASTER!$D$4:$D$1463,$P19)="","",INDEX(MASTER!$D$4:$D$1463,$P19)),""))</f>
        <v/>
      </c>
      <c r="D19" s="15" t="str">
        <f>IF($P19="","",IFERROR(IF(INDEX(MASTER!$E$4:$E$1463,$P19)="","",INDEX(MASTER!$E$4:$E$1463,$P19)),""))</f>
        <v>TEMPEST</v>
      </c>
      <c r="E19" s="15" t="str">
        <f>IF($P19="","",IFERROR(IF(INDEX(MASTER!$F$4:$F$1463,$P19)="","",INDEX(MASTER!$F$4:$F$1463,$P19)),""))</f>
        <v>Melee DPS</v>
      </c>
      <c r="F19" s="16">
        <f>IF($P19="","",IFERROR(IF(INDEX(MASTER!$G$4:$G$1463,$P19)="","",INDEX(MASTER!$G$4:$G$1463,$P19)),""))</f>
        <v>62912</v>
      </c>
      <c r="G19" s="15" t="str">
        <f>IF($P19="","",IFERROR(IF(INDEX(MASTER!$H$4:$H$1463,$P19)="","",INDEX(MASTER!$H$4:$H$1463,$P19)),""))</f>
        <v>62,000 - 62,999</v>
      </c>
      <c r="H19" s="16">
        <f>IF($P19="","",IFERROR(IF(INDEX(MASTER!$I$4:$I$1463,$P19)="","",INDEX(MASTER!$I$4:$I$1463,$P19)),""))</f>
        <v>2872</v>
      </c>
      <c r="I19" s="15" t="str">
        <f>IF($P19="","",IFERROR(IF(INDEX(MASTER!$J$4:$J$1463,$P19)="","",INDEX(MASTER!$J$4:$J$1463,$P19)),""))</f>
        <v>DEVELOPING</v>
      </c>
      <c r="J19" s="17">
        <f>IF($P19="","",IFERROR(IF(INDEX(MASTER!$L$4:$L$1463,$P19)="","",INDEX(MASTER!$L$4:$L$1463,$P19)),""))</f>
        <v>3.5</v>
      </c>
      <c r="K19" s="17">
        <f>IF($P19="","",IFERROR(IF(INDEX(MASTER!$N$4:$N$1463,$P19)="","",INDEX(MASTER!$N$4:$N$1463,$P19)),""))</f>
        <v>39.200000000000003</v>
      </c>
      <c r="L19" s="15" t="str">
        <f>IF($P19="","",IFERROR(IF(INDEX(MASTER!$O$4:$O$1463,$P19)="","",INDEX(MASTER!$O$4:$O$1463,$P19)),""))</f>
        <v>B</v>
      </c>
      <c r="M19" s="15">
        <f>IF($P19="","",IFERROR(IF(INDEX(MASTER!$Q$4:$Q$1463,$P19)="","",INDEX(MASTER!$Q$4:$Q$1463,$P19)),""))</f>
        <v>20</v>
      </c>
      <c r="N19" s="15" t="str">
        <f>IF($P19="","",IFERROR(IF(INDEX(MASTER!$S$4:$S$1463,$P19)="","",INDEX(MASTER!$S$4:$S$1463,$P19)),""))</f>
        <v>Complete</v>
      </c>
      <c r="P19">
        <f>IFERROR(MATCH($Q$1&amp;"@11",MASTER!$AC$4:$AC$1463,0),"")</f>
        <v>99</v>
      </c>
    </row>
    <row r="20" spans="1:16">
      <c r="A20" s="19">
        <f>IF($P20="","",12)</f>
        <v>12</v>
      </c>
      <c r="B20" s="18" t="str">
        <f>IF($P20="","",IFERROR(IF(INDEX(MASTER!$C$4:$C$1463,$P20)="","",INDEX(MASTER!$C$4:$C$1463,$P20)),""))</f>
        <v>Barbed</v>
      </c>
      <c r="C20" s="19" t="str">
        <f>IF($P20="","",IFERROR(IF(INDEX(MASTER!$D$4:$D$1463,$P20)="","",INDEX(MASTER!$D$4:$D$1463,$P20)),""))</f>
        <v/>
      </c>
      <c r="D20" s="19" t="str">
        <f>IF($P20="","",IFERROR(IF(INDEX(MASTER!$E$4:$E$1463,$P20)="","",INDEX(MASTER!$E$4:$E$1463,$P20)),""))</f>
        <v>BARBARIAN</v>
      </c>
      <c r="E20" s="19" t="str">
        <f>IF($P20="","",IFERROR(IF(INDEX(MASTER!$F$4:$F$1463,$P20)="","",INDEX(MASTER!$F$4:$F$1463,$P20)),""))</f>
        <v>Frontline</v>
      </c>
      <c r="F20" s="20">
        <f>IF($P20="","",IFERROR(IF(INDEX(MASTER!$G$4:$G$1463,$P20)="","",INDEX(MASTER!$G$4:$G$1463,$P20)),""))</f>
        <v>60914</v>
      </c>
      <c r="G20" s="19" t="str">
        <f>IF($P20="","",IFERROR(IF(INDEX(MASTER!$H$4:$H$1463,$P20)="","",INDEX(MASTER!$H$4:$H$1463,$P20)),""))</f>
        <v>60,000 - 60,999</v>
      </c>
      <c r="H20" s="20">
        <f>IF($P20="","",IFERROR(IF(INDEX(MASTER!$I$4:$I$1463,$P20)="","",INDEX(MASTER!$I$4:$I$1463,$P20)),""))</f>
        <v>1526</v>
      </c>
      <c r="I20" s="19" t="str">
        <f>IF($P20="","",IFERROR(IF(INDEX(MASTER!$J$4:$J$1463,$P20)="","",INDEX(MASTER!$J$4:$J$1463,$P20)),""))</f>
        <v>ROOKIE</v>
      </c>
      <c r="J20" s="21">
        <f>IF($P20="","",IFERROR(IF(INDEX(MASTER!$L$4:$L$1463,$P20)="","",INDEX(MASTER!$L$4:$L$1463,$P20)),""))</f>
        <v>3.7</v>
      </c>
      <c r="K20" s="21">
        <f>IF($P20="","",IFERROR(IF(INDEX(MASTER!$N$4:$N$1463,$P20)="","",INDEX(MASTER!$N$4:$N$1463,$P20)),""))</f>
        <v>28.4</v>
      </c>
      <c r="L20" s="19" t="str">
        <f>IF($P20="","",IFERROR(IF(INDEX(MASTER!$O$4:$O$1463,$P20)="","",INDEX(MASTER!$O$4:$O$1463,$P20)),""))</f>
        <v>C</v>
      </c>
      <c r="M20" s="19">
        <f>IF($P20="","",IFERROR(IF(INDEX(MASTER!$Q$4:$Q$1463,$P20)="","",INDEX(MASTER!$Q$4:$Q$1463,$P20)),""))</f>
        <v>63</v>
      </c>
      <c r="N20" s="19" t="str">
        <f>IF($P20="","",IFERROR(IF(INDEX(MASTER!$S$4:$S$1463,$P20)="","",INDEX(MASTER!$S$4:$S$1463,$P20)),""))</f>
        <v>Complete</v>
      </c>
      <c r="P20">
        <f>IFERROR(MATCH($Q$1&amp;"@12",MASTER!$AC$4:$AC$1463,0),"")</f>
        <v>106</v>
      </c>
    </row>
    <row r="21" spans="1:16">
      <c r="A21" s="15">
        <f>IF($P21="","",13)</f>
        <v>13</v>
      </c>
      <c r="B21" s="14" t="str">
        <f>IF($P21="","",IFERROR(IF(INDEX(MASTER!$C$4:$C$1463,$P21)="","",INDEX(MASTER!$C$4:$C$1463,$P21)),""))</f>
        <v>Bearass</v>
      </c>
      <c r="C21" s="15" t="str">
        <f>IF($P21="","",IFERROR(IF(INDEX(MASTER!$D$4:$D$1463,$P21)="","",INDEX(MASTER!$D$4:$D$1463,$P21)),""))</f>
        <v/>
      </c>
      <c r="D21" s="15" t="str">
        <f>IF($P21="","",IFERROR(IF(INDEX(MASTER!$E$4:$E$1463,$P21)="","",INDEX(MASTER!$E$4:$E$1463,$P21)),""))</f>
        <v>BARBARIAN</v>
      </c>
      <c r="E21" s="15" t="str">
        <f>IF($P21="","",IFERROR(IF(INDEX(MASTER!$F$4:$F$1463,$P21)="","",INDEX(MASTER!$F$4:$F$1463,$P21)),""))</f>
        <v>Frontline</v>
      </c>
      <c r="F21" s="16">
        <f>IF($P21="","",IFERROR(IF(INDEX(MASTER!$G$4:$G$1463,$P21)="","",INDEX(MASTER!$G$4:$G$1463,$P21)),""))</f>
        <v>61998</v>
      </c>
      <c r="G21" s="15" t="str">
        <f>IF($P21="","",IFERROR(IF(INDEX(MASTER!$H$4:$H$1463,$P21)="","",INDEX(MASTER!$H$4:$H$1463,$P21)),""))</f>
        <v>61,000 - 61,999</v>
      </c>
      <c r="H21" s="16">
        <f>IF($P21="","",IFERROR(IF(INDEX(MASTER!$I$4:$I$1463,$P21)="","",INDEX(MASTER!$I$4:$I$1463,$P21)),""))</f>
        <v>3219</v>
      </c>
      <c r="I21" s="15" t="str">
        <f>IF($P21="","",IFERROR(IF(INDEX(MASTER!$J$4:$J$1463,$P21)="","",INDEX(MASTER!$J$4:$J$1463,$P21)),""))</f>
        <v>DEVELOPING</v>
      </c>
      <c r="J21" s="17">
        <f>IF($P21="","",IFERROR(IF(INDEX(MASTER!$L$4:$L$1463,$P21)="","",INDEX(MASTER!$L$4:$L$1463,$P21)),""))</f>
        <v>5.0999999999999996</v>
      </c>
      <c r="K21" s="17">
        <f>IF($P21="","",IFERROR(IF(INDEX(MASTER!$N$4:$N$1463,$P21)="","",INDEX(MASTER!$N$4:$N$1463,$P21)),""))</f>
        <v>41</v>
      </c>
      <c r="L21" s="15" t="str">
        <f>IF($P21="","",IFERROR(IF(INDEX(MASTER!$O$4:$O$1463,$P21)="","",INDEX(MASTER!$O$4:$O$1463,$P21)),""))</f>
        <v>B</v>
      </c>
      <c r="M21" s="15">
        <f>IF($P21="","",IFERROR(IF(INDEX(MASTER!$Q$4:$Q$1463,$P21)="","",INDEX(MASTER!$Q$4:$Q$1463,$P21)),""))</f>
        <v>11</v>
      </c>
      <c r="N21" s="15" t="str">
        <f>IF($P21="","",IFERROR(IF(INDEX(MASTER!$S$4:$S$1463,$P21)="","",INDEX(MASTER!$S$4:$S$1463,$P21)),""))</f>
        <v>Complete</v>
      </c>
      <c r="P21">
        <f>IFERROR(MATCH($Q$1&amp;"@13",MASTER!$AC$4:$AC$1463,0),"")</f>
        <v>110</v>
      </c>
    </row>
    <row r="22" spans="1:16">
      <c r="A22" s="19">
        <f>IF($P22="","",14)</f>
        <v>14</v>
      </c>
      <c r="B22" s="18" t="str">
        <f>IF($P22="","",IFERROR(IF(INDEX(MASTER!$C$4:$C$1463,$P22)="","",INDEX(MASTER!$C$4:$C$1463,$P22)),""))</f>
        <v>BongSreyJJ</v>
      </c>
      <c r="C22" s="19" t="str">
        <f>IF($P22="","",IFERROR(IF(INDEX(MASTER!$D$4:$D$1463,$P22)="","",INDEX(MASTER!$D$4:$D$1463,$P22)),""))</f>
        <v/>
      </c>
      <c r="D22" s="19" t="str">
        <f>IF($P22="","",IFERROR(IF(INDEX(MASTER!$E$4:$E$1463,$P22)="","",INDEX(MASTER!$E$4:$E$1463,$P22)),""))</f>
        <v>WIZARD</v>
      </c>
      <c r="E22" s="19" t="str">
        <f>IF($P22="","",IFERROR(IF(INDEX(MASTER!$F$4:$F$1463,$P22)="","",INDEX(MASTER!$F$4:$F$1463,$P22)),""))</f>
        <v>Ranged DPS</v>
      </c>
      <c r="F22" s="20">
        <f>IF($P22="","",IFERROR(IF(INDEX(MASTER!$G$4:$G$1463,$P22)="","",INDEX(MASTER!$G$4:$G$1463,$P22)),""))</f>
        <v>62554</v>
      </c>
      <c r="G22" s="19" t="str">
        <f>IF($P22="","",IFERROR(IF(INDEX(MASTER!$H$4:$H$1463,$P22)="","",INDEX(MASTER!$H$4:$H$1463,$P22)),""))</f>
        <v>62,000 - 62,999</v>
      </c>
      <c r="H22" s="20">
        <f>IF($P22="","",IFERROR(IF(INDEX(MASTER!$I$4:$I$1463,$P22)="","",INDEX(MASTER!$I$4:$I$1463,$P22)),""))</f>
        <v>1322</v>
      </c>
      <c r="I22" s="19" t="str">
        <f>IF($P22="","",IFERROR(IF(INDEX(MASTER!$J$4:$J$1463,$P22)="","",INDEX(MASTER!$J$4:$J$1463,$P22)),""))</f>
        <v>ROOKIE</v>
      </c>
      <c r="J22" s="21">
        <f>IF($P22="","",IFERROR(IF(INDEX(MASTER!$L$4:$L$1463,$P22)="","",INDEX(MASTER!$L$4:$L$1463,$P22)),""))</f>
        <v>3.8</v>
      </c>
      <c r="K22" s="21">
        <f>IF($P22="","",IFERROR(IF(INDEX(MASTER!$N$4:$N$1463,$P22)="","",INDEX(MASTER!$N$4:$N$1463,$P22)),""))</f>
        <v>32</v>
      </c>
      <c r="L22" s="19" t="str">
        <f>IF($P22="","",IFERROR(IF(INDEX(MASTER!$O$4:$O$1463,$P22)="","",INDEX(MASTER!$O$4:$O$1463,$P22)),""))</f>
        <v>C</v>
      </c>
      <c r="M22" s="19">
        <f>IF($P22="","",IFERROR(IF(INDEX(MASTER!$Q$4:$Q$1463,$P22)="","",INDEX(MASTER!$Q$4:$Q$1463,$P22)),""))</f>
        <v>76</v>
      </c>
      <c r="N22" s="19" t="str">
        <f>IF($P22="","",IFERROR(IF(INDEX(MASTER!$S$4:$S$1463,$P22)="","",INDEX(MASTER!$S$4:$S$1463,$P22)),""))</f>
        <v>Complete</v>
      </c>
      <c r="P22">
        <f>IFERROR(MATCH($Q$1&amp;"@14",MASTER!$AC$4:$AC$1463,0),"")</f>
        <v>163</v>
      </c>
    </row>
    <row r="23" spans="1:16">
      <c r="A23" s="15">
        <f>IF($P23="","",15)</f>
        <v>15</v>
      </c>
      <c r="B23" s="14" t="str">
        <f>IF($P23="","",IFERROR(IF(INDEX(MASTER!$C$4:$C$1463,$P23)="","",INDEX(MASTER!$C$4:$C$1463,$P23)),""))</f>
        <v>Brandiline</v>
      </c>
      <c r="C23" s="15" t="str">
        <f>IF($P23="","",IFERROR(IF(INDEX(MASTER!$D$4:$D$1463,$P23)="","",INDEX(MASTER!$D$4:$D$1463,$P23)),""))</f>
        <v/>
      </c>
      <c r="D23" s="15" t="str">
        <f>IF($P23="","",IFERROR(IF(INDEX(MASTER!$E$4:$E$1463,$P23)="","",INDEX(MASTER!$E$4:$E$1463,$P23)),""))</f>
        <v>WIZARD</v>
      </c>
      <c r="E23" s="15" t="str">
        <f>IF($P23="","",IFERROR(IF(INDEX(MASTER!$F$4:$F$1463,$P23)="","",INDEX(MASTER!$F$4:$F$1463,$P23)),""))</f>
        <v>Ranged DPS</v>
      </c>
      <c r="F23" s="16">
        <f>IF($P23="","",IFERROR(IF(INDEX(MASTER!$G$4:$G$1463,$P23)="","",INDEX(MASTER!$G$4:$G$1463,$P23)),""))</f>
        <v>62127</v>
      </c>
      <c r="G23" s="15" t="str">
        <f>IF($P23="","",IFERROR(IF(INDEX(MASTER!$H$4:$H$1463,$P23)="","",INDEX(MASTER!$H$4:$H$1463,$P23)),""))</f>
        <v>62,000 - 62,999</v>
      </c>
      <c r="H23" s="16">
        <f>IF($P23="","",IFERROR(IF(INDEX(MASTER!$I$4:$I$1463,$P23)="","",INDEX(MASTER!$I$4:$I$1463,$P23)),""))</f>
        <v>1435</v>
      </c>
      <c r="I23" s="15" t="str">
        <f>IF($P23="","",IFERROR(IF(INDEX(MASTER!$J$4:$J$1463,$P23)="","",INDEX(MASTER!$J$4:$J$1463,$P23)),""))</f>
        <v>ROOKIE</v>
      </c>
      <c r="J23" s="17">
        <f>IF($P23="","",IFERROR(IF(INDEX(MASTER!$L$4:$L$1463,$P23)="","",INDEX(MASTER!$L$4:$L$1463,$P23)),""))</f>
        <v>4</v>
      </c>
      <c r="K23" s="17">
        <f>IF($P23="","",IFERROR(IF(INDEX(MASTER!$N$4:$N$1463,$P23)="","",INDEX(MASTER!$N$4:$N$1463,$P23)),""))</f>
        <v>31.7</v>
      </c>
      <c r="L23" s="15" t="str">
        <f>IF($P23="","",IFERROR(IF(INDEX(MASTER!$O$4:$O$1463,$P23)="","",INDEX(MASTER!$O$4:$O$1463,$P23)),""))</f>
        <v>C</v>
      </c>
      <c r="M23" s="15">
        <f>IF($P23="","",IFERROR(IF(INDEX(MASTER!$Q$4:$Q$1463,$P23)="","",INDEX(MASTER!$Q$4:$Q$1463,$P23)),""))</f>
        <v>68</v>
      </c>
      <c r="N23" s="15" t="str">
        <f>IF($P23="","",IFERROR(IF(INDEX(MASTER!$S$4:$S$1463,$P23)="","",INDEX(MASTER!$S$4:$S$1463,$P23)),""))</f>
        <v>Complete</v>
      </c>
      <c r="P23">
        <f>IFERROR(MATCH($Q$1&amp;"@15",MASTER!$AC$4:$AC$1463,0),"")</f>
        <v>169</v>
      </c>
    </row>
    <row r="24" spans="1:16">
      <c r="A24" s="19">
        <f>IF($P24="","",16)</f>
        <v>16</v>
      </c>
      <c r="B24" s="18" t="str">
        <f>IF($P24="","",IFERROR(IF(INDEX(MASTER!$C$4:$C$1463,$P24)="","",INDEX(MASTER!$C$4:$C$1463,$P24)),""))</f>
        <v>B乇从BΔNᴳ・・・</v>
      </c>
      <c r="C24" s="19" t="str">
        <f>IF($P24="","",IFERROR(IF(INDEX(MASTER!$D$4:$D$1463,$P24)="","",INDEX(MASTER!$D$4:$D$1463,$P24)),""))</f>
        <v/>
      </c>
      <c r="D24" s="19" t="str">
        <f>IF($P24="","",IFERROR(IF(INDEX(MASTER!$E$4:$E$1463,$P24)="","",INDEX(MASTER!$E$4:$E$1463,$P24)),""))</f>
        <v>NECROMANCER</v>
      </c>
      <c r="E24" s="19" t="str">
        <f>IF($P24="","",IFERROR(IF(INDEX(MASTER!$F$4:$F$1463,$P24)="","",INDEX(MASTER!$F$4:$F$1463,$P24)),""))</f>
        <v>Control</v>
      </c>
      <c r="F24" s="20">
        <f>IF($P24="","",IFERROR(IF(INDEX(MASTER!$G$4:$G$1463,$P24)="","",INDEX(MASTER!$G$4:$G$1463,$P24)),""))</f>
        <v>62507</v>
      </c>
      <c r="G24" s="19" t="str">
        <f>IF($P24="","",IFERROR(IF(INDEX(MASTER!$H$4:$H$1463,$P24)="","",INDEX(MASTER!$H$4:$H$1463,$P24)),""))</f>
        <v>62,000 - 62,999</v>
      </c>
      <c r="H24" s="20">
        <f>IF($P24="","",IFERROR(IF(INDEX(MASTER!$I$4:$I$1463,$P24)="","",INDEX(MASTER!$I$4:$I$1463,$P24)),""))</f>
        <v>2040</v>
      </c>
      <c r="I24" s="19" t="str">
        <f>IF($P24="","",IFERROR(IF(INDEX(MASTER!$J$4:$J$1463,$P24)="","",INDEX(MASTER!$J$4:$J$1463,$P24)),""))</f>
        <v>DEVELOPING</v>
      </c>
      <c r="J24" s="21">
        <f>IF($P24="","",IFERROR(IF(INDEX(MASTER!$L$4:$L$1463,$P24)="","",INDEX(MASTER!$L$4:$L$1463,$P24)),""))</f>
        <v>4.0999999999999996</v>
      </c>
      <c r="K24" s="21">
        <f>IF($P24="","",IFERROR(IF(INDEX(MASTER!$N$4:$N$1463,$P24)="","",INDEX(MASTER!$N$4:$N$1463,$P24)),""))</f>
        <v>35.5</v>
      </c>
      <c r="L24" s="19" t="str">
        <f>IF($P24="","",IFERROR(IF(INDEX(MASTER!$O$4:$O$1463,$P24)="","",INDEX(MASTER!$O$4:$O$1463,$P24)),""))</f>
        <v>B</v>
      </c>
      <c r="M24" s="19">
        <f>IF($P24="","",IFERROR(IF(INDEX(MASTER!$Q$4:$Q$1463,$P24)="","",INDEX(MASTER!$Q$4:$Q$1463,$P24)),""))</f>
        <v>45</v>
      </c>
      <c r="N24" s="19" t="str">
        <f>IF($P24="","",IFERROR(IF(INDEX(MASTER!$S$4:$S$1463,$P24)="","",INDEX(MASTER!$S$4:$S$1463,$P24)),""))</f>
        <v>Complete</v>
      </c>
      <c r="P24">
        <f>IFERROR(MATCH($Q$1&amp;"@16",MASTER!$AC$4:$AC$1463,0),"")</f>
        <v>183</v>
      </c>
    </row>
    <row r="25" spans="1:16">
      <c r="A25" s="15">
        <f>IF($P25="","",17)</f>
        <v>17</v>
      </c>
      <c r="B25" s="14" t="str">
        <f>IF($P25="","",IFERROR(IF(INDEX(MASTER!$C$4:$C$1463,$P25)="","",INDEX(MASTER!$C$4:$C$1463,$P25)),""))</f>
        <v>CabinSanchez</v>
      </c>
      <c r="C25" s="15" t="str">
        <f>IF($P25="","",IFERROR(IF(INDEX(MASTER!$D$4:$D$1463,$P25)="","",INDEX(MASTER!$D$4:$D$1463,$P25)),""))</f>
        <v/>
      </c>
      <c r="D25" s="15" t="str">
        <f>IF($P25="","",IFERROR(IF(INDEX(MASTER!$E$4:$E$1463,$P25)="","",INDEX(MASTER!$E$4:$E$1463,$P25)),""))</f>
        <v>BARBARIAN</v>
      </c>
      <c r="E25" s="15" t="str">
        <f>IF($P25="","",IFERROR(IF(INDEX(MASTER!$F$4:$F$1463,$P25)="","",INDEX(MASTER!$F$4:$F$1463,$P25)),""))</f>
        <v>Frontline</v>
      </c>
      <c r="F25" s="16">
        <f>IF($P25="","",IFERROR(IF(INDEX(MASTER!$G$4:$G$1463,$P25)="","",INDEX(MASTER!$G$4:$G$1463,$P25)),""))</f>
        <v>60621</v>
      </c>
      <c r="G25" s="15" t="str">
        <f>IF($P25="","",IFERROR(IF(INDEX(MASTER!$H$4:$H$1463,$P25)="","",INDEX(MASTER!$H$4:$H$1463,$P25)),""))</f>
        <v>60,000 - 60,999</v>
      </c>
      <c r="H25" s="16">
        <f>IF($P25="","",IFERROR(IF(INDEX(MASTER!$I$4:$I$1463,$P25)="","",INDEX(MASTER!$I$4:$I$1463,$P25)),""))</f>
        <v>1827</v>
      </c>
      <c r="I25" s="15" t="str">
        <f>IF($P25="","",IFERROR(IF(INDEX(MASTER!$J$4:$J$1463,$P25)="","",INDEX(MASTER!$J$4:$J$1463,$P25)),""))</f>
        <v>ROOKIE</v>
      </c>
      <c r="J25" s="17">
        <f>IF($P25="","",IFERROR(IF(INDEX(MASTER!$L$4:$L$1463,$P25)="","",INDEX(MASTER!$L$4:$L$1463,$P25)),""))</f>
        <v>3.5</v>
      </c>
      <c r="K25" s="17">
        <f>IF($P25="","",IFERROR(IF(INDEX(MASTER!$N$4:$N$1463,$P25)="","",INDEX(MASTER!$N$4:$N$1463,$P25)),""))</f>
        <v>28.6</v>
      </c>
      <c r="L25" s="15" t="str">
        <f>IF($P25="","",IFERROR(IF(INDEX(MASTER!$O$4:$O$1463,$P25)="","",INDEX(MASTER!$O$4:$O$1463,$P25)),""))</f>
        <v>C</v>
      </c>
      <c r="M25" s="15">
        <f>IF($P25="","",IFERROR(IF(INDEX(MASTER!$Q$4:$Q$1463,$P25)="","",INDEX(MASTER!$Q$4:$Q$1463,$P25)),""))</f>
        <v>55</v>
      </c>
      <c r="N25" s="15" t="str">
        <f>IF($P25="","",IFERROR(IF(INDEX(MASTER!$S$4:$S$1463,$P25)="","",INDEX(MASTER!$S$4:$S$1463,$P25)),""))</f>
        <v>Complete</v>
      </c>
      <c r="P25">
        <f>IFERROR(MATCH($Q$1&amp;"@17",MASTER!$AC$4:$AC$1463,0),"")</f>
        <v>184</v>
      </c>
    </row>
    <row r="26" spans="1:16">
      <c r="A26" s="19">
        <f>IF($P26="","",18)</f>
        <v>18</v>
      </c>
      <c r="B26" s="18" t="str">
        <f>IF($P26="","",IFERROR(IF(INDEX(MASTER!$C$4:$C$1463,$P26)="","",INDEX(MASTER!$C$4:$C$1463,$P26)),""))</f>
        <v>Charssi</v>
      </c>
      <c r="C26" s="19" t="str">
        <f>IF($P26="","",IFERROR(IF(INDEX(MASTER!$D$4:$D$1463,$P26)="","",INDEX(MASTER!$D$4:$D$1463,$P26)),""))</f>
        <v/>
      </c>
      <c r="D26" s="19" t="str">
        <f>IF($P26="","",IFERROR(IF(INDEX(MASTER!$E$4:$E$1463,$P26)="","",INDEX(MASTER!$E$4:$E$1463,$P26)),""))</f>
        <v>WIZARD</v>
      </c>
      <c r="E26" s="19" t="str">
        <f>IF($P26="","",IFERROR(IF(INDEX(MASTER!$F$4:$F$1463,$P26)="","",INDEX(MASTER!$F$4:$F$1463,$P26)),""))</f>
        <v>Ranged DPS</v>
      </c>
      <c r="F26" s="20">
        <f>IF($P26="","",IFERROR(IF(INDEX(MASTER!$G$4:$G$1463,$P26)="","",INDEX(MASTER!$G$4:$G$1463,$P26)),""))</f>
        <v>63137</v>
      </c>
      <c r="G26" s="19" t="str">
        <f>IF($P26="","",IFERROR(IF(INDEX(MASTER!$H$4:$H$1463,$P26)="","",INDEX(MASTER!$H$4:$H$1463,$P26)),""))</f>
        <v>63,000 - 63,999</v>
      </c>
      <c r="H26" s="20">
        <f>IF($P26="","",IFERROR(IF(INDEX(MASTER!$I$4:$I$1463,$P26)="","",INDEX(MASTER!$I$4:$I$1463,$P26)),""))</f>
        <v>3685</v>
      </c>
      <c r="I26" s="19" t="str">
        <f>IF($P26="","",IFERROR(IF(INDEX(MASTER!$J$4:$J$1463,$P26)="","",INDEX(MASTER!$J$4:$J$1463,$P26)),""))</f>
        <v>DEVELOPING</v>
      </c>
      <c r="J26" s="21">
        <f>IF($P26="","",IFERROR(IF(INDEX(MASTER!$L$4:$L$1463,$P26)="","",INDEX(MASTER!$L$4:$L$1463,$P26)),""))</f>
        <v>5.4</v>
      </c>
      <c r="K26" s="21">
        <f>IF($P26="","",IFERROR(IF(INDEX(MASTER!$N$4:$N$1463,$P26)="","",INDEX(MASTER!$N$4:$N$1463,$P26)),""))</f>
        <v>46.5</v>
      </c>
      <c r="L26" s="19" t="str">
        <f>IF($P26="","",IFERROR(IF(INDEX(MASTER!$O$4:$O$1463,$P26)="","",INDEX(MASTER!$O$4:$O$1463,$P26)),""))</f>
        <v>B</v>
      </c>
      <c r="M26" s="19">
        <f>IF($P26="","",IFERROR(IF(INDEX(MASTER!$Q$4:$Q$1463,$P26)="","",INDEX(MASTER!$Q$4:$Q$1463,$P26)),""))</f>
        <v>4</v>
      </c>
      <c r="N26" s="19" t="str">
        <f>IF($P26="","",IFERROR(IF(INDEX(MASTER!$S$4:$S$1463,$P26)="","",INDEX(MASTER!$S$4:$S$1463,$P26)),""))</f>
        <v>Complete</v>
      </c>
      <c r="P26">
        <f>IFERROR(MATCH($Q$1&amp;"@18",MASTER!$AC$4:$AC$1463,0),"")</f>
        <v>204</v>
      </c>
    </row>
    <row r="27" spans="1:16">
      <c r="A27" s="15">
        <f>IF($P27="","",19)</f>
        <v>19</v>
      </c>
      <c r="B27" s="14" t="str">
        <f>IF($P27="","",IFERROR(IF(INDEX(MASTER!$C$4:$C$1463,$P27)="","",INDEX(MASTER!$C$4:$C$1463,$P27)),""))</f>
        <v>CleeToriss</v>
      </c>
      <c r="C27" s="15" t="str">
        <f>IF($P27="","",IFERROR(IF(INDEX(MASTER!$D$4:$D$1463,$P27)="","",INDEX(MASTER!$D$4:$D$1463,$P27)),""))</f>
        <v/>
      </c>
      <c r="D27" s="15" t="str">
        <f>IF($P27="","",IFERROR(IF(INDEX(MASTER!$E$4:$E$1463,$P27)="","",INDEX(MASTER!$E$4:$E$1463,$P27)),""))</f>
        <v>TEMPEST</v>
      </c>
      <c r="E27" s="15" t="str">
        <f>IF($P27="","",IFERROR(IF(INDEX(MASTER!$F$4:$F$1463,$P27)="","",INDEX(MASTER!$F$4:$F$1463,$P27)),""))</f>
        <v>Melee DPS</v>
      </c>
      <c r="F27" s="16">
        <f>IF($P27="","",IFERROR(IF(INDEX(MASTER!$G$4:$G$1463,$P27)="","",INDEX(MASTER!$G$4:$G$1463,$P27)),""))</f>
        <v>62645</v>
      </c>
      <c r="G27" s="15" t="str">
        <f>IF($P27="","",IFERROR(IF(INDEX(MASTER!$H$4:$H$1463,$P27)="","",INDEX(MASTER!$H$4:$H$1463,$P27)),""))</f>
        <v>62,000 - 62,999</v>
      </c>
      <c r="H27" s="16">
        <f>IF($P27="","",IFERROR(IF(INDEX(MASTER!$I$4:$I$1463,$P27)="","",INDEX(MASTER!$I$4:$I$1463,$P27)),""))</f>
        <v>3109</v>
      </c>
      <c r="I27" s="15" t="str">
        <f>IF($P27="","",IFERROR(IF(INDEX(MASTER!$J$4:$J$1463,$P27)="","",INDEX(MASTER!$J$4:$J$1463,$P27)),""))</f>
        <v>DEVELOPING</v>
      </c>
      <c r="J27" s="17">
        <f>IF($P27="","",IFERROR(IF(INDEX(MASTER!$L$4:$L$1463,$P27)="","",INDEX(MASTER!$L$4:$L$1463,$P27)),""))</f>
        <v>4.2</v>
      </c>
      <c r="K27" s="17">
        <f>IF($P27="","",IFERROR(IF(INDEX(MASTER!$N$4:$N$1463,$P27)="","",INDEX(MASTER!$N$4:$N$1463,$P27)),""))</f>
        <v>40.700000000000003</v>
      </c>
      <c r="L27" s="15" t="str">
        <f>IF($P27="","",IFERROR(IF(INDEX(MASTER!$O$4:$O$1463,$P27)="","",INDEX(MASTER!$O$4:$O$1463,$P27)),""))</f>
        <v>B</v>
      </c>
      <c r="M27" s="15">
        <f>IF($P27="","",IFERROR(IF(INDEX(MASTER!$Q$4:$Q$1463,$P27)="","",INDEX(MASTER!$Q$4:$Q$1463,$P27)),""))</f>
        <v>13</v>
      </c>
      <c r="N27" s="15" t="str">
        <f>IF($P27="","",IFERROR(IF(INDEX(MASTER!$S$4:$S$1463,$P27)="","",INDEX(MASTER!$S$4:$S$1463,$P27)),""))</f>
        <v>Complete</v>
      </c>
      <c r="P27">
        <f>IFERROR(MATCH($Q$1&amp;"@19",MASTER!$AC$4:$AC$1463,0),"")</f>
        <v>218</v>
      </c>
    </row>
    <row r="28" spans="1:16">
      <c r="A28" s="19">
        <f>IF($P28="","",20)</f>
        <v>20</v>
      </c>
      <c r="B28" s="18" t="str">
        <f>IF($P28="","",IFERROR(IF(INDEX(MASTER!$C$4:$C$1463,$P28)="","",INDEX(MASTER!$C$4:$C$1463,$P28)),""))</f>
        <v>Dantupapi</v>
      </c>
      <c r="C28" s="19" t="str">
        <f>IF($P28="","",IFERROR(IF(INDEX(MASTER!$D$4:$D$1463,$P28)="","",INDEX(MASTER!$D$4:$D$1463,$P28)),""))</f>
        <v/>
      </c>
      <c r="D28" s="19" t="str">
        <f>IF($P28="","",IFERROR(IF(INDEX(MASTER!$E$4:$E$1463,$P28)="","",INDEX(MASTER!$E$4:$E$1463,$P28)),""))</f>
        <v>WARLOCK</v>
      </c>
      <c r="E28" s="19" t="str">
        <f>IF($P28="","",IFERROR(IF(INDEX(MASTER!$F$4:$F$1463,$P28)="","",INDEX(MASTER!$F$4:$F$1463,$P28)),""))</f>
        <v>Control</v>
      </c>
      <c r="F28" s="20">
        <f>IF($P28="","",IFERROR(IF(INDEX(MASTER!$G$4:$G$1463,$P28)="","",INDEX(MASTER!$G$4:$G$1463,$P28)),""))</f>
        <v>61922</v>
      </c>
      <c r="G28" s="19" t="str">
        <f>IF($P28="","",IFERROR(IF(INDEX(MASTER!$H$4:$H$1463,$P28)="","",INDEX(MASTER!$H$4:$H$1463,$P28)),""))</f>
        <v>61,000 - 61,999</v>
      </c>
      <c r="H28" s="20">
        <f>IF($P28="","",IFERROR(IF(INDEX(MASTER!$I$4:$I$1463,$P28)="","",INDEX(MASTER!$I$4:$I$1463,$P28)),""))</f>
        <v>2099</v>
      </c>
      <c r="I28" s="19" t="str">
        <f>IF($P28="","",IFERROR(IF(INDEX(MASTER!$J$4:$J$1463,$P28)="","",INDEX(MASTER!$J$4:$J$1463,$P28)),""))</f>
        <v>DEVELOPING</v>
      </c>
      <c r="J28" s="21">
        <f>IF($P28="","",IFERROR(IF(INDEX(MASTER!$L$4:$L$1463,$P28)="","",INDEX(MASTER!$L$4:$L$1463,$P28)),""))</f>
        <v>3.1</v>
      </c>
      <c r="K28" s="21">
        <f>IF($P28="","",IFERROR(IF(INDEX(MASTER!$N$4:$N$1463,$P28)="","",INDEX(MASTER!$N$4:$N$1463,$P28)),""))</f>
        <v>32.5</v>
      </c>
      <c r="L28" s="19" t="str">
        <f>IF($P28="","",IFERROR(IF(INDEX(MASTER!$O$4:$O$1463,$P28)="","",INDEX(MASTER!$O$4:$O$1463,$P28)),""))</f>
        <v>C</v>
      </c>
      <c r="M28" s="19">
        <f>IF($P28="","",IFERROR(IF(INDEX(MASTER!$Q$4:$Q$1463,$P28)="","",INDEX(MASTER!$Q$4:$Q$1463,$P28)),""))</f>
        <v>42</v>
      </c>
      <c r="N28" s="19" t="str">
        <f>IF($P28="","",IFERROR(IF(INDEX(MASTER!$S$4:$S$1463,$P28)="","",INDEX(MASTER!$S$4:$S$1463,$P28)),""))</f>
        <v>Complete</v>
      </c>
      <c r="P28">
        <f>IFERROR(MATCH($Q$1&amp;"@20",MASTER!$AC$4:$AC$1463,0),"")</f>
        <v>249</v>
      </c>
    </row>
    <row r="29" spans="1:16">
      <c r="A29" s="15">
        <f>IF($P29="","",21)</f>
        <v>21</v>
      </c>
      <c r="B29" s="14" t="str">
        <f>IF($P29="","",IFERROR(IF(INDEX(MASTER!$C$4:$C$1463,$P29)="","",INDEX(MASTER!$C$4:$C$1463,$P29)),""))</f>
        <v>Darkall</v>
      </c>
      <c r="C29" s="15" t="str">
        <f>IF($P29="","",IFERROR(IF(INDEX(MASTER!$D$4:$D$1463,$P29)="","",INDEX(MASTER!$D$4:$D$1463,$P29)),""))</f>
        <v/>
      </c>
      <c r="D29" s="15" t="str">
        <f>IF($P29="","",IFERROR(IF(INDEX(MASTER!$E$4:$E$1463,$P29)="","",INDEX(MASTER!$E$4:$E$1463,$P29)),""))</f>
        <v>NECROMANCER</v>
      </c>
      <c r="E29" s="15" t="str">
        <f>IF($P29="","",IFERROR(IF(INDEX(MASTER!$F$4:$F$1463,$P29)="","",INDEX(MASTER!$F$4:$F$1463,$P29)),""))</f>
        <v>Control</v>
      </c>
      <c r="F29" s="16">
        <f>IF($P29="","",IFERROR(IF(INDEX(MASTER!$G$4:$G$1463,$P29)="","",INDEX(MASTER!$G$4:$G$1463,$P29)),""))</f>
        <v>62429</v>
      </c>
      <c r="G29" s="15" t="str">
        <f>IF($P29="","",IFERROR(IF(INDEX(MASTER!$H$4:$H$1463,$P29)="","",INDEX(MASTER!$H$4:$H$1463,$P29)),""))</f>
        <v>62,000 - 62,999</v>
      </c>
      <c r="H29" s="16">
        <f>IF($P29="","",IFERROR(IF(INDEX(MASTER!$I$4:$I$1463,$P29)="","",INDEX(MASTER!$I$4:$I$1463,$P29)),""))</f>
        <v>972</v>
      </c>
      <c r="I29" s="15" t="str">
        <f>IF($P29="","",IFERROR(IF(INDEX(MASTER!$J$4:$J$1463,$P29)="","",INDEX(MASTER!$J$4:$J$1463,$P29)),""))</f>
        <v>ROOKIE</v>
      </c>
      <c r="J29" s="17">
        <f>IF($P29="","",IFERROR(IF(INDEX(MASTER!$L$4:$L$1463,$P29)="","",INDEX(MASTER!$L$4:$L$1463,$P29)),""))</f>
        <v>3.3</v>
      </c>
      <c r="K29" s="17">
        <f>IF($P29="","",IFERROR(IF(INDEX(MASTER!$N$4:$N$1463,$P29)="","",INDEX(MASTER!$N$4:$N$1463,$P29)),""))</f>
        <v>29.3</v>
      </c>
      <c r="L29" s="15" t="str">
        <f>IF($P29="","",IFERROR(IF(INDEX(MASTER!$O$4:$O$1463,$P29)="","",INDEX(MASTER!$O$4:$O$1463,$P29)),""))</f>
        <v>C</v>
      </c>
      <c r="M29" s="15">
        <f>IF($P29="","",IFERROR(IF(INDEX(MASTER!$Q$4:$Q$1463,$P29)="","",INDEX(MASTER!$Q$4:$Q$1463,$P29)),""))</f>
        <v>86</v>
      </c>
      <c r="N29" s="15" t="str">
        <f>IF($P29="","",IFERROR(IF(INDEX(MASTER!$S$4:$S$1463,$P29)="","",INDEX(MASTER!$S$4:$S$1463,$P29)),""))</f>
        <v>Complete</v>
      </c>
      <c r="P29">
        <f>IFERROR(MATCH($Q$1&amp;"@21",MASTER!$AC$4:$AC$1463,0),"")</f>
        <v>252</v>
      </c>
    </row>
    <row r="30" spans="1:16">
      <c r="A30" s="19">
        <f>IF($P30="","",22)</f>
        <v>22</v>
      </c>
      <c r="B30" s="18" t="str">
        <f>IF($P30="","",IFERROR(IF(INDEX(MASTER!$C$4:$C$1463,$P30)="","",INDEX(MASTER!$C$4:$C$1463,$P30)),""))</f>
        <v>Dipp3r</v>
      </c>
      <c r="C30" s="19" t="str">
        <f>IF($P30="","",IFERROR(IF(INDEX(MASTER!$D$4:$D$1463,$P30)="","",INDEX(MASTER!$D$4:$D$1463,$P30)),""))</f>
        <v/>
      </c>
      <c r="D30" s="19" t="str">
        <f>IF($P30="","",IFERROR(IF(INDEX(MASTER!$E$4:$E$1463,$P30)="","",INDEX(MASTER!$E$4:$E$1463,$P30)),""))</f>
        <v>NECROMANCER</v>
      </c>
      <c r="E30" s="19" t="str">
        <f>IF($P30="","",IFERROR(IF(INDEX(MASTER!$F$4:$F$1463,$P30)="","",INDEX(MASTER!$F$4:$F$1463,$P30)),""))</f>
        <v>Control</v>
      </c>
      <c r="F30" s="20">
        <f>IF($P30="","",IFERROR(IF(INDEX(MASTER!$G$4:$G$1463,$P30)="","",INDEX(MASTER!$G$4:$G$1463,$P30)),""))</f>
        <v>61845</v>
      </c>
      <c r="G30" s="19" t="str">
        <f>IF($P30="","",IFERROR(IF(INDEX(MASTER!$H$4:$H$1463,$P30)="","",INDEX(MASTER!$H$4:$H$1463,$P30)),""))</f>
        <v>61,000 - 61,999</v>
      </c>
      <c r="H30" s="20">
        <f>IF($P30="","",IFERROR(IF(INDEX(MASTER!$I$4:$I$1463,$P30)="","",INDEX(MASTER!$I$4:$I$1463,$P30)),""))</f>
        <v>860</v>
      </c>
      <c r="I30" s="19" t="str">
        <f>IF($P30="","",IFERROR(IF(INDEX(MASTER!$J$4:$J$1463,$P30)="","",INDEX(MASTER!$J$4:$J$1463,$P30)),""))</f>
        <v>ROOKIE</v>
      </c>
      <c r="J30" s="21">
        <f>IF($P30="","",IFERROR(IF(INDEX(MASTER!$L$4:$L$1463,$P30)="","",INDEX(MASTER!$L$4:$L$1463,$P30)),""))</f>
        <v>3.1</v>
      </c>
      <c r="K30" s="21">
        <f>IF($P30="","",IFERROR(IF(INDEX(MASTER!$N$4:$N$1463,$P30)="","",INDEX(MASTER!$N$4:$N$1463,$P30)),""))</f>
        <v>26.9</v>
      </c>
      <c r="L30" s="19" t="str">
        <f>IF($P30="","",IFERROR(IF(INDEX(MASTER!$O$4:$O$1463,$P30)="","",INDEX(MASTER!$O$4:$O$1463,$P30)),""))</f>
        <v>C</v>
      </c>
      <c r="M30" s="19">
        <f>IF($P30="","",IFERROR(IF(INDEX(MASTER!$Q$4:$Q$1463,$P30)="","",INDEX(MASTER!$Q$4:$Q$1463,$P30)),""))</f>
        <v>88</v>
      </c>
      <c r="N30" s="19" t="str">
        <f>IF($P30="","",IFERROR(IF(INDEX(MASTER!$S$4:$S$1463,$P30)="","",INDEX(MASTER!$S$4:$S$1463,$P30)),""))</f>
        <v>Complete</v>
      </c>
      <c r="P30">
        <f>IFERROR(MATCH($Q$1&amp;"@22",MASTER!$AC$4:$AC$1463,0),"")</f>
        <v>294</v>
      </c>
    </row>
    <row r="31" spans="1:16">
      <c r="A31" s="15">
        <f>IF($P31="","",23)</f>
        <v>23</v>
      </c>
      <c r="B31" s="14" t="str">
        <f>IF($P31="","",IFERROR(IF(INDEX(MASTER!$C$4:$C$1463,$P31)="","",INDEX(MASTER!$C$4:$C$1463,$P31)),""))</f>
        <v>DOORMAN1</v>
      </c>
      <c r="C31" s="15" t="str">
        <f>IF($P31="","",IFERROR(IF(INDEX(MASTER!$D$4:$D$1463,$P31)="","",INDEX(MASTER!$D$4:$D$1463,$P31)),""))</f>
        <v/>
      </c>
      <c r="D31" s="15" t="str">
        <f>IF($P31="","",IFERROR(IF(INDEX(MASTER!$E$4:$E$1463,$P31)="","",INDEX(MASTER!$E$4:$E$1463,$P31)),""))</f>
        <v>NECROMANCER</v>
      </c>
      <c r="E31" s="15" t="str">
        <f>IF($P31="","",IFERROR(IF(INDEX(MASTER!$F$4:$F$1463,$P31)="","",INDEX(MASTER!$F$4:$F$1463,$P31)),""))</f>
        <v>Control</v>
      </c>
      <c r="F31" s="16">
        <f>IF($P31="","",IFERROR(IF(INDEX(MASTER!$G$4:$G$1463,$P31)="","",INDEX(MASTER!$G$4:$G$1463,$P31)),""))</f>
        <v>59889</v>
      </c>
      <c r="G31" s="15" t="str">
        <f>IF($P31="","",IFERROR(IF(INDEX(MASTER!$H$4:$H$1463,$P31)="","",INDEX(MASTER!$H$4:$H$1463,$P31)),""))</f>
        <v>58,000 - 59,999</v>
      </c>
      <c r="H31" s="16">
        <f>IF($P31="","",IFERROR(IF(INDEX(MASTER!$I$4:$I$1463,$P31)="","",INDEX(MASTER!$I$4:$I$1463,$P31)),""))</f>
        <v>710</v>
      </c>
      <c r="I31" s="15" t="str">
        <f>IF($P31="","",IFERROR(IF(INDEX(MASTER!$J$4:$J$1463,$P31)="","",INDEX(MASTER!$J$4:$J$1463,$P31)),""))</f>
        <v>ROOKIE</v>
      </c>
      <c r="J31" s="17">
        <f>IF($P31="","",IFERROR(IF(INDEX(MASTER!$L$4:$L$1463,$P31)="","",INDEX(MASTER!$L$4:$L$1463,$P31)),""))</f>
        <v>2.5</v>
      </c>
      <c r="K31" s="17">
        <f>IF($P31="","",IFERROR(IF(INDEX(MASTER!$N$4:$N$1463,$P31)="","",INDEX(MASTER!$N$4:$N$1463,$P31)),""))</f>
        <v>20.100000000000001</v>
      </c>
      <c r="L31" s="15" t="str">
        <f>IF($P31="","",IFERROR(IF(INDEX(MASTER!$O$4:$O$1463,$P31)="","",INDEX(MASTER!$O$4:$O$1463,$P31)),""))</f>
        <v>C</v>
      </c>
      <c r="M31" s="15">
        <f>IF($P31="","",IFERROR(IF(INDEX(MASTER!$Q$4:$Q$1463,$P31)="","",INDEX(MASTER!$Q$4:$Q$1463,$P31)),""))</f>
        <v>91</v>
      </c>
      <c r="N31" s="15" t="str">
        <f>IF($P31="","",IFERROR(IF(INDEX(MASTER!$S$4:$S$1463,$P31)="","",INDEX(MASTER!$S$4:$S$1463,$P31)),""))</f>
        <v>Complete</v>
      </c>
      <c r="P31">
        <f>IFERROR(MATCH($Q$1&amp;"@23",MASTER!$AC$4:$AC$1463,0),"")</f>
        <v>305</v>
      </c>
    </row>
    <row r="32" spans="1:16">
      <c r="A32" s="19">
        <f>IF($P32="","",24)</f>
        <v>24</v>
      </c>
      <c r="B32" s="18" t="str">
        <f>IF($P32="","",IFERROR(IF(INDEX(MASTER!$C$4:$C$1463,$P32)="","",INDEX(MASTER!$C$4:$C$1463,$P32)),""))</f>
        <v>Dore</v>
      </c>
      <c r="C32" s="19" t="str">
        <f>IF($P32="","",IFERROR(IF(INDEX(MASTER!$D$4:$D$1463,$P32)="","",INDEX(MASTER!$D$4:$D$1463,$P32)),""))</f>
        <v/>
      </c>
      <c r="D32" s="19" t="str">
        <f>IF($P32="","",IFERROR(IF(INDEX(MASTER!$E$4:$E$1463,$P32)="","",INDEX(MASTER!$E$4:$E$1463,$P32)),""))</f>
        <v>WARLOCK</v>
      </c>
      <c r="E32" s="19" t="str">
        <f>IF($P32="","",IFERROR(IF(INDEX(MASTER!$F$4:$F$1463,$P32)="","",INDEX(MASTER!$F$4:$F$1463,$P32)),""))</f>
        <v>Control</v>
      </c>
      <c r="F32" s="20">
        <f>IF($P32="","",IFERROR(IF(INDEX(MASTER!$G$4:$G$1463,$P32)="","",INDEX(MASTER!$G$4:$G$1463,$P32)),""))</f>
        <v>61845</v>
      </c>
      <c r="G32" s="19" t="str">
        <f>IF($P32="","",IFERROR(IF(INDEX(MASTER!$H$4:$H$1463,$P32)="","",INDEX(MASTER!$H$4:$H$1463,$P32)),""))</f>
        <v>61,000 - 61,999</v>
      </c>
      <c r="H32" s="20">
        <f>IF($P32="","",IFERROR(IF(INDEX(MASTER!$I$4:$I$1463,$P32)="","",INDEX(MASTER!$I$4:$I$1463,$P32)),""))</f>
        <v>3592</v>
      </c>
      <c r="I32" s="19" t="str">
        <f>IF($P32="","",IFERROR(IF(INDEX(MASTER!$J$4:$J$1463,$P32)="","",INDEX(MASTER!$J$4:$J$1463,$P32)),""))</f>
        <v>DEVELOPING</v>
      </c>
      <c r="J32" s="21">
        <f>IF($P32="","",IFERROR(IF(INDEX(MASTER!$L$4:$L$1463,$P32)="","",INDEX(MASTER!$L$4:$L$1463,$P32)),""))</f>
        <v>4</v>
      </c>
      <c r="K32" s="21">
        <f>IF($P32="","",IFERROR(IF(INDEX(MASTER!$N$4:$N$1463,$P32)="","",INDEX(MASTER!$N$4:$N$1463,$P32)),""))</f>
        <v>40.4</v>
      </c>
      <c r="L32" s="19" t="str">
        <f>IF($P32="","",IFERROR(IF(INDEX(MASTER!$O$4:$O$1463,$P32)="","",INDEX(MASTER!$O$4:$O$1463,$P32)),""))</f>
        <v>B</v>
      </c>
      <c r="M32" s="19">
        <f>IF($P32="","",IFERROR(IF(INDEX(MASTER!$Q$4:$Q$1463,$P32)="","",INDEX(MASTER!$Q$4:$Q$1463,$P32)),""))</f>
        <v>5</v>
      </c>
      <c r="N32" s="19" t="str">
        <f>IF($P32="","",IFERROR(IF(INDEX(MASTER!$S$4:$S$1463,$P32)="","",INDEX(MASTER!$S$4:$S$1463,$P32)),""))</f>
        <v>Complete</v>
      </c>
      <c r="P32">
        <f>IFERROR(MATCH($Q$1&amp;"@24",MASTER!$AC$4:$AC$1463,0),"")</f>
        <v>307</v>
      </c>
    </row>
    <row r="33" spans="1:16">
      <c r="A33" s="15">
        <f>IF($P33="","",25)</f>
        <v>25</v>
      </c>
      <c r="B33" s="14" t="str">
        <f>IF($P33="","",IFERROR(IF(INDEX(MASTER!$C$4:$C$1463,$P33)="","",INDEX(MASTER!$C$4:$C$1463,$P33)),""))</f>
        <v>DUCnZUK</v>
      </c>
      <c r="C33" s="15" t="str">
        <f>IF($P33="","",IFERROR(IF(INDEX(MASTER!$D$4:$D$1463,$P33)="","",INDEX(MASTER!$D$4:$D$1463,$P33)),""))</f>
        <v/>
      </c>
      <c r="D33" s="15" t="str">
        <f>IF($P33="","",IFERROR(IF(INDEX(MASTER!$E$4:$E$1463,$P33)="","",INDEX(MASTER!$E$4:$E$1463,$P33)),""))</f>
        <v>NECROMANCER</v>
      </c>
      <c r="E33" s="15" t="str">
        <f>IF($P33="","",IFERROR(IF(INDEX(MASTER!$F$4:$F$1463,$P33)="","",INDEX(MASTER!$F$4:$F$1463,$P33)),""))</f>
        <v>Control</v>
      </c>
      <c r="F33" s="16">
        <f>IF($P33="","",IFERROR(IF(INDEX(MASTER!$G$4:$G$1463,$P33)="","",INDEX(MASTER!$G$4:$G$1463,$P33)),""))</f>
        <v>62212</v>
      </c>
      <c r="G33" s="15" t="str">
        <f>IF($P33="","",IFERROR(IF(INDEX(MASTER!$H$4:$H$1463,$P33)="","",INDEX(MASTER!$H$4:$H$1463,$P33)),""))</f>
        <v>62,000 - 62,999</v>
      </c>
      <c r="H33" s="16">
        <f>IF($P33="","",IFERROR(IF(INDEX(MASTER!$I$4:$I$1463,$P33)="","",INDEX(MASTER!$I$4:$I$1463,$P33)),""))</f>
        <v>740</v>
      </c>
      <c r="I33" s="15" t="str">
        <f>IF($P33="","",IFERROR(IF(INDEX(MASTER!$J$4:$J$1463,$P33)="","",INDEX(MASTER!$J$4:$J$1463,$P33)),""))</f>
        <v>ROOKIE</v>
      </c>
      <c r="J33" s="17">
        <f>IF($P33="","",IFERROR(IF(INDEX(MASTER!$L$4:$L$1463,$P33)="","",INDEX(MASTER!$L$4:$L$1463,$P33)),""))</f>
        <v>3</v>
      </c>
      <c r="K33" s="17">
        <f>IF($P33="","",IFERROR(IF(INDEX(MASTER!$N$4:$N$1463,$P33)="","",INDEX(MASTER!$N$4:$N$1463,$P33)),""))</f>
        <v>27.2</v>
      </c>
      <c r="L33" s="15" t="str">
        <f>IF($P33="","",IFERROR(IF(INDEX(MASTER!$O$4:$O$1463,$P33)="","",INDEX(MASTER!$O$4:$O$1463,$P33)),""))</f>
        <v>C</v>
      </c>
      <c r="M33" s="15">
        <f>IF($P33="","",IFERROR(IF(INDEX(MASTER!$Q$4:$Q$1463,$P33)="","",INDEX(MASTER!$Q$4:$Q$1463,$P33)),""))</f>
        <v>90</v>
      </c>
      <c r="N33" s="15" t="str">
        <f>IF($P33="","",IFERROR(IF(INDEX(MASTER!$S$4:$S$1463,$P33)="","",INDEX(MASTER!$S$4:$S$1463,$P33)),""))</f>
        <v>Complete</v>
      </c>
      <c r="P33">
        <f>IFERROR(MATCH($Q$1&amp;"@25",MASTER!$AC$4:$AC$1463,0),"")</f>
        <v>325</v>
      </c>
    </row>
    <row r="34" spans="1:16">
      <c r="A34" s="19">
        <f>IF($P34="","",26)</f>
        <v>26</v>
      </c>
      <c r="B34" s="18" t="str">
        <f>IF($P34="","",IFERROR(IF(INDEX(MASTER!$C$4:$C$1463,$P34)="","",INDEX(MASTER!$C$4:$C$1463,$P34)),""))</f>
        <v>EbannerHolyfield</v>
      </c>
      <c r="C34" s="19" t="str">
        <f>IF($P34="","",IFERROR(IF(INDEX(MASTER!$D$4:$D$1463,$P34)="","",INDEX(MASTER!$D$4:$D$1463,$P34)),""))</f>
        <v/>
      </c>
      <c r="D34" s="19" t="str">
        <f>IF($P34="","",IFERROR(IF(INDEX(MASTER!$E$4:$E$1463,$P34)="","",INDEX(MASTER!$E$4:$E$1463,$P34)),""))</f>
        <v>NECROMANCER</v>
      </c>
      <c r="E34" s="19" t="str">
        <f>IF($P34="","",IFERROR(IF(INDEX(MASTER!$F$4:$F$1463,$P34)="","",INDEX(MASTER!$F$4:$F$1463,$P34)),""))</f>
        <v>Control</v>
      </c>
      <c r="F34" s="20">
        <f>IF($P34="","",IFERROR(IF(INDEX(MASTER!$G$4:$G$1463,$P34)="","",INDEX(MASTER!$G$4:$G$1463,$P34)),""))</f>
        <v>60945</v>
      </c>
      <c r="G34" s="19" t="str">
        <f>IF($P34="","",IFERROR(IF(INDEX(MASTER!$H$4:$H$1463,$P34)="","",INDEX(MASTER!$H$4:$H$1463,$P34)),""))</f>
        <v>60,000 - 60,999</v>
      </c>
      <c r="H34" s="20">
        <f>IF($P34="","",IFERROR(IF(INDEX(MASTER!$I$4:$I$1463,$P34)="","",INDEX(MASTER!$I$4:$I$1463,$P34)),""))</f>
        <v>2030</v>
      </c>
      <c r="I34" s="19" t="str">
        <f>IF($P34="","",IFERROR(IF(INDEX(MASTER!$J$4:$J$1463,$P34)="","",INDEX(MASTER!$J$4:$J$1463,$P34)),""))</f>
        <v>DEVELOPING</v>
      </c>
      <c r="J34" s="21">
        <f>IF($P34="","",IFERROR(IF(INDEX(MASTER!$L$4:$L$1463,$P34)="","",INDEX(MASTER!$L$4:$L$1463,$P34)),""))</f>
        <v>3.2</v>
      </c>
      <c r="K34" s="21">
        <f>IF($P34="","",IFERROR(IF(INDEX(MASTER!$N$4:$N$1463,$P34)="","",INDEX(MASTER!$N$4:$N$1463,$P34)),""))</f>
        <v>29.8</v>
      </c>
      <c r="L34" s="19" t="str">
        <f>IF($P34="","",IFERROR(IF(INDEX(MASTER!$O$4:$O$1463,$P34)="","",INDEX(MASTER!$O$4:$O$1463,$P34)),""))</f>
        <v>C</v>
      </c>
      <c r="M34" s="19">
        <f>IF($P34="","",IFERROR(IF(INDEX(MASTER!$Q$4:$Q$1463,$P34)="","",INDEX(MASTER!$Q$4:$Q$1463,$P34)),""))</f>
        <v>47</v>
      </c>
      <c r="N34" s="19" t="str">
        <f>IF($P34="","",IFERROR(IF(INDEX(MASTER!$S$4:$S$1463,$P34)="","",INDEX(MASTER!$S$4:$S$1463,$P34)),""))</f>
        <v>Complete</v>
      </c>
      <c r="P34">
        <f>IFERROR(MATCH($Q$1&amp;"@26",MASTER!$AC$4:$AC$1463,0),"")</f>
        <v>338</v>
      </c>
    </row>
    <row r="35" spans="1:16">
      <c r="A35" s="15">
        <f>IF($P35="","",27)</f>
        <v>27</v>
      </c>
      <c r="B35" s="14" t="str">
        <f>IF($P35="","",IFERROR(IF(INDEX(MASTER!$C$4:$C$1463,$P35)="","",INDEX(MASTER!$C$4:$C$1463,$P35)),""))</f>
        <v>Elder69</v>
      </c>
      <c r="C35" s="15" t="str">
        <f>IF($P35="","",IFERROR(IF(INDEX(MASTER!$D$4:$D$1463,$P35)="","",INDEX(MASTER!$D$4:$D$1463,$P35)),""))</f>
        <v/>
      </c>
      <c r="D35" s="15" t="str">
        <f>IF($P35="","",IFERROR(IF(INDEX(MASTER!$E$4:$E$1463,$P35)="","",INDEX(MASTER!$E$4:$E$1463,$P35)),""))</f>
        <v>WIZARD</v>
      </c>
      <c r="E35" s="15" t="str">
        <f>IF($P35="","",IFERROR(IF(INDEX(MASTER!$F$4:$F$1463,$P35)="","",INDEX(MASTER!$F$4:$F$1463,$P35)),""))</f>
        <v>Ranged DPS</v>
      </c>
      <c r="F35" s="16">
        <f>IF($P35="","",IFERROR(IF(INDEX(MASTER!$G$4:$G$1463,$P35)="","",INDEX(MASTER!$G$4:$G$1463,$P35)),""))</f>
        <v>62929</v>
      </c>
      <c r="G35" s="15" t="str">
        <f>IF($P35="","",IFERROR(IF(INDEX(MASTER!$H$4:$H$1463,$P35)="","",INDEX(MASTER!$H$4:$H$1463,$P35)),""))</f>
        <v>62,000 - 62,999</v>
      </c>
      <c r="H35" s="16">
        <f>IF($P35="","",IFERROR(IF(INDEX(MASTER!$I$4:$I$1463,$P35)="","",INDEX(MASTER!$I$4:$I$1463,$P35)),""))</f>
        <v>2088</v>
      </c>
      <c r="I35" s="15" t="str">
        <f>IF($P35="","",IFERROR(IF(INDEX(MASTER!$J$4:$J$1463,$P35)="","",INDEX(MASTER!$J$4:$J$1463,$P35)),""))</f>
        <v>DEVELOPING</v>
      </c>
      <c r="J35" s="17">
        <f>IF($P35="","",IFERROR(IF(INDEX(MASTER!$L$4:$L$1463,$P35)="","",INDEX(MASTER!$L$4:$L$1463,$P35)),""))</f>
        <v>3.5</v>
      </c>
      <c r="K35" s="17">
        <f>IF($P35="","",IFERROR(IF(INDEX(MASTER!$N$4:$N$1463,$P35)="","",INDEX(MASTER!$N$4:$N$1463,$P35)),""))</f>
        <v>35.799999999999997</v>
      </c>
      <c r="L35" s="15" t="str">
        <f>IF($P35="","",IFERROR(IF(INDEX(MASTER!$O$4:$O$1463,$P35)="","",INDEX(MASTER!$O$4:$O$1463,$P35)),""))</f>
        <v>B</v>
      </c>
      <c r="M35" s="15">
        <f>IF($P35="","",IFERROR(IF(INDEX(MASTER!$Q$4:$Q$1463,$P35)="","",INDEX(MASTER!$Q$4:$Q$1463,$P35)),""))</f>
        <v>43</v>
      </c>
      <c r="N35" s="15" t="str">
        <f>IF($P35="","",IFERROR(IF(INDEX(MASTER!$S$4:$S$1463,$P35)="","",INDEX(MASTER!$S$4:$S$1463,$P35)),""))</f>
        <v>Complete</v>
      </c>
      <c r="P35">
        <f>IFERROR(MATCH($Q$1&amp;"@27",MASTER!$AC$4:$AC$1463,0),"")</f>
        <v>347</v>
      </c>
    </row>
    <row r="36" spans="1:16">
      <c r="A36" s="19">
        <f>IF($P36="","",28)</f>
        <v>28</v>
      </c>
      <c r="B36" s="18" t="str">
        <f>IF($P36="","",IFERROR(IF(INDEX(MASTER!$C$4:$C$1463,$P36)="","",INDEX(MASTER!$C$4:$C$1463,$P36)),""))</f>
        <v>Eucaryptus</v>
      </c>
      <c r="C36" s="19" t="str">
        <f>IF($P36="","",IFERROR(IF(INDEX(MASTER!$D$4:$D$1463,$P36)="","",INDEX(MASTER!$D$4:$D$1463,$P36)),""))</f>
        <v/>
      </c>
      <c r="D36" s="19" t="str">
        <f>IF($P36="","",IFERROR(IF(INDEX(MASTER!$E$4:$E$1463,$P36)="","",INDEX(MASTER!$E$4:$E$1463,$P36)),""))</f>
        <v>WARLOCK</v>
      </c>
      <c r="E36" s="19" t="str">
        <f>IF($P36="","",IFERROR(IF(INDEX(MASTER!$F$4:$F$1463,$P36)="","",INDEX(MASTER!$F$4:$F$1463,$P36)),""))</f>
        <v>Control</v>
      </c>
      <c r="F36" s="20">
        <f>IF($P36="","",IFERROR(IF(INDEX(MASTER!$G$4:$G$1463,$P36)="","",INDEX(MASTER!$G$4:$G$1463,$P36)),""))</f>
        <v>62423</v>
      </c>
      <c r="G36" s="19" t="str">
        <f>IF($P36="","",IFERROR(IF(INDEX(MASTER!$H$4:$H$1463,$P36)="","",INDEX(MASTER!$H$4:$H$1463,$P36)),""))</f>
        <v>62,000 - 62,999</v>
      </c>
      <c r="H36" s="20">
        <f>IF($P36="","",IFERROR(IF(INDEX(MASTER!$I$4:$I$1463,$P36)="","",INDEX(MASTER!$I$4:$I$1463,$P36)),""))</f>
        <v>2036</v>
      </c>
      <c r="I36" s="19" t="str">
        <f>IF($P36="","",IFERROR(IF(INDEX(MASTER!$J$4:$J$1463,$P36)="","",INDEX(MASTER!$J$4:$J$1463,$P36)),""))</f>
        <v>DEVELOPING</v>
      </c>
      <c r="J36" s="21">
        <f>IF($P36="","",IFERROR(IF(INDEX(MASTER!$L$4:$L$1463,$P36)="","",INDEX(MASTER!$L$4:$L$1463,$P36)),""))</f>
        <v>3.5</v>
      </c>
      <c r="K36" s="21">
        <f>IF($P36="","",IFERROR(IF(INDEX(MASTER!$N$4:$N$1463,$P36)="","",INDEX(MASTER!$N$4:$N$1463,$P36)),""))</f>
        <v>34.299999999999997</v>
      </c>
      <c r="L36" s="19" t="str">
        <f>IF($P36="","",IFERROR(IF(INDEX(MASTER!$O$4:$O$1463,$P36)="","",INDEX(MASTER!$O$4:$O$1463,$P36)),""))</f>
        <v>C</v>
      </c>
      <c r="M36" s="19">
        <f>IF($P36="","",IFERROR(IF(INDEX(MASTER!$Q$4:$Q$1463,$P36)="","",INDEX(MASTER!$Q$4:$Q$1463,$P36)),""))</f>
        <v>46</v>
      </c>
      <c r="N36" s="19" t="str">
        <f>IF($P36="","",IFERROR(IF(INDEX(MASTER!$S$4:$S$1463,$P36)="","",INDEX(MASTER!$S$4:$S$1463,$P36)),""))</f>
        <v>Complete</v>
      </c>
      <c r="P36">
        <f>IFERROR(MATCH($Q$1&amp;"@28",MASTER!$AC$4:$AC$1463,0),"")</f>
        <v>371</v>
      </c>
    </row>
    <row r="37" spans="1:16">
      <c r="A37" s="15">
        <f>IF($P37="","",29)</f>
        <v>29</v>
      </c>
      <c r="B37" s="14" t="str">
        <f>IF($P37="","",IFERROR(IF(INDEX(MASTER!$C$4:$C$1463,$P37)="","",INDEX(MASTER!$C$4:$C$1463,$P37)),""))</f>
        <v>Euslys</v>
      </c>
      <c r="C37" s="15" t="str">
        <f>IF($P37="","",IFERROR(IF(INDEX(MASTER!$D$4:$D$1463,$P37)="","",INDEX(MASTER!$D$4:$D$1463,$P37)),""))</f>
        <v/>
      </c>
      <c r="D37" s="15" t="str">
        <f>IF($P37="","",IFERROR(IF(INDEX(MASTER!$E$4:$E$1463,$P37)="","",INDEX(MASTER!$E$4:$E$1463,$P37)),""))</f>
        <v>WARLOCK</v>
      </c>
      <c r="E37" s="15" t="str">
        <f>IF($P37="","",IFERROR(IF(INDEX(MASTER!$F$4:$F$1463,$P37)="","",INDEX(MASTER!$F$4:$F$1463,$P37)),""))</f>
        <v>Control</v>
      </c>
      <c r="F37" s="16">
        <f>IF($P37="","",IFERROR(IF(INDEX(MASTER!$G$4:$G$1463,$P37)="","",INDEX(MASTER!$G$4:$G$1463,$P37)),""))</f>
        <v>61464</v>
      </c>
      <c r="G37" s="15" t="str">
        <f>IF($P37="","",IFERROR(IF(INDEX(MASTER!$H$4:$H$1463,$P37)="","",INDEX(MASTER!$H$4:$H$1463,$P37)),""))</f>
        <v>61,000 - 61,999</v>
      </c>
      <c r="H37" s="16">
        <f>IF($P37="","",IFERROR(IF(INDEX(MASTER!$I$4:$I$1463,$P37)="","",INDEX(MASTER!$I$4:$I$1463,$P37)),""))</f>
        <v>1947</v>
      </c>
      <c r="I37" s="15" t="str">
        <f>IF($P37="","",IFERROR(IF(INDEX(MASTER!$J$4:$J$1463,$P37)="","",INDEX(MASTER!$J$4:$J$1463,$P37)),""))</f>
        <v>ROOKIE</v>
      </c>
      <c r="J37" s="17">
        <f>IF($P37="","",IFERROR(IF(INDEX(MASTER!$L$4:$L$1463,$P37)="","",INDEX(MASTER!$L$4:$L$1463,$P37)),""))</f>
        <v>3.5</v>
      </c>
      <c r="K37" s="17">
        <f>IF($P37="","",IFERROR(IF(INDEX(MASTER!$N$4:$N$1463,$P37)="","",INDEX(MASTER!$N$4:$N$1463,$P37)),""))</f>
        <v>31.3</v>
      </c>
      <c r="L37" s="15" t="str">
        <f>IF($P37="","",IFERROR(IF(INDEX(MASTER!$O$4:$O$1463,$P37)="","",INDEX(MASTER!$O$4:$O$1463,$P37)),""))</f>
        <v>C</v>
      </c>
      <c r="M37" s="15">
        <f>IF($P37="","",IFERROR(IF(INDEX(MASTER!$Q$4:$Q$1463,$P37)="","",INDEX(MASTER!$Q$4:$Q$1463,$P37)),""))</f>
        <v>51</v>
      </c>
      <c r="N37" s="15" t="str">
        <f>IF($P37="","",IFERROR(IF(INDEX(MASTER!$S$4:$S$1463,$P37)="","",INDEX(MASTER!$S$4:$S$1463,$P37)),""))</f>
        <v>Complete</v>
      </c>
      <c r="P37">
        <f>IFERROR(MATCH($Q$1&amp;"@29",MASTER!$AC$4:$AC$1463,0),"")</f>
        <v>372</v>
      </c>
    </row>
    <row r="38" spans="1:16">
      <c r="A38" s="19">
        <f>IF($P38="","",30)</f>
        <v>30</v>
      </c>
      <c r="B38" s="18" t="str">
        <f>IF($P38="","",IFERROR(IF(INDEX(MASTER!$C$4:$C$1463,$P38)="","",INDEX(MASTER!$C$4:$C$1463,$P38)),""))</f>
        <v>Ezekrielle</v>
      </c>
      <c r="C38" s="19" t="str">
        <f>IF($P38="","",IFERROR(IF(INDEX(MASTER!$D$4:$D$1463,$P38)="","",INDEX(MASTER!$D$4:$D$1463,$P38)),""))</f>
        <v/>
      </c>
      <c r="D38" s="19" t="str">
        <f>IF($P38="","",IFERROR(IF(INDEX(MASTER!$E$4:$E$1463,$P38)="","",INDEX(MASTER!$E$4:$E$1463,$P38)),""))</f>
        <v>NECROMANCER</v>
      </c>
      <c r="E38" s="19" t="str">
        <f>IF($P38="","",IFERROR(IF(INDEX(MASTER!$F$4:$F$1463,$P38)="","",INDEX(MASTER!$F$4:$F$1463,$P38)),""))</f>
        <v>Control</v>
      </c>
      <c r="F38" s="20">
        <f>IF($P38="","",IFERROR(IF(INDEX(MASTER!$G$4:$G$1463,$P38)="","",INDEX(MASTER!$G$4:$G$1463,$P38)),""))</f>
        <v>61187</v>
      </c>
      <c r="G38" s="19" t="str">
        <f>IF($P38="","",IFERROR(IF(INDEX(MASTER!$H$4:$H$1463,$P38)="","",INDEX(MASTER!$H$4:$H$1463,$P38)),""))</f>
        <v>61,000 - 61,999</v>
      </c>
      <c r="H38" s="20">
        <f>IF($P38="","",IFERROR(IF(INDEX(MASTER!$I$4:$I$1463,$P38)="","",INDEX(MASTER!$I$4:$I$1463,$P38)),""))</f>
        <v>1134</v>
      </c>
      <c r="I38" s="19" t="str">
        <f>IF($P38="","",IFERROR(IF(INDEX(MASTER!$J$4:$J$1463,$P38)="","",INDEX(MASTER!$J$4:$J$1463,$P38)),""))</f>
        <v>ROOKIE</v>
      </c>
      <c r="J38" s="21">
        <f>IF($P38="","",IFERROR(IF(INDEX(MASTER!$L$4:$L$1463,$P38)="","",INDEX(MASTER!$L$4:$L$1463,$P38)),""))</f>
        <v>3.6</v>
      </c>
      <c r="K38" s="21">
        <f>IF($P38="","",IFERROR(IF(INDEX(MASTER!$N$4:$N$1463,$P38)="","",INDEX(MASTER!$N$4:$N$1463,$P38)),""))</f>
        <v>27.2</v>
      </c>
      <c r="L38" s="19" t="str">
        <f>IF($P38="","",IFERROR(IF(INDEX(MASTER!$O$4:$O$1463,$P38)="","",INDEX(MASTER!$O$4:$O$1463,$P38)),""))</f>
        <v>C</v>
      </c>
      <c r="M38" s="19">
        <f>IF($P38="","",IFERROR(IF(INDEX(MASTER!$Q$4:$Q$1463,$P38)="","",INDEX(MASTER!$Q$4:$Q$1463,$P38)),""))</f>
        <v>81</v>
      </c>
      <c r="N38" s="19" t="str">
        <f>IF($P38="","",IFERROR(IF(INDEX(MASTER!$S$4:$S$1463,$P38)="","",INDEX(MASTER!$S$4:$S$1463,$P38)),""))</f>
        <v>Complete</v>
      </c>
      <c r="P38">
        <f>IFERROR(MATCH($Q$1&amp;"@30",MASTER!$AC$4:$AC$1463,0),"")</f>
        <v>375</v>
      </c>
    </row>
    <row r="39" spans="1:16">
      <c r="A39" s="15">
        <f>IF($P39="","",31)</f>
        <v>31</v>
      </c>
      <c r="B39" s="14" t="str">
        <f>IF($P39="","",IFERROR(IF(INDEX(MASTER!$C$4:$C$1463,$P39)="","",INDEX(MASTER!$C$4:$C$1463,$P39)),""))</f>
        <v>Finella</v>
      </c>
      <c r="C39" s="15" t="str">
        <f>IF($P39="","",IFERROR(IF(INDEX(MASTER!$D$4:$D$1463,$P39)="","",INDEX(MASTER!$D$4:$D$1463,$P39)),""))</f>
        <v/>
      </c>
      <c r="D39" s="15" t="str">
        <f>IF($P39="","",IFERROR(IF(INDEX(MASTER!$E$4:$E$1463,$P39)="","",INDEX(MASTER!$E$4:$E$1463,$P39)),""))</f>
        <v>DEMON HUNTER</v>
      </c>
      <c r="E39" s="15" t="str">
        <f>IF($P39="","",IFERROR(IF(INDEX(MASTER!$F$4:$F$1463,$P39)="","",INDEX(MASTER!$F$4:$F$1463,$P39)),""))</f>
        <v>Ranged DPS</v>
      </c>
      <c r="F39" s="16">
        <f>IF($P39="","",IFERROR(IF(INDEX(MASTER!$G$4:$G$1463,$P39)="","",INDEX(MASTER!$G$4:$G$1463,$P39)),""))</f>
        <v>61118</v>
      </c>
      <c r="G39" s="15" t="str">
        <f>IF($P39="","",IFERROR(IF(INDEX(MASTER!$H$4:$H$1463,$P39)="","",INDEX(MASTER!$H$4:$H$1463,$P39)),""))</f>
        <v>61,000 - 61,999</v>
      </c>
      <c r="H39" s="16">
        <f>IF($P39="","",IFERROR(IF(INDEX(MASTER!$I$4:$I$1463,$P39)="","",INDEX(MASTER!$I$4:$I$1463,$P39)),""))</f>
        <v>1755</v>
      </c>
      <c r="I39" s="15" t="str">
        <f>IF($P39="","",IFERROR(IF(INDEX(MASTER!$J$4:$J$1463,$P39)="","",INDEX(MASTER!$J$4:$J$1463,$P39)),""))</f>
        <v>ROOKIE</v>
      </c>
      <c r="J39" s="17">
        <f>IF($P39="","",IFERROR(IF(INDEX(MASTER!$L$4:$L$1463,$P39)="","",INDEX(MASTER!$L$4:$L$1463,$P39)),""))</f>
        <v>3.65</v>
      </c>
      <c r="K39" s="17">
        <f>IF($P39="","",IFERROR(IF(INDEX(MASTER!$N$4:$N$1463,$P39)="","",INDEX(MASTER!$N$4:$N$1463,$P39)),""))</f>
        <v>29.8</v>
      </c>
      <c r="L39" s="15" t="str">
        <f>IF($P39="","",IFERROR(IF(INDEX(MASTER!$O$4:$O$1463,$P39)="","",INDEX(MASTER!$O$4:$O$1463,$P39)),""))</f>
        <v>C</v>
      </c>
      <c r="M39" s="15">
        <f>IF($P39="","",IFERROR(IF(INDEX(MASTER!$Q$4:$Q$1463,$P39)="","",INDEX(MASTER!$Q$4:$Q$1463,$P39)),""))</f>
        <v>56</v>
      </c>
      <c r="N39" s="15" t="str">
        <f>IF($P39="","",IFERROR(IF(INDEX(MASTER!$S$4:$S$1463,$P39)="","",INDEX(MASTER!$S$4:$S$1463,$P39)),""))</f>
        <v>Complete</v>
      </c>
      <c r="P39">
        <f>IFERROR(MATCH($Q$1&amp;"@31",MASTER!$AC$4:$AC$1463,0),"")</f>
        <v>388</v>
      </c>
    </row>
    <row r="40" spans="1:16">
      <c r="A40" s="19">
        <f>IF($P40="","",32)</f>
        <v>32</v>
      </c>
      <c r="B40" s="18" t="str">
        <f>IF($P40="","",IFERROR(IF(INDEX(MASTER!$C$4:$C$1463,$P40)="","",INDEX(MASTER!$C$4:$C$1463,$P40)),""))</f>
        <v>FurkarinaOfTime</v>
      </c>
      <c r="C40" s="19" t="str">
        <f>IF($P40="","",IFERROR(IF(INDEX(MASTER!$D$4:$D$1463,$P40)="","",INDEX(MASTER!$D$4:$D$1463,$P40)),""))</f>
        <v/>
      </c>
      <c r="D40" s="19" t="str">
        <f>IF($P40="","",IFERROR(IF(INDEX(MASTER!$E$4:$E$1463,$P40)="","",INDEX(MASTER!$E$4:$E$1463,$P40)),""))</f>
        <v>DRUID</v>
      </c>
      <c r="E40" s="19" t="str">
        <f>IF($P40="","",IFERROR(IF(INDEX(MASTER!$F$4:$F$1463,$P40)="","",INDEX(MASTER!$F$4:$F$1463,$P40)),""))</f>
        <v>Support</v>
      </c>
      <c r="F40" s="20">
        <f>IF($P40="","",IFERROR(IF(INDEX(MASTER!$G$4:$G$1463,$P40)="","",INDEX(MASTER!$G$4:$G$1463,$P40)),""))</f>
        <v>60592</v>
      </c>
      <c r="G40" s="19" t="str">
        <f>IF($P40="","",IFERROR(IF(INDEX(MASTER!$H$4:$H$1463,$P40)="","",INDEX(MASTER!$H$4:$H$1463,$P40)),""))</f>
        <v>60,000 - 60,999</v>
      </c>
      <c r="H40" s="20">
        <f>IF($P40="","",IFERROR(IF(INDEX(MASTER!$I$4:$I$1463,$P40)="","",INDEX(MASTER!$I$4:$I$1463,$P40)),""))</f>
        <v>1256</v>
      </c>
      <c r="I40" s="19" t="str">
        <f>IF($P40="","",IFERROR(IF(INDEX(MASTER!$J$4:$J$1463,$P40)="","",INDEX(MASTER!$J$4:$J$1463,$P40)),""))</f>
        <v>ROOKIE</v>
      </c>
      <c r="J40" s="21">
        <f>IF($P40="","",IFERROR(IF(INDEX(MASTER!$L$4:$L$1463,$P40)="","",INDEX(MASTER!$L$4:$L$1463,$P40)),""))</f>
        <v>3.3</v>
      </c>
      <c r="K40" s="21">
        <f>IF($P40="","",IFERROR(IF(INDEX(MASTER!$N$4:$N$1463,$P40)="","",INDEX(MASTER!$N$4:$N$1463,$P40)),""))</f>
        <v>25.7</v>
      </c>
      <c r="L40" s="19" t="str">
        <f>IF($P40="","",IFERROR(IF(INDEX(MASTER!$O$4:$O$1463,$P40)="","",INDEX(MASTER!$O$4:$O$1463,$P40)),""))</f>
        <v>C</v>
      </c>
      <c r="M40" s="19">
        <f>IF($P40="","",IFERROR(IF(INDEX(MASTER!$Q$4:$Q$1463,$P40)="","",INDEX(MASTER!$Q$4:$Q$1463,$P40)),""))</f>
        <v>79</v>
      </c>
      <c r="N40" s="19" t="str">
        <f>IF($P40="","",IFERROR(IF(INDEX(MASTER!$S$4:$S$1463,$P40)="","",INDEX(MASTER!$S$4:$S$1463,$P40)),""))</f>
        <v>Complete</v>
      </c>
      <c r="P40">
        <f>IFERROR(MATCH($Q$1&amp;"@32",MASTER!$AC$4:$AC$1463,0),"")</f>
        <v>406</v>
      </c>
    </row>
    <row r="41" spans="1:16">
      <c r="A41" s="15">
        <f>IF($P41="","",33)</f>
        <v>33</v>
      </c>
      <c r="B41" s="14" t="str">
        <f>IF($P41="","",IFERROR(IF(INDEX(MASTER!$C$4:$C$1463,$P41)="","",INDEX(MASTER!$C$4:$C$1463,$P41)),""))</f>
        <v>Furkless</v>
      </c>
      <c r="C41" s="15" t="str">
        <f>IF($P41="","",IFERROR(IF(INDEX(MASTER!$D$4:$D$1463,$P41)="","",INDEX(MASTER!$D$4:$D$1463,$P41)),""))</f>
        <v/>
      </c>
      <c r="D41" s="15" t="str">
        <f>IF($P41="","",IFERROR(IF(INDEX(MASTER!$E$4:$E$1463,$P41)="","",INDEX(MASTER!$E$4:$E$1463,$P41)),""))</f>
        <v>DRUID</v>
      </c>
      <c r="E41" s="15" t="str">
        <f>IF($P41="","",IFERROR(IF(INDEX(MASTER!$F$4:$F$1463,$P41)="","",INDEX(MASTER!$F$4:$F$1463,$P41)),""))</f>
        <v>Support</v>
      </c>
      <c r="F41" s="16">
        <f>IF($P41="","",IFERROR(IF(INDEX(MASTER!$G$4:$G$1463,$P41)="","",INDEX(MASTER!$G$4:$G$1463,$P41)),""))</f>
        <v>60784</v>
      </c>
      <c r="G41" s="15" t="str">
        <f>IF($P41="","",IFERROR(IF(INDEX(MASTER!$H$4:$H$1463,$P41)="","",INDEX(MASTER!$H$4:$H$1463,$P41)),""))</f>
        <v>60,000 - 60,999</v>
      </c>
      <c r="H41" s="16">
        <f>IF($P41="","",IFERROR(IF(INDEX(MASTER!$I$4:$I$1463,$P41)="","",INDEX(MASTER!$I$4:$I$1463,$P41)),""))</f>
        <v>1390</v>
      </c>
      <c r="I41" s="15" t="str">
        <f>IF($P41="","",IFERROR(IF(INDEX(MASTER!$J$4:$J$1463,$P41)="","",INDEX(MASTER!$J$4:$J$1463,$P41)),""))</f>
        <v>ROOKIE</v>
      </c>
      <c r="J41" s="17">
        <f>IF($P41="","",IFERROR(IF(INDEX(MASTER!$L$4:$L$1463,$P41)="","",INDEX(MASTER!$L$4:$L$1463,$P41)),""))</f>
        <v>4.0999999999999996</v>
      </c>
      <c r="K41" s="17">
        <f>IF($P41="","",IFERROR(IF(INDEX(MASTER!$N$4:$N$1463,$P41)="","",INDEX(MASTER!$N$4:$N$1463,$P41)),""))</f>
        <v>28.1</v>
      </c>
      <c r="L41" s="15" t="str">
        <f>IF($P41="","",IFERROR(IF(INDEX(MASTER!$O$4:$O$1463,$P41)="","",INDEX(MASTER!$O$4:$O$1463,$P41)),""))</f>
        <v>C</v>
      </c>
      <c r="M41" s="15">
        <f>IF($P41="","",IFERROR(IF(INDEX(MASTER!$Q$4:$Q$1463,$P41)="","",INDEX(MASTER!$Q$4:$Q$1463,$P41)),""))</f>
        <v>74</v>
      </c>
      <c r="N41" s="15" t="str">
        <f>IF($P41="","",IFERROR(IF(INDEX(MASTER!$S$4:$S$1463,$P41)="","",INDEX(MASTER!$S$4:$S$1463,$P41)),""))</f>
        <v>Complete</v>
      </c>
      <c r="P41">
        <f>IFERROR(MATCH($Q$1&amp;"@33",MASTER!$AC$4:$AC$1463,0),"")</f>
        <v>408</v>
      </c>
    </row>
    <row r="42" spans="1:16">
      <c r="A42" s="19">
        <f>IF($P42="","",34)</f>
        <v>34</v>
      </c>
      <c r="B42" s="18" t="str">
        <f>IF($P42="","",IFERROR(IF(INDEX(MASTER!$C$4:$C$1463,$P42)="","",INDEX(MASTER!$C$4:$C$1463,$P42)),""))</f>
        <v>Furky</v>
      </c>
      <c r="C42" s="19" t="str">
        <f>IF($P42="","",IFERROR(IF(INDEX(MASTER!$D$4:$D$1463,$P42)="","",INDEX(MASTER!$D$4:$D$1463,$P42)),""))</f>
        <v/>
      </c>
      <c r="D42" s="19" t="str">
        <f>IF($P42="","",IFERROR(IF(INDEX(MASTER!$E$4:$E$1463,$P42)="","",INDEX(MASTER!$E$4:$E$1463,$P42)),""))</f>
        <v>DRUID</v>
      </c>
      <c r="E42" s="19" t="str">
        <f>IF($P42="","",IFERROR(IF(INDEX(MASTER!$F$4:$F$1463,$P42)="","",INDEX(MASTER!$F$4:$F$1463,$P42)),""))</f>
        <v>Support</v>
      </c>
      <c r="F42" s="20">
        <f>IF($P42="","",IFERROR(IF(INDEX(MASTER!$G$4:$G$1463,$P42)="","",INDEX(MASTER!$G$4:$G$1463,$P42)),""))</f>
        <v>60840</v>
      </c>
      <c r="G42" s="19" t="str">
        <f>IF($P42="","",IFERROR(IF(INDEX(MASTER!$H$4:$H$1463,$P42)="","",INDEX(MASTER!$H$4:$H$1463,$P42)),""))</f>
        <v>60,000 - 60,999</v>
      </c>
      <c r="H42" s="20">
        <f>IF($P42="","",IFERROR(IF(INDEX(MASTER!$I$4:$I$1463,$P42)="","",INDEX(MASTER!$I$4:$I$1463,$P42)),""))</f>
        <v>2634</v>
      </c>
      <c r="I42" s="19" t="str">
        <f>IF($P42="","",IFERROR(IF(INDEX(MASTER!$J$4:$J$1463,$P42)="","",INDEX(MASTER!$J$4:$J$1463,$P42)),""))</f>
        <v>DEVELOPING</v>
      </c>
      <c r="J42" s="21">
        <f>IF($P42="","",IFERROR(IF(INDEX(MASTER!$L$4:$L$1463,$P42)="","",INDEX(MASTER!$L$4:$L$1463,$P42)),""))</f>
        <v>4.45</v>
      </c>
      <c r="K42" s="21">
        <f>IF($P42="","",IFERROR(IF(INDEX(MASTER!$N$4:$N$1463,$P42)="","",INDEX(MASTER!$N$4:$N$1463,$P42)),""))</f>
        <v>34.299999999999997</v>
      </c>
      <c r="L42" s="19" t="str">
        <f>IF($P42="","",IFERROR(IF(INDEX(MASTER!$O$4:$O$1463,$P42)="","",INDEX(MASTER!$O$4:$O$1463,$P42)),""))</f>
        <v>C</v>
      </c>
      <c r="M42" s="19">
        <f>IF($P42="","",IFERROR(IF(INDEX(MASTER!$Q$4:$Q$1463,$P42)="","",INDEX(MASTER!$Q$4:$Q$1463,$P42)),""))</f>
        <v>28</v>
      </c>
      <c r="N42" s="19" t="str">
        <f>IF($P42="","",IFERROR(IF(INDEX(MASTER!$S$4:$S$1463,$P42)="","",INDEX(MASTER!$S$4:$S$1463,$P42)),""))</f>
        <v>Complete</v>
      </c>
      <c r="P42">
        <f>IFERROR(MATCH($Q$1&amp;"@34",MASTER!$AC$4:$AC$1463,0),"")</f>
        <v>409</v>
      </c>
    </row>
    <row r="43" spans="1:16">
      <c r="A43" s="15">
        <f>IF($P43="","",35)</f>
        <v>35</v>
      </c>
      <c r="B43" s="14" t="str">
        <f>IF($P43="","",IFERROR(IF(INDEX(MASTER!$C$4:$C$1463,$P43)="","",INDEX(MASTER!$C$4:$C$1463,$P43)),""))</f>
        <v>GodKingElrond</v>
      </c>
      <c r="C43" s="15" t="str">
        <f>IF($P43="","",IFERROR(IF(INDEX(MASTER!$D$4:$D$1463,$P43)="","",INDEX(MASTER!$D$4:$D$1463,$P43)),""))</f>
        <v/>
      </c>
      <c r="D43" s="15" t="str">
        <f>IF($P43="","",IFERROR(IF(INDEX(MASTER!$E$4:$E$1463,$P43)="","",INDEX(MASTER!$E$4:$E$1463,$P43)),""))</f>
        <v>NECROMANCER</v>
      </c>
      <c r="E43" s="15" t="str">
        <f>IF($P43="","",IFERROR(IF(INDEX(MASTER!$F$4:$F$1463,$P43)="","",INDEX(MASTER!$F$4:$F$1463,$P43)),""))</f>
        <v>Control</v>
      </c>
      <c r="F43" s="16">
        <f>IF($P43="","",IFERROR(IF(INDEX(MASTER!$G$4:$G$1463,$P43)="","",INDEX(MASTER!$G$4:$G$1463,$P43)),""))</f>
        <v>61915</v>
      </c>
      <c r="G43" s="15" t="str">
        <f>IF($P43="","",IFERROR(IF(INDEX(MASTER!$H$4:$H$1463,$P43)="","",INDEX(MASTER!$H$4:$H$1463,$P43)),""))</f>
        <v>61,000 - 61,999</v>
      </c>
      <c r="H43" s="16">
        <f>IF($P43="","",IFERROR(IF(INDEX(MASTER!$I$4:$I$1463,$P43)="","",INDEX(MASTER!$I$4:$I$1463,$P43)),""))</f>
        <v>1570</v>
      </c>
      <c r="I43" s="15" t="str">
        <f>IF($P43="","",IFERROR(IF(INDEX(MASTER!$J$4:$J$1463,$P43)="","",INDEX(MASTER!$J$4:$J$1463,$P43)),""))</f>
        <v>ROOKIE</v>
      </c>
      <c r="J43" s="17">
        <f>IF($P43="","",IFERROR(IF(INDEX(MASTER!$L$4:$L$1463,$P43)="","",INDEX(MASTER!$L$4:$L$1463,$P43)),""))</f>
        <v>3.5</v>
      </c>
      <c r="K43" s="17">
        <f>IF($P43="","",IFERROR(IF(INDEX(MASTER!$N$4:$N$1463,$P43)="","",INDEX(MASTER!$N$4:$N$1463,$P43)),""))</f>
        <v>30.9</v>
      </c>
      <c r="L43" s="15" t="str">
        <f>IF($P43="","",IFERROR(IF(INDEX(MASTER!$O$4:$O$1463,$P43)="","",INDEX(MASTER!$O$4:$O$1463,$P43)),""))</f>
        <v>C</v>
      </c>
      <c r="M43" s="15">
        <f>IF($P43="","",IFERROR(IF(INDEX(MASTER!$Q$4:$Q$1463,$P43)="","",INDEX(MASTER!$Q$4:$Q$1463,$P43)),""))</f>
        <v>61</v>
      </c>
      <c r="N43" s="15" t="str">
        <f>IF($P43="","",IFERROR(IF(INDEX(MASTER!$S$4:$S$1463,$P43)="","",INDEX(MASTER!$S$4:$S$1463,$P43)),""))</f>
        <v>Complete</v>
      </c>
      <c r="P43">
        <f>IFERROR(MATCH($Q$1&amp;"@35",MASTER!$AC$4:$AC$1463,0),"")</f>
        <v>438</v>
      </c>
    </row>
    <row r="44" spans="1:16">
      <c r="A44" s="19">
        <f>IF($P44="","",36)</f>
        <v>36</v>
      </c>
      <c r="B44" s="18" t="str">
        <f>IF($P44="","",IFERROR(IF(INDEX(MASTER!$C$4:$C$1463,$P44)="","",INDEX(MASTER!$C$4:$C$1463,$P44)),""))</f>
        <v>GoodNewsEveryone</v>
      </c>
      <c r="C44" s="19" t="str">
        <f>IF($P44="","",IFERROR(IF(INDEX(MASTER!$D$4:$D$1463,$P44)="","",INDEX(MASTER!$D$4:$D$1463,$P44)),""))</f>
        <v/>
      </c>
      <c r="D44" s="19" t="str">
        <f>IF($P44="","",IFERROR(IF(INDEX(MASTER!$E$4:$E$1463,$P44)="","",INDEX(MASTER!$E$4:$E$1463,$P44)),""))</f>
        <v>CRUSADER</v>
      </c>
      <c r="E44" s="19" t="str">
        <f>IF($P44="","",IFERROR(IF(INDEX(MASTER!$F$4:$F$1463,$P44)="","",INDEX(MASTER!$F$4:$F$1463,$P44)),""))</f>
        <v>Frontline</v>
      </c>
      <c r="F44" s="20">
        <f>IF($P44="","",IFERROR(IF(INDEX(MASTER!$G$4:$G$1463,$P44)="","",INDEX(MASTER!$G$4:$G$1463,$P44)),""))</f>
        <v>62379</v>
      </c>
      <c r="G44" s="19" t="str">
        <f>IF($P44="","",IFERROR(IF(INDEX(MASTER!$H$4:$H$1463,$P44)="","",INDEX(MASTER!$H$4:$H$1463,$P44)),""))</f>
        <v>62,000 - 62,999</v>
      </c>
      <c r="H44" s="20">
        <f>IF($P44="","",IFERROR(IF(INDEX(MASTER!$I$4:$I$1463,$P44)="","",INDEX(MASTER!$I$4:$I$1463,$P44)),""))</f>
        <v>1836</v>
      </c>
      <c r="I44" s="19" t="str">
        <f>IF($P44="","",IFERROR(IF(INDEX(MASTER!$J$4:$J$1463,$P44)="","",INDEX(MASTER!$J$4:$J$1463,$P44)),""))</f>
        <v>ROOKIE</v>
      </c>
      <c r="J44" s="21">
        <f>IF($P44="","",IFERROR(IF(INDEX(MASTER!$L$4:$L$1463,$P44)="","",INDEX(MASTER!$L$4:$L$1463,$P44)),""))</f>
        <v>4.0999999999999996</v>
      </c>
      <c r="K44" s="21">
        <f>IF($P44="","",IFERROR(IF(INDEX(MASTER!$N$4:$N$1463,$P44)="","",INDEX(MASTER!$N$4:$N$1463,$P44)),""))</f>
        <v>34.299999999999997</v>
      </c>
      <c r="L44" s="19" t="str">
        <f>IF($P44="","",IFERROR(IF(INDEX(MASTER!$O$4:$O$1463,$P44)="","",INDEX(MASTER!$O$4:$O$1463,$P44)),""))</f>
        <v>C</v>
      </c>
      <c r="M44" s="19">
        <f>IF($P44="","",IFERROR(IF(INDEX(MASTER!$Q$4:$Q$1463,$P44)="","",INDEX(MASTER!$Q$4:$Q$1463,$P44)),""))</f>
        <v>54</v>
      </c>
      <c r="N44" s="19" t="str">
        <f>IF($P44="","",IFERROR(IF(INDEX(MASTER!$S$4:$S$1463,$P44)="","",INDEX(MASTER!$S$4:$S$1463,$P44)),""))</f>
        <v>Complete</v>
      </c>
      <c r="P44">
        <f>IFERROR(MATCH($Q$1&amp;"@36",MASTER!$AC$4:$AC$1463,0),"")</f>
        <v>441</v>
      </c>
    </row>
    <row r="45" spans="1:16">
      <c r="A45" s="15">
        <f>IF($P45="","",37)</f>
        <v>37</v>
      </c>
      <c r="B45" s="14" t="str">
        <f>IF($P45="","",IFERROR(IF(INDEX(MASTER!$C$4:$C$1463,$P45)="","",INDEX(MASTER!$C$4:$C$1463,$P45)),""))</f>
        <v>GulDana</v>
      </c>
      <c r="C45" s="15" t="str">
        <f>IF($P45="","",IFERROR(IF(INDEX(MASTER!$D$4:$D$1463,$P45)="","",INDEX(MASTER!$D$4:$D$1463,$P45)),""))</f>
        <v/>
      </c>
      <c r="D45" s="15" t="str">
        <f>IF($P45="","",IFERROR(IF(INDEX(MASTER!$E$4:$E$1463,$P45)="","",INDEX(MASTER!$E$4:$E$1463,$P45)),""))</f>
        <v>WARLOCK</v>
      </c>
      <c r="E45" s="15" t="str">
        <f>IF($P45="","",IFERROR(IF(INDEX(MASTER!$F$4:$F$1463,$P45)="","",INDEX(MASTER!$F$4:$F$1463,$P45)),""))</f>
        <v>Control</v>
      </c>
      <c r="F45" s="16">
        <f>IF($P45="","",IFERROR(IF(INDEX(MASTER!$G$4:$G$1463,$P45)="","",INDEX(MASTER!$G$4:$G$1463,$P45)),""))</f>
        <v>60574</v>
      </c>
      <c r="G45" s="15" t="str">
        <f>IF($P45="","",IFERROR(IF(INDEX(MASTER!$H$4:$H$1463,$P45)="","",INDEX(MASTER!$H$4:$H$1463,$P45)),""))</f>
        <v>60,000 - 60,999</v>
      </c>
      <c r="H45" s="16">
        <f>IF($P45="","",IFERROR(IF(INDEX(MASTER!$I$4:$I$1463,$P45)="","",INDEX(MASTER!$I$4:$I$1463,$P45)),""))</f>
        <v>225</v>
      </c>
      <c r="I45" s="15" t="str">
        <f>IF($P45="","",IFERROR(IF(INDEX(MASTER!$J$4:$J$1463,$P45)="","",INDEX(MASTER!$J$4:$J$1463,$P45)),""))</f>
        <v>ROOKIE</v>
      </c>
      <c r="J45" s="17">
        <f>IF($P45="","",IFERROR(IF(INDEX(MASTER!$L$4:$L$1463,$P45)="","",INDEX(MASTER!$L$4:$L$1463,$P45)),""))</f>
        <v>2</v>
      </c>
      <c r="K45" s="17">
        <f>IF($P45="","",IFERROR(IF(INDEX(MASTER!$N$4:$N$1463,$P45)="","",INDEX(MASTER!$N$4:$N$1463,$P45)),""))</f>
        <v>19</v>
      </c>
      <c r="L45" s="15" t="str">
        <f>IF($P45="","",IFERROR(IF(INDEX(MASTER!$O$4:$O$1463,$P45)="","",INDEX(MASTER!$O$4:$O$1463,$P45)),""))</f>
        <v>D</v>
      </c>
      <c r="M45" s="15">
        <f>IF($P45="","",IFERROR(IF(INDEX(MASTER!$Q$4:$Q$1463,$P45)="","",INDEX(MASTER!$Q$4:$Q$1463,$P45)),""))</f>
        <v>93</v>
      </c>
      <c r="N45" s="15" t="str">
        <f>IF($P45="","",IFERROR(IF(INDEX(MASTER!$S$4:$S$1463,$P45)="","",INDEX(MASTER!$S$4:$S$1463,$P45)),""))</f>
        <v>Complete</v>
      </c>
      <c r="P45">
        <f>IFERROR(MATCH($Q$1&amp;"@37",MASTER!$AC$4:$AC$1463,0),"")</f>
        <v>462</v>
      </c>
    </row>
    <row r="46" spans="1:16">
      <c r="A46" s="19">
        <f>IF($P46="","",38)</f>
        <v>38</v>
      </c>
      <c r="B46" s="18" t="str">
        <f>IF($P46="","",IFERROR(IF(INDEX(MASTER!$C$4:$C$1463,$P46)="","",INDEX(MASTER!$C$4:$C$1463,$P46)),""))</f>
        <v>HavaDude</v>
      </c>
      <c r="C46" s="19" t="str">
        <f>IF($P46="","",IFERROR(IF(INDEX(MASTER!$D$4:$D$1463,$P46)="","",INDEX(MASTER!$D$4:$D$1463,$P46)),""))</f>
        <v/>
      </c>
      <c r="D46" s="19" t="str">
        <f>IF($P46="","",IFERROR(IF(INDEX(MASTER!$E$4:$E$1463,$P46)="","",INDEX(MASTER!$E$4:$E$1463,$P46)),""))</f>
        <v>BLOOD KNIGHT</v>
      </c>
      <c r="E46" s="19" t="str">
        <f>IF($P46="","",IFERROR(IF(INDEX(MASTER!$F$4:$F$1463,$P46)="","",INDEX(MASTER!$F$4:$F$1463,$P46)),""))</f>
        <v>Frontline</v>
      </c>
      <c r="F46" s="20">
        <f>IF($P46="","",IFERROR(IF(INDEX(MASTER!$G$4:$G$1463,$P46)="","",INDEX(MASTER!$G$4:$G$1463,$P46)),""))</f>
        <v>62563</v>
      </c>
      <c r="G46" s="19" t="str">
        <f>IF($P46="","",IFERROR(IF(INDEX(MASTER!$H$4:$H$1463,$P46)="","",INDEX(MASTER!$H$4:$H$1463,$P46)),""))</f>
        <v>62,000 - 62,999</v>
      </c>
      <c r="H46" s="20">
        <f>IF($P46="","",IFERROR(IF(INDEX(MASTER!$I$4:$I$1463,$P46)="","",INDEX(MASTER!$I$4:$I$1463,$P46)),""))</f>
        <v>1983</v>
      </c>
      <c r="I46" s="19" t="str">
        <f>IF($P46="","",IFERROR(IF(INDEX(MASTER!$J$4:$J$1463,$P46)="","",INDEX(MASTER!$J$4:$J$1463,$P46)),""))</f>
        <v>ROOKIE</v>
      </c>
      <c r="J46" s="21">
        <f>IF($P46="","",IFERROR(IF(INDEX(MASTER!$L$4:$L$1463,$P46)="","",INDEX(MASTER!$L$4:$L$1463,$P46)),""))</f>
        <v>4</v>
      </c>
      <c r="K46" s="21">
        <f>IF($P46="","",IFERROR(IF(INDEX(MASTER!$N$4:$N$1463,$P46)="","",INDEX(MASTER!$N$4:$N$1463,$P46)),""))</f>
        <v>35.200000000000003</v>
      </c>
      <c r="L46" s="19" t="str">
        <f>IF($P46="","",IFERROR(IF(INDEX(MASTER!$O$4:$O$1463,$P46)="","",INDEX(MASTER!$O$4:$O$1463,$P46)),""))</f>
        <v>B</v>
      </c>
      <c r="M46" s="19">
        <f>IF($P46="","",IFERROR(IF(INDEX(MASTER!$Q$4:$Q$1463,$P46)="","",INDEX(MASTER!$Q$4:$Q$1463,$P46)),""))</f>
        <v>49</v>
      </c>
      <c r="N46" s="19" t="str">
        <f>IF($P46="","",IFERROR(IF(INDEX(MASTER!$S$4:$S$1463,$P46)="","",INDEX(MASTER!$S$4:$S$1463,$P46)),""))</f>
        <v>Complete</v>
      </c>
      <c r="P46">
        <f>IFERROR(MATCH($Q$1&amp;"@38",MASTER!$AC$4:$AC$1463,0),"")</f>
        <v>475</v>
      </c>
    </row>
    <row r="47" spans="1:16">
      <c r="A47" s="15">
        <f>IF($P47="","",39)</f>
        <v>39</v>
      </c>
      <c r="B47" s="14" t="str">
        <f>IF($P47="","",IFERROR(IF(INDEX(MASTER!$C$4:$C$1463,$P47)="","",INDEX(MASTER!$C$4:$C$1463,$P47)),""))</f>
        <v>HelmetnMittens</v>
      </c>
      <c r="C47" s="15" t="str">
        <f>IF($P47="","",IFERROR(IF(INDEX(MASTER!$D$4:$D$1463,$P47)="","",INDEX(MASTER!$D$4:$D$1463,$P47)),""))</f>
        <v/>
      </c>
      <c r="D47" s="15" t="str">
        <f>IF($P47="","",IFERROR(IF(INDEX(MASTER!$E$4:$E$1463,$P47)="","",INDEX(MASTER!$E$4:$E$1463,$P47)),""))</f>
        <v>NECROMANCER</v>
      </c>
      <c r="E47" s="15" t="str">
        <f>IF($P47="","",IFERROR(IF(INDEX(MASTER!$F$4:$F$1463,$P47)="","",INDEX(MASTER!$F$4:$F$1463,$P47)),""))</f>
        <v>Control</v>
      </c>
      <c r="F47" s="16">
        <f>IF($P47="","",IFERROR(IF(INDEX(MASTER!$G$4:$G$1463,$P47)="","",INDEX(MASTER!$G$4:$G$1463,$P47)),""))</f>
        <v>60649</v>
      </c>
      <c r="G47" s="15" t="str">
        <f>IF($P47="","",IFERROR(IF(INDEX(MASTER!$H$4:$H$1463,$P47)="","",INDEX(MASTER!$H$4:$H$1463,$P47)),""))</f>
        <v>60,000 - 60,999</v>
      </c>
      <c r="H47" s="16">
        <f>IF($P47="","",IFERROR(IF(INDEX(MASTER!$I$4:$I$1463,$P47)="","",INDEX(MASTER!$I$4:$I$1463,$P47)),""))</f>
        <v>1470</v>
      </c>
      <c r="I47" s="15" t="str">
        <f>IF($P47="","",IFERROR(IF(INDEX(MASTER!$J$4:$J$1463,$P47)="","",INDEX(MASTER!$J$4:$J$1463,$P47)),""))</f>
        <v>ROOKIE</v>
      </c>
      <c r="J47" s="17">
        <f>IF($P47="","",IFERROR(IF(INDEX(MASTER!$L$4:$L$1463,$P47)="","",INDEX(MASTER!$L$4:$L$1463,$P47)),""))</f>
        <v>3</v>
      </c>
      <c r="K47" s="17">
        <f>IF($P47="","",IFERROR(IF(INDEX(MASTER!$N$4:$N$1463,$P47)="","",INDEX(MASTER!$N$4:$N$1463,$P47)),""))</f>
        <v>26.3</v>
      </c>
      <c r="L47" s="15" t="str">
        <f>IF($P47="","",IFERROR(IF(INDEX(MASTER!$O$4:$O$1463,$P47)="","",INDEX(MASTER!$O$4:$O$1463,$P47)),""))</f>
        <v>C</v>
      </c>
      <c r="M47" s="15">
        <f>IF($P47="","",IFERROR(IF(INDEX(MASTER!$Q$4:$Q$1463,$P47)="","",INDEX(MASTER!$Q$4:$Q$1463,$P47)),""))</f>
        <v>67</v>
      </c>
      <c r="N47" s="15" t="str">
        <f>IF($P47="","",IFERROR(IF(INDEX(MASTER!$S$4:$S$1463,$P47)="","",INDEX(MASTER!$S$4:$S$1463,$P47)),""))</f>
        <v>Complete</v>
      </c>
      <c r="P47">
        <f>IFERROR(MATCH($Q$1&amp;"@39",MASTER!$AC$4:$AC$1463,0),"")</f>
        <v>492</v>
      </c>
    </row>
    <row r="48" spans="1:16">
      <c r="A48" s="19">
        <f>IF($P48="","",40)</f>
        <v>40</v>
      </c>
      <c r="B48" s="18" t="str">
        <f>IF($P48="","",IFERROR(IF(INDEX(MASTER!$C$4:$C$1463,$P48)="","",INDEX(MASTER!$C$4:$C$1463,$P48)),""))</f>
        <v>IcebergLettuce</v>
      </c>
      <c r="C48" s="19" t="str">
        <f>IF($P48="","",IFERROR(IF(INDEX(MASTER!$D$4:$D$1463,$P48)="","",INDEX(MASTER!$D$4:$D$1463,$P48)),""))</f>
        <v/>
      </c>
      <c r="D48" s="19" t="str">
        <f>IF($P48="","",IFERROR(IF(INDEX(MASTER!$E$4:$E$1463,$P48)="","",INDEX(MASTER!$E$4:$E$1463,$P48)),""))</f>
        <v>NECROMANCER</v>
      </c>
      <c r="E48" s="19" t="str">
        <f>IF($P48="","",IFERROR(IF(INDEX(MASTER!$F$4:$F$1463,$P48)="","",INDEX(MASTER!$F$4:$F$1463,$P48)),""))</f>
        <v>Control</v>
      </c>
      <c r="F48" s="20">
        <f>IF($P48="","",IFERROR(IF(INDEX(MASTER!$G$4:$G$1463,$P48)="","",INDEX(MASTER!$G$4:$G$1463,$P48)),""))</f>
        <v>60671</v>
      </c>
      <c r="G48" s="19" t="str">
        <f>IF($P48="","",IFERROR(IF(INDEX(MASTER!$H$4:$H$1463,$P48)="","",INDEX(MASTER!$H$4:$H$1463,$P48)),""))</f>
        <v>60,000 - 60,999</v>
      </c>
      <c r="H48" s="20">
        <f>IF($P48="","",IFERROR(IF(INDEX(MASTER!$I$4:$I$1463,$P48)="","",INDEX(MASTER!$I$4:$I$1463,$P48)),""))</f>
        <v>1500</v>
      </c>
      <c r="I48" s="19" t="str">
        <f>IF($P48="","",IFERROR(IF(INDEX(MASTER!$J$4:$J$1463,$P48)="","",INDEX(MASTER!$J$4:$J$1463,$P48)),""))</f>
        <v>ROOKIE</v>
      </c>
      <c r="J48" s="21">
        <f>IF($P48="","",IFERROR(IF(INDEX(MASTER!$L$4:$L$1463,$P48)="","",INDEX(MASTER!$L$4:$L$1463,$P48)),""))</f>
        <v>2.8</v>
      </c>
      <c r="K48" s="21">
        <f>IF($P48="","",IFERROR(IF(INDEX(MASTER!$N$4:$N$1463,$P48)="","",INDEX(MASTER!$N$4:$N$1463,$P48)),""))</f>
        <v>26.1</v>
      </c>
      <c r="L48" s="19" t="str">
        <f>IF($P48="","",IFERROR(IF(INDEX(MASTER!$O$4:$O$1463,$P48)="","",INDEX(MASTER!$O$4:$O$1463,$P48)),""))</f>
        <v>C</v>
      </c>
      <c r="M48" s="19">
        <f>IF($P48="","",IFERROR(IF(INDEX(MASTER!$Q$4:$Q$1463,$P48)="","",INDEX(MASTER!$Q$4:$Q$1463,$P48)),""))</f>
        <v>65</v>
      </c>
      <c r="N48" s="19" t="str">
        <f>IF($P48="","",IFERROR(IF(INDEX(MASTER!$S$4:$S$1463,$P48)="","",INDEX(MASTER!$S$4:$S$1463,$P48)),""))</f>
        <v>Complete</v>
      </c>
      <c r="P48">
        <f>IFERROR(MATCH($Q$1&amp;"@40",MASTER!$AC$4:$AC$1463,0),"")</f>
        <v>525</v>
      </c>
    </row>
    <row r="49" spans="1:16">
      <c r="A49" s="15">
        <f>IF($P49="","",41)</f>
        <v>41</v>
      </c>
      <c r="B49" s="14" t="str">
        <f>IF($P49="","",IFERROR(IF(INDEX(MASTER!$C$4:$C$1463,$P49)="","",INDEX(MASTER!$C$4:$C$1463,$P49)),""))</f>
        <v>Illidont</v>
      </c>
      <c r="C49" s="15" t="str">
        <f>IF($P49="","",IFERROR(IF(INDEX(MASTER!$D$4:$D$1463,$P49)="","",INDEX(MASTER!$D$4:$D$1463,$P49)),""))</f>
        <v/>
      </c>
      <c r="D49" s="15" t="str">
        <f>IF($P49="","",IFERROR(IF(INDEX(MASTER!$E$4:$E$1463,$P49)="","",INDEX(MASTER!$E$4:$E$1463,$P49)),""))</f>
        <v>DRUID</v>
      </c>
      <c r="E49" s="15" t="str">
        <f>IF($P49="","",IFERROR(IF(INDEX(MASTER!$F$4:$F$1463,$P49)="","",INDEX(MASTER!$F$4:$F$1463,$P49)),""))</f>
        <v>Support</v>
      </c>
      <c r="F49" s="16">
        <f>IF($P49="","",IFERROR(IF(INDEX(MASTER!$G$4:$G$1463,$P49)="","",INDEX(MASTER!$G$4:$G$1463,$P49)),""))</f>
        <v>62525</v>
      </c>
      <c r="G49" s="15" t="str">
        <f>IF($P49="","",IFERROR(IF(INDEX(MASTER!$H$4:$H$1463,$P49)="","",INDEX(MASTER!$H$4:$H$1463,$P49)),""))</f>
        <v>62,000 - 62,999</v>
      </c>
      <c r="H49" s="16">
        <f>IF($P49="","",IFERROR(IF(INDEX(MASTER!$I$4:$I$1463,$P49)="","",INDEX(MASTER!$I$4:$I$1463,$P49)),""))</f>
        <v>1411</v>
      </c>
      <c r="I49" s="15" t="str">
        <f>IF($P49="","",IFERROR(IF(INDEX(MASTER!$J$4:$J$1463,$P49)="","",INDEX(MASTER!$J$4:$J$1463,$P49)),""))</f>
        <v>ROOKIE</v>
      </c>
      <c r="J49" s="17">
        <f>IF($P49="","",IFERROR(IF(INDEX(MASTER!$L$4:$L$1463,$P49)="","",INDEX(MASTER!$L$4:$L$1463,$P49)),""))</f>
        <v>3.9</v>
      </c>
      <c r="K49" s="17">
        <f>IF($P49="","",IFERROR(IF(INDEX(MASTER!$N$4:$N$1463,$P49)="","",INDEX(MASTER!$N$4:$N$1463,$P49)),""))</f>
        <v>32.5</v>
      </c>
      <c r="L49" s="15" t="str">
        <f>IF($P49="","",IFERROR(IF(INDEX(MASTER!$O$4:$O$1463,$P49)="","",INDEX(MASTER!$O$4:$O$1463,$P49)),""))</f>
        <v>C</v>
      </c>
      <c r="M49" s="15">
        <f>IF($P49="","",IFERROR(IF(INDEX(MASTER!$Q$4:$Q$1463,$P49)="","",INDEX(MASTER!$Q$4:$Q$1463,$P49)),""))</f>
        <v>71</v>
      </c>
      <c r="N49" s="15" t="str">
        <f>IF($P49="","",IFERROR(IF(INDEX(MASTER!$S$4:$S$1463,$P49)="","",INDEX(MASTER!$S$4:$S$1463,$P49)),""))</f>
        <v>Complete</v>
      </c>
      <c r="P49">
        <f>IFERROR(MATCH($Q$1&amp;"@41",MASTER!$AC$4:$AC$1463,0),"")</f>
        <v>531</v>
      </c>
    </row>
    <row r="50" spans="1:16">
      <c r="A50" s="19">
        <f>IF($P50="","",42)</f>
        <v>42</v>
      </c>
      <c r="B50" s="18" t="str">
        <f>IF($P50="","",IFERROR(IF(INDEX(MASTER!$C$4:$C$1463,$P50)="","",INDEX(MASTER!$C$4:$C$1463,$P50)),""))</f>
        <v>Javieron</v>
      </c>
      <c r="C50" s="19" t="str">
        <f>IF($P50="","",IFERROR(IF(INDEX(MASTER!$D$4:$D$1463,$P50)="","",INDEX(MASTER!$D$4:$D$1463,$P50)),""))</f>
        <v/>
      </c>
      <c r="D50" s="19" t="str">
        <f>IF($P50="","",IFERROR(IF(INDEX(MASTER!$E$4:$E$1463,$P50)="","",INDEX(MASTER!$E$4:$E$1463,$P50)),""))</f>
        <v>CRUSADER</v>
      </c>
      <c r="E50" s="19" t="str">
        <f>IF($P50="","",IFERROR(IF(INDEX(MASTER!$F$4:$F$1463,$P50)="","",INDEX(MASTER!$F$4:$F$1463,$P50)),""))</f>
        <v>Frontline</v>
      </c>
      <c r="F50" s="20">
        <f>IF($P50="","",IFERROR(IF(INDEX(MASTER!$G$4:$G$1463,$P50)="","",INDEX(MASTER!$G$4:$G$1463,$P50)),""))</f>
        <v>63061</v>
      </c>
      <c r="G50" s="19" t="str">
        <f>IF($P50="","",IFERROR(IF(INDEX(MASTER!$H$4:$H$1463,$P50)="","",INDEX(MASTER!$H$4:$H$1463,$P50)),""))</f>
        <v>63,000 - 63,999</v>
      </c>
      <c r="H50" s="20">
        <f>IF($P50="","",IFERROR(IF(INDEX(MASTER!$I$4:$I$1463,$P50)="","",INDEX(MASTER!$I$4:$I$1463,$P50)),""))</f>
        <v>3513</v>
      </c>
      <c r="I50" s="19" t="str">
        <f>IF($P50="","",IFERROR(IF(INDEX(MASTER!$J$4:$J$1463,$P50)="","",INDEX(MASTER!$J$4:$J$1463,$P50)),""))</f>
        <v>DEVELOPING</v>
      </c>
      <c r="J50" s="21">
        <f>IF($P50="","",IFERROR(IF(INDEX(MASTER!$L$4:$L$1463,$P50)="","",INDEX(MASTER!$L$4:$L$1463,$P50)),""))</f>
        <v>4.5</v>
      </c>
      <c r="K50" s="21">
        <f>IF($P50="","",IFERROR(IF(INDEX(MASTER!$N$4:$N$1463,$P50)="","",INDEX(MASTER!$N$4:$N$1463,$P50)),""))</f>
        <v>44</v>
      </c>
      <c r="L50" s="19" t="str">
        <f>IF($P50="","",IFERROR(IF(INDEX(MASTER!$O$4:$O$1463,$P50)="","",INDEX(MASTER!$O$4:$O$1463,$P50)),""))</f>
        <v>B</v>
      </c>
      <c r="M50" s="19">
        <f>IF($P50="","",IFERROR(IF(INDEX(MASTER!$Q$4:$Q$1463,$P50)="","",INDEX(MASTER!$Q$4:$Q$1463,$P50)),""))</f>
        <v>7</v>
      </c>
      <c r="N50" s="19" t="str">
        <f>IF($P50="","",IFERROR(IF(INDEX(MASTER!$S$4:$S$1463,$P50)="","",INDEX(MASTER!$S$4:$S$1463,$P50)),""))</f>
        <v>Complete</v>
      </c>
      <c r="P50">
        <f>IFERROR(MATCH($Q$1&amp;"@42",MASTER!$AC$4:$AC$1463,0),"")</f>
        <v>550</v>
      </c>
    </row>
    <row r="51" spans="1:16">
      <c r="A51" s="15">
        <f>IF($P51="","",43)</f>
        <v>43</v>
      </c>
      <c r="B51" s="14" t="str">
        <f>IF($P51="","",IFERROR(IF(INDEX(MASTER!$C$4:$C$1463,$P51)="","",INDEX(MASTER!$C$4:$C$1463,$P51)),""))</f>
        <v>Jellies</v>
      </c>
      <c r="C51" s="15" t="str">
        <f>IF($P51="","",IFERROR(IF(INDEX(MASTER!$D$4:$D$1463,$P51)="","",INDEX(MASTER!$D$4:$D$1463,$P51)),""))</f>
        <v/>
      </c>
      <c r="D51" s="15" t="str">
        <f>IF($P51="","",IFERROR(IF(INDEX(MASTER!$E$4:$E$1463,$P51)="","",INDEX(MASTER!$E$4:$E$1463,$P51)),""))</f>
        <v>WARLOCK</v>
      </c>
      <c r="E51" s="15" t="str">
        <f>IF($P51="","",IFERROR(IF(INDEX(MASTER!$F$4:$F$1463,$P51)="","",INDEX(MASTER!$F$4:$F$1463,$P51)),""))</f>
        <v>Control</v>
      </c>
      <c r="F51" s="16">
        <f>IF($P51="","",IFERROR(IF(INDEX(MASTER!$G$4:$G$1463,$P51)="","",INDEX(MASTER!$G$4:$G$1463,$P51)),""))</f>
        <v>61385</v>
      </c>
      <c r="G51" s="15" t="str">
        <f>IF($P51="","",IFERROR(IF(INDEX(MASTER!$H$4:$H$1463,$P51)="","",INDEX(MASTER!$H$4:$H$1463,$P51)),""))</f>
        <v>61,000 - 61,999</v>
      </c>
      <c r="H51" s="16">
        <f>IF($P51="","",IFERROR(IF(INDEX(MASTER!$I$4:$I$1463,$P51)="","",INDEX(MASTER!$I$4:$I$1463,$P51)),""))</f>
        <v>2671</v>
      </c>
      <c r="I51" s="15" t="str">
        <f>IF($P51="","",IFERROR(IF(INDEX(MASTER!$J$4:$J$1463,$P51)="","",INDEX(MASTER!$J$4:$J$1463,$P51)),""))</f>
        <v>DEVELOPING</v>
      </c>
      <c r="J51" s="17">
        <f>IF($P51="","",IFERROR(IF(INDEX(MASTER!$L$4:$L$1463,$P51)="","",INDEX(MASTER!$L$4:$L$1463,$P51)),""))</f>
        <v>4.2</v>
      </c>
      <c r="K51" s="17">
        <f>IF($P51="","",IFERROR(IF(INDEX(MASTER!$N$4:$N$1463,$P51)="","",INDEX(MASTER!$N$4:$N$1463,$P51)),""))</f>
        <v>35.5</v>
      </c>
      <c r="L51" s="15" t="str">
        <f>IF($P51="","",IFERROR(IF(INDEX(MASTER!$O$4:$O$1463,$P51)="","",INDEX(MASTER!$O$4:$O$1463,$P51)),""))</f>
        <v>B</v>
      </c>
      <c r="M51" s="15">
        <f>IF($P51="","",IFERROR(IF(INDEX(MASTER!$Q$4:$Q$1463,$P51)="","",INDEX(MASTER!$Q$4:$Q$1463,$P51)),""))</f>
        <v>26</v>
      </c>
      <c r="N51" s="15" t="str">
        <f>IF($P51="","",IFERROR(IF(INDEX(MASTER!$S$4:$S$1463,$P51)="","",INDEX(MASTER!$S$4:$S$1463,$P51)),""))</f>
        <v>Complete</v>
      </c>
      <c r="P51">
        <f>IFERROR(MATCH($Q$1&amp;"@43",MASTER!$AC$4:$AC$1463,0),"")</f>
        <v>558</v>
      </c>
    </row>
    <row r="52" spans="1:16">
      <c r="A52" s="19">
        <f>IF($P52="","",44)</f>
        <v>44</v>
      </c>
      <c r="B52" s="18" t="str">
        <f>IF($P52="","",IFERROR(IF(INDEX(MASTER!$C$4:$C$1463,$P52)="","",INDEX(MASTER!$C$4:$C$1463,$P52)),""))</f>
        <v>KillForFun</v>
      </c>
      <c r="C52" s="19" t="str">
        <f>IF($P52="","",IFERROR(IF(INDEX(MASTER!$D$4:$D$1463,$P52)="","",INDEX(MASTER!$D$4:$D$1463,$P52)),""))</f>
        <v/>
      </c>
      <c r="D52" s="19" t="str">
        <f>IF($P52="","",IFERROR(IF(INDEX(MASTER!$E$4:$E$1463,$P52)="","",INDEX(MASTER!$E$4:$E$1463,$P52)),""))</f>
        <v>BARBARIAN</v>
      </c>
      <c r="E52" s="19" t="str">
        <f>IF($P52="","",IFERROR(IF(INDEX(MASTER!$F$4:$F$1463,$P52)="","",INDEX(MASTER!$F$4:$F$1463,$P52)),""))</f>
        <v>Frontline</v>
      </c>
      <c r="F52" s="20">
        <f>IF($P52="","",IFERROR(IF(INDEX(MASTER!$G$4:$G$1463,$P52)="","",INDEX(MASTER!$G$4:$G$1463,$P52)),""))</f>
        <v>62966</v>
      </c>
      <c r="G52" s="19" t="str">
        <f>IF($P52="","",IFERROR(IF(INDEX(MASTER!$H$4:$H$1463,$P52)="","",INDEX(MASTER!$H$4:$H$1463,$P52)),""))</f>
        <v>62,000 - 62,999</v>
      </c>
      <c r="H52" s="20">
        <f>IF($P52="","",IFERROR(IF(INDEX(MASTER!$I$4:$I$1463,$P52)="","",INDEX(MASTER!$I$4:$I$1463,$P52)),""))</f>
        <v>2998</v>
      </c>
      <c r="I52" s="19" t="str">
        <f>IF($P52="","",IFERROR(IF(INDEX(MASTER!$J$4:$J$1463,$P52)="","",INDEX(MASTER!$J$4:$J$1463,$P52)),""))</f>
        <v>DEVELOPING</v>
      </c>
      <c r="J52" s="21">
        <f>IF($P52="","",IFERROR(IF(INDEX(MASTER!$L$4:$L$1463,$P52)="","",INDEX(MASTER!$L$4:$L$1463,$P52)),""))</f>
        <v>4.2</v>
      </c>
      <c r="K52" s="21">
        <f>IF($P52="","",IFERROR(IF(INDEX(MASTER!$N$4:$N$1463,$P52)="","",INDEX(MASTER!$N$4:$N$1463,$P52)),""))</f>
        <v>41</v>
      </c>
      <c r="L52" s="19" t="str">
        <f>IF($P52="","",IFERROR(IF(INDEX(MASTER!$O$4:$O$1463,$P52)="","",INDEX(MASTER!$O$4:$O$1463,$P52)),""))</f>
        <v>B</v>
      </c>
      <c r="M52" s="19">
        <f>IF($P52="","",IFERROR(IF(INDEX(MASTER!$Q$4:$Q$1463,$P52)="","",INDEX(MASTER!$Q$4:$Q$1463,$P52)),""))</f>
        <v>15</v>
      </c>
      <c r="N52" s="19" t="str">
        <f>IF($P52="","",IFERROR(IF(INDEX(MASTER!$S$4:$S$1463,$P52)="","",INDEX(MASTER!$S$4:$S$1463,$P52)),""))</f>
        <v>Complete</v>
      </c>
      <c r="P52">
        <f>IFERROR(MATCH($Q$1&amp;"@44",MASTER!$AC$4:$AC$1463,0),"")</f>
        <v>606</v>
      </c>
    </row>
    <row r="53" spans="1:16">
      <c r="A53" s="15">
        <f>IF($P53="","",45)</f>
        <v>45</v>
      </c>
      <c r="B53" s="14" t="str">
        <f>IF($P53="","",IFERROR(IF(INDEX(MASTER!$C$4:$C$1463,$P53)="","",INDEX(MASTER!$C$4:$C$1463,$P53)),""))</f>
        <v>Kraykendric</v>
      </c>
      <c r="C53" s="15" t="str">
        <f>IF($P53="","",IFERROR(IF(INDEX(MASTER!$D$4:$D$1463,$P53)="","",INDEX(MASTER!$D$4:$D$1463,$P53)),""))</f>
        <v/>
      </c>
      <c r="D53" s="15" t="str">
        <f>IF($P53="","",IFERROR(IF(INDEX(MASTER!$E$4:$E$1463,$P53)="","",INDEX(MASTER!$E$4:$E$1463,$P53)),""))</f>
        <v>TEMPEST</v>
      </c>
      <c r="E53" s="15" t="str">
        <f>IF($P53="","",IFERROR(IF(INDEX(MASTER!$F$4:$F$1463,$P53)="","",INDEX(MASTER!$F$4:$F$1463,$P53)),""))</f>
        <v>Melee DPS</v>
      </c>
      <c r="F53" s="16">
        <f>IF($P53="","",IFERROR(IF(INDEX(MASTER!$G$4:$G$1463,$P53)="","",INDEX(MASTER!$G$4:$G$1463,$P53)),""))</f>
        <v>62114</v>
      </c>
      <c r="G53" s="15" t="str">
        <f>IF($P53="","",IFERROR(IF(INDEX(MASTER!$H$4:$H$1463,$P53)="","",INDEX(MASTER!$H$4:$H$1463,$P53)),""))</f>
        <v>62,000 - 62,999</v>
      </c>
      <c r="H53" s="16">
        <f>IF($P53="","",IFERROR(IF(INDEX(MASTER!$I$4:$I$1463,$P53)="","",INDEX(MASTER!$I$4:$I$1463,$P53)),""))</f>
        <v>2897</v>
      </c>
      <c r="I53" s="15" t="str">
        <f>IF($P53="","",IFERROR(IF(INDEX(MASTER!$J$4:$J$1463,$P53)="","",INDEX(MASTER!$J$4:$J$1463,$P53)),""))</f>
        <v>DEVELOPING</v>
      </c>
      <c r="J53" s="17">
        <f>IF($P53="","",IFERROR(IF(INDEX(MASTER!$L$4:$L$1463,$P53)="","",INDEX(MASTER!$L$4:$L$1463,$P53)),""))</f>
        <v>4.2</v>
      </c>
      <c r="K53" s="17">
        <f>IF($P53="","",IFERROR(IF(INDEX(MASTER!$N$4:$N$1463,$P53)="","",INDEX(MASTER!$N$4:$N$1463,$P53)),""))</f>
        <v>38.4</v>
      </c>
      <c r="L53" s="15" t="str">
        <f>IF($P53="","",IFERROR(IF(INDEX(MASTER!$O$4:$O$1463,$P53)="","",INDEX(MASTER!$O$4:$O$1463,$P53)),""))</f>
        <v>B</v>
      </c>
      <c r="M53" s="15">
        <f>IF($P53="","",IFERROR(IF(INDEX(MASTER!$Q$4:$Q$1463,$P53)="","",INDEX(MASTER!$Q$4:$Q$1463,$P53)),""))</f>
        <v>19</v>
      </c>
      <c r="N53" s="15" t="str">
        <f>IF($P53="","",IFERROR(IF(INDEX(MASTER!$S$4:$S$1463,$P53)="","",INDEX(MASTER!$S$4:$S$1463,$P53)),""))</f>
        <v>Complete</v>
      </c>
      <c r="P53">
        <f>IFERROR(MATCH($Q$1&amp;"@45",MASTER!$AC$4:$AC$1463,0),"")</f>
        <v>627</v>
      </c>
    </row>
    <row r="54" spans="1:16">
      <c r="A54" s="19">
        <f>IF($P54="","",46)</f>
        <v>46</v>
      </c>
      <c r="B54" s="18" t="str">
        <f>IF($P54="","",IFERROR(IF(INDEX(MASTER!$C$4:$C$1463,$P54)="","",INDEX(MASTER!$C$4:$C$1463,$P54)),""))</f>
        <v>KyleSnow</v>
      </c>
      <c r="C54" s="19" t="str">
        <f>IF($P54="","",IFERROR(IF(INDEX(MASTER!$D$4:$D$1463,$P54)="","",INDEX(MASTER!$D$4:$D$1463,$P54)),""))</f>
        <v/>
      </c>
      <c r="D54" s="19" t="str">
        <f>IF($P54="","",IFERROR(IF(INDEX(MASTER!$E$4:$E$1463,$P54)="","",INDEX(MASTER!$E$4:$E$1463,$P54)),""))</f>
        <v>BLOOD KNIGHT</v>
      </c>
      <c r="E54" s="19" t="str">
        <f>IF($P54="","",IFERROR(IF(INDEX(MASTER!$F$4:$F$1463,$P54)="","",INDEX(MASTER!$F$4:$F$1463,$P54)),""))</f>
        <v>Frontline</v>
      </c>
      <c r="F54" s="20">
        <f>IF($P54="","",IFERROR(IF(INDEX(MASTER!$G$4:$G$1463,$P54)="","",INDEX(MASTER!$G$4:$G$1463,$P54)),""))</f>
        <v>60914</v>
      </c>
      <c r="G54" s="19" t="str">
        <f>IF($P54="","",IFERROR(IF(INDEX(MASTER!$H$4:$H$1463,$P54)="","",INDEX(MASTER!$H$4:$H$1463,$P54)),""))</f>
        <v>60,000 - 60,999</v>
      </c>
      <c r="H54" s="20">
        <f>IF($P54="","",IFERROR(IF(INDEX(MASTER!$I$4:$I$1463,$P54)="","",INDEX(MASTER!$I$4:$I$1463,$P54)),""))</f>
        <v>1680</v>
      </c>
      <c r="I54" s="19" t="str">
        <f>IF($P54="","",IFERROR(IF(INDEX(MASTER!$J$4:$J$1463,$P54)="","",INDEX(MASTER!$J$4:$J$1463,$P54)),""))</f>
        <v>ROOKIE</v>
      </c>
      <c r="J54" s="21">
        <f>IF($P54="","",IFERROR(IF(INDEX(MASTER!$L$4:$L$1463,$P54)="","",INDEX(MASTER!$L$4:$L$1463,$P54)),""))</f>
        <v>2.8</v>
      </c>
      <c r="K54" s="21">
        <f>IF($P54="","",IFERROR(IF(INDEX(MASTER!$N$4:$N$1463,$P54)="","",INDEX(MASTER!$N$4:$N$1463,$P54)),""))</f>
        <v>27.6</v>
      </c>
      <c r="L54" s="19" t="str">
        <f>IF($P54="","",IFERROR(IF(INDEX(MASTER!$O$4:$O$1463,$P54)="","",INDEX(MASTER!$O$4:$O$1463,$P54)),""))</f>
        <v>C</v>
      </c>
      <c r="M54" s="19">
        <f>IF($P54="","",IFERROR(IF(INDEX(MASTER!$Q$4:$Q$1463,$P54)="","",INDEX(MASTER!$Q$4:$Q$1463,$P54)),""))</f>
        <v>59</v>
      </c>
      <c r="N54" s="19" t="str">
        <f>IF($P54="","",IFERROR(IF(INDEX(MASTER!$S$4:$S$1463,$P54)="","",INDEX(MASTER!$S$4:$S$1463,$P54)),""))</f>
        <v>Complete</v>
      </c>
      <c r="P54">
        <f>IFERROR(MATCH($Q$1&amp;"@46",MASTER!$AC$4:$AC$1463,0),"")</f>
        <v>637</v>
      </c>
    </row>
    <row r="55" spans="1:16">
      <c r="A55" s="15">
        <f>IF($P55="","",47)</f>
        <v>47</v>
      </c>
      <c r="B55" s="14" t="str">
        <f>IF($P55="","",IFERROR(IF(INDEX(MASTER!$C$4:$C$1463,$P55)="","",INDEX(MASTER!$C$4:$C$1463,$P55)),""))</f>
        <v>Kyria-2</v>
      </c>
      <c r="C55" s="15" t="str">
        <f>IF($P55="","",IFERROR(IF(INDEX(MASTER!$D$4:$D$1463,$P55)="","",INDEX(MASTER!$D$4:$D$1463,$P55)),""))</f>
        <v/>
      </c>
      <c r="D55" s="15" t="str">
        <f>IF($P55="","",IFERROR(IF(INDEX(MASTER!$E$4:$E$1463,$P55)="","",INDEX(MASTER!$E$4:$E$1463,$P55)),""))</f>
        <v>WARLOCK</v>
      </c>
      <c r="E55" s="15" t="str">
        <f>IF($P55="","",IFERROR(IF(INDEX(MASTER!$F$4:$F$1463,$P55)="","",INDEX(MASTER!$F$4:$F$1463,$P55)),""))</f>
        <v>Control</v>
      </c>
      <c r="F55" s="16">
        <f>IF($P55="","",IFERROR(IF(INDEX(MASTER!$G$4:$G$1463,$P55)="","",INDEX(MASTER!$G$4:$G$1463,$P55)),""))</f>
        <v>61388</v>
      </c>
      <c r="G55" s="15" t="str">
        <f>IF($P55="","",IFERROR(IF(INDEX(MASTER!$H$4:$H$1463,$P55)="","",INDEX(MASTER!$H$4:$H$1463,$P55)),""))</f>
        <v>61,000 - 61,999</v>
      </c>
      <c r="H55" s="16">
        <f>IF($P55="","",IFERROR(IF(INDEX(MASTER!$I$4:$I$1463,$P55)="","",INDEX(MASTER!$I$4:$I$1463,$P55)),""))</f>
        <v>2397</v>
      </c>
      <c r="I55" s="15" t="str">
        <f>IF($P55="","",IFERROR(IF(INDEX(MASTER!$J$4:$J$1463,$P55)="","",INDEX(MASTER!$J$4:$J$1463,$P55)),""))</f>
        <v>DEVELOPING</v>
      </c>
      <c r="J55" s="17">
        <f>IF($P55="","",IFERROR(IF(INDEX(MASTER!$L$4:$L$1463,$P55)="","",INDEX(MASTER!$L$4:$L$1463,$P55)),""))</f>
        <v>4.2</v>
      </c>
      <c r="K55" s="17">
        <f>IF($P55="","",IFERROR(IF(INDEX(MASTER!$N$4:$N$1463,$P55)="","",INDEX(MASTER!$N$4:$N$1463,$P55)),""))</f>
        <v>34.299999999999997</v>
      </c>
      <c r="L55" s="15" t="str">
        <f>IF($P55="","",IFERROR(IF(INDEX(MASTER!$O$4:$O$1463,$P55)="","",INDEX(MASTER!$O$4:$O$1463,$P55)),""))</f>
        <v>C</v>
      </c>
      <c r="M55" s="15">
        <f>IF($P55="","",IFERROR(IF(INDEX(MASTER!$Q$4:$Q$1463,$P55)="","",INDEX(MASTER!$Q$4:$Q$1463,$P55)),""))</f>
        <v>34</v>
      </c>
      <c r="N55" s="15" t="str">
        <f>IF($P55="","",IFERROR(IF(INDEX(MASTER!$S$4:$S$1463,$P55)="","",INDEX(MASTER!$S$4:$S$1463,$P55)),""))</f>
        <v>Complete</v>
      </c>
      <c r="P55">
        <f>IFERROR(MATCH($Q$1&amp;"@47",MASTER!$AC$4:$AC$1463,0),"")</f>
        <v>639</v>
      </c>
    </row>
    <row r="56" spans="1:16">
      <c r="A56" s="19">
        <f>IF($P56="","",48)</f>
        <v>48</v>
      </c>
      <c r="B56" s="18" t="str">
        <f>IF($P56="","",IFERROR(IF(INDEX(MASTER!$C$4:$C$1463,$P56)="","",INDEX(MASTER!$C$4:$C$1463,$P56)),""))</f>
        <v>Lachnadan</v>
      </c>
      <c r="C56" s="19" t="str">
        <f>IF($P56="","",IFERROR(IF(INDEX(MASTER!$D$4:$D$1463,$P56)="","",INDEX(MASTER!$D$4:$D$1463,$P56)),""))</f>
        <v/>
      </c>
      <c r="D56" s="19" t="str">
        <f>IF($P56="","",IFERROR(IF(INDEX(MASTER!$E$4:$E$1463,$P56)="","",INDEX(MASTER!$E$4:$E$1463,$P56)),""))</f>
        <v>BARBARIAN</v>
      </c>
      <c r="E56" s="19" t="str">
        <f>IF($P56="","",IFERROR(IF(INDEX(MASTER!$F$4:$F$1463,$P56)="","",INDEX(MASTER!$F$4:$F$1463,$P56)),""))</f>
        <v>Frontline</v>
      </c>
      <c r="F56" s="20">
        <f>IF($P56="","",IFERROR(IF(INDEX(MASTER!$G$4:$G$1463,$P56)="","",INDEX(MASTER!$G$4:$G$1463,$P56)),""))</f>
        <v>62235</v>
      </c>
      <c r="G56" s="19" t="str">
        <f>IF($P56="","",IFERROR(IF(INDEX(MASTER!$H$4:$H$1463,$P56)="","",INDEX(MASTER!$H$4:$H$1463,$P56)),""))</f>
        <v>62,000 - 62,999</v>
      </c>
      <c r="H56" s="20">
        <f>IF($P56="","",IFERROR(IF(INDEX(MASTER!$I$4:$I$1463,$P56)="","",INDEX(MASTER!$I$4:$I$1463,$P56)),""))</f>
        <v>2220</v>
      </c>
      <c r="I56" s="19" t="str">
        <f>IF($P56="","",IFERROR(IF(INDEX(MASTER!$J$4:$J$1463,$P56)="","",INDEX(MASTER!$J$4:$J$1463,$P56)),""))</f>
        <v>DEVELOPING</v>
      </c>
      <c r="J56" s="21">
        <f>IF($P56="","",IFERROR(IF(INDEX(MASTER!$L$4:$L$1463,$P56)="","",INDEX(MASTER!$L$4:$L$1463,$P56)),""))</f>
        <v>3.4</v>
      </c>
      <c r="K56" s="21">
        <f>IF($P56="","",IFERROR(IF(INDEX(MASTER!$N$4:$N$1463,$P56)="","",INDEX(MASTER!$N$4:$N$1463,$P56)),""))</f>
        <v>34.4</v>
      </c>
      <c r="L56" s="19" t="str">
        <f>IF($P56="","",IFERROR(IF(INDEX(MASTER!$O$4:$O$1463,$P56)="","",INDEX(MASTER!$O$4:$O$1463,$P56)),""))</f>
        <v>C</v>
      </c>
      <c r="M56" s="19">
        <f>IF($P56="","",IFERROR(IF(INDEX(MASTER!$Q$4:$Q$1463,$P56)="","",INDEX(MASTER!$Q$4:$Q$1463,$P56)),""))</f>
        <v>39</v>
      </c>
      <c r="N56" s="19" t="str">
        <f>IF($P56="","",IFERROR(IF(INDEX(MASTER!$S$4:$S$1463,$P56)="","",INDEX(MASTER!$S$4:$S$1463,$P56)),""))</f>
        <v>Complete</v>
      </c>
      <c r="P56">
        <f>IFERROR(MATCH($Q$1&amp;"@48",MASTER!$AC$4:$AC$1463,0),"")</f>
        <v>643</v>
      </c>
    </row>
    <row r="57" spans="1:16">
      <c r="A57" s="15">
        <f>IF($P57="","",49)</f>
        <v>49</v>
      </c>
      <c r="B57" s="14" t="str">
        <f>IF($P57="","",IFERROR(IF(INDEX(MASTER!$C$4:$C$1463,$P57)="","",INDEX(MASTER!$C$4:$C$1463,$P57)),""))</f>
        <v>LE1</v>
      </c>
      <c r="C57" s="15" t="str">
        <f>IF($P57="","",IFERROR(IF(INDEX(MASTER!$D$4:$D$1463,$P57)="","",INDEX(MASTER!$D$4:$D$1463,$P57)),""))</f>
        <v/>
      </c>
      <c r="D57" s="15" t="str">
        <f>IF($P57="","",IFERROR(IF(INDEX(MASTER!$E$4:$E$1463,$P57)="","",INDEX(MASTER!$E$4:$E$1463,$P57)),""))</f>
        <v>WARLOCK</v>
      </c>
      <c r="E57" s="15" t="str">
        <f>IF($P57="","",IFERROR(IF(INDEX(MASTER!$F$4:$F$1463,$P57)="","",INDEX(MASTER!$F$4:$F$1463,$P57)),""))</f>
        <v>Control</v>
      </c>
      <c r="F57" s="16">
        <f>IF($P57="","",IFERROR(IF(INDEX(MASTER!$G$4:$G$1463,$P57)="","",INDEX(MASTER!$G$4:$G$1463,$P57)),""))</f>
        <v>62037</v>
      </c>
      <c r="G57" s="15" t="str">
        <f>IF($P57="","",IFERROR(IF(INDEX(MASTER!$H$4:$H$1463,$P57)="","",INDEX(MASTER!$H$4:$H$1463,$P57)),""))</f>
        <v>62,000 - 62,999</v>
      </c>
      <c r="H57" s="16">
        <f>IF($P57="","",IFERROR(IF(INDEX(MASTER!$I$4:$I$1463,$P57)="","",INDEX(MASTER!$I$4:$I$1463,$P57)),""))</f>
        <v>1233</v>
      </c>
      <c r="I57" s="15" t="str">
        <f>IF($P57="","",IFERROR(IF(INDEX(MASTER!$J$4:$J$1463,$P57)="","",INDEX(MASTER!$J$4:$J$1463,$P57)),""))</f>
        <v>ROOKIE</v>
      </c>
      <c r="J57" s="17">
        <f>IF($P57="","",IFERROR(IF(INDEX(MASTER!$L$4:$L$1463,$P57)="","",INDEX(MASTER!$L$4:$L$1463,$P57)),""))</f>
        <v>3</v>
      </c>
      <c r="K57" s="17">
        <f>IF($P57="","",IFERROR(IF(INDEX(MASTER!$N$4:$N$1463,$P57)="","",INDEX(MASTER!$N$4:$N$1463,$P57)),""))</f>
        <v>28.9</v>
      </c>
      <c r="L57" s="15" t="str">
        <f>IF($P57="","",IFERROR(IF(INDEX(MASTER!$O$4:$O$1463,$P57)="","",INDEX(MASTER!$O$4:$O$1463,$P57)),""))</f>
        <v>C</v>
      </c>
      <c r="M57" s="15">
        <f>IF($P57="","",IFERROR(IF(INDEX(MASTER!$Q$4:$Q$1463,$P57)="","",INDEX(MASTER!$Q$4:$Q$1463,$P57)),""))</f>
        <v>80</v>
      </c>
      <c r="N57" s="15" t="str">
        <f>IF($P57="","",IFERROR(IF(INDEX(MASTER!$S$4:$S$1463,$P57)="","",INDEX(MASTER!$S$4:$S$1463,$P57)),""))</f>
        <v>Complete</v>
      </c>
      <c r="P57">
        <f>IFERROR(MATCH($Q$1&amp;"@49",MASTER!$AC$4:$AC$1463,0),"")</f>
        <v>653</v>
      </c>
    </row>
    <row r="58" spans="1:16">
      <c r="A58" s="19">
        <f>IF($P58="","",50)</f>
        <v>50</v>
      </c>
      <c r="B58" s="18" t="str">
        <f>IF($P58="","",IFERROR(IF(INDEX(MASTER!$C$4:$C$1463,$P58)="","",INDEX(MASTER!$C$4:$C$1463,$P58)),""))</f>
        <v>LEXologic</v>
      </c>
      <c r="C58" s="19" t="str">
        <f>IF($P58="","",IFERROR(IF(INDEX(MASTER!$D$4:$D$1463,$P58)="","",INDEX(MASTER!$D$4:$D$1463,$P58)),""))</f>
        <v/>
      </c>
      <c r="D58" s="19" t="str">
        <f>IF($P58="","",IFERROR(IF(INDEX(MASTER!$E$4:$E$1463,$P58)="","",INDEX(MASTER!$E$4:$E$1463,$P58)),""))</f>
        <v>WARLOCK</v>
      </c>
      <c r="E58" s="19" t="str">
        <f>IF($P58="","",IFERROR(IF(INDEX(MASTER!$F$4:$F$1463,$P58)="","",INDEX(MASTER!$F$4:$F$1463,$P58)),""))</f>
        <v>Control</v>
      </c>
      <c r="F58" s="20">
        <f>IF($P58="","",IFERROR(IF(INDEX(MASTER!$G$4:$G$1463,$P58)="","",INDEX(MASTER!$G$4:$G$1463,$P58)),""))</f>
        <v>61720</v>
      </c>
      <c r="G58" s="19" t="str">
        <f>IF($P58="","",IFERROR(IF(INDEX(MASTER!$H$4:$H$1463,$P58)="","",INDEX(MASTER!$H$4:$H$1463,$P58)),""))</f>
        <v>61,000 - 61,999</v>
      </c>
      <c r="H58" s="20">
        <f>IF($P58="","",IFERROR(IF(INDEX(MASTER!$I$4:$I$1463,$P58)="","",INDEX(MASTER!$I$4:$I$1463,$P58)),""))</f>
        <v>2360</v>
      </c>
      <c r="I58" s="19" t="str">
        <f>IF($P58="","",IFERROR(IF(INDEX(MASTER!$J$4:$J$1463,$P58)="","",INDEX(MASTER!$J$4:$J$1463,$P58)),""))</f>
        <v>DEVELOPING</v>
      </c>
      <c r="J58" s="21">
        <f>IF($P58="","",IFERROR(IF(INDEX(MASTER!$L$4:$L$1463,$P58)="","",INDEX(MASTER!$L$4:$L$1463,$P58)),""))</f>
        <v>4</v>
      </c>
      <c r="K58" s="21">
        <f>IF($P58="","",IFERROR(IF(INDEX(MASTER!$N$4:$N$1463,$P58)="","",INDEX(MASTER!$N$4:$N$1463,$P58)),""))</f>
        <v>34.700000000000003</v>
      </c>
      <c r="L58" s="19" t="str">
        <f>IF($P58="","",IFERROR(IF(INDEX(MASTER!$O$4:$O$1463,$P58)="","",INDEX(MASTER!$O$4:$O$1463,$P58)),""))</f>
        <v>C</v>
      </c>
      <c r="M58" s="19">
        <f>IF($P58="","",IFERROR(IF(INDEX(MASTER!$Q$4:$Q$1463,$P58)="","",INDEX(MASTER!$Q$4:$Q$1463,$P58)),""))</f>
        <v>35</v>
      </c>
      <c r="N58" s="19" t="str">
        <f>IF($P58="","",IFERROR(IF(INDEX(MASTER!$S$4:$S$1463,$P58)="","",INDEX(MASTER!$S$4:$S$1463,$P58)),""))</f>
        <v>Complete</v>
      </c>
      <c r="P58">
        <f>IFERROR(MATCH($Q$1&amp;"@50",MASTER!$AC$4:$AC$1463,0),"")</f>
        <v>663</v>
      </c>
    </row>
    <row r="59" spans="1:16">
      <c r="A59" s="15">
        <f>IF($P59="","",51)</f>
        <v>51</v>
      </c>
      <c r="B59" s="14" t="str">
        <f>IF($P59="","",IFERROR(IF(INDEX(MASTER!$C$4:$C$1463,$P59)="","",INDEX(MASTER!$C$4:$C$1463,$P59)),""))</f>
        <v>Longbottoms</v>
      </c>
      <c r="C59" s="15" t="str">
        <f>IF($P59="","",IFERROR(IF(INDEX(MASTER!$D$4:$D$1463,$P59)="","",INDEX(MASTER!$D$4:$D$1463,$P59)),""))</f>
        <v/>
      </c>
      <c r="D59" s="15" t="str">
        <f>IF($P59="","",IFERROR(IF(INDEX(MASTER!$E$4:$E$1463,$P59)="","",INDEX(MASTER!$E$4:$E$1463,$P59)),""))</f>
        <v>DRUID</v>
      </c>
      <c r="E59" s="15" t="str">
        <f>IF($P59="","",IFERROR(IF(INDEX(MASTER!$F$4:$F$1463,$P59)="","",INDEX(MASTER!$F$4:$F$1463,$P59)),""))</f>
        <v>Support</v>
      </c>
      <c r="F59" s="16">
        <f>IF($P59="","",IFERROR(IF(INDEX(MASTER!$G$4:$G$1463,$P59)="","",INDEX(MASTER!$G$4:$G$1463,$P59)),""))</f>
        <v>63087</v>
      </c>
      <c r="G59" s="15" t="str">
        <f>IF($P59="","",IFERROR(IF(INDEX(MASTER!$H$4:$H$1463,$P59)="","",INDEX(MASTER!$H$4:$H$1463,$P59)),""))</f>
        <v>63,000 - 63,999</v>
      </c>
      <c r="H59" s="16">
        <f>IF($P59="","",IFERROR(IF(INDEX(MASTER!$I$4:$I$1463,$P59)="","",INDEX(MASTER!$I$4:$I$1463,$P59)),""))</f>
        <v>3282</v>
      </c>
      <c r="I59" s="15" t="str">
        <f>IF($P59="","",IFERROR(IF(INDEX(MASTER!$J$4:$J$1463,$P59)="","",INDEX(MASTER!$J$4:$J$1463,$P59)),""))</f>
        <v>DEVELOPING</v>
      </c>
      <c r="J59" s="17">
        <f>IF($P59="","",IFERROR(IF(INDEX(MASTER!$L$4:$L$1463,$P59)="","",INDEX(MASTER!$L$4:$L$1463,$P59)),""))</f>
        <v>4.2</v>
      </c>
      <c r="K59" s="17">
        <f>IF($P59="","",IFERROR(IF(INDEX(MASTER!$N$4:$N$1463,$P59)="","",INDEX(MASTER!$N$4:$N$1463,$P59)),""))</f>
        <v>42.6</v>
      </c>
      <c r="L59" s="15" t="str">
        <f>IF($P59="","",IFERROR(IF(INDEX(MASTER!$O$4:$O$1463,$P59)="","",INDEX(MASTER!$O$4:$O$1463,$P59)),""))</f>
        <v>B</v>
      </c>
      <c r="M59" s="15">
        <f>IF($P59="","",IFERROR(IF(INDEX(MASTER!$Q$4:$Q$1463,$P59)="","",INDEX(MASTER!$Q$4:$Q$1463,$P59)),""))</f>
        <v>9</v>
      </c>
      <c r="N59" s="15" t="str">
        <f>IF($P59="","",IFERROR(IF(INDEX(MASTER!$S$4:$S$1463,$P59)="","",INDEX(MASTER!$S$4:$S$1463,$P59)),""))</f>
        <v>Complete</v>
      </c>
      <c r="P59">
        <f>IFERROR(MATCH($Q$1&amp;"@51",MASTER!$AC$4:$AC$1463,0),"")</f>
        <v>678</v>
      </c>
    </row>
    <row r="60" spans="1:16">
      <c r="A60" s="19">
        <f>IF($P60="","",52)</f>
        <v>52</v>
      </c>
      <c r="B60" s="18" t="str">
        <f>IF($P60="","",IFERROR(IF(INDEX(MASTER!$C$4:$C$1463,$P60)="","",INDEX(MASTER!$C$4:$C$1463,$P60)),""))</f>
        <v>Losermachine</v>
      </c>
      <c r="C60" s="19" t="str">
        <f>IF($P60="","",IFERROR(IF(INDEX(MASTER!$D$4:$D$1463,$P60)="","",INDEX(MASTER!$D$4:$D$1463,$P60)),""))</f>
        <v/>
      </c>
      <c r="D60" s="19" t="str">
        <f>IF($P60="","",IFERROR(IF(INDEX(MASTER!$E$4:$E$1463,$P60)="","",INDEX(MASTER!$E$4:$E$1463,$P60)),""))</f>
        <v>BLOOD KNIGHT</v>
      </c>
      <c r="E60" s="19" t="str">
        <f>IF($P60="","",IFERROR(IF(INDEX(MASTER!$F$4:$F$1463,$P60)="","",INDEX(MASTER!$F$4:$F$1463,$P60)),""))</f>
        <v>Frontline</v>
      </c>
      <c r="F60" s="20">
        <f>IF($P60="","",IFERROR(IF(INDEX(MASTER!$G$4:$G$1463,$P60)="","",INDEX(MASTER!$G$4:$G$1463,$P60)),""))</f>
        <v>61680</v>
      </c>
      <c r="G60" s="19" t="str">
        <f>IF($P60="","",IFERROR(IF(INDEX(MASTER!$H$4:$H$1463,$P60)="","",INDEX(MASTER!$H$4:$H$1463,$P60)),""))</f>
        <v>61,000 - 61,999</v>
      </c>
      <c r="H60" s="20">
        <f>IF($P60="","",IFERROR(IF(INDEX(MASTER!$I$4:$I$1463,$P60)="","",INDEX(MASTER!$I$4:$I$1463,$P60)),""))</f>
        <v>1960</v>
      </c>
      <c r="I60" s="19" t="str">
        <f>IF($P60="","",IFERROR(IF(INDEX(MASTER!$J$4:$J$1463,$P60)="","",INDEX(MASTER!$J$4:$J$1463,$P60)),""))</f>
        <v>ROOKIE</v>
      </c>
      <c r="J60" s="21">
        <f>IF($P60="","",IFERROR(IF(INDEX(MASTER!$L$4:$L$1463,$P60)="","",INDEX(MASTER!$L$4:$L$1463,$P60)),""))</f>
        <v>4.4000000000000004</v>
      </c>
      <c r="K60" s="21">
        <f>IF($P60="","",IFERROR(IF(INDEX(MASTER!$N$4:$N$1463,$P60)="","",INDEX(MASTER!$N$4:$N$1463,$P60)),""))</f>
        <v>33.5</v>
      </c>
      <c r="L60" s="19" t="str">
        <f>IF($P60="","",IFERROR(IF(INDEX(MASTER!$O$4:$O$1463,$P60)="","",INDEX(MASTER!$O$4:$O$1463,$P60)),""))</f>
        <v>C</v>
      </c>
      <c r="M60" s="19">
        <f>IF($P60="","",IFERROR(IF(INDEX(MASTER!$Q$4:$Q$1463,$P60)="","",INDEX(MASTER!$Q$4:$Q$1463,$P60)),""))</f>
        <v>50</v>
      </c>
      <c r="N60" s="19" t="str">
        <f>IF($P60="","",IFERROR(IF(INDEX(MASTER!$S$4:$S$1463,$P60)="","",INDEX(MASTER!$S$4:$S$1463,$P60)),""))</f>
        <v>Complete</v>
      </c>
      <c r="P60">
        <f>IFERROR(MATCH($Q$1&amp;"@52",MASTER!$AC$4:$AC$1463,0),"")</f>
        <v>685</v>
      </c>
    </row>
    <row r="61" spans="1:16">
      <c r="A61" s="15">
        <f>IF($P61="","",53)</f>
        <v>53</v>
      </c>
      <c r="B61" s="14" t="str">
        <f>IF($P61="","",IFERROR(IF(INDEX(MASTER!$C$4:$C$1463,$P61)="","",INDEX(MASTER!$C$4:$C$1463,$P61)),""))</f>
        <v>LunaBlade</v>
      </c>
      <c r="C61" s="15" t="str">
        <f>IF($P61="","",IFERROR(IF(INDEX(MASTER!$D$4:$D$1463,$P61)="","",INDEX(MASTER!$D$4:$D$1463,$P61)),""))</f>
        <v/>
      </c>
      <c r="D61" s="15" t="str">
        <f>IF($P61="","",IFERROR(IF(INDEX(MASTER!$E$4:$E$1463,$P61)="","",INDEX(MASTER!$E$4:$E$1463,$P61)),""))</f>
        <v>BARBARIAN</v>
      </c>
      <c r="E61" s="15" t="str">
        <f>IF($P61="","",IFERROR(IF(INDEX(MASTER!$F$4:$F$1463,$P61)="","",INDEX(MASTER!$F$4:$F$1463,$P61)),""))</f>
        <v>Frontline</v>
      </c>
      <c r="F61" s="16">
        <f>IF($P61="","",IFERROR(IF(INDEX(MASTER!$G$4:$G$1463,$P61)="","",INDEX(MASTER!$G$4:$G$1463,$P61)),""))</f>
        <v>62046</v>
      </c>
      <c r="G61" s="15" t="str">
        <f>IF($P61="","",IFERROR(IF(INDEX(MASTER!$H$4:$H$1463,$P61)="","",INDEX(MASTER!$H$4:$H$1463,$P61)),""))</f>
        <v>62,000 - 62,999</v>
      </c>
      <c r="H61" s="16">
        <f>IF($P61="","",IFERROR(IF(INDEX(MASTER!$I$4:$I$1463,$P61)="","",INDEX(MASTER!$I$4:$I$1463,$P61)),""))</f>
        <v>2454</v>
      </c>
      <c r="I61" s="15" t="str">
        <f>IF($P61="","",IFERROR(IF(INDEX(MASTER!$J$4:$J$1463,$P61)="","",INDEX(MASTER!$J$4:$J$1463,$P61)),""))</f>
        <v>DEVELOPING</v>
      </c>
      <c r="J61" s="17">
        <f>IF($P61="","",IFERROR(IF(INDEX(MASTER!$L$4:$L$1463,$P61)="","",INDEX(MASTER!$L$4:$L$1463,$P61)),""))</f>
        <v>3.5</v>
      </c>
      <c r="K61" s="17">
        <f>IF($P61="","",IFERROR(IF(INDEX(MASTER!$N$4:$N$1463,$P61)="","",INDEX(MASTER!$N$4:$N$1463,$P61)),""))</f>
        <v>35.1</v>
      </c>
      <c r="L61" s="15" t="str">
        <f>IF($P61="","",IFERROR(IF(INDEX(MASTER!$O$4:$O$1463,$P61)="","",INDEX(MASTER!$O$4:$O$1463,$P61)),""))</f>
        <v>B</v>
      </c>
      <c r="M61" s="15">
        <f>IF($P61="","",IFERROR(IF(INDEX(MASTER!$Q$4:$Q$1463,$P61)="","",INDEX(MASTER!$Q$4:$Q$1463,$P61)),""))</f>
        <v>32</v>
      </c>
      <c r="N61" s="15" t="str">
        <f>IF($P61="","",IFERROR(IF(INDEX(MASTER!$S$4:$S$1463,$P61)="","",INDEX(MASTER!$S$4:$S$1463,$P61)),""))</f>
        <v>Complete</v>
      </c>
      <c r="P61">
        <f>IFERROR(MATCH($Q$1&amp;"@53",MASTER!$AC$4:$AC$1463,0),"")</f>
        <v>694</v>
      </c>
    </row>
    <row r="62" spans="1:16">
      <c r="A62" s="19">
        <f>IF($P62="","",54)</f>
        <v>54</v>
      </c>
      <c r="B62" s="18" t="str">
        <f>IF($P62="","",IFERROR(IF(INDEX(MASTER!$C$4:$C$1463,$P62)="","",INDEX(MASTER!$C$4:$C$1463,$P62)),""))</f>
        <v>Macmudd</v>
      </c>
      <c r="C62" s="19" t="str">
        <f>IF($P62="","",IFERROR(IF(INDEX(MASTER!$D$4:$D$1463,$P62)="","",INDEX(MASTER!$D$4:$D$1463,$P62)),""))</f>
        <v/>
      </c>
      <c r="D62" s="19" t="str">
        <f>IF($P62="","",IFERROR(IF(INDEX(MASTER!$E$4:$E$1463,$P62)="","",INDEX(MASTER!$E$4:$E$1463,$P62)),""))</f>
        <v>WARLOCK</v>
      </c>
      <c r="E62" s="19" t="str">
        <f>IF($P62="","",IFERROR(IF(INDEX(MASTER!$F$4:$F$1463,$P62)="","",INDEX(MASTER!$F$4:$F$1463,$P62)),""))</f>
        <v>Control</v>
      </c>
      <c r="F62" s="20">
        <f>IF($P62="","",IFERROR(IF(INDEX(MASTER!$G$4:$G$1463,$P62)="","",INDEX(MASTER!$G$4:$G$1463,$P62)),""))</f>
        <v>55546</v>
      </c>
      <c r="G62" s="19" t="str">
        <f>IF($P62="","",IFERROR(IF(INDEX(MASTER!$H$4:$H$1463,$P62)="","",INDEX(MASTER!$H$4:$H$1463,$P62)),""))</f>
        <v>Under 58,000</v>
      </c>
      <c r="H62" s="20">
        <f>IF($P62="","",IFERROR(IF(INDEX(MASTER!$I$4:$I$1463,$P62)="","",INDEX(MASTER!$I$4:$I$1463,$P62)),""))</f>
        <v>1426</v>
      </c>
      <c r="I62" s="19" t="str">
        <f>IF($P62="","",IFERROR(IF(INDEX(MASTER!$J$4:$J$1463,$P62)="","",INDEX(MASTER!$J$4:$J$1463,$P62)),""))</f>
        <v>ROOKIE</v>
      </c>
      <c r="J62" s="21">
        <f>IF($P62="","",IFERROR(IF(INDEX(MASTER!$L$4:$L$1463,$P62)="","",INDEX(MASTER!$L$4:$L$1463,$P62)),""))</f>
        <v>2.9</v>
      </c>
      <c r="K62" s="21">
        <f>IF($P62="","",IFERROR(IF(INDEX(MASTER!$N$4:$N$1463,$P62)="","",INDEX(MASTER!$N$4:$N$1463,$P62)),""))</f>
        <v>12.5</v>
      </c>
      <c r="L62" s="19" t="str">
        <f>IF($P62="","",IFERROR(IF(INDEX(MASTER!$O$4:$O$1463,$P62)="","",INDEX(MASTER!$O$4:$O$1463,$P62)),""))</f>
        <v>D</v>
      </c>
      <c r="M62" s="19">
        <f>IF($P62="","",IFERROR(IF(INDEX(MASTER!$Q$4:$Q$1463,$P62)="","",INDEX(MASTER!$Q$4:$Q$1463,$P62)),""))</f>
        <v>69</v>
      </c>
      <c r="N62" s="19" t="str">
        <f>IF($P62="","",IFERROR(IF(INDEX(MASTER!$S$4:$S$1463,$P62)="","",INDEX(MASTER!$S$4:$S$1463,$P62)),""))</f>
        <v>Complete</v>
      </c>
      <c r="P62">
        <f>IFERROR(MATCH($Q$1&amp;"@54",MASTER!$AC$4:$AC$1463,0),"")</f>
        <v>711</v>
      </c>
    </row>
    <row r="63" spans="1:16">
      <c r="A63" s="15">
        <f>IF($P63="","",55)</f>
        <v>55</v>
      </c>
      <c r="B63" s="14" t="str">
        <f>IF($P63="","",IFERROR(IF(INDEX(MASTER!$C$4:$C$1463,$P63)="","",INDEX(MASTER!$C$4:$C$1463,$P63)),""))</f>
        <v>Maowi</v>
      </c>
      <c r="C63" s="15" t="str">
        <f>IF($P63="","",IFERROR(IF(INDEX(MASTER!$D$4:$D$1463,$P63)="","",INDEX(MASTER!$D$4:$D$1463,$P63)),""))</f>
        <v/>
      </c>
      <c r="D63" s="15" t="str">
        <f>IF($P63="","",IFERROR(IF(INDEX(MASTER!$E$4:$E$1463,$P63)="","",INDEX(MASTER!$E$4:$E$1463,$P63)),""))</f>
        <v>BARBARIAN</v>
      </c>
      <c r="E63" s="15" t="str">
        <f>IF($P63="","",IFERROR(IF(INDEX(MASTER!$F$4:$F$1463,$P63)="","",INDEX(MASTER!$F$4:$F$1463,$P63)),""))</f>
        <v>Frontline</v>
      </c>
      <c r="F63" s="16">
        <f>IF($P63="","",IFERROR(IF(INDEX(MASTER!$G$4:$G$1463,$P63)="","",INDEX(MASTER!$G$4:$G$1463,$P63)),""))</f>
        <v>62168</v>
      </c>
      <c r="G63" s="15" t="str">
        <f>IF($P63="","",IFERROR(IF(INDEX(MASTER!$H$4:$H$1463,$P63)="","",INDEX(MASTER!$H$4:$H$1463,$P63)),""))</f>
        <v>62,000 - 62,999</v>
      </c>
      <c r="H63" s="16">
        <f>IF($P63="","",IFERROR(IF(INDEX(MASTER!$I$4:$I$1463,$P63)="","",INDEX(MASTER!$I$4:$I$1463,$P63)),""))</f>
        <v>1274</v>
      </c>
      <c r="I63" s="15" t="str">
        <f>IF($P63="","",IFERROR(IF(INDEX(MASTER!$J$4:$J$1463,$P63)="","",INDEX(MASTER!$J$4:$J$1463,$P63)),""))</f>
        <v>ROOKIE</v>
      </c>
      <c r="J63" s="17">
        <f>IF($P63="","",IFERROR(IF(INDEX(MASTER!$L$4:$L$1463,$P63)="","",INDEX(MASTER!$L$4:$L$1463,$P63)),""))</f>
        <v>3.4</v>
      </c>
      <c r="K63" s="17">
        <f>IF($P63="","",IFERROR(IF(INDEX(MASTER!$N$4:$N$1463,$P63)="","",INDEX(MASTER!$N$4:$N$1463,$P63)),""))</f>
        <v>30.1</v>
      </c>
      <c r="L63" s="15" t="str">
        <f>IF($P63="","",IFERROR(IF(INDEX(MASTER!$O$4:$O$1463,$P63)="","",INDEX(MASTER!$O$4:$O$1463,$P63)),""))</f>
        <v>C</v>
      </c>
      <c r="M63" s="15">
        <f>IF($P63="","",IFERROR(IF(INDEX(MASTER!$Q$4:$Q$1463,$P63)="","",INDEX(MASTER!$Q$4:$Q$1463,$P63)),""))</f>
        <v>78</v>
      </c>
      <c r="N63" s="15" t="str">
        <f>IF($P63="","",IFERROR(IF(INDEX(MASTER!$S$4:$S$1463,$P63)="","",INDEX(MASTER!$S$4:$S$1463,$P63)),""))</f>
        <v>Complete</v>
      </c>
      <c r="P63">
        <f>IFERROR(MATCH($Q$1&amp;"@55",MASTER!$AC$4:$AC$1463,0),"")</f>
        <v>732</v>
      </c>
    </row>
    <row r="64" spans="1:16">
      <c r="A64" s="19">
        <f>IF($P64="","",56)</f>
        <v>56</v>
      </c>
      <c r="B64" s="18" t="str">
        <f>IF($P64="","",IFERROR(IF(INDEX(MASTER!$C$4:$C$1463,$P64)="","",INDEX(MASTER!$C$4:$C$1463,$P64)),""))</f>
        <v>MaxIripatitoff</v>
      </c>
      <c r="C64" s="19" t="str">
        <f>IF($P64="","",IFERROR(IF(INDEX(MASTER!$D$4:$D$1463,$P64)="","",INDEX(MASTER!$D$4:$D$1463,$P64)),""))</f>
        <v/>
      </c>
      <c r="D64" s="19" t="str">
        <f>IF($P64="","",IFERROR(IF(INDEX(MASTER!$E$4:$E$1463,$P64)="","",INDEX(MASTER!$E$4:$E$1463,$P64)),""))</f>
        <v>WARLOCK</v>
      </c>
      <c r="E64" s="19" t="str">
        <f>IF($P64="","",IFERROR(IF(INDEX(MASTER!$F$4:$F$1463,$P64)="","",INDEX(MASTER!$F$4:$F$1463,$P64)),""))</f>
        <v>Control</v>
      </c>
      <c r="F64" s="20">
        <f>IF($P64="","",IFERROR(IF(INDEX(MASTER!$G$4:$G$1463,$P64)="","",INDEX(MASTER!$G$4:$G$1463,$P64)),""))</f>
        <v>60614</v>
      </c>
      <c r="G64" s="19" t="str">
        <f>IF($P64="","",IFERROR(IF(INDEX(MASTER!$H$4:$H$1463,$P64)="","",INDEX(MASTER!$H$4:$H$1463,$P64)),""))</f>
        <v>60,000 - 60,999</v>
      </c>
      <c r="H64" s="20">
        <f>IF($P64="","",IFERROR(IF(INDEX(MASTER!$I$4:$I$1463,$P64)="","",INDEX(MASTER!$I$4:$I$1463,$P64)),""))</f>
        <v>986</v>
      </c>
      <c r="I64" s="19" t="str">
        <f>IF($P64="","",IFERROR(IF(INDEX(MASTER!$J$4:$J$1463,$P64)="","",INDEX(MASTER!$J$4:$J$1463,$P64)),""))</f>
        <v>ROOKIE</v>
      </c>
      <c r="J64" s="21">
        <f>IF($P64="","",IFERROR(IF(INDEX(MASTER!$L$4:$L$1463,$P64)="","",INDEX(MASTER!$L$4:$L$1463,$P64)),""))</f>
        <v>2.6</v>
      </c>
      <c r="K64" s="21">
        <f>IF($P64="","",IFERROR(IF(INDEX(MASTER!$N$4:$N$1463,$P64)="","",INDEX(MASTER!$N$4:$N$1463,$P64)),""))</f>
        <v>23.4</v>
      </c>
      <c r="L64" s="19" t="str">
        <f>IF($P64="","",IFERROR(IF(INDEX(MASTER!$O$4:$O$1463,$P64)="","",INDEX(MASTER!$O$4:$O$1463,$P64)),""))</f>
        <v>C</v>
      </c>
      <c r="M64" s="19">
        <f>IF($P64="","",IFERROR(IF(INDEX(MASTER!$Q$4:$Q$1463,$P64)="","",INDEX(MASTER!$Q$4:$Q$1463,$P64)),""))</f>
        <v>84</v>
      </c>
      <c r="N64" s="19" t="str">
        <f>IF($P64="","",IFERROR(IF(INDEX(MASTER!$S$4:$S$1463,$P64)="","",INDEX(MASTER!$S$4:$S$1463,$P64)),""))</f>
        <v>Complete</v>
      </c>
      <c r="P64">
        <f>IFERROR(MATCH($Q$1&amp;"@56",MASTER!$AC$4:$AC$1463,0),"")</f>
        <v>738</v>
      </c>
    </row>
    <row r="65" spans="1:16">
      <c r="A65" s="15">
        <f>IF($P65="","",57)</f>
        <v>57</v>
      </c>
      <c r="B65" s="14" t="str">
        <f>IF($P65="","",IFERROR(IF(INDEX(MASTER!$C$4:$C$1463,$P65)="","",INDEX(MASTER!$C$4:$C$1463,$P65)),""))</f>
        <v>MegaForce</v>
      </c>
      <c r="C65" s="15" t="str">
        <f>IF($P65="","",IFERROR(IF(INDEX(MASTER!$D$4:$D$1463,$P65)="","",INDEX(MASTER!$D$4:$D$1463,$P65)),""))</f>
        <v/>
      </c>
      <c r="D65" s="15" t="str">
        <f>IF($P65="","",IFERROR(IF(INDEX(MASTER!$E$4:$E$1463,$P65)="","",INDEX(MASTER!$E$4:$E$1463,$P65)),""))</f>
        <v>WIZARD</v>
      </c>
      <c r="E65" s="15" t="str">
        <f>IF($P65="","",IFERROR(IF(INDEX(MASTER!$F$4:$F$1463,$P65)="","",INDEX(MASTER!$F$4:$F$1463,$P65)),""))</f>
        <v>Ranged DPS</v>
      </c>
      <c r="F65" s="16">
        <f>IF($P65="","",IFERROR(IF(INDEX(MASTER!$G$4:$G$1463,$P65)="","",INDEX(MASTER!$G$4:$G$1463,$P65)),""))</f>
        <v>62502</v>
      </c>
      <c r="G65" s="15" t="str">
        <f>IF($P65="","",IFERROR(IF(INDEX(MASTER!$H$4:$H$1463,$P65)="","",INDEX(MASTER!$H$4:$H$1463,$P65)),""))</f>
        <v>62,000 - 62,999</v>
      </c>
      <c r="H65" s="16">
        <f>IF($P65="","",IFERROR(IF(INDEX(MASTER!$I$4:$I$1463,$P65)="","",INDEX(MASTER!$I$4:$I$1463,$P65)),""))</f>
        <v>2618</v>
      </c>
      <c r="I65" s="15" t="str">
        <f>IF($P65="","",IFERROR(IF(INDEX(MASTER!$J$4:$J$1463,$P65)="","",INDEX(MASTER!$J$4:$J$1463,$P65)),""))</f>
        <v>DEVELOPING</v>
      </c>
      <c r="J65" s="17">
        <f>IF($P65="","",IFERROR(IF(INDEX(MASTER!$L$4:$L$1463,$P65)="","",INDEX(MASTER!$L$4:$L$1463,$P65)),""))</f>
        <v>3.4</v>
      </c>
      <c r="K65" s="17">
        <f>IF($P65="","",IFERROR(IF(INDEX(MASTER!$N$4:$N$1463,$P65)="","",INDEX(MASTER!$N$4:$N$1463,$P65)),""))</f>
        <v>36.799999999999997</v>
      </c>
      <c r="L65" s="15" t="str">
        <f>IF($P65="","",IFERROR(IF(INDEX(MASTER!$O$4:$O$1463,$P65)="","",INDEX(MASTER!$O$4:$O$1463,$P65)),""))</f>
        <v>B</v>
      </c>
      <c r="M65" s="15">
        <f>IF($P65="","",IFERROR(IF(INDEX(MASTER!$Q$4:$Q$1463,$P65)="","",INDEX(MASTER!$Q$4:$Q$1463,$P65)),""))</f>
        <v>29</v>
      </c>
      <c r="N65" s="15" t="str">
        <f>IF($P65="","",IFERROR(IF(INDEX(MASTER!$S$4:$S$1463,$P65)="","",INDEX(MASTER!$S$4:$S$1463,$P65)),""))</f>
        <v>Complete</v>
      </c>
      <c r="P65">
        <f>IFERROR(MATCH($Q$1&amp;"@57",MASTER!$AC$4:$AC$1463,0),"")</f>
        <v>747</v>
      </c>
    </row>
    <row r="66" spans="1:16">
      <c r="A66" s="19">
        <f>IF($P66="","",58)</f>
        <v>58</v>
      </c>
      <c r="B66" s="18" t="str">
        <f>IF($P66="","",IFERROR(IF(INDEX(MASTER!$C$4:$C$1463,$P66)="","",INDEX(MASTER!$C$4:$C$1463,$P66)),""))</f>
        <v>Mordì</v>
      </c>
      <c r="C66" s="19" t="str">
        <f>IF($P66="","",IFERROR(IF(INDEX(MASTER!$D$4:$D$1463,$P66)="","",INDEX(MASTER!$D$4:$D$1463,$P66)),""))</f>
        <v/>
      </c>
      <c r="D66" s="19" t="str">
        <f>IF($P66="","",IFERROR(IF(INDEX(MASTER!$E$4:$E$1463,$P66)="","",INDEX(MASTER!$E$4:$E$1463,$P66)),""))</f>
        <v>DEMON HUNTER</v>
      </c>
      <c r="E66" s="19" t="str">
        <f>IF($P66="","",IFERROR(IF(INDEX(MASTER!$F$4:$F$1463,$P66)="","",INDEX(MASTER!$F$4:$F$1463,$P66)),""))</f>
        <v>Ranged DPS</v>
      </c>
      <c r="F66" s="20">
        <f>IF($P66="","",IFERROR(IF(INDEX(MASTER!$G$4:$G$1463,$P66)="","",INDEX(MASTER!$G$4:$G$1463,$P66)),""))</f>
        <v>60969</v>
      </c>
      <c r="G66" s="19" t="str">
        <f>IF($P66="","",IFERROR(IF(INDEX(MASTER!$H$4:$H$1463,$P66)="","",INDEX(MASTER!$H$4:$H$1463,$P66)),""))</f>
        <v>60,000 - 60,999</v>
      </c>
      <c r="H66" s="20">
        <f>IF($P66="","",IFERROR(IF(INDEX(MASTER!$I$4:$I$1463,$P66)="","",INDEX(MASTER!$I$4:$I$1463,$P66)),""))</f>
        <v>2932</v>
      </c>
      <c r="I66" s="19" t="str">
        <f>IF($P66="","",IFERROR(IF(INDEX(MASTER!$J$4:$J$1463,$P66)="","",INDEX(MASTER!$J$4:$J$1463,$P66)),""))</f>
        <v>DEVELOPING</v>
      </c>
      <c r="J66" s="21">
        <f>IF($P66="","",IFERROR(IF(INDEX(MASTER!$L$4:$L$1463,$P66)="","",INDEX(MASTER!$L$4:$L$1463,$P66)),""))</f>
        <v>3.5</v>
      </c>
      <c r="K66" s="21">
        <f>IF($P66="","",IFERROR(IF(INDEX(MASTER!$N$4:$N$1463,$P66)="","",INDEX(MASTER!$N$4:$N$1463,$P66)),""))</f>
        <v>34.299999999999997</v>
      </c>
      <c r="L66" s="19" t="str">
        <f>IF($P66="","",IFERROR(IF(INDEX(MASTER!$O$4:$O$1463,$P66)="","",INDEX(MASTER!$O$4:$O$1463,$P66)),""))</f>
        <v>C</v>
      </c>
      <c r="M66" s="19">
        <f>IF($P66="","",IFERROR(IF(INDEX(MASTER!$Q$4:$Q$1463,$P66)="","",INDEX(MASTER!$Q$4:$Q$1463,$P66)),""))</f>
        <v>17</v>
      </c>
      <c r="N66" s="19" t="str">
        <f>IF($P66="","",IFERROR(IF(INDEX(MASTER!$S$4:$S$1463,$P66)="","",INDEX(MASTER!$S$4:$S$1463,$P66)),""))</f>
        <v>Complete</v>
      </c>
      <c r="P66">
        <f>IFERROR(MATCH($Q$1&amp;"@58",MASTER!$AC$4:$AC$1463,0),"")</f>
        <v>786</v>
      </c>
    </row>
    <row r="67" spans="1:16">
      <c r="A67" s="15">
        <f>IF($P67="","",59)</f>
        <v>59</v>
      </c>
      <c r="B67" s="14" t="str">
        <f>IF($P67="","",IFERROR(IF(INDEX(MASTER!$C$4:$C$1463,$P67)="","",INDEX(MASTER!$C$4:$C$1463,$P67)),""))</f>
        <v>Morir</v>
      </c>
      <c r="C67" s="15" t="str">
        <f>IF($P67="","",IFERROR(IF(INDEX(MASTER!$D$4:$D$1463,$P67)="","",INDEX(MASTER!$D$4:$D$1463,$P67)),""))</f>
        <v/>
      </c>
      <c r="D67" s="15" t="str">
        <f>IF($P67="","",IFERROR(IF(INDEX(MASTER!$E$4:$E$1463,$P67)="","",INDEX(MASTER!$E$4:$E$1463,$P67)),""))</f>
        <v>WARLOCK</v>
      </c>
      <c r="E67" s="15" t="str">
        <f>IF($P67="","",IFERROR(IF(INDEX(MASTER!$F$4:$F$1463,$P67)="","",INDEX(MASTER!$F$4:$F$1463,$P67)),""))</f>
        <v>Control</v>
      </c>
      <c r="F67" s="16">
        <f>IF($P67="","",IFERROR(IF(INDEX(MASTER!$G$4:$G$1463,$P67)="","",INDEX(MASTER!$G$4:$G$1463,$P67)),""))</f>
        <v>60935</v>
      </c>
      <c r="G67" s="15" t="str">
        <f>IF($P67="","",IFERROR(IF(INDEX(MASTER!$H$4:$H$1463,$P67)="","",INDEX(MASTER!$H$4:$H$1463,$P67)),""))</f>
        <v>60,000 - 60,999</v>
      </c>
      <c r="H67" s="16">
        <f>IF($P67="","",IFERROR(IF(INDEX(MASTER!$I$4:$I$1463,$P67)="","",INDEX(MASTER!$I$4:$I$1463,$P67)),""))</f>
        <v>1550</v>
      </c>
      <c r="I67" s="15" t="str">
        <f>IF($P67="","",IFERROR(IF(INDEX(MASTER!$J$4:$J$1463,$P67)="","",INDEX(MASTER!$J$4:$J$1463,$P67)),""))</f>
        <v>ROOKIE</v>
      </c>
      <c r="J67" s="17">
        <f>IF($P67="","",IFERROR(IF(INDEX(MASTER!$L$4:$L$1463,$P67)="","",INDEX(MASTER!$L$4:$L$1463,$P67)),""))</f>
        <v>4</v>
      </c>
      <c r="K67" s="17">
        <f>IF($P67="","",IFERROR(IF(INDEX(MASTER!$N$4:$N$1463,$P67)="","",INDEX(MASTER!$N$4:$N$1463,$P67)),""))</f>
        <v>29.1</v>
      </c>
      <c r="L67" s="15" t="str">
        <f>IF($P67="","",IFERROR(IF(INDEX(MASTER!$O$4:$O$1463,$P67)="","",INDEX(MASTER!$O$4:$O$1463,$P67)),""))</f>
        <v>C</v>
      </c>
      <c r="M67" s="15">
        <f>IF($P67="","",IFERROR(IF(INDEX(MASTER!$Q$4:$Q$1463,$P67)="","",INDEX(MASTER!$Q$4:$Q$1463,$P67)),""))</f>
        <v>62</v>
      </c>
      <c r="N67" s="15" t="str">
        <f>IF($P67="","",IFERROR(IF(INDEX(MASTER!$S$4:$S$1463,$P67)="","",INDEX(MASTER!$S$4:$S$1463,$P67)),""))</f>
        <v>Complete</v>
      </c>
      <c r="P67">
        <f>IFERROR(MATCH($Q$1&amp;"@59",MASTER!$AC$4:$AC$1463,0),"")</f>
        <v>790</v>
      </c>
    </row>
    <row r="68" spans="1:16">
      <c r="A68" s="19">
        <f>IF($P68="","",60)</f>
        <v>60</v>
      </c>
      <c r="B68" s="18" t="str">
        <f>IF($P68="","",IFERROR(IF(INDEX(MASTER!$C$4:$C$1463,$P68)="","",INDEX(MASTER!$C$4:$C$1463,$P68)),""))</f>
        <v>NapBonarmorparte</v>
      </c>
      <c r="C68" s="19" t="str">
        <f>IF($P68="","",IFERROR(IF(INDEX(MASTER!$D$4:$D$1463,$P68)="","",INDEX(MASTER!$D$4:$D$1463,$P68)),""))</f>
        <v/>
      </c>
      <c r="D68" s="19" t="str">
        <f>IF($P68="","",IFERROR(IF(INDEX(MASTER!$E$4:$E$1463,$P68)="","",INDEX(MASTER!$E$4:$E$1463,$P68)),""))</f>
        <v>NECROMANCER</v>
      </c>
      <c r="E68" s="19" t="str">
        <f>IF($P68="","",IFERROR(IF(INDEX(MASTER!$F$4:$F$1463,$P68)="","",INDEX(MASTER!$F$4:$F$1463,$P68)),""))</f>
        <v>Control</v>
      </c>
      <c r="F68" s="20">
        <f>IF($P68="","",IFERROR(IF(INDEX(MASTER!$G$4:$G$1463,$P68)="","",INDEX(MASTER!$G$4:$G$1463,$P68)),""))</f>
        <v>60679</v>
      </c>
      <c r="G68" s="19" t="str">
        <f>IF($P68="","",IFERROR(IF(INDEX(MASTER!$H$4:$H$1463,$P68)="","",INDEX(MASTER!$H$4:$H$1463,$P68)),""))</f>
        <v>60,000 - 60,999</v>
      </c>
      <c r="H68" s="20">
        <f>IF($P68="","",IFERROR(IF(INDEX(MASTER!$I$4:$I$1463,$P68)="","",INDEX(MASTER!$I$4:$I$1463,$P68)),""))</f>
        <v>1500</v>
      </c>
      <c r="I68" s="19" t="str">
        <f>IF($P68="","",IFERROR(IF(INDEX(MASTER!$J$4:$J$1463,$P68)="","",INDEX(MASTER!$J$4:$J$1463,$P68)),""))</f>
        <v>ROOKIE</v>
      </c>
      <c r="J68" s="21">
        <f>IF($P68="","",IFERROR(IF(INDEX(MASTER!$L$4:$L$1463,$P68)="","",INDEX(MASTER!$L$4:$L$1463,$P68)),""))</f>
        <v>2.95</v>
      </c>
      <c r="K68" s="21">
        <f>IF($P68="","",IFERROR(IF(INDEX(MASTER!$N$4:$N$1463,$P68)="","",INDEX(MASTER!$N$4:$N$1463,$P68)),""))</f>
        <v>26.4</v>
      </c>
      <c r="L68" s="19" t="str">
        <f>IF($P68="","",IFERROR(IF(INDEX(MASTER!$O$4:$O$1463,$P68)="","",INDEX(MASTER!$O$4:$O$1463,$P68)),""))</f>
        <v>C</v>
      </c>
      <c r="M68" s="19">
        <f>IF($P68="","",IFERROR(IF(INDEX(MASTER!$Q$4:$Q$1463,$P68)="","",INDEX(MASTER!$Q$4:$Q$1463,$P68)),""))</f>
        <v>66</v>
      </c>
      <c r="N68" s="19" t="str">
        <f>IF($P68="","",IFERROR(IF(INDEX(MASTER!$S$4:$S$1463,$P68)="","",INDEX(MASTER!$S$4:$S$1463,$P68)),""))</f>
        <v>Complete</v>
      </c>
      <c r="P68">
        <f>IFERROR(MATCH($Q$1&amp;"@60",MASTER!$AC$4:$AC$1463,0),"")</f>
        <v>805</v>
      </c>
    </row>
    <row r="69" spans="1:16">
      <c r="A69" s="15">
        <f>IF($P69="","",61)</f>
        <v>61</v>
      </c>
      <c r="B69" s="14" t="str">
        <f>IF($P69="","",IFERROR(IF(INDEX(MASTER!$C$4:$C$1463,$P69)="","",INDEX(MASTER!$C$4:$C$1463,$P69)),""))</f>
        <v>Nexxt</v>
      </c>
      <c r="C69" s="15" t="str">
        <f>IF($P69="","",IFERROR(IF(INDEX(MASTER!$D$4:$D$1463,$P69)="","",INDEX(MASTER!$D$4:$D$1463,$P69)),""))</f>
        <v/>
      </c>
      <c r="D69" s="15" t="str">
        <f>IF($P69="","",IFERROR(IF(INDEX(MASTER!$E$4:$E$1463,$P69)="","",INDEX(MASTER!$E$4:$E$1463,$P69)),""))</f>
        <v>WARLOCK</v>
      </c>
      <c r="E69" s="15" t="str">
        <f>IF($P69="","",IFERROR(IF(INDEX(MASTER!$F$4:$F$1463,$P69)="","",INDEX(MASTER!$F$4:$F$1463,$P69)),""))</f>
        <v>Control</v>
      </c>
      <c r="F69" s="16">
        <f>IF($P69="","",IFERROR(IF(INDEX(MASTER!$G$4:$G$1463,$P69)="","",INDEX(MASTER!$G$4:$G$1463,$P69)),""))</f>
        <v>60511</v>
      </c>
      <c r="G69" s="15" t="str">
        <f>IF($P69="","",IFERROR(IF(INDEX(MASTER!$H$4:$H$1463,$P69)="","",INDEX(MASTER!$H$4:$H$1463,$P69)),""))</f>
        <v>60,000 - 60,999</v>
      </c>
      <c r="H69" s="16">
        <f>IF($P69="","",IFERROR(IF(INDEX(MASTER!$I$4:$I$1463,$P69)="","",INDEX(MASTER!$I$4:$I$1463,$P69)),""))</f>
        <v>2122</v>
      </c>
      <c r="I69" s="15" t="str">
        <f>IF($P69="","",IFERROR(IF(INDEX(MASTER!$J$4:$J$1463,$P69)="","",INDEX(MASTER!$J$4:$J$1463,$P69)),""))</f>
        <v>DEVELOPING</v>
      </c>
      <c r="J69" s="17">
        <f>IF($P69="","",IFERROR(IF(INDEX(MASTER!$L$4:$L$1463,$P69)="","",INDEX(MASTER!$L$4:$L$1463,$P69)),""))</f>
        <v>3.1</v>
      </c>
      <c r="K69" s="17">
        <f>IF($P69="","",IFERROR(IF(INDEX(MASTER!$N$4:$N$1463,$P69)="","",INDEX(MASTER!$N$4:$N$1463,$P69)),""))</f>
        <v>28.9</v>
      </c>
      <c r="L69" s="15" t="str">
        <f>IF($P69="","",IFERROR(IF(INDEX(MASTER!$O$4:$O$1463,$P69)="","",INDEX(MASTER!$O$4:$O$1463,$P69)),""))</f>
        <v>C</v>
      </c>
      <c r="M69" s="15">
        <f>IF($P69="","",IFERROR(IF(INDEX(MASTER!$Q$4:$Q$1463,$P69)="","",INDEX(MASTER!$Q$4:$Q$1463,$P69)),""))</f>
        <v>41</v>
      </c>
      <c r="N69" s="15" t="str">
        <f>IF($P69="","",IFERROR(IF(INDEX(MASTER!$S$4:$S$1463,$P69)="","",INDEX(MASTER!$S$4:$S$1463,$P69)),""))</f>
        <v>Complete</v>
      </c>
      <c r="P69">
        <f>IFERROR(MATCH($Q$1&amp;"@61",MASTER!$AC$4:$AC$1463,0),"")</f>
        <v>818</v>
      </c>
    </row>
    <row r="70" spans="1:16">
      <c r="A70" s="19">
        <f>IF($P70="","",62)</f>
        <v>62</v>
      </c>
      <c r="B70" s="18" t="str">
        <f>IF($P70="","",IFERROR(IF(INDEX(MASTER!$C$4:$C$1463,$P70)="","",INDEX(MASTER!$C$4:$C$1463,$P70)),""))</f>
        <v>Nikoran</v>
      </c>
      <c r="C70" s="19" t="str">
        <f>IF($P70="","",IFERROR(IF(INDEX(MASTER!$D$4:$D$1463,$P70)="","",INDEX(MASTER!$D$4:$D$1463,$P70)),""))</f>
        <v/>
      </c>
      <c r="D70" s="19" t="str">
        <f>IF($P70="","",IFERROR(IF(INDEX(MASTER!$E$4:$E$1463,$P70)="","",INDEX(MASTER!$E$4:$E$1463,$P70)),""))</f>
        <v>WARLOCK</v>
      </c>
      <c r="E70" s="19" t="str">
        <f>IF($P70="","",IFERROR(IF(INDEX(MASTER!$F$4:$F$1463,$P70)="","",INDEX(MASTER!$F$4:$F$1463,$P70)),""))</f>
        <v>Control</v>
      </c>
      <c r="F70" s="20">
        <f>IF($P70="","",IFERROR(IF(INDEX(MASTER!$G$4:$G$1463,$P70)="","",INDEX(MASTER!$G$4:$G$1463,$P70)),""))</f>
        <v>61194</v>
      </c>
      <c r="G70" s="19" t="str">
        <f>IF($P70="","",IFERROR(IF(INDEX(MASTER!$H$4:$H$1463,$P70)="","",INDEX(MASTER!$H$4:$H$1463,$P70)),""))</f>
        <v>61,000 - 61,999</v>
      </c>
      <c r="H70" s="20">
        <f>IF($P70="","",IFERROR(IF(INDEX(MASTER!$I$4:$I$1463,$P70)="","",INDEX(MASTER!$I$4:$I$1463,$P70)),""))</f>
        <v>2257</v>
      </c>
      <c r="I70" s="19" t="str">
        <f>IF($P70="","",IFERROR(IF(INDEX(MASTER!$J$4:$J$1463,$P70)="","",INDEX(MASTER!$J$4:$J$1463,$P70)),""))</f>
        <v>DEVELOPING</v>
      </c>
      <c r="J70" s="21">
        <f>IF($P70="","",IFERROR(IF(INDEX(MASTER!$L$4:$L$1463,$P70)="","",INDEX(MASTER!$L$4:$L$1463,$P70)),""))</f>
        <v>2.93</v>
      </c>
      <c r="K70" s="21">
        <f>IF($P70="","",IFERROR(IF(INDEX(MASTER!$N$4:$N$1463,$P70)="","",INDEX(MASTER!$N$4:$N$1463,$P70)),""))</f>
        <v>31</v>
      </c>
      <c r="L70" s="19" t="str">
        <f>IF($P70="","",IFERROR(IF(INDEX(MASTER!$O$4:$O$1463,$P70)="","",INDEX(MASTER!$O$4:$O$1463,$P70)),""))</f>
        <v>C</v>
      </c>
      <c r="M70" s="19">
        <f>IF($P70="","",IFERROR(IF(INDEX(MASTER!$Q$4:$Q$1463,$P70)="","",INDEX(MASTER!$Q$4:$Q$1463,$P70)),""))</f>
        <v>38</v>
      </c>
      <c r="N70" s="19" t="str">
        <f>IF($P70="","",IFERROR(IF(INDEX(MASTER!$S$4:$S$1463,$P70)="","",INDEX(MASTER!$S$4:$S$1463,$P70)),""))</f>
        <v>Complete</v>
      </c>
      <c r="P70">
        <f>IFERROR(MATCH($Q$1&amp;"@62",MASTER!$AC$4:$AC$1463,0),"")</f>
        <v>820</v>
      </c>
    </row>
    <row r="71" spans="1:16">
      <c r="A71" s="15">
        <f>IF($P71="","",63)</f>
        <v>63</v>
      </c>
      <c r="B71" s="14" t="str">
        <f>IF($P71="","",IFERROR(IF(INDEX(MASTER!$C$4:$C$1463,$P71)="","",INDEX(MASTER!$C$4:$C$1463,$P71)),""))</f>
        <v>Nuggette</v>
      </c>
      <c r="C71" s="15" t="str">
        <f>IF($P71="","",IFERROR(IF(INDEX(MASTER!$D$4:$D$1463,$P71)="","",INDEX(MASTER!$D$4:$D$1463,$P71)),""))</f>
        <v/>
      </c>
      <c r="D71" s="15" t="str">
        <f>IF($P71="","",IFERROR(IF(INDEX(MASTER!$E$4:$E$1463,$P71)="","",INDEX(MASTER!$E$4:$E$1463,$P71)),""))</f>
        <v>DEMON HUNTER</v>
      </c>
      <c r="E71" s="15" t="str">
        <f>IF($P71="","",IFERROR(IF(INDEX(MASTER!$F$4:$F$1463,$P71)="","",INDEX(MASTER!$F$4:$F$1463,$P71)),""))</f>
        <v>Ranged DPS</v>
      </c>
      <c r="F71" s="16">
        <f>IF($P71="","",IFERROR(IF(INDEX(MASTER!$G$4:$G$1463,$P71)="","",INDEX(MASTER!$G$4:$G$1463,$P71)),""))</f>
        <v>59099</v>
      </c>
      <c r="G71" s="15" t="str">
        <f>IF($P71="","",IFERROR(IF(INDEX(MASTER!$H$4:$H$1463,$P71)="","",INDEX(MASTER!$H$4:$H$1463,$P71)),""))</f>
        <v>58,000 - 59,999</v>
      </c>
      <c r="H71" s="16">
        <f>IF($P71="","",IFERROR(IF(INDEX(MASTER!$I$4:$I$1463,$P71)="","",INDEX(MASTER!$I$4:$I$1463,$P71)),""))</f>
        <v>3130</v>
      </c>
      <c r="I71" s="15" t="str">
        <f>IF($P71="","",IFERROR(IF(INDEX(MASTER!$J$4:$J$1463,$P71)="","",INDEX(MASTER!$J$4:$J$1463,$P71)),""))</f>
        <v>DEVELOPING</v>
      </c>
      <c r="J71" s="17">
        <f>IF($P71="","",IFERROR(IF(INDEX(MASTER!$L$4:$L$1463,$P71)="","",INDEX(MASTER!$L$4:$L$1463,$P71)),""))</f>
        <v>6.05</v>
      </c>
      <c r="K71" s="17">
        <f>IF($P71="","",IFERROR(IF(INDEX(MASTER!$N$4:$N$1463,$P71)="","",INDEX(MASTER!$N$4:$N$1463,$P71)),""))</f>
        <v>34.5</v>
      </c>
      <c r="L71" s="15" t="str">
        <f>IF($P71="","",IFERROR(IF(INDEX(MASTER!$O$4:$O$1463,$P71)="","",INDEX(MASTER!$O$4:$O$1463,$P71)),""))</f>
        <v>C</v>
      </c>
      <c r="M71" s="15">
        <f>IF($P71="","",IFERROR(IF(INDEX(MASTER!$Q$4:$Q$1463,$P71)="","",INDEX(MASTER!$Q$4:$Q$1463,$P71)),""))</f>
        <v>12</v>
      </c>
      <c r="N71" s="15" t="str">
        <f>IF($P71="","",IFERROR(IF(INDEX(MASTER!$S$4:$S$1463,$P71)="","",INDEX(MASTER!$S$4:$S$1463,$P71)),""))</f>
        <v>Complete</v>
      </c>
      <c r="P71">
        <f>IFERROR(MATCH($Q$1&amp;"@63",MASTER!$AC$4:$AC$1463,0),"")</f>
        <v>830</v>
      </c>
    </row>
    <row r="72" spans="1:16">
      <c r="A72" s="19">
        <f>IF($P72="","",64)</f>
        <v>64</v>
      </c>
      <c r="B72" s="18" t="str">
        <f>IF($P72="","",IFERROR(IF(INDEX(MASTER!$C$4:$C$1463,$P72)="","",INDEX(MASTER!$C$4:$C$1463,$P72)),""))</f>
        <v>OldJānx</v>
      </c>
      <c r="C72" s="19" t="str">
        <f>IF($P72="","",IFERROR(IF(INDEX(MASTER!$D$4:$D$1463,$P72)="","",INDEX(MASTER!$D$4:$D$1463,$P72)),""))</f>
        <v/>
      </c>
      <c r="D72" s="19" t="str">
        <f>IF($P72="","",IFERROR(IF(INDEX(MASTER!$E$4:$E$1463,$P72)="","",INDEX(MASTER!$E$4:$E$1463,$P72)),""))</f>
        <v>TEMPEST</v>
      </c>
      <c r="E72" s="19" t="str">
        <f>IF($P72="","",IFERROR(IF(INDEX(MASTER!$F$4:$F$1463,$P72)="","",INDEX(MASTER!$F$4:$F$1463,$P72)),""))</f>
        <v>Melee DPS</v>
      </c>
      <c r="F72" s="20">
        <f>IF($P72="","",IFERROR(IF(INDEX(MASTER!$G$4:$G$1463,$P72)="","",INDEX(MASTER!$G$4:$G$1463,$P72)),""))</f>
        <v>60408</v>
      </c>
      <c r="G72" s="19" t="str">
        <f>IF($P72="","",IFERROR(IF(INDEX(MASTER!$H$4:$H$1463,$P72)="","",INDEX(MASTER!$H$4:$H$1463,$P72)),""))</f>
        <v>60,000 - 60,999</v>
      </c>
      <c r="H72" s="20">
        <f>IF($P72="","",IFERROR(IF(INDEX(MASTER!$I$4:$I$1463,$P72)="","",INDEX(MASTER!$I$4:$I$1463,$P72)),""))</f>
        <v>3024</v>
      </c>
      <c r="I72" s="19" t="str">
        <f>IF($P72="","",IFERROR(IF(INDEX(MASTER!$J$4:$J$1463,$P72)="","",INDEX(MASTER!$J$4:$J$1463,$P72)),""))</f>
        <v>DEVELOPING</v>
      </c>
      <c r="J72" s="21">
        <f>IF($P72="","",IFERROR(IF(INDEX(MASTER!$L$4:$L$1463,$P72)="","",INDEX(MASTER!$L$4:$L$1463,$P72)),""))</f>
        <v>4.7</v>
      </c>
      <c r="K72" s="21">
        <f>IF($P72="","",IFERROR(IF(INDEX(MASTER!$N$4:$N$1463,$P72)="","",INDEX(MASTER!$N$4:$N$1463,$P72)),""))</f>
        <v>35.299999999999997</v>
      </c>
      <c r="L72" s="19" t="str">
        <f>IF($P72="","",IFERROR(IF(INDEX(MASTER!$O$4:$O$1463,$P72)="","",INDEX(MASTER!$O$4:$O$1463,$P72)),""))</f>
        <v>B</v>
      </c>
      <c r="M72" s="19">
        <f>IF($P72="","",IFERROR(IF(INDEX(MASTER!$Q$4:$Q$1463,$P72)="","",INDEX(MASTER!$Q$4:$Q$1463,$P72)),""))</f>
        <v>14</v>
      </c>
      <c r="N72" s="19" t="str">
        <f>IF($P72="","",IFERROR(IF(INDEX(MASTER!$S$4:$S$1463,$P72)="","",INDEX(MASTER!$S$4:$S$1463,$P72)),""))</f>
        <v>Complete</v>
      </c>
      <c r="P72">
        <f>IFERROR(MATCH($Q$1&amp;"@64",MASTER!$AC$4:$AC$1463,0),"")</f>
        <v>846</v>
      </c>
    </row>
    <row r="73" spans="1:16">
      <c r="A73" s="15">
        <f>IF($P73="","",65)</f>
        <v>65</v>
      </c>
      <c r="B73" s="14" t="str">
        <f>IF($P73="","",IFERROR(IF(INDEX(MASTER!$C$4:$C$1463,$P73)="","",INDEX(MASTER!$C$4:$C$1463,$P73)),""))</f>
        <v>Olmsteadm3</v>
      </c>
      <c r="C73" s="15" t="str">
        <f>IF($P73="","",IFERROR(IF(INDEX(MASTER!$D$4:$D$1463,$P73)="","",INDEX(MASTER!$D$4:$D$1463,$P73)),""))</f>
        <v/>
      </c>
      <c r="D73" s="15" t="str">
        <f>IF($P73="","",IFERROR(IF(INDEX(MASTER!$E$4:$E$1463,$P73)="","",INDEX(MASTER!$E$4:$E$1463,$P73)),""))</f>
        <v>DEMON HUNTER</v>
      </c>
      <c r="E73" s="15" t="str">
        <f>IF($P73="","",IFERROR(IF(INDEX(MASTER!$F$4:$F$1463,$P73)="","",INDEX(MASTER!$F$4:$F$1463,$P73)),""))</f>
        <v>Ranged DPS</v>
      </c>
      <c r="F73" s="16">
        <f>IF($P73="","",IFERROR(IF(INDEX(MASTER!$G$4:$G$1463,$P73)="","",INDEX(MASTER!$G$4:$G$1463,$P73)),""))</f>
        <v>58572</v>
      </c>
      <c r="G73" s="15" t="str">
        <f>IF($P73="","",IFERROR(IF(INDEX(MASTER!$H$4:$H$1463,$P73)="","",INDEX(MASTER!$H$4:$H$1463,$P73)),""))</f>
        <v>58,000 - 59,999</v>
      </c>
      <c r="H73" s="16">
        <f>IF($P73="","",IFERROR(IF(INDEX(MASTER!$I$4:$I$1463,$P73)="","",INDEX(MASTER!$I$4:$I$1463,$P73)),""))</f>
        <v>2728</v>
      </c>
      <c r="I73" s="15" t="str">
        <f>IF($P73="","",IFERROR(IF(INDEX(MASTER!$J$4:$J$1463,$P73)="","",INDEX(MASTER!$J$4:$J$1463,$P73)),""))</f>
        <v>DEVELOPING</v>
      </c>
      <c r="J73" s="17">
        <f>IF($P73="","",IFERROR(IF(INDEX(MASTER!$L$4:$L$1463,$P73)="","",INDEX(MASTER!$L$4:$L$1463,$P73)),""))</f>
        <v>3.4</v>
      </c>
      <c r="K73" s="17">
        <f>IF($P73="","",IFERROR(IF(INDEX(MASTER!$N$4:$N$1463,$P73)="","",INDEX(MASTER!$N$4:$N$1463,$P73)),""))</f>
        <v>27</v>
      </c>
      <c r="L73" s="15" t="str">
        <f>IF($P73="","",IFERROR(IF(INDEX(MASTER!$O$4:$O$1463,$P73)="","",INDEX(MASTER!$O$4:$O$1463,$P73)),""))</f>
        <v>C</v>
      </c>
      <c r="M73" s="15">
        <f>IF($P73="","",IFERROR(IF(INDEX(MASTER!$Q$4:$Q$1463,$P73)="","",INDEX(MASTER!$Q$4:$Q$1463,$P73)),""))</f>
        <v>24</v>
      </c>
      <c r="N73" s="15" t="str">
        <f>IF($P73="","",IFERROR(IF(INDEX(MASTER!$S$4:$S$1463,$P73)="","",INDEX(MASTER!$S$4:$S$1463,$P73)),""))</f>
        <v>Complete</v>
      </c>
      <c r="P73">
        <f>IFERROR(MATCH($Q$1&amp;"@65",MASTER!$AC$4:$AC$1463,0),"")</f>
        <v>849</v>
      </c>
    </row>
    <row r="74" spans="1:16">
      <c r="A74" s="19">
        <f>IF($P74="","",66)</f>
        <v>66</v>
      </c>
      <c r="B74" s="18" t="str">
        <f>IF($P74="","",IFERROR(IF(INDEX(MASTER!$C$4:$C$1463,$P74)="","",INDEX(MASTER!$C$4:$C$1463,$P74)),""))</f>
        <v>OreoTheCoon</v>
      </c>
      <c r="C74" s="19" t="str">
        <f>IF($P74="","",IFERROR(IF(INDEX(MASTER!$D$4:$D$1463,$P74)="","",INDEX(MASTER!$D$4:$D$1463,$P74)),""))</f>
        <v/>
      </c>
      <c r="D74" s="19" t="str">
        <f>IF($P74="","",IFERROR(IF(INDEX(MASTER!$E$4:$E$1463,$P74)="","",INDEX(MASTER!$E$4:$E$1463,$P74)),""))</f>
        <v>BLOOD KNIGHT</v>
      </c>
      <c r="E74" s="19" t="str">
        <f>IF($P74="","",IFERROR(IF(INDEX(MASTER!$F$4:$F$1463,$P74)="","",INDEX(MASTER!$F$4:$F$1463,$P74)),""))</f>
        <v>Frontline</v>
      </c>
      <c r="F74" s="20">
        <f>IF($P74="","",IFERROR(IF(INDEX(MASTER!$G$4:$G$1463,$P74)="","",INDEX(MASTER!$G$4:$G$1463,$P74)),""))</f>
        <v>62273</v>
      </c>
      <c r="G74" s="19" t="str">
        <f>IF($P74="","",IFERROR(IF(INDEX(MASTER!$H$4:$H$1463,$P74)="","",INDEX(MASTER!$H$4:$H$1463,$P74)),""))</f>
        <v>62,000 - 62,999</v>
      </c>
      <c r="H74" s="20">
        <f>IF($P74="","",IFERROR(IF(INDEX(MASTER!$I$4:$I$1463,$P74)="","",INDEX(MASTER!$I$4:$I$1463,$P74)),""))</f>
        <v>1422</v>
      </c>
      <c r="I74" s="19" t="str">
        <f>IF($P74="","",IFERROR(IF(INDEX(MASTER!$J$4:$J$1463,$P74)="","",INDEX(MASTER!$J$4:$J$1463,$P74)),""))</f>
        <v>ROOKIE</v>
      </c>
      <c r="J74" s="21">
        <f>IF($P74="","",IFERROR(IF(INDEX(MASTER!$L$4:$L$1463,$P74)="","",INDEX(MASTER!$L$4:$L$1463,$P74)),""))</f>
        <v>3.73</v>
      </c>
      <c r="K74" s="21">
        <f>IF($P74="","",IFERROR(IF(INDEX(MASTER!$N$4:$N$1463,$P74)="","",INDEX(MASTER!$N$4:$N$1463,$P74)),""))</f>
        <v>31.6</v>
      </c>
      <c r="L74" s="19" t="str">
        <f>IF($P74="","",IFERROR(IF(INDEX(MASTER!$O$4:$O$1463,$P74)="","",INDEX(MASTER!$O$4:$O$1463,$P74)),""))</f>
        <v>C</v>
      </c>
      <c r="M74" s="19">
        <f>IF($P74="","",IFERROR(IF(INDEX(MASTER!$Q$4:$Q$1463,$P74)="","",INDEX(MASTER!$Q$4:$Q$1463,$P74)),""))</f>
        <v>70</v>
      </c>
      <c r="N74" s="19" t="str">
        <f>IF($P74="","",IFERROR(IF(INDEX(MASTER!$S$4:$S$1463,$P74)="","",INDEX(MASTER!$S$4:$S$1463,$P74)),""))</f>
        <v>Complete</v>
      </c>
      <c r="P74">
        <f>IFERROR(MATCH($Q$1&amp;"@66",MASTER!$AC$4:$AC$1463,0),"")</f>
        <v>861</v>
      </c>
    </row>
    <row r="75" spans="1:16">
      <c r="A75" s="15">
        <f>IF($P75="","",67)</f>
        <v>67</v>
      </c>
      <c r="B75" s="14" t="str">
        <f>IF($P75="","",IFERROR(IF(INDEX(MASTER!$C$4:$C$1463,$P75)="","",INDEX(MASTER!$C$4:$C$1463,$P75)),""))</f>
        <v>Pasijirf</v>
      </c>
      <c r="C75" s="15" t="str">
        <f>IF($P75="","",IFERROR(IF(INDEX(MASTER!$D$4:$D$1463,$P75)="","",INDEX(MASTER!$D$4:$D$1463,$P75)),""))</f>
        <v/>
      </c>
      <c r="D75" s="15" t="str">
        <f>IF($P75="","",IFERROR(IF(INDEX(MASTER!$E$4:$E$1463,$P75)="","",INDEX(MASTER!$E$4:$E$1463,$P75)),""))</f>
        <v>CRUSADER</v>
      </c>
      <c r="E75" s="15" t="str">
        <f>IF($P75="","",IFERROR(IF(INDEX(MASTER!$F$4:$F$1463,$P75)="","",INDEX(MASTER!$F$4:$F$1463,$P75)),""))</f>
        <v>Frontline</v>
      </c>
      <c r="F75" s="16">
        <f>IF($P75="","",IFERROR(IF(INDEX(MASTER!$G$4:$G$1463,$P75)="","",INDEX(MASTER!$G$4:$G$1463,$P75)),""))</f>
        <v>59407</v>
      </c>
      <c r="G75" s="15" t="str">
        <f>IF($P75="","",IFERROR(IF(INDEX(MASTER!$H$4:$H$1463,$P75)="","",INDEX(MASTER!$H$4:$H$1463,$P75)),""))</f>
        <v>58,000 - 59,999</v>
      </c>
      <c r="H75" s="16">
        <f>IF($P75="","",IFERROR(IF(INDEX(MASTER!$I$4:$I$1463,$P75)="","",INDEX(MASTER!$I$4:$I$1463,$P75)),""))</f>
        <v>3473</v>
      </c>
      <c r="I75" s="15" t="str">
        <f>IF($P75="","",IFERROR(IF(INDEX(MASTER!$J$4:$J$1463,$P75)="","",INDEX(MASTER!$J$4:$J$1463,$P75)),""))</f>
        <v>DEVELOPING</v>
      </c>
      <c r="J75" s="17">
        <f>IF($P75="","",IFERROR(IF(INDEX(MASTER!$L$4:$L$1463,$P75)="","",INDEX(MASTER!$L$4:$L$1463,$P75)),""))</f>
        <v>5</v>
      </c>
      <c r="K75" s="17">
        <f>IF($P75="","",IFERROR(IF(INDEX(MASTER!$N$4:$N$1463,$P75)="","",INDEX(MASTER!$N$4:$N$1463,$P75)),""))</f>
        <v>35.1</v>
      </c>
      <c r="L75" s="15" t="str">
        <f>IF($P75="","",IFERROR(IF(INDEX(MASTER!$O$4:$O$1463,$P75)="","",INDEX(MASTER!$O$4:$O$1463,$P75)),""))</f>
        <v>B</v>
      </c>
      <c r="M75" s="15">
        <f>IF($P75="","",IFERROR(IF(INDEX(MASTER!$Q$4:$Q$1463,$P75)="","",INDEX(MASTER!$Q$4:$Q$1463,$P75)),""))</f>
        <v>8</v>
      </c>
      <c r="N75" s="15" t="str">
        <f>IF($P75="","",IFERROR(IF(INDEX(MASTER!$S$4:$S$1463,$P75)="","",INDEX(MASTER!$S$4:$S$1463,$P75)),""))</f>
        <v>Complete</v>
      </c>
      <c r="P75">
        <f>IFERROR(MATCH($Q$1&amp;"@67",MASTER!$AC$4:$AC$1463,0),"")</f>
        <v>881</v>
      </c>
    </row>
    <row r="76" spans="1:16">
      <c r="A76" s="19">
        <f>IF($P76="","",68)</f>
        <v>68</v>
      </c>
      <c r="B76" s="18" t="str">
        <f>IF($P76="","",IFERROR(IF(INDEX(MASTER!$C$4:$C$1463,$P76)="","",INDEX(MASTER!$C$4:$C$1463,$P76)),""))</f>
        <v>PookiePoo</v>
      </c>
      <c r="C76" s="19" t="str">
        <f>IF($P76="","",IFERROR(IF(INDEX(MASTER!$D$4:$D$1463,$P76)="","",INDEX(MASTER!$D$4:$D$1463,$P76)),""))</f>
        <v/>
      </c>
      <c r="D76" s="19" t="str">
        <f>IF($P76="","",IFERROR(IF(INDEX(MASTER!$E$4:$E$1463,$P76)="","",INDEX(MASTER!$E$4:$E$1463,$P76)),""))</f>
        <v>NECROMANCER</v>
      </c>
      <c r="E76" s="19" t="str">
        <f>IF($P76="","",IFERROR(IF(INDEX(MASTER!$F$4:$F$1463,$P76)="","",INDEX(MASTER!$F$4:$F$1463,$P76)),""))</f>
        <v>Control</v>
      </c>
      <c r="F76" s="20">
        <f>IF($P76="","",IFERROR(IF(INDEX(MASTER!$G$4:$G$1463,$P76)="","",INDEX(MASTER!$G$4:$G$1463,$P76)),""))</f>
        <v>62280</v>
      </c>
      <c r="G76" s="19" t="str">
        <f>IF($P76="","",IFERROR(IF(INDEX(MASTER!$H$4:$H$1463,$P76)="","",INDEX(MASTER!$H$4:$H$1463,$P76)),""))</f>
        <v>62,000 - 62,999</v>
      </c>
      <c r="H76" s="20">
        <f>IF($P76="","",IFERROR(IF(INDEX(MASTER!$I$4:$I$1463,$P76)="","",INDEX(MASTER!$I$4:$I$1463,$P76)),""))</f>
        <v>685</v>
      </c>
      <c r="I76" s="19" t="str">
        <f>IF($P76="","",IFERROR(IF(INDEX(MASTER!$J$4:$J$1463,$P76)="","",INDEX(MASTER!$J$4:$J$1463,$P76)),""))</f>
        <v>ROOKIE</v>
      </c>
      <c r="J76" s="21">
        <f>IF($P76="","",IFERROR(IF(INDEX(MASTER!$L$4:$L$1463,$P76)="","",INDEX(MASTER!$L$4:$L$1463,$P76)),""))</f>
        <v>3.2</v>
      </c>
      <c r="K76" s="21">
        <f>IF($P76="","",IFERROR(IF(INDEX(MASTER!$N$4:$N$1463,$P76)="","",INDEX(MASTER!$N$4:$N$1463,$P76)),""))</f>
        <v>27.5</v>
      </c>
      <c r="L76" s="19" t="str">
        <f>IF($P76="","",IFERROR(IF(INDEX(MASTER!$O$4:$O$1463,$P76)="","",INDEX(MASTER!$O$4:$O$1463,$P76)),""))</f>
        <v>C</v>
      </c>
      <c r="M76" s="19">
        <f>IF($P76="","",IFERROR(IF(INDEX(MASTER!$Q$4:$Q$1463,$P76)="","",INDEX(MASTER!$Q$4:$Q$1463,$P76)),""))</f>
        <v>92</v>
      </c>
      <c r="N76" s="19" t="str">
        <f>IF($P76="","",IFERROR(IF(INDEX(MASTER!$S$4:$S$1463,$P76)="","",INDEX(MASTER!$S$4:$S$1463,$P76)),""))</f>
        <v>Complete</v>
      </c>
      <c r="P76">
        <f>IFERROR(MATCH($Q$1&amp;"@68",MASTER!$AC$4:$AC$1463,0),"")</f>
        <v>899</v>
      </c>
    </row>
    <row r="77" spans="1:16">
      <c r="A77" s="15">
        <f>IF($P77="","",69)</f>
        <v>69</v>
      </c>
      <c r="B77" s="14" t="str">
        <f>IF($P77="","",IFERROR(IF(INDEX(MASTER!$C$4:$C$1463,$P77)="","",INDEX(MASTER!$C$4:$C$1463,$P77)),""))</f>
        <v>Raefly68</v>
      </c>
      <c r="C77" s="15" t="str">
        <f>IF($P77="","",IFERROR(IF(INDEX(MASTER!$D$4:$D$1463,$P77)="","",INDEX(MASTER!$D$4:$D$1463,$P77)),""))</f>
        <v/>
      </c>
      <c r="D77" s="15" t="str">
        <f>IF($P77="","",IFERROR(IF(INDEX(MASTER!$E$4:$E$1463,$P77)="","",INDEX(MASTER!$E$4:$E$1463,$P77)),""))</f>
        <v>WARLOCK</v>
      </c>
      <c r="E77" s="15" t="str">
        <f>IF($P77="","",IFERROR(IF(INDEX(MASTER!$F$4:$F$1463,$P77)="","",INDEX(MASTER!$F$4:$F$1463,$P77)),""))</f>
        <v>Control</v>
      </c>
      <c r="F77" s="16">
        <f>IF($P77="","",IFERROR(IF(INDEX(MASTER!$G$4:$G$1463,$P77)="","",INDEX(MASTER!$G$4:$G$1463,$P77)),""))</f>
        <v>61165</v>
      </c>
      <c r="G77" s="15" t="str">
        <f>IF($P77="","",IFERROR(IF(INDEX(MASTER!$H$4:$H$1463,$P77)="","",INDEX(MASTER!$H$4:$H$1463,$P77)),""))</f>
        <v>61,000 - 61,999</v>
      </c>
      <c r="H77" s="16">
        <f>IF($P77="","",IFERROR(IF(INDEX(MASTER!$I$4:$I$1463,$P77)="","",INDEX(MASTER!$I$4:$I$1463,$P77)),""))</f>
        <v>1744</v>
      </c>
      <c r="I77" s="15" t="str">
        <f>IF($P77="","",IFERROR(IF(INDEX(MASTER!$J$4:$J$1463,$P77)="","",INDEX(MASTER!$J$4:$J$1463,$P77)),""))</f>
        <v>ROOKIE</v>
      </c>
      <c r="J77" s="17">
        <f>IF($P77="","",IFERROR(IF(INDEX(MASTER!$L$4:$L$1463,$P77)="","",INDEX(MASTER!$L$4:$L$1463,$P77)),""))</f>
        <v>2.4500000000000002</v>
      </c>
      <c r="K77" s="17">
        <f>IF($P77="","",IFERROR(IF(INDEX(MASTER!$N$4:$N$1463,$P77)="","",INDEX(MASTER!$N$4:$N$1463,$P77)),""))</f>
        <v>27.9</v>
      </c>
      <c r="L77" s="15" t="str">
        <f>IF($P77="","",IFERROR(IF(INDEX(MASTER!$O$4:$O$1463,$P77)="","",INDEX(MASTER!$O$4:$O$1463,$P77)),""))</f>
        <v>C</v>
      </c>
      <c r="M77" s="15">
        <f>IF($P77="","",IFERROR(IF(INDEX(MASTER!$Q$4:$Q$1463,$P77)="","",INDEX(MASTER!$Q$4:$Q$1463,$P77)),""))</f>
        <v>58</v>
      </c>
      <c r="N77" s="15" t="str">
        <f>IF($P77="","",IFERROR(IF(INDEX(MASTER!$S$4:$S$1463,$P77)="","",INDEX(MASTER!$S$4:$S$1463,$P77)),""))</f>
        <v>Complete</v>
      </c>
      <c r="P77">
        <f>IFERROR(MATCH($Q$1&amp;"@69",MASTER!$AC$4:$AC$1463,0),"")</f>
        <v>919</v>
      </c>
    </row>
    <row r="78" spans="1:16">
      <c r="A78" s="19">
        <f>IF($P78="","",70)</f>
        <v>70</v>
      </c>
      <c r="B78" s="18" t="str">
        <f>IF($P78="","",IFERROR(IF(INDEX(MASTER!$C$4:$C$1463,$P78)="","",INDEX(MASTER!$C$4:$C$1463,$P78)),""))</f>
        <v>Raimi666</v>
      </c>
      <c r="C78" s="19" t="str">
        <f>IF($P78="","",IFERROR(IF(INDEX(MASTER!$D$4:$D$1463,$P78)="","",INDEX(MASTER!$D$4:$D$1463,$P78)),""))</f>
        <v/>
      </c>
      <c r="D78" s="19" t="str">
        <f>IF($P78="","",IFERROR(IF(INDEX(MASTER!$E$4:$E$1463,$P78)="","",INDEX(MASTER!$E$4:$E$1463,$P78)),""))</f>
        <v>DRUID</v>
      </c>
      <c r="E78" s="19" t="str">
        <f>IF($P78="","",IFERROR(IF(INDEX(MASTER!$F$4:$F$1463,$P78)="","",INDEX(MASTER!$F$4:$F$1463,$P78)),""))</f>
        <v>Support</v>
      </c>
      <c r="F78" s="20">
        <f>IF($P78="","",IFERROR(IF(INDEX(MASTER!$G$4:$G$1463,$P78)="","",INDEX(MASTER!$G$4:$G$1463,$P78)),""))</f>
        <v>58519</v>
      </c>
      <c r="G78" s="19" t="str">
        <f>IF($P78="","",IFERROR(IF(INDEX(MASTER!$H$4:$H$1463,$P78)="","",INDEX(MASTER!$H$4:$H$1463,$P78)),""))</f>
        <v>58,000 - 59,999</v>
      </c>
      <c r="H78" s="20">
        <f>IF($P78="","",IFERROR(IF(INDEX(MASTER!$I$4:$I$1463,$P78)="","",INDEX(MASTER!$I$4:$I$1463,$P78)),""))</f>
        <v>995</v>
      </c>
      <c r="I78" s="19" t="str">
        <f>IF($P78="","",IFERROR(IF(INDEX(MASTER!$J$4:$J$1463,$P78)="","",INDEX(MASTER!$J$4:$J$1463,$P78)),""))</f>
        <v>ROOKIE</v>
      </c>
      <c r="J78" s="21">
        <f>IF($P78="","",IFERROR(IF(INDEX(MASTER!$L$4:$L$1463,$P78)="","",INDEX(MASTER!$L$4:$L$1463,$P78)),""))</f>
        <v>3.1</v>
      </c>
      <c r="K78" s="21">
        <f>IF($P78="","",IFERROR(IF(INDEX(MASTER!$N$4:$N$1463,$P78)="","",INDEX(MASTER!$N$4:$N$1463,$P78)),""))</f>
        <v>18.8</v>
      </c>
      <c r="L78" s="19" t="str">
        <f>IF($P78="","",IFERROR(IF(INDEX(MASTER!$O$4:$O$1463,$P78)="","",INDEX(MASTER!$O$4:$O$1463,$P78)),""))</f>
        <v>D</v>
      </c>
      <c r="M78" s="19">
        <f>IF($P78="","",IFERROR(IF(INDEX(MASTER!$Q$4:$Q$1463,$P78)="","",INDEX(MASTER!$Q$4:$Q$1463,$P78)),""))</f>
        <v>83</v>
      </c>
      <c r="N78" s="19" t="str">
        <f>IF($P78="","",IFERROR(IF(INDEX(MASTER!$S$4:$S$1463,$P78)="","",INDEX(MASTER!$S$4:$S$1463,$P78)),""))</f>
        <v>Complete</v>
      </c>
      <c r="P78">
        <f>IFERROR(MATCH($Q$1&amp;"@70",MASTER!$AC$4:$AC$1463,0),"")</f>
        <v>923</v>
      </c>
    </row>
    <row r="79" spans="1:16">
      <c r="A79" s="15">
        <f>IF($P79="","",71)</f>
        <v>71</v>
      </c>
      <c r="B79" s="14" t="str">
        <f>IF($P79="","",IFERROR(IF(INDEX(MASTER!$C$4:$C$1463,$P79)="","",INDEX(MASTER!$C$4:$C$1463,$P79)),""))</f>
        <v>RasMike3</v>
      </c>
      <c r="C79" s="15" t="str">
        <f>IF($P79="","",IFERROR(IF(INDEX(MASTER!$D$4:$D$1463,$P79)="","",INDEX(MASTER!$D$4:$D$1463,$P79)),""))</f>
        <v/>
      </c>
      <c r="D79" s="15" t="str">
        <f>IF($P79="","",IFERROR(IF(INDEX(MASTER!$E$4:$E$1463,$P79)="","",INDEX(MASTER!$E$4:$E$1463,$P79)),""))</f>
        <v>DRUID</v>
      </c>
      <c r="E79" s="15" t="str">
        <f>IF($P79="","",IFERROR(IF(INDEX(MASTER!$F$4:$F$1463,$P79)="","",INDEX(MASTER!$F$4:$F$1463,$P79)),""))</f>
        <v>Support</v>
      </c>
      <c r="F79" s="16">
        <f>IF($P79="","",IFERROR(IF(INDEX(MASTER!$G$4:$G$1463,$P79)="","",INDEX(MASTER!$G$4:$G$1463,$P79)),""))</f>
        <v>62452</v>
      </c>
      <c r="G79" s="15" t="str">
        <f>IF($P79="","",IFERROR(IF(INDEX(MASTER!$H$4:$H$1463,$P79)="","",INDEX(MASTER!$H$4:$H$1463,$P79)),""))</f>
        <v>62,000 - 62,999</v>
      </c>
      <c r="H79" s="16">
        <f>IF($P79="","",IFERROR(IF(INDEX(MASTER!$I$4:$I$1463,$P79)="","",INDEX(MASTER!$I$4:$I$1463,$P79)),""))</f>
        <v>1749</v>
      </c>
      <c r="I79" s="15" t="str">
        <f>IF($P79="","",IFERROR(IF(INDEX(MASTER!$J$4:$J$1463,$P79)="","",INDEX(MASTER!$J$4:$J$1463,$P79)),""))</f>
        <v>ROOKIE</v>
      </c>
      <c r="J79" s="17">
        <f>IF($P79="","",IFERROR(IF(INDEX(MASTER!$L$4:$L$1463,$P79)="","",INDEX(MASTER!$L$4:$L$1463,$P79)),""))</f>
        <v>3.1</v>
      </c>
      <c r="K79" s="17">
        <f>IF($P79="","",IFERROR(IF(INDEX(MASTER!$N$4:$N$1463,$P79)="","",INDEX(MASTER!$N$4:$N$1463,$P79)),""))</f>
        <v>32.4</v>
      </c>
      <c r="L79" s="15" t="str">
        <f>IF($P79="","",IFERROR(IF(INDEX(MASTER!$O$4:$O$1463,$P79)="","",INDEX(MASTER!$O$4:$O$1463,$P79)),""))</f>
        <v>C</v>
      </c>
      <c r="M79" s="15">
        <f>IF($P79="","",IFERROR(IF(INDEX(MASTER!$Q$4:$Q$1463,$P79)="","",INDEX(MASTER!$Q$4:$Q$1463,$P79)),""))</f>
        <v>57</v>
      </c>
      <c r="N79" s="15" t="str">
        <f>IF($P79="","",IFERROR(IF(INDEX(MASTER!$S$4:$S$1463,$P79)="","",INDEX(MASTER!$S$4:$S$1463,$P79)),""))</f>
        <v>Complete</v>
      </c>
      <c r="P79">
        <f>IFERROR(MATCH($Q$1&amp;"@71",MASTER!$AC$4:$AC$1463,0),"")</f>
        <v>928</v>
      </c>
    </row>
    <row r="80" spans="1:16">
      <c r="A80" s="19">
        <f>IF($P80="","",72)</f>
        <v>72</v>
      </c>
      <c r="B80" s="18" t="str">
        <f>IF($P80="","",IFERROR(IF(INDEX(MASTER!$C$4:$C$1463,$P80)="","",INDEX(MASTER!$C$4:$C$1463,$P80)),""))</f>
        <v>ReignTheRadiant</v>
      </c>
      <c r="C80" s="19" t="str">
        <f>IF($P80="","",IFERROR(IF(INDEX(MASTER!$D$4:$D$1463,$P80)="","",INDEX(MASTER!$D$4:$D$1463,$P80)),""))</f>
        <v/>
      </c>
      <c r="D80" s="19" t="str">
        <f>IF($P80="","",IFERROR(IF(INDEX(MASTER!$E$4:$E$1463,$P80)="","",INDEX(MASTER!$E$4:$E$1463,$P80)),""))</f>
        <v>WIZARD</v>
      </c>
      <c r="E80" s="19" t="str">
        <f>IF($P80="","",IFERROR(IF(INDEX(MASTER!$F$4:$F$1463,$P80)="","",INDEX(MASTER!$F$4:$F$1463,$P80)),""))</f>
        <v>Ranged DPS</v>
      </c>
      <c r="F80" s="20">
        <f>IF($P80="","",IFERROR(IF(INDEX(MASTER!$G$4:$G$1463,$P80)="","",INDEX(MASTER!$G$4:$G$1463,$P80)),""))</f>
        <v>62645</v>
      </c>
      <c r="G80" s="19" t="str">
        <f>IF($P80="","",IFERROR(IF(INDEX(MASTER!$H$4:$H$1463,$P80)="","",INDEX(MASTER!$H$4:$H$1463,$P80)),""))</f>
        <v>62,000 - 62,999</v>
      </c>
      <c r="H80" s="20">
        <f>IF($P80="","",IFERROR(IF(INDEX(MASTER!$I$4:$I$1463,$P80)="","",INDEX(MASTER!$I$4:$I$1463,$P80)),""))</f>
        <v>2286</v>
      </c>
      <c r="I80" s="19" t="str">
        <f>IF($P80="","",IFERROR(IF(INDEX(MASTER!$J$4:$J$1463,$P80)="","",INDEX(MASTER!$J$4:$J$1463,$P80)),""))</f>
        <v>DEVELOPING</v>
      </c>
      <c r="J80" s="21">
        <f>IF($P80="","",IFERROR(IF(INDEX(MASTER!$L$4:$L$1463,$P80)="","",INDEX(MASTER!$L$4:$L$1463,$P80)),""))</f>
        <v>4.8</v>
      </c>
      <c r="K80" s="21">
        <f>IF($P80="","",IFERROR(IF(INDEX(MASTER!$N$4:$N$1463,$P80)="","",INDEX(MASTER!$N$4:$N$1463,$P80)),""))</f>
        <v>38.1</v>
      </c>
      <c r="L80" s="19" t="str">
        <f>IF($P80="","",IFERROR(IF(INDEX(MASTER!$O$4:$O$1463,$P80)="","",INDEX(MASTER!$O$4:$O$1463,$P80)),""))</f>
        <v>B</v>
      </c>
      <c r="M80" s="19">
        <f>IF($P80="","",IFERROR(IF(INDEX(MASTER!$Q$4:$Q$1463,$P80)="","",INDEX(MASTER!$Q$4:$Q$1463,$P80)),""))</f>
        <v>37</v>
      </c>
      <c r="N80" s="19" t="str">
        <f>IF($P80="","",IFERROR(IF(INDEX(MASTER!$S$4:$S$1463,$P80)="","",INDEX(MASTER!$S$4:$S$1463,$P80)),""))</f>
        <v>Complete</v>
      </c>
      <c r="P80">
        <f>IFERROR(MATCH($Q$1&amp;"@72",MASTER!$AC$4:$AC$1463,0),"")</f>
        <v>942</v>
      </c>
    </row>
    <row r="81" spans="1:16">
      <c r="A81" s="15">
        <f>IF($P81="","",73)</f>
        <v>73</v>
      </c>
      <c r="B81" s="14" t="str">
        <f>IF($P81="","",IFERROR(IF(INDEX(MASTER!$C$4:$C$1463,$P81)="","",INDEX(MASTER!$C$4:$C$1463,$P81)),""))</f>
        <v>Reston</v>
      </c>
      <c r="C81" s="15" t="str">
        <f>IF($P81="","",IFERROR(IF(INDEX(MASTER!$D$4:$D$1463,$P81)="","",INDEX(MASTER!$D$4:$D$1463,$P81)),""))</f>
        <v/>
      </c>
      <c r="D81" s="15" t="str">
        <f>IF($P81="","",IFERROR(IF(INDEX(MASTER!$E$4:$E$1463,$P81)="","",INDEX(MASTER!$E$4:$E$1463,$P81)),""))</f>
        <v>BARBARIAN</v>
      </c>
      <c r="E81" s="15" t="str">
        <f>IF($P81="","",IFERROR(IF(INDEX(MASTER!$F$4:$F$1463,$P81)="","",INDEX(MASTER!$F$4:$F$1463,$P81)),""))</f>
        <v>Frontline</v>
      </c>
      <c r="F81" s="16">
        <f>IF($P81="","",IFERROR(IF(INDEX(MASTER!$G$4:$G$1463,$P81)="","",INDEX(MASTER!$G$4:$G$1463,$P81)),""))</f>
        <v>59945</v>
      </c>
      <c r="G81" s="15" t="str">
        <f>IF($P81="","",IFERROR(IF(INDEX(MASTER!$H$4:$H$1463,$P81)="","",INDEX(MASTER!$H$4:$H$1463,$P81)),""))</f>
        <v>58,000 - 59,999</v>
      </c>
      <c r="H81" s="16">
        <f>IF($P81="","",IFERROR(IF(INDEX(MASTER!$I$4:$I$1463,$P81)="","",INDEX(MASTER!$I$4:$I$1463,$P81)),""))</f>
        <v>1095</v>
      </c>
      <c r="I81" s="15" t="str">
        <f>IF($P81="","",IFERROR(IF(INDEX(MASTER!$J$4:$J$1463,$P81)="","",INDEX(MASTER!$J$4:$J$1463,$P81)),""))</f>
        <v>ROOKIE</v>
      </c>
      <c r="J81" s="17">
        <f>IF($P81="","",IFERROR(IF(INDEX(MASTER!$L$4:$L$1463,$P81)="","",INDEX(MASTER!$L$4:$L$1463,$P81)),""))</f>
        <v>3</v>
      </c>
      <c r="K81" s="17">
        <f>IF($P81="","",IFERROR(IF(INDEX(MASTER!$N$4:$N$1463,$P81)="","",INDEX(MASTER!$N$4:$N$1463,$P81)),""))</f>
        <v>22.8</v>
      </c>
      <c r="L81" s="15" t="str">
        <f>IF($P81="","",IFERROR(IF(INDEX(MASTER!$O$4:$O$1463,$P81)="","",INDEX(MASTER!$O$4:$O$1463,$P81)),""))</f>
        <v>C</v>
      </c>
      <c r="M81" s="15">
        <f>IF($P81="","",IFERROR(IF(INDEX(MASTER!$Q$4:$Q$1463,$P81)="","",INDEX(MASTER!$Q$4:$Q$1463,$P81)),""))</f>
        <v>82</v>
      </c>
      <c r="N81" s="15" t="str">
        <f>IF($P81="","",IFERROR(IF(INDEX(MASTER!$S$4:$S$1463,$P81)="","",INDEX(MASTER!$S$4:$S$1463,$P81)),""))</f>
        <v>Complete</v>
      </c>
      <c r="P81">
        <f>IFERROR(MATCH($Q$1&amp;"@73",MASTER!$AC$4:$AC$1463,0),"")</f>
        <v>948</v>
      </c>
    </row>
    <row r="82" spans="1:16">
      <c r="A82" s="19">
        <f>IF($P82="","",74)</f>
        <v>74</v>
      </c>
      <c r="B82" s="18" t="str">
        <f>IF($P82="","",IFERROR(IF(INDEX(MASTER!$C$4:$C$1463,$P82)="","",INDEX(MASTER!$C$4:$C$1463,$P82)),""))</f>
        <v>Rowenlass</v>
      </c>
      <c r="C82" s="19" t="str">
        <f>IF($P82="","",IFERROR(IF(INDEX(MASTER!$D$4:$D$1463,$P82)="","",INDEX(MASTER!$D$4:$D$1463,$P82)),""))</f>
        <v/>
      </c>
      <c r="D82" s="19" t="str">
        <f>IF($P82="","",IFERROR(IF(INDEX(MASTER!$E$4:$E$1463,$P82)="","",INDEX(MASTER!$E$4:$E$1463,$P82)),""))</f>
        <v>DRUID</v>
      </c>
      <c r="E82" s="19" t="str">
        <f>IF($P82="","",IFERROR(IF(INDEX(MASTER!$F$4:$F$1463,$P82)="","",INDEX(MASTER!$F$4:$F$1463,$P82)),""))</f>
        <v>Support</v>
      </c>
      <c r="F82" s="20">
        <f>IF($P82="","",IFERROR(IF(INDEX(MASTER!$G$4:$G$1463,$P82)="","",INDEX(MASTER!$G$4:$G$1463,$P82)),""))</f>
        <v>61104</v>
      </c>
      <c r="G82" s="19" t="str">
        <f>IF($P82="","",IFERROR(IF(INDEX(MASTER!$H$4:$H$1463,$P82)="","",INDEX(MASTER!$H$4:$H$1463,$P82)),""))</f>
        <v>61,000 - 61,999</v>
      </c>
      <c r="H82" s="20">
        <f>IF($P82="","",IFERROR(IF(INDEX(MASTER!$I$4:$I$1463,$P82)="","",INDEX(MASTER!$I$4:$I$1463,$P82)),""))</f>
        <v>2920</v>
      </c>
      <c r="I82" s="19" t="str">
        <f>IF($P82="","",IFERROR(IF(INDEX(MASTER!$J$4:$J$1463,$P82)="","",INDEX(MASTER!$J$4:$J$1463,$P82)),""))</f>
        <v>DEVELOPING</v>
      </c>
      <c r="J82" s="21">
        <f>IF($P82="","",IFERROR(IF(INDEX(MASTER!$L$4:$L$1463,$P82)="","",INDEX(MASTER!$L$4:$L$1463,$P82)),""))</f>
        <v>3.6</v>
      </c>
      <c r="K82" s="21">
        <f>IF($P82="","",IFERROR(IF(INDEX(MASTER!$N$4:$N$1463,$P82)="","",INDEX(MASTER!$N$4:$N$1463,$P82)),""))</f>
        <v>34.799999999999997</v>
      </c>
      <c r="L82" s="19" t="str">
        <f>IF($P82="","",IFERROR(IF(INDEX(MASTER!$O$4:$O$1463,$P82)="","",INDEX(MASTER!$O$4:$O$1463,$P82)),""))</f>
        <v>C</v>
      </c>
      <c r="M82" s="19">
        <f>IF($P82="","",IFERROR(IF(INDEX(MASTER!$Q$4:$Q$1463,$P82)="","",INDEX(MASTER!$Q$4:$Q$1463,$P82)),""))</f>
        <v>18</v>
      </c>
      <c r="N82" s="19" t="str">
        <f>IF($P82="","",IFERROR(IF(INDEX(MASTER!$S$4:$S$1463,$P82)="","",INDEX(MASTER!$S$4:$S$1463,$P82)),""))</f>
        <v>Complete</v>
      </c>
      <c r="P82">
        <f>IFERROR(MATCH($Q$1&amp;"@74",MASTER!$AC$4:$AC$1463,0),"")</f>
        <v>966</v>
      </c>
    </row>
    <row r="83" spans="1:16">
      <c r="A83" s="15">
        <f>IF($P83="","",75)</f>
        <v>75</v>
      </c>
      <c r="B83" s="14" t="str">
        <f>IF($P83="","",IFERROR(IF(INDEX(MASTER!$C$4:$C$1463,$P83)="","",INDEX(MASTER!$C$4:$C$1463,$P83)),""))</f>
        <v>Rumbloki</v>
      </c>
      <c r="C83" s="15" t="str">
        <f>IF($P83="","",IFERROR(IF(INDEX(MASTER!$D$4:$D$1463,$P83)="","",INDEX(MASTER!$D$4:$D$1463,$P83)),""))</f>
        <v/>
      </c>
      <c r="D83" s="15" t="str">
        <f>IF($P83="","",IFERROR(IF(INDEX(MASTER!$E$4:$E$1463,$P83)="","",INDEX(MASTER!$E$4:$E$1463,$P83)),""))</f>
        <v>BARBARIAN</v>
      </c>
      <c r="E83" s="15" t="str">
        <f>IF($P83="","",IFERROR(IF(INDEX(MASTER!$F$4:$F$1463,$P83)="","",INDEX(MASTER!$F$4:$F$1463,$P83)),""))</f>
        <v>Frontline</v>
      </c>
      <c r="F83" s="16">
        <f>IF($P83="","",IFERROR(IF(INDEX(MASTER!$G$4:$G$1463,$P83)="","",INDEX(MASTER!$G$4:$G$1463,$P83)),""))</f>
        <v>61921</v>
      </c>
      <c r="G83" s="15" t="str">
        <f>IF($P83="","",IFERROR(IF(INDEX(MASTER!$H$4:$H$1463,$P83)="","",INDEX(MASTER!$H$4:$H$1463,$P83)),""))</f>
        <v>61,000 - 61,999</v>
      </c>
      <c r="H83" s="16">
        <f>IF($P83="","",IFERROR(IF(INDEX(MASTER!$I$4:$I$1463,$P83)="","",INDEX(MASTER!$I$4:$I$1463,$P83)),""))</f>
        <v>2515</v>
      </c>
      <c r="I83" s="15" t="str">
        <f>IF($P83="","",IFERROR(IF(INDEX(MASTER!$J$4:$J$1463,$P83)="","",INDEX(MASTER!$J$4:$J$1463,$P83)),""))</f>
        <v>DEVELOPING</v>
      </c>
      <c r="J83" s="17">
        <f>IF($P83="","",IFERROR(IF(INDEX(MASTER!$L$4:$L$1463,$P83)="","",INDEX(MASTER!$L$4:$L$1463,$P83)),""))</f>
        <v>4.53</v>
      </c>
      <c r="K83" s="17">
        <f>IF($P83="","",IFERROR(IF(INDEX(MASTER!$N$4:$N$1463,$P83)="","",INDEX(MASTER!$N$4:$N$1463,$P83)),""))</f>
        <v>36.700000000000003</v>
      </c>
      <c r="L83" s="15" t="str">
        <f>IF($P83="","",IFERROR(IF(INDEX(MASTER!$O$4:$O$1463,$P83)="","",INDEX(MASTER!$O$4:$O$1463,$P83)),""))</f>
        <v>B</v>
      </c>
      <c r="M83" s="15">
        <f>IF($P83="","",IFERROR(IF(INDEX(MASTER!$Q$4:$Q$1463,$P83)="","",INDEX(MASTER!$Q$4:$Q$1463,$P83)),""))</f>
        <v>31</v>
      </c>
      <c r="N83" s="15" t="str">
        <f>IF($P83="","",IFERROR(IF(INDEX(MASTER!$S$4:$S$1463,$P83)="","",INDEX(MASTER!$S$4:$S$1463,$P83)),""))</f>
        <v>Complete</v>
      </c>
      <c r="P83">
        <f>IFERROR(MATCH($Q$1&amp;"@75",MASTER!$AC$4:$AC$1463,0),"")</f>
        <v>972</v>
      </c>
    </row>
    <row r="84" spans="1:16">
      <c r="A84" s="19">
        <f>IF($P84="","",76)</f>
        <v>76</v>
      </c>
      <c r="B84" s="18" t="str">
        <f>IF($P84="","",IFERROR(IF(INDEX(MASTER!$C$4:$C$1463,$P84)="","",INDEX(MASTER!$C$4:$C$1463,$P84)),""))</f>
        <v>Sharinath</v>
      </c>
      <c r="C84" s="19" t="str">
        <f>IF($P84="","",IFERROR(IF(INDEX(MASTER!$D$4:$D$1463,$P84)="","",INDEX(MASTER!$D$4:$D$1463,$P84)),""))</f>
        <v/>
      </c>
      <c r="D84" s="19" t="str">
        <f>IF($P84="","",IFERROR(IF(INDEX(MASTER!$E$4:$E$1463,$P84)="","",INDEX(MASTER!$E$4:$E$1463,$P84)),""))</f>
        <v>BLOOD KNIGHT</v>
      </c>
      <c r="E84" s="19" t="str">
        <f>IF($P84="","",IFERROR(IF(INDEX(MASTER!$F$4:$F$1463,$P84)="","",INDEX(MASTER!$F$4:$F$1463,$P84)),""))</f>
        <v>Frontline</v>
      </c>
      <c r="F84" s="20">
        <f>IF($P84="","",IFERROR(IF(INDEX(MASTER!$G$4:$G$1463,$P84)="","",INDEX(MASTER!$G$4:$G$1463,$P84)),""))</f>
        <v>57517</v>
      </c>
      <c r="G84" s="19" t="str">
        <f>IF($P84="","",IFERROR(IF(INDEX(MASTER!$H$4:$H$1463,$P84)="","",INDEX(MASTER!$H$4:$H$1463,$P84)),""))</f>
        <v>Under 58,000</v>
      </c>
      <c r="H84" s="20">
        <f>IF($P84="","",IFERROR(IF(INDEX(MASTER!$I$4:$I$1463,$P84)="","",INDEX(MASTER!$I$4:$I$1463,$P84)),""))</f>
        <v>945</v>
      </c>
      <c r="I84" s="19" t="str">
        <f>IF($P84="","",IFERROR(IF(INDEX(MASTER!$J$4:$J$1463,$P84)="","",INDEX(MASTER!$J$4:$J$1463,$P84)),""))</f>
        <v>ROOKIE</v>
      </c>
      <c r="J84" s="21">
        <f>IF($P84="","",IFERROR(IF(INDEX(MASTER!$L$4:$L$1463,$P84)="","",INDEX(MASTER!$L$4:$L$1463,$P84)),""))</f>
        <v>2.6</v>
      </c>
      <c r="K84" s="21">
        <f>IF($P84="","",IFERROR(IF(INDEX(MASTER!$N$4:$N$1463,$P84)="","",INDEX(MASTER!$N$4:$N$1463,$P84)),""))</f>
        <v>15.1</v>
      </c>
      <c r="L84" s="19" t="str">
        <f>IF($P84="","",IFERROR(IF(INDEX(MASTER!$O$4:$O$1463,$P84)="","",INDEX(MASTER!$O$4:$O$1463,$P84)),""))</f>
        <v>D</v>
      </c>
      <c r="M84" s="19">
        <f>IF($P84="","",IFERROR(IF(INDEX(MASTER!$Q$4:$Q$1463,$P84)="","",INDEX(MASTER!$Q$4:$Q$1463,$P84)),""))</f>
        <v>87</v>
      </c>
      <c r="N84" s="19" t="str">
        <f>IF($P84="","",IFERROR(IF(INDEX(MASTER!$S$4:$S$1463,$P84)="","",INDEX(MASTER!$S$4:$S$1463,$P84)),""))</f>
        <v>Complete</v>
      </c>
      <c r="P84">
        <f>IFERROR(MATCH($Q$1&amp;"@76",MASTER!$AC$4:$AC$1463,0),"")</f>
        <v>1005</v>
      </c>
    </row>
    <row r="85" spans="1:16">
      <c r="A85" s="15">
        <f>IF($P85="","",77)</f>
        <v>77</v>
      </c>
      <c r="B85" s="14" t="str">
        <f>IF($P85="","",IFERROR(IF(INDEX(MASTER!$C$4:$C$1463,$P85)="","",INDEX(MASTER!$C$4:$C$1463,$P85)),""))</f>
        <v>SkelenaGomez</v>
      </c>
      <c r="C85" s="15" t="str">
        <f>IF($P85="","",IFERROR(IF(INDEX(MASTER!$D$4:$D$1463,$P85)="","",INDEX(MASTER!$D$4:$D$1463,$P85)),""))</f>
        <v/>
      </c>
      <c r="D85" s="15" t="str">
        <f>IF($P85="","",IFERROR(IF(INDEX(MASTER!$E$4:$E$1463,$P85)="","",INDEX(MASTER!$E$4:$E$1463,$P85)),""))</f>
        <v>NECROMANCER</v>
      </c>
      <c r="E85" s="15" t="str">
        <f>IF($P85="","",IFERROR(IF(INDEX(MASTER!$F$4:$F$1463,$P85)="","",INDEX(MASTER!$F$4:$F$1463,$P85)),""))</f>
        <v>Control</v>
      </c>
      <c r="F85" s="16">
        <f>IF($P85="","",IFERROR(IF(INDEX(MASTER!$G$4:$G$1463,$P85)="","",INDEX(MASTER!$G$4:$G$1463,$P85)),""))</f>
        <v>61042</v>
      </c>
      <c r="G85" s="15" t="str">
        <f>IF($P85="","",IFERROR(IF(INDEX(MASTER!$H$4:$H$1463,$P85)="","",INDEX(MASTER!$H$4:$H$1463,$P85)),""))</f>
        <v>61,000 - 61,999</v>
      </c>
      <c r="H85" s="16">
        <f>IF($P85="","",IFERROR(IF(INDEX(MASTER!$I$4:$I$1463,$P85)="","",INDEX(MASTER!$I$4:$I$1463,$P85)),""))</f>
        <v>1910</v>
      </c>
      <c r="I85" s="15" t="str">
        <f>IF($P85="","",IFERROR(IF(INDEX(MASTER!$J$4:$J$1463,$P85)="","",INDEX(MASTER!$J$4:$J$1463,$P85)),""))</f>
        <v>ROOKIE</v>
      </c>
      <c r="J85" s="17">
        <f>IF($P85="","",IFERROR(IF(INDEX(MASTER!$L$4:$L$1463,$P85)="","",INDEX(MASTER!$L$4:$L$1463,$P85)),""))</f>
        <v>3.2</v>
      </c>
      <c r="K85" s="17">
        <f>IF($P85="","",IFERROR(IF(INDEX(MASTER!$N$4:$N$1463,$P85)="","",INDEX(MASTER!$N$4:$N$1463,$P85)),""))</f>
        <v>29.6</v>
      </c>
      <c r="L85" s="15" t="str">
        <f>IF($P85="","",IFERROR(IF(INDEX(MASTER!$O$4:$O$1463,$P85)="","",INDEX(MASTER!$O$4:$O$1463,$P85)),""))</f>
        <v>C</v>
      </c>
      <c r="M85" s="15">
        <f>IF($P85="","",IFERROR(IF(INDEX(MASTER!$Q$4:$Q$1463,$P85)="","",INDEX(MASTER!$Q$4:$Q$1463,$P85)),""))</f>
        <v>52</v>
      </c>
      <c r="N85" s="15" t="str">
        <f>IF($P85="","",IFERROR(IF(INDEX(MASTER!$S$4:$S$1463,$P85)="","",INDEX(MASTER!$S$4:$S$1463,$P85)),""))</f>
        <v>Complete</v>
      </c>
      <c r="P85">
        <f>IFERROR(MATCH($Q$1&amp;"@77",MASTER!$AC$4:$AC$1463,0),"")</f>
        <v>1032</v>
      </c>
    </row>
    <row r="86" spans="1:16">
      <c r="A86" s="19">
        <f>IF($P86="","",78)</f>
        <v>78</v>
      </c>
      <c r="B86" s="18" t="str">
        <f>IF($P86="","",IFERROR(IF(INDEX(MASTER!$C$4:$C$1463,$P86)="","",INDEX(MASTER!$C$4:$C$1463,$P86)),""))</f>
        <v>SkunkUnk</v>
      </c>
      <c r="C86" s="19" t="str">
        <f>IF($P86="","",IFERROR(IF(INDEX(MASTER!$D$4:$D$1463,$P86)="","",INDEX(MASTER!$D$4:$D$1463,$P86)),""))</f>
        <v/>
      </c>
      <c r="D86" s="19" t="str">
        <f>IF($P86="","",IFERROR(IF(INDEX(MASTER!$E$4:$E$1463,$P86)="","",INDEX(MASTER!$E$4:$E$1463,$P86)),""))</f>
        <v>DRUID</v>
      </c>
      <c r="E86" s="19" t="str">
        <f>IF($P86="","",IFERROR(IF(INDEX(MASTER!$F$4:$F$1463,$P86)="","",INDEX(MASTER!$F$4:$F$1463,$P86)),""))</f>
        <v>Support</v>
      </c>
      <c r="F86" s="20">
        <f>IF($P86="","",IFERROR(IF(INDEX(MASTER!$G$4:$G$1463,$P86)="","",INDEX(MASTER!$G$4:$G$1463,$P86)),""))</f>
        <v>61077</v>
      </c>
      <c r="G86" s="19" t="str">
        <f>IF($P86="","",IFERROR(IF(INDEX(MASTER!$H$4:$H$1463,$P86)="","",INDEX(MASTER!$H$4:$H$1463,$P86)),""))</f>
        <v>61,000 - 61,999</v>
      </c>
      <c r="H86" s="20">
        <f>IF($P86="","",IFERROR(IF(INDEX(MASTER!$I$4:$I$1463,$P86)="","",INDEX(MASTER!$I$4:$I$1463,$P86)),""))</f>
        <v>825</v>
      </c>
      <c r="I86" s="19" t="str">
        <f>IF($P86="","",IFERROR(IF(INDEX(MASTER!$J$4:$J$1463,$P86)="","",INDEX(MASTER!$J$4:$J$1463,$P86)),""))</f>
        <v>ROOKIE</v>
      </c>
      <c r="J86" s="21">
        <f>IF($P86="","",IFERROR(IF(INDEX(MASTER!$L$4:$L$1463,$P86)="","",INDEX(MASTER!$L$4:$L$1463,$P86)),""))</f>
        <v>2.8</v>
      </c>
      <c r="K86" s="21">
        <f>IF($P86="","",IFERROR(IF(INDEX(MASTER!$N$4:$N$1463,$P86)="","",INDEX(MASTER!$N$4:$N$1463,$P86)),""))</f>
        <v>24.3</v>
      </c>
      <c r="L86" s="19" t="str">
        <f>IF($P86="","",IFERROR(IF(INDEX(MASTER!$O$4:$O$1463,$P86)="","",INDEX(MASTER!$O$4:$O$1463,$P86)),""))</f>
        <v>C</v>
      </c>
      <c r="M86" s="19">
        <f>IF($P86="","",IFERROR(IF(INDEX(MASTER!$Q$4:$Q$1463,$P86)="","",INDEX(MASTER!$Q$4:$Q$1463,$P86)),""))</f>
        <v>89</v>
      </c>
      <c r="N86" s="19" t="str">
        <f>IF($P86="","",IFERROR(IF(INDEX(MASTER!$S$4:$S$1463,$P86)="","",INDEX(MASTER!$S$4:$S$1463,$P86)),""))</f>
        <v>Complete</v>
      </c>
      <c r="P86">
        <f>IFERROR(MATCH($Q$1&amp;"@78",MASTER!$AC$4:$AC$1463,0),"")</f>
        <v>1033</v>
      </c>
    </row>
    <row r="87" spans="1:16">
      <c r="A87" s="15">
        <f>IF($P87="","",79)</f>
        <v>79</v>
      </c>
      <c r="B87" s="14" t="str">
        <f>IF($P87="","",IFERROR(IF(INDEX(MASTER!$C$4:$C$1463,$P87)="","",INDEX(MASTER!$C$4:$C$1463,$P87)),""))</f>
        <v>Slayer1129</v>
      </c>
      <c r="C87" s="15" t="str">
        <f>IF($P87="","",IFERROR(IF(INDEX(MASTER!$D$4:$D$1463,$P87)="","",INDEX(MASTER!$D$4:$D$1463,$P87)),""))</f>
        <v/>
      </c>
      <c r="D87" s="15" t="str">
        <f>IF($P87="","",IFERROR(IF(INDEX(MASTER!$E$4:$E$1463,$P87)="","",INDEX(MASTER!$E$4:$E$1463,$P87)),""))</f>
        <v>BARBARIAN</v>
      </c>
      <c r="E87" s="15" t="str">
        <f>IF($P87="","",IFERROR(IF(INDEX(MASTER!$F$4:$F$1463,$P87)="","",INDEX(MASTER!$F$4:$F$1463,$P87)),""))</f>
        <v>Frontline</v>
      </c>
      <c r="F87" s="16">
        <f>IF($P87="","",IFERROR(IF(INDEX(MASTER!$G$4:$G$1463,$P87)="","",INDEX(MASTER!$G$4:$G$1463,$P87)),""))</f>
        <v>62559</v>
      </c>
      <c r="G87" s="15" t="str">
        <f>IF($P87="","",IFERROR(IF(INDEX(MASTER!$H$4:$H$1463,$P87)="","",INDEX(MASTER!$H$4:$H$1463,$P87)),""))</f>
        <v>62,000 - 62,999</v>
      </c>
      <c r="H87" s="16">
        <f>IF($P87="","",IFERROR(IF(INDEX(MASTER!$I$4:$I$1463,$P87)="","",INDEX(MASTER!$I$4:$I$1463,$P87)),""))</f>
        <v>3586</v>
      </c>
      <c r="I87" s="15" t="str">
        <f>IF($P87="","",IFERROR(IF(INDEX(MASTER!$J$4:$J$1463,$P87)="","",INDEX(MASTER!$J$4:$J$1463,$P87)),""))</f>
        <v>DEVELOPING</v>
      </c>
      <c r="J87" s="17">
        <f>IF($P87="","",IFERROR(IF(INDEX(MASTER!$L$4:$L$1463,$P87)="","",INDEX(MASTER!$L$4:$L$1463,$P87)),""))</f>
        <v>5.17</v>
      </c>
      <c r="K87" s="17">
        <f>IF($P87="","",IFERROR(IF(INDEX(MASTER!$N$4:$N$1463,$P87)="","",INDEX(MASTER!$N$4:$N$1463,$P87)),""))</f>
        <v>44.2</v>
      </c>
      <c r="L87" s="15" t="str">
        <f>IF($P87="","",IFERROR(IF(INDEX(MASTER!$O$4:$O$1463,$P87)="","",INDEX(MASTER!$O$4:$O$1463,$P87)),""))</f>
        <v>B</v>
      </c>
      <c r="M87" s="15">
        <f>IF($P87="","",IFERROR(IF(INDEX(MASTER!$Q$4:$Q$1463,$P87)="","",INDEX(MASTER!$Q$4:$Q$1463,$P87)),""))</f>
        <v>6</v>
      </c>
      <c r="N87" s="15" t="str">
        <f>IF($P87="","",IFERROR(IF(INDEX(MASTER!$S$4:$S$1463,$P87)="","",INDEX(MASTER!$S$4:$S$1463,$P87)),""))</f>
        <v>Complete</v>
      </c>
      <c r="P87">
        <f>IFERROR(MATCH($Q$1&amp;"@79",MASTER!$AC$4:$AC$1463,0),"")</f>
        <v>1037</v>
      </c>
    </row>
    <row r="88" spans="1:16">
      <c r="A88" s="19">
        <f>IF($P88="","",80)</f>
        <v>80</v>
      </c>
      <c r="B88" s="18" t="str">
        <f>IF($P88="","",IFERROR(IF(INDEX(MASTER!$C$4:$C$1463,$P88)="","",INDEX(MASTER!$C$4:$C$1463,$P88)),""))</f>
        <v>Sloaxaloax</v>
      </c>
      <c r="C88" s="19" t="str">
        <f>IF($P88="","",IFERROR(IF(INDEX(MASTER!$D$4:$D$1463,$P88)="","",INDEX(MASTER!$D$4:$D$1463,$P88)),""))</f>
        <v/>
      </c>
      <c r="D88" s="19" t="str">
        <f>IF($P88="","",IFERROR(IF(INDEX(MASTER!$E$4:$E$1463,$P88)="","",INDEX(MASTER!$E$4:$E$1463,$P88)),""))</f>
        <v>BLOOD KNIGHT</v>
      </c>
      <c r="E88" s="19" t="str">
        <f>IF($P88="","",IFERROR(IF(INDEX(MASTER!$F$4:$F$1463,$P88)="","",INDEX(MASTER!$F$4:$F$1463,$P88)),""))</f>
        <v>Frontline</v>
      </c>
      <c r="F88" s="20">
        <f>IF($P88="","",IFERROR(IF(INDEX(MASTER!$G$4:$G$1463,$P88)="","",INDEX(MASTER!$G$4:$G$1463,$P88)),""))</f>
        <v>60080</v>
      </c>
      <c r="G88" s="19" t="str">
        <f>IF($P88="","",IFERROR(IF(INDEX(MASTER!$H$4:$H$1463,$P88)="","",INDEX(MASTER!$H$4:$H$1463,$P88)),""))</f>
        <v>60,000 - 60,999</v>
      </c>
      <c r="H88" s="20">
        <f>IF($P88="","",IFERROR(IF(INDEX(MASTER!$I$4:$I$1463,$P88)="","",INDEX(MASTER!$I$4:$I$1463,$P88)),""))</f>
        <v>1401</v>
      </c>
      <c r="I88" s="19" t="str">
        <f>IF($P88="","",IFERROR(IF(INDEX(MASTER!$J$4:$J$1463,$P88)="","",INDEX(MASTER!$J$4:$J$1463,$P88)),""))</f>
        <v>ROOKIE</v>
      </c>
      <c r="J88" s="21">
        <f>IF($P88="","",IFERROR(IF(INDEX(MASTER!$L$4:$L$1463,$P88)="","",INDEX(MASTER!$L$4:$L$1463,$P88)),""))</f>
        <v>3.4</v>
      </c>
      <c r="K88" s="21">
        <f>IF($P88="","",IFERROR(IF(INDEX(MASTER!$N$4:$N$1463,$P88)="","",INDEX(MASTER!$N$4:$N$1463,$P88)),""))</f>
        <v>25.2</v>
      </c>
      <c r="L88" s="19" t="str">
        <f>IF($P88="","",IFERROR(IF(INDEX(MASTER!$O$4:$O$1463,$P88)="","",INDEX(MASTER!$O$4:$O$1463,$P88)),""))</f>
        <v>C</v>
      </c>
      <c r="M88" s="19">
        <f>IF($P88="","",IFERROR(IF(INDEX(MASTER!$Q$4:$Q$1463,$P88)="","",INDEX(MASTER!$Q$4:$Q$1463,$P88)),""))</f>
        <v>72</v>
      </c>
      <c r="N88" s="19" t="str">
        <f>IF($P88="","",IFERROR(IF(INDEX(MASTER!$S$4:$S$1463,$P88)="","",INDEX(MASTER!$S$4:$S$1463,$P88)),""))</f>
        <v>Complete</v>
      </c>
      <c r="P88">
        <f>IFERROR(MATCH($Q$1&amp;"@80",MASTER!$AC$4:$AC$1463,0),"")</f>
        <v>1040</v>
      </c>
    </row>
    <row r="89" spans="1:16">
      <c r="A89" s="15">
        <f>IF($P89="","",81)</f>
        <v>81</v>
      </c>
      <c r="B89" s="14" t="str">
        <f>IF($P89="","",IFERROR(IF(INDEX(MASTER!$C$4:$C$1463,$P89)="","",INDEX(MASTER!$C$4:$C$1463,$P89)),""))</f>
        <v>SukiSumYu</v>
      </c>
      <c r="C89" s="15" t="str">
        <f>IF($P89="","",IFERROR(IF(INDEX(MASTER!$D$4:$D$1463,$P89)="","",INDEX(MASTER!$D$4:$D$1463,$P89)),""))</f>
        <v/>
      </c>
      <c r="D89" s="15" t="str">
        <f>IF($P89="","",IFERROR(IF(INDEX(MASTER!$E$4:$E$1463,$P89)="","",INDEX(MASTER!$E$4:$E$1463,$P89)),""))</f>
        <v>WARLOCK</v>
      </c>
      <c r="E89" s="15" t="str">
        <f>IF($P89="","",IFERROR(IF(INDEX(MASTER!$F$4:$F$1463,$P89)="","",INDEX(MASTER!$F$4:$F$1463,$P89)),""))</f>
        <v>Control</v>
      </c>
      <c r="F89" s="16">
        <f>IF($P89="","",IFERROR(IF(INDEX(MASTER!$G$4:$G$1463,$P89)="","",INDEX(MASTER!$G$4:$G$1463,$P89)),""))</f>
        <v>61456</v>
      </c>
      <c r="G89" s="15" t="str">
        <f>IF($P89="","",IFERROR(IF(INDEX(MASTER!$H$4:$H$1463,$P89)="","",INDEX(MASTER!$H$4:$H$1463,$P89)),""))</f>
        <v>61,000 - 61,999</v>
      </c>
      <c r="H89" s="16">
        <f>IF($P89="","",IFERROR(IF(INDEX(MASTER!$I$4:$I$1463,$P89)="","",INDEX(MASTER!$I$4:$I$1463,$P89)),""))</f>
        <v>2847</v>
      </c>
      <c r="I89" s="15" t="str">
        <f>IF($P89="","",IFERROR(IF(INDEX(MASTER!$J$4:$J$1463,$P89)="","",INDEX(MASTER!$J$4:$J$1463,$P89)),""))</f>
        <v>DEVELOPING</v>
      </c>
      <c r="J89" s="17">
        <f>IF($P89="","",IFERROR(IF(INDEX(MASTER!$L$4:$L$1463,$P89)="","",INDEX(MASTER!$L$4:$L$1463,$P89)),""))</f>
        <v>3</v>
      </c>
      <c r="K89" s="17">
        <f>IF($P89="","",IFERROR(IF(INDEX(MASTER!$N$4:$N$1463,$P89)="","",INDEX(MASTER!$N$4:$N$1463,$P89)),""))</f>
        <v>34.4</v>
      </c>
      <c r="L89" s="15" t="str">
        <f>IF($P89="","",IFERROR(IF(INDEX(MASTER!$O$4:$O$1463,$P89)="","",INDEX(MASTER!$O$4:$O$1463,$P89)),""))</f>
        <v>C</v>
      </c>
      <c r="M89" s="15">
        <f>IF($P89="","",IFERROR(IF(INDEX(MASTER!$Q$4:$Q$1463,$P89)="","",INDEX(MASTER!$Q$4:$Q$1463,$P89)),""))</f>
        <v>21</v>
      </c>
      <c r="N89" s="15" t="str">
        <f>IF($P89="","",IFERROR(IF(INDEX(MASTER!$S$4:$S$1463,$P89)="","",INDEX(MASTER!$S$4:$S$1463,$P89)),""))</f>
        <v>Complete</v>
      </c>
      <c r="P89">
        <f>IFERROR(MATCH($Q$1&amp;"@81",MASTER!$AC$4:$AC$1463,0),"")</f>
        <v>1089</v>
      </c>
    </row>
    <row r="90" spans="1:16">
      <c r="A90" s="19">
        <f>IF($P90="","",82)</f>
        <v>82</v>
      </c>
      <c r="B90" s="18" t="str">
        <f>IF($P90="","",IFERROR(IF(INDEX(MASTER!$C$4:$C$1463,$P90)="","",INDEX(MASTER!$C$4:$C$1463,$P90)),""))</f>
        <v>TalicbooOCSURX3</v>
      </c>
      <c r="C90" s="19" t="str">
        <f>IF($P90="","",IFERROR(IF(INDEX(MASTER!$D$4:$D$1463,$P90)="","",INDEX(MASTER!$D$4:$D$1463,$P90)),""))</f>
        <v/>
      </c>
      <c r="D90" s="19" t="str">
        <f>IF($P90="","",IFERROR(IF(INDEX(MASTER!$E$4:$E$1463,$P90)="","",INDEX(MASTER!$E$4:$E$1463,$P90)),""))</f>
        <v>BARBARIAN</v>
      </c>
      <c r="E90" s="19" t="str">
        <f>IF($P90="","",IFERROR(IF(INDEX(MASTER!$F$4:$F$1463,$P90)="","",INDEX(MASTER!$F$4:$F$1463,$P90)),""))</f>
        <v>Frontline</v>
      </c>
      <c r="F90" s="20">
        <f>IF($P90="","",IFERROR(IF(INDEX(MASTER!$G$4:$G$1463,$P90)="","",INDEX(MASTER!$G$4:$G$1463,$P90)),""))</f>
        <v>62559</v>
      </c>
      <c r="G90" s="19" t="str">
        <f>IF($P90="","",IFERROR(IF(INDEX(MASTER!$H$4:$H$1463,$P90)="","",INDEX(MASTER!$H$4:$H$1463,$P90)),""))</f>
        <v>62,000 - 62,999</v>
      </c>
      <c r="H90" s="20">
        <f>IF($P90="","",IFERROR(IF(INDEX(MASTER!$I$4:$I$1463,$P90)="","",INDEX(MASTER!$I$4:$I$1463,$P90)),""))</f>
        <v>2528</v>
      </c>
      <c r="I90" s="19" t="str">
        <f>IF($P90="","",IFERROR(IF(INDEX(MASTER!$J$4:$J$1463,$P90)="","",INDEX(MASTER!$J$4:$J$1463,$P90)),""))</f>
        <v>DEVELOPING</v>
      </c>
      <c r="J90" s="21">
        <f>IF($P90="","",IFERROR(IF(INDEX(MASTER!$L$4:$L$1463,$P90)="","",INDEX(MASTER!$L$4:$L$1463,$P90)),""))</f>
        <v>4.9000000000000004</v>
      </c>
      <c r="K90" s="21">
        <f>IF($P90="","",IFERROR(IF(INDEX(MASTER!$N$4:$N$1463,$P90)="","",INDEX(MASTER!$N$4:$N$1463,$P90)),""))</f>
        <v>39.1</v>
      </c>
      <c r="L90" s="19" t="str">
        <f>IF($P90="","",IFERROR(IF(INDEX(MASTER!$O$4:$O$1463,$P90)="","",INDEX(MASTER!$O$4:$O$1463,$P90)),""))</f>
        <v>B</v>
      </c>
      <c r="M90" s="19">
        <f>IF($P90="","",IFERROR(IF(INDEX(MASTER!$Q$4:$Q$1463,$P90)="","",INDEX(MASTER!$Q$4:$Q$1463,$P90)),""))</f>
        <v>30</v>
      </c>
      <c r="N90" s="19" t="str">
        <f>IF($P90="","",IFERROR(IF(INDEX(MASTER!$S$4:$S$1463,$P90)="","",INDEX(MASTER!$S$4:$S$1463,$P90)),""))</f>
        <v>Complete</v>
      </c>
      <c r="P90">
        <f>IFERROR(MATCH($Q$1&amp;"@82",MASTER!$AC$4:$AC$1463,0),"")</f>
        <v>1113</v>
      </c>
    </row>
    <row r="91" spans="1:16">
      <c r="A91" s="15">
        <f>IF($P91="","",83)</f>
        <v>83</v>
      </c>
      <c r="B91" s="14" t="str">
        <f>IF($P91="","",IFERROR(IF(INDEX(MASTER!$C$4:$C$1463,$P91)="","",INDEX(MASTER!$C$4:$C$1463,$P91)),""))</f>
        <v>TanyaRenee</v>
      </c>
      <c r="C91" s="15" t="str">
        <f>IF($P91="","",IFERROR(IF(INDEX(MASTER!$D$4:$D$1463,$P91)="","",INDEX(MASTER!$D$4:$D$1463,$P91)),""))</f>
        <v/>
      </c>
      <c r="D91" s="15" t="str">
        <f>IF($P91="","",IFERROR(IF(INDEX(MASTER!$E$4:$E$1463,$P91)="","",INDEX(MASTER!$E$4:$E$1463,$P91)),""))</f>
        <v>DRUID</v>
      </c>
      <c r="E91" s="15" t="str">
        <f>IF($P91="","",IFERROR(IF(INDEX(MASTER!$F$4:$F$1463,$P91)="","",INDEX(MASTER!$F$4:$F$1463,$P91)),""))</f>
        <v>Support</v>
      </c>
      <c r="F91" s="16">
        <f>IF($P91="","",IFERROR(IF(INDEX(MASTER!$G$4:$G$1463,$P91)="","",INDEX(MASTER!$G$4:$G$1463,$P91)),""))</f>
        <v>62160</v>
      </c>
      <c r="G91" s="15" t="str">
        <f>IF($P91="","",IFERROR(IF(INDEX(MASTER!$H$4:$H$1463,$P91)="","",INDEX(MASTER!$H$4:$H$1463,$P91)),""))</f>
        <v>62,000 - 62,999</v>
      </c>
      <c r="H91" s="16">
        <f>IF($P91="","",IFERROR(IF(INDEX(MASTER!$I$4:$I$1463,$P91)="","",INDEX(MASTER!$I$4:$I$1463,$P91)),""))</f>
        <v>3894</v>
      </c>
      <c r="I91" s="15" t="str">
        <f>IF($P91="","",IFERROR(IF(INDEX(MASTER!$J$4:$J$1463,$P91)="","",INDEX(MASTER!$J$4:$J$1463,$P91)),""))</f>
        <v>DEVELOPING</v>
      </c>
      <c r="J91" s="17">
        <f>IF($P91="","",IFERROR(IF(INDEX(MASTER!$L$4:$L$1463,$P91)="","",INDEX(MASTER!$L$4:$L$1463,$P91)),""))</f>
        <v>5</v>
      </c>
      <c r="K91" s="17">
        <f>IF($P91="","",IFERROR(IF(INDEX(MASTER!$N$4:$N$1463,$P91)="","",INDEX(MASTER!$N$4:$N$1463,$P91)),""))</f>
        <v>44.2</v>
      </c>
      <c r="L91" s="15" t="str">
        <f>IF($P91="","",IFERROR(IF(INDEX(MASTER!$O$4:$O$1463,$P91)="","",INDEX(MASTER!$O$4:$O$1463,$P91)),""))</f>
        <v>B</v>
      </c>
      <c r="M91" s="15">
        <f>IF($P91="","",IFERROR(IF(INDEX(MASTER!$Q$4:$Q$1463,$P91)="","",INDEX(MASTER!$Q$4:$Q$1463,$P91)),""))</f>
        <v>2</v>
      </c>
      <c r="N91" s="15" t="str">
        <f>IF($P91="","",IFERROR(IF(INDEX(MASTER!$S$4:$S$1463,$P91)="","",INDEX(MASTER!$S$4:$S$1463,$P91)),""))</f>
        <v>Complete</v>
      </c>
      <c r="P91">
        <f>IFERROR(MATCH($Q$1&amp;"@83",MASTER!$AC$4:$AC$1463,0),"")</f>
        <v>1118</v>
      </c>
    </row>
    <row r="92" spans="1:16">
      <c r="A92" s="19">
        <f>IF($P92="","",84)</f>
        <v>84</v>
      </c>
      <c r="B92" s="18" t="str">
        <f>IF($P92="","",IFERROR(IF(INDEX(MASTER!$C$4:$C$1463,$P92)="","",INDEX(MASTER!$C$4:$C$1463,$P92)),""))</f>
        <v>TOASTICLES</v>
      </c>
      <c r="C92" s="19" t="str">
        <f>IF($P92="","",IFERROR(IF(INDEX(MASTER!$D$4:$D$1463,$P92)="","",INDEX(MASTER!$D$4:$D$1463,$P92)),""))</f>
        <v/>
      </c>
      <c r="D92" s="19" t="str">
        <f>IF($P92="","",IFERROR(IF(INDEX(MASTER!$E$4:$E$1463,$P92)="","",INDEX(MASTER!$E$4:$E$1463,$P92)),""))</f>
        <v>WARLOCK</v>
      </c>
      <c r="E92" s="19" t="str">
        <f>IF($P92="","",IFERROR(IF(INDEX(MASTER!$F$4:$F$1463,$P92)="","",INDEX(MASTER!$F$4:$F$1463,$P92)),""))</f>
        <v>Control</v>
      </c>
      <c r="F92" s="20">
        <f>IF($P92="","",IFERROR(IF(INDEX(MASTER!$G$4:$G$1463,$P92)="","",INDEX(MASTER!$G$4:$G$1463,$P92)),""))</f>
        <v>61554</v>
      </c>
      <c r="G92" s="19" t="str">
        <f>IF($P92="","",IFERROR(IF(INDEX(MASTER!$H$4:$H$1463,$P92)="","",INDEX(MASTER!$H$4:$H$1463,$P92)),""))</f>
        <v>61,000 - 61,999</v>
      </c>
      <c r="H92" s="20">
        <f>IF($P92="","",IFERROR(IF(INDEX(MASTER!$I$4:$I$1463,$P92)="","",INDEX(MASTER!$I$4:$I$1463,$P92)),""))</f>
        <v>1990</v>
      </c>
      <c r="I92" s="19" t="str">
        <f>IF($P92="","",IFERROR(IF(INDEX(MASTER!$J$4:$J$1463,$P92)="","",INDEX(MASTER!$J$4:$J$1463,$P92)),""))</f>
        <v>ROOKIE</v>
      </c>
      <c r="J92" s="21">
        <f>IF($P92="","",IFERROR(IF(INDEX(MASTER!$L$4:$L$1463,$P92)="","",INDEX(MASTER!$L$4:$L$1463,$P92)),""))</f>
        <v>3.9</v>
      </c>
      <c r="K92" s="21">
        <f>IF($P92="","",IFERROR(IF(INDEX(MASTER!$N$4:$N$1463,$P92)="","",INDEX(MASTER!$N$4:$N$1463,$P92)),""))</f>
        <v>32.4</v>
      </c>
      <c r="L92" s="19" t="str">
        <f>IF($P92="","",IFERROR(IF(INDEX(MASTER!$O$4:$O$1463,$P92)="","",INDEX(MASTER!$O$4:$O$1463,$P92)),""))</f>
        <v>C</v>
      </c>
      <c r="M92" s="19">
        <f>IF($P92="","",IFERROR(IF(INDEX(MASTER!$Q$4:$Q$1463,$P92)="","",INDEX(MASTER!$Q$4:$Q$1463,$P92)),""))</f>
        <v>48</v>
      </c>
      <c r="N92" s="19" t="str">
        <f>IF($P92="","",IFERROR(IF(INDEX(MASTER!$S$4:$S$1463,$P92)="","",INDEX(MASTER!$S$4:$S$1463,$P92)),""))</f>
        <v>Complete</v>
      </c>
      <c r="P92">
        <f>IFERROR(MATCH($Q$1&amp;"@84",MASTER!$AC$4:$AC$1463,0),"")</f>
        <v>1161</v>
      </c>
    </row>
    <row r="93" spans="1:16">
      <c r="A93" s="15">
        <f>IF($P93="","",85)</f>
        <v>85</v>
      </c>
      <c r="B93" s="14" t="str">
        <f>IF($P93="","",IFERROR(IF(INDEX(MASTER!$C$4:$C$1463,$P93)="","",INDEX(MASTER!$C$4:$C$1463,$P93)),""))</f>
        <v>ViscusTheCrimson</v>
      </c>
      <c r="C93" s="15" t="str">
        <f>IF($P93="","",IFERROR(IF(INDEX(MASTER!$D$4:$D$1463,$P93)="","",INDEX(MASTER!$D$4:$D$1463,$P93)),""))</f>
        <v/>
      </c>
      <c r="D93" s="15" t="str">
        <f>IF($P93="","",IFERROR(IF(INDEX(MASTER!$E$4:$E$1463,$P93)="","",INDEX(MASTER!$E$4:$E$1463,$P93)),""))</f>
        <v>TEMPEST</v>
      </c>
      <c r="E93" s="15" t="str">
        <f>IF($P93="","",IFERROR(IF(INDEX(MASTER!$F$4:$F$1463,$P93)="","",INDEX(MASTER!$F$4:$F$1463,$P93)),""))</f>
        <v>Melee DPS</v>
      </c>
      <c r="F93" s="16">
        <f>IF($P93="","",IFERROR(IF(INDEX(MASTER!$G$4:$G$1463,$P93)="","",INDEX(MASTER!$G$4:$G$1463,$P93)),""))</f>
        <v>61725</v>
      </c>
      <c r="G93" s="15" t="str">
        <f>IF($P93="","",IFERROR(IF(INDEX(MASTER!$H$4:$H$1463,$P93)="","",INDEX(MASTER!$H$4:$H$1463,$P93)),""))</f>
        <v>61,000 - 61,999</v>
      </c>
      <c r="H93" s="16">
        <f>IF($P93="","",IFERROR(IF(INDEX(MASTER!$I$4:$I$1463,$P93)="","",INDEX(MASTER!$I$4:$I$1463,$P93)),""))</f>
        <v>2734</v>
      </c>
      <c r="I93" s="15" t="str">
        <f>IF($P93="","",IFERROR(IF(INDEX(MASTER!$J$4:$J$1463,$P93)="","",INDEX(MASTER!$J$4:$J$1463,$P93)),""))</f>
        <v>DEVELOPING</v>
      </c>
      <c r="J93" s="17">
        <f>IF($P93="","",IFERROR(IF(INDEX(MASTER!$L$4:$L$1463,$P93)="","",INDEX(MASTER!$L$4:$L$1463,$P93)),""))</f>
        <v>4.1500000000000004</v>
      </c>
      <c r="K93" s="17">
        <f>IF($P93="","",IFERROR(IF(INDEX(MASTER!$N$4:$N$1463,$P93)="","",INDEX(MASTER!$N$4:$N$1463,$P93)),""))</f>
        <v>36.5</v>
      </c>
      <c r="L93" s="15" t="str">
        <f>IF($P93="","",IFERROR(IF(INDEX(MASTER!$O$4:$O$1463,$P93)="","",INDEX(MASTER!$O$4:$O$1463,$P93)),""))</f>
        <v>B</v>
      </c>
      <c r="M93" s="15">
        <f>IF($P93="","",IFERROR(IF(INDEX(MASTER!$Q$4:$Q$1463,$P93)="","",INDEX(MASTER!$Q$4:$Q$1463,$P93)),""))</f>
        <v>23</v>
      </c>
      <c r="N93" s="15" t="str">
        <f>IF($P93="","",IFERROR(IF(INDEX(MASTER!$S$4:$S$1463,$P93)="","",INDEX(MASTER!$S$4:$S$1463,$P93)),""))</f>
        <v>Complete</v>
      </c>
      <c r="P93">
        <f>IFERROR(MATCH($Q$1&amp;"@85",MASTER!$AC$4:$AC$1463,0),"")</f>
        <v>1224</v>
      </c>
    </row>
    <row r="94" spans="1:16">
      <c r="A94" s="19">
        <f>IF($P94="","",86)</f>
        <v>86</v>
      </c>
      <c r="B94" s="18" t="str">
        <f>IF($P94="","",IFERROR(IF(INDEX(MASTER!$C$4:$C$1463,$P94)="","",INDEX(MASTER!$C$4:$C$1463,$P94)),""))</f>
        <v>Wiz02</v>
      </c>
      <c r="C94" s="19" t="str">
        <f>IF($P94="","",IFERROR(IF(INDEX(MASTER!$D$4:$D$1463,$P94)="","",INDEX(MASTER!$D$4:$D$1463,$P94)),""))</f>
        <v/>
      </c>
      <c r="D94" s="19" t="str">
        <f>IF($P94="","",IFERROR(IF(INDEX(MASTER!$E$4:$E$1463,$P94)="","",INDEX(MASTER!$E$4:$E$1463,$P94)),""))</f>
        <v>WIZARD</v>
      </c>
      <c r="E94" s="19" t="str">
        <f>IF($P94="","",IFERROR(IF(INDEX(MASTER!$F$4:$F$1463,$P94)="","",INDEX(MASTER!$F$4:$F$1463,$P94)),""))</f>
        <v>Ranged DPS</v>
      </c>
      <c r="F94" s="20">
        <f>IF($P94="","",IFERROR(IF(INDEX(MASTER!$G$4:$G$1463,$P94)="","",INDEX(MASTER!$G$4:$G$1463,$P94)),""))</f>
        <v>62466</v>
      </c>
      <c r="G94" s="19" t="str">
        <f>IF($P94="","",IFERROR(IF(INDEX(MASTER!$H$4:$H$1463,$P94)="","",INDEX(MASTER!$H$4:$H$1463,$P94)),""))</f>
        <v>62,000 - 62,999</v>
      </c>
      <c r="H94" s="20">
        <f>IF($P94="","",IFERROR(IF(INDEX(MASTER!$I$4:$I$1463,$P94)="","",INDEX(MASTER!$I$4:$I$1463,$P94)),""))</f>
        <v>980</v>
      </c>
      <c r="I94" s="19" t="str">
        <f>IF($P94="","",IFERROR(IF(INDEX(MASTER!$J$4:$J$1463,$P94)="","",INDEX(MASTER!$J$4:$J$1463,$P94)),""))</f>
        <v>ROOKIE</v>
      </c>
      <c r="J94" s="21">
        <f>IF($P94="","",IFERROR(IF(INDEX(MASTER!$L$4:$L$1463,$P94)="","",INDEX(MASTER!$L$4:$L$1463,$P94)),""))</f>
        <v>3</v>
      </c>
      <c r="K94" s="21">
        <f>IF($P94="","",IFERROR(IF(INDEX(MASTER!$N$4:$N$1463,$P94)="","",INDEX(MASTER!$N$4:$N$1463,$P94)),""))</f>
        <v>28.9</v>
      </c>
      <c r="L94" s="19" t="str">
        <f>IF($P94="","",IFERROR(IF(INDEX(MASTER!$O$4:$O$1463,$P94)="","",INDEX(MASTER!$O$4:$O$1463,$P94)),""))</f>
        <v>C</v>
      </c>
      <c r="M94" s="19">
        <f>IF($P94="","",IFERROR(IF(INDEX(MASTER!$Q$4:$Q$1463,$P94)="","",INDEX(MASTER!$Q$4:$Q$1463,$P94)),""))</f>
        <v>85</v>
      </c>
      <c r="N94" s="19" t="str">
        <f>IF($P94="","",IFERROR(IF(INDEX(MASTER!$S$4:$S$1463,$P94)="","",INDEX(MASTER!$S$4:$S$1463,$P94)),""))</f>
        <v>Complete</v>
      </c>
      <c r="P94">
        <f>IFERROR(MATCH($Q$1&amp;"@86",MASTER!$AC$4:$AC$1463,0),"")</f>
        <v>1261</v>
      </c>
    </row>
    <row r="95" spans="1:16">
      <c r="A95" s="15">
        <f>IF($P95="","",87)</f>
        <v>87</v>
      </c>
      <c r="B95" s="14" t="str">
        <f>IF($P95="","",IFERROR(IF(INDEX(MASTER!$C$4:$C$1463,$P95)="","",INDEX(MASTER!$C$4:$C$1463,$P95)),""))</f>
        <v>Xælsalt3</v>
      </c>
      <c r="C95" s="15" t="str">
        <f>IF($P95="","",IFERROR(IF(INDEX(MASTER!$D$4:$D$1463,$P95)="","",INDEX(MASTER!$D$4:$D$1463,$P95)),""))</f>
        <v/>
      </c>
      <c r="D95" s="15" t="str">
        <f>IF($P95="","",IFERROR(IF(INDEX(MASTER!$E$4:$E$1463,$P95)="","",INDEX(MASTER!$E$4:$E$1463,$P95)),""))</f>
        <v>NECROMANCER</v>
      </c>
      <c r="E95" s="15" t="str">
        <f>IF($P95="","",IFERROR(IF(INDEX(MASTER!$F$4:$F$1463,$P95)="","",INDEX(MASTER!$F$4:$F$1463,$P95)),""))</f>
        <v>Control</v>
      </c>
      <c r="F95" s="16">
        <f>IF($P95="","",IFERROR(IF(INDEX(MASTER!$G$4:$G$1463,$P95)="","",INDEX(MASTER!$G$4:$G$1463,$P95)),""))</f>
        <v>61168</v>
      </c>
      <c r="G95" s="15" t="str">
        <f>IF($P95="","",IFERROR(IF(INDEX(MASTER!$H$4:$H$1463,$P95)="","",INDEX(MASTER!$H$4:$H$1463,$P95)),""))</f>
        <v>61,000 - 61,999</v>
      </c>
      <c r="H95" s="16">
        <f>IF($P95="","",IFERROR(IF(INDEX(MASTER!$I$4:$I$1463,$P95)="","",INDEX(MASTER!$I$4:$I$1463,$P95)),""))</f>
        <v>2157</v>
      </c>
      <c r="I95" s="15" t="str">
        <f>IF($P95="","",IFERROR(IF(INDEX(MASTER!$J$4:$J$1463,$P95)="","",INDEX(MASTER!$J$4:$J$1463,$P95)),""))</f>
        <v>DEVELOPING</v>
      </c>
      <c r="J95" s="17">
        <f>IF($P95="","",IFERROR(IF(INDEX(MASTER!$L$4:$L$1463,$P95)="","",INDEX(MASTER!$L$4:$L$1463,$P95)),""))</f>
        <v>4.2699999999999996</v>
      </c>
      <c r="K95" s="17">
        <f>IF($P95="","",IFERROR(IF(INDEX(MASTER!$N$4:$N$1463,$P95)="","",INDEX(MASTER!$N$4:$N$1463,$P95)),""))</f>
        <v>32.799999999999997</v>
      </c>
      <c r="L95" s="15" t="str">
        <f>IF($P95="","",IFERROR(IF(INDEX(MASTER!$O$4:$O$1463,$P95)="","",INDEX(MASTER!$O$4:$O$1463,$P95)),""))</f>
        <v>C</v>
      </c>
      <c r="M95" s="15">
        <f>IF($P95="","",IFERROR(IF(INDEX(MASTER!$Q$4:$Q$1463,$P95)="","",INDEX(MASTER!$Q$4:$Q$1463,$P95)),""))</f>
        <v>40</v>
      </c>
      <c r="N95" s="15" t="str">
        <f>IF($P95="","",IFERROR(IF(INDEX(MASTER!$S$4:$S$1463,$P95)="","",INDEX(MASTER!$S$4:$S$1463,$P95)),""))</f>
        <v>Complete</v>
      </c>
      <c r="P95">
        <f>IFERROR(MATCH($Q$1&amp;"@87",MASTER!$AC$4:$AC$1463,0),"")</f>
        <v>1294</v>
      </c>
    </row>
    <row r="96" spans="1:16">
      <c r="A96" s="19">
        <f>IF($P96="","",88)</f>
        <v>88</v>
      </c>
      <c r="B96" s="18" t="str">
        <f>IF($P96="","",IFERROR(IF(INDEX(MASTER!$C$4:$C$1463,$P96)="","",INDEX(MASTER!$C$4:$C$1463,$P96)),""))</f>
        <v>Xethea</v>
      </c>
      <c r="C96" s="19" t="str">
        <f>IF($P96="","",IFERROR(IF(INDEX(MASTER!$D$4:$D$1463,$P96)="","",INDEX(MASTER!$D$4:$D$1463,$P96)),""))</f>
        <v/>
      </c>
      <c r="D96" s="19" t="str">
        <f>IF($P96="","",IFERROR(IF(INDEX(MASTER!$E$4:$E$1463,$P96)="","",INDEX(MASTER!$E$4:$E$1463,$P96)),""))</f>
        <v>DEMON HUNTER</v>
      </c>
      <c r="E96" s="19" t="str">
        <f>IF($P96="","",IFERROR(IF(INDEX(MASTER!$F$4:$F$1463,$P96)="","",INDEX(MASTER!$F$4:$F$1463,$P96)),""))</f>
        <v>Ranged DPS</v>
      </c>
      <c r="F96" s="20">
        <f>IF($P96="","",IFERROR(IF(INDEX(MASTER!$G$4:$G$1463,$P96)="","",INDEX(MASTER!$G$4:$G$1463,$P96)),""))</f>
        <v>62674</v>
      </c>
      <c r="G96" s="19" t="str">
        <f>IF($P96="","",IFERROR(IF(INDEX(MASTER!$H$4:$H$1463,$P96)="","",INDEX(MASTER!$H$4:$H$1463,$P96)),""))</f>
        <v>62,000 - 62,999</v>
      </c>
      <c r="H96" s="20">
        <f>IF($P96="","",IFERROR(IF(INDEX(MASTER!$I$4:$I$1463,$P96)="","",INDEX(MASTER!$I$4:$I$1463,$P96)),""))</f>
        <v>2980</v>
      </c>
      <c r="I96" s="19" t="str">
        <f>IF($P96="","",IFERROR(IF(INDEX(MASTER!$J$4:$J$1463,$P96)="","",INDEX(MASTER!$J$4:$J$1463,$P96)),""))</f>
        <v>DEVELOPING</v>
      </c>
      <c r="J96" s="21">
        <f>IF($P96="","",IFERROR(IF(INDEX(MASTER!$L$4:$L$1463,$P96)="","",INDEX(MASTER!$L$4:$L$1463,$P96)),""))</f>
        <v>4.25</v>
      </c>
      <c r="K96" s="21">
        <f>IF($P96="","",IFERROR(IF(INDEX(MASTER!$N$4:$N$1463,$P96)="","",INDEX(MASTER!$N$4:$N$1463,$P96)),""))</f>
        <v>40.299999999999997</v>
      </c>
      <c r="L96" s="19" t="str">
        <f>IF($P96="","",IFERROR(IF(INDEX(MASTER!$O$4:$O$1463,$P96)="","",INDEX(MASTER!$O$4:$O$1463,$P96)),""))</f>
        <v>B</v>
      </c>
      <c r="M96" s="19">
        <f>IF($P96="","",IFERROR(IF(INDEX(MASTER!$Q$4:$Q$1463,$P96)="","",INDEX(MASTER!$Q$4:$Q$1463,$P96)),""))</f>
        <v>16</v>
      </c>
      <c r="N96" s="19" t="str">
        <f>IF($P96="","",IFERROR(IF(INDEX(MASTER!$S$4:$S$1463,$P96)="","",INDEX(MASTER!$S$4:$S$1463,$P96)),""))</f>
        <v>Complete</v>
      </c>
      <c r="P96">
        <f>IFERROR(MATCH($Q$1&amp;"@88",MASTER!$AC$4:$AC$1463,0),"")</f>
        <v>1278</v>
      </c>
    </row>
    <row r="97" spans="1:16">
      <c r="A97" s="15">
        <f>IF($P97="","",89)</f>
        <v>89</v>
      </c>
      <c r="B97" s="14" t="str">
        <f>IF($P97="","",IFERROR(IF(INDEX(MASTER!$C$4:$C$1463,$P97)="","",INDEX(MASTER!$C$4:$C$1463,$P97)),""))</f>
        <v>Zabzy</v>
      </c>
      <c r="C97" s="15" t="str">
        <f>IF($P97="","",IFERROR(IF(INDEX(MASTER!$D$4:$D$1463,$P97)="","",INDEX(MASTER!$D$4:$D$1463,$P97)),""))</f>
        <v/>
      </c>
      <c r="D97" s="15" t="str">
        <f>IF($P97="","",IFERROR(IF(INDEX(MASTER!$E$4:$E$1463,$P97)="","",INDEX(MASTER!$E$4:$E$1463,$P97)),""))</f>
        <v>BARBARIAN</v>
      </c>
      <c r="E97" s="15" t="str">
        <f>IF($P97="","",IFERROR(IF(INDEX(MASTER!$F$4:$F$1463,$P97)="","",INDEX(MASTER!$F$4:$F$1463,$P97)),""))</f>
        <v>Frontline</v>
      </c>
      <c r="F97" s="16">
        <f>IF($P97="","",IFERROR(IF(INDEX(MASTER!$G$4:$G$1463,$P97)="","",INDEX(MASTER!$G$4:$G$1463,$P97)),""))</f>
        <v>61551</v>
      </c>
      <c r="G97" s="15" t="str">
        <f>IF($P97="","",IFERROR(IF(INDEX(MASTER!$H$4:$H$1463,$P97)="","",INDEX(MASTER!$H$4:$H$1463,$P97)),""))</f>
        <v>61,000 - 61,999</v>
      </c>
      <c r="H97" s="16">
        <f>IF($P97="","",IFERROR(IF(INDEX(MASTER!$I$4:$I$1463,$P97)="","",INDEX(MASTER!$I$4:$I$1463,$P97)),""))</f>
        <v>2833</v>
      </c>
      <c r="I97" s="15" t="str">
        <f>IF($P97="","",IFERROR(IF(INDEX(MASTER!$J$4:$J$1463,$P97)="","",INDEX(MASTER!$J$4:$J$1463,$P97)),""))</f>
        <v>DEVELOPING</v>
      </c>
      <c r="J97" s="17">
        <f>IF($P97="","",IFERROR(IF(INDEX(MASTER!$L$4:$L$1463,$P97)="","",INDEX(MASTER!$L$4:$L$1463,$P97)),""))</f>
        <v>5.45</v>
      </c>
      <c r="K97" s="17">
        <f>IF($P97="","",IFERROR(IF(INDEX(MASTER!$N$4:$N$1463,$P97)="","",INDEX(MASTER!$N$4:$N$1463,$P97)),""))</f>
        <v>38.700000000000003</v>
      </c>
      <c r="L97" s="15" t="str">
        <f>IF($P97="","",IFERROR(IF(INDEX(MASTER!$O$4:$O$1463,$P97)="","",INDEX(MASTER!$O$4:$O$1463,$P97)),""))</f>
        <v>B</v>
      </c>
      <c r="M97" s="15">
        <f>IF($P97="","",IFERROR(IF(INDEX(MASTER!$Q$4:$Q$1463,$P97)="","",INDEX(MASTER!$Q$4:$Q$1463,$P97)),""))</f>
        <v>22</v>
      </c>
      <c r="N97" s="15" t="str">
        <f>IF($P97="","",IFERROR(IF(INDEX(MASTER!$S$4:$S$1463,$P97)="","",INDEX(MASTER!$S$4:$S$1463,$P97)),""))</f>
        <v>Complete</v>
      </c>
      <c r="P97">
        <f>IFERROR(MATCH($Q$1&amp;"@89",MASTER!$AC$4:$AC$1463,0),"")</f>
        <v>1310</v>
      </c>
    </row>
    <row r="98" spans="1:16">
      <c r="A98" s="19">
        <f>IF($P98="","",90)</f>
        <v>90</v>
      </c>
      <c r="B98" s="18" t="str">
        <f>IF($P98="","",IFERROR(IF(INDEX(MASTER!$C$4:$C$1463,$P98)="","",INDEX(MASTER!$C$4:$C$1463,$P98)),""))</f>
        <v>ZeddZDeaD</v>
      </c>
      <c r="C98" s="19" t="str">
        <f>IF($P98="","",IFERROR(IF(INDEX(MASTER!$D$4:$D$1463,$P98)="","",INDEX(MASTER!$D$4:$D$1463,$P98)),""))</f>
        <v/>
      </c>
      <c r="D98" s="19" t="str">
        <f>IF($P98="","",IFERROR(IF(INDEX(MASTER!$E$4:$E$1463,$P98)="","",INDEX(MASTER!$E$4:$E$1463,$P98)),""))</f>
        <v>WIZARD</v>
      </c>
      <c r="E98" s="19" t="str">
        <f>IF($P98="","",IFERROR(IF(INDEX(MASTER!$F$4:$F$1463,$P98)="","",INDEX(MASTER!$F$4:$F$1463,$P98)),""))</f>
        <v>Ranged DPS</v>
      </c>
      <c r="F98" s="20">
        <f>IF($P98="","",IFERROR(IF(INDEX(MASTER!$G$4:$G$1463,$P98)="","",INDEX(MASTER!$G$4:$G$1463,$P98)),""))</f>
        <v>58423</v>
      </c>
      <c r="G98" s="19" t="str">
        <f>IF($P98="","",IFERROR(IF(INDEX(MASTER!$H$4:$H$1463,$P98)="","",INDEX(MASTER!$H$4:$H$1463,$P98)),""))</f>
        <v>58,000 - 59,999</v>
      </c>
      <c r="H98" s="20">
        <f>IF($P98="","",IFERROR(IF(INDEX(MASTER!$I$4:$I$1463,$P98)="","",INDEX(MASTER!$I$4:$I$1463,$P98)),""))</f>
        <v>1521</v>
      </c>
      <c r="I98" s="19" t="str">
        <f>IF($P98="","",IFERROR(IF(INDEX(MASTER!$J$4:$J$1463,$P98)="","",INDEX(MASTER!$J$4:$J$1463,$P98)),""))</f>
        <v>ROOKIE</v>
      </c>
      <c r="J98" s="21">
        <f>IF($P98="","",IFERROR(IF(INDEX(MASTER!$L$4:$L$1463,$P98)="","",INDEX(MASTER!$L$4:$L$1463,$P98)),""))</f>
        <v>3.7</v>
      </c>
      <c r="K98" s="21">
        <f>IF($P98="","",IFERROR(IF(INDEX(MASTER!$N$4:$N$1463,$P98)="","",INDEX(MASTER!$N$4:$N$1463,$P98)),""))</f>
        <v>21.8</v>
      </c>
      <c r="L98" s="19" t="str">
        <f>IF($P98="","",IFERROR(IF(INDEX(MASTER!$O$4:$O$1463,$P98)="","",INDEX(MASTER!$O$4:$O$1463,$P98)),""))</f>
        <v>C</v>
      </c>
      <c r="M98" s="19">
        <f>IF($P98="","",IFERROR(IF(INDEX(MASTER!$Q$4:$Q$1463,$P98)="","",INDEX(MASTER!$Q$4:$Q$1463,$P98)),""))</f>
        <v>64</v>
      </c>
      <c r="N98" s="19" t="str">
        <f>IF($P98="","",IFERROR(IF(INDEX(MASTER!$S$4:$S$1463,$P98)="","",INDEX(MASTER!$S$4:$S$1463,$P98)),""))</f>
        <v>Complete</v>
      </c>
      <c r="P98">
        <f>IFERROR(MATCH($Q$1&amp;"@90",MASTER!$AC$4:$AC$1463,0),"")</f>
        <v>1313</v>
      </c>
    </row>
    <row r="99" spans="1:16">
      <c r="A99" s="15">
        <f>IF($P99="","",91)</f>
        <v>91</v>
      </c>
      <c r="B99" s="14" t="str">
        <f>IF($P99="","",IFERROR(IF(INDEX(MASTER!$C$4:$C$1463,$P99)="","",INDEX(MASTER!$C$4:$C$1463,$P99)),""))</f>
        <v>Zein13</v>
      </c>
      <c r="C99" s="15" t="str">
        <f>IF($P99="","",IFERROR(IF(INDEX(MASTER!$D$4:$D$1463,$P99)="","",INDEX(MASTER!$D$4:$D$1463,$P99)),""))</f>
        <v/>
      </c>
      <c r="D99" s="15" t="str">
        <f>IF($P99="","",IFERROR(IF(INDEX(MASTER!$E$4:$E$1463,$P99)="","",INDEX(MASTER!$E$4:$E$1463,$P99)),""))</f>
        <v>BLOOD KNIGHT</v>
      </c>
      <c r="E99" s="15" t="str">
        <f>IF($P99="","",IFERROR(IF(INDEX(MASTER!$F$4:$F$1463,$P99)="","",INDEX(MASTER!$F$4:$F$1463,$P99)),""))</f>
        <v>Frontline</v>
      </c>
      <c r="F99" s="16">
        <f>IF($P99="","",IFERROR(IF(INDEX(MASTER!$G$4:$G$1463,$P99)="","",INDEX(MASTER!$G$4:$G$1463,$P99)),""))</f>
        <v>62508</v>
      </c>
      <c r="G99" s="15" t="str">
        <f>IF($P99="","",IFERROR(IF(INDEX(MASTER!$H$4:$H$1463,$P99)="","",INDEX(MASTER!$H$4:$H$1463,$P99)),""))</f>
        <v>62,000 - 62,999</v>
      </c>
      <c r="H99" s="16">
        <f>IF($P99="","",IFERROR(IF(INDEX(MASTER!$I$4:$I$1463,$P99)="","",INDEX(MASTER!$I$4:$I$1463,$P99)),""))</f>
        <v>1388</v>
      </c>
      <c r="I99" s="15" t="str">
        <f>IF($P99="","",IFERROR(IF(INDEX(MASTER!$J$4:$J$1463,$P99)="","",INDEX(MASTER!$J$4:$J$1463,$P99)),""))</f>
        <v>ROOKIE</v>
      </c>
      <c r="J99" s="17">
        <f>IF($P99="","",IFERROR(IF(INDEX(MASTER!$L$4:$L$1463,$P99)="","",INDEX(MASTER!$L$4:$L$1463,$P99)),""))</f>
        <v>4</v>
      </c>
      <c r="K99" s="17">
        <f>IF($P99="","",IFERROR(IF(INDEX(MASTER!$N$4:$N$1463,$P99)="","",INDEX(MASTER!$N$4:$N$1463,$P99)),""))</f>
        <v>32.5</v>
      </c>
      <c r="L99" s="15" t="str">
        <f>IF($P99="","",IFERROR(IF(INDEX(MASTER!$O$4:$O$1463,$P99)="","",INDEX(MASTER!$O$4:$O$1463,$P99)),""))</f>
        <v>C</v>
      </c>
      <c r="M99" s="15">
        <f>IF($P99="","",IFERROR(IF(INDEX(MASTER!$Q$4:$Q$1463,$P99)="","",INDEX(MASTER!$Q$4:$Q$1463,$P99)),""))</f>
        <v>75</v>
      </c>
      <c r="N99" s="15" t="str">
        <f>IF($P99="","",IFERROR(IF(INDEX(MASTER!$S$4:$S$1463,$P99)="","",INDEX(MASTER!$S$4:$S$1463,$P99)),""))</f>
        <v>Complete</v>
      </c>
      <c r="P99">
        <f>IFERROR(MATCH($Q$1&amp;"@91",MASTER!$AC$4:$AC$1463,0),"")</f>
        <v>1315</v>
      </c>
    </row>
    <row r="100" spans="1:16">
      <c r="A100" s="19">
        <f>IF($P100="","",92)</f>
        <v>92</v>
      </c>
      <c r="B100" s="18" t="str">
        <f>IF($P100="","",IFERROR(IF(INDEX(MASTER!$C$4:$C$1463,$P100)="","",INDEX(MASTER!$C$4:$C$1463,$P100)),""))</f>
        <v>Zujani</v>
      </c>
      <c r="C100" s="19" t="str">
        <f>IF($P100="","",IFERROR(IF(INDEX(MASTER!$D$4:$D$1463,$P100)="","",INDEX(MASTER!$D$4:$D$1463,$P100)),""))</f>
        <v/>
      </c>
      <c r="D100" s="19" t="str">
        <f>IF($P100="","",IFERROR(IF(INDEX(MASTER!$E$4:$E$1463,$P100)="","",INDEX(MASTER!$E$4:$E$1463,$P100)),""))</f>
        <v>WIZARD</v>
      </c>
      <c r="E100" s="19" t="str">
        <f>IF($P100="","",IFERROR(IF(INDEX(MASTER!$F$4:$F$1463,$P100)="","",INDEX(MASTER!$F$4:$F$1463,$P100)),""))</f>
        <v>Ranged DPS</v>
      </c>
      <c r="F100" s="20">
        <f>IF($P100="","",IFERROR(IF(INDEX(MASTER!$G$4:$G$1463,$P100)="","",INDEX(MASTER!$G$4:$G$1463,$P100)),""))</f>
        <v>62066</v>
      </c>
      <c r="G100" s="19" t="str">
        <f>IF($P100="","",IFERROR(IF(INDEX(MASTER!$H$4:$H$1463,$P100)="","",INDEX(MASTER!$H$4:$H$1463,$P100)),""))</f>
        <v>62,000 - 62,999</v>
      </c>
      <c r="H100" s="20">
        <f>IF($P100="","",IFERROR(IF(INDEX(MASTER!$I$4:$I$1463,$P100)="","",INDEX(MASTER!$I$4:$I$1463,$P100)),""))</f>
        <v>2415</v>
      </c>
      <c r="I100" s="19" t="str">
        <f>IF($P100="","",IFERROR(IF(INDEX(MASTER!$J$4:$J$1463,$P100)="","",INDEX(MASTER!$J$4:$J$1463,$P100)),""))</f>
        <v>DEVELOPING</v>
      </c>
      <c r="J100" s="21">
        <f>IF($P100="","",IFERROR(IF(INDEX(MASTER!$L$4:$L$1463,$P100)="","",INDEX(MASTER!$L$4:$L$1463,$P100)),""))</f>
        <v>3.2</v>
      </c>
      <c r="K100" s="21">
        <f>IF($P100="","",IFERROR(IF(INDEX(MASTER!$N$4:$N$1463,$P100)="","",INDEX(MASTER!$N$4:$N$1463,$P100)),""))</f>
        <v>34.5</v>
      </c>
      <c r="L100" s="19" t="str">
        <f>IF($P100="","",IFERROR(IF(INDEX(MASTER!$O$4:$O$1463,$P100)="","",INDEX(MASTER!$O$4:$O$1463,$P100)),""))</f>
        <v>C</v>
      </c>
      <c r="M100" s="19">
        <f>IF($P100="","",IFERROR(IF(INDEX(MASTER!$Q$4:$Q$1463,$P100)="","",INDEX(MASTER!$Q$4:$Q$1463,$P100)),""))</f>
        <v>33</v>
      </c>
      <c r="N100" s="19" t="str">
        <f>IF($P100="","",IFERROR(IF(INDEX(MASTER!$S$4:$S$1463,$P100)="","",INDEX(MASTER!$S$4:$S$1463,$P100)),""))</f>
        <v>Complete</v>
      </c>
      <c r="P100">
        <f>IFERROR(MATCH($Q$1&amp;"@92",MASTER!$AC$4:$AC$1463,0),"")</f>
        <v>1326</v>
      </c>
    </row>
    <row r="101" spans="1:16">
      <c r="A101" s="15">
        <f>IF($P101="","",93)</f>
        <v>93</v>
      </c>
      <c r="B101" s="14" t="str">
        <f>IF($P101="","",IFERROR(IF(INDEX(MASTER!$C$4:$C$1463,$P101)="","",INDEX(MASTER!$C$4:$C$1463,$P101)),""))</f>
        <v>ラレンケせモ尺</v>
      </c>
      <c r="C101" s="15" t="str">
        <f>IF($P101="","",IFERROR(IF(INDEX(MASTER!$D$4:$D$1463,$P101)="","",INDEX(MASTER!$D$4:$D$1463,$P101)),""))</f>
        <v/>
      </c>
      <c r="D101" s="15" t="str">
        <f>IF($P101="","",IFERROR(IF(INDEX(MASTER!$E$4:$E$1463,$P101)="","",INDEX(MASTER!$E$4:$E$1463,$P101)),""))</f>
        <v>NECROMANCER</v>
      </c>
      <c r="E101" s="15" t="str">
        <f>IF($P101="","",IFERROR(IF(INDEX(MASTER!$F$4:$F$1463,$P101)="","",INDEX(MASTER!$F$4:$F$1463,$P101)),""))</f>
        <v>Control</v>
      </c>
      <c r="F101" s="16">
        <f>IF($P101="","",IFERROR(IF(INDEX(MASTER!$G$4:$G$1463,$P101)="","",INDEX(MASTER!$G$4:$G$1463,$P101)),""))</f>
        <v>55058</v>
      </c>
      <c r="G101" s="15" t="str">
        <f>IF($P101="","",IFERROR(IF(INDEX(MASTER!$H$4:$H$1463,$P101)="","",INDEX(MASTER!$H$4:$H$1463,$P101)),""))</f>
        <v>Under 58,000</v>
      </c>
      <c r="H101" s="16">
        <f>IF($P101="","",IFERROR(IF(INDEX(MASTER!$I$4:$I$1463,$P101)="","",INDEX(MASTER!$I$4:$I$1463,$P101)),""))</f>
        <v>1395</v>
      </c>
      <c r="I101" s="15" t="str">
        <f>IF($P101="","",IFERROR(IF(INDEX(MASTER!$J$4:$J$1463,$P101)="","",INDEX(MASTER!$J$4:$J$1463,$P101)),""))</f>
        <v>ROOKIE</v>
      </c>
      <c r="J101" s="17">
        <f>IF($P101="","",IFERROR(IF(INDEX(MASTER!$L$4:$L$1463,$P101)="","",INDEX(MASTER!$L$4:$L$1463,$P101)),""))</f>
        <v>4.2</v>
      </c>
      <c r="K101" s="17">
        <f>IF($P101="","",IFERROR(IF(INDEX(MASTER!$N$4:$N$1463,$P101)="","",INDEX(MASTER!$N$4:$N$1463,$P101)),""))</f>
        <v>13.2</v>
      </c>
      <c r="L101" s="15" t="str">
        <f>IF($P101="","",IFERROR(IF(INDEX(MASTER!$O$4:$O$1463,$P101)="","",INDEX(MASTER!$O$4:$O$1463,$P101)),""))</f>
        <v>D</v>
      </c>
      <c r="M101" s="15">
        <f>IF($P101="","",IFERROR(IF(INDEX(MASTER!$Q$4:$Q$1463,$P101)="","",INDEX(MASTER!$Q$4:$Q$1463,$P101)),""))</f>
        <v>73</v>
      </c>
      <c r="N101" s="15" t="str">
        <f>IF($P101="","",IFERROR(IF(INDEX(MASTER!$S$4:$S$1463,$P101)="","",INDEX(MASTER!$S$4:$S$1463,$P101)),""))</f>
        <v>Complete</v>
      </c>
      <c r="P101">
        <f>IFERROR(MATCH($Q$1&amp;"@93",MASTER!$AC$4:$AC$1463,0),"")</f>
        <v>1356</v>
      </c>
    </row>
    <row r="102" spans="1:16">
      <c r="A102" s="19">
        <f>IF($P102="","",94)</f>
        <v>94</v>
      </c>
      <c r="B102" s="18" t="str">
        <f>IF($P102="","",IFERROR(IF(INDEX(MASTER!$C$4:$C$1463,$P102)="","",INDEX(MASTER!$C$4:$C$1463,$P102)),""))</f>
        <v>乃の尺几</v>
      </c>
      <c r="C102" s="19" t="str">
        <f>IF($P102="","",IFERROR(IF(INDEX(MASTER!$D$4:$D$1463,$P102)="","",INDEX(MASTER!$D$4:$D$1463,$P102)),""))</f>
        <v/>
      </c>
      <c r="D102" s="19" t="str">
        <f>IF($P102="","",IFERROR(IF(INDEX(MASTER!$E$4:$E$1463,$P102)="","",INDEX(MASTER!$E$4:$E$1463,$P102)),""))</f>
        <v>CRUSADER</v>
      </c>
      <c r="E102" s="19" t="str">
        <f>IF($P102="","",IFERROR(IF(INDEX(MASTER!$F$4:$F$1463,$P102)="","",INDEX(MASTER!$F$4:$F$1463,$P102)),""))</f>
        <v>Frontline</v>
      </c>
      <c r="F102" s="20">
        <f>IF($P102="","",IFERROR(IF(INDEX(MASTER!$G$4:$G$1463,$P102)="","",INDEX(MASTER!$G$4:$G$1463,$P102)),""))</f>
        <v>60804</v>
      </c>
      <c r="G102" s="19" t="str">
        <f>IF($P102="","",IFERROR(IF(INDEX(MASTER!$H$4:$H$1463,$P102)="","",INDEX(MASTER!$H$4:$H$1463,$P102)),""))</f>
        <v>60,000 - 60,999</v>
      </c>
      <c r="H102" s="20">
        <f>IF($P102="","",IFERROR(IF(INDEX(MASTER!$I$4:$I$1463,$P102)="","",INDEX(MASTER!$I$4:$I$1463,$P102)),""))</f>
        <v>1610</v>
      </c>
      <c r="I102" s="19" t="str">
        <f>IF($P102="","",IFERROR(IF(INDEX(MASTER!$J$4:$J$1463,$P102)="","",INDEX(MASTER!$J$4:$J$1463,$P102)),""))</f>
        <v>ROOKIE</v>
      </c>
      <c r="J102" s="21">
        <f>IF($P102="","",IFERROR(IF(INDEX(MASTER!$L$4:$L$1463,$P102)="","",INDEX(MASTER!$L$4:$L$1463,$P102)),""))</f>
        <v>3.2</v>
      </c>
      <c r="K102" s="21">
        <f>IF($P102="","",IFERROR(IF(INDEX(MASTER!$N$4:$N$1463,$P102)="","",INDEX(MASTER!$N$4:$N$1463,$P102)),""))</f>
        <v>27.6</v>
      </c>
      <c r="L102" s="19" t="str">
        <f>IF($P102="","",IFERROR(IF(INDEX(MASTER!$O$4:$O$1463,$P102)="","",INDEX(MASTER!$O$4:$O$1463,$P102)),""))</f>
        <v>C</v>
      </c>
      <c r="M102" s="19">
        <f>IF($P102="","",IFERROR(IF(INDEX(MASTER!$Q$4:$Q$1463,$P102)="","",INDEX(MASTER!$Q$4:$Q$1463,$P102)),""))</f>
        <v>60</v>
      </c>
      <c r="N102" s="19" t="str">
        <f>IF($P102="","",IFERROR(IF(INDEX(MASTER!$S$4:$S$1463,$P102)="","",INDEX(MASTER!$S$4:$S$1463,$P102)),""))</f>
        <v>Complete</v>
      </c>
      <c r="P102">
        <f>IFERROR(MATCH($Q$1&amp;"@94",MASTER!$AC$4:$AC$1463,0),"")</f>
        <v>1357</v>
      </c>
    </row>
    <row r="103" spans="1:16">
      <c r="A103" s="15" t="str">
        <f>IF($P103="","",95)</f>
        <v/>
      </c>
      <c r="B103" s="14" t="str">
        <f>IF($P103="","",IFERROR(IF(INDEX(MASTER!$C$4:$C$1463,$P103)="","",INDEX(MASTER!$C$4:$C$1463,$P103)),""))</f>
        <v/>
      </c>
      <c r="C103" s="15" t="str">
        <f>IF($P103="","",IFERROR(IF(INDEX(MASTER!$D$4:$D$1463,$P103)="","",INDEX(MASTER!$D$4:$D$1463,$P103)),""))</f>
        <v/>
      </c>
      <c r="D103" s="15" t="str">
        <f>IF($P103="","",IFERROR(IF(INDEX(MASTER!$E$4:$E$1463,$P103)="","",INDEX(MASTER!$E$4:$E$1463,$P103)),""))</f>
        <v/>
      </c>
      <c r="E103" s="15" t="str">
        <f>IF($P103="","",IFERROR(IF(INDEX(MASTER!$F$4:$F$1463,$P103)="","",INDEX(MASTER!$F$4:$F$1463,$P103)),""))</f>
        <v/>
      </c>
      <c r="F103" s="16" t="str">
        <f>IF($P103="","",IFERROR(IF(INDEX(MASTER!$G$4:$G$1463,$P103)="","",INDEX(MASTER!$G$4:$G$1463,$P103)),""))</f>
        <v/>
      </c>
      <c r="G103" s="15" t="str">
        <f>IF($P103="","",IFERROR(IF(INDEX(MASTER!$H$4:$H$1463,$P103)="","",INDEX(MASTER!$H$4:$H$1463,$P103)),""))</f>
        <v/>
      </c>
      <c r="H103" s="16" t="str">
        <f>IF($P103="","",IFERROR(IF(INDEX(MASTER!$I$4:$I$1463,$P103)="","",INDEX(MASTER!$I$4:$I$1463,$P103)),""))</f>
        <v/>
      </c>
      <c r="I103" s="15" t="str">
        <f>IF($P103="","",IFERROR(IF(INDEX(MASTER!$J$4:$J$1463,$P103)="","",INDEX(MASTER!$J$4:$J$1463,$P103)),""))</f>
        <v/>
      </c>
      <c r="J103" s="17" t="str">
        <f>IF($P103="","",IFERROR(IF(INDEX(MASTER!$L$4:$L$1463,$P103)="","",INDEX(MASTER!$L$4:$L$1463,$P103)),""))</f>
        <v/>
      </c>
      <c r="K103" s="17" t="str">
        <f>IF($P103="","",IFERROR(IF(INDEX(MASTER!$N$4:$N$1463,$P103)="","",INDEX(MASTER!$N$4:$N$1463,$P103)),""))</f>
        <v/>
      </c>
      <c r="L103" s="15" t="str">
        <f>IF($P103="","",IFERROR(IF(INDEX(MASTER!$O$4:$O$1463,$P103)="","",INDEX(MASTER!$O$4:$O$1463,$P103)),""))</f>
        <v/>
      </c>
      <c r="M103" s="15" t="str">
        <f>IF($P103="","",IFERROR(IF(INDEX(MASTER!$Q$4:$Q$1463,$P103)="","",INDEX(MASTER!$Q$4:$Q$1463,$P103)),""))</f>
        <v/>
      </c>
      <c r="N103" s="15" t="str">
        <f>IF($P103="","",IFERROR(IF(INDEX(MASTER!$S$4:$S$1463,$P103)="","",INDEX(MASTER!$S$4:$S$1463,$P103)),""))</f>
        <v/>
      </c>
      <c r="P103" t="str">
        <f>IFERROR(MATCH($Q$1&amp;"@95",MASTER!$AC$4:$AC$1463,0),"")</f>
        <v/>
      </c>
    </row>
    <row r="104" spans="1:16">
      <c r="A104" s="19" t="str">
        <f>IF($P104="","",96)</f>
        <v/>
      </c>
      <c r="B104" s="18" t="str">
        <f>IF($P104="","",IFERROR(IF(INDEX(MASTER!$C$4:$C$1463,$P104)="","",INDEX(MASTER!$C$4:$C$1463,$P104)),""))</f>
        <v/>
      </c>
      <c r="C104" s="19" t="str">
        <f>IF($P104="","",IFERROR(IF(INDEX(MASTER!$D$4:$D$1463,$P104)="","",INDEX(MASTER!$D$4:$D$1463,$P104)),""))</f>
        <v/>
      </c>
      <c r="D104" s="19" t="str">
        <f>IF($P104="","",IFERROR(IF(INDEX(MASTER!$E$4:$E$1463,$P104)="","",INDEX(MASTER!$E$4:$E$1463,$P104)),""))</f>
        <v/>
      </c>
      <c r="E104" s="19" t="str">
        <f>IF($P104="","",IFERROR(IF(INDEX(MASTER!$F$4:$F$1463,$P104)="","",INDEX(MASTER!$F$4:$F$1463,$P104)),""))</f>
        <v/>
      </c>
      <c r="F104" s="20" t="str">
        <f>IF($P104="","",IFERROR(IF(INDEX(MASTER!$G$4:$G$1463,$P104)="","",INDEX(MASTER!$G$4:$G$1463,$P104)),""))</f>
        <v/>
      </c>
      <c r="G104" s="19" t="str">
        <f>IF($P104="","",IFERROR(IF(INDEX(MASTER!$H$4:$H$1463,$P104)="","",INDEX(MASTER!$H$4:$H$1463,$P104)),""))</f>
        <v/>
      </c>
      <c r="H104" s="20" t="str">
        <f>IF($P104="","",IFERROR(IF(INDEX(MASTER!$I$4:$I$1463,$P104)="","",INDEX(MASTER!$I$4:$I$1463,$P104)),""))</f>
        <v/>
      </c>
      <c r="I104" s="19" t="str">
        <f>IF($P104="","",IFERROR(IF(INDEX(MASTER!$J$4:$J$1463,$P104)="","",INDEX(MASTER!$J$4:$J$1463,$P104)),""))</f>
        <v/>
      </c>
      <c r="J104" s="21" t="str">
        <f>IF($P104="","",IFERROR(IF(INDEX(MASTER!$L$4:$L$1463,$P104)="","",INDEX(MASTER!$L$4:$L$1463,$P104)),""))</f>
        <v/>
      </c>
      <c r="K104" s="21" t="str">
        <f>IF($P104="","",IFERROR(IF(INDEX(MASTER!$N$4:$N$1463,$P104)="","",INDEX(MASTER!$N$4:$N$1463,$P104)),""))</f>
        <v/>
      </c>
      <c r="L104" s="19" t="str">
        <f>IF($P104="","",IFERROR(IF(INDEX(MASTER!$O$4:$O$1463,$P104)="","",INDEX(MASTER!$O$4:$O$1463,$P104)),""))</f>
        <v/>
      </c>
      <c r="M104" s="19" t="str">
        <f>IF($P104="","",IFERROR(IF(INDEX(MASTER!$Q$4:$Q$1463,$P104)="","",INDEX(MASTER!$Q$4:$Q$1463,$P104)),""))</f>
        <v/>
      </c>
      <c r="N104" s="19" t="str">
        <f>IF($P104="","",IFERROR(IF(INDEX(MASTER!$S$4:$S$1463,$P104)="","",INDEX(MASTER!$S$4:$S$1463,$P104)),""))</f>
        <v/>
      </c>
      <c r="P104" t="str">
        <f>IFERROR(MATCH($Q$1&amp;"@96",MASTER!$AC$4:$AC$1463,0),"")</f>
        <v/>
      </c>
    </row>
    <row r="105" spans="1:16">
      <c r="A105" s="15" t="str">
        <f>IF($P105="","",97)</f>
        <v/>
      </c>
      <c r="B105" s="14" t="str">
        <f>IF($P105="","",IFERROR(IF(INDEX(MASTER!$C$4:$C$1463,$P105)="","",INDEX(MASTER!$C$4:$C$1463,$P105)),""))</f>
        <v/>
      </c>
      <c r="C105" s="15" t="str">
        <f>IF($P105="","",IFERROR(IF(INDEX(MASTER!$D$4:$D$1463,$P105)="","",INDEX(MASTER!$D$4:$D$1463,$P105)),""))</f>
        <v/>
      </c>
      <c r="D105" s="15" t="str">
        <f>IF($P105="","",IFERROR(IF(INDEX(MASTER!$E$4:$E$1463,$P105)="","",INDEX(MASTER!$E$4:$E$1463,$P105)),""))</f>
        <v/>
      </c>
      <c r="E105" s="15" t="str">
        <f>IF($P105="","",IFERROR(IF(INDEX(MASTER!$F$4:$F$1463,$P105)="","",INDEX(MASTER!$F$4:$F$1463,$P105)),""))</f>
        <v/>
      </c>
      <c r="F105" s="16" t="str">
        <f>IF($P105="","",IFERROR(IF(INDEX(MASTER!$G$4:$G$1463,$P105)="","",INDEX(MASTER!$G$4:$G$1463,$P105)),""))</f>
        <v/>
      </c>
      <c r="G105" s="15" t="str">
        <f>IF($P105="","",IFERROR(IF(INDEX(MASTER!$H$4:$H$1463,$P105)="","",INDEX(MASTER!$H$4:$H$1463,$P105)),""))</f>
        <v/>
      </c>
      <c r="H105" s="16" t="str">
        <f>IF($P105="","",IFERROR(IF(INDEX(MASTER!$I$4:$I$1463,$P105)="","",INDEX(MASTER!$I$4:$I$1463,$P105)),""))</f>
        <v/>
      </c>
      <c r="I105" s="15" t="str">
        <f>IF($P105="","",IFERROR(IF(INDEX(MASTER!$J$4:$J$1463,$P105)="","",INDEX(MASTER!$J$4:$J$1463,$P105)),""))</f>
        <v/>
      </c>
      <c r="J105" s="17" t="str">
        <f>IF($P105="","",IFERROR(IF(INDEX(MASTER!$L$4:$L$1463,$P105)="","",INDEX(MASTER!$L$4:$L$1463,$P105)),""))</f>
        <v/>
      </c>
      <c r="K105" s="17" t="str">
        <f>IF($P105="","",IFERROR(IF(INDEX(MASTER!$N$4:$N$1463,$P105)="","",INDEX(MASTER!$N$4:$N$1463,$P105)),""))</f>
        <v/>
      </c>
      <c r="L105" s="15" t="str">
        <f>IF($P105="","",IFERROR(IF(INDEX(MASTER!$O$4:$O$1463,$P105)="","",INDEX(MASTER!$O$4:$O$1463,$P105)),""))</f>
        <v/>
      </c>
      <c r="M105" s="15" t="str">
        <f>IF($P105="","",IFERROR(IF(INDEX(MASTER!$Q$4:$Q$1463,$P105)="","",INDEX(MASTER!$Q$4:$Q$1463,$P105)),""))</f>
        <v/>
      </c>
      <c r="N105" s="15" t="str">
        <f>IF($P105="","",IFERROR(IF(INDEX(MASTER!$S$4:$S$1463,$P105)="","",INDEX(MASTER!$S$4:$S$1463,$P105)),""))</f>
        <v/>
      </c>
      <c r="P105" t="str">
        <f>IFERROR(MATCH($Q$1&amp;"@97",MASTER!$AC$4:$AC$1463,0),"")</f>
        <v/>
      </c>
    </row>
    <row r="106" spans="1:16">
      <c r="A106" s="19" t="str">
        <f>IF($P106="","",98)</f>
        <v/>
      </c>
      <c r="B106" s="18" t="str">
        <f>IF($P106="","",IFERROR(IF(INDEX(MASTER!$C$4:$C$1463,$P106)="","",INDEX(MASTER!$C$4:$C$1463,$P106)),""))</f>
        <v/>
      </c>
      <c r="C106" s="19" t="str">
        <f>IF($P106="","",IFERROR(IF(INDEX(MASTER!$D$4:$D$1463,$P106)="","",INDEX(MASTER!$D$4:$D$1463,$P106)),""))</f>
        <v/>
      </c>
      <c r="D106" s="19" t="str">
        <f>IF($P106="","",IFERROR(IF(INDEX(MASTER!$E$4:$E$1463,$P106)="","",INDEX(MASTER!$E$4:$E$1463,$P106)),""))</f>
        <v/>
      </c>
      <c r="E106" s="19" t="str">
        <f>IF($P106="","",IFERROR(IF(INDEX(MASTER!$F$4:$F$1463,$P106)="","",INDEX(MASTER!$F$4:$F$1463,$P106)),""))</f>
        <v/>
      </c>
      <c r="F106" s="20" t="str">
        <f>IF($P106="","",IFERROR(IF(INDEX(MASTER!$G$4:$G$1463,$P106)="","",INDEX(MASTER!$G$4:$G$1463,$P106)),""))</f>
        <v/>
      </c>
      <c r="G106" s="19" t="str">
        <f>IF($P106="","",IFERROR(IF(INDEX(MASTER!$H$4:$H$1463,$P106)="","",INDEX(MASTER!$H$4:$H$1463,$P106)),""))</f>
        <v/>
      </c>
      <c r="H106" s="20" t="str">
        <f>IF($P106="","",IFERROR(IF(INDEX(MASTER!$I$4:$I$1463,$P106)="","",INDEX(MASTER!$I$4:$I$1463,$P106)),""))</f>
        <v/>
      </c>
      <c r="I106" s="19" t="str">
        <f>IF($P106="","",IFERROR(IF(INDEX(MASTER!$J$4:$J$1463,$P106)="","",INDEX(MASTER!$J$4:$J$1463,$P106)),""))</f>
        <v/>
      </c>
      <c r="J106" s="21" t="str">
        <f>IF($P106="","",IFERROR(IF(INDEX(MASTER!$L$4:$L$1463,$P106)="","",INDEX(MASTER!$L$4:$L$1463,$P106)),""))</f>
        <v/>
      </c>
      <c r="K106" s="21" t="str">
        <f>IF($P106="","",IFERROR(IF(INDEX(MASTER!$N$4:$N$1463,$P106)="","",INDEX(MASTER!$N$4:$N$1463,$P106)),""))</f>
        <v/>
      </c>
      <c r="L106" s="19" t="str">
        <f>IF($P106="","",IFERROR(IF(INDEX(MASTER!$O$4:$O$1463,$P106)="","",INDEX(MASTER!$O$4:$O$1463,$P106)),""))</f>
        <v/>
      </c>
      <c r="M106" s="19" t="str">
        <f>IF($P106="","",IFERROR(IF(INDEX(MASTER!$Q$4:$Q$1463,$P106)="","",INDEX(MASTER!$Q$4:$Q$1463,$P106)),""))</f>
        <v/>
      </c>
      <c r="N106" s="19" t="str">
        <f>IF($P106="","",IFERROR(IF(INDEX(MASTER!$S$4:$S$1463,$P106)="","",INDEX(MASTER!$S$4:$S$1463,$P106)),""))</f>
        <v/>
      </c>
      <c r="P106" t="str">
        <f>IFERROR(MATCH($Q$1&amp;"@98",MASTER!$AC$4:$AC$1463,0),"")</f>
        <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30" spans="2:7" ht="19.5" customHeight="1">
      <c r="B130" s="91" t="s">
        <v>488</v>
      </c>
      <c r="C130" s="91"/>
      <c r="D130" s="91"/>
      <c r="E130" s="91"/>
      <c r="F130" s="91"/>
      <c r="G130" s="91"/>
    </row>
    <row r="131" spans="2:7" ht="27.75" customHeight="1">
      <c r="B131" s="108" t="s">
        <v>68</v>
      </c>
      <c r="C131" s="108"/>
      <c r="D131" s="13" t="s">
        <v>69</v>
      </c>
      <c r="E131" s="13" t="s">
        <v>64</v>
      </c>
      <c r="F131" s="13" t="s">
        <v>50</v>
      </c>
      <c r="G131" s="13" t="s">
        <v>51</v>
      </c>
    </row>
    <row r="132" spans="2:7">
      <c r="B132" s="105" t="s">
        <v>71</v>
      </c>
      <c r="C132" s="105"/>
      <c r="D132" s="20" t="str">
        <f>IFERROR(INDEX(SETUP!$B$55:$B$64,MATCH($B132,SETUP!$A$55:$A$64,0)),"-")</f>
        <v>Frontline</v>
      </c>
      <c r="E132" s="20">
        <f>COUNTIFS(MASTER!$B:$B,$Q$1,MASTER!$E:$E,$B132)</f>
        <v>15</v>
      </c>
      <c r="F132" s="20">
        <f>IFERROR(ROUND(AVERAGEIFS(MASTER!$I:$I,MASTER!$B:$B,$Q$1,MASTER!$E:$E,$B132),0),"-")</f>
        <v>2417</v>
      </c>
      <c r="G132" s="20">
        <f>IF($E132=0,"-",IFERROR(_xlfn.MAXIFS(MASTER!$I:$I,MASTER!$B:$B,$Q$1,MASTER!$E:$E,$B132),"-"))</f>
        <v>4790</v>
      </c>
    </row>
    <row r="133" spans="2:7">
      <c r="B133" s="106" t="s">
        <v>72</v>
      </c>
      <c r="C133" s="106"/>
      <c r="D133" s="16" t="str">
        <f>IFERROR(INDEX(SETUP!$B$55:$B$64,MATCH($B133,SETUP!$A$55:$A$64,0)),"-")</f>
        <v>Frontline</v>
      </c>
      <c r="E133" s="16">
        <f>COUNTIFS(MASTER!$B:$B,$Q$1,MASTER!$E:$E,$B133)</f>
        <v>7</v>
      </c>
      <c r="F133" s="16">
        <f>IFERROR(ROUND(AVERAGEIFS(MASTER!$I:$I,MASTER!$B:$B,$Q$1,MASTER!$E:$E,$B133),0),"-")</f>
        <v>1540</v>
      </c>
      <c r="G133" s="16">
        <f>IF($E133=0,"-",IFERROR(_xlfn.MAXIFS(MASTER!$I:$I,MASTER!$B:$B,$Q$1,MASTER!$E:$E,$B133),"-"))</f>
        <v>1983</v>
      </c>
    </row>
    <row r="134" spans="2:7">
      <c r="B134" s="105" t="s">
        <v>73</v>
      </c>
      <c r="C134" s="105"/>
      <c r="D134" s="20" t="str">
        <f>IFERROR(INDEX(SETUP!$B$55:$B$64,MATCH($B134,SETUP!$A$55:$A$64,0)),"-")</f>
        <v>Frontline</v>
      </c>
      <c r="E134" s="20">
        <f>COUNTIFS(MASTER!$B:$B,$Q$1,MASTER!$E:$E,$B134)</f>
        <v>5</v>
      </c>
      <c r="F134" s="20">
        <f>IFERROR(ROUND(AVERAGEIFS(MASTER!$I:$I,MASTER!$B:$B,$Q$1,MASTER!$E:$E,$B134),0),"-")</f>
        <v>2457</v>
      </c>
      <c r="G134" s="20">
        <f>IF($E134=0,"-",IFERROR(_xlfn.MAXIFS(MASTER!$I:$I,MASTER!$B:$B,$Q$1,MASTER!$E:$E,$B134),"-"))</f>
        <v>3513</v>
      </c>
    </row>
    <row r="135" spans="2:7">
      <c r="B135" s="106" t="s">
        <v>74</v>
      </c>
      <c r="C135" s="106"/>
      <c r="D135" s="16" t="str">
        <f>IFERROR(INDEX(SETUP!$B$55:$B$64,MATCH($B135,SETUP!$A$55:$A$64,0)),"-")</f>
        <v>Ranged DPS</v>
      </c>
      <c r="E135" s="16">
        <f>COUNTIFS(MASTER!$B:$B,$Q$1,MASTER!$E:$E,$B135)</f>
        <v>6</v>
      </c>
      <c r="F135" s="16">
        <f>IFERROR(ROUND(AVERAGEIFS(MASTER!$I:$I,MASTER!$B:$B,$Q$1,MASTER!$E:$E,$B135),0),"-")</f>
        <v>2893</v>
      </c>
      <c r="G135" s="16">
        <f>IF($E135=0,"-",IFERROR(_xlfn.MAXIFS(MASTER!$I:$I,MASTER!$B:$B,$Q$1,MASTER!$E:$E,$B135),"-"))</f>
        <v>3833</v>
      </c>
    </row>
    <row r="136" spans="2:7">
      <c r="B136" s="105" t="s">
        <v>75</v>
      </c>
      <c r="C136" s="105"/>
      <c r="D136" s="20" t="str">
        <f>IFERROR(INDEX(SETUP!$B$55:$B$64,MATCH($B136,SETUP!$A$55:$A$64,0)),"-")</f>
        <v>Support</v>
      </c>
      <c r="E136" s="20">
        <f>COUNTIFS(MASTER!$B:$B,$Q$1,MASTER!$E:$E,$B136)</f>
        <v>10</v>
      </c>
      <c r="F136" s="20">
        <f>IFERROR(ROUND(AVERAGEIFS(MASTER!$I:$I,MASTER!$B:$B,$Q$1,MASTER!$E:$E,$B136),0),"-")</f>
        <v>2036</v>
      </c>
      <c r="G136" s="20">
        <f>IF($E136=0,"-",IFERROR(_xlfn.MAXIFS(MASTER!$I:$I,MASTER!$B:$B,$Q$1,MASTER!$E:$E,$B136),"-"))</f>
        <v>3894</v>
      </c>
    </row>
    <row r="137" spans="2:7">
      <c r="B137" s="106" t="s">
        <v>76</v>
      </c>
      <c r="C137" s="106"/>
      <c r="D137" s="16" t="str">
        <f>IFERROR(INDEX(SETUP!$B$55:$B$64,MATCH($B137,SETUP!$A$55:$A$64,0)),"-")</f>
        <v>Support</v>
      </c>
      <c r="E137" s="16">
        <f>COUNTIFS(MASTER!$B:$B,$Q$1,MASTER!$E:$E,$B137)</f>
        <v>0</v>
      </c>
      <c r="F137" s="16" t="str">
        <f>IFERROR(ROUND(AVERAGEIFS(MASTER!$I:$I,MASTER!$B:$B,$Q$1,MASTER!$E:$E,$B137),0),"-")</f>
        <v>-</v>
      </c>
      <c r="G137" s="16" t="str">
        <f>IF($E137=0,"-",IFERROR(_xlfn.MAXIFS(MASTER!$I:$I,MASTER!$B:$B,$Q$1,MASTER!$E:$E,$B137),"-"))</f>
        <v>-</v>
      </c>
    </row>
    <row r="138" spans="2:7">
      <c r="B138" s="105" t="s">
        <v>77</v>
      </c>
      <c r="C138" s="105"/>
      <c r="D138" s="20" t="str">
        <f>IFERROR(INDEX(SETUP!$B$55:$B$64,MATCH($B138,SETUP!$A$55:$A$64,0)),"-")</f>
        <v>Control</v>
      </c>
      <c r="E138" s="20">
        <f>COUNTIFS(MASTER!$B:$B,$Q$1,MASTER!$E:$E,$B138)</f>
        <v>16</v>
      </c>
      <c r="F138" s="20">
        <f>IFERROR(ROUND(AVERAGEIFS(MASTER!$I:$I,MASTER!$B:$B,$Q$1,MASTER!$E:$E,$B138),0),"-")</f>
        <v>1457</v>
      </c>
      <c r="G138" s="20">
        <f>IF($E138=0,"-",IFERROR(_xlfn.MAXIFS(MASTER!$I:$I,MASTER!$B:$B,$Q$1,MASTER!$E:$E,$B138),"-"))</f>
        <v>2635</v>
      </c>
    </row>
    <row r="139" spans="2:7">
      <c r="B139" s="106" t="s">
        <v>78</v>
      </c>
      <c r="C139" s="106"/>
      <c r="D139" s="16" t="str">
        <f>IFERROR(INDEX(SETUP!$B$55:$B$64,MATCH($B139,SETUP!$A$55:$A$64,0)),"-")</f>
        <v>Melee DPS</v>
      </c>
      <c r="E139" s="16">
        <f>COUNTIFS(MASTER!$B:$B,$Q$1,MASTER!$E:$E,$B139)</f>
        <v>5</v>
      </c>
      <c r="F139" s="16">
        <f>IFERROR(ROUND(AVERAGEIFS(MASTER!$I:$I,MASTER!$B:$B,$Q$1,MASTER!$E:$E,$B139),0),"-")</f>
        <v>2927</v>
      </c>
      <c r="G139" s="16">
        <f>IF($E139=0,"-",IFERROR(_xlfn.MAXIFS(MASTER!$I:$I,MASTER!$B:$B,$Q$1,MASTER!$E:$E,$B139),"-"))</f>
        <v>3109</v>
      </c>
    </row>
    <row r="140" spans="2:7">
      <c r="B140" s="105" t="s">
        <v>79</v>
      </c>
      <c r="C140" s="105"/>
      <c r="D140" s="20" t="str">
        <f>IFERROR(INDEX(SETUP!$B$55:$B$64,MATCH($B140,SETUP!$A$55:$A$64,0)),"-")</f>
        <v>Control</v>
      </c>
      <c r="E140" s="20">
        <f>COUNTIFS(MASTER!$B:$B,$Q$1,MASTER!$E:$E,$B140)</f>
        <v>20</v>
      </c>
      <c r="F140" s="20">
        <f>IFERROR(ROUND(AVERAGEIFS(MASTER!$I:$I,MASTER!$B:$B,$Q$1,MASTER!$E:$E,$B140),0),"-")</f>
        <v>2088</v>
      </c>
      <c r="G140" s="20">
        <f>IF($E140=0,"-",IFERROR(_xlfn.MAXIFS(MASTER!$I:$I,MASTER!$B:$B,$Q$1,MASTER!$E:$E,$B140),"-"))</f>
        <v>3592</v>
      </c>
    </row>
    <row r="141" spans="2:7">
      <c r="B141" s="106" t="s">
        <v>80</v>
      </c>
      <c r="C141" s="106"/>
      <c r="D141" s="16" t="str">
        <f>IFERROR(INDEX(SETUP!$B$55:$B$64,MATCH($B141,SETUP!$A$55:$A$64,0)),"-")</f>
        <v>Ranged DPS</v>
      </c>
      <c r="E141" s="16">
        <f>COUNTIFS(MASTER!$B:$B,$Q$1,MASTER!$E:$E,$B141)</f>
        <v>9</v>
      </c>
      <c r="F141" s="16">
        <f>IFERROR(ROUND(AVERAGEIFS(MASTER!$I:$I,MASTER!$B:$B,$Q$1,MASTER!$E:$E,$B141),0),"-")</f>
        <v>2039</v>
      </c>
      <c r="G141" s="16">
        <f>IF($E141=0,"-",IFERROR(_xlfn.MAXIFS(MASTER!$I:$I,MASTER!$B:$B,$Q$1,MASTER!$E:$E,$B141),"-"))</f>
        <v>3685</v>
      </c>
    </row>
  </sheetData>
  <autoFilter ref="A8:N127" xr:uid="{00000000-0009-0000-0000-000015000000}"/>
  <mergeCells count="29">
    <mergeCell ref="A1:N1"/>
    <mergeCell ref="A2:N2"/>
    <mergeCell ref="A4:B4"/>
    <mergeCell ref="C4:D4"/>
    <mergeCell ref="E4:F4"/>
    <mergeCell ref="G4:H4"/>
    <mergeCell ref="I4:J4"/>
    <mergeCell ref="K4:L4"/>
    <mergeCell ref="M4:N4"/>
    <mergeCell ref="K5:L5"/>
    <mergeCell ref="M5:N5"/>
    <mergeCell ref="A7:N7"/>
    <mergeCell ref="B130:G130"/>
    <mergeCell ref="B131:C131"/>
    <mergeCell ref="A5:B5"/>
    <mergeCell ref="C5:D5"/>
    <mergeCell ref="E5:F5"/>
    <mergeCell ref="G5:H5"/>
    <mergeCell ref="I5:J5"/>
    <mergeCell ref="B132:C132"/>
    <mergeCell ref="B133:C133"/>
    <mergeCell ref="B134:C134"/>
    <mergeCell ref="B135:C135"/>
    <mergeCell ref="B136:C136"/>
    <mergeCell ref="B137:C137"/>
    <mergeCell ref="B138:C138"/>
    <mergeCell ref="B139:C139"/>
    <mergeCell ref="B140:C140"/>
    <mergeCell ref="B141:C141"/>
  </mergeCells>
  <conditionalFormatting sqref="H9:H127">
    <cfRule type="colorScale" priority="2">
      <colorScale>
        <cfvo type="num" val="0"/>
        <cfvo type="num" val="5000"/>
        <cfvo type="num" val="12600"/>
        <color rgb="FFF8CBAD"/>
        <color rgb="FFFFE699"/>
        <color rgb="FFA9D08E"/>
      </colorScale>
    </cfRule>
  </conditionalFormatting>
  <conditionalFormatting sqref="N9:N127">
    <cfRule type="cellIs" dxfId="3"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1" evalError="1" twoDigitTextYear="1" numberStoredAsText="1" formula="1" formulaRange="1" unlockedFormula="1" emptyCellReference="1" listDataValidation="1" calculatedColumn="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30A0"/>
    <pageSetUpPr fitToPage="1"/>
  </sheetPr>
  <dimension ref="A1:Q145"/>
  <sheetViews>
    <sheetView showGridLines="0" zoomScaleNormal="100" workbookViewId="0">
      <pane xSplit="1" ySplit="8" topLeftCell="B9" activePane="bottomRight" state="frozen"/>
      <selection pane="topRight" activeCell="B1" sqref="B1"/>
      <selection pane="bottomLeft" activeCell="A9" sqref="A9"/>
      <selection pane="bottomRight" sqref="A1:N1"/>
    </sheetView>
  </sheetViews>
  <sheetFormatPr defaultColWidth="8.7109375" defaultRowHeight="15"/>
  <cols>
    <col min="1" max="1" width="5" customWidth="1"/>
    <col min="2" max="2" width="26" customWidth="1"/>
    <col min="3" max="3" width="10" customWidth="1"/>
    <col min="4" max="4" width="16" customWidth="1"/>
    <col min="5" max="5" width="12" customWidth="1"/>
    <col min="6" max="6" width="11" customWidth="1"/>
    <col min="7" max="7" width="16" customWidth="1"/>
    <col min="8" max="8" width="10" customWidth="1"/>
    <col min="9" max="9" width="14" customWidth="1"/>
    <col min="10" max="10" width="11" customWidth="1"/>
    <col min="11" max="11" width="9" customWidth="1"/>
    <col min="12" max="12" width="8" customWidth="1"/>
    <col min="13" max="13" width="11" customWidth="1"/>
    <col min="14" max="14" width="12" customWidth="1"/>
    <col min="16" max="16" width="9" hidden="1" customWidth="1"/>
    <col min="17" max="17" width="13" hidden="1" customWidth="1"/>
  </cols>
  <sheetData>
    <row r="1" spans="1:17" ht="30" customHeight="1">
      <c r="A1" s="92" t="s">
        <v>501</v>
      </c>
      <c r="B1" s="92"/>
      <c r="C1" s="92"/>
      <c r="D1" s="92"/>
      <c r="E1" s="92"/>
      <c r="F1" s="92"/>
      <c r="G1" s="92"/>
      <c r="H1" s="92"/>
      <c r="I1" s="92"/>
      <c r="J1" s="92"/>
      <c r="K1" s="92"/>
      <c r="L1" s="92"/>
      <c r="M1" s="92"/>
      <c r="N1" s="92"/>
      <c r="Q1" t="s">
        <v>118</v>
      </c>
    </row>
    <row r="2" spans="1:17" ht="15.75" customHeight="1">
      <c r="A2" s="93" t="s">
        <v>474</v>
      </c>
      <c r="B2" s="93"/>
      <c r="C2" s="93"/>
      <c r="D2" s="93"/>
      <c r="E2" s="93"/>
      <c r="F2" s="93"/>
      <c r="G2" s="93"/>
      <c r="H2" s="93"/>
      <c r="I2" s="93"/>
      <c r="J2" s="93"/>
      <c r="K2" s="93"/>
      <c r="L2" s="93"/>
      <c r="M2" s="93"/>
      <c r="N2" s="93"/>
    </row>
    <row r="4" spans="1:17">
      <c r="A4" s="98" t="s">
        <v>475</v>
      </c>
      <c r="B4" s="98"/>
      <c r="C4" s="98" t="s">
        <v>476</v>
      </c>
      <c r="D4" s="98"/>
      <c r="E4" s="98" t="s">
        <v>37</v>
      </c>
      <c r="F4" s="98"/>
      <c r="G4" s="98" t="s">
        <v>477</v>
      </c>
      <c r="H4" s="98"/>
      <c r="I4" s="98" t="s">
        <v>478</v>
      </c>
      <c r="J4" s="98"/>
      <c r="K4" s="98" t="s">
        <v>479</v>
      </c>
      <c r="L4" s="98"/>
      <c r="M4" s="98" t="s">
        <v>480</v>
      </c>
      <c r="N4" s="98"/>
    </row>
    <row r="5" spans="1:17" ht="24" customHeight="1">
      <c r="A5" s="95">
        <f>COUNTIF(MASTER!$B:$B,$Q$1)</f>
        <v>98</v>
      </c>
      <c r="B5" s="95"/>
      <c r="C5" s="95">
        <f>COUNTIFS(MASTER!$B:$B,$Q$1,MASTER!$S:$S,"Complete")</f>
        <v>97</v>
      </c>
      <c r="D5" s="95"/>
      <c r="E5" s="95">
        <f>IFERROR(ROUND(AVERAGEIFS(MASTER!$I:$I,MASTER!$B:$B,$Q$1),0),"-")</f>
        <v>2100</v>
      </c>
      <c r="F5" s="95"/>
      <c r="G5" s="95">
        <f>IFERROR(_xlfn.MAXIFS(MASTER!$I:$I,MASTER!$B:$B,$Q$1),"-")</f>
        <v>8652</v>
      </c>
      <c r="H5" s="95"/>
      <c r="I5" s="95">
        <f>COUNTIFS(MASTER!$B:$B,$Q$1,MASTER!$I:$I,"&gt;=10000")</f>
        <v>0</v>
      </c>
      <c r="J5" s="95"/>
      <c r="K5" s="107">
        <f>IFERROR(ROUND(AVERAGEIFS(MASTER!$N:$N,MASTER!$B:$B,$Q$1),1),"-")</f>
        <v>31</v>
      </c>
      <c r="L5" s="107"/>
      <c r="M5" s="95">
        <f>IF($Q$1="FUCT","- ours -",IFERROR(ROUND(AVERAGEIFS(MASTER!$I:$I,MASTER!$B:$B,$Q$1)-AVERAGEIF(MASTER!$B:$B,"FUCT",MASTER!$I:$I),0),"-"))</f>
        <v>-3114</v>
      </c>
      <c r="N5" s="95"/>
    </row>
    <row r="7" spans="1:17" ht="19.5" customHeight="1">
      <c r="A7" s="91" t="s">
        <v>481</v>
      </c>
      <c r="B7" s="91"/>
      <c r="C7" s="91"/>
      <c r="D7" s="91"/>
      <c r="E7" s="91"/>
      <c r="F7" s="91"/>
      <c r="G7" s="91"/>
      <c r="H7" s="91"/>
      <c r="I7" s="91"/>
      <c r="J7" s="91"/>
      <c r="K7" s="91"/>
      <c r="L7" s="91"/>
      <c r="M7" s="91"/>
      <c r="N7" s="91"/>
    </row>
    <row r="8" spans="1:17" ht="27.75" customHeight="1">
      <c r="A8" s="13" t="s">
        <v>127</v>
      </c>
      <c r="B8" s="13" t="s">
        <v>128</v>
      </c>
      <c r="C8" s="13" t="s">
        <v>482</v>
      </c>
      <c r="D8" s="13" t="s">
        <v>68</v>
      </c>
      <c r="E8" s="13" t="s">
        <v>69</v>
      </c>
      <c r="F8" s="13" t="s">
        <v>483</v>
      </c>
      <c r="G8" s="13" t="s">
        <v>484</v>
      </c>
      <c r="H8" s="13" t="s">
        <v>129</v>
      </c>
      <c r="I8" s="13" t="s">
        <v>278</v>
      </c>
      <c r="J8" s="13" t="s">
        <v>485</v>
      </c>
      <c r="K8" s="13" t="s">
        <v>486</v>
      </c>
      <c r="L8" s="13" t="s">
        <v>133</v>
      </c>
      <c r="M8" s="13" t="s">
        <v>487</v>
      </c>
      <c r="N8" s="13" t="s">
        <v>262</v>
      </c>
    </row>
    <row r="9" spans="1:17">
      <c r="A9" s="15">
        <f>IF($P9="","",1)</f>
        <v>1</v>
      </c>
      <c r="B9" s="14" t="str">
        <f>IF($P9="","",IFERROR(IF(INDEX(MASTER!$C$4:$C$1463,$P9)="","",INDEX(MASTER!$C$4:$C$1463,$P9)),""))</f>
        <v>2ndamendment</v>
      </c>
      <c r="C9" s="15" t="str">
        <f>IF($P9="","",IFERROR(IF(INDEX(MASTER!$D$4:$D$1463,$P9)="","",INDEX(MASTER!$D$4:$D$1463,$P9)),""))</f>
        <v/>
      </c>
      <c r="D9" s="15" t="str">
        <f>IF($P9="","",IFERROR(IF(INDEX(MASTER!$E$4:$E$1463,$P9)="","",INDEX(MASTER!$E$4:$E$1463,$P9)),""))</f>
        <v>NECROMANCER</v>
      </c>
      <c r="E9" s="15" t="str">
        <f>IF($P9="","",IFERROR(IF(INDEX(MASTER!$F$4:$F$1463,$P9)="","",INDEX(MASTER!$F$4:$F$1463,$P9)),""))</f>
        <v>Control</v>
      </c>
      <c r="F9" s="16">
        <f>IF($P9="","",IFERROR(IF(INDEX(MASTER!$G$4:$G$1463,$P9)="","",INDEX(MASTER!$G$4:$G$1463,$P9)),""))</f>
        <v>61878</v>
      </c>
      <c r="G9" s="15" t="str">
        <f>IF($P9="","",IFERROR(IF(INDEX(MASTER!$H$4:$H$1463,$P9)="","",INDEX(MASTER!$H$4:$H$1463,$P9)),""))</f>
        <v>61,000 - 61,999</v>
      </c>
      <c r="H9" s="16">
        <f>IF($P9="","",IFERROR(IF(INDEX(MASTER!$I$4:$I$1463,$P9)="","",INDEX(MASTER!$I$4:$I$1463,$P9)),""))</f>
        <v>3654</v>
      </c>
      <c r="I9" s="15" t="str">
        <f>IF($P9="","",IFERROR(IF(INDEX(MASTER!$J$4:$J$1463,$P9)="","",INDEX(MASTER!$J$4:$J$1463,$P9)),""))</f>
        <v>DEVELOPING</v>
      </c>
      <c r="J9" s="17">
        <f>IF($P9="","",IFERROR(IF(INDEX(MASTER!$L$4:$L$1463,$P9)="","",INDEX(MASTER!$L$4:$L$1463,$P9)),""))</f>
        <v>4.25</v>
      </c>
      <c r="K9" s="17">
        <f>IF($P9="","",IFERROR(IF(INDEX(MASTER!$N$4:$N$1463,$P9)="","",INDEX(MASTER!$N$4:$N$1463,$P9)),""))</f>
        <v>41.1</v>
      </c>
      <c r="L9" s="15" t="str">
        <f>IF($P9="","",IFERROR(IF(INDEX(MASTER!$O$4:$O$1463,$P9)="","",INDEX(MASTER!$O$4:$O$1463,$P9)),""))</f>
        <v>B</v>
      </c>
      <c r="M9" s="15">
        <f>IF($P9="","",IFERROR(IF(INDEX(MASTER!$Q$4:$Q$1463,$P9)="","",INDEX(MASTER!$Q$4:$Q$1463,$P9)),""))</f>
        <v>9</v>
      </c>
      <c r="N9" s="15" t="str">
        <f>IF($P9="","",IFERROR(IF(INDEX(MASTER!$S$4:$S$1463,$P9)="","",INDEX(MASTER!$S$4:$S$1463,$P9)),""))</f>
        <v>Complete</v>
      </c>
      <c r="P9">
        <f>IFERROR(MATCH($Q$1&amp;"@1",MASTER!$AC$4:$AC$1463,0),"")</f>
        <v>4</v>
      </c>
    </row>
    <row r="10" spans="1:17">
      <c r="A10" s="19">
        <f>IF($P10="","",2)</f>
        <v>2</v>
      </c>
      <c r="B10" s="18" t="str">
        <f>IF($P10="","",IFERROR(IF(INDEX(MASTER!$C$4:$C$1463,$P10)="","",INDEX(MASTER!$C$4:$C$1463,$P10)),""))</f>
        <v>AdiSkyWraith</v>
      </c>
      <c r="C10" s="19" t="str">
        <f>IF($P10="","",IFERROR(IF(INDEX(MASTER!$D$4:$D$1463,$P10)="","",INDEX(MASTER!$D$4:$D$1463,$P10)),""))</f>
        <v/>
      </c>
      <c r="D10" s="19" t="str">
        <f>IF($P10="","",IFERROR(IF(INDEX(MASTER!$E$4:$E$1463,$P10)="","",INDEX(MASTER!$E$4:$E$1463,$P10)),""))</f>
        <v>TEMPEST</v>
      </c>
      <c r="E10" s="19" t="str">
        <f>IF($P10="","",IFERROR(IF(INDEX(MASTER!$F$4:$F$1463,$P10)="","",INDEX(MASTER!$F$4:$F$1463,$P10)),""))</f>
        <v>Melee DPS</v>
      </c>
      <c r="F10" s="20">
        <f>IF($P10="","",IFERROR(IF(INDEX(MASTER!$G$4:$G$1463,$P10)="","",INDEX(MASTER!$G$4:$G$1463,$P10)),""))</f>
        <v>60968</v>
      </c>
      <c r="G10" s="19" t="str">
        <f>IF($P10="","",IFERROR(IF(INDEX(MASTER!$H$4:$H$1463,$P10)="","",INDEX(MASTER!$H$4:$H$1463,$P10)),""))</f>
        <v>60,000 - 60,999</v>
      </c>
      <c r="H10" s="20">
        <f>IF($P10="","",IFERROR(IF(INDEX(MASTER!$I$4:$I$1463,$P10)="","",INDEX(MASTER!$I$4:$I$1463,$P10)),""))</f>
        <v>560</v>
      </c>
      <c r="I10" s="19" t="str">
        <f>IF($P10="","",IFERROR(IF(INDEX(MASTER!$J$4:$J$1463,$P10)="","",INDEX(MASTER!$J$4:$J$1463,$P10)),""))</f>
        <v>ROOKIE</v>
      </c>
      <c r="J10" s="21">
        <f>IF($P10="","",IFERROR(IF(INDEX(MASTER!$L$4:$L$1463,$P10)="","",INDEX(MASTER!$L$4:$L$1463,$P10)),""))</f>
        <v>2.7</v>
      </c>
      <c r="K10" s="21">
        <f>IF($P10="","",IFERROR(IF(INDEX(MASTER!$N$4:$N$1463,$P10)="","",INDEX(MASTER!$N$4:$N$1463,$P10)),""))</f>
        <v>22.6</v>
      </c>
      <c r="L10" s="19" t="str">
        <f>IF($P10="","",IFERROR(IF(INDEX(MASTER!$O$4:$O$1463,$P10)="","",INDEX(MASTER!$O$4:$O$1463,$P10)),""))</f>
        <v>C</v>
      </c>
      <c r="M10" s="19">
        <f>IF($P10="","",IFERROR(IF(INDEX(MASTER!$Q$4:$Q$1463,$P10)="","",INDEX(MASTER!$Q$4:$Q$1463,$P10)),""))</f>
        <v>95</v>
      </c>
      <c r="N10" s="19" t="str">
        <f>IF($P10="","",IFERROR(IF(INDEX(MASTER!$S$4:$S$1463,$P10)="","",INDEX(MASTER!$S$4:$S$1463,$P10)),""))</f>
        <v>Complete</v>
      </c>
      <c r="P10">
        <f>IFERROR(MATCH($Q$1&amp;"@2",MASTER!$AC$4:$AC$1463,0),"")</f>
        <v>20</v>
      </c>
    </row>
    <row r="11" spans="1:17">
      <c r="A11" s="15">
        <f>IF($P11="","",3)</f>
        <v>3</v>
      </c>
      <c r="B11" s="14" t="str">
        <f>IF($P11="","",IFERROR(IF(INDEX(MASTER!$C$4:$C$1463,$P11)="","",INDEX(MASTER!$C$4:$C$1463,$P11)),""))</f>
        <v>Analstuffer</v>
      </c>
      <c r="C11" s="15" t="str">
        <f>IF($P11="","",IFERROR(IF(INDEX(MASTER!$D$4:$D$1463,$P11)="","",INDEX(MASTER!$D$4:$D$1463,$P11)),""))</f>
        <v/>
      </c>
      <c r="D11" s="15" t="str">
        <f>IF($P11="","",IFERROR(IF(INDEX(MASTER!$E$4:$E$1463,$P11)="","",INDEX(MASTER!$E$4:$E$1463,$P11)),""))</f>
        <v>BARBARIAN</v>
      </c>
      <c r="E11" s="15" t="str">
        <f>IF($P11="","",IFERROR(IF(INDEX(MASTER!$F$4:$F$1463,$P11)="","",INDEX(MASTER!$F$4:$F$1463,$P11)),""))</f>
        <v>Frontline</v>
      </c>
      <c r="F11" s="16">
        <f>IF($P11="","",IFERROR(IF(INDEX(MASTER!$G$4:$G$1463,$P11)="","",INDEX(MASTER!$G$4:$G$1463,$P11)),""))</f>
        <v>60408</v>
      </c>
      <c r="G11" s="15" t="str">
        <f>IF($P11="","",IFERROR(IF(INDEX(MASTER!$H$4:$H$1463,$P11)="","",INDEX(MASTER!$H$4:$H$1463,$P11)),""))</f>
        <v>60,000 - 60,999</v>
      </c>
      <c r="H11" s="16">
        <f>IF($P11="","",IFERROR(IF(INDEX(MASTER!$I$4:$I$1463,$P11)="","",INDEX(MASTER!$I$4:$I$1463,$P11)),""))</f>
        <v>1064</v>
      </c>
      <c r="I11" s="15" t="str">
        <f>IF($P11="","",IFERROR(IF(INDEX(MASTER!$J$4:$J$1463,$P11)="","",INDEX(MASTER!$J$4:$J$1463,$P11)),""))</f>
        <v>ROOKIE</v>
      </c>
      <c r="J11" s="17">
        <f>IF($P11="","",IFERROR(IF(INDEX(MASTER!$L$4:$L$1463,$P11)="","",INDEX(MASTER!$L$4:$L$1463,$P11)),""))</f>
        <v>3</v>
      </c>
      <c r="K11" s="17">
        <f>IF($P11="","",IFERROR(IF(INDEX(MASTER!$N$4:$N$1463,$P11)="","",INDEX(MASTER!$N$4:$N$1463,$P11)),""))</f>
        <v>23.9</v>
      </c>
      <c r="L11" s="15" t="str">
        <f>IF($P11="","",IFERROR(IF(INDEX(MASTER!$O$4:$O$1463,$P11)="","",INDEX(MASTER!$O$4:$O$1463,$P11)),""))</f>
        <v>C</v>
      </c>
      <c r="M11" s="15">
        <f>IF($P11="","",IFERROR(IF(INDEX(MASTER!$Q$4:$Q$1463,$P11)="","",INDEX(MASTER!$Q$4:$Q$1463,$P11)),""))</f>
        <v>80</v>
      </c>
      <c r="N11" s="15" t="str">
        <f>IF($P11="","",IFERROR(IF(INDEX(MASTER!$S$4:$S$1463,$P11)="","",INDEX(MASTER!$S$4:$S$1463,$P11)),""))</f>
        <v>Complete</v>
      </c>
      <c r="P11">
        <f>IFERROR(MATCH($Q$1&amp;"@3",MASTER!$AC$4:$AC$1463,0),"")</f>
        <v>40</v>
      </c>
    </row>
    <row r="12" spans="1:17">
      <c r="A12" s="19">
        <f>IF($P12="","",4)</f>
        <v>4</v>
      </c>
      <c r="B12" s="18" t="str">
        <f>IF($P12="","",IFERROR(IF(INDEX(MASTER!$C$4:$C$1463,$P12)="","",INDEX(MASTER!$C$4:$C$1463,$P12)),""))</f>
        <v>Angrybear</v>
      </c>
      <c r="C12" s="19" t="str">
        <f>IF($P12="","",IFERROR(IF(INDEX(MASTER!$D$4:$D$1463,$P12)="","",INDEX(MASTER!$D$4:$D$1463,$P12)),""))</f>
        <v/>
      </c>
      <c r="D12" s="19" t="str">
        <f>IF($P12="","",IFERROR(IF(INDEX(MASTER!$E$4:$E$1463,$P12)="","",INDEX(MASTER!$E$4:$E$1463,$P12)),""))</f>
        <v>CRUSADER</v>
      </c>
      <c r="E12" s="19" t="str">
        <f>IF($P12="","",IFERROR(IF(INDEX(MASTER!$F$4:$F$1463,$P12)="","",INDEX(MASTER!$F$4:$F$1463,$P12)),""))</f>
        <v>Frontline</v>
      </c>
      <c r="F12" s="20">
        <f>IF($P12="","",IFERROR(IF(INDEX(MASTER!$G$4:$G$1463,$P12)="","",INDEX(MASTER!$G$4:$G$1463,$P12)),""))</f>
        <v>60873</v>
      </c>
      <c r="G12" s="19" t="str">
        <f>IF($P12="","",IFERROR(IF(INDEX(MASTER!$H$4:$H$1463,$P12)="","",INDEX(MASTER!$H$4:$H$1463,$P12)),""))</f>
        <v>60,000 - 60,999</v>
      </c>
      <c r="H12" s="20">
        <f>IF($P12="","",IFERROR(IF(INDEX(MASTER!$I$4:$I$1463,$P12)="","",INDEX(MASTER!$I$4:$I$1463,$P12)),""))</f>
        <v>1103</v>
      </c>
      <c r="I12" s="19" t="str">
        <f>IF($P12="","",IFERROR(IF(INDEX(MASTER!$J$4:$J$1463,$P12)="","",INDEX(MASTER!$J$4:$J$1463,$P12)),""))</f>
        <v>ROOKIE</v>
      </c>
      <c r="J12" s="21">
        <f>IF($P12="","",IFERROR(IF(INDEX(MASTER!$L$4:$L$1463,$P12)="","",INDEX(MASTER!$L$4:$L$1463,$P12)),""))</f>
        <v>3.3</v>
      </c>
      <c r="K12" s="21">
        <f>IF($P12="","",IFERROR(IF(INDEX(MASTER!$N$4:$N$1463,$P12)="","",INDEX(MASTER!$N$4:$N$1463,$P12)),""))</f>
        <v>25.8</v>
      </c>
      <c r="L12" s="19" t="str">
        <f>IF($P12="","",IFERROR(IF(INDEX(MASTER!$O$4:$O$1463,$P12)="","",INDEX(MASTER!$O$4:$O$1463,$P12)),""))</f>
        <v>C</v>
      </c>
      <c r="M12" s="19">
        <f>IF($P12="","",IFERROR(IF(INDEX(MASTER!$Q$4:$Q$1463,$P12)="","",INDEX(MASTER!$Q$4:$Q$1463,$P12)),""))</f>
        <v>76</v>
      </c>
      <c r="N12" s="19" t="str">
        <f>IF($P12="","",IFERROR(IF(INDEX(MASTER!$S$4:$S$1463,$P12)="","",INDEX(MASTER!$S$4:$S$1463,$P12)),""))</f>
        <v>Complete</v>
      </c>
      <c r="P12">
        <f>IFERROR(MATCH($Q$1&amp;"@4",MASTER!$AC$4:$AC$1463,0),"")</f>
        <v>46</v>
      </c>
    </row>
    <row r="13" spans="1:17">
      <c r="A13" s="15">
        <f>IF($P13="","",5)</f>
        <v>5</v>
      </c>
      <c r="B13" s="14" t="str">
        <f>IF($P13="","",IFERROR(IF(INDEX(MASTER!$C$4:$C$1463,$P13)="","",INDEX(MASTER!$C$4:$C$1463,$P13)),""))</f>
        <v>AnitaPain67</v>
      </c>
      <c r="C13" s="15" t="str">
        <f>IF($P13="","",IFERROR(IF(INDEX(MASTER!$D$4:$D$1463,$P13)="","",INDEX(MASTER!$D$4:$D$1463,$P13)),""))</f>
        <v/>
      </c>
      <c r="D13" s="15" t="str">
        <f>IF($P13="","",IFERROR(IF(INDEX(MASTER!$E$4:$E$1463,$P13)="","",INDEX(MASTER!$E$4:$E$1463,$P13)),""))</f>
        <v>WARLOCK</v>
      </c>
      <c r="E13" s="15" t="str">
        <f>IF($P13="","",IFERROR(IF(INDEX(MASTER!$F$4:$F$1463,$P13)="","",INDEX(MASTER!$F$4:$F$1463,$P13)),""))</f>
        <v>Control</v>
      </c>
      <c r="F13" s="16">
        <f>IF($P13="","",IFERROR(IF(INDEX(MASTER!$G$4:$G$1463,$P13)="","",INDEX(MASTER!$G$4:$G$1463,$P13)),""))</f>
        <v>61433</v>
      </c>
      <c r="G13" s="15" t="str">
        <f>IF($P13="","",IFERROR(IF(INDEX(MASTER!$H$4:$H$1463,$P13)="","",INDEX(MASTER!$H$4:$H$1463,$P13)),""))</f>
        <v>61,000 - 61,999</v>
      </c>
      <c r="H13" s="16">
        <f>IF($P13="","",IFERROR(IF(INDEX(MASTER!$I$4:$I$1463,$P13)="","",INDEX(MASTER!$I$4:$I$1463,$P13)),""))</f>
        <v>4749</v>
      </c>
      <c r="I13" s="15" t="str">
        <f>IF($P13="","",IFERROR(IF(INDEX(MASTER!$J$4:$J$1463,$P13)="","",INDEX(MASTER!$J$4:$J$1463,$P13)),""))</f>
        <v>CORE</v>
      </c>
      <c r="J13" s="17">
        <f>IF($P13="","",IFERROR(IF(INDEX(MASTER!$L$4:$L$1463,$P13)="","",INDEX(MASTER!$L$4:$L$1463,$P13)),""))</f>
        <v>6.4</v>
      </c>
      <c r="K13" s="17">
        <f>IF($P13="","",IFERROR(IF(INDEX(MASTER!$N$4:$N$1463,$P13)="","",INDEX(MASTER!$N$4:$N$1463,$P13)),""))</f>
        <v>48.3</v>
      </c>
      <c r="L13" s="15" t="str">
        <f>IF($P13="","",IFERROR(IF(INDEX(MASTER!$O$4:$O$1463,$P13)="","",INDEX(MASTER!$O$4:$O$1463,$P13)),""))</f>
        <v>B</v>
      </c>
      <c r="M13" s="15">
        <f>IF($P13="","",IFERROR(IF(INDEX(MASTER!$Q$4:$Q$1463,$P13)="","",INDEX(MASTER!$Q$4:$Q$1463,$P13)),""))</f>
        <v>5</v>
      </c>
      <c r="N13" s="15" t="str">
        <f>IF($P13="","",IFERROR(IF(INDEX(MASTER!$S$4:$S$1463,$P13)="","",INDEX(MASTER!$S$4:$S$1463,$P13)),""))</f>
        <v>Complete</v>
      </c>
      <c r="P13">
        <f>IFERROR(MATCH($Q$1&amp;"@5",MASTER!$AC$4:$AC$1463,0),"")</f>
        <v>47</v>
      </c>
    </row>
    <row r="14" spans="1:17">
      <c r="A14" s="19">
        <f>IF($P14="","",6)</f>
        <v>6</v>
      </c>
      <c r="B14" s="18" t="str">
        <f>IF($P14="","",IFERROR(IF(INDEX(MASTER!$C$4:$C$1463,$P14)="","",INDEX(MASTER!$C$4:$C$1463,$P14)),""))</f>
        <v>Arcmount</v>
      </c>
      <c r="C14" s="19" t="str">
        <f>IF($P14="","",IFERROR(IF(INDEX(MASTER!$D$4:$D$1463,$P14)="","",INDEX(MASTER!$D$4:$D$1463,$P14)),""))</f>
        <v/>
      </c>
      <c r="D14" s="19" t="str">
        <f>IF($P14="","",IFERROR(IF(INDEX(MASTER!$E$4:$E$1463,$P14)="","",INDEX(MASTER!$E$4:$E$1463,$P14)),""))</f>
        <v>CRUSADER</v>
      </c>
      <c r="E14" s="19" t="str">
        <f>IF($P14="","",IFERROR(IF(INDEX(MASTER!$F$4:$F$1463,$P14)="","",INDEX(MASTER!$F$4:$F$1463,$P14)),""))</f>
        <v>Frontline</v>
      </c>
      <c r="F14" s="20">
        <f>IF($P14="","",IFERROR(IF(INDEX(MASTER!$G$4:$G$1463,$P14)="","",INDEX(MASTER!$G$4:$G$1463,$P14)),""))</f>
        <v>59650</v>
      </c>
      <c r="G14" s="19" t="str">
        <f>IF($P14="","",IFERROR(IF(INDEX(MASTER!$H$4:$H$1463,$P14)="","",INDEX(MASTER!$H$4:$H$1463,$P14)),""))</f>
        <v>58,000 - 59,999</v>
      </c>
      <c r="H14" s="20">
        <f>IF($P14="","",IFERROR(IF(INDEX(MASTER!$I$4:$I$1463,$P14)="","",INDEX(MASTER!$I$4:$I$1463,$P14)),""))</f>
        <v>1630</v>
      </c>
      <c r="I14" s="19" t="str">
        <f>IF($P14="","",IFERROR(IF(INDEX(MASTER!$J$4:$J$1463,$P14)="","",INDEX(MASTER!$J$4:$J$1463,$P14)),""))</f>
        <v>ROOKIE</v>
      </c>
      <c r="J14" s="21">
        <f>IF($P14="","",IFERROR(IF(INDEX(MASTER!$L$4:$L$1463,$P14)="","",INDEX(MASTER!$L$4:$L$1463,$P14)),""))</f>
        <v>3.4</v>
      </c>
      <c r="K14" s="21">
        <f>IF($P14="","",IFERROR(IF(INDEX(MASTER!$N$4:$N$1463,$P14)="","",INDEX(MASTER!$N$4:$N$1463,$P14)),""))</f>
        <v>25</v>
      </c>
      <c r="L14" s="19" t="str">
        <f>IF($P14="","",IFERROR(IF(INDEX(MASTER!$O$4:$O$1463,$P14)="","",INDEX(MASTER!$O$4:$O$1463,$P14)),""))</f>
        <v>C</v>
      </c>
      <c r="M14" s="19">
        <f>IF($P14="","",IFERROR(IF(INDEX(MASTER!$Q$4:$Q$1463,$P14)="","",INDEX(MASTER!$Q$4:$Q$1463,$P14)),""))</f>
        <v>53</v>
      </c>
      <c r="N14" s="19" t="str">
        <f>IF($P14="","",IFERROR(IF(INDEX(MASTER!$S$4:$S$1463,$P14)="","",INDEX(MASTER!$S$4:$S$1463,$P14)),""))</f>
        <v>Complete</v>
      </c>
      <c r="P14">
        <f>IFERROR(MATCH($Q$1&amp;"@6",MASTER!$AC$4:$AC$1463,0),"")</f>
        <v>55</v>
      </c>
    </row>
    <row r="15" spans="1:17">
      <c r="A15" s="15">
        <f>IF($P15="","",7)</f>
        <v>7</v>
      </c>
      <c r="B15" s="14" t="str">
        <f>IF($P15="","",IFERROR(IF(INDEX(MASTER!$C$4:$C$1463,$P15)="","",INDEX(MASTER!$C$4:$C$1463,$P15)),""))</f>
        <v>Arrowchucker</v>
      </c>
      <c r="C15" s="15" t="str">
        <f>IF($P15="","",IFERROR(IF(INDEX(MASTER!$D$4:$D$1463,$P15)="","",INDEX(MASTER!$D$4:$D$1463,$P15)),""))</f>
        <v/>
      </c>
      <c r="D15" s="15" t="str">
        <f>IF($P15="","",IFERROR(IF(INDEX(MASTER!$E$4:$E$1463,$P15)="","",INDEX(MASTER!$E$4:$E$1463,$P15)),""))</f>
        <v>DEMON HUNTER</v>
      </c>
      <c r="E15" s="15" t="str">
        <f>IF($P15="","",IFERROR(IF(INDEX(MASTER!$F$4:$F$1463,$P15)="","",INDEX(MASTER!$F$4:$F$1463,$P15)),""))</f>
        <v>Ranged DPS</v>
      </c>
      <c r="F15" s="16">
        <f>IF($P15="","",IFERROR(IF(INDEX(MASTER!$G$4:$G$1463,$P15)="","",INDEX(MASTER!$G$4:$G$1463,$P15)),""))</f>
        <v>60073</v>
      </c>
      <c r="G15" s="15" t="str">
        <f>IF($P15="","",IFERROR(IF(INDEX(MASTER!$H$4:$H$1463,$P15)="","",INDEX(MASTER!$H$4:$H$1463,$P15)),""))</f>
        <v>60,000 - 60,999</v>
      </c>
      <c r="H15" s="16">
        <f>IF($P15="","",IFERROR(IF(INDEX(MASTER!$I$4:$I$1463,$P15)="","",INDEX(MASTER!$I$4:$I$1463,$P15)),""))</f>
        <v>2500</v>
      </c>
      <c r="I15" s="15" t="str">
        <f>IF($P15="","",IFERROR(IF(INDEX(MASTER!$J$4:$J$1463,$P15)="","",INDEX(MASTER!$J$4:$J$1463,$P15)),""))</f>
        <v>DEVELOPING</v>
      </c>
      <c r="J15" s="17">
        <f>IF($P15="","",IFERROR(IF(INDEX(MASTER!$L$4:$L$1463,$P15)="","",INDEX(MASTER!$L$4:$L$1463,$P15)),""))</f>
        <v>3.6</v>
      </c>
      <c r="K15" s="17">
        <f>IF($P15="","",IFERROR(IF(INDEX(MASTER!$N$4:$N$1463,$P15)="","",INDEX(MASTER!$N$4:$N$1463,$P15)),""))</f>
        <v>30.3</v>
      </c>
      <c r="L15" s="15" t="str">
        <f>IF($P15="","",IFERROR(IF(INDEX(MASTER!$O$4:$O$1463,$P15)="","",INDEX(MASTER!$O$4:$O$1463,$P15)),""))</f>
        <v>C</v>
      </c>
      <c r="M15" s="15">
        <f>IF($P15="","",IFERROR(IF(INDEX(MASTER!$Q$4:$Q$1463,$P15)="","",INDEX(MASTER!$Q$4:$Q$1463,$P15)),""))</f>
        <v>24</v>
      </c>
      <c r="N15" s="15" t="str">
        <f>IF($P15="","",IFERROR(IF(INDEX(MASTER!$S$4:$S$1463,$P15)="","",INDEX(MASTER!$S$4:$S$1463,$P15)),""))</f>
        <v>Complete</v>
      </c>
      <c r="P15">
        <f>IFERROR(MATCH($Q$1&amp;"@7",MASTER!$AC$4:$AC$1463,0),"")</f>
        <v>58</v>
      </c>
    </row>
    <row r="16" spans="1:17">
      <c r="A16" s="19">
        <f>IF($P16="","",8)</f>
        <v>8</v>
      </c>
      <c r="B16" s="18" t="str">
        <f>IF($P16="","",IFERROR(IF(INDEX(MASTER!$C$4:$C$1463,$P16)="","",INDEX(MASTER!$C$4:$C$1463,$P16)),""))</f>
        <v>Athedal</v>
      </c>
      <c r="C16" s="19" t="str">
        <f>IF($P16="","",IFERROR(IF(INDEX(MASTER!$D$4:$D$1463,$P16)="","",INDEX(MASTER!$D$4:$D$1463,$P16)),""))</f>
        <v/>
      </c>
      <c r="D16" s="19" t="str">
        <f>IF($P16="","",IFERROR(IF(INDEX(MASTER!$E$4:$E$1463,$P16)="","",INDEX(MASTER!$E$4:$E$1463,$P16)),""))</f>
        <v>DEMON HUNTER</v>
      </c>
      <c r="E16" s="19" t="str">
        <f>IF($P16="","",IFERROR(IF(INDEX(MASTER!$F$4:$F$1463,$P16)="","",INDEX(MASTER!$F$4:$F$1463,$P16)),""))</f>
        <v>Ranged DPS</v>
      </c>
      <c r="F16" s="20">
        <f>IF($P16="","",IFERROR(IF(INDEX(MASTER!$G$4:$G$1463,$P16)="","",INDEX(MASTER!$G$4:$G$1463,$P16)),""))</f>
        <v>59589</v>
      </c>
      <c r="G16" s="19" t="str">
        <f>IF($P16="","",IFERROR(IF(INDEX(MASTER!$H$4:$H$1463,$P16)="","",INDEX(MASTER!$H$4:$H$1463,$P16)),""))</f>
        <v>58,000 - 59,999</v>
      </c>
      <c r="H16" s="20">
        <f>IF($P16="","",IFERROR(IF(INDEX(MASTER!$I$4:$I$1463,$P16)="","",INDEX(MASTER!$I$4:$I$1463,$P16)),""))</f>
        <v>2153</v>
      </c>
      <c r="I16" s="19" t="str">
        <f>IF($P16="","",IFERROR(IF(INDEX(MASTER!$J$4:$J$1463,$P16)="","",INDEX(MASTER!$J$4:$J$1463,$P16)),""))</f>
        <v>DEVELOPING</v>
      </c>
      <c r="J16" s="21">
        <f>IF($P16="","",IFERROR(IF(INDEX(MASTER!$L$4:$L$1463,$P16)="","",INDEX(MASTER!$L$4:$L$1463,$P16)),""))</f>
        <v>2.6</v>
      </c>
      <c r="K16" s="21">
        <f>IF($P16="","",IFERROR(IF(INDEX(MASTER!$N$4:$N$1463,$P16)="","",INDEX(MASTER!$N$4:$N$1463,$P16)),""))</f>
        <v>25.8</v>
      </c>
      <c r="L16" s="19" t="str">
        <f>IF($P16="","",IFERROR(IF(INDEX(MASTER!$O$4:$O$1463,$P16)="","",INDEX(MASTER!$O$4:$O$1463,$P16)),""))</f>
        <v>C</v>
      </c>
      <c r="M16" s="19">
        <f>IF($P16="","",IFERROR(IF(INDEX(MASTER!$Q$4:$Q$1463,$P16)="","",INDEX(MASTER!$Q$4:$Q$1463,$P16)),""))</f>
        <v>36</v>
      </c>
      <c r="N16" s="19" t="str">
        <f>IF($P16="","",IFERROR(IF(INDEX(MASTER!$S$4:$S$1463,$P16)="","",INDEX(MASTER!$S$4:$S$1463,$P16)),""))</f>
        <v>Complete</v>
      </c>
      <c r="P16">
        <f>IFERROR(MATCH($Q$1&amp;"@8",MASTER!$AC$4:$AC$1463,0),"")</f>
        <v>70</v>
      </c>
    </row>
    <row r="17" spans="1:16">
      <c r="A17" s="15">
        <f>IF($P17="","",9)</f>
        <v>9</v>
      </c>
      <c r="B17" s="14" t="str">
        <f>IF($P17="","",IFERROR(IF(INDEX(MASTER!$C$4:$C$1463,$P17)="","",INDEX(MASTER!$C$4:$C$1463,$P17)),""))</f>
        <v>Auraliss</v>
      </c>
      <c r="C17" s="15" t="str">
        <f>IF($P17="","",IFERROR(IF(INDEX(MASTER!$D$4:$D$1463,$P17)="","",INDEX(MASTER!$D$4:$D$1463,$P17)),""))</f>
        <v>TEMU</v>
      </c>
      <c r="D17" s="15" t="str">
        <f>IF($P17="","",IFERROR(IF(INDEX(MASTER!$E$4:$E$1463,$P17)="","",INDEX(MASTER!$E$4:$E$1463,$P17)),""))</f>
        <v>DEMON HUNTER</v>
      </c>
      <c r="E17" s="15" t="str">
        <f>IF($P17="","",IFERROR(IF(INDEX(MASTER!$F$4:$F$1463,$P17)="","",INDEX(MASTER!$F$4:$F$1463,$P17)),""))</f>
        <v>Ranged DPS</v>
      </c>
      <c r="F17" s="16">
        <f>IF($P17="","",IFERROR(IF(INDEX(MASTER!$G$4:$G$1463,$P17)="","",INDEX(MASTER!$G$4:$G$1463,$P17)),""))</f>
        <v>61946</v>
      </c>
      <c r="G17" s="15" t="str">
        <f>IF($P17="","",IFERROR(IF(INDEX(MASTER!$H$4:$H$1463,$P17)="","",INDEX(MASTER!$H$4:$H$1463,$P17)),""))</f>
        <v>61,000 - 61,999</v>
      </c>
      <c r="H17" s="16">
        <f>IF($P17="","",IFERROR(IF(INDEX(MASTER!$I$4:$I$1463,$P17)="","",INDEX(MASTER!$I$4:$I$1463,$P17)),""))</f>
        <v>3353</v>
      </c>
      <c r="I17" s="15" t="str">
        <f>IF($P17="","",IFERROR(IF(INDEX(MASTER!$J$4:$J$1463,$P17)="","",INDEX(MASTER!$J$4:$J$1463,$P17)),""))</f>
        <v>DEVELOPING</v>
      </c>
      <c r="J17" s="17">
        <f>IF($P17="","",IFERROR(IF(INDEX(MASTER!$L$4:$L$1463,$P17)="","",INDEX(MASTER!$L$4:$L$1463,$P17)),""))</f>
        <v>4.5</v>
      </c>
      <c r="K17" s="17">
        <f>IF($P17="","",IFERROR(IF(INDEX(MASTER!$N$4:$N$1463,$P17)="","",INDEX(MASTER!$N$4:$N$1463,$P17)),""))</f>
        <v>40.4</v>
      </c>
      <c r="L17" s="15" t="str">
        <f>IF($P17="","",IFERROR(IF(INDEX(MASTER!$O$4:$O$1463,$P17)="","",INDEX(MASTER!$O$4:$O$1463,$P17)),""))</f>
        <v>B</v>
      </c>
      <c r="M17" s="15">
        <f>IF($P17="","",IFERROR(IF(INDEX(MASTER!$Q$4:$Q$1463,$P17)="","",INDEX(MASTER!$Q$4:$Q$1463,$P17)),""))</f>
        <v>12</v>
      </c>
      <c r="N17" s="15" t="str">
        <f>IF($P17="","",IFERROR(IF(INDEX(MASTER!$S$4:$S$1463,$P17)="","",INDEX(MASTER!$S$4:$S$1463,$P17)),""))</f>
        <v>Complete</v>
      </c>
      <c r="P17">
        <f>IFERROR(MATCH($Q$1&amp;"@9",MASTER!$AC$4:$AC$1463,0),"")</f>
        <v>78</v>
      </c>
    </row>
    <row r="18" spans="1:16">
      <c r="A18" s="19">
        <f>IF($P18="","",10)</f>
        <v>10</v>
      </c>
      <c r="B18" s="18" t="str">
        <f>IF($P18="","",IFERROR(IF(INDEX(MASTER!$C$4:$C$1463,$P18)="","",INDEX(MASTER!$C$4:$C$1463,$P18)),""))</f>
        <v>Bekham</v>
      </c>
      <c r="C18" s="19" t="str">
        <f>IF($P18="","",IFERROR(IF(INDEX(MASTER!$D$4:$D$1463,$P18)="","",INDEX(MASTER!$D$4:$D$1463,$P18)),""))</f>
        <v/>
      </c>
      <c r="D18" s="19" t="str">
        <f>IF($P18="","",IFERROR(IF(INDEX(MASTER!$E$4:$E$1463,$P18)="","",INDEX(MASTER!$E$4:$E$1463,$P18)),""))</f>
        <v>WARLOCK</v>
      </c>
      <c r="E18" s="19" t="str">
        <f>IF($P18="","",IFERROR(IF(INDEX(MASTER!$F$4:$F$1463,$P18)="","",INDEX(MASTER!$F$4:$F$1463,$P18)),""))</f>
        <v>Control</v>
      </c>
      <c r="F18" s="20">
        <f>IF($P18="","",IFERROR(IF(INDEX(MASTER!$G$4:$G$1463,$P18)="","",INDEX(MASTER!$G$4:$G$1463,$P18)),""))</f>
        <v>59854</v>
      </c>
      <c r="G18" s="19" t="str">
        <f>IF($P18="","",IFERROR(IF(INDEX(MASTER!$H$4:$H$1463,$P18)="","",INDEX(MASTER!$H$4:$H$1463,$P18)),""))</f>
        <v>58,000 - 59,999</v>
      </c>
      <c r="H18" s="20">
        <f>IF($P18="","",IFERROR(IF(INDEX(MASTER!$I$4:$I$1463,$P18)="","",INDEX(MASTER!$I$4:$I$1463,$P18)),""))</f>
        <v>3172</v>
      </c>
      <c r="I18" s="19" t="str">
        <f>IF($P18="","",IFERROR(IF(INDEX(MASTER!$J$4:$J$1463,$P18)="","",INDEX(MASTER!$J$4:$J$1463,$P18)),""))</f>
        <v>DEVELOPING</v>
      </c>
      <c r="J18" s="21">
        <f>IF($P18="","",IFERROR(IF(INDEX(MASTER!$L$4:$L$1463,$P18)="","",INDEX(MASTER!$L$4:$L$1463,$P18)),""))</f>
        <v>3.9</v>
      </c>
      <c r="K18" s="21">
        <f>IF($P18="","",IFERROR(IF(INDEX(MASTER!$N$4:$N$1463,$P18)="","",INDEX(MASTER!$N$4:$N$1463,$P18)),""))</f>
        <v>33.1</v>
      </c>
      <c r="L18" s="19" t="str">
        <f>IF($P18="","",IFERROR(IF(INDEX(MASTER!$O$4:$O$1463,$P18)="","",INDEX(MASTER!$O$4:$O$1463,$P18)),""))</f>
        <v>C</v>
      </c>
      <c r="M18" s="19">
        <f>IF($P18="","",IFERROR(IF(INDEX(MASTER!$Q$4:$Q$1463,$P18)="","",INDEX(MASTER!$Q$4:$Q$1463,$P18)),""))</f>
        <v>15</v>
      </c>
      <c r="N18" s="19" t="str">
        <f>IF($P18="","",IFERROR(IF(INDEX(MASTER!$S$4:$S$1463,$P18)="","",INDEX(MASTER!$S$4:$S$1463,$P18)),""))</f>
        <v>Complete</v>
      </c>
      <c r="P18">
        <f>IFERROR(MATCH($Q$1&amp;"@10",MASTER!$AC$4:$AC$1463,0),"")</f>
        <v>115</v>
      </c>
    </row>
    <row r="19" spans="1:16">
      <c r="A19" s="15">
        <f>IF($P19="","",11)</f>
        <v>11</v>
      </c>
      <c r="B19" s="14" t="str">
        <f>IF($P19="","",IFERROR(IF(INDEX(MASTER!$C$4:$C$1463,$P19)="","",INDEX(MASTER!$C$4:$C$1463,$P19)),""))</f>
        <v>Belburn808</v>
      </c>
      <c r="C19" s="15" t="str">
        <f>IF($P19="","",IFERROR(IF(INDEX(MASTER!$D$4:$D$1463,$P19)="","",INDEX(MASTER!$D$4:$D$1463,$P19)),""))</f>
        <v/>
      </c>
      <c r="D19" s="15" t="str">
        <f>IF($P19="","",IFERROR(IF(INDEX(MASTER!$E$4:$E$1463,$P19)="","",INDEX(MASTER!$E$4:$E$1463,$P19)),""))</f>
        <v>BARBARIAN</v>
      </c>
      <c r="E19" s="15" t="str">
        <f>IF($P19="","",IFERROR(IF(INDEX(MASTER!$F$4:$F$1463,$P19)="","",INDEX(MASTER!$F$4:$F$1463,$P19)),""))</f>
        <v>Frontline</v>
      </c>
      <c r="F19" s="16">
        <f>IF($P19="","",IFERROR(IF(INDEX(MASTER!$G$4:$G$1463,$P19)="","",INDEX(MASTER!$G$4:$G$1463,$P19)),""))</f>
        <v>62949</v>
      </c>
      <c r="G19" s="15" t="str">
        <f>IF($P19="","",IFERROR(IF(INDEX(MASTER!$H$4:$H$1463,$P19)="","",INDEX(MASTER!$H$4:$H$1463,$P19)),""))</f>
        <v>62,000 - 62,999</v>
      </c>
      <c r="H19" s="16">
        <f>IF($P19="","",IFERROR(IF(INDEX(MASTER!$I$4:$I$1463,$P19)="","",INDEX(MASTER!$I$4:$I$1463,$P19)),""))</f>
        <v>3473</v>
      </c>
      <c r="I19" s="15" t="str">
        <f>IF($P19="","",IFERROR(IF(INDEX(MASTER!$J$4:$J$1463,$P19)="","",INDEX(MASTER!$J$4:$J$1463,$P19)),""))</f>
        <v>DEVELOPING</v>
      </c>
      <c r="J19" s="17">
        <f>IF($P19="","",IFERROR(IF(INDEX(MASTER!$L$4:$L$1463,$P19)="","",INDEX(MASTER!$L$4:$L$1463,$P19)),""))</f>
        <v>5.2</v>
      </c>
      <c r="K19" s="17">
        <f>IF($P19="","",IFERROR(IF(INDEX(MASTER!$N$4:$N$1463,$P19)="","",INDEX(MASTER!$N$4:$N$1463,$P19)),""))</f>
        <v>44.7</v>
      </c>
      <c r="L19" s="15" t="str">
        <f>IF($P19="","",IFERROR(IF(INDEX(MASTER!$O$4:$O$1463,$P19)="","",INDEX(MASTER!$O$4:$O$1463,$P19)),""))</f>
        <v>B</v>
      </c>
      <c r="M19" s="15">
        <f>IF($P19="","",IFERROR(IF(INDEX(MASTER!$Q$4:$Q$1463,$P19)="","",INDEX(MASTER!$Q$4:$Q$1463,$P19)),""))</f>
        <v>10</v>
      </c>
      <c r="N19" s="15" t="str">
        <f>IF($P19="","",IFERROR(IF(INDEX(MASTER!$S$4:$S$1463,$P19)="","",INDEX(MASTER!$S$4:$S$1463,$P19)),""))</f>
        <v>Complete</v>
      </c>
      <c r="P19">
        <f>IFERROR(MATCH($Q$1&amp;"@11",MASTER!$AC$4:$AC$1463,0),"")</f>
        <v>117</v>
      </c>
    </row>
    <row r="20" spans="1:16">
      <c r="A20" s="19">
        <f>IF($P20="","",12)</f>
        <v>12</v>
      </c>
      <c r="B20" s="18" t="str">
        <f>IF($P20="","",IFERROR(IF(INDEX(MASTER!$C$4:$C$1463,$P20)="","",INDEX(MASTER!$C$4:$C$1463,$P20)),""))</f>
        <v>BendRlovR</v>
      </c>
      <c r="C20" s="19" t="str">
        <f>IF($P20="","",IFERROR(IF(INDEX(MASTER!$D$4:$D$1463,$P20)="","",INDEX(MASTER!$D$4:$D$1463,$P20)),""))</f>
        <v/>
      </c>
      <c r="D20" s="19" t="str">
        <f>IF($P20="","",IFERROR(IF(INDEX(MASTER!$E$4:$E$1463,$P20)="","",INDEX(MASTER!$E$4:$E$1463,$P20)),""))</f>
        <v>DEMON HUNTER</v>
      </c>
      <c r="E20" s="19" t="str">
        <f>IF($P20="","",IFERROR(IF(INDEX(MASTER!$F$4:$F$1463,$P20)="","",INDEX(MASTER!$F$4:$F$1463,$P20)),""))</f>
        <v>Ranged DPS</v>
      </c>
      <c r="F20" s="20">
        <f>IF($P20="","",IFERROR(IF(INDEX(MASTER!$G$4:$G$1463,$P20)="","",INDEX(MASTER!$G$4:$G$1463,$P20)),""))</f>
        <v>62887</v>
      </c>
      <c r="G20" s="19" t="str">
        <f>IF($P20="","",IFERROR(IF(INDEX(MASTER!$H$4:$H$1463,$P20)="","",INDEX(MASTER!$H$4:$H$1463,$P20)),""))</f>
        <v>62,000 - 62,999</v>
      </c>
      <c r="H20" s="20">
        <f>IF($P20="","",IFERROR(IF(INDEX(MASTER!$I$4:$I$1463,$P20)="","",INDEX(MASTER!$I$4:$I$1463,$P20)),""))</f>
        <v>2687</v>
      </c>
      <c r="I20" s="19" t="str">
        <f>IF($P20="","",IFERROR(IF(INDEX(MASTER!$J$4:$J$1463,$P20)="","",INDEX(MASTER!$J$4:$J$1463,$P20)),""))</f>
        <v>DEVELOPING</v>
      </c>
      <c r="J20" s="21">
        <f>IF($P20="","",IFERROR(IF(INDEX(MASTER!$L$4:$L$1463,$P20)="","",INDEX(MASTER!$L$4:$L$1463,$P20)),""))</f>
        <v>4.0999999999999996</v>
      </c>
      <c r="K20" s="21">
        <f>IF($P20="","",IFERROR(IF(INDEX(MASTER!$N$4:$N$1463,$P20)="","",INDEX(MASTER!$N$4:$N$1463,$P20)),""))</f>
        <v>39.299999999999997</v>
      </c>
      <c r="L20" s="19" t="str">
        <f>IF($P20="","",IFERROR(IF(INDEX(MASTER!$O$4:$O$1463,$P20)="","",INDEX(MASTER!$O$4:$O$1463,$P20)),""))</f>
        <v>B</v>
      </c>
      <c r="M20" s="19">
        <f>IF($P20="","",IFERROR(IF(INDEX(MASTER!$Q$4:$Q$1463,$P20)="","",INDEX(MASTER!$Q$4:$Q$1463,$P20)),""))</f>
        <v>20</v>
      </c>
      <c r="N20" s="19" t="str">
        <f>IF($P20="","",IFERROR(IF(INDEX(MASTER!$S$4:$S$1463,$P20)="","",INDEX(MASTER!$S$4:$S$1463,$P20)),""))</f>
        <v>Complete</v>
      </c>
      <c r="P20">
        <f>IFERROR(MATCH($Q$1&amp;"@12",MASTER!$AC$4:$AC$1463,0),"")</f>
        <v>123</v>
      </c>
    </row>
    <row r="21" spans="1:16">
      <c r="A21" s="15">
        <f>IF($P21="","",13)</f>
        <v>13</v>
      </c>
      <c r="B21" s="14" t="str">
        <f>IF($P21="","",IFERROR(IF(INDEX(MASTER!$C$4:$C$1463,$P21)="","",INDEX(MASTER!$C$4:$C$1463,$P21)),""))</f>
        <v>Blacksitefarms</v>
      </c>
      <c r="C21" s="15" t="str">
        <f>IF($P21="","",IFERROR(IF(INDEX(MASTER!$D$4:$D$1463,$P21)="","",INDEX(MASTER!$D$4:$D$1463,$P21)),""))</f>
        <v/>
      </c>
      <c r="D21" s="15" t="str">
        <f>IF($P21="","",IFERROR(IF(INDEX(MASTER!$E$4:$E$1463,$P21)="","",INDEX(MASTER!$E$4:$E$1463,$P21)),""))</f>
        <v>BARBARIAN</v>
      </c>
      <c r="E21" s="15" t="str">
        <f>IF($P21="","",IFERROR(IF(INDEX(MASTER!$F$4:$F$1463,$P21)="","",INDEX(MASTER!$F$4:$F$1463,$P21)),""))</f>
        <v>Frontline</v>
      </c>
      <c r="F21" s="16">
        <f>IF($P21="","",IFERROR(IF(INDEX(MASTER!$G$4:$G$1463,$P21)="","",INDEX(MASTER!$G$4:$G$1463,$P21)),""))</f>
        <v>61634</v>
      </c>
      <c r="G21" s="15" t="str">
        <f>IF($P21="","",IFERROR(IF(INDEX(MASTER!$H$4:$H$1463,$P21)="","",INDEX(MASTER!$H$4:$H$1463,$P21)),""))</f>
        <v>61,000 - 61,999</v>
      </c>
      <c r="H21" s="16">
        <f>IF($P21="","",IFERROR(IF(INDEX(MASTER!$I$4:$I$1463,$P21)="","",INDEX(MASTER!$I$4:$I$1463,$P21)),""))</f>
        <v>1874</v>
      </c>
      <c r="I21" s="15" t="str">
        <f>IF($P21="","",IFERROR(IF(INDEX(MASTER!$J$4:$J$1463,$P21)="","",INDEX(MASTER!$J$4:$J$1463,$P21)),""))</f>
        <v>ROOKIE</v>
      </c>
      <c r="J21" s="17">
        <f>IF($P21="","",IFERROR(IF(INDEX(MASTER!$L$4:$L$1463,$P21)="","",INDEX(MASTER!$L$4:$L$1463,$P21)),""))</f>
        <v>3.3</v>
      </c>
      <c r="K21" s="17">
        <f>IF($P21="","",IFERROR(IF(INDEX(MASTER!$N$4:$N$1463,$P21)="","",INDEX(MASTER!$N$4:$N$1463,$P21)),""))</f>
        <v>31.1</v>
      </c>
      <c r="L21" s="15" t="str">
        <f>IF($P21="","",IFERROR(IF(INDEX(MASTER!$O$4:$O$1463,$P21)="","",INDEX(MASTER!$O$4:$O$1463,$P21)),""))</f>
        <v>C</v>
      </c>
      <c r="M21" s="15">
        <f>IF($P21="","",IFERROR(IF(INDEX(MASTER!$Q$4:$Q$1463,$P21)="","",INDEX(MASTER!$Q$4:$Q$1463,$P21)),""))</f>
        <v>44</v>
      </c>
      <c r="N21" s="15" t="str">
        <f>IF($P21="","",IFERROR(IF(INDEX(MASTER!$S$4:$S$1463,$P21)="","",INDEX(MASTER!$S$4:$S$1463,$P21)),""))</f>
        <v>Complete</v>
      </c>
      <c r="P21">
        <f>IFERROR(MATCH($Q$1&amp;"@13",MASTER!$AC$4:$AC$1463,0),"")</f>
        <v>141</v>
      </c>
    </row>
    <row r="22" spans="1:16">
      <c r="A22" s="19">
        <f>IF($P22="","",14)</f>
        <v>14</v>
      </c>
      <c r="B22" s="18" t="str">
        <f>IF($P22="","",IFERROR(IF(INDEX(MASTER!$C$4:$C$1463,$P22)="","",INDEX(MASTER!$C$4:$C$1463,$P22)),""))</f>
        <v>BloodWaves</v>
      </c>
      <c r="C22" s="19" t="str">
        <f>IF($P22="","",IFERROR(IF(INDEX(MASTER!$D$4:$D$1463,$P22)="","",INDEX(MASTER!$D$4:$D$1463,$P22)),""))</f>
        <v/>
      </c>
      <c r="D22" s="19" t="str">
        <f>IF($P22="","",IFERROR(IF(INDEX(MASTER!$E$4:$E$1463,$P22)="","",INDEX(MASTER!$E$4:$E$1463,$P22)),""))</f>
        <v>TEMPEST</v>
      </c>
      <c r="E22" s="19" t="str">
        <f>IF($P22="","",IFERROR(IF(INDEX(MASTER!$F$4:$F$1463,$P22)="","",INDEX(MASTER!$F$4:$F$1463,$P22)),""))</f>
        <v>Melee DPS</v>
      </c>
      <c r="F22" s="20">
        <f>IF($P22="","",IFERROR(IF(INDEX(MASTER!$G$4:$G$1463,$P22)="","",INDEX(MASTER!$G$4:$G$1463,$P22)),""))</f>
        <v>62733</v>
      </c>
      <c r="G22" s="19" t="str">
        <f>IF($P22="","",IFERROR(IF(INDEX(MASTER!$H$4:$H$1463,$P22)="","",INDEX(MASTER!$H$4:$H$1463,$P22)),""))</f>
        <v>62,000 - 62,999</v>
      </c>
      <c r="H22" s="20">
        <f>IF($P22="","",IFERROR(IF(INDEX(MASTER!$I$4:$I$1463,$P22)="","",INDEX(MASTER!$I$4:$I$1463,$P22)),""))</f>
        <v>1468</v>
      </c>
      <c r="I22" s="19" t="str">
        <f>IF($P22="","",IFERROR(IF(INDEX(MASTER!$J$4:$J$1463,$P22)="","",INDEX(MASTER!$J$4:$J$1463,$P22)),""))</f>
        <v>ROOKIE</v>
      </c>
      <c r="J22" s="21">
        <f>IF($P22="","",IFERROR(IF(INDEX(MASTER!$L$4:$L$1463,$P22)="","",INDEX(MASTER!$L$4:$L$1463,$P22)),""))</f>
        <v>3.8</v>
      </c>
      <c r="K22" s="21">
        <f>IF($P22="","",IFERROR(IF(INDEX(MASTER!$N$4:$N$1463,$P22)="","",INDEX(MASTER!$N$4:$N$1463,$P22)),""))</f>
        <v>33.1</v>
      </c>
      <c r="L22" s="19" t="str">
        <f>IF($P22="","",IFERROR(IF(INDEX(MASTER!$O$4:$O$1463,$P22)="","",INDEX(MASTER!$O$4:$O$1463,$P22)),""))</f>
        <v>C</v>
      </c>
      <c r="M22" s="19">
        <f>IF($P22="","",IFERROR(IF(INDEX(MASTER!$Q$4:$Q$1463,$P22)="","",INDEX(MASTER!$Q$4:$Q$1463,$P22)),""))</f>
        <v>60</v>
      </c>
      <c r="N22" s="19" t="str">
        <f>IF($P22="","",IFERROR(IF(INDEX(MASTER!$S$4:$S$1463,$P22)="","",INDEX(MASTER!$S$4:$S$1463,$P22)),""))</f>
        <v>Complete</v>
      </c>
      <c r="P22">
        <f>IFERROR(MATCH($Q$1&amp;"@14",MASTER!$AC$4:$AC$1463,0),"")</f>
        <v>146</v>
      </c>
    </row>
    <row r="23" spans="1:16">
      <c r="A23" s="15">
        <f>IF($P23="","",15)</f>
        <v>15</v>
      </c>
      <c r="B23" s="14" t="str">
        <f>IF($P23="","",IFERROR(IF(INDEX(MASTER!$C$4:$C$1463,$P23)="","",INDEX(MASTER!$C$4:$C$1463,$P23)),""))</f>
        <v>BloodyBuddy</v>
      </c>
      <c r="C23" s="15" t="str">
        <f>IF($P23="","",IFERROR(IF(INDEX(MASTER!$D$4:$D$1463,$P23)="","",INDEX(MASTER!$D$4:$D$1463,$P23)),""))</f>
        <v/>
      </c>
      <c r="D23" s="15" t="str">
        <f>IF($P23="","",IFERROR(IF(INDEX(MASTER!$E$4:$E$1463,$P23)="","",INDEX(MASTER!$E$4:$E$1463,$P23)),""))</f>
        <v>TEMPEST</v>
      </c>
      <c r="E23" s="15" t="str">
        <f>IF($P23="","",IFERROR(IF(INDEX(MASTER!$F$4:$F$1463,$P23)="","",INDEX(MASTER!$F$4:$F$1463,$P23)),""))</f>
        <v>Melee DPS</v>
      </c>
      <c r="F23" s="16">
        <f>IF($P23="","",IFERROR(IF(INDEX(MASTER!$G$4:$G$1463,$P23)="","",INDEX(MASTER!$G$4:$G$1463,$P23)),""))</f>
        <v>62648</v>
      </c>
      <c r="G23" s="15" t="str">
        <f>IF($P23="","",IFERROR(IF(INDEX(MASTER!$H$4:$H$1463,$P23)="","",INDEX(MASTER!$H$4:$H$1463,$P23)),""))</f>
        <v>62,000 - 62,999</v>
      </c>
      <c r="H23" s="16">
        <f>IF($P23="","",IFERROR(IF(INDEX(MASTER!$I$4:$I$1463,$P23)="","",INDEX(MASTER!$I$4:$I$1463,$P23)),""))</f>
        <v>2040</v>
      </c>
      <c r="I23" s="15" t="str">
        <f>IF($P23="","",IFERROR(IF(INDEX(MASTER!$J$4:$J$1463,$P23)="","",INDEX(MASTER!$J$4:$J$1463,$P23)),""))</f>
        <v>DEVELOPING</v>
      </c>
      <c r="J23" s="17">
        <f>IF($P23="","",IFERROR(IF(INDEX(MASTER!$L$4:$L$1463,$P23)="","",INDEX(MASTER!$L$4:$L$1463,$P23)),""))</f>
        <v>3.95</v>
      </c>
      <c r="K23" s="17">
        <f>IF($P23="","",IFERROR(IF(INDEX(MASTER!$N$4:$N$1463,$P23)="","",INDEX(MASTER!$N$4:$N$1463,$P23)),""))</f>
        <v>35.6</v>
      </c>
      <c r="L23" s="15" t="str">
        <f>IF($P23="","",IFERROR(IF(INDEX(MASTER!$O$4:$O$1463,$P23)="","",INDEX(MASTER!$O$4:$O$1463,$P23)),""))</f>
        <v>B</v>
      </c>
      <c r="M23" s="15">
        <f>IF($P23="","",IFERROR(IF(INDEX(MASTER!$Q$4:$Q$1463,$P23)="","",INDEX(MASTER!$Q$4:$Q$1463,$P23)),""))</f>
        <v>39</v>
      </c>
      <c r="N23" s="15" t="str">
        <f>IF($P23="","",IFERROR(IF(INDEX(MASTER!$S$4:$S$1463,$P23)="","",INDEX(MASTER!$S$4:$S$1463,$P23)),""))</f>
        <v>Complete</v>
      </c>
      <c r="P23">
        <f>IFERROR(MATCH($Q$1&amp;"@15",MASTER!$AC$4:$AC$1463,0),"")</f>
        <v>149</v>
      </c>
    </row>
    <row r="24" spans="1:16">
      <c r="A24" s="19">
        <f>IF($P24="","",16)</f>
        <v>16</v>
      </c>
      <c r="B24" s="18" t="str">
        <f>IF($P24="","",IFERROR(IF(INDEX(MASTER!$C$4:$C$1463,$P24)="","",INDEX(MASTER!$C$4:$C$1463,$P24)),""))</f>
        <v>BlueNovaJade</v>
      </c>
      <c r="C24" s="19" t="str">
        <f>IF($P24="","",IFERROR(IF(INDEX(MASTER!$D$4:$D$1463,$P24)="","",INDEX(MASTER!$D$4:$D$1463,$P24)),""))</f>
        <v/>
      </c>
      <c r="D24" s="19" t="str">
        <f>IF($P24="","",IFERROR(IF(INDEX(MASTER!$E$4:$E$1463,$P24)="","",INDEX(MASTER!$E$4:$E$1463,$P24)),""))</f>
        <v>WARLOCK</v>
      </c>
      <c r="E24" s="19" t="str">
        <f>IF($P24="","",IFERROR(IF(INDEX(MASTER!$F$4:$F$1463,$P24)="","",INDEX(MASTER!$F$4:$F$1463,$P24)),""))</f>
        <v>Control</v>
      </c>
      <c r="F24" s="20">
        <f>IF($P24="","",IFERROR(IF(INDEX(MASTER!$G$4:$G$1463,$P24)="","",INDEX(MASTER!$G$4:$G$1463,$P24)),""))</f>
        <v>60890</v>
      </c>
      <c r="G24" s="19" t="str">
        <f>IF($P24="","",IFERROR(IF(INDEX(MASTER!$H$4:$H$1463,$P24)="","",INDEX(MASTER!$H$4:$H$1463,$P24)),""))</f>
        <v>60,000 - 60,999</v>
      </c>
      <c r="H24" s="20">
        <f>IF($P24="","",IFERROR(IF(INDEX(MASTER!$I$4:$I$1463,$P24)="","",INDEX(MASTER!$I$4:$I$1463,$P24)),""))</f>
        <v>833</v>
      </c>
      <c r="I24" s="19" t="str">
        <f>IF($P24="","",IFERROR(IF(INDEX(MASTER!$J$4:$J$1463,$P24)="","",INDEX(MASTER!$J$4:$J$1463,$P24)),""))</f>
        <v>ROOKIE</v>
      </c>
      <c r="J24" s="21">
        <f>IF($P24="","",IFERROR(IF(INDEX(MASTER!$L$4:$L$1463,$P24)="","",INDEX(MASTER!$L$4:$L$1463,$P24)),""))</f>
        <v>3</v>
      </c>
      <c r="K24" s="21">
        <f>IF($P24="","",IFERROR(IF(INDEX(MASTER!$N$4:$N$1463,$P24)="","",INDEX(MASTER!$N$4:$N$1463,$P24)),""))</f>
        <v>24.1</v>
      </c>
      <c r="L24" s="19" t="str">
        <f>IF($P24="","",IFERROR(IF(INDEX(MASTER!$O$4:$O$1463,$P24)="","",INDEX(MASTER!$O$4:$O$1463,$P24)),""))</f>
        <v>C</v>
      </c>
      <c r="M24" s="19">
        <f>IF($P24="","",IFERROR(IF(INDEX(MASTER!$Q$4:$Q$1463,$P24)="","",INDEX(MASTER!$Q$4:$Q$1463,$P24)),""))</f>
        <v>88</v>
      </c>
      <c r="N24" s="19" t="str">
        <f>IF($P24="","",IFERROR(IF(INDEX(MASTER!$S$4:$S$1463,$P24)="","",INDEX(MASTER!$S$4:$S$1463,$P24)),""))</f>
        <v>Complete</v>
      </c>
      <c r="P24">
        <f>IFERROR(MATCH($Q$1&amp;"@16",MASTER!$AC$4:$AC$1463,0),"")</f>
        <v>154</v>
      </c>
    </row>
    <row r="25" spans="1:16">
      <c r="A25" s="15">
        <f>IF($P25="","",17)</f>
        <v>17</v>
      </c>
      <c r="B25" s="14" t="str">
        <f>IF($P25="","",IFERROR(IF(INDEX(MASTER!$C$4:$C$1463,$P25)="","",INDEX(MASTER!$C$4:$C$1463,$P25)),""))</f>
        <v>Bonnieee</v>
      </c>
      <c r="C25" s="15" t="str">
        <f>IF($P25="","",IFERROR(IF(INDEX(MASTER!$D$4:$D$1463,$P25)="","",INDEX(MASTER!$D$4:$D$1463,$P25)),""))</f>
        <v/>
      </c>
      <c r="D25" s="15" t="str">
        <f>IF($P25="","",IFERROR(IF(INDEX(MASTER!$E$4:$E$1463,$P25)="","",INDEX(MASTER!$E$4:$E$1463,$P25)),""))</f>
        <v>BARBARIAN</v>
      </c>
      <c r="E25" s="15" t="str">
        <f>IF($P25="","",IFERROR(IF(INDEX(MASTER!$F$4:$F$1463,$P25)="","",INDEX(MASTER!$F$4:$F$1463,$P25)),""))</f>
        <v>Frontline</v>
      </c>
      <c r="F25" s="16">
        <f>IF($P25="","",IFERROR(IF(INDEX(MASTER!$G$4:$G$1463,$P25)="","",INDEX(MASTER!$G$4:$G$1463,$P25)),""))</f>
        <v>57935</v>
      </c>
      <c r="G25" s="15" t="str">
        <f>IF($P25="","",IFERROR(IF(INDEX(MASTER!$H$4:$H$1463,$P25)="","",INDEX(MASTER!$H$4:$H$1463,$P25)),""))</f>
        <v>Under 58,000</v>
      </c>
      <c r="H25" s="16">
        <f>IF($P25="","",IFERROR(IF(INDEX(MASTER!$I$4:$I$1463,$P25)="","",INDEX(MASTER!$I$4:$I$1463,$P25)),""))</f>
        <v>730</v>
      </c>
      <c r="I25" s="15" t="str">
        <f>IF($P25="","",IFERROR(IF(INDEX(MASTER!$J$4:$J$1463,$P25)="","",INDEX(MASTER!$J$4:$J$1463,$P25)),""))</f>
        <v>ROOKIE</v>
      </c>
      <c r="J25" s="17">
        <f>IF($P25="","",IFERROR(IF(INDEX(MASTER!$L$4:$L$1463,$P25)="","",INDEX(MASTER!$L$4:$L$1463,$P25)),""))</f>
        <v>2.7</v>
      </c>
      <c r="K25" s="17">
        <f>IF($P25="","",IFERROR(IF(INDEX(MASTER!$N$4:$N$1463,$P25)="","",INDEX(MASTER!$N$4:$N$1463,$P25)),""))</f>
        <v>15.4</v>
      </c>
      <c r="L25" s="15" t="str">
        <f>IF($P25="","",IFERROR(IF(INDEX(MASTER!$O$4:$O$1463,$P25)="","",INDEX(MASTER!$O$4:$O$1463,$P25)),""))</f>
        <v>D</v>
      </c>
      <c r="M25" s="15">
        <f>IF($P25="","",IFERROR(IF(INDEX(MASTER!$Q$4:$Q$1463,$P25)="","",INDEX(MASTER!$Q$4:$Q$1463,$P25)),""))</f>
        <v>92</v>
      </c>
      <c r="N25" s="15" t="str">
        <f>IF($P25="","",IFERROR(IF(INDEX(MASTER!$S$4:$S$1463,$P25)="","",INDEX(MASTER!$S$4:$S$1463,$P25)),""))</f>
        <v>Complete</v>
      </c>
      <c r="P25">
        <f>IFERROR(MATCH($Q$1&amp;"@17",MASTER!$AC$4:$AC$1463,0),"")</f>
        <v>164</v>
      </c>
    </row>
    <row r="26" spans="1:16">
      <c r="A26" s="19">
        <f>IF($P26="","",18)</f>
        <v>18</v>
      </c>
      <c r="B26" s="18" t="str">
        <f>IF($P26="","",IFERROR(IF(INDEX(MASTER!$C$4:$C$1463,$P26)="","",INDEX(MASTER!$C$4:$C$1463,$P26)),""))</f>
        <v>Boomblaster</v>
      </c>
      <c r="C26" s="19" t="str">
        <f>IF($P26="","",IFERROR(IF(INDEX(MASTER!$D$4:$D$1463,$P26)="","",INDEX(MASTER!$D$4:$D$1463,$P26)),""))</f>
        <v/>
      </c>
      <c r="D26" s="19" t="str">
        <f>IF($P26="","",IFERROR(IF(INDEX(MASTER!$E$4:$E$1463,$P26)="","",INDEX(MASTER!$E$4:$E$1463,$P26)),""))</f>
        <v>BARBARIAN</v>
      </c>
      <c r="E26" s="19" t="str">
        <f>IF($P26="","",IFERROR(IF(INDEX(MASTER!$F$4:$F$1463,$P26)="","",INDEX(MASTER!$F$4:$F$1463,$P26)),""))</f>
        <v>Frontline</v>
      </c>
      <c r="F26" s="20">
        <f>IF($P26="","",IFERROR(IF(INDEX(MASTER!$G$4:$G$1463,$P26)="","",INDEX(MASTER!$G$4:$G$1463,$P26)),""))</f>
        <v>60483</v>
      </c>
      <c r="G26" s="19" t="str">
        <f>IF($P26="","",IFERROR(IF(INDEX(MASTER!$H$4:$H$1463,$P26)="","",INDEX(MASTER!$H$4:$H$1463,$P26)),""))</f>
        <v>60,000 - 60,999</v>
      </c>
      <c r="H26" s="20">
        <f>IF($P26="","",IFERROR(IF(INDEX(MASTER!$I$4:$I$1463,$P26)="","",INDEX(MASTER!$I$4:$I$1463,$P26)),""))</f>
        <v>1031</v>
      </c>
      <c r="I26" s="19" t="str">
        <f>IF($P26="","",IFERROR(IF(INDEX(MASTER!$J$4:$J$1463,$P26)="","",INDEX(MASTER!$J$4:$J$1463,$P26)),""))</f>
        <v>ROOKIE</v>
      </c>
      <c r="J26" s="21">
        <f>IF($P26="","",IFERROR(IF(INDEX(MASTER!$L$4:$L$1463,$P26)="","",INDEX(MASTER!$L$4:$L$1463,$P26)),""))</f>
        <v>2.4</v>
      </c>
      <c r="K26" s="21">
        <f>IF($P26="","",IFERROR(IF(INDEX(MASTER!$N$4:$N$1463,$P26)="","",INDEX(MASTER!$N$4:$N$1463,$P26)),""))</f>
        <v>22.9</v>
      </c>
      <c r="L26" s="19" t="str">
        <f>IF($P26="","",IFERROR(IF(INDEX(MASTER!$O$4:$O$1463,$P26)="","",INDEX(MASTER!$O$4:$O$1463,$P26)),""))</f>
        <v>C</v>
      </c>
      <c r="M26" s="19">
        <f>IF($P26="","",IFERROR(IF(INDEX(MASTER!$Q$4:$Q$1463,$P26)="","",INDEX(MASTER!$Q$4:$Q$1463,$P26)),""))</f>
        <v>83</v>
      </c>
      <c r="N26" s="19" t="str">
        <f>IF($P26="","",IFERROR(IF(INDEX(MASTER!$S$4:$S$1463,$P26)="","",INDEX(MASTER!$S$4:$S$1463,$P26)),""))</f>
        <v>Complete</v>
      </c>
      <c r="P26">
        <f>IFERROR(MATCH($Q$1&amp;"@18",MASTER!$AC$4:$AC$1463,0),"")</f>
        <v>165</v>
      </c>
    </row>
    <row r="27" spans="1:16">
      <c r="A27" s="15">
        <f>IF($P27="","",19)</f>
        <v>19</v>
      </c>
      <c r="B27" s="14" t="str">
        <f>IF($P27="","",IFERROR(IF(INDEX(MASTER!$C$4:$C$1463,$P27)="","",INDEX(MASTER!$C$4:$C$1463,$P27)),""))</f>
        <v>CharlesCrow</v>
      </c>
      <c r="C27" s="15" t="str">
        <f>IF($P27="","",IFERROR(IF(INDEX(MASTER!$D$4:$D$1463,$P27)="","",INDEX(MASTER!$D$4:$D$1463,$P27)),""))</f>
        <v/>
      </c>
      <c r="D27" s="15" t="str">
        <f>IF($P27="","",IFERROR(IF(INDEX(MASTER!$E$4:$E$1463,$P27)="","",INDEX(MASTER!$E$4:$E$1463,$P27)),""))</f>
        <v>TEMPEST</v>
      </c>
      <c r="E27" s="15" t="str">
        <f>IF($P27="","",IFERROR(IF(INDEX(MASTER!$F$4:$F$1463,$P27)="","",INDEX(MASTER!$F$4:$F$1463,$P27)),""))</f>
        <v>Melee DPS</v>
      </c>
      <c r="F27" s="16">
        <f>IF($P27="","",IFERROR(IF(INDEX(MASTER!$G$4:$G$1463,$P27)="","",INDEX(MASTER!$G$4:$G$1463,$P27)),""))</f>
        <v>56907</v>
      </c>
      <c r="G27" s="15" t="str">
        <f>IF($P27="","",IFERROR(IF(INDEX(MASTER!$H$4:$H$1463,$P27)="","",INDEX(MASTER!$H$4:$H$1463,$P27)),""))</f>
        <v>Under 58,000</v>
      </c>
      <c r="H27" s="16">
        <f>IF($P27="","",IFERROR(IF(INDEX(MASTER!$I$4:$I$1463,$P27)="","",INDEX(MASTER!$I$4:$I$1463,$P27)),""))</f>
        <v>1200</v>
      </c>
      <c r="I27" s="15" t="str">
        <f>IF($P27="","",IFERROR(IF(INDEX(MASTER!$J$4:$J$1463,$P27)="","",INDEX(MASTER!$J$4:$J$1463,$P27)),""))</f>
        <v>ROOKIE</v>
      </c>
      <c r="J27" s="17">
        <f>IF($P27="","",IFERROR(IF(INDEX(MASTER!$L$4:$L$1463,$P27)="","",INDEX(MASTER!$L$4:$L$1463,$P27)),""))</f>
        <v>3.6</v>
      </c>
      <c r="K27" s="17">
        <f>IF($P27="","",IFERROR(IF(INDEX(MASTER!$N$4:$N$1463,$P27)="","",INDEX(MASTER!$N$4:$N$1463,$P27)),""))</f>
        <v>16.3</v>
      </c>
      <c r="L27" s="15" t="str">
        <f>IF($P27="","",IFERROR(IF(INDEX(MASTER!$O$4:$O$1463,$P27)="","",INDEX(MASTER!$O$4:$O$1463,$P27)),""))</f>
        <v>D</v>
      </c>
      <c r="M27" s="15">
        <f>IF($P27="","",IFERROR(IF(INDEX(MASTER!$Q$4:$Q$1463,$P27)="","",INDEX(MASTER!$Q$4:$Q$1463,$P27)),""))</f>
        <v>72</v>
      </c>
      <c r="N27" s="15" t="str">
        <f>IF($P27="","",IFERROR(IF(INDEX(MASTER!$S$4:$S$1463,$P27)="","",INDEX(MASTER!$S$4:$S$1463,$P27)),""))</f>
        <v>Complete</v>
      </c>
      <c r="P27">
        <f>IFERROR(MATCH($Q$1&amp;"@19",MASTER!$AC$4:$AC$1463,0),"")</f>
        <v>203</v>
      </c>
    </row>
    <row r="28" spans="1:16">
      <c r="A28" s="19">
        <f>IF($P28="","",20)</f>
        <v>20</v>
      </c>
      <c r="B28" s="18" t="str">
        <f>IF($P28="","",IFERROR(IF(INDEX(MASTER!$C$4:$C$1463,$P28)="","",INDEX(MASTER!$C$4:$C$1463,$P28)),""))</f>
        <v>CookinBaconNekit</v>
      </c>
      <c r="C28" s="19" t="str">
        <f>IF($P28="","",IFERROR(IF(INDEX(MASTER!$D$4:$D$1463,$P28)="","",INDEX(MASTER!$D$4:$D$1463,$P28)),""))</f>
        <v/>
      </c>
      <c r="D28" s="19" t="str">
        <f>IF($P28="","",IFERROR(IF(INDEX(MASTER!$E$4:$E$1463,$P28)="","",INDEX(MASTER!$E$4:$E$1463,$P28)),""))</f>
        <v>BARBARIAN</v>
      </c>
      <c r="E28" s="19" t="str">
        <f>IF($P28="","",IFERROR(IF(INDEX(MASTER!$F$4:$F$1463,$P28)="","",INDEX(MASTER!$F$4:$F$1463,$P28)),""))</f>
        <v>Frontline</v>
      </c>
      <c r="F28" s="20">
        <f>IF($P28="","",IFERROR(IF(INDEX(MASTER!$G$4:$G$1463,$P28)="","",INDEX(MASTER!$G$4:$G$1463,$P28)),""))</f>
        <v>63251</v>
      </c>
      <c r="G28" s="19" t="str">
        <f>IF($P28="","",IFERROR(IF(INDEX(MASTER!$H$4:$H$1463,$P28)="","",INDEX(MASTER!$H$4:$H$1463,$P28)),""))</f>
        <v>63,000 - 63,999</v>
      </c>
      <c r="H28" s="20">
        <f>IF($P28="","",IFERROR(IF(INDEX(MASTER!$I$4:$I$1463,$P28)="","",INDEX(MASTER!$I$4:$I$1463,$P28)),""))</f>
        <v>7277</v>
      </c>
      <c r="I28" s="19" t="str">
        <f>IF($P28="","",IFERROR(IF(INDEX(MASTER!$J$4:$J$1463,$P28)="","",INDEX(MASTER!$J$4:$J$1463,$P28)),""))</f>
        <v>VETERAN</v>
      </c>
      <c r="J28" s="21">
        <f>IF($P28="","",IFERROR(IF(INDEX(MASTER!$L$4:$L$1463,$P28)="","",INDEX(MASTER!$L$4:$L$1463,$P28)),""))</f>
        <v>6.33</v>
      </c>
      <c r="K28" s="21">
        <f>IF($P28="","",IFERROR(IF(INDEX(MASTER!$N$4:$N$1463,$P28)="","",INDEX(MASTER!$N$4:$N$1463,$P28)),""))</f>
        <v>64</v>
      </c>
      <c r="L28" s="19" t="str">
        <f>IF($P28="","",IFERROR(IF(INDEX(MASTER!$O$4:$O$1463,$P28)="","",INDEX(MASTER!$O$4:$O$1463,$P28)),""))</f>
        <v>A</v>
      </c>
      <c r="M28" s="19">
        <f>IF($P28="","",IFERROR(IF(INDEX(MASTER!$Q$4:$Q$1463,$P28)="","",INDEX(MASTER!$Q$4:$Q$1463,$P28)),""))</f>
        <v>3</v>
      </c>
      <c r="N28" s="19" t="str">
        <f>IF($P28="","",IFERROR(IF(INDEX(MASTER!$S$4:$S$1463,$P28)="","",INDEX(MASTER!$S$4:$S$1463,$P28)),""))</f>
        <v>Complete</v>
      </c>
      <c r="P28">
        <f>IFERROR(MATCH($Q$1&amp;"@20",MASTER!$AC$4:$AC$1463,0),"")</f>
        <v>228</v>
      </c>
    </row>
    <row r="29" spans="1:16">
      <c r="A29" s="15">
        <f>IF($P29="","",21)</f>
        <v>21</v>
      </c>
      <c r="B29" s="14" t="str">
        <f>IF($P29="","",IFERROR(IF(INDEX(MASTER!$C$4:$C$1463,$P29)="","",INDEX(MASTER!$C$4:$C$1463,$P29)),""))</f>
        <v>Corporatocracy</v>
      </c>
      <c r="C29" s="15" t="str">
        <f>IF($P29="","",IFERROR(IF(INDEX(MASTER!$D$4:$D$1463,$P29)="","",INDEX(MASTER!$D$4:$D$1463,$P29)),""))</f>
        <v/>
      </c>
      <c r="D29" s="15" t="str">
        <f>IF($P29="","",IFERROR(IF(INDEX(MASTER!$E$4:$E$1463,$P29)="","",INDEX(MASTER!$E$4:$E$1463,$P29)),""))</f>
        <v>WIZARD</v>
      </c>
      <c r="E29" s="15" t="str">
        <f>IF($P29="","",IFERROR(IF(INDEX(MASTER!$F$4:$F$1463,$P29)="","",INDEX(MASTER!$F$4:$F$1463,$P29)),""))</f>
        <v>Ranged DPS</v>
      </c>
      <c r="F29" s="16">
        <f>IF($P29="","",IFERROR(IF(INDEX(MASTER!$G$4:$G$1463,$P29)="","",INDEX(MASTER!$G$4:$G$1463,$P29)),""))</f>
        <v>62457</v>
      </c>
      <c r="G29" s="15" t="str">
        <f>IF($P29="","",IFERROR(IF(INDEX(MASTER!$H$4:$H$1463,$P29)="","",INDEX(MASTER!$H$4:$H$1463,$P29)),""))</f>
        <v>62,000 - 62,999</v>
      </c>
      <c r="H29" s="16">
        <f>IF($P29="","",IFERROR(IF(INDEX(MASTER!$I$4:$I$1463,$P29)="","",INDEX(MASTER!$I$4:$I$1463,$P29)),""))</f>
        <v>1820</v>
      </c>
      <c r="I29" s="15" t="str">
        <f>IF($P29="","",IFERROR(IF(INDEX(MASTER!$J$4:$J$1463,$P29)="","",INDEX(MASTER!$J$4:$J$1463,$P29)),""))</f>
        <v>ROOKIE</v>
      </c>
      <c r="J29" s="17">
        <f>IF($P29="","",IFERROR(IF(INDEX(MASTER!$L$4:$L$1463,$P29)="","",INDEX(MASTER!$L$4:$L$1463,$P29)),""))</f>
        <v>4</v>
      </c>
      <c r="K29" s="17">
        <f>IF($P29="","",IFERROR(IF(INDEX(MASTER!$N$4:$N$1463,$P29)="","",INDEX(MASTER!$N$4:$N$1463,$P29)),""))</f>
        <v>34.200000000000003</v>
      </c>
      <c r="L29" s="15" t="str">
        <f>IF($P29="","",IFERROR(IF(INDEX(MASTER!$O$4:$O$1463,$P29)="","",INDEX(MASTER!$O$4:$O$1463,$P29)),""))</f>
        <v>C</v>
      </c>
      <c r="M29" s="15">
        <f>IF($P29="","",IFERROR(IF(INDEX(MASTER!$Q$4:$Q$1463,$P29)="","",INDEX(MASTER!$Q$4:$Q$1463,$P29)),""))</f>
        <v>47</v>
      </c>
      <c r="N29" s="15" t="str">
        <f>IF($P29="","",IFERROR(IF(INDEX(MASTER!$S$4:$S$1463,$P29)="","",INDEX(MASTER!$S$4:$S$1463,$P29)),""))</f>
        <v>Complete</v>
      </c>
      <c r="P29">
        <f>IFERROR(MATCH($Q$1&amp;"@21",MASTER!$AC$4:$AC$1463,0),"")</f>
        <v>229</v>
      </c>
    </row>
    <row r="30" spans="1:16">
      <c r="A30" s="19">
        <f>IF($P30="","",22)</f>
        <v>22</v>
      </c>
      <c r="B30" s="18" t="str">
        <f>IF($P30="","",IFERROR(IF(INDEX(MASTER!$C$4:$C$1463,$P30)="","",INDEX(MASTER!$C$4:$C$1463,$P30)),""))</f>
        <v>Cotillion</v>
      </c>
      <c r="C30" s="19" t="str">
        <f>IF($P30="","",IFERROR(IF(INDEX(MASTER!$D$4:$D$1463,$P30)="","",INDEX(MASTER!$D$4:$D$1463,$P30)),""))</f>
        <v/>
      </c>
      <c r="D30" s="19" t="str">
        <f>IF($P30="","",IFERROR(IF(INDEX(MASTER!$E$4:$E$1463,$P30)="","",INDEX(MASTER!$E$4:$E$1463,$P30)),""))</f>
        <v>WARLOCK</v>
      </c>
      <c r="E30" s="19" t="str">
        <f>IF($P30="","",IFERROR(IF(INDEX(MASTER!$F$4:$F$1463,$P30)="","",INDEX(MASTER!$F$4:$F$1463,$P30)),""))</f>
        <v>Control</v>
      </c>
      <c r="F30" s="20">
        <f>IF($P30="","",IFERROR(IF(INDEX(MASTER!$G$4:$G$1463,$P30)="","",INDEX(MASTER!$G$4:$G$1463,$P30)),""))</f>
        <v>58140</v>
      </c>
      <c r="G30" s="19" t="str">
        <f>IF($P30="","",IFERROR(IF(INDEX(MASTER!$H$4:$H$1463,$P30)="","",INDEX(MASTER!$H$4:$H$1463,$P30)),""))</f>
        <v>58,000 - 59,999</v>
      </c>
      <c r="H30" s="20">
        <f>IF($P30="","",IFERROR(IF(INDEX(MASTER!$I$4:$I$1463,$P30)="","",INDEX(MASTER!$I$4:$I$1463,$P30)),""))</f>
        <v>1035</v>
      </c>
      <c r="I30" s="19" t="str">
        <f>IF($P30="","",IFERROR(IF(INDEX(MASTER!$J$4:$J$1463,$P30)="","",INDEX(MASTER!$J$4:$J$1463,$P30)),""))</f>
        <v>ROOKIE</v>
      </c>
      <c r="J30" s="21">
        <f>IF($P30="","",IFERROR(IF(INDEX(MASTER!$L$4:$L$1463,$P30)="","",INDEX(MASTER!$L$4:$L$1463,$P30)),""))</f>
        <v>4</v>
      </c>
      <c r="K30" s="21">
        <f>IF($P30="","",IFERROR(IF(INDEX(MASTER!$N$4:$N$1463,$P30)="","",INDEX(MASTER!$N$4:$N$1463,$P30)),""))</f>
        <v>19.399999999999999</v>
      </c>
      <c r="L30" s="19" t="str">
        <f>IF($P30="","",IFERROR(IF(INDEX(MASTER!$O$4:$O$1463,$P30)="","",INDEX(MASTER!$O$4:$O$1463,$P30)),""))</f>
        <v>D</v>
      </c>
      <c r="M30" s="19">
        <f>IF($P30="","",IFERROR(IF(INDEX(MASTER!$Q$4:$Q$1463,$P30)="","",INDEX(MASTER!$Q$4:$Q$1463,$P30)),""))</f>
        <v>82</v>
      </c>
      <c r="N30" s="19" t="str">
        <f>IF($P30="","",IFERROR(IF(INDEX(MASTER!$S$4:$S$1463,$P30)="","",INDEX(MASTER!$S$4:$S$1463,$P30)),""))</f>
        <v>Complete</v>
      </c>
      <c r="P30">
        <f>IFERROR(MATCH($Q$1&amp;"@22",MASTER!$AC$4:$AC$1463,0),"")</f>
        <v>230</v>
      </c>
    </row>
    <row r="31" spans="1:16">
      <c r="A31" s="15">
        <f>IF($P31="","",23)</f>
        <v>23</v>
      </c>
      <c r="B31" s="14" t="str">
        <f>IF($P31="","",IFERROR(IF(INDEX(MASTER!$C$4:$C$1463,$P31)="","",INDEX(MASTER!$C$4:$C$1463,$P31)),""))</f>
        <v>DeathSpike</v>
      </c>
      <c r="C31" s="15" t="str">
        <f>IF($P31="","",IFERROR(IF(INDEX(MASTER!$D$4:$D$1463,$P31)="","",INDEX(MASTER!$D$4:$D$1463,$P31)),""))</f>
        <v/>
      </c>
      <c r="D31" s="15" t="str">
        <f>IF($P31="","",IFERROR(IF(INDEX(MASTER!$E$4:$E$1463,$P31)="","",INDEX(MASTER!$E$4:$E$1463,$P31)),""))</f>
        <v>BLOOD KNIGHT</v>
      </c>
      <c r="E31" s="15" t="str">
        <f>IF($P31="","",IFERROR(IF(INDEX(MASTER!$F$4:$F$1463,$P31)="","",INDEX(MASTER!$F$4:$F$1463,$P31)),""))</f>
        <v>Frontline</v>
      </c>
      <c r="F31" s="16">
        <f>IF($P31="","",IFERROR(IF(INDEX(MASTER!$G$4:$G$1463,$P31)="","",INDEX(MASTER!$G$4:$G$1463,$P31)),""))</f>
        <v>60259</v>
      </c>
      <c r="G31" s="15" t="str">
        <f>IF($P31="","",IFERROR(IF(INDEX(MASTER!$H$4:$H$1463,$P31)="","",INDEX(MASTER!$H$4:$H$1463,$P31)),""))</f>
        <v>60,000 - 60,999</v>
      </c>
      <c r="H31" s="16">
        <f>IF($P31="","",IFERROR(IF(INDEX(MASTER!$I$4:$I$1463,$P31)="","",INDEX(MASTER!$I$4:$I$1463,$P31)),""))</f>
        <v>2290</v>
      </c>
      <c r="I31" s="15" t="str">
        <f>IF($P31="","",IFERROR(IF(INDEX(MASTER!$J$4:$J$1463,$P31)="","",INDEX(MASTER!$J$4:$J$1463,$P31)),""))</f>
        <v>DEVELOPING</v>
      </c>
      <c r="J31" s="17">
        <f>IF($P31="","",IFERROR(IF(INDEX(MASTER!$L$4:$L$1463,$P31)="","",INDEX(MASTER!$L$4:$L$1463,$P31)),""))</f>
        <v>4.5999999999999996</v>
      </c>
      <c r="K31" s="17">
        <f>IF($P31="","",IFERROR(IF(INDEX(MASTER!$N$4:$N$1463,$P31)="","",INDEX(MASTER!$N$4:$N$1463,$P31)),""))</f>
        <v>31.5</v>
      </c>
      <c r="L31" s="15" t="str">
        <f>IF($P31="","",IFERROR(IF(INDEX(MASTER!$O$4:$O$1463,$P31)="","",INDEX(MASTER!$O$4:$O$1463,$P31)),""))</f>
        <v>C</v>
      </c>
      <c r="M31" s="15">
        <f>IF($P31="","",IFERROR(IF(INDEX(MASTER!$Q$4:$Q$1463,$P31)="","",INDEX(MASTER!$Q$4:$Q$1463,$P31)),""))</f>
        <v>33</v>
      </c>
      <c r="N31" s="15" t="str">
        <f>IF($P31="","",IFERROR(IF(INDEX(MASTER!$S$4:$S$1463,$P31)="","",INDEX(MASTER!$S$4:$S$1463,$P31)),""))</f>
        <v>Complete</v>
      </c>
      <c r="P31">
        <f>IFERROR(MATCH($Q$1&amp;"@23",MASTER!$AC$4:$AC$1463,0),"")</f>
        <v>269</v>
      </c>
    </row>
    <row r="32" spans="1:16">
      <c r="A32" s="19">
        <f>IF($P32="","",24)</f>
        <v>24</v>
      </c>
      <c r="B32" s="18" t="str">
        <f>IF($P32="","",IFERROR(IF(INDEX(MASTER!$C$4:$C$1463,$P32)="","",INDEX(MASTER!$C$4:$C$1463,$P32)),""))</f>
        <v>Drakoniüs</v>
      </c>
      <c r="C32" s="19" t="str">
        <f>IF($P32="","",IFERROR(IF(INDEX(MASTER!$D$4:$D$1463,$P32)="","",INDEX(MASTER!$D$4:$D$1463,$P32)),""))</f>
        <v/>
      </c>
      <c r="D32" s="19" t="str">
        <f>IF($P32="","",IFERROR(IF(INDEX(MASTER!$E$4:$E$1463,$P32)="","",INDEX(MASTER!$E$4:$E$1463,$P32)),""))</f>
        <v>WARLOCK</v>
      </c>
      <c r="E32" s="19" t="str">
        <f>IF($P32="","",IFERROR(IF(INDEX(MASTER!$F$4:$F$1463,$P32)="","",INDEX(MASTER!$F$4:$F$1463,$P32)),""))</f>
        <v>Control</v>
      </c>
      <c r="F32" s="20">
        <f>IF($P32="","",IFERROR(IF(INDEX(MASTER!$G$4:$G$1463,$P32)="","",INDEX(MASTER!$G$4:$G$1463,$P32)),""))</f>
        <v>57237</v>
      </c>
      <c r="G32" s="19" t="str">
        <f>IF($P32="","",IFERROR(IF(INDEX(MASTER!$H$4:$H$1463,$P32)="","",INDEX(MASTER!$H$4:$H$1463,$P32)),""))</f>
        <v>Under 58,000</v>
      </c>
      <c r="H32" s="20">
        <f>IF($P32="","",IFERROR(IF(INDEX(MASTER!$I$4:$I$1463,$P32)="","",INDEX(MASTER!$I$4:$I$1463,$P32)),""))</f>
        <v>380</v>
      </c>
      <c r="I32" s="19" t="str">
        <f>IF($P32="","",IFERROR(IF(INDEX(MASTER!$J$4:$J$1463,$P32)="","",INDEX(MASTER!$J$4:$J$1463,$P32)),""))</f>
        <v>ROOKIE</v>
      </c>
      <c r="J32" s="21">
        <f>IF($P32="","",IFERROR(IF(INDEX(MASTER!$L$4:$L$1463,$P32)="","",INDEX(MASTER!$L$4:$L$1463,$P32)),""))</f>
        <v>2.7</v>
      </c>
      <c r="K32" s="21">
        <f>IF($P32="","",IFERROR(IF(INDEX(MASTER!$N$4:$N$1463,$P32)="","",INDEX(MASTER!$N$4:$N$1463,$P32)),""))</f>
        <v>12</v>
      </c>
      <c r="L32" s="19" t="str">
        <f>IF($P32="","",IFERROR(IF(INDEX(MASTER!$O$4:$O$1463,$P32)="","",INDEX(MASTER!$O$4:$O$1463,$P32)),""))</f>
        <v>D</v>
      </c>
      <c r="M32" s="19">
        <f>IF($P32="","",IFERROR(IF(INDEX(MASTER!$Q$4:$Q$1463,$P32)="","",INDEX(MASTER!$Q$4:$Q$1463,$P32)),""))</f>
        <v>98</v>
      </c>
      <c r="N32" s="19" t="str">
        <f>IF($P32="","",IFERROR(IF(INDEX(MASTER!$S$4:$S$1463,$P32)="","",INDEX(MASTER!$S$4:$S$1463,$P32)),""))</f>
        <v>Complete</v>
      </c>
      <c r="P32">
        <f>IFERROR(MATCH($Q$1&amp;"@24",MASTER!$AC$4:$AC$1463,0),"")</f>
        <v>311</v>
      </c>
    </row>
    <row r="33" spans="1:16">
      <c r="A33" s="15">
        <f>IF($P33="","",25)</f>
        <v>25</v>
      </c>
      <c r="B33" s="14" t="str">
        <f>IF($P33="","",IFERROR(IF(INDEX(MASTER!$C$4:$C$1463,$P33)="","",INDEX(MASTER!$C$4:$C$1463,$P33)),""))</f>
        <v>Dustrayer</v>
      </c>
      <c r="C33" s="15" t="str">
        <f>IF($P33="","",IFERROR(IF(INDEX(MASTER!$D$4:$D$1463,$P33)="","",INDEX(MASTER!$D$4:$D$1463,$P33)),""))</f>
        <v/>
      </c>
      <c r="D33" s="15" t="str">
        <f>IF($P33="","",IFERROR(IF(INDEX(MASTER!$E$4:$E$1463,$P33)="","",INDEX(MASTER!$E$4:$E$1463,$P33)),""))</f>
        <v>DEMON HUNTER</v>
      </c>
      <c r="E33" s="15" t="str">
        <f>IF($P33="","",IFERROR(IF(INDEX(MASTER!$F$4:$F$1463,$P33)="","",INDEX(MASTER!$F$4:$F$1463,$P33)),""))</f>
        <v>Ranged DPS</v>
      </c>
      <c r="F33" s="16">
        <f>IF($P33="","",IFERROR(IF(INDEX(MASTER!$G$4:$G$1463,$P33)="","",INDEX(MASTER!$G$4:$G$1463,$P33)),""))</f>
        <v>59893</v>
      </c>
      <c r="G33" s="15" t="str">
        <f>IF($P33="","",IFERROR(IF(INDEX(MASTER!$H$4:$H$1463,$P33)="","",INDEX(MASTER!$H$4:$H$1463,$P33)),""))</f>
        <v>58,000 - 59,999</v>
      </c>
      <c r="H33" s="16">
        <f>IF($P33="","",IFERROR(IF(INDEX(MASTER!$I$4:$I$1463,$P33)="","",INDEX(MASTER!$I$4:$I$1463,$P33)),""))</f>
        <v>3762</v>
      </c>
      <c r="I33" s="15" t="str">
        <f>IF($P33="","",IFERROR(IF(INDEX(MASTER!$J$4:$J$1463,$P33)="","",INDEX(MASTER!$J$4:$J$1463,$P33)),""))</f>
        <v>DEVELOPING</v>
      </c>
      <c r="J33" s="17">
        <f>IF($P33="","",IFERROR(IF(INDEX(MASTER!$L$4:$L$1463,$P33)="","",INDEX(MASTER!$L$4:$L$1463,$P33)),""))</f>
        <v>5</v>
      </c>
      <c r="K33" s="17">
        <f>IF($P33="","",IFERROR(IF(INDEX(MASTER!$N$4:$N$1463,$P33)="","",INDEX(MASTER!$N$4:$N$1463,$P33)),""))</f>
        <v>37.6</v>
      </c>
      <c r="L33" s="15" t="str">
        <f>IF($P33="","",IFERROR(IF(INDEX(MASTER!$O$4:$O$1463,$P33)="","",INDEX(MASTER!$O$4:$O$1463,$P33)),""))</f>
        <v>B</v>
      </c>
      <c r="M33" s="15">
        <f>IF($P33="","",IFERROR(IF(INDEX(MASTER!$Q$4:$Q$1463,$P33)="","",INDEX(MASTER!$Q$4:$Q$1463,$P33)),""))</f>
        <v>8</v>
      </c>
      <c r="N33" s="15" t="str">
        <f>IF($P33="","",IFERROR(IF(INDEX(MASTER!$S$4:$S$1463,$P33)="","",INDEX(MASTER!$S$4:$S$1463,$P33)),""))</f>
        <v>Complete</v>
      </c>
      <c r="P33">
        <f>IFERROR(MATCH($Q$1&amp;"@25",MASTER!$AC$4:$AC$1463,0),"")</f>
        <v>330</v>
      </c>
    </row>
    <row r="34" spans="1:16">
      <c r="A34" s="19">
        <f>IF($P34="","",26)</f>
        <v>26</v>
      </c>
      <c r="B34" s="18" t="str">
        <f>IF($P34="","",IFERROR(IF(INDEX(MASTER!$C$4:$C$1463,$P34)="","",INDEX(MASTER!$C$4:$C$1463,$P34)),""))</f>
        <v>Eagleblack</v>
      </c>
      <c r="C34" s="19" t="str">
        <f>IF($P34="","",IFERROR(IF(INDEX(MASTER!$D$4:$D$1463,$P34)="","",INDEX(MASTER!$D$4:$D$1463,$P34)),""))</f>
        <v/>
      </c>
      <c r="D34" s="19" t="str">
        <f>IF($P34="","",IFERROR(IF(INDEX(MASTER!$E$4:$E$1463,$P34)="","",INDEX(MASTER!$E$4:$E$1463,$P34)),""))</f>
        <v>DEMON HUNTER</v>
      </c>
      <c r="E34" s="19" t="str">
        <f>IF($P34="","",IFERROR(IF(INDEX(MASTER!$F$4:$F$1463,$P34)="","",INDEX(MASTER!$F$4:$F$1463,$P34)),""))</f>
        <v>Ranged DPS</v>
      </c>
      <c r="F34" s="20">
        <f>IF($P34="","",IFERROR(IF(INDEX(MASTER!$G$4:$G$1463,$P34)="","",INDEX(MASTER!$G$4:$G$1463,$P34)),""))</f>
        <v>60991</v>
      </c>
      <c r="G34" s="19" t="str">
        <f>IF($P34="","",IFERROR(IF(INDEX(MASTER!$H$4:$H$1463,$P34)="","",INDEX(MASTER!$H$4:$H$1463,$P34)),""))</f>
        <v>60,000 - 60,999</v>
      </c>
      <c r="H34" s="20">
        <f>IF($P34="","",IFERROR(IF(INDEX(MASTER!$I$4:$I$1463,$P34)="","",INDEX(MASTER!$I$4:$I$1463,$P34)),""))</f>
        <v>1405</v>
      </c>
      <c r="I34" s="19" t="str">
        <f>IF($P34="","",IFERROR(IF(INDEX(MASTER!$J$4:$J$1463,$P34)="","",INDEX(MASTER!$J$4:$J$1463,$P34)),""))</f>
        <v>ROOKIE</v>
      </c>
      <c r="J34" s="21">
        <f>IF($P34="","",IFERROR(IF(INDEX(MASTER!$L$4:$L$1463,$P34)="","",INDEX(MASTER!$L$4:$L$1463,$P34)),""))</f>
        <v>3</v>
      </c>
      <c r="K34" s="21">
        <f>IF($P34="","",IFERROR(IF(INDEX(MASTER!$N$4:$N$1463,$P34)="","",INDEX(MASTER!$N$4:$N$1463,$P34)),""))</f>
        <v>26.9</v>
      </c>
      <c r="L34" s="19" t="str">
        <f>IF($P34="","",IFERROR(IF(INDEX(MASTER!$O$4:$O$1463,$P34)="","",INDEX(MASTER!$O$4:$O$1463,$P34)),""))</f>
        <v>C</v>
      </c>
      <c r="M34" s="19">
        <f>IF($P34="","",IFERROR(IF(INDEX(MASTER!$Q$4:$Q$1463,$P34)="","",INDEX(MASTER!$Q$4:$Q$1463,$P34)),""))</f>
        <v>64</v>
      </c>
      <c r="N34" s="19" t="str">
        <f>IF($P34="","",IFERROR(IF(INDEX(MASTER!$S$4:$S$1463,$P34)="","",INDEX(MASTER!$S$4:$S$1463,$P34)),""))</f>
        <v>Complete</v>
      </c>
      <c r="P34">
        <f>IFERROR(MATCH($Q$1&amp;"@26",MASTER!$AC$4:$AC$1463,0),"")</f>
        <v>337</v>
      </c>
    </row>
    <row r="35" spans="1:16">
      <c r="A35" s="15">
        <f>IF($P35="","",27)</f>
        <v>27</v>
      </c>
      <c r="B35" s="14" t="str">
        <f>IF($P35="","",IFERROR(IF(INDEX(MASTER!$C$4:$C$1463,$P35)="","",INDEX(MASTER!$C$4:$C$1463,$P35)),""))</f>
        <v>Elshadal</v>
      </c>
      <c r="C35" s="15" t="str">
        <f>IF($P35="","",IFERROR(IF(INDEX(MASTER!$D$4:$D$1463,$P35)="","",INDEX(MASTER!$D$4:$D$1463,$P35)),""))</f>
        <v/>
      </c>
      <c r="D35" s="15" t="str">
        <f>IF($P35="","",IFERROR(IF(INDEX(MASTER!$E$4:$E$1463,$P35)="","",INDEX(MASTER!$E$4:$E$1463,$P35)),""))</f>
        <v>WARLOCK</v>
      </c>
      <c r="E35" s="15" t="str">
        <f>IF($P35="","",IFERROR(IF(INDEX(MASTER!$F$4:$F$1463,$P35)="","",INDEX(MASTER!$F$4:$F$1463,$P35)),""))</f>
        <v>Control</v>
      </c>
      <c r="F35" s="16">
        <f>IF($P35="","",IFERROR(IF(INDEX(MASTER!$G$4:$G$1463,$P35)="","",INDEX(MASTER!$G$4:$G$1463,$P35)),""))</f>
        <v>61294</v>
      </c>
      <c r="G35" s="15" t="str">
        <f>IF($P35="","",IFERROR(IF(INDEX(MASTER!$H$4:$H$1463,$P35)="","",INDEX(MASTER!$H$4:$H$1463,$P35)),""))</f>
        <v>61,000 - 61,999</v>
      </c>
      <c r="H35" s="16">
        <f>IF($P35="","",IFERROR(IF(INDEX(MASTER!$I$4:$I$1463,$P35)="","",INDEX(MASTER!$I$4:$I$1463,$P35)),""))</f>
        <v>1420</v>
      </c>
      <c r="I35" s="15" t="str">
        <f>IF($P35="","",IFERROR(IF(INDEX(MASTER!$J$4:$J$1463,$P35)="","",INDEX(MASTER!$J$4:$J$1463,$P35)),""))</f>
        <v>ROOKIE</v>
      </c>
      <c r="J35" s="17">
        <f>IF($P35="","",IFERROR(IF(INDEX(MASTER!$L$4:$L$1463,$P35)="","",INDEX(MASTER!$L$4:$L$1463,$P35)),""))</f>
        <v>3.1</v>
      </c>
      <c r="K35" s="17">
        <f>IF($P35="","",IFERROR(IF(INDEX(MASTER!$N$4:$N$1463,$P35)="","",INDEX(MASTER!$N$4:$N$1463,$P35)),""))</f>
        <v>27.9</v>
      </c>
      <c r="L35" s="15" t="str">
        <f>IF($P35="","",IFERROR(IF(INDEX(MASTER!$O$4:$O$1463,$P35)="","",INDEX(MASTER!$O$4:$O$1463,$P35)),""))</f>
        <v>C</v>
      </c>
      <c r="M35" s="15">
        <f>IF($P35="","",IFERROR(IF(INDEX(MASTER!$Q$4:$Q$1463,$P35)="","",INDEX(MASTER!$Q$4:$Q$1463,$P35)),""))</f>
        <v>62</v>
      </c>
      <c r="N35" s="15" t="str">
        <f>IF($P35="","",IFERROR(IF(INDEX(MASTER!$S$4:$S$1463,$P35)="","",INDEX(MASTER!$S$4:$S$1463,$P35)),""))</f>
        <v>Complete</v>
      </c>
      <c r="P35">
        <f>IFERROR(MATCH($Q$1&amp;"@27",MASTER!$AC$4:$AC$1463,0),"")</f>
        <v>355</v>
      </c>
    </row>
    <row r="36" spans="1:16">
      <c r="A36" s="19">
        <f>IF($P36="","",28)</f>
        <v>28</v>
      </c>
      <c r="B36" s="18" t="str">
        <f>IF($P36="","",IFERROR(IF(INDEX(MASTER!$C$4:$C$1463,$P36)="","",INDEX(MASTER!$C$4:$C$1463,$P36)),""))</f>
        <v>Endurance</v>
      </c>
      <c r="C36" s="19" t="str">
        <f>IF($P36="","",IFERROR(IF(INDEX(MASTER!$D$4:$D$1463,$P36)="","",INDEX(MASTER!$D$4:$D$1463,$P36)),""))</f>
        <v/>
      </c>
      <c r="D36" s="19" t="str">
        <f>IF($P36="","",IFERROR(IF(INDEX(MASTER!$E$4:$E$1463,$P36)="","",INDEX(MASTER!$E$4:$E$1463,$P36)),""))</f>
        <v>WIZARD</v>
      </c>
      <c r="E36" s="19" t="str">
        <f>IF($P36="","",IFERROR(IF(INDEX(MASTER!$F$4:$F$1463,$P36)="","",INDEX(MASTER!$F$4:$F$1463,$P36)),""))</f>
        <v>Ranged DPS</v>
      </c>
      <c r="F36" s="20">
        <f>IF($P36="","",IFERROR(IF(INDEX(MASTER!$G$4:$G$1463,$P36)="","",INDEX(MASTER!$G$4:$G$1463,$P36)),""))</f>
        <v>58451</v>
      </c>
      <c r="G36" s="19" t="str">
        <f>IF($P36="","",IFERROR(IF(INDEX(MASTER!$H$4:$H$1463,$P36)="","",INDEX(MASTER!$H$4:$H$1463,$P36)),""))</f>
        <v>58,000 - 59,999</v>
      </c>
      <c r="H36" s="20">
        <f>IF($P36="","",IFERROR(IF(INDEX(MASTER!$I$4:$I$1463,$P36)="","",INDEX(MASTER!$I$4:$I$1463,$P36)),""))</f>
        <v>6533</v>
      </c>
      <c r="I36" s="19" t="str">
        <f>IF($P36="","",IFERROR(IF(INDEX(MASTER!$J$4:$J$1463,$P36)="","",INDEX(MASTER!$J$4:$J$1463,$P36)),""))</f>
        <v>VETERAN</v>
      </c>
      <c r="J36" s="21">
        <f>IF($P36="","",IFERROR(IF(INDEX(MASTER!$L$4:$L$1463,$P36)="","",INDEX(MASTER!$L$4:$L$1463,$P36)),""))</f>
        <v>3.9</v>
      </c>
      <c r="K36" s="21">
        <f>IF($P36="","",IFERROR(IF(INDEX(MASTER!$N$4:$N$1463,$P36)="","",INDEX(MASTER!$N$4:$N$1463,$P36)),""))</f>
        <v>44.1</v>
      </c>
      <c r="L36" s="19" t="str">
        <f>IF($P36="","",IFERROR(IF(INDEX(MASTER!$O$4:$O$1463,$P36)="","",INDEX(MASTER!$O$4:$O$1463,$P36)),""))</f>
        <v>B</v>
      </c>
      <c r="M36" s="19">
        <f>IF($P36="","",IFERROR(IF(INDEX(MASTER!$Q$4:$Q$1463,$P36)="","",INDEX(MASTER!$Q$4:$Q$1463,$P36)),""))</f>
        <v>4</v>
      </c>
      <c r="N36" s="19" t="str">
        <f>IF($P36="","",IFERROR(IF(INDEX(MASTER!$S$4:$S$1463,$P36)="","",INDEX(MASTER!$S$4:$S$1463,$P36)),""))</f>
        <v>Complete</v>
      </c>
      <c r="P36">
        <f>IFERROR(MATCH($Q$1&amp;"@28",MASTER!$AC$4:$AC$1463,0),"")</f>
        <v>358</v>
      </c>
    </row>
    <row r="37" spans="1:16">
      <c r="A37" s="15">
        <f>IF($P37="","",29)</f>
        <v>29</v>
      </c>
      <c r="B37" s="14" t="str">
        <f>IF($P37="","",IFERROR(IF(INDEX(MASTER!$C$4:$C$1463,$P37)="","",INDEX(MASTER!$C$4:$C$1463,$P37)),""))</f>
        <v>Erestor</v>
      </c>
      <c r="C37" s="15" t="str">
        <f>IF($P37="","",IFERROR(IF(INDEX(MASTER!$D$4:$D$1463,$P37)="","",INDEX(MASTER!$D$4:$D$1463,$P37)),""))</f>
        <v/>
      </c>
      <c r="D37" s="15" t="str">
        <f>IF($P37="","",IFERROR(IF(INDEX(MASTER!$E$4:$E$1463,$P37)="","",INDEX(MASTER!$E$4:$E$1463,$P37)),""))</f>
        <v>CRUSADER</v>
      </c>
      <c r="E37" s="15" t="str">
        <f>IF($P37="","",IFERROR(IF(INDEX(MASTER!$F$4:$F$1463,$P37)="","",INDEX(MASTER!$F$4:$F$1463,$P37)),""))</f>
        <v>Frontline</v>
      </c>
      <c r="F37" s="16">
        <f>IF($P37="","",IFERROR(IF(INDEX(MASTER!$G$4:$G$1463,$P37)="","",INDEX(MASTER!$G$4:$G$1463,$P37)),""))</f>
        <v>60774</v>
      </c>
      <c r="G37" s="15" t="str">
        <f>IF($P37="","",IFERROR(IF(INDEX(MASTER!$H$4:$H$1463,$P37)="","",INDEX(MASTER!$H$4:$H$1463,$P37)),""))</f>
        <v>60,000 - 60,999</v>
      </c>
      <c r="H37" s="16">
        <f>IF($P37="","",IFERROR(IF(INDEX(MASTER!$I$4:$I$1463,$P37)="","",INDEX(MASTER!$I$4:$I$1463,$P37)),""))</f>
        <v>785</v>
      </c>
      <c r="I37" s="15" t="str">
        <f>IF($P37="","",IFERROR(IF(INDEX(MASTER!$J$4:$J$1463,$P37)="","",INDEX(MASTER!$J$4:$J$1463,$P37)),""))</f>
        <v>ROOKIE</v>
      </c>
      <c r="J37" s="17">
        <f>IF($P37="","",IFERROR(IF(INDEX(MASTER!$L$4:$L$1463,$P37)="","",INDEX(MASTER!$L$4:$L$1463,$P37)),""))</f>
        <v>3</v>
      </c>
      <c r="K37" s="17">
        <f>IF($P37="","",IFERROR(IF(INDEX(MASTER!$N$4:$N$1463,$P37)="","",INDEX(MASTER!$N$4:$N$1463,$P37)),""))</f>
        <v>23.6</v>
      </c>
      <c r="L37" s="15" t="str">
        <f>IF($P37="","",IFERROR(IF(INDEX(MASTER!$O$4:$O$1463,$P37)="","",INDEX(MASTER!$O$4:$O$1463,$P37)),""))</f>
        <v>C</v>
      </c>
      <c r="M37" s="15">
        <f>IF($P37="","",IFERROR(IF(INDEX(MASTER!$Q$4:$Q$1463,$P37)="","",INDEX(MASTER!$Q$4:$Q$1463,$P37)),""))</f>
        <v>89</v>
      </c>
      <c r="N37" s="15" t="str">
        <f>IF($P37="","",IFERROR(IF(INDEX(MASTER!$S$4:$S$1463,$P37)="","",INDEX(MASTER!$S$4:$S$1463,$P37)),""))</f>
        <v>Complete</v>
      </c>
      <c r="P37">
        <f>IFERROR(MATCH($Q$1&amp;"@29",MASTER!$AC$4:$AC$1463,0),"")</f>
        <v>364</v>
      </c>
    </row>
    <row r="38" spans="1:16">
      <c r="A38" s="19">
        <f>IF($P38="","",30)</f>
        <v>30</v>
      </c>
      <c r="B38" s="18" t="str">
        <f>IF($P38="","",IFERROR(IF(INDEX(MASTER!$C$4:$C$1463,$P38)="","",INDEX(MASTER!$C$4:$C$1463,$P38)),""))</f>
        <v>Fatgopher101</v>
      </c>
      <c r="C38" s="19" t="str">
        <f>IF($P38="","",IFERROR(IF(INDEX(MASTER!$D$4:$D$1463,$P38)="","",INDEX(MASTER!$D$4:$D$1463,$P38)),""))</f>
        <v/>
      </c>
      <c r="D38" s="19" t="str">
        <f>IF($P38="","",IFERROR(IF(INDEX(MASTER!$E$4:$E$1463,$P38)="","",INDEX(MASTER!$E$4:$E$1463,$P38)),""))</f>
        <v>BARBARIAN</v>
      </c>
      <c r="E38" s="19" t="str">
        <f>IF($P38="","",IFERROR(IF(INDEX(MASTER!$F$4:$F$1463,$P38)="","",INDEX(MASTER!$F$4:$F$1463,$P38)),""))</f>
        <v>Frontline</v>
      </c>
      <c r="F38" s="20">
        <f>IF($P38="","",IFERROR(IF(INDEX(MASTER!$G$4:$G$1463,$P38)="","",INDEX(MASTER!$G$4:$G$1463,$P38)),""))</f>
        <v>60240</v>
      </c>
      <c r="G38" s="19" t="str">
        <f>IF($P38="","",IFERROR(IF(INDEX(MASTER!$H$4:$H$1463,$P38)="","",INDEX(MASTER!$H$4:$H$1463,$P38)),""))</f>
        <v>60,000 - 60,999</v>
      </c>
      <c r="H38" s="20">
        <f>IF($P38="","",IFERROR(IF(INDEX(MASTER!$I$4:$I$1463,$P38)="","",INDEX(MASTER!$I$4:$I$1463,$P38)),""))</f>
        <v>1382</v>
      </c>
      <c r="I38" s="19" t="str">
        <f>IF($P38="","",IFERROR(IF(INDEX(MASTER!$J$4:$J$1463,$P38)="","",INDEX(MASTER!$J$4:$J$1463,$P38)),""))</f>
        <v>ROOKIE</v>
      </c>
      <c r="J38" s="21">
        <f>IF($P38="","",IFERROR(IF(INDEX(MASTER!$L$4:$L$1463,$P38)="","",INDEX(MASTER!$L$4:$L$1463,$P38)),""))</f>
        <v>2.6</v>
      </c>
      <c r="K38" s="21">
        <f>IF($P38="","",IFERROR(IF(INDEX(MASTER!$N$4:$N$1463,$P38)="","",INDEX(MASTER!$N$4:$N$1463,$P38)),""))</f>
        <v>24.2</v>
      </c>
      <c r="L38" s="19" t="str">
        <f>IF($P38="","",IFERROR(IF(INDEX(MASTER!$O$4:$O$1463,$P38)="","",INDEX(MASTER!$O$4:$O$1463,$P38)),""))</f>
        <v>C</v>
      </c>
      <c r="M38" s="19">
        <f>IF($P38="","",IFERROR(IF(INDEX(MASTER!$Q$4:$Q$1463,$P38)="","",INDEX(MASTER!$Q$4:$Q$1463,$P38)),""))</f>
        <v>66</v>
      </c>
      <c r="N38" s="19" t="str">
        <f>IF($P38="","",IFERROR(IF(INDEX(MASTER!$S$4:$S$1463,$P38)="","",INDEX(MASTER!$S$4:$S$1463,$P38)),""))</f>
        <v>Complete</v>
      </c>
      <c r="P38">
        <f>IFERROR(MATCH($Q$1&amp;"@30",MASTER!$AC$4:$AC$1463,0),"")</f>
        <v>381</v>
      </c>
    </row>
    <row r="39" spans="1:16">
      <c r="A39" s="15">
        <f>IF($P39="","",31)</f>
        <v>31</v>
      </c>
      <c r="B39" s="14" t="str">
        <f>IF($P39="","",IFERROR(IF(INDEX(MASTER!$C$4:$C$1463,$P39)="","",INDEX(MASTER!$C$4:$C$1463,$P39)),""))</f>
        <v>flukey123</v>
      </c>
      <c r="C39" s="15" t="str">
        <f>IF($P39="","",IFERROR(IF(INDEX(MASTER!$D$4:$D$1463,$P39)="","",INDEX(MASTER!$D$4:$D$1463,$P39)),""))</f>
        <v/>
      </c>
      <c r="D39" s="15" t="str">
        <f>IF($P39="","",IFERROR(IF(INDEX(MASTER!$E$4:$E$1463,$P39)="","",INDEX(MASTER!$E$4:$E$1463,$P39)),""))</f>
        <v>BARBARIAN</v>
      </c>
      <c r="E39" s="15" t="str">
        <f>IF($P39="","",IFERROR(IF(INDEX(MASTER!$F$4:$F$1463,$P39)="","",INDEX(MASTER!$F$4:$F$1463,$P39)),""))</f>
        <v>Frontline</v>
      </c>
      <c r="F39" s="16">
        <f>IF($P39="","",IFERROR(IF(INDEX(MASTER!$G$4:$G$1463,$P39)="","",INDEX(MASTER!$G$4:$G$1463,$P39)),""))</f>
        <v>61105</v>
      </c>
      <c r="G39" s="15" t="str">
        <f>IF($P39="","",IFERROR(IF(INDEX(MASTER!$H$4:$H$1463,$P39)="","",INDEX(MASTER!$H$4:$H$1463,$P39)),""))</f>
        <v>61,000 - 61,999</v>
      </c>
      <c r="H39" s="16">
        <f>IF($P39="","",IFERROR(IF(INDEX(MASTER!$I$4:$I$1463,$P39)="","",INDEX(MASTER!$I$4:$I$1463,$P39)),""))</f>
        <v>1686</v>
      </c>
      <c r="I39" s="15" t="str">
        <f>IF($P39="","",IFERROR(IF(INDEX(MASTER!$J$4:$J$1463,$P39)="","",INDEX(MASTER!$J$4:$J$1463,$P39)),""))</f>
        <v>ROOKIE</v>
      </c>
      <c r="J39" s="17">
        <f>IF($P39="","",IFERROR(IF(INDEX(MASTER!$L$4:$L$1463,$P39)="","",INDEX(MASTER!$L$4:$L$1463,$P39)),""))</f>
        <v>2.7</v>
      </c>
      <c r="K39" s="17">
        <f>IF($P39="","",IFERROR(IF(INDEX(MASTER!$N$4:$N$1463,$P39)="","",INDEX(MASTER!$N$4:$N$1463,$P39)),""))</f>
        <v>27.9</v>
      </c>
      <c r="L39" s="15" t="str">
        <f>IF($P39="","",IFERROR(IF(INDEX(MASTER!$O$4:$O$1463,$P39)="","",INDEX(MASTER!$O$4:$O$1463,$P39)),""))</f>
        <v>C</v>
      </c>
      <c r="M39" s="15">
        <f>IF($P39="","",IFERROR(IF(INDEX(MASTER!$Q$4:$Q$1463,$P39)="","",INDEX(MASTER!$Q$4:$Q$1463,$P39)),""))</f>
        <v>51</v>
      </c>
      <c r="N39" s="15" t="str">
        <f>IF($P39="","",IFERROR(IF(INDEX(MASTER!$S$4:$S$1463,$P39)="","",INDEX(MASTER!$S$4:$S$1463,$P39)),""))</f>
        <v>Complete</v>
      </c>
      <c r="P39">
        <f>IFERROR(MATCH($Q$1&amp;"@31",MASTER!$AC$4:$AC$1463,0),"")</f>
        <v>394</v>
      </c>
    </row>
    <row r="40" spans="1:16">
      <c r="A40" s="19">
        <f>IF($P40="","",32)</f>
        <v>32</v>
      </c>
      <c r="B40" s="18" t="str">
        <f>IF($P40="","",IFERROR(IF(INDEX(MASTER!$C$4:$C$1463,$P40)="","",INDEX(MASTER!$C$4:$C$1463,$P40)),""))</f>
        <v>ģąđģęţ</v>
      </c>
      <c r="C40" s="19" t="str">
        <f>IF($P40="","",IFERROR(IF(INDEX(MASTER!$D$4:$D$1463,$P40)="","",INDEX(MASTER!$D$4:$D$1463,$P40)),""))</f>
        <v/>
      </c>
      <c r="D40" s="19" t="str">
        <f>IF($P40="","",IFERROR(IF(INDEX(MASTER!$E$4:$E$1463,$P40)="","",INDEX(MASTER!$E$4:$E$1463,$P40)),""))</f>
        <v>WARLOCK</v>
      </c>
      <c r="E40" s="19" t="str">
        <f>IF($P40="","",IFERROR(IF(INDEX(MASTER!$F$4:$F$1463,$P40)="","",INDEX(MASTER!$F$4:$F$1463,$P40)),""))</f>
        <v>Control</v>
      </c>
      <c r="F40" s="20">
        <f>IF($P40="","",IFERROR(IF(INDEX(MASTER!$G$4:$G$1463,$P40)="","",INDEX(MASTER!$G$4:$G$1463,$P40)),""))</f>
        <v>61133</v>
      </c>
      <c r="G40" s="19" t="str">
        <f>IF($P40="","",IFERROR(IF(INDEX(MASTER!$H$4:$H$1463,$P40)="","",INDEX(MASTER!$H$4:$H$1463,$P40)),""))</f>
        <v>61,000 - 61,999</v>
      </c>
      <c r="H40" s="20">
        <f>IF($P40="","",IFERROR(IF(INDEX(MASTER!$I$4:$I$1463,$P40)="","",INDEX(MASTER!$I$4:$I$1463,$P40)),""))</f>
        <v>2804</v>
      </c>
      <c r="I40" s="19" t="str">
        <f>IF($P40="","",IFERROR(IF(INDEX(MASTER!$J$4:$J$1463,$P40)="","",INDEX(MASTER!$J$4:$J$1463,$P40)),""))</f>
        <v>DEVELOPING</v>
      </c>
      <c r="J40" s="21">
        <f>IF($P40="","",IFERROR(IF(INDEX(MASTER!$L$4:$L$1463,$P40)="","",INDEX(MASTER!$L$4:$L$1463,$P40)),""))</f>
        <v>4.5</v>
      </c>
      <c r="K40" s="21">
        <f>IF($P40="","",IFERROR(IF(INDEX(MASTER!$N$4:$N$1463,$P40)="","",INDEX(MASTER!$N$4:$N$1463,$P40)),""))</f>
        <v>35.9</v>
      </c>
      <c r="L40" s="19" t="str">
        <f>IF($P40="","",IFERROR(IF(INDEX(MASTER!$O$4:$O$1463,$P40)="","",INDEX(MASTER!$O$4:$O$1463,$P40)),""))</f>
        <v>B</v>
      </c>
      <c r="M40" s="19">
        <f>IF($P40="","",IFERROR(IF(INDEX(MASTER!$Q$4:$Q$1463,$P40)="","",INDEX(MASTER!$Q$4:$Q$1463,$P40)),""))</f>
        <v>19</v>
      </c>
      <c r="N40" s="19" t="str">
        <f>IF($P40="","",IFERROR(IF(INDEX(MASTER!$S$4:$S$1463,$P40)="","",INDEX(MASTER!$S$4:$S$1463,$P40)),""))</f>
        <v>Complete</v>
      </c>
      <c r="P40">
        <f>IFERROR(MATCH($Q$1&amp;"@32",MASTER!$AC$4:$AC$1463,0),"")</f>
        <v>1345</v>
      </c>
    </row>
    <row r="41" spans="1:16">
      <c r="A41" s="15">
        <f>IF($P41="","",33)</f>
        <v>33</v>
      </c>
      <c r="B41" s="14" t="str">
        <f>IF($P41="","",IFERROR(IF(INDEX(MASTER!$C$4:$C$1463,$P41)="","",INDEX(MASTER!$C$4:$C$1463,$P41)),""))</f>
        <v>Gareth79</v>
      </c>
      <c r="C41" s="15" t="str">
        <f>IF($P41="","",IFERROR(IF(INDEX(MASTER!$D$4:$D$1463,$P41)="","",INDEX(MASTER!$D$4:$D$1463,$P41)),""))</f>
        <v/>
      </c>
      <c r="D41" s="15" t="str">
        <f>IF($P41="","",IFERROR(IF(INDEX(MASTER!$E$4:$E$1463,$P41)="","",INDEX(MASTER!$E$4:$E$1463,$P41)),""))</f>
        <v>WARLOCK</v>
      </c>
      <c r="E41" s="15" t="str">
        <f>IF($P41="","",IFERROR(IF(INDEX(MASTER!$F$4:$F$1463,$P41)="","",INDEX(MASTER!$F$4:$F$1463,$P41)),""))</f>
        <v>Control</v>
      </c>
      <c r="F41" s="16">
        <f>IF($P41="","",IFERROR(IF(INDEX(MASTER!$G$4:$G$1463,$P41)="","",INDEX(MASTER!$G$4:$G$1463,$P41)),""))</f>
        <v>60623</v>
      </c>
      <c r="G41" s="15" t="str">
        <f>IF($P41="","",IFERROR(IF(INDEX(MASTER!$H$4:$H$1463,$P41)="","",INDEX(MASTER!$H$4:$H$1463,$P41)),""))</f>
        <v>60,000 - 60,999</v>
      </c>
      <c r="H41" s="16">
        <f>IF($P41="","",IFERROR(IF(INDEX(MASTER!$I$4:$I$1463,$P41)="","",INDEX(MASTER!$I$4:$I$1463,$P41)),""))</f>
        <v>540</v>
      </c>
      <c r="I41" s="15" t="str">
        <f>IF($P41="","",IFERROR(IF(INDEX(MASTER!$J$4:$J$1463,$P41)="","",INDEX(MASTER!$J$4:$J$1463,$P41)),""))</f>
        <v>ROOKIE</v>
      </c>
      <c r="J41" s="17">
        <f>IF($P41="","",IFERROR(IF(INDEX(MASTER!$L$4:$L$1463,$P41)="","",INDEX(MASTER!$L$4:$L$1463,$P41)),""))</f>
        <v>2.7</v>
      </c>
      <c r="K41" s="17">
        <f>IF($P41="","",IFERROR(IF(INDEX(MASTER!$N$4:$N$1463,$P41)="","",INDEX(MASTER!$N$4:$N$1463,$P41)),""))</f>
        <v>21.7</v>
      </c>
      <c r="L41" s="15" t="str">
        <f>IF($P41="","",IFERROR(IF(INDEX(MASTER!$O$4:$O$1463,$P41)="","",INDEX(MASTER!$O$4:$O$1463,$P41)),""))</f>
        <v>C</v>
      </c>
      <c r="M41" s="15">
        <f>IF($P41="","",IFERROR(IF(INDEX(MASTER!$Q$4:$Q$1463,$P41)="","",INDEX(MASTER!$Q$4:$Q$1463,$P41)),""))</f>
        <v>96</v>
      </c>
      <c r="N41" s="15" t="str">
        <f>IF($P41="","",IFERROR(IF(INDEX(MASTER!$S$4:$S$1463,$P41)="","",INDEX(MASTER!$S$4:$S$1463,$P41)),""))</f>
        <v>Complete</v>
      </c>
      <c r="P41">
        <f>IFERROR(MATCH($Q$1&amp;"@33",MASTER!$AC$4:$AC$1463,0),"")</f>
        <v>416</v>
      </c>
    </row>
    <row r="42" spans="1:16">
      <c r="A42" s="19">
        <f>IF($P42="","",34)</f>
        <v>34</v>
      </c>
      <c r="B42" s="18" t="str">
        <f>IF($P42="","",IFERROR(IF(INDEX(MASTER!$C$4:$C$1463,$P42)="","",INDEX(MASTER!$C$4:$C$1463,$P42)),""))</f>
        <v>ghost479</v>
      </c>
      <c r="C42" s="19" t="str">
        <f>IF($P42="","",IFERROR(IF(INDEX(MASTER!$D$4:$D$1463,$P42)="","",INDEX(MASTER!$D$4:$D$1463,$P42)),""))</f>
        <v/>
      </c>
      <c r="D42" s="19" t="str">
        <f>IF($P42="","",IFERROR(IF(INDEX(MASTER!$E$4:$E$1463,$P42)="","",INDEX(MASTER!$E$4:$E$1463,$P42)),""))</f>
        <v>WARLOCK</v>
      </c>
      <c r="E42" s="19" t="str">
        <f>IF($P42="","",IFERROR(IF(INDEX(MASTER!$F$4:$F$1463,$P42)="","",INDEX(MASTER!$F$4:$F$1463,$P42)),""))</f>
        <v>Control</v>
      </c>
      <c r="F42" s="20">
        <f>IF($P42="","",IFERROR(IF(INDEX(MASTER!$G$4:$G$1463,$P42)="","",INDEX(MASTER!$G$4:$G$1463,$P42)),""))</f>
        <v>60948</v>
      </c>
      <c r="G42" s="19" t="str">
        <f>IF($P42="","",IFERROR(IF(INDEX(MASTER!$H$4:$H$1463,$P42)="","",INDEX(MASTER!$H$4:$H$1463,$P42)),""))</f>
        <v>60,000 - 60,999</v>
      </c>
      <c r="H42" s="20">
        <f>IF($P42="","",IFERROR(IF(INDEX(MASTER!$I$4:$I$1463,$P42)="","",INDEX(MASTER!$I$4:$I$1463,$P42)),""))</f>
        <v>3338</v>
      </c>
      <c r="I42" s="19" t="str">
        <f>IF($P42="","",IFERROR(IF(INDEX(MASTER!$J$4:$J$1463,$P42)="","",INDEX(MASTER!$J$4:$J$1463,$P42)),""))</f>
        <v>DEVELOPING</v>
      </c>
      <c r="J42" s="21">
        <f>IF($P42="","",IFERROR(IF(INDEX(MASTER!$L$4:$L$1463,$P42)="","",INDEX(MASTER!$L$4:$L$1463,$P42)),""))</f>
        <v>3.5</v>
      </c>
      <c r="K42" s="21">
        <f>IF($P42="","",IFERROR(IF(INDEX(MASTER!$N$4:$N$1463,$P42)="","",INDEX(MASTER!$N$4:$N$1463,$P42)),""))</f>
        <v>36.1</v>
      </c>
      <c r="L42" s="19" t="str">
        <f>IF($P42="","",IFERROR(IF(INDEX(MASTER!$O$4:$O$1463,$P42)="","",INDEX(MASTER!$O$4:$O$1463,$P42)),""))</f>
        <v>B</v>
      </c>
      <c r="M42" s="19">
        <f>IF($P42="","",IFERROR(IF(INDEX(MASTER!$Q$4:$Q$1463,$P42)="","",INDEX(MASTER!$Q$4:$Q$1463,$P42)),""))</f>
        <v>13</v>
      </c>
      <c r="N42" s="19" t="str">
        <f>IF($P42="","",IFERROR(IF(INDEX(MASTER!$S$4:$S$1463,$P42)="","",INDEX(MASTER!$S$4:$S$1463,$P42)),""))</f>
        <v>Complete</v>
      </c>
      <c r="P42">
        <f>IFERROR(MATCH($Q$1&amp;"@34",MASTER!$AC$4:$AC$1463,0),"")</f>
        <v>423</v>
      </c>
    </row>
    <row r="43" spans="1:16">
      <c r="A43" s="15">
        <f>IF($P43="","",35)</f>
        <v>35</v>
      </c>
      <c r="B43" s="14" t="str">
        <f>IF($P43="","",IFERROR(IF(INDEX(MASTER!$C$4:$C$1463,$P43)="","",INDEX(MASTER!$C$4:$C$1463,$P43)),""))</f>
        <v>Guldán</v>
      </c>
      <c r="C43" s="15" t="str">
        <f>IF($P43="","",IFERROR(IF(INDEX(MASTER!$D$4:$D$1463,$P43)="","",INDEX(MASTER!$D$4:$D$1463,$P43)),""))</f>
        <v/>
      </c>
      <c r="D43" s="15" t="str">
        <f>IF($P43="","",IFERROR(IF(INDEX(MASTER!$E$4:$E$1463,$P43)="","",INDEX(MASTER!$E$4:$E$1463,$P43)),""))</f>
        <v>WARLOCK</v>
      </c>
      <c r="E43" s="15" t="str">
        <f>IF($P43="","",IFERROR(IF(INDEX(MASTER!$F$4:$F$1463,$P43)="","",INDEX(MASTER!$F$4:$F$1463,$P43)),""))</f>
        <v>Control</v>
      </c>
      <c r="F43" s="16">
        <f>IF($P43="","",IFERROR(IF(INDEX(MASTER!$G$4:$G$1463,$P43)="","",INDEX(MASTER!$G$4:$G$1463,$P43)),""))</f>
        <v>61290</v>
      </c>
      <c r="G43" s="15" t="str">
        <f>IF($P43="","",IFERROR(IF(INDEX(MASTER!$H$4:$H$1463,$P43)="","",INDEX(MASTER!$H$4:$H$1463,$P43)),""))</f>
        <v>61,000 - 61,999</v>
      </c>
      <c r="H43" s="16">
        <f>IF($P43="","",IFERROR(IF(INDEX(MASTER!$I$4:$I$1463,$P43)="","",INDEX(MASTER!$I$4:$I$1463,$P43)),""))</f>
        <v>885</v>
      </c>
      <c r="I43" s="15" t="str">
        <f>IF($P43="","",IFERROR(IF(INDEX(MASTER!$J$4:$J$1463,$P43)="","",INDEX(MASTER!$J$4:$J$1463,$P43)),""))</f>
        <v>ROOKIE</v>
      </c>
      <c r="J43" s="17">
        <f>IF($P43="","",IFERROR(IF(INDEX(MASTER!$L$4:$L$1463,$P43)="","",INDEX(MASTER!$L$4:$L$1463,$P43)),""))</f>
        <v>2.5</v>
      </c>
      <c r="K43" s="17">
        <f>IF($P43="","",IFERROR(IF(INDEX(MASTER!$N$4:$N$1463,$P43)="","",INDEX(MASTER!$N$4:$N$1463,$P43)),""))</f>
        <v>24.6</v>
      </c>
      <c r="L43" s="15" t="str">
        <f>IF($P43="","",IFERROR(IF(INDEX(MASTER!$O$4:$O$1463,$P43)="","",INDEX(MASTER!$O$4:$O$1463,$P43)),""))</f>
        <v>C</v>
      </c>
      <c r="M43" s="15">
        <f>IF($P43="","",IFERROR(IF(INDEX(MASTER!$Q$4:$Q$1463,$P43)="","",INDEX(MASTER!$Q$4:$Q$1463,$P43)),""))</f>
        <v>86</v>
      </c>
      <c r="N43" s="15" t="str">
        <f>IF($P43="","",IFERROR(IF(INDEX(MASTER!$S$4:$S$1463,$P43)="","",INDEX(MASTER!$S$4:$S$1463,$P43)),""))</f>
        <v>Complete</v>
      </c>
      <c r="P43">
        <f>IFERROR(MATCH($Q$1&amp;"@35",MASTER!$AC$4:$AC$1463,0),"")</f>
        <v>463</v>
      </c>
    </row>
    <row r="44" spans="1:16">
      <c r="A44" s="19">
        <f>IF($P44="","",36)</f>
        <v>36</v>
      </c>
      <c r="B44" s="18" t="str">
        <f>IF($P44="","",IFERROR(IF(INDEX(MASTER!$C$4:$C$1463,$P44)="","",INDEX(MASTER!$C$4:$C$1463,$P44)),""))</f>
        <v>Harii052</v>
      </c>
      <c r="C44" s="19" t="str">
        <f>IF($P44="","",IFERROR(IF(INDEX(MASTER!$D$4:$D$1463,$P44)="","",INDEX(MASTER!$D$4:$D$1463,$P44)),""))</f>
        <v/>
      </c>
      <c r="D44" s="19" t="str">
        <f>IF($P44="","",IFERROR(IF(INDEX(MASTER!$E$4:$E$1463,$P44)="","",INDEX(MASTER!$E$4:$E$1463,$P44)),""))</f>
        <v>WIZARD</v>
      </c>
      <c r="E44" s="19" t="str">
        <f>IF($P44="","",IFERROR(IF(INDEX(MASTER!$F$4:$F$1463,$P44)="","",INDEX(MASTER!$F$4:$F$1463,$P44)),""))</f>
        <v>Ranged DPS</v>
      </c>
      <c r="F44" s="20">
        <f>IF($P44="","",IFERROR(IF(INDEX(MASTER!$G$4:$G$1463,$P44)="","",INDEX(MASTER!$G$4:$G$1463,$P44)),""))</f>
        <v>57720</v>
      </c>
      <c r="G44" s="19" t="str">
        <f>IF($P44="","",IFERROR(IF(INDEX(MASTER!$H$4:$H$1463,$P44)="","",INDEX(MASTER!$H$4:$H$1463,$P44)),""))</f>
        <v>Under 58,000</v>
      </c>
      <c r="H44" s="20">
        <f>IF($P44="","",IFERROR(IF(INDEX(MASTER!$I$4:$I$1463,$P44)="","",INDEX(MASTER!$I$4:$I$1463,$P44)),""))</f>
        <v>1120</v>
      </c>
      <c r="I44" s="19" t="str">
        <f>IF($P44="","",IFERROR(IF(INDEX(MASTER!$J$4:$J$1463,$P44)="","",INDEX(MASTER!$J$4:$J$1463,$P44)),""))</f>
        <v>ROOKIE</v>
      </c>
      <c r="J44" s="21">
        <f>IF($P44="","",IFERROR(IF(INDEX(MASTER!$L$4:$L$1463,$P44)="","",INDEX(MASTER!$L$4:$L$1463,$P44)),""))</f>
        <v>3.2</v>
      </c>
      <c r="K44" s="21">
        <f>IF($P44="","",IFERROR(IF(INDEX(MASTER!$N$4:$N$1463,$P44)="","",INDEX(MASTER!$N$4:$N$1463,$P44)),""))</f>
        <v>17.399999999999999</v>
      </c>
      <c r="L44" s="19" t="str">
        <f>IF($P44="","",IFERROR(IF(INDEX(MASTER!$O$4:$O$1463,$P44)="","",INDEX(MASTER!$O$4:$O$1463,$P44)),""))</f>
        <v>D</v>
      </c>
      <c r="M44" s="19">
        <f>IF($P44="","",IFERROR(IF(INDEX(MASTER!$Q$4:$Q$1463,$P44)="","",INDEX(MASTER!$Q$4:$Q$1463,$P44)),""))</f>
        <v>75</v>
      </c>
      <c r="N44" s="19" t="str">
        <f>IF($P44="","",IFERROR(IF(INDEX(MASTER!$S$4:$S$1463,$P44)="","",INDEX(MASTER!$S$4:$S$1463,$P44)),""))</f>
        <v>Complete</v>
      </c>
      <c r="P44">
        <f>IFERROR(MATCH($Q$1&amp;"@36",MASTER!$AC$4:$AC$1463,0),"")</f>
        <v>472</v>
      </c>
    </row>
    <row r="45" spans="1:16">
      <c r="A45" s="15">
        <f>IF($P45="","",37)</f>
        <v>37</v>
      </c>
      <c r="B45" s="14" t="str">
        <f>IF($P45="","",IFERROR(IF(INDEX(MASTER!$C$4:$C$1463,$P45)="","",INDEX(MASTER!$C$4:$C$1463,$P45)),""))</f>
        <v>Hekaceta</v>
      </c>
      <c r="C45" s="15" t="str">
        <f>IF($P45="","",IFERROR(IF(INDEX(MASTER!$D$4:$D$1463,$P45)="","",INDEX(MASTER!$D$4:$D$1463,$P45)),""))</f>
        <v/>
      </c>
      <c r="D45" s="15" t="str">
        <f>IF($P45="","",IFERROR(IF(INDEX(MASTER!$E$4:$E$1463,$P45)="","",INDEX(MASTER!$E$4:$E$1463,$P45)),""))</f>
        <v>NECROMANCER</v>
      </c>
      <c r="E45" s="15" t="str">
        <f>IF($P45="","",IFERROR(IF(INDEX(MASTER!$F$4:$F$1463,$P45)="","",INDEX(MASTER!$F$4:$F$1463,$P45)),""))</f>
        <v>Control</v>
      </c>
      <c r="F45" s="16">
        <f>IF($P45="","",IFERROR(IF(INDEX(MASTER!$G$4:$G$1463,$P45)="","",INDEX(MASTER!$G$4:$G$1463,$P45)),""))</f>
        <v>60913</v>
      </c>
      <c r="G45" s="15" t="str">
        <f>IF($P45="","",IFERROR(IF(INDEX(MASTER!$H$4:$H$1463,$P45)="","",INDEX(MASTER!$H$4:$H$1463,$P45)),""))</f>
        <v>60,000 - 60,999</v>
      </c>
      <c r="H45" s="16">
        <f>IF($P45="","",IFERROR(IF(INDEX(MASTER!$I$4:$I$1463,$P45)="","",INDEX(MASTER!$I$4:$I$1463,$P45)),""))</f>
        <v>2002</v>
      </c>
      <c r="I45" s="15" t="str">
        <f>IF($P45="","",IFERROR(IF(INDEX(MASTER!$J$4:$J$1463,$P45)="","",INDEX(MASTER!$J$4:$J$1463,$P45)),""))</f>
        <v>DEVELOPING</v>
      </c>
      <c r="J45" s="17">
        <f>IF($P45="","",IFERROR(IF(INDEX(MASTER!$L$4:$L$1463,$P45)="","",INDEX(MASTER!$L$4:$L$1463,$P45)),""))</f>
        <v>3.8</v>
      </c>
      <c r="K45" s="17">
        <f>IF($P45="","",IFERROR(IF(INDEX(MASTER!$N$4:$N$1463,$P45)="","",INDEX(MASTER!$N$4:$N$1463,$P45)),""))</f>
        <v>30.6</v>
      </c>
      <c r="L45" s="15" t="str">
        <f>IF($P45="","",IFERROR(IF(INDEX(MASTER!$O$4:$O$1463,$P45)="","",INDEX(MASTER!$O$4:$O$1463,$P45)),""))</f>
        <v>C</v>
      </c>
      <c r="M45" s="15">
        <f>IF($P45="","",IFERROR(IF(INDEX(MASTER!$Q$4:$Q$1463,$P45)="","",INDEX(MASTER!$Q$4:$Q$1463,$P45)),""))</f>
        <v>41</v>
      </c>
      <c r="N45" s="15" t="str">
        <f>IF($P45="","",IFERROR(IF(INDEX(MASTER!$S$4:$S$1463,$P45)="","",INDEX(MASTER!$S$4:$S$1463,$P45)),""))</f>
        <v>Complete</v>
      </c>
      <c r="P45">
        <f>IFERROR(MATCH($Q$1&amp;"@37",MASTER!$AC$4:$AC$1463,0),"")</f>
        <v>483</v>
      </c>
    </row>
    <row r="46" spans="1:16">
      <c r="A46" s="19">
        <f>IF($P46="","",38)</f>
        <v>38</v>
      </c>
      <c r="B46" s="18" t="str">
        <f>IF($P46="","",IFERROR(IF(INDEX(MASTER!$C$4:$C$1463,$P46)="","",INDEX(MASTER!$C$4:$C$1463,$P46)),""))</f>
        <v>HeMan777</v>
      </c>
      <c r="C46" s="19" t="str">
        <f>IF($P46="","",IFERROR(IF(INDEX(MASTER!$D$4:$D$1463,$P46)="","",INDEX(MASTER!$D$4:$D$1463,$P46)),""))</f>
        <v/>
      </c>
      <c r="D46" s="19" t="str">
        <f>IF($P46="","",IFERROR(IF(INDEX(MASTER!$E$4:$E$1463,$P46)="","",INDEX(MASTER!$E$4:$E$1463,$P46)),""))</f>
        <v>BARBARIAN</v>
      </c>
      <c r="E46" s="19" t="str">
        <f>IF($P46="","",IFERROR(IF(INDEX(MASTER!$F$4:$F$1463,$P46)="","",INDEX(MASTER!$F$4:$F$1463,$P46)),""))</f>
        <v>Frontline</v>
      </c>
      <c r="F46" s="20">
        <f>IF($P46="","",IFERROR(IF(INDEX(MASTER!$G$4:$G$1463,$P46)="","",INDEX(MASTER!$G$4:$G$1463,$P46)),""))</f>
        <v>62870</v>
      </c>
      <c r="G46" s="19" t="str">
        <f>IF($P46="","",IFERROR(IF(INDEX(MASTER!$H$4:$H$1463,$P46)="","",INDEX(MASTER!$H$4:$H$1463,$P46)),""))</f>
        <v>62,000 - 62,999</v>
      </c>
      <c r="H46" s="20">
        <f>IF($P46="","",IFERROR(IF(INDEX(MASTER!$I$4:$I$1463,$P46)="","",INDEX(MASTER!$I$4:$I$1463,$P46)),""))</f>
        <v>2046</v>
      </c>
      <c r="I46" s="19" t="str">
        <f>IF($P46="","",IFERROR(IF(INDEX(MASTER!$J$4:$J$1463,$P46)="","",INDEX(MASTER!$J$4:$J$1463,$P46)),""))</f>
        <v>DEVELOPING</v>
      </c>
      <c r="J46" s="21">
        <f>IF($P46="","",IFERROR(IF(INDEX(MASTER!$L$4:$L$1463,$P46)="","",INDEX(MASTER!$L$4:$L$1463,$P46)),""))</f>
        <v>3.5</v>
      </c>
      <c r="K46" s="21">
        <f>IF($P46="","",IFERROR(IF(INDEX(MASTER!$N$4:$N$1463,$P46)="","",INDEX(MASTER!$N$4:$N$1463,$P46)),""))</f>
        <v>35.5</v>
      </c>
      <c r="L46" s="19" t="str">
        <f>IF($P46="","",IFERROR(IF(INDEX(MASTER!$O$4:$O$1463,$P46)="","",INDEX(MASTER!$O$4:$O$1463,$P46)),""))</f>
        <v>B</v>
      </c>
      <c r="M46" s="19">
        <f>IF($P46="","",IFERROR(IF(INDEX(MASTER!$Q$4:$Q$1463,$P46)="","",INDEX(MASTER!$Q$4:$Q$1463,$P46)),""))</f>
        <v>38</v>
      </c>
      <c r="N46" s="19" t="str">
        <f>IF($P46="","",IFERROR(IF(INDEX(MASTER!$S$4:$S$1463,$P46)="","",INDEX(MASTER!$S$4:$S$1463,$P46)),""))</f>
        <v>Complete</v>
      </c>
      <c r="P46">
        <f>IFERROR(MATCH($Q$1&amp;"@38",MASTER!$AC$4:$AC$1463,0),"")</f>
        <v>493</v>
      </c>
    </row>
    <row r="47" spans="1:16">
      <c r="A47" s="15">
        <f>IF($P47="","",39)</f>
        <v>39</v>
      </c>
      <c r="B47" s="14" t="str">
        <f>IF($P47="","",IFERROR(IF(INDEX(MASTER!$C$4:$C$1463,$P47)="","",INDEX(MASTER!$C$4:$C$1463,$P47)),""))</f>
        <v>Herbivore</v>
      </c>
      <c r="C47" s="15" t="str">
        <f>IF($P47="","",IFERROR(IF(INDEX(MASTER!$D$4:$D$1463,$P47)="","",INDEX(MASTER!$D$4:$D$1463,$P47)),""))</f>
        <v/>
      </c>
      <c r="D47" s="15" t="str">
        <f>IF($P47="","",IFERROR(IF(INDEX(MASTER!$E$4:$E$1463,$P47)="","",INDEX(MASTER!$E$4:$E$1463,$P47)),""))</f>
        <v>BARBARIAN</v>
      </c>
      <c r="E47" s="15" t="str">
        <f>IF($P47="","",IFERROR(IF(INDEX(MASTER!$F$4:$F$1463,$P47)="","",INDEX(MASTER!$F$4:$F$1463,$P47)),""))</f>
        <v>Frontline</v>
      </c>
      <c r="F47" s="16">
        <f>IF($P47="","",IFERROR(IF(INDEX(MASTER!$G$4:$G$1463,$P47)="","",INDEX(MASTER!$G$4:$G$1463,$P47)),""))</f>
        <v>59904</v>
      </c>
      <c r="G47" s="15" t="str">
        <f>IF($P47="","",IFERROR(IF(INDEX(MASTER!$H$4:$H$1463,$P47)="","",INDEX(MASTER!$H$4:$H$1463,$P47)),""))</f>
        <v>58,000 - 59,999</v>
      </c>
      <c r="H47" s="16">
        <f>IF($P47="","",IFERROR(IF(INDEX(MASTER!$I$4:$I$1463,$P47)="","",INDEX(MASTER!$I$4:$I$1463,$P47)),""))</f>
        <v>990</v>
      </c>
      <c r="I47" s="15" t="str">
        <f>IF($P47="","",IFERROR(IF(INDEX(MASTER!$J$4:$J$1463,$P47)="","",INDEX(MASTER!$J$4:$J$1463,$P47)),""))</f>
        <v>ROOKIE</v>
      </c>
      <c r="J47" s="17">
        <f>IF($P47="","",IFERROR(IF(INDEX(MASTER!$L$4:$L$1463,$P47)="","",INDEX(MASTER!$L$4:$L$1463,$P47)),""))</f>
        <v>3.2</v>
      </c>
      <c r="K47" s="17">
        <f>IF($P47="","",IFERROR(IF(INDEX(MASTER!$N$4:$N$1463,$P47)="","",INDEX(MASTER!$N$4:$N$1463,$P47)),""))</f>
        <v>22.6</v>
      </c>
      <c r="L47" s="15" t="str">
        <f>IF($P47="","",IFERROR(IF(INDEX(MASTER!$O$4:$O$1463,$P47)="","",INDEX(MASTER!$O$4:$O$1463,$P47)),""))</f>
        <v>C</v>
      </c>
      <c r="M47" s="15">
        <f>IF($P47="","",IFERROR(IF(INDEX(MASTER!$Q$4:$Q$1463,$P47)="","",INDEX(MASTER!$Q$4:$Q$1463,$P47)),""))</f>
        <v>85</v>
      </c>
      <c r="N47" s="15" t="str">
        <f>IF($P47="","",IFERROR(IF(INDEX(MASTER!$S$4:$S$1463,$P47)="","",INDEX(MASTER!$S$4:$S$1463,$P47)),""))</f>
        <v>Complete</v>
      </c>
      <c r="P47">
        <f>IFERROR(MATCH($Q$1&amp;"@39",MASTER!$AC$4:$AC$1463,0),"")</f>
        <v>497</v>
      </c>
    </row>
    <row r="48" spans="1:16">
      <c r="A48" s="19">
        <f>IF($P48="","",40)</f>
        <v>40</v>
      </c>
      <c r="B48" s="18" t="str">
        <f>IF($P48="","",IFERROR(IF(INDEX(MASTER!$C$4:$C$1463,$P48)="","",INDEX(MASTER!$C$4:$C$1463,$P48)),""))</f>
        <v>HunterWolf</v>
      </c>
      <c r="C48" s="19" t="str">
        <f>IF($P48="","",IFERROR(IF(INDEX(MASTER!$D$4:$D$1463,$P48)="","",INDEX(MASTER!$D$4:$D$1463,$P48)),""))</f>
        <v/>
      </c>
      <c r="D48" s="19" t="str">
        <f>IF($P48="","",IFERROR(IF(INDEX(MASTER!$E$4:$E$1463,$P48)="","",INDEX(MASTER!$E$4:$E$1463,$P48)),""))</f>
        <v>DEMON HUNTER</v>
      </c>
      <c r="E48" s="19" t="str">
        <f>IF($P48="","",IFERROR(IF(INDEX(MASTER!$F$4:$F$1463,$P48)="","",INDEX(MASTER!$F$4:$F$1463,$P48)),""))</f>
        <v>Ranged DPS</v>
      </c>
      <c r="F48" s="20">
        <f>IF($P48="","",IFERROR(IF(INDEX(MASTER!$G$4:$G$1463,$P48)="","",INDEX(MASTER!$G$4:$G$1463,$P48)),""))</f>
        <v>59272</v>
      </c>
      <c r="G48" s="19" t="str">
        <f>IF($P48="","",IFERROR(IF(INDEX(MASTER!$H$4:$H$1463,$P48)="","",INDEX(MASTER!$H$4:$H$1463,$P48)),""))</f>
        <v>58,000 - 59,999</v>
      </c>
      <c r="H48" s="20">
        <f>IF($P48="","",IFERROR(IF(INDEX(MASTER!$I$4:$I$1463,$P48)="","",INDEX(MASTER!$I$4:$I$1463,$P48)),""))</f>
        <v>531</v>
      </c>
      <c r="I48" s="19" t="str">
        <f>IF($P48="","",IFERROR(IF(INDEX(MASTER!$J$4:$J$1463,$P48)="","",INDEX(MASTER!$J$4:$J$1463,$P48)),""))</f>
        <v>ROOKIE</v>
      </c>
      <c r="J48" s="21">
        <f>IF($P48="","",IFERROR(IF(INDEX(MASTER!$L$4:$L$1463,$P48)="","",INDEX(MASTER!$L$4:$L$1463,$P48)),""))</f>
        <v>2.8</v>
      </c>
      <c r="K48" s="21">
        <f>IF($P48="","",IFERROR(IF(INDEX(MASTER!$N$4:$N$1463,$P48)="","",INDEX(MASTER!$N$4:$N$1463,$P48)),""))</f>
        <v>18.2</v>
      </c>
      <c r="L48" s="19" t="str">
        <f>IF($P48="","",IFERROR(IF(INDEX(MASTER!$O$4:$O$1463,$P48)="","",INDEX(MASTER!$O$4:$O$1463,$P48)),""))</f>
        <v>D</v>
      </c>
      <c r="M48" s="19">
        <f>IF($P48="","",IFERROR(IF(INDEX(MASTER!$Q$4:$Q$1463,$P48)="","",INDEX(MASTER!$Q$4:$Q$1463,$P48)),""))</f>
        <v>97</v>
      </c>
      <c r="N48" s="19" t="str">
        <f>IF($P48="","",IFERROR(IF(INDEX(MASTER!$S$4:$S$1463,$P48)="","",INDEX(MASTER!$S$4:$S$1463,$P48)),""))</f>
        <v>Complete</v>
      </c>
      <c r="P48">
        <f>IFERROR(MATCH($Q$1&amp;"@40",MASTER!$AC$4:$AC$1463,0),"")</f>
        <v>518</v>
      </c>
    </row>
    <row r="49" spans="1:16">
      <c r="A49" s="15">
        <f>IF($P49="","",41)</f>
        <v>41</v>
      </c>
      <c r="B49" s="14" t="str">
        <f>IF($P49="","",IFERROR(IF(INDEX(MASTER!$C$4:$C$1463,$P49)="","",INDEX(MASTER!$C$4:$C$1463,$P49)),""))</f>
        <v>IzzyGirl</v>
      </c>
      <c r="C49" s="15" t="str">
        <f>IF($P49="","",IFERROR(IF(INDEX(MASTER!$D$4:$D$1463,$P49)="","",INDEX(MASTER!$D$4:$D$1463,$P49)),""))</f>
        <v/>
      </c>
      <c r="D49" s="15" t="str">
        <f>IF($P49="","",IFERROR(IF(INDEX(MASTER!$E$4:$E$1463,$P49)="","",INDEX(MASTER!$E$4:$E$1463,$P49)),""))</f>
        <v>WARLOCK</v>
      </c>
      <c r="E49" s="15" t="str">
        <f>IF($P49="","",IFERROR(IF(INDEX(MASTER!$F$4:$F$1463,$P49)="","",INDEX(MASTER!$F$4:$F$1463,$P49)),""))</f>
        <v>Control</v>
      </c>
      <c r="F49" s="16">
        <f>IF($P49="","",IFERROR(IF(INDEX(MASTER!$G$4:$G$1463,$P49)="","",INDEX(MASTER!$G$4:$G$1463,$P49)),""))</f>
        <v>60916</v>
      </c>
      <c r="G49" s="15" t="str">
        <f>IF($P49="","",IFERROR(IF(INDEX(MASTER!$H$4:$H$1463,$P49)="","",INDEX(MASTER!$H$4:$H$1463,$P49)),""))</f>
        <v>60,000 - 60,999</v>
      </c>
      <c r="H49" s="16">
        <f>IF($P49="","",IFERROR(IF(INDEX(MASTER!$I$4:$I$1463,$P49)="","",INDEX(MASTER!$I$4:$I$1463,$P49)),""))</f>
        <v>1639</v>
      </c>
      <c r="I49" s="15" t="str">
        <f>IF($P49="","",IFERROR(IF(INDEX(MASTER!$J$4:$J$1463,$P49)="","",INDEX(MASTER!$J$4:$J$1463,$P49)),""))</f>
        <v>ROOKIE</v>
      </c>
      <c r="J49" s="17">
        <f>IF($P49="","",IFERROR(IF(INDEX(MASTER!$L$4:$L$1463,$P49)="","",INDEX(MASTER!$L$4:$L$1463,$P49)),""))</f>
        <v>3.4</v>
      </c>
      <c r="K49" s="17">
        <f>IF($P49="","",IFERROR(IF(INDEX(MASTER!$N$4:$N$1463,$P49)="","",INDEX(MASTER!$N$4:$N$1463,$P49)),""))</f>
        <v>28.4</v>
      </c>
      <c r="L49" s="15" t="str">
        <f>IF($P49="","",IFERROR(IF(INDEX(MASTER!$O$4:$O$1463,$P49)="","",INDEX(MASTER!$O$4:$O$1463,$P49)),""))</f>
        <v>C</v>
      </c>
      <c r="M49" s="15">
        <f>IF($P49="","",IFERROR(IF(INDEX(MASTER!$Q$4:$Q$1463,$P49)="","",INDEX(MASTER!$Q$4:$Q$1463,$P49)),""))</f>
        <v>52</v>
      </c>
      <c r="N49" s="15" t="str">
        <f>IF($P49="","",IFERROR(IF(INDEX(MASTER!$S$4:$S$1463,$P49)="","",INDEX(MASTER!$S$4:$S$1463,$P49)),""))</f>
        <v>Complete</v>
      </c>
      <c r="P49">
        <f>IFERROR(MATCH($Q$1&amp;"@41",MASTER!$AC$4:$AC$1463,0),"")</f>
        <v>543</v>
      </c>
    </row>
    <row r="50" spans="1:16">
      <c r="A50" s="19">
        <f>IF($P50="","",42)</f>
        <v>42</v>
      </c>
      <c r="B50" s="18" t="str">
        <f>IF($P50="","",IFERROR(IF(INDEX(MASTER!$C$4:$C$1463,$P50)="","",INDEX(MASTER!$C$4:$C$1463,$P50)),""))</f>
        <v>Jdpower</v>
      </c>
      <c r="C50" s="19" t="str">
        <f>IF($P50="","",IFERROR(IF(INDEX(MASTER!$D$4:$D$1463,$P50)="","",INDEX(MASTER!$D$4:$D$1463,$P50)),""))</f>
        <v/>
      </c>
      <c r="D50" s="19" t="str">
        <f>IF($P50="","",IFERROR(IF(INDEX(MASTER!$E$4:$E$1463,$P50)="","",INDEX(MASTER!$E$4:$E$1463,$P50)),""))</f>
        <v>DEMON HUNTER</v>
      </c>
      <c r="E50" s="19" t="str">
        <f>IF($P50="","",IFERROR(IF(INDEX(MASTER!$F$4:$F$1463,$P50)="","",INDEX(MASTER!$F$4:$F$1463,$P50)),""))</f>
        <v>Ranged DPS</v>
      </c>
      <c r="F50" s="20">
        <f>IF($P50="","",IFERROR(IF(INDEX(MASTER!$G$4:$G$1463,$P50)="","",INDEX(MASTER!$G$4:$G$1463,$P50)),""))</f>
        <v>61297</v>
      </c>
      <c r="G50" s="19" t="str">
        <f>IF($P50="","",IFERROR(IF(INDEX(MASTER!$H$4:$H$1463,$P50)="","",INDEX(MASTER!$H$4:$H$1463,$P50)),""))</f>
        <v>61,000 - 61,999</v>
      </c>
      <c r="H50" s="20">
        <f>IF($P50="","",IFERROR(IF(INDEX(MASTER!$I$4:$I$1463,$P50)="","",INDEX(MASTER!$I$4:$I$1463,$P50)),""))</f>
        <v>841</v>
      </c>
      <c r="I50" s="19" t="str">
        <f>IF($P50="","",IFERROR(IF(INDEX(MASTER!$J$4:$J$1463,$P50)="","",INDEX(MASTER!$J$4:$J$1463,$P50)),""))</f>
        <v>ROOKIE</v>
      </c>
      <c r="J50" s="21">
        <f>IF($P50="","",IFERROR(IF(INDEX(MASTER!$L$4:$L$1463,$P50)="","",INDEX(MASTER!$L$4:$L$1463,$P50)),""))</f>
        <v>2.7</v>
      </c>
      <c r="K50" s="21">
        <f>IF($P50="","",IFERROR(IF(INDEX(MASTER!$N$4:$N$1463,$P50)="","",INDEX(MASTER!$N$4:$N$1463,$P50)),""))</f>
        <v>24.7</v>
      </c>
      <c r="L50" s="19" t="str">
        <f>IF($P50="","",IFERROR(IF(INDEX(MASTER!$O$4:$O$1463,$P50)="","",INDEX(MASTER!$O$4:$O$1463,$P50)),""))</f>
        <v>C</v>
      </c>
      <c r="M50" s="19">
        <f>IF($P50="","",IFERROR(IF(INDEX(MASTER!$Q$4:$Q$1463,$P50)="","",INDEX(MASTER!$Q$4:$Q$1463,$P50)),""))</f>
        <v>87</v>
      </c>
      <c r="N50" s="19" t="str">
        <f>IF($P50="","",IFERROR(IF(INDEX(MASTER!$S$4:$S$1463,$P50)="","",INDEX(MASTER!$S$4:$S$1463,$P50)),""))</f>
        <v>Complete</v>
      </c>
      <c r="P50">
        <f>IFERROR(MATCH($Q$1&amp;"@42",MASTER!$AC$4:$AC$1463,0),"")</f>
        <v>555</v>
      </c>
    </row>
    <row r="51" spans="1:16">
      <c r="A51" s="15">
        <f>IF($P51="","",43)</f>
        <v>43</v>
      </c>
      <c r="B51" s="14" t="str">
        <f>IF($P51="","",IFERROR(IF(INDEX(MASTER!$C$4:$C$1463,$P51)="","",INDEX(MASTER!$C$4:$C$1463,$P51)),""))</f>
        <v>Jęn</v>
      </c>
      <c r="C51" s="15" t="str">
        <f>IF($P51="","",IFERROR(IF(INDEX(MASTER!$D$4:$D$1463,$P51)="","",INDEX(MASTER!$D$4:$D$1463,$P51)),""))</f>
        <v/>
      </c>
      <c r="D51" s="15" t="str">
        <f>IF($P51="","",IFERROR(IF(INDEX(MASTER!$E$4:$E$1463,$P51)="","",INDEX(MASTER!$E$4:$E$1463,$P51)),""))</f>
        <v>DRUID</v>
      </c>
      <c r="E51" s="15" t="str">
        <f>IF($P51="","",IFERROR(IF(INDEX(MASTER!$F$4:$F$1463,$P51)="","",INDEX(MASTER!$F$4:$F$1463,$P51)),""))</f>
        <v>Support</v>
      </c>
      <c r="F51" s="16">
        <f>IF($P51="","",IFERROR(IF(INDEX(MASTER!$G$4:$G$1463,$P51)="","",INDEX(MASTER!$G$4:$G$1463,$P51)),""))</f>
        <v>60506</v>
      </c>
      <c r="G51" s="15" t="str">
        <f>IF($P51="","",IFERROR(IF(INDEX(MASTER!$H$4:$H$1463,$P51)="","",INDEX(MASTER!$H$4:$H$1463,$P51)),""))</f>
        <v>60,000 - 60,999</v>
      </c>
      <c r="H51" s="16">
        <f>IF($P51="","",IFERROR(IF(INDEX(MASTER!$I$4:$I$1463,$P51)="","",INDEX(MASTER!$I$4:$I$1463,$P51)),""))</f>
        <v>1560</v>
      </c>
      <c r="I51" s="15" t="str">
        <f>IF($P51="","",IFERROR(IF(INDEX(MASTER!$J$4:$J$1463,$P51)="","",INDEX(MASTER!$J$4:$J$1463,$P51)),""))</f>
        <v>ROOKIE</v>
      </c>
      <c r="J51" s="17">
        <f>IF($P51="","",IFERROR(IF(INDEX(MASTER!$L$4:$L$1463,$P51)="","",INDEX(MASTER!$L$4:$L$1463,$P51)),""))</f>
        <v>2.6</v>
      </c>
      <c r="K51" s="17">
        <f>IF($P51="","",IFERROR(IF(INDEX(MASTER!$N$4:$N$1463,$P51)="","",INDEX(MASTER!$N$4:$N$1463,$P51)),""))</f>
        <v>25.6</v>
      </c>
      <c r="L51" s="15" t="str">
        <f>IF($P51="","",IFERROR(IF(INDEX(MASTER!$O$4:$O$1463,$P51)="","",INDEX(MASTER!$O$4:$O$1463,$P51)),""))</f>
        <v>C</v>
      </c>
      <c r="M51" s="15">
        <f>IF($P51="","",IFERROR(IF(INDEX(MASTER!$Q$4:$Q$1463,$P51)="","",INDEX(MASTER!$Q$4:$Q$1463,$P51)),""))</f>
        <v>56</v>
      </c>
      <c r="N51" s="15" t="str">
        <f>IF($P51="","",IFERROR(IF(INDEX(MASTER!$S$4:$S$1463,$P51)="","",INDEX(MASTER!$S$4:$S$1463,$P51)),""))</f>
        <v>Complete</v>
      </c>
      <c r="P51">
        <f>IFERROR(MATCH($Q$1&amp;"@43",MASTER!$AC$4:$AC$1463,0),"")</f>
        <v>579</v>
      </c>
    </row>
    <row r="52" spans="1:16">
      <c r="A52" s="19">
        <f>IF($P52="","",44)</f>
        <v>44</v>
      </c>
      <c r="B52" s="18" t="str">
        <f>IF($P52="","",IFERROR(IF(INDEX(MASTER!$C$4:$C$1463,$P52)="","",INDEX(MASTER!$C$4:$C$1463,$P52)),""))</f>
        <v>Jessamy</v>
      </c>
      <c r="C52" s="19" t="str">
        <f>IF($P52="","",IFERROR(IF(INDEX(MASTER!$D$4:$D$1463,$P52)="","",INDEX(MASTER!$D$4:$D$1463,$P52)),""))</f>
        <v/>
      </c>
      <c r="D52" s="19" t="str">
        <f>IF($P52="","",IFERROR(IF(INDEX(MASTER!$E$4:$E$1463,$P52)="","",INDEX(MASTER!$E$4:$E$1463,$P52)),""))</f>
        <v>WARLOCK</v>
      </c>
      <c r="E52" s="19" t="str">
        <f>IF($P52="","",IFERROR(IF(INDEX(MASTER!$F$4:$F$1463,$P52)="","",INDEX(MASTER!$F$4:$F$1463,$P52)),""))</f>
        <v>Control</v>
      </c>
      <c r="F52" s="20">
        <f>IF($P52="","",IFERROR(IF(INDEX(MASTER!$G$4:$G$1463,$P52)="","",INDEX(MASTER!$G$4:$G$1463,$P52)),""))</f>
        <v>62129</v>
      </c>
      <c r="G52" s="19" t="str">
        <f>IF($P52="","",IFERROR(IF(INDEX(MASTER!$H$4:$H$1463,$P52)="","",INDEX(MASTER!$H$4:$H$1463,$P52)),""))</f>
        <v>62,000 - 62,999</v>
      </c>
      <c r="H52" s="20">
        <f>IF($P52="","",IFERROR(IF(INDEX(MASTER!$I$4:$I$1463,$P52)="","",INDEX(MASTER!$I$4:$I$1463,$P52)),""))</f>
        <v>2404</v>
      </c>
      <c r="I52" s="19" t="str">
        <f>IF($P52="","",IFERROR(IF(INDEX(MASTER!$J$4:$J$1463,$P52)="","",INDEX(MASTER!$J$4:$J$1463,$P52)),""))</f>
        <v>DEVELOPING</v>
      </c>
      <c r="J52" s="21">
        <f>IF($P52="","",IFERROR(IF(INDEX(MASTER!$L$4:$L$1463,$P52)="","",INDEX(MASTER!$L$4:$L$1463,$P52)),""))</f>
        <v>4</v>
      </c>
      <c r="K52" s="21">
        <f>IF($P52="","",IFERROR(IF(INDEX(MASTER!$N$4:$N$1463,$P52)="","",INDEX(MASTER!$N$4:$N$1463,$P52)),""))</f>
        <v>35.9</v>
      </c>
      <c r="L52" s="19" t="str">
        <f>IF($P52="","",IFERROR(IF(INDEX(MASTER!$O$4:$O$1463,$P52)="","",INDEX(MASTER!$O$4:$O$1463,$P52)),""))</f>
        <v>B</v>
      </c>
      <c r="M52" s="19">
        <f>IF($P52="","",IFERROR(IF(INDEX(MASTER!$Q$4:$Q$1463,$P52)="","",INDEX(MASTER!$Q$4:$Q$1463,$P52)),""))</f>
        <v>29</v>
      </c>
      <c r="N52" s="19" t="str">
        <f>IF($P52="","",IFERROR(IF(INDEX(MASTER!$S$4:$S$1463,$P52)="","",INDEX(MASTER!$S$4:$S$1463,$P52)),""))</f>
        <v>Complete</v>
      </c>
      <c r="P52">
        <f>IFERROR(MATCH($Q$1&amp;"@44",MASTER!$AC$4:$AC$1463,0),"")</f>
        <v>559</v>
      </c>
    </row>
    <row r="53" spans="1:16">
      <c r="A53" s="15">
        <f>IF($P53="","",45)</f>
        <v>45</v>
      </c>
      <c r="B53" s="14" t="str">
        <f>IF($P53="","",IFERROR(IF(INDEX(MASTER!$C$4:$C$1463,$P53)="","",INDEX(MASTER!$C$4:$C$1463,$P53)),""))</f>
        <v>Joker6599</v>
      </c>
      <c r="C53" s="15" t="str">
        <f>IF($P53="","",IFERROR(IF(INDEX(MASTER!$D$4:$D$1463,$P53)="","",INDEX(MASTER!$D$4:$D$1463,$P53)),""))</f>
        <v/>
      </c>
      <c r="D53" s="15" t="str">
        <f>IF($P53="","",IFERROR(IF(INDEX(MASTER!$E$4:$E$1463,$P53)="","",INDEX(MASTER!$E$4:$E$1463,$P53)),""))</f>
        <v>BARBARIAN</v>
      </c>
      <c r="E53" s="15" t="str">
        <f>IF($P53="","",IFERROR(IF(INDEX(MASTER!$F$4:$F$1463,$P53)="","",INDEX(MASTER!$F$4:$F$1463,$P53)),""))</f>
        <v>Frontline</v>
      </c>
      <c r="F53" s="16">
        <f>IF($P53="","",IFERROR(IF(INDEX(MASTER!$G$4:$G$1463,$P53)="","",INDEX(MASTER!$G$4:$G$1463,$P53)),""))</f>
        <v>61288</v>
      </c>
      <c r="G53" s="15" t="str">
        <f>IF($P53="","",IFERROR(IF(INDEX(MASTER!$H$4:$H$1463,$P53)="","",INDEX(MASTER!$H$4:$H$1463,$P53)),""))</f>
        <v>61,000 - 61,999</v>
      </c>
      <c r="H53" s="16">
        <f>IF($P53="","",IFERROR(IF(INDEX(MASTER!$I$4:$I$1463,$P53)="","",INDEX(MASTER!$I$4:$I$1463,$P53)),""))</f>
        <v>1150</v>
      </c>
      <c r="I53" s="15" t="str">
        <f>IF($P53="","",IFERROR(IF(INDEX(MASTER!$J$4:$J$1463,$P53)="","",INDEX(MASTER!$J$4:$J$1463,$P53)),""))</f>
        <v>ROOKIE</v>
      </c>
      <c r="J53" s="17">
        <f>IF($P53="","",IFERROR(IF(INDEX(MASTER!$L$4:$L$1463,$P53)="","",INDEX(MASTER!$L$4:$L$1463,$P53)),""))</f>
        <v>2.5</v>
      </c>
      <c r="K53" s="17">
        <f>IF($P53="","",IFERROR(IF(INDEX(MASTER!$N$4:$N$1463,$P53)="","",INDEX(MASTER!$N$4:$N$1463,$P53)),""))</f>
        <v>25.7</v>
      </c>
      <c r="L53" s="15" t="str">
        <f>IF($P53="","",IFERROR(IF(INDEX(MASTER!$O$4:$O$1463,$P53)="","",INDEX(MASTER!$O$4:$O$1463,$P53)),""))</f>
        <v>C</v>
      </c>
      <c r="M53" s="15">
        <f>IF($P53="","",IFERROR(IF(INDEX(MASTER!$Q$4:$Q$1463,$P53)="","",INDEX(MASTER!$Q$4:$Q$1463,$P53)),""))</f>
        <v>74</v>
      </c>
      <c r="N53" s="15" t="str">
        <f>IF($P53="","",IFERROR(IF(INDEX(MASTER!$S$4:$S$1463,$P53)="","",INDEX(MASTER!$S$4:$S$1463,$P53)),""))</f>
        <v>Complete</v>
      </c>
      <c r="P53">
        <f>IFERROR(MATCH($Q$1&amp;"@45",MASTER!$AC$4:$AC$1463,0),"")</f>
        <v>572</v>
      </c>
    </row>
    <row r="54" spans="1:16">
      <c r="A54" s="19">
        <f>IF($P54="","",46)</f>
        <v>46</v>
      </c>
      <c r="B54" s="18" t="str">
        <f>IF($P54="","",IFERROR(IF(INDEX(MASTER!$C$4:$C$1463,$P54)="","",INDEX(MASTER!$C$4:$C$1463,$P54)),""))</f>
        <v>KakiKram</v>
      </c>
      <c r="C54" s="19" t="str">
        <f>IF($P54="","",IFERROR(IF(INDEX(MASTER!$D$4:$D$1463,$P54)="","",INDEX(MASTER!$D$4:$D$1463,$P54)),""))</f>
        <v/>
      </c>
      <c r="D54" s="19" t="str">
        <f>IF($P54="","",IFERROR(IF(INDEX(MASTER!$E$4:$E$1463,$P54)="","",INDEX(MASTER!$E$4:$E$1463,$P54)),""))</f>
        <v>NECROMANCER</v>
      </c>
      <c r="E54" s="19" t="str">
        <f>IF($P54="","",IFERROR(IF(INDEX(MASTER!$F$4:$F$1463,$P54)="","",INDEX(MASTER!$F$4:$F$1463,$P54)),""))</f>
        <v>Control</v>
      </c>
      <c r="F54" s="20">
        <f>IF($P54="","",IFERROR(IF(INDEX(MASTER!$G$4:$G$1463,$P54)="","",INDEX(MASTER!$G$4:$G$1463,$P54)),""))</f>
        <v>62487</v>
      </c>
      <c r="G54" s="19" t="str">
        <f>IF($P54="","",IFERROR(IF(INDEX(MASTER!$H$4:$H$1463,$P54)="","",INDEX(MASTER!$H$4:$H$1463,$P54)),""))</f>
        <v>62,000 - 62,999</v>
      </c>
      <c r="H54" s="20">
        <f>IF($P54="","",IFERROR(IF(INDEX(MASTER!$I$4:$I$1463,$P54)="","",INDEX(MASTER!$I$4:$I$1463,$P54)),""))</f>
        <v>1230</v>
      </c>
      <c r="I54" s="19" t="str">
        <f>IF($P54="","",IFERROR(IF(INDEX(MASTER!$J$4:$J$1463,$P54)="","",INDEX(MASTER!$J$4:$J$1463,$P54)),""))</f>
        <v>ROOKIE</v>
      </c>
      <c r="J54" s="21">
        <f>IF($P54="","",IFERROR(IF(INDEX(MASTER!$L$4:$L$1463,$P54)="","",INDEX(MASTER!$L$4:$L$1463,$P54)),""))</f>
        <v>3.2</v>
      </c>
      <c r="K54" s="21">
        <f>IF($P54="","",IFERROR(IF(INDEX(MASTER!$N$4:$N$1463,$P54)="","",INDEX(MASTER!$N$4:$N$1463,$P54)),""))</f>
        <v>30.4</v>
      </c>
      <c r="L54" s="19" t="str">
        <f>IF($P54="","",IFERROR(IF(INDEX(MASTER!$O$4:$O$1463,$P54)="","",INDEX(MASTER!$O$4:$O$1463,$P54)),""))</f>
        <v>C</v>
      </c>
      <c r="M54" s="19">
        <f>IF($P54="","",IFERROR(IF(INDEX(MASTER!$Q$4:$Q$1463,$P54)="","",INDEX(MASTER!$Q$4:$Q$1463,$P54)),""))</f>
        <v>70</v>
      </c>
      <c r="N54" s="19" t="str">
        <f>IF($P54="","",IFERROR(IF(INDEX(MASTER!$S$4:$S$1463,$P54)="","",INDEX(MASTER!$S$4:$S$1463,$P54)),""))</f>
        <v>Complete</v>
      </c>
      <c r="P54">
        <f>IFERROR(MATCH($Q$1&amp;"@46",MASTER!$AC$4:$AC$1463,0),"")</f>
        <v>583</v>
      </c>
    </row>
    <row r="55" spans="1:16">
      <c r="A55" s="15">
        <f>IF($P55="","",47)</f>
        <v>47</v>
      </c>
      <c r="B55" s="14" t="str">
        <f>IF($P55="","",IFERROR(IF(INDEX(MASTER!$C$4:$C$1463,$P55)="","",INDEX(MASTER!$C$4:$C$1463,$P55)),""))</f>
        <v>Kanii</v>
      </c>
      <c r="C55" s="15" t="str">
        <f>IF($P55="","",IFERROR(IF(INDEX(MASTER!$D$4:$D$1463,$P55)="","",INDEX(MASTER!$D$4:$D$1463,$P55)),""))</f>
        <v/>
      </c>
      <c r="D55" s="15" t="str">
        <f>IF($P55="","",IFERROR(IF(INDEX(MASTER!$E$4:$E$1463,$P55)="","",INDEX(MASTER!$E$4:$E$1463,$P55)),""))</f>
        <v>BARBARIAN</v>
      </c>
      <c r="E55" s="15" t="str">
        <f>IF($P55="","",IFERROR(IF(INDEX(MASTER!$F$4:$F$1463,$P55)="","",INDEX(MASTER!$F$4:$F$1463,$P55)),""))</f>
        <v>Frontline</v>
      </c>
      <c r="F55" s="16">
        <f>IF($P55="","",IFERROR(IF(INDEX(MASTER!$G$4:$G$1463,$P55)="","",INDEX(MASTER!$G$4:$G$1463,$P55)),""))</f>
        <v>60011</v>
      </c>
      <c r="G55" s="15" t="str">
        <f>IF($P55="","",IFERROR(IF(INDEX(MASTER!$H$4:$H$1463,$P55)="","",INDEX(MASTER!$H$4:$H$1463,$P55)),""))</f>
        <v>60,000 - 60,999</v>
      </c>
      <c r="H55" s="16">
        <f>IF($P55="","",IFERROR(IF(INDEX(MASTER!$I$4:$I$1463,$P55)="","",INDEX(MASTER!$I$4:$I$1463,$P55)),""))</f>
        <v>1310</v>
      </c>
      <c r="I55" s="15" t="str">
        <f>IF($P55="","",IFERROR(IF(INDEX(MASTER!$J$4:$J$1463,$P55)="","",INDEX(MASTER!$J$4:$J$1463,$P55)),""))</f>
        <v>ROOKIE</v>
      </c>
      <c r="J55" s="17">
        <f>IF($P55="","",IFERROR(IF(INDEX(MASTER!$L$4:$L$1463,$P55)="","",INDEX(MASTER!$L$4:$L$1463,$P55)),""))</f>
        <v>2.8</v>
      </c>
      <c r="K55" s="17">
        <f>IF($P55="","",IFERROR(IF(INDEX(MASTER!$N$4:$N$1463,$P55)="","",INDEX(MASTER!$N$4:$N$1463,$P55)),""))</f>
        <v>23.6</v>
      </c>
      <c r="L55" s="15" t="str">
        <f>IF($P55="","",IFERROR(IF(INDEX(MASTER!$O$4:$O$1463,$P55)="","",INDEX(MASTER!$O$4:$O$1463,$P55)),""))</f>
        <v>C</v>
      </c>
      <c r="M55" s="15">
        <f>IF($P55="","",IFERROR(IF(INDEX(MASTER!$Q$4:$Q$1463,$P55)="","",INDEX(MASTER!$Q$4:$Q$1463,$P55)),""))</f>
        <v>68</v>
      </c>
      <c r="N55" s="15" t="str">
        <f>IF($P55="","",IFERROR(IF(INDEX(MASTER!$S$4:$S$1463,$P55)="","",INDEX(MASTER!$S$4:$S$1463,$P55)),""))</f>
        <v>Complete</v>
      </c>
      <c r="P55">
        <f>IFERROR(MATCH($Q$1&amp;"@47",MASTER!$AC$4:$AC$1463,0),"")</f>
        <v>588</v>
      </c>
    </row>
    <row r="56" spans="1:16">
      <c r="A56" s="19">
        <f>IF($P56="","",48)</f>
        <v>48</v>
      </c>
      <c r="B56" s="18" t="str">
        <f>IF($P56="","",IFERROR(IF(INDEX(MASTER!$C$4:$C$1463,$P56)="","",INDEX(MASTER!$C$4:$C$1463,$P56)),""))</f>
        <v>kedi</v>
      </c>
      <c r="C56" s="19" t="str">
        <f>IF($P56="","",IFERROR(IF(INDEX(MASTER!$D$4:$D$1463,$P56)="","",INDEX(MASTER!$D$4:$D$1463,$P56)),""))</f>
        <v/>
      </c>
      <c r="D56" s="19" t="str">
        <f>IF($P56="","",IFERROR(IF(INDEX(MASTER!$E$4:$E$1463,$P56)="","",INDEX(MASTER!$E$4:$E$1463,$P56)),""))</f>
        <v>WARLOCK</v>
      </c>
      <c r="E56" s="19" t="str">
        <f>IF($P56="","",IFERROR(IF(INDEX(MASTER!$F$4:$F$1463,$P56)="","",INDEX(MASTER!$F$4:$F$1463,$P56)),""))</f>
        <v>Control</v>
      </c>
      <c r="F56" s="20">
        <f>IF($P56="","",IFERROR(IF(INDEX(MASTER!$G$4:$G$1463,$P56)="","",INDEX(MASTER!$G$4:$G$1463,$P56)),""))</f>
        <v>62081</v>
      </c>
      <c r="G56" s="19" t="str">
        <f>IF($P56="","",IFERROR(IF(INDEX(MASTER!$H$4:$H$1463,$P56)="","",INDEX(MASTER!$H$4:$H$1463,$P56)),""))</f>
        <v>62,000 - 62,999</v>
      </c>
      <c r="H56" s="20">
        <f>IF($P56="","",IFERROR(IF(INDEX(MASTER!$I$4:$I$1463,$P56)="","",INDEX(MASTER!$I$4:$I$1463,$P56)),""))</f>
        <v>1740</v>
      </c>
      <c r="I56" s="19" t="str">
        <f>IF($P56="","",IFERROR(IF(INDEX(MASTER!$J$4:$J$1463,$P56)="","",INDEX(MASTER!$J$4:$J$1463,$P56)),""))</f>
        <v>ROOKIE</v>
      </c>
      <c r="J56" s="21">
        <f>IF($P56="","",IFERROR(IF(INDEX(MASTER!$L$4:$L$1463,$P56)="","",INDEX(MASTER!$L$4:$L$1463,$P56)),""))</f>
        <v>5.0999999999999996</v>
      </c>
      <c r="K56" s="21">
        <f>IF($P56="","",IFERROR(IF(INDEX(MASTER!$N$4:$N$1463,$P56)="","",INDEX(MASTER!$N$4:$N$1463,$P56)),""))</f>
        <v>34.700000000000003</v>
      </c>
      <c r="L56" s="19" t="str">
        <f>IF($P56="","",IFERROR(IF(INDEX(MASTER!$O$4:$O$1463,$P56)="","",INDEX(MASTER!$O$4:$O$1463,$P56)),""))</f>
        <v>C</v>
      </c>
      <c r="M56" s="19">
        <f>IF($P56="","",IFERROR(IF(INDEX(MASTER!$Q$4:$Q$1463,$P56)="","",INDEX(MASTER!$Q$4:$Q$1463,$P56)),""))</f>
        <v>49</v>
      </c>
      <c r="N56" s="19" t="str">
        <f>IF($P56="","",IFERROR(IF(INDEX(MASTER!$S$4:$S$1463,$P56)="","",INDEX(MASTER!$S$4:$S$1463,$P56)),""))</f>
        <v>Complete</v>
      </c>
      <c r="P56">
        <f>IFERROR(MATCH($Q$1&amp;"@48",MASTER!$AC$4:$AC$1463,0),"")</f>
        <v>595</v>
      </c>
    </row>
    <row r="57" spans="1:16">
      <c r="A57" s="15">
        <f>IF($P57="","",49)</f>
        <v>49</v>
      </c>
      <c r="B57" s="14" t="str">
        <f>IF($P57="","",IFERROR(IF(INDEX(MASTER!$C$4:$C$1463,$P57)="","",INDEX(MASTER!$C$4:$C$1463,$P57)),""))</f>
        <v>Knightyhood</v>
      </c>
      <c r="C57" s="15" t="str">
        <f>IF($P57="","",IFERROR(IF(INDEX(MASTER!$D$4:$D$1463,$P57)="","",INDEX(MASTER!$D$4:$D$1463,$P57)),""))</f>
        <v/>
      </c>
      <c r="D57" s="15" t="str">
        <f>IF($P57="","",IFERROR(IF(INDEX(MASTER!$E$4:$E$1463,$P57)="","",INDEX(MASTER!$E$4:$E$1463,$P57)),""))</f>
        <v>DEMON HUNTER</v>
      </c>
      <c r="E57" s="15" t="str">
        <f>IF($P57="","",IFERROR(IF(INDEX(MASTER!$F$4:$F$1463,$P57)="","",INDEX(MASTER!$F$4:$F$1463,$P57)),""))</f>
        <v>Ranged DPS</v>
      </c>
      <c r="F57" s="16">
        <f>IF($P57="","",IFERROR(IF(INDEX(MASTER!$G$4:$G$1463,$P57)="","",INDEX(MASTER!$G$4:$G$1463,$P57)),""))</f>
        <v>60864</v>
      </c>
      <c r="G57" s="15" t="str">
        <f>IF($P57="","",IFERROR(IF(INDEX(MASTER!$H$4:$H$1463,$P57)="","",INDEX(MASTER!$H$4:$H$1463,$P57)),""))</f>
        <v>60,000 - 60,999</v>
      </c>
      <c r="H57" s="16">
        <f>IF($P57="","",IFERROR(IF(INDEX(MASTER!$I$4:$I$1463,$P57)="","",INDEX(MASTER!$I$4:$I$1463,$P57)),""))</f>
        <v>1908</v>
      </c>
      <c r="I57" s="15" t="str">
        <f>IF($P57="","",IFERROR(IF(INDEX(MASTER!$J$4:$J$1463,$P57)="","",INDEX(MASTER!$J$4:$J$1463,$P57)),""))</f>
        <v>ROOKIE</v>
      </c>
      <c r="J57" s="17">
        <f>IF($P57="","",IFERROR(IF(INDEX(MASTER!$L$4:$L$1463,$P57)="","",INDEX(MASTER!$L$4:$L$1463,$P57)),""))</f>
        <v>3.1</v>
      </c>
      <c r="K57" s="17">
        <f>IF($P57="","",IFERROR(IF(INDEX(MASTER!$N$4:$N$1463,$P57)="","",INDEX(MASTER!$N$4:$N$1463,$P57)),""))</f>
        <v>28.9</v>
      </c>
      <c r="L57" s="15" t="str">
        <f>IF($P57="","",IFERROR(IF(INDEX(MASTER!$O$4:$O$1463,$P57)="","",INDEX(MASTER!$O$4:$O$1463,$P57)),""))</f>
        <v>C</v>
      </c>
      <c r="M57" s="15">
        <f>IF($P57="","",IFERROR(IF(INDEX(MASTER!$Q$4:$Q$1463,$P57)="","",INDEX(MASTER!$Q$4:$Q$1463,$P57)),""))</f>
        <v>43</v>
      </c>
      <c r="N57" s="15" t="str">
        <f>IF($P57="","",IFERROR(IF(INDEX(MASTER!$S$4:$S$1463,$P57)="","",INDEX(MASTER!$S$4:$S$1463,$P57)),""))</f>
        <v>Complete</v>
      </c>
      <c r="P57">
        <f>IFERROR(MATCH($Q$1&amp;"@49",MASTER!$AC$4:$AC$1463,0),"")</f>
        <v>617</v>
      </c>
    </row>
    <row r="58" spans="1:16">
      <c r="A58" s="19">
        <f>IF($P58="","",50)</f>
        <v>50</v>
      </c>
      <c r="B58" s="18" t="str">
        <f>IF($P58="","",IFERROR(IF(INDEX(MASTER!$C$4:$C$1463,$P58)="","",INDEX(MASTER!$C$4:$C$1463,$P58)),""))</f>
        <v>Lawndaddy</v>
      </c>
      <c r="C58" s="19" t="str">
        <f>IF($P58="","",IFERROR(IF(INDEX(MASTER!$D$4:$D$1463,$P58)="","",INDEX(MASTER!$D$4:$D$1463,$P58)),""))</f>
        <v/>
      </c>
      <c r="D58" s="19" t="str">
        <f>IF($P58="","",IFERROR(IF(INDEX(MASTER!$E$4:$E$1463,$P58)="","",INDEX(MASTER!$E$4:$E$1463,$P58)),""))</f>
        <v>WARLOCK</v>
      </c>
      <c r="E58" s="19" t="str">
        <f>IF($P58="","",IFERROR(IF(INDEX(MASTER!$F$4:$F$1463,$P58)="","",INDEX(MASTER!$F$4:$F$1463,$P58)),""))</f>
        <v>Control</v>
      </c>
      <c r="F58" s="20">
        <f>IF($P58="","",IFERROR(IF(INDEX(MASTER!$G$4:$G$1463,$P58)="","",INDEX(MASTER!$G$4:$G$1463,$P58)),""))</f>
        <v>60425</v>
      </c>
      <c r="G58" s="19" t="str">
        <f>IF($P58="","",IFERROR(IF(INDEX(MASTER!$H$4:$H$1463,$P58)="","",INDEX(MASTER!$H$4:$H$1463,$P58)),""))</f>
        <v>60,000 - 60,999</v>
      </c>
      <c r="H58" s="20">
        <f>IF($P58="","",IFERROR(IF(INDEX(MASTER!$I$4:$I$1463,$P58)="","",INDEX(MASTER!$I$4:$I$1463,$P58)),""))</f>
        <v>2221</v>
      </c>
      <c r="I58" s="19" t="str">
        <f>IF($P58="","",IFERROR(IF(INDEX(MASTER!$J$4:$J$1463,$P58)="","",INDEX(MASTER!$J$4:$J$1463,$P58)),""))</f>
        <v>DEVELOPING</v>
      </c>
      <c r="J58" s="21">
        <f>IF($P58="","",IFERROR(IF(INDEX(MASTER!$L$4:$L$1463,$P58)="","",INDEX(MASTER!$L$4:$L$1463,$P58)),""))</f>
        <v>4</v>
      </c>
      <c r="K58" s="21">
        <f>IF($P58="","",IFERROR(IF(INDEX(MASTER!$N$4:$N$1463,$P58)="","",INDEX(MASTER!$N$4:$N$1463,$P58)),""))</f>
        <v>30.6</v>
      </c>
      <c r="L58" s="19" t="str">
        <f>IF($P58="","",IFERROR(IF(INDEX(MASTER!$O$4:$O$1463,$P58)="","",INDEX(MASTER!$O$4:$O$1463,$P58)),""))</f>
        <v>C</v>
      </c>
      <c r="M58" s="19">
        <f>IF($P58="","",IFERROR(IF(INDEX(MASTER!$Q$4:$Q$1463,$P58)="","",INDEX(MASTER!$Q$4:$Q$1463,$P58)),""))</f>
        <v>34</v>
      </c>
      <c r="N58" s="19" t="str">
        <f>IF($P58="","",IFERROR(IF(INDEX(MASTER!$S$4:$S$1463,$P58)="","",INDEX(MASTER!$S$4:$S$1463,$P58)),""))</f>
        <v>Complete</v>
      </c>
      <c r="P58">
        <f>IFERROR(MATCH($Q$1&amp;"@50",MASTER!$AC$4:$AC$1463,0),"")</f>
        <v>649</v>
      </c>
    </row>
    <row r="59" spans="1:16">
      <c r="A59" s="15">
        <f>IF($P59="","",51)</f>
        <v>51</v>
      </c>
      <c r="B59" s="14" t="str">
        <f>IF($P59="","",IFERROR(IF(INDEX(MASTER!$C$4:$C$1463,$P59)="","",INDEX(MASTER!$C$4:$C$1463,$P59)),""))</f>
        <v>Leximus</v>
      </c>
      <c r="C59" s="15" t="str">
        <f>IF($P59="","",IFERROR(IF(INDEX(MASTER!$D$4:$D$1463,$P59)="","",INDEX(MASTER!$D$4:$D$1463,$P59)),""))</f>
        <v/>
      </c>
      <c r="D59" s="15" t="str">
        <f>IF($P59="","",IFERROR(IF(INDEX(MASTER!$E$4:$E$1463,$P59)="","",INDEX(MASTER!$E$4:$E$1463,$P59)),""))</f>
        <v>TEMPEST</v>
      </c>
      <c r="E59" s="15" t="str">
        <f>IF($P59="","",IFERROR(IF(INDEX(MASTER!$F$4:$F$1463,$P59)="","",INDEX(MASTER!$F$4:$F$1463,$P59)),""))</f>
        <v>Melee DPS</v>
      </c>
      <c r="F59" s="16">
        <f>IF($P59="","",IFERROR(IF(INDEX(MASTER!$G$4:$G$1463,$P59)="","",INDEX(MASTER!$G$4:$G$1463,$P59)),""))</f>
        <v>61484</v>
      </c>
      <c r="G59" s="15" t="str">
        <f>IF($P59="","",IFERROR(IF(INDEX(MASTER!$H$4:$H$1463,$P59)="","",INDEX(MASTER!$H$4:$H$1463,$P59)),""))</f>
        <v>61,000 - 61,999</v>
      </c>
      <c r="H59" s="16">
        <f>IF($P59="","",IFERROR(IF(INDEX(MASTER!$I$4:$I$1463,$P59)="","",INDEX(MASTER!$I$4:$I$1463,$P59)),""))</f>
        <v>1630</v>
      </c>
      <c r="I59" s="15" t="str">
        <f>IF($P59="","",IFERROR(IF(INDEX(MASTER!$J$4:$J$1463,$P59)="","",INDEX(MASTER!$J$4:$J$1463,$P59)),""))</f>
        <v>ROOKIE</v>
      </c>
      <c r="J59" s="17">
        <f>IF($P59="","",IFERROR(IF(INDEX(MASTER!$L$4:$L$1463,$P59)="","",INDEX(MASTER!$L$4:$L$1463,$P59)),""))</f>
        <v>3.2</v>
      </c>
      <c r="K59" s="17">
        <f>IF($P59="","",IFERROR(IF(INDEX(MASTER!$N$4:$N$1463,$P59)="","",INDEX(MASTER!$N$4:$N$1463,$P59)),""))</f>
        <v>29.5</v>
      </c>
      <c r="L59" s="15" t="str">
        <f>IF($P59="","",IFERROR(IF(INDEX(MASTER!$O$4:$O$1463,$P59)="","",INDEX(MASTER!$O$4:$O$1463,$P59)),""))</f>
        <v>C</v>
      </c>
      <c r="M59" s="15">
        <f>IF($P59="","",IFERROR(IF(INDEX(MASTER!$Q$4:$Q$1463,$P59)="","",INDEX(MASTER!$Q$4:$Q$1463,$P59)),""))</f>
        <v>54</v>
      </c>
      <c r="N59" s="15" t="str">
        <f>IF($P59="","",IFERROR(IF(INDEX(MASTER!$S$4:$S$1463,$P59)="","",INDEX(MASTER!$S$4:$S$1463,$P59)),""))</f>
        <v>Complete</v>
      </c>
      <c r="P59">
        <f>IFERROR(MATCH($Q$1&amp;"@51",MASTER!$AC$4:$AC$1463,0),"")</f>
        <v>662</v>
      </c>
    </row>
    <row r="60" spans="1:16">
      <c r="A60" s="19">
        <f>IF($P60="","",52)</f>
        <v>52</v>
      </c>
      <c r="B60" s="18" t="str">
        <f>IF($P60="","",IFERROR(IF(INDEX(MASTER!$C$4:$C$1463,$P60)="","",INDEX(MASTER!$C$4:$C$1463,$P60)),""))</f>
        <v>Lymryn</v>
      </c>
      <c r="C60" s="19" t="str">
        <f>IF($P60="","",IFERROR(IF(INDEX(MASTER!$D$4:$D$1463,$P60)="","",INDEX(MASTER!$D$4:$D$1463,$P60)),""))</f>
        <v/>
      </c>
      <c r="D60" s="19" t="str">
        <f>IF($P60="","",IFERROR(IF(INDEX(MASTER!$E$4:$E$1463,$P60)="","",INDEX(MASTER!$E$4:$E$1463,$P60)),""))</f>
        <v>WARLOCK</v>
      </c>
      <c r="E60" s="19" t="str">
        <f>IF($P60="","",IFERROR(IF(INDEX(MASTER!$F$4:$F$1463,$P60)="","",INDEX(MASTER!$F$4:$F$1463,$P60)),""))</f>
        <v>Control</v>
      </c>
      <c r="F60" s="20">
        <f>IF($P60="","",IFERROR(IF(INDEX(MASTER!$G$4:$G$1463,$P60)="","",INDEX(MASTER!$G$4:$G$1463,$P60)),""))</f>
        <v>61674</v>
      </c>
      <c r="G60" s="19" t="str">
        <f>IF($P60="","",IFERROR(IF(INDEX(MASTER!$H$4:$H$1463,$P60)="","",INDEX(MASTER!$H$4:$H$1463,$P60)),""))</f>
        <v>61,000 - 61,999</v>
      </c>
      <c r="H60" s="20">
        <f>IF($P60="","",IFERROR(IF(INDEX(MASTER!$I$4:$I$1463,$P60)="","",INDEX(MASTER!$I$4:$I$1463,$P60)),""))</f>
        <v>2454</v>
      </c>
      <c r="I60" s="19" t="str">
        <f>IF($P60="","",IFERROR(IF(INDEX(MASTER!$J$4:$J$1463,$P60)="","",INDEX(MASTER!$J$4:$J$1463,$P60)),""))</f>
        <v>DEVELOPING</v>
      </c>
      <c r="J60" s="21">
        <f>IF($P60="","",IFERROR(IF(INDEX(MASTER!$L$4:$L$1463,$P60)="","",INDEX(MASTER!$L$4:$L$1463,$P60)),""))</f>
        <v>3.8</v>
      </c>
      <c r="K60" s="21">
        <f>IF($P60="","",IFERROR(IF(INDEX(MASTER!$N$4:$N$1463,$P60)="","",INDEX(MASTER!$N$4:$N$1463,$P60)),""))</f>
        <v>34.6</v>
      </c>
      <c r="L60" s="19" t="str">
        <f>IF($P60="","",IFERROR(IF(INDEX(MASTER!$O$4:$O$1463,$P60)="","",INDEX(MASTER!$O$4:$O$1463,$P60)),""))</f>
        <v>C</v>
      </c>
      <c r="M60" s="19">
        <f>IF($P60="","",IFERROR(IF(INDEX(MASTER!$Q$4:$Q$1463,$P60)="","",INDEX(MASTER!$Q$4:$Q$1463,$P60)),""))</f>
        <v>27</v>
      </c>
      <c r="N60" s="19" t="str">
        <f>IF($P60="","",IFERROR(IF(INDEX(MASTER!$S$4:$S$1463,$P60)="","",INDEX(MASTER!$S$4:$S$1463,$P60)),""))</f>
        <v>Complete</v>
      </c>
      <c r="P60">
        <f>IFERROR(MATCH($Q$1&amp;"@52",MASTER!$AC$4:$AC$1463,0),"")</f>
        <v>702</v>
      </c>
    </row>
    <row r="61" spans="1:16">
      <c r="A61" s="15">
        <f>IF($P61="","",53)</f>
        <v>53</v>
      </c>
      <c r="B61" s="14" t="str">
        <f>IF($P61="","",IFERROR(IF(INDEX(MASTER!$C$4:$C$1463,$P61)="","",INDEX(MASTER!$C$4:$C$1463,$P61)),""))</f>
        <v>Mazzi</v>
      </c>
      <c r="C61" s="15" t="str">
        <f>IF($P61="","",IFERROR(IF(INDEX(MASTER!$D$4:$D$1463,$P61)="","",INDEX(MASTER!$D$4:$D$1463,$P61)),""))</f>
        <v/>
      </c>
      <c r="D61" s="15" t="str">
        <f>IF($P61="","",IFERROR(IF(INDEX(MASTER!$E$4:$E$1463,$P61)="","",INDEX(MASTER!$E$4:$E$1463,$P61)),""))</f>
        <v>BARBARIAN</v>
      </c>
      <c r="E61" s="15" t="str">
        <f>IF($P61="","",IFERROR(IF(INDEX(MASTER!$F$4:$F$1463,$P61)="","",INDEX(MASTER!$F$4:$F$1463,$P61)),""))</f>
        <v>Frontline</v>
      </c>
      <c r="F61" s="16">
        <f>IF($P61="","",IFERROR(IF(INDEX(MASTER!$G$4:$G$1463,$P61)="","",INDEX(MASTER!$G$4:$G$1463,$P61)),""))</f>
        <v>63135</v>
      </c>
      <c r="G61" s="15" t="str">
        <f>IF($P61="","",IFERROR(IF(INDEX(MASTER!$H$4:$H$1463,$P61)="","",INDEX(MASTER!$H$4:$H$1463,$P61)),""))</f>
        <v>63,000 - 63,999</v>
      </c>
      <c r="H61" s="16">
        <f>IF($P61="","",IFERROR(IF(INDEX(MASTER!$I$4:$I$1463,$P61)="","",INDEX(MASTER!$I$4:$I$1463,$P61)),""))</f>
        <v>3128</v>
      </c>
      <c r="I61" s="15" t="str">
        <f>IF($P61="","",IFERROR(IF(INDEX(MASTER!$J$4:$J$1463,$P61)="","",INDEX(MASTER!$J$4:$J$1463,$P61)),""))</f>
        <v>DEVELOPING</v>
      </c>
      <c r="J61" s="17">
        <f>IF($P61="","",IFERROR(IF(INDEX(MASTER!$L$4:$L$1463,$P61)="","",INDEX(MASTER!$L$4:$L$1463,$P61)),""))</f>
        <v>6.05</v>
      </c>
      <c r="K61" s="17">
        <f>IF($P61="","",IFERROR(IF(INDEX(MASTER!$N$4:$N$1463,$P61)="","",INDEX(MASTER!$N$4:$N$1463,$P61)),""))</f>
        <v>45.1</v>
      </c>
      <c r="L61" s="15" t="str">
        <f>IF($P61="","",IFERROR(IF(INDEX(MASTER!$O$4:$O$1463,$P61)="","",INDEX(MASTER!$O$4:$O$1463,$P61)),""))</f>
        <v>B</v>
      </c>
      <c r="M61" s="15">
        <f>IF($P61="","",IFERROR(IF(INDEX(MASTER!$Q$4:$Q$1463,$P61)="","",INDEX(MASTER!$Q$4:$Q$1463,$P61)),""))</f>
        <v>17</v>
      </c>
      <c r="N61" s="15" t="str">
        <f>IF($P61="","",IFERROR(IF(INDEX(MASTER!$S$4:$S$1463,$P61)="","",INDEX(MASTER!$S$4:$S$1463,$P61)),""))</f>
        <v>Complete</v>
      </c>
      <c r="P61">
        <f>IFERROR(MATCH($Q$1&amp;"@53",MASTER!$AC$4:$AC$1463,0),"")</f>
        <v>740</v>
      </c>
    </row>
    <row r="62" spans="1:16">
      <c r="A62" s="19">
        <f>IF($P62="","",54)</f>
        <v>54</v>
      </c>
      <c r="B62" s="18" t="str">
        <f>IF($P62="","",IFERROR(IF(INDEX(MASTER!$C$4:$C$1463,$P62)="","",INDEX(MASTER!$C$4:$C$1463,$P62)),""))</f>
        <v>MeatButt</v>
      </c>
      <c r="C62" s="19" t="str">
        <f>IF($P62="","",IFERROR(IF(INDEX(MASTER!$D$4:$D$1463,$P62)="","",INDEX(MASTER!$D$4:$D$1463,$P62)),""))</f>
        <v/>
      </c>
      <c r="D62" s="19" t="str">
        <f>IF($P62="","",IFERROR(IF(INDEX(MASTER!$E$4:$E$1463,$P62)="","",INDEX(MASTER!$E$4:$E$1463,$P62)),""))</f>
        <v>MONK</v>
      </c>
      <c r="E62" s="19" t="str">
        <f>IF($P62="","",IFERROR(IF(INDEX(MASTER!$F$4:$F$1463,$P62)="","",INDEX(MASTER!$F$4:$F$1463,$P62)),""))</f>
        <v>Support</v>
      </c>
      <c r="F62" s="20">
        <f>IF($P62="","",IFERROR(IF(INDEX(MASTER!$G$4:$G$1463,$P62)="","",INDEX(MASTER!$G$4:$G$1463,$P62)),""))</f>
        <v>60959</v>
      </c>
      <c r="G62" s="19" t="str">
        <f>IF($P62="","",IFERROR(IF(INDEX(MASTER!$H$4:$H$1463,$P62)="","",INDEX(MASTER!$H$4:$H$1463,$P62)),""))</f>
        <v>60,000 - 60,999</v>
      </c>
      <c r="H62" s="20">
        <f>IF($P62="","",IFERROR(IF(INDEX(MASTER!$I$4:$I$1463,$P62)="","",INDEX(MASTER!$I$4:$I$1463,$P62)),""))</f>
        <v>4179</v>
      </c>
      <c r="I62" s="19" t="str">
        <f>IF($P62="","",IFERROR(IF(INDEX(MASTER!$J$4:$J$1463,$P62)="","",INDEX(MASTER!$J$4:$J$1463,$P62)),""))</f>
        <v>CORE</v>
      </c>
      <c r="J62" s="21">
        <f>IF($P62="","",IFERROR(IF(INDEX(MASTER!$L$4:$L$1463,$P62)="","",INDEX(MASTER!$L$4:$L$1463,$P62)),""))</f>
        <v>6.12</v>
      </c>
      <c r="K62" s="21">
        <f>IF($P62="","",IFERROR(IF(INDEX(MASTER!$N$4:$N$1463,$P62)="","",INDEX(MASTER!$N$4:$N$1463,$P62)),""))</f>
        <v>44.1</v>
      </c>
      <c r="L62" s="19" t="str">
        <f>IF($P62="","",IFERROR(IF(INDEX(MASTER!$O$4:$O$1463,$P62)="","",INDEX(MASTER!$O$4:$O$1463,$P62)),""))</f>
        <v>B</v>
      </c>
      <c r="M62" s="19">
        <f>IF($P62="","",IFERROR(IF(INDEX(MASTER!$Q$4:$Q$1463,$P62)="","",INDEX(MASTER!$Q$4:$Q$1463,$P62)),""))</f>
        <v>7</v>
      </c>
      <c r="N62" s="19" t="str">
        <f>IF($P62="","",IFERROR(IF(INDEX(MASTER!$S$4:$S$1463,$P62)="","",INDEX(MASTER!$S$4:$S$1463,$P62)),""))</f>
        <v>Complete</v>
      </c>
      <c r="P62">
        <f>IFERROR(MATCH($Q$1&amp;"@54",MASTER!$AC$4:$AC$1463,0),"")</f>
        <v>743</v>
      </c>
    </row>
    <row r="63" spans="1:16">
      <c r="A63" s="15">
        <f>IF($P63="","",55)</f>
        <v>55</v>
      </c>
      <c r="B63" s="14" t="str">
        <f>IF($P63="","",IFERROR(IF(INDEX(MASTER!$C$4:$C$1463,$P63)="","",INDEX(MASTER!$C$4:$C$1463,$P63)),""))</f>
        <v>Meatstickler</v>
      </c>
      <c r="C63" s="15" t="str">
        <f>IF($P63="","",IFERROR(IF(INDEX(MASTER!$D$4:$D$1463,$P63)="","",INDEX(MASTER!$D$4:$D$1463,$P63)),""))</f>
        <v/>
      </c>
      <c r="D63" s="15" t="str">
        <f>IF($P63="","",IFERROR(IF(INDEX(MASTER!$E$4:$E$1463,$P63)="","",INDEX(MASTER!$E$4:$E$1463,$P63)),""))</f>
        <v>WARLOCK</v>
      </c>
      <c r="E63" s="15" t="str">
        <f>IF($P63="","",IFERROR(IF(INDEX(MASTER!$F$4:$F$1463,$P63)="","",INDEX(MASTER!$F$4:$F$1463,$P63)),""))</f>
        <v>Control</v>
      </c>
      <c r="F63" s="16">
        <f>IF($P63="","",IFERROR(IF(INDEX(MASTER!$G$4:$G$1463,$P63)="","",INDEX(MASTER!$G$4:$G$1463,$P63)),""))</f>
        <v>61255</v>
      </c>
      <c r="G63" s="15" t="str">
        <f>IF($P63="","",IFERROR(IF(INDEX(MASTER!$H$4:$H$1463,$P63)="","",INDEX(MASTER!$H$4:$H$1463,$P63)),""))</f>
        <v>61,000 - 61,999</v>
      </c>
      <c r="H63" s="16">
        <f>IF($P63="","",IFERROR(IF(INDEX(MASTER!$I$4:$I$1463,$P63)="","",INDEX(MASTER!$I$4:$I$1463,$P63)),""))</f>
        <v>1404</v>
      </c>
      <c r="I63" s="15" t="str">
        <f>IF($P63="","",IFERROR(IF(INDEX(MASTER!$J$4:$J$1463,$P63)="","",INDEX(MASTER!$J$4:$J$1463,$P63)),""))</f>
        <v>ROOKIE</v>
      </c>
      <c r="J63" s="17">
        <f>IF($P63="","",IFERROR(IF(INDEX(MASTER!$L$4:$L$1463,$P63)="","",INDEX(MASTER!$L$4:$L$1463,$P63)),""))</f>
        <v>3.3</v>
      </c>
      <c r="K63" s="17">
        <f>IF($P63="","",IFERROR(IF(INDEX(MASTER!$N$4:$N$1463,$P63)="","",INDEX(MASTER!$N$4:$N$1463,$P63)),""))</f>
        <v>28.1</v>
      </c>
      <c r="L63" s="15" t="str">
        <f>IF($P63="","",IFERROR(IF(INDEX(MASTER!$O$4:$O$1463,$P63)="","",INDEX(MASTER!$O$4:$O$1463,$P63)),""))</f>
        <v>C</v>
      </c>
      <c r="M63" s="15">
        <f>IF($P63="","",IFERROR(IF(INDEX(MASTER!$Q$4:$Q$1463,$P63)="","",INDEX(MASTER!$Q$4:$Q$1463,$P63)),""))</f>
        <v>65</v>
      </c>
      <c r="N63" s="15" t="str">
        <f>IF($P63="","",IFERROR(IF(INDEX(MASTER!$S$4:$S$1463,$P63)="","",INDEX(MASTER!$S$4:$S$1463,$P63)),""))</f>
        <v>Complete</v>
      </c>
      <c r="P63">
        <f>IFERROR(MATCH($Q$1&amp;"@55",MASTER!$AC$4:$AC$1463,0),"")</f>
        <v>745</v>
      </c>
    </row>
    <row r="64" spans="1:16">
      <c r="A64" s="19">
        <f>IF($P64="","",56)</f>
        <v>56</v>
      </c>
      <c r="B64" s="18" t="str">
        <f>IF($P64="","",IFERROR(IF(INDEX(MASTER!$C$4:$C$1463,$P64)="","",INDEX(MASTER!$C$4:$C$1463,$P64)),""))</f>
        <v>MenaceFDAU</v>
      </c>
      <c r="C64" s="19" t="str">
        <f>IF($P64="","",IFERROR(IF(INDEX(MASTER!$D$4:$D$1463,$P64)="","",INDEX(MASTER!$D$4:$D$1463,$P64)),""))</f>
        <v/>
      </c>
      <c r="D64" s="19" t="str">
        <f>IF($P64="","",IFERROR(IF(INDEX(MASTER!$E$4:$E$1463,$P64)="","",INDEX(MASTER!$E$4:$E$1463,$P64)),""))</f>
        <v>DEMON HUNTER</v>
      </c>
      <c r="E64" s="19" t="str">
        <f>IF($P64="","",IFERROR(IF(INDEX(MASTER!$F$4:$F$1463,$P64)="","",INDEX(MASTER!$F$4:$F$1463,$P64)),""))</f>
        <v>Ranged DPS</v>
      </c>
      <c r="F64" s="20">
        <f>IF($P64="","",IFERROR(IF(INDEX(MASTER!$G$4:$G$1463,$P64)="","",INDEX(MASTER!$G$4:$G$1463,$P64)),""))</f>
        <v>61756</v>
      </c>
      <c r="G64" s="19" t="str">
        <f>IF($P64="","",IFERROR(IF(INDEX(MASTER!$H$4:$H$1463,$P64)="","",INDEX(MASTER!$H$4:$H$1463,$P64)),""))</f>
        <v>61,000 - 61,999</v>
      </c>
      <c r="H64" s="20">
        <f>IF($P64="","",IFERROR(IF(INDEX(MASTER!$I$4:$I$1463,$P64)="","",INDEX(MASTER!$I$4:$I$1463,$P64)),""))</f>
        <v>3147</v>
      </c>
      <c r="I64" s="19" t="str">
        <f>IF($P64="","",IFERROR(IF(INDEX(MASTER!$J$4:$J$1463,$P64)="","",INDEX(MASTER!$J$4:$J$1463,$P64)),""))</f>
        <v>DEVELOPING</v>
      </c>
      <c r="J64" s="21">
        <f>IF($P64="","",IFERROR(IF(INDEX(MASTER!$L$4:$L$1463,$P64)="","",INDEX(MASTER!$L$4:$L$1463,$P64)),""))</f>
        <v>3.8</v>
      </c>
      <c r="K64" s="21">
        <f>IF($P64="","",IFERROR(IF(INDEX(MASTER!$N$4:$N$1463,$P64)="","",INDEX(MASTER!$N$4:$N$1463,$P64)),""))</f>
        <v>37.799999999999997</v>
      </c>
      <c r="L64" s="19" t="str">
        <f>IF($P64="","",IFERROR(IF(INDEX(MASTER!$O$4:$O$1463,$P64)="","",INDEX(MASTER!$O$4:$O$1463,$P64)),""))</f>
        <v>B</v>
      </c>
      <c r="M64" s="19">
        <f>IF($P64="","",IFERROR(IF(INDEX(MASTER!$Q$4:$Q$1463,$P64)="","",INDEX(MASTER!$Q$4:$Q$1463,$P64)),""))</f>
        <v>16</v>
      </c>
      <c r="N64" s="19" t="str">
        <f>IF($P64="","",IFERROR(IF(INDEX(MASTER!$S$4:$S$1463,$P64)="","",INDEX(MASTER!$S$4:$S$1463,$P64)),""))</f>
        <v>Complete</v>
      </c>
      <c r="P64">
        <f>IFERROR(MATCH($Q$1&amp;"@56",MASTER!$AC$4:$AC$1463,0),"")</f>
        <v>756</v>
      </c>
    </row>
    <row r="65" spans="1:16">
      <c r="A65" s="15">
        <f>IF($P65="","",57)</f>
        <v>57</v>
      </c>
      <c r="B65" s="14" t="str">
        <f>IF($P65="","",IFERROR(IF(INDEX(MASTER!$C$4:$C$1463,$P65)="","",INDEX(MASTER!$C$4:$C$1463,$P65)),""))</f>
        <v>mochı</v>
      </c>
      <c r="C65" s="15" t="str">
        <f>IF($P65="","",IFERROR(IF(INDEX(MASTER!$D$4:$D$1463,$P65)="","",INDEX(MASTER!$D$4:$D$1463,$P65)),""))</f>
        <v/>
      </c>
      <c r="D65" s="15" t="str">
        <f>IF($P65="","",IFERROR(IF(INDEX(MASTER!$E$4:$E$1463,$P65)="","",INDEX(MASTER!$E$4:$E$1463,$P65)),""))</f>
        <v>WARLOCK</v>
      </c>
      <c r="E65" s="15" t="str">
        <f>IF($P65="","",IFERROR(IF(INDEX(MASTER!$F$4:$F$1463,$P65)="","",INDEX(MASTER!$F$4:$F$1463,$P65)),""))</f>
        <v>Control</v>
      </c>
      <c r="F65" s="16">
        <f>IF($P65="","",IFERROR(IF(INDEX(MASTER!$G$4:$G$1463,$P65)="","",INDEX(MASTER!$G$4:$G$1463,$P65)),""))</f>
        <v>62433</v>
      </c>
      <c r="G65" s="15" t="str">
        <f>IF($P65="","",IFERROR(IF(INDEX(MASTER!$H$4:$H$1463,$P65)="","",INDEX(MASTER!$H$4:$H$1463,$P65)),""))</f>
        <v>62,000 - 62,999</v>
      </c>
      <c r="H65" s="16">
        <f>IF($P65="","",IFERROR(IF(INDEX(MASTER!$I$4:$I$1463,$P65)="","",INDEX(MASTER!$I$4:$I$1463,$P65)),""))</f>
        <v>1484</v>
      </c>
      <c r="I65" s="15" t="str">
        <f>IF($P65="","",IFERROR(IF(INDEX(MASTER!$J$4:$J$1463,$P65)="","",INDEX(MASTER!$J$4:$J$1463,$P65)),""))</f>
        <v>ROOKIE</v>
      </c>
      <c r="J65" s="17">
        <f>IF($P65="","",IFERROR(IF(INDEX(MASTER!$L$4:$L$1463,$P65)="","",INDEX(MASTER!$L$4:$L$1463,$P65)),""))</f>
        <v>3.8</v>
      </c>
      <c r="K65" s="17">
        <f>IF($P65="","",IFERROR(IF(INDEX(MASTER!$N$4:$N$1463,$P65)="","",INDEX(MASTER!$N$4:$N$1463,$P65)),""))</f>
        <v>32.4</v>
      </c>
      <c r="L65" s="15" t="str">
        <f>IF($P65="","",IFERROR(IF(INDEX(MASTER!$O$4:$O$1463,$P65)="","",INDEX(MASTER!$O$4:$O$1463,$P65)),""))</f>
        <v>C</v>
      </c>
      <c r="M65" s="15">
        <f>IF($P65="","",IFERROR(IF(INDEX(MASTER!$Q$4:$Q$1463,$P65)="","",INDEX(MASTER!$Q$4:$Q$1463,$P65)),""))</f>
        <v>58</v>
      </c>
      <c r="N65" s="15" t="str">
        <f>IF($P65="","",IFERROR(IF(INDEX(MASTER!$S$4:$S$1463,$P65)="","",INDEX(MASTER!$S$4:$S$1463,$P65)),""))</f>
        <v>Complete</v>
      </c>
      <c r="P65">
        <f>IFERROR(MATCH($Q$1&amp;"@57",MASTER!$AC$4:$AC$1463,0),"")</f>
        <v>777</v>
      </c>
    </row>
    <row r="66" spans="1:16">
      <c r="A66" s="19">
        <f>IF($P66="","",58)</f>
        <v>58</v>
      </c>
      <c r="B66" s="18" t="str">
        <f>IF($P66="","",IFERROR(IF(INDEX(MASTER!$C$4:$C$1463,$P66)="","",INDEX(MASTER!$C$4:$C$1463,$P66)),""))</f>
        <v>MyAurelia</v>
      </c>
      <c r="C66" s="19" t="str">
        <f>IF($P66="","",IFERROR(IF(INDEX(MASTER!$D$4:$D$1463,$P66)="","",INDEX(MASTER!$D$4:$D$1463,$P66)),""))</f>
        <v/>
      </c>
      <c r="D66" s="19" t="str">
        <f>IF($P66="","",IFERROR(IF(INDEX(MASTER!$E$4:$E$1463,$P66)="","",INDEX(MASTER!$E$4:$E$1463,$P66)),""))</f>
        <v>WARLOCK</v>
      </c>
      <c r="E66" s="19" t="str">
        <f>IF($P66="","",IFERROR(IF(INDEX(MASTER!$F$4:$F$1463,$P66)="","",INDEX(MASTER!$F$4:$F$1463,$P66)),""))</f>
        <v>Control</v>
      </c>
      <c r="F66" s="20">
        <f>IF($P66="","",IFERROR(IF(INDEX(MASTER!$G$4:$G$1463,$P66)="","",INDEX(MASTER!$G$4:$G$1463,$P66)),""))</f>
        <v>61881</v>
      </c>
      <c r="G66" s="19" t="str">
        <f>IF($P66="","",IFERROR(IF(INDEX(MASTER!$H$4:$H$1463,$P66)="","",INDEX(MASTER!$H$4:$H$1463,$P66)),""))</f>
        <v>61,000 - 61,999</v>
      </c>
      <c r="H66" s="20">
        <f>IF($P66="","",IFERROR(IF(INDEX(MASTER!$I$4:$I$1463,$P66)="","",INDEX(MASTER!$I$4:$I$1463,$P66)),""))</f>
        <v>1422</v>
      </c>
      <c r="I66" s="19" t="str">
        <f>IF($P66="","",IFERROR(IF(INDEX(MASTER!$J$4:$J$1463,$P66)="","",INDEX(MASTER!$J$4:$J$1463,$P66)),""))</f>
        <v>ROOKIE</v>
      </c>
      <c r="J66" s="21">
        <f>IF($P66="","",IFERROR(IF(INDEX(MASTER!$L$4:$L$1463,$P66)="","",INDEX(MASTER!$L$4:$L$1463,$P66)),""))</f>
        <v>3.5</v>
      </c>
      <c r="K66" s="21">
        <f>IF($P66="","",IFERROR(IF(INDEX(MASTER!$N$4:$N$1463,$P66)="","",INDEX(MASTER!$N$4:$N$1463,$P66)),""))</f>
        <v>30.1</v>
      </c>
      <c r="L66" s="19" t="str">
        <f>IF($P66="","",IFERROR(IF(INDEX(MASTER!$O$4:$O$1463,$P66)="","",INDEX(MASTER!$O$4:$O$1463,$P66)),""))</f>
        <v>C</v>
      </c>
      <c r="M66" s="19">
        <f>IF($P66="","",IFERROR(IF(INDEX(MASTER!$Q$4:$Q$1463,$P66)="","",INDEX(MASTER!$Q$4:$Q$1463,$P66)),""))</f>
        <v>61</v>
      </c>
      <c r="N66" s="19" t="str">
        <f>IF($P66="","",IFERROR(IF(INDEX(MASTER!$S$4:$S$1463,$P66)="","",INDEX(MASTER!$S$4:$S$1463,$P66)),""))</f>
        <v>Complete</v>
      </c>
      <c r="P66">
        <f>IFERROR(MATCH($Q$1&amp;"@58",MASTER!$AC$4:$AC$1463,0),"")</f>
        <v>799</v>
      </c>
    </row>
    <row r="67" spans="1:16">
      <c r="A67" s="15">
        <f>IF($P67="","",59)</f>
        <v>59</v>
      </c>
      <c r="B67" s="14" t="str">
        <f>IF($P67="","",IFERROR(IF(INDEX(MASTER!$C$4:$C$1463,$P67)="","",INDEX(MASTER!$C$4:$C$1463,$P67)),""))</f>
        <v>Ohanah</v>
      </c>
      <c r="C67" s="15" t="str">
        <f>IF($P67="","",IFERROR(IF(INDEX(MASTER!$D$4:$D$1463,$P67)="","",INDEX(MASTER!$D$4:$D$1463,$P67)),""))</f>
        <v/>
      </c>
      <c r="D67" s="15" t="str">
        <f>IF($P67="","",IFERROR(IF(INDEX(MASTER!$E$4:$E$1463,$P67)="","",INDEX(MASTER!$E$4:$E$1463,$P67)),""))</f>
        <v>WARLOCK</v>
      </c>
      <c r="E67" s="15" t="str">
        <f>IF($P67="","",IFERROR(IF(INDEX(MASTER!$F$4:$F$1463,$P67)="","",INDEX(MASTER!$F$4:$F$1463,$P67)),""))</f>
        <v>Control</v>
      </c>
      <c r="F67" s="16">
        <f>IF($P67="","",IFERROR(IF(INDEX(MASTER!$G$4:$G$1463,$P67)="","",INDEX(MASTER!$G$4:$G$1463,$P67)),""))</f>
        <v>62551</v>
      </c>
      <c r="G67" s="15" t="str">
        <f>IF($P67="","",IFERROR(IF(INDEX(MASTER!$H$4:$H$1463,$P67)="","",INDEX(MASTER!$H$4:$H$1463,$P67)),""))</f>
        <v>62,000 - 62,999</v>
      </c>
      <c r="H67" s="16">
        <f>IF($P67="","",IFERROR(IF(INDEX(MASTER!$I$4:$I$1463,$P67)="","",INDEX(MASTER!$I$4:$I$1463,$P67)),""))</f>
        <v>2106</v>
      </c>
      <c r="I67" s="15" t="str">
        <f>IF($P67="","",IFERROR(IF(INDEX(MASTER!$J$4:$J$1463,$P67)="","",INDEX(MASTER!$J$4:$J$1463,$P67)),""))</f>
        <v>DEVELOPING</v>
      </c>
      <c r="J67" s="17">
        <f>IF($P67="","",IFERROR(IF(INDEX(MASTER!$L$4:$L$1463,$P67)="","",INDEX(MASTER!$L$4:$L$1463,$P67)),""))</f>
        <v>5.2</v>
      </c>
      <c r="K67" s="17">
        <f>IF($P67="","",IFERROR(IF(INDEX(MASTER!$N$4:$N$1463,$P67)="","",INDEX(MASTER!$N$4:$N$1463,$P67)),""))</f>
        <v>37.700000000000003</v>
      </c>
      <c r="L67" s="15" t="str">
        <f>IF($P67="","",IFERROR(IF(INDEX(MASTER!$O$4:$O$1463,$P67)="","",INDEX(MASTER!$O$4:$O$1463,$P67)),""))</f>
        <v>B</v>
      </c>
      <c r="M67" s="15">
        <f>IF($P67="","",IFERROR(IF(INDEX(MASTER!$Q$4:$Q$1463,$P67)="","",INDEX(MASTER!$Q$4:$Q$1463,$P67)),""))</f>
        <v>37</v>
      </c>
      <c r="N67" s="15" t="str">
        <f>IF($P67="","",IFERROR(IF(INDEX(MASTER!$S$4:$S$1463,$P67)="","",INDEX(MASTER!$S$4:$S$1463,$P67)),""))</f>
        <v>Complete</v>
      </c>
      <c r="P67">
        <f>IFERROR(MATCH($Q$1&amp;"@59",MASTER!$AC$4:$AC$1463,0),"")</f>
        <v>844</v>
      </c>
    </row>
    <row r="68" spans="1:16">
      <c r="A68" s="19">
        <f>IF($P68="","",60)</f>
        <v>60</v>
      </c>
      <c r="B68" s="18" t="str">
        <f>IF($P68="","",IFERROR(IF(INDEX(MASTER!$C$4:$C$1463,$P68)="","",INDEX(MASTER!$C$4:$C$1463,$P68)),""))</f>
        <v>Olric</v>
      </c>
      <c r="C68" s="19" t="str">
        <f>IF($P68="","",IFERROR(IF(INDEX(MASTER!$D$4:$D$1463,$P68)="","",INDEX(MASTER!$D$4:$D$1463,$P68)),""))</f>
        <v/>
      </c>
      <c r="D68" s="19" t="str">
        <f>IF($P68="","",IFERROR(IF(INDEX(MASTER!$E$4:$E$1463,$P68)="","",INDEX(MASTER!$E$4:$E$1463,$P68)),""))</f>
        <v>BARBARIAN</v>
      </c>
      <c r="E68" s="19" t="str">
        <f>IF($P68="","",IFERROR(IF(INDEX(MASTER!$F$4:$F$1463,$P68)="","",INDEX(MASTER!$F$4:$F$1463,$P68)),""))</f>
        <v>Frontline</v>
      </c>
      <c r="F68" s="20">
        <f>IF($P68="","",IFERROR(IF(INDEX(MASTER!$G$4:$G$1463,$P68)="","",INDEX(MASTER!$G$4:$G$1463,$P68)),""))</f>
        <v>61790</v>
      </c>
      <c r="G68" s="19" t="str">
        <f>IF($P68="","",IFERROR(IF(INDEX(MASTER!$H$4:$H$1463,$P68)="","",INDEX(MASTER!$H$4:$H$1463,$P68)),""))</f>
        <v>61,000 - 61,999</v>
      </c>
      <c r="H68" s="20">
        <f>IF($P68="","",IFERROR(IF(INDEX(MASTER!$I$4:$I$1463,$P68)="","",INDEX(MASTER!$I$4:$I$1463,$P68)),""))</f>
        <v>2384</v>
      </c>
      <c r="I68" s="19" t="str">
        <f>IF($P68="","",IFERROR(IF(INDEX(MASTER!$J$4:$J$1463,$P68)="","",INDEX(MASTER!$J$4:$J$1463,$P68)),""))</f>
        <v>DEVELOPING</v>
      </c>
      <c r="J68" s="21">
        <f>IF($P68="","",IFERROR(IF(INDEX(MASTER!$L$4:$L$1463,$P68)="","",INDEX(MASTER!$L$4:$L$1463,$P68)),""))</f>
        <v>3.5</v>
      </c>
      <c r="K68" s="21">
        <f>IF($P68="","",IFERROR(IF(INDEX(MASTER!$N$4:$N$1463,$P68)="","",INDEX(MASTER!$N$4:$N$1463,$P68)),""))</f>
        <v>34.1</v>
      </c>
      <c r="L68" s="19" t="str">
        <f>IF($P68="","",IFERROR(IF(INDEX(MASTER!$O$4:$O$1463,$P68)="","",INDEX(MASTER!$O$4:$O$1463,$P68)),""))</f>
        <v>C</v>
      </c>
      <c r="M68" s="19">
        <f>IF($P68="","",IFERROR(IF(INDEX(MASTER!$Q$4:$Q$1463,$P68)="","",INDEX(MASTER!$Q$4:$Q$1463,$P68)),""))</f>
        <v>30</v>
      </c>
      <c r="N68" s="19" t="str">
        <f>IF($P68="","",IFERROR(IF(INDEX(MASTER!$S$4:$S$1463,$P68)="","",INDEX(MASTER!$S$4:$S$1463,$P68)),""))</f>
        <v>Complete</v>
      </c>
      <c r="P68">
        <f>IFERROR(MATCH($Q$1&amp;"@60",MASTER!$AC$4:$AC$1463,0),"")</f>
        <v>850</v>
      </c>
    </row>
    <row r="69" spans="1:16">
      <c r="A69" s="15">
        <f>IF($P69="","",61)</f>
        <v>61</v>
      </c>
      <c r="B69" s="14" t="str">
        <f>IF($P69="","",IFERROR(IF(INDEX(MASTER!$C$4:$C$1463,$P69)="","",INDEX(MASTER!$C$4:$C$1463,$P69)),""))</f>
        <v>oscar02</v>
      </c>
      <c r="C69" s="15" t="str">
        <f>IF($P69="","",IFERROR(IF(INDEX(MASTER!$D$4:$D$1463,$P69)="","",INDEX(MASTER!$D$4:$D$1463,$P69)),""))</f>
        <v/>
      </c>
      <c r="D69" s="15" t="str">
        <f>IF($P69="","",IFERROR(IF(INDEX(MASTER!$E$4:$E$1463,$P69)="","",INDEX(MASTER!$E$4:$E$1463,$P69)),""))</f>
        <v>DEMON HUNTER</v>
      </c>
      <c r="E69" s="15" t="str">
        <f>IF($P69="","",IFERROR(IF(INDEX(MASTER!$F$4:$F$1463,$P69)="","",INDEX(MASTER!$F$4:$F$1463,$P69)),""))</f>
        <v>Ranged DPS</v>
      </c>
      <c r="F69" s="16">
        <f>IF($P69="","",IFERROR(IF(INDEX(MASTER!$G$4:$G$1463,$P69)="","",INDEX(MASTER!$G$4:$G$1463,$P69)),""))</f>
        <v>61671</v>
      </c>
      <c r="G69" s="15" t="str">
        <f>IF($P69="","",IFERROR(IF(INDEX(MASTER!$H$4:$H$1463,$P69)="","",INDEX(MASTER!$H$4:$H$1463,$P69)),""))</f>
        <v>61,000 - 61,999</v>
      </c>
      <c r="H69" s="16">
        <f>IF($P69="","",IFERROR(IF(INDEX(MASTER!$I$4:$I$1463,$P69)="","",INDEX(MASTER!$I$4:$I$1463,$P69)),""))</f>
        <v>1416</v>
      </c>
      <c r="I69" s="15" t="str">
        <f>IF($P69="","",IFERROR(IF(INDEX(MASTER!$J$4:$J$1463,$P69)="","",INDEX(MASTER!$J$4:$J$1463,$P69)),""))</f>
        <v>ROOKIE</v>
      </c>
      <c r="J69" s="17">
        <f>IF($P69="","",IFERROR(IF(INDEX(MASTER!$L$4:$L$1463,$P69)="","",INDEX(MASTER!$L$4:$L$1463,$P69)),""))</f>
        <v>4.45</v>
      </c>
      <c r="K69" s="17">
        <f>IF($P69="","",IFERROR(IF(INDEX(MASTER!$N$4:$N$1463,$P69)="","",INDEX(MASTER!$N$4:$N$1463,$P69)),""))</f>
        <v>31.2</v>
      </c>
      <c r="L69" s="15" t="str">
        <f>IF($P69="","",IFERROR(IF(INDEX(MASTER!$O$4:$O$1463,$P69)="","",INDEX(MASTER!$O$4:$O$1463,$P69)),""))</f>
        <v>C</v>
      </c>
      <c r="M69" s="15">
        <f>IF($P69="","",IFERROR(IF(INDEX(MASTER!$Q$4:$Q$1463,$P69)="","",INDEX(MASTER!$Q$4:$Q$1463,$P69)),""))</f>
        <v>63</v>
      </c>
      <c r="N69" s="15" t="str">
        <f>IF($P69="","",IFERROR(IF(INDEX(MASTER!$S$4:$S$1463,$P69)="","",INDEX(MASTER!$S$4:$S$1463,$P69)),""))</f>
        <v>Complete</v>
      </c>
      <c r="P69">
        <f>IFERROR(MATCH($Q$1&amp;"@61",MASTER!$AC$4:$AC$1463,0),"")</f>
        <v>865</v>
      </c>
    </row>
    <row r="70" spans="1:16">
      <c r="A70" s="19">
        <f>IF($P70="","",62)</f>
        <v>62</v>
      </c>
      <c r="B70" s="18" t="str">
        <f>IF($P70="","",IFERROR(IF(INDEX(MASTER!$C$4:$C$1463,$P70)="","",INDEX(MASTER!$C$4:$C$1463,$P70)),""))</f>
        <v>PaperorPlastic</v>
      </c>
      <c r="C70" s="19" t="str">
        <f>IF($P70="","",IFERROR(IF(INDEX(MASTER!$D$4:$D$1463,$P70)="","",INDEX(MASTER!$D$4:$D$1463,$P70)),""))</f>
        <v/>
      </c>
      <c r="D70" s="19" t="str">
        <f>IF($P70="","",IFERROR(IF(INDEX(MASTER!$E$4:$E$1463,$P70)="","",INDEX(MASTER!$E$4:$E$1463,$P70)),""))</f>
        <v>WIZARD</v>
      </c>
      <c r="E70" s="19" t="str">
        <f>IF($P70="","",IFERROR(IF(INDEX(MASTER!$F$4:$F$1463,$P70)="","",INDEX(MASTER!$F$4:$F$1463,$P70)),""))</f>
        <v>Ranged DPS</v>
      </c>
      <c r="F70" s="20">
        <f>IF($P70="","",IFERROR(IF(INDEX(MASTER!$G$4:$G$1463,$P70)="","",INDEX(MASTER!$G$4:$G$1463,$P70)),""))</f>
        <v>60805</v>
      </c>
      <c r="G70" s="19" t="str">
        <f>IF($P70="","",IFERROR(IF(INDEX(MASTER!$H$4:$H$1463,$P70)="","",INDEX(MASTER!$H$4:$H$1463,$P70)),""))</f>
        <v>60,000 - 60,999</v>
      </c>
      <c r="H70" s="20">
        <f>IF($P70="","",IFERROR(IF(INDEX(MASTER!$I$4:$I$1463,$P70)="","",INDEX(MASTER!$I$4:$I$1463,$P70)),""))</f>
        <v>2830</v>
      </c>
      <c r="I70" s="19" t="str">
        <f>IF($P70="","",IFERROR(IF(INDEX(MASTER!$J$4:$J$1463,$P70)="","",INDEX(MASTER!$J$4:$J$1463,$P70)),""))</f>
        <v>DEVELOPING</v>
      </c>
      <c r="J70" s="21">
        <f>IF($P70="","",IFERROR(IF(INDEX(MASTER!$L$4:$L$1463,$P70)="","",INDEX(MASTER!$L$4:$L$1463,$P70)),""))</f>
        <v>3.8</v>
      </c>
      <c r="K70" s="21">
        <f>IF($P70="","",IFERROR(IF(INDEX(MASTER!$N$4:$N$1463,$P70)="","",INDEX(MASTER!$N$4:$N$1463,$P70)),""))</f>
        <v>34</v>
      </c>
      <c r="L70" s="19" t="str">
        <f>IF($P70="","",IFERROR(IF(INDEX(MASTER!$O$4:$O$1463,$P70)="","",INDEX(MASTER!$O$4:$O$1463,$P70)),""))</f>
        <v>C</v>
      </c>
      <c r="M70" s="19">
        <f>IF($P70="","",IFERROR(IF(INDEX(MASTER!$Q$4:$Q$1463,$P70)="","",INDEX(MASTER!$Q$4:$Q$1463,$P70)),""))</f>
        <v>18</v>
      </c>
      <c r="N70" s="19" t="str">
        <f>IF($P70="","",IFERROR(IF(INDEX(MASTER!$S$4:$S$1463,$P70)="","",INDEX(MASTER!$S$4:$S$1463,$P70)),""))</f>
        <v>Complete</v>
      </c>
      <c r="P70">
        <f>IFERROR(MATCH($Q$1&amp;"@62",MASTER!$AC$4:$AC$1463,0),"")</f>
        <v>877</v>
      </c>
    </row>
    <row r="71" spans="1:16">
      <c r="A71" s="15">
        <f>IF($P71="","",63)</f>
        <v>63</v>
      </c>
      <c r="B71" s="14" t="str">
        <f>IF($P71="","",IFERROR(IF(INDEX(MASTER!$C$4:$C$1463,$P71)="","",INDEX(MASTER!$C$4:$C$1463,$P71)),""))</f>
        <v>Perkz</v>
      </c>
      <c r="C71" s="15" t="str">
        <f>IF($P71="","",IFERROR(IF(INDEX(MASTER!$D$4:$D$1463,$P71)="","",INDEX(MASTER!$D$4:$D$1463,$P71)),""))</f>
        <v/>
      </c>
      <c r="D71" s="15" t="str">
        <f>IF($P71="","",IFERROR(IF(INDEX(MASTER!$E$4:$E$1463,$P71)="","",INDEX(MASTER!$E$4:$E$1463,$P71)),""))</f>
        <v>DEMON HUNTER</v>
      </c>
      <c r="E71" s="15" t="str">
        <f>IF($P71="","",IFERROR(IF(INDEX(MASTER!$F$4:$F$1463,$P71)="","",INDEX(MASTER!$F$4:$F$1463,$P71)),""))</f>
        <v>Ranged DPS</v>
      </c>
      <c r="F71" s="16">
        <f>IF($P71="","",IFERROR(IF(INDEX(MASTER!$G$4:$G$1463,$P71)="","",INDEX(MASTER!$G$4:$G$1463,$P71)),""))</f>
        <v>60914</v>
      </c>
      <c r="G71" s="15" t="str">
        <f>IF($P71="","",IFERROR(IF(INDEX(MASTER!$H$4:$H$1463,$P71)="","",INDEX(MASTER!$H$4:$H$1463,$P71)),""))</f>
        <v>60,000 - 60,999</v>
      </c>
      <c r="H71" s="16">
        <f>IF($P71="","",IFERROR(IF(INDEX(MASTER!$I$4:$I$1463,$P71)="","",INDEX(MASTER!$I$4:$I$1463,$P71)),""))</f>
        <v>752</v>
      </c>
      <c r="I71" s="15" t="str">
        <f>IF($P71="","",IFERROR(IF(INDEX(MASTER!$J$4:$J$1463,$P71)="","",INDEX(MASTER!$J$4:$J$1463,$P71)),""))</f>
        <v>ROOKIE</v>
      </c>
      <c r="J71" s="17">
        <f>IF($P71="","",IFERROR(IF(INDEX(MASTER!$L$4:$L$1463,$P71)="","",INDEX(MASTER!$L$4:$L$1463,$P71)),""))</f>
        <v>2.8</v>
      </c>
      <c r="K71" s="17">
        <f>IF($P71="","",IFERROR(IF(INDEX(MASTER!$N$4:$N$1463,$P71)="","",INDEX(MASTER!$N$4:$N$1463,$P71)),""))</f>
        <v>23.5</v>
      </c>
      <c r="L71" s="15" t="str">
        <f>IF($P71="","",IFERROR(IF(INDEX(MASTER!$O$4:$O$1463,$P71)="","",INDEX(MASTER!$O$4:$O$1463,$P71)),""))</f>
        <v>C</v>
      </c>
      <c r="M71" s="15">
        <f>IF($P71="","",IFERROR(IF(INDEX(MASTER!$Q$4:$Q$1463,$P71)="","",INDEX(MASTER!$Q$4:$Q$1463,$P71)),""))</f>
        <v>91</v>
      </c>
      <c r="N71" s="15" t="str">
        <f>IF($P71="","",IFERROR(IF(INDEX(MASTER!$S$4:$S$1463,$P71)="","",INDEX(MASTER!$S$4:$S$1463,$P71)),""))</f>
        <v>Complete</v>
      </c>
      <c r="P71">
        <f>IFERROR(MATCH($Q$1&amp;"@63",MASTER!$AC$4:$AC$1463,0),"")</f>
        <v>885</v>
      </c>
    </row>
    <row r="72" spans="1:16">
      <c r="A72" s="19">
        <f>IF($P72="","",64)</f>
        <v>64</v>
      </c>
      <c r="B72" s="18" t="str">
        <f>IF($P72="","",IFERROR(IF(INDEX(MASTER!$C$4:$C$1463,$P72)="","",INDEX(MASTER!$C$4:$C$1463,$P72)),""))</f>
        <v>PeteSmeggeth</v>
      </c>
      <c r="C72" s="19" t="str">
        <f>IF($P72="","",IFERROR(IF(INDEX(MASTER!$D$4:$D$1463,$P72)="","",INDEX(MASTER!$D$4:$D$1463,$P72)),""))</f>
        <v/>
      </c>
      <c r="D72" s="19" t="str">
        <f>IF($P72="","",IFERROR(IF(INDEX(MASTER!$E$4:$E$1463,$P72)="","",INDEX(MASTER!$E$4:$E$1463,$P72)),""))</f>
        <v>WARLOCK</v>
      </c>
      <c r="E72" s="19" t="str">
        <f>IF($P72="","",IFERROR(IF(INDEX(MASTER!$F$4:$F$1463,$P72)="","",INDEX(MASTER!$F$4:$F$1463,$P72)),""))</f>
        <v>Control</v>
      </c>
      <c r="F72" s="20">
        <f>IF($P72="","",IFERROR(IF(INDEX(MASTER!$G$4:$G$1463,$P72)="","",INDEX(MASTER!$G$4:$G$1463,$P72)),""))</f>
        <v>60254</v>
      </c>
      <c r="G72" s="19" t="str">
        <f>IF($P72="","",IFERROR(IF(INDEX(MASTER!$H$4:$H$1463,$P72)="","",INDEX(MASTER!$H$4:$H$1463,$P72)),""))</f>
        <v>60,000 - 60,999</v>
      </c>
      <c r="H72" s="20">
        <f>IF($P72="","",IFERROR(IF(INDEX(MASTER!$I$4:$I$1463,$P72)="","",INDEX(MASTER!$I$4:$I$1463,$P72)),""))</f>
        <v>1028</v>
      </c>
      <c r="I72" s="19" t="str">
        <f>IF($P72="","",IFERROR(IF(INDEX(MASTER!$J$4:$J$1463,$P72)="","",INDEX(MASTER!$J$4:$J$1463,$P72)),""))</f>
        <v>ROOKIE</v>
      </c>
      <c r="J72" s="21">
        <f>IF($P72="","",IFERROR(IF(INDEX(MASTER!$L$4:$L$1463,$P72)="","",INDEX(MASTER!$L$4:$L$1463,$P72)),""))</f>
        <v>2.8</v>
      </c>
      <c r="K72" s="21">
        <f>IF($P72="","",IFERROR(IF(INDEX(MASTER!$N$4:$N$1463,$P72)="","",INDEX(MASTER!$N$4:$N$1463,$P72)),""))</f>
        <v>23</v>
      </c>
      <c r="L72" s="19" t="str">
        <f>IF($P72="","",IFERROR(IF(INDEX(MASTER!$O$4:$O$1463,$P72)="","",INDEX(MASTER!$O$4:$O$1463,$P72)),""))</f>
        <v>C</v>
      </c>
      <c r="M72" s="19">
        <f>IF($P72="","",IFERROR(IF(INDEX(MASTER!$Q$4:$Q$1463,$P72)="","",INDEX(MASTER!$Q$4:$Q$1463,$P72)),""))</f>
        <v>84</v>
      </c>
      <c r="N72" s="19" t="str">
        <f>IF($P72="","",IFERROR(IF(INDEX(MASTER!$S$4:$S$1463,$P72)="","",INDEX(MASTER!$S$4:$S$1463,$P72)),""))</f>
        <v>Complete</v>
      </c>
      <c r="P72">
        <f>IFERROR(MATCH($Q$1&amp;"@64",MASTER!$AC$4:$AC$1463,0),"")</f>
        <v>887</v>
      </c>
    </row>
    <row r="73" spans="1:16">
      <c r="A73" s="15">
        <f>IF($P73="","",65)</f>
        <v>65</v>
      </c>
      <c r="B73" s="14" t="str">
        <f>IF($P73="","",IFERROR(IF(INDEX(MASTER!$C$4:$C$1463,$P73)="","",INDEX(MASTER!$C$4:$C$1463,$P73)),""))</f>
        <v>Popoki</v>
      </c>
      <c r="C73" s="15" t="str">
        <f>IF($P73="","",IFERROR(IF(INDEX(MASTER!$D$4:$D$1463,$P73)="","",INDEX(MASTER!$D$4:$D$1463,$P73)),""))</f>
        <v/>
      </c>
      <c r="D73" s="15" t="str">
        <f>IF($P73="","",IFERROR(IF(INDEX(MASTER!$E$4:$E$1463,$P73)="","",INDEX(MASTER!$E$4:$E$1463,$P73)),""))</f>
        <v>WARLOCK</v>
      </c>
      <c r="E73" s="15" t="str">
        <f>IF($P73="","",IFERROR(IF(INDEX(MASTER!$F$4:$F$1463,$P73)="","",INDEX(MASTER!$F$4:$F$1463,$P73)),""))</f>
        <v>Control</v>
      </c>
      <c r="F73" s="16">
        <f>IF($P73="","",IFERROR(IF(INDEX(MASTER!$G$4:$G$1463,$P73)="","",INDEX(MASTER!$G$4:$G$1463,$P73)),""))</f>
        <v>61374</v>
      </c>
      <c r="G73" s="15" t="str">
        <f>IF($P73="","",IFERROR(IF(INDEX(MASTER!$H$4:$H$1463,$P73)="","",INDEX(MASTER!$H$4:$H$1463,$P73)),""))</f>
        <v>61,000 - 61,999</v>
      </c>
      <c r="H73" s="16">
        <f>IF($P73="","",IFERROR(IF(INDEX(MASTER!$I$4:$I$1463,$P73)="","",INDEX(MASTER!$I$4:$I$1463,$P73)),""))</f>
        <v>1528</v>
      </c>
      <c r="I73" s="15" t="str">
        <f>IF($P73="","",IFERROR(IF(INDEX(MASTER!$J$4:$J$1463,$P73)="","",INDEX(MASTER!$J$4:$J$1463,$P73)),""))</f>
        <v>ROOKIE</v>
      </c>
      <c r="J73" s="17">
        <f>IF($P73="","",IFERROR(IF(INDEX(MASTER!$L$4:$L$1463,$P73)="","",INDEX(MASTER!$L$4:$L$1463,$P73)),""))</f>
        <v>3.2</v>
      </c>
      <c r="K73" s="17">
        <f>IF($P73="","",IFERROR(IF(INDEX(MASTER!$N$4:$N$1463,$P73)="","",INDEX(MASTER!$N$4:$N$1463,$P73)),""))</f>
        <v>28.8</v>
      </c>
      <c r="L73" s="15" t="str">
        <f>IF($P73="","",IFERROR(IF(INDEX(MASTER!$O$4:$O$1463,$P73)="","",INDEX(MASTER!$O$4:$O$1463,$P73)),""))</f>
        <v>C</v>
      </c>
      <c r="M73" s="15">
        <f>IF($P73="","",IFERROR(IF(INDEX(MASTER!$Q$4:$Q$1463,$P73)="","",INDEX(MASTER!$Q$4:$Q$1463,$P73)),""))</f>
        <v>57</v>
      </c>
      <c r="N73" s="15" t="str">
        <f>IF($P73="","",IFERROR(IF(INDEX(MASTER!$S$4:$S$1463,$P73)="","",INDEX(MASTER!$S$4:$S$1463,$P73)),""))</f>
        <v>Complete</v>
      </c>
      <c r="P73">
        <f>IFERROR(MATCH($Q$1&amp;"@65",MASTER!$AC$4:$AC$1463,0),"")</f>
        <v>902</v>
      </c>
    </row>
    <row r="74" spans="1:16">
      <c r="A74" s="19">
        <f>IF($P74="","",66)</f>
        <v>66</v>
      </c>
      <c r="B74" s="18" t="str">
        <f>IF($P74="","",IFERROR(IF(INDEX(MASTER!$C$4:$C$1463,$P74)="","",INDEX(MASTER!$C$4:$C$1463,$P74)),""))</f>
        <v>redDEATHrum444</v>
      </c>
      <c r="C74" s="19" t="str">
        <f>IF($P74="","",IFERROR(IF(INDEX(MASTER!$D$4:$D$1463,$P74)="","",INDEX(MASTER!$D$4:$D$1463,$P74)),""))</f>
        <v/>
      </c>
      <c r="D74" s="19" t="str">
        <f>IF($P74="","",IFERROR(IF(INDEX(MASTER!$E$4:$E$1463,$P74)="","",INDEX(MASTER!$E$4:$E$1463,$P74)),""))</f>
        <v>BARBARIAN</v>
      </c>
      <c r="E74" s="19" t="str">
        <f>IF($P74="","",IFERROR(IF(INDEX(MASTER!$F$4:$F$1463,$P74)="","",INDEX(MASTER!$F$4:$F$1463,$P74)),""))</f>
        <v>Frontline</v>
      </c>
      <c r="F74" s="20">
        <f>IF($P74="","",IFERROR(IF(INDEX(MASTER!$G$4:$G$1463,$P74)="","",INDEX(MASTER!$G$4:$G$1463,$P74)),""))</f>
        <v>59173</v>
      </c>
      <c r="G74" s="19" t="str">
        <f>IF($P74="","",IFERROR(IF(INDEX(MASTER!$H$4:$H$1463,$P74)="","",INDEX(MASTER!$H$4:$H$1463,$P74)),""))</f>
        <v>58,000 - 59,999</v>
      </c>
      <c r="H74" s="20">
        <f>IF($P74="","",IFERROR(IF(INDEX(MASTER!$I$4:$I$1463,$P74)="","",INDEX(MASTER!$I$4:$I$1463,$P74)),""))</f>
        <v>1069</v>
      </c>
      <c r="I74" s="19" t="str">
        <f>IF($P74="","",IFERROR(IF(INDEX(MASTER!$J$4:$J$1463,$P74)="","",INDEX(MASTER!$J$4:$J$1463,$P74)),""))</f>
        <v>ROOKIE</v>
      </c>
      <c r="J74" s="21">
        <f>IF($P74="","",IFERROR(IF(INDEX(MASTER!$L$4:$L$1463,$P74)="","",INDEX(MASTER!$L$4:$L$1463,$P74)),""))</f>
        <v>3.2</v>
      </c>
      <c r="K74" s="21">
        <f>IF($P74="","",IFERROR(IF(INDEX(MASTER!$N$4:$N$1463,$P74)="","",INDEX(MASTER!$N$4:$N$1463,$P74)),""))</f>
        <v>21</v>
      </c>
      <c r="L74" s="19" t="str">
        <f>IF($P74="","",IFERROR(IF(INDEX(MASTER!$O$4:$O$1463,$P74)="","",INDEX(MASTER!$O$4:$O$1463,$P74)),""))</f>
        <v>C</v>
      </c>
      <c r="M74" s="19">
        <f>IF($P74="","",IFERROR(IF(INDEX(MASTER!$Q$4:$Q$1463,$P74)="","",INDEX(MASTER!$Q$4:$Q$1463,$P74)),""))</f>
        <v>78</v>
      </c>
      <c r="N74" s="19" t="str">
        <f>IF($P74="","",IFERROR(IF(INDEX(MASTER!$S$4:$S$1463,$P74)="","",INDEX(MASTER!$S$4:$S$1463,$P74)),""))</f>
        <v>Complete</v>
      </c>
      <c r="P74">
        <f>IFERROR(MATCH($Q$1&amp;"@66",MASTER!$AC$4:$AC$1463,0),"")</f>
        <v>940</v>
      </c>
    </row>
    <row r="75" spans="1:16">
      <c r="A75" s="15">
        <f>IF($P75="","",67)</f>
        <v>67</v>
      </c>
      <c r="B75" s="14" t="str">
        <f>IF($P75="","",IFERROR(IF(INDEX(MASTER!$C$4:$C$1463,$P75)="","",INDEX(MASTER!$C$4:$C$1463,$P75)),""))</f>
        <v>Rentonn</v>
      </c>
      <c r="C75" s="15" t="str">
        <f>IF($P75="","",IFERROR(IF(INDEX(MASTER!$D$4:$D$1463,$P75)="","",INDEX(MASTER!$D$4:$D$1463,$P75)),""))</f>
        <v/>
      </c>
      <c r="D75" s="15" t="str">
        <f>IF($P75="","",IFERROR(IF(INDEX(MASTER!$E$4:$E$1463,$P75)="","",INDEX(MASTER!$E$4:$E$1463,$P75)),""))</f>
        <v>NECROMANCER</v>
      </c>
      <c r="E75" s="15" t="str">
        <f>IF($P75="","",IFERROR(IF(INDEX(MASTER!$F$4:$F$1463,$P75)="","",INDEX(MASTER!$F$4:$F$1463,$P75)),""))</f>
        <v>Control</v>
      </c>
      <c r="F75" s="16">
        <f>IF($P75="","",IFERROR(IF(INDEX(MASTER!$G$4:$G$1463,$P75)="","",INDEX(MASTER!$G$4:$G$1463,$P75)),""))</f>
        <v>61714</v>
      </c>
      <c r="G75" s="15" t="str">
        <f>IF($P75="","",IFERROR(IF(INDEX(MASTER!$H$4:$H$1463,$P75)="","",INDEX(MASTER!$H$4:$H$1463,$P75)),""))</f>
        <v>61,000 - 61,999</v>
      </c>
      <c r="H75" s="16">
        <f>IF($P75="","",IFERROR(IF(INDEX(MASTER!$I$4:$I$1463,$P75)="","",INDEX(MASTER!$I$4:$I$1463,$P75)),""))</f>
        <v>2630</v>
      </c>
      <c r="I75" s="15" t="str">
        <f>IF($P75="","",IFERROR(IF(INDEX(MASTER!$J$4:$J$1463,$P75)="","",INDEX(MASTER!$J$4:$J$1463,$P75)),""))</f>
        <v>DEVELOPING</v>
      </c>
      <c r="J75" s="17">
        <f>IF($P75="","",IFERROR(IF(INDEX(MASTER!$L$4:$L$1463,$P75)="","",INDEX(MASTER!$L$4:$L$1463,$P75)),""))</f>
        <v>3.75</v>
      </c>
      <c r="K75" s="17">
        <f>IF($P75="","",IFERROR(IF(INDEX(MASTER!$N$4:$N$1463,$P75)="","",INDEX(MASTER!$N$4:$N$1463,$P75)),""))</f>
        <v>35.4</v>
      </c>
      <c r="L75" s="15" t="str">
        <f>IF($P75="","",IFERROR(IF(INDEX(MASTER!$O$4:$O$1463,$P75)="","",INDEX(MASTER!$O$4:$O$1463,$P75)),""))</f>
        <v>B</v>
      </c>
      <c r="M75" s="15">
        <f>IF($P75="","",IFERROR(IF(INDEX(MASTER!$Q$4:$Q$1463,$P75)="","",INDEX(MASTER!$Q$4:$Q$1463,$P75)),""))</f>
        <v>21</v>
      </c>
      <c r="N75" s="15" t="str">
        <f>IF($P75="","",IFERROR(IF(INDEX(MASTER!$S$4:$S$1463,$P75)="","",INDEX(MASTER!$S$4:$S$1463,$P75)),""))</f>
        <v>Complete</v>
      </c>
      <c r="P75">
        <f>IFERROR(MATCH($Q$1&amp;"@67",MASTER!$AC$4:$AC$1463,0),"")</f>
        <v>947</v>
      </c>
    </row>
    <row r="76" spans="1:16">
      <c r="A76" s="19">
        <f>IF($P76="","",68)</f>
        <v>68</v>
      </c>
      <c r="B76" s="18" t="str">
        <f>IF($P76="","",IFERROR(IF(INDEX(MASTER!$C$4:$C$1463,$P76)="","",INDEX(MASTER!$C$4:$C$1463,$P76)),""))</f>
        <v>RetroMortis</v>
      </c>
      <c r="C76" s="19" t="str">
        <f>IF($P76="","",IFERROR(IF(INDEX(MASTER!$D$4:$D$1463,$P76)="","",INDEX(MASTER!$D$4:$D$1463,$P76)),""))</f>
        <v/>
      </c>
      <c r="D76" s="19" t="str">
        <f>IF($P76="","",IFERROR(IF(INDEX(MASTER!$E$4:$E$1463,$P76)="","",INDEX(MASTER!$E$4:$E$1463,$P76)),""))</f>
        <v>MONK</v>
      </c>
      <c r="E76" s="19" t="str">
        <f>IF($P76="","",IFERROR(IF(INDEX(MASTER!$F$4:$F$1463,$P76)="","",INDEX(MASTER!$F$4:$F$1463,$P76)),""))</f>
        <v>Support</v>
      </c>
      <c r="F76" s="20">
        <f>IF($P76="","",IFERROR(IF(INDEX(MASTER!$G$4:$G$1463,$P76)="","",INDEX(MASTER!$G$4:$G$1463,$P76)),""))</f>
        <v>61979</v>
      </c>
      <c r="G76" s="19" t="str">
        <f>IF($P76="","",IFERROR(IF(INDEX(MASTER!$H$4:$H$1463,$P76)="","",INDEX(MASTER!$H$4:$H$1463,$P76)),""))</f>
        <v>61,000 - 61,999</v>
      </c>
      <c r="H76" s="20">
        <f>IF($P76="","",IFERROR(IF(INDEX(MASTER!$I$4:$I$1463,$P76)="","",INDEX(MASTER!$I$4:$I$1463,$P76)),""))</f>
        <v>8150</v>
      </c>
      <c r="I76" s="19" t="str">
        <f>IF($P76="","",IFERROR(IF(INDEX(MASTER!$J$4:$J$1463,$P76)="","",INDEX(MASTER!$J$4:$J$1463,$P76)),""))</f>
        <v>ELITE</v>
      </c>
      <c r="J76" s="21">
        <f>IF($P76="","",IFERROR(IF(INDEX(MASTER!$L$4:$L$1463,$P76)="","",INDEX(MASTER!$L$4:$L$1463,$P76)),""))</f>
        <v>6.95</v>
      </c>
      <c r="K76" s="21">
        <f>IF($P76="","",IFERROR(IF(INDEX(MASTER!$N$4:$N$1463,$P76)="","",INDEX(MASTER!$N$4:$N$1463,$P76)),""))</f>
        <v>65.5</v>
      </c>
      <c r="L76" s="19" t="str">
        <f>IF($P76="","",IFERROR(IF(INDEX(MASTER!$O$4:$O$1463,$P76)="","",INDEX(MASTER!$O$4:$O$1463,$P76)),""))</f>
        <v>S</v>
      </c>
      <c r="M76" s="19">
        <f>IF($P76="","",IFERROR(IF(INDEX(MASTER!$Q$4:$Q$1463,$P76)="","",INDEX(MASTER!$Q$4:$Q$1463,$P76)),""))</f>
        <v>2</v>
      </c>
      <c r="N76" s="19" t="str">
        <f>IF($P76="","",IFERROR(IF(INDEX(MASTER!$S$4:$S$1463,$P76)="","",INDEX(MASTER!$S$4:$S$1463,$P76)),""))</f>
        <v>Complete</v>
      </c>
      <c r="P76">
        <f>IFERROR(MATCH($Q$1&amp;"@68",MASTER!$AC$4:$AC$1463,0),"")</f>
        <v>949</v>
      </c>
    </row>
    <row r="77" spans="1:16">
      <c r="A77" s="15">
        <f>IF($P77="","",69)</f>
        <v>69</v>
      </c>
      <c r="B77" s="14" t="str">
        <f>IF($P77="","",IFERROR(IF(INDEX(MASTER!$C$4:$C$1463,$P77)="","",INDEX(MASTER!$C$4:$C$1463,$P77)),""))</f>
        <v>SENTINALL</v>
      </c>
      <c r="C77" s="15" t="str">
        <f>IF($P77="","",IFERROR(IF(INDEX(MASTER!$D$4:$D$1463,$P77)="","",INDEX(MASTER!$D$4:$D$1463,$P77)),""))</f>
        <v/>
      </c>
      <c r="D77" s="15" t="str">
        <f>IF($P77="","",IFERROR(IF(INDEX(MASTER!$E$4:$E$1463,$P77)="","",INDEX(MASTER!$E$4:$E$1463,$P77)),""))</f>
        <v>CRUSADER</v>
      </c>
      <c r="E77" s="15" t="str">
        <f>IF($P77="","",IFERROR(IF(INDEX(MASTER!$F$4:$F$1463,$P77)="","",INDEX(MASTER!$F$4:$F$1463,$P77)),""))</f>
        <v>Frontline</v>
      </c>
      <c r="F77" s="16">
        <f>IF($P77="","",IFERROR(IF(INDEX(MASTER!$G$4:$G$1463,$P77)="","",INDEX(MASTER!$G$4:$G$1463,$P77)),""))</f>
        <v>60440</v>
      </c>
      <c r="G77" s="15" t="str">
        <f>IF($P77="","",IFERROR(IF(INDEX(MASTER!$H$4:$H$1463,$P77)="","",INDEX(MASTER!$H$4:$H$1463,$P77)),""))</f>
        <v>60,000 - 60,999</v>
      </c>
      <c r="H77" s="16">
        <f>IF($P77="","",IFERROR(IF(INDEX(MASTER!$I$4:$I$1463,$P77)="","",INDEX(MASTER!$I$4:$I$1463,$P77)),""))</f>
        <v>2426</v>
      </c>
      <c r="I77" s="15" t="str">
        <f>IF($P77="","",IFERROR(IF(INDEX(MASTER!$J$4:$J$1463,$P77)="","",INDEX(MASTER!$J$4:$J$1463,$P77)),""))</f>
        <v>DEVELOPING</v>
      </c>
      <c r="J77" s="17">
        <f>IF($P77="","",IFERROR(IF(INDEX(MASTER!$L$4:$L$1463,$P77)="","",INDEX(MASTER!$L$4:$L$1463,$P77)),""))</f>
        <v>3.8</v>
      </c>
      <c r="K77" s="17">
        <f>IF($P77="","",IFERROR(IF(INDEX(MASTER!$N$4:$N$1463,$P77)="","",INDEX(MASTER!$N$4:$N$1463,$P77)),""))</f>
        <v>31.2</v>
      </c>
      <c r="L77" s="15" t="str">
        <f>IF($P77="","",IFERROR(IF(INDEX(MASTER!$O$4:$O$1463,$P77)="","",INDEX(MASTER!$O$4:$O$1463,$P77)),""))</f>
        <v>C</v>
      </c>
      <c r="M77" s="15">
        <f>IF($P77="","",IFERROR(IF(INDEX(MASTER!$Q$4:$Q$1463,$P77)="","",INDEX(MASTER!$Q$4:$Q$1463,$P77)),""))</f>
        <v>28</v>
      </c>
      <c r="N77" s="15" t="str">
        <f>IF($P77="","",IFERROR(IF(INDEX(MASTER!$S$4:$S$1463,$P77)="","",INDEX(MASTER!$S$4:$S$1463,$P77)),""))</f>
        <v>Complete</v>
      </c>
      <c r="P77">
        <f>IFERROR(MATCH($Q$1&amp;"@69",MASTER!$AC$4:$AC$1463,0),"")</f>
        <v>995</v>
      </c>
    </row>
    <row r="78" spans="1:16">
      <c r="A78" s="19">
        <f>IF($P78="","",70)</f>
        <v>70</v>
      </c>
      <c r="B78" s="18" t="str">
        <f>IF($P78="","",IFERROR(IF(INDEX(MASTER!$C$4:$C$1463,$P78)="","",INDEX(MASTER!$C$4:$C$1463,$P78)),""))</f>
        <v>Shabutie</v>
      </c>
      <c r="C78" s="19" t="str">
        <f>IF($P78="","",IFERROR(IF(INDEX(MASTER!$D$4:$D$1463,$P78)="","",INDEX(MASTER!$D$4:$D$1463,$P78)),""))</f>
        <v/>
      </c>
      <c r="D78" s="19" t="str">
        <f>IF($P78="","",IFERROR(IF(INDEX(MASTER!$E$4:$E$1463,$P78)="","",INDEX(MASTER!$E$4:$E$1463,$P78)),""))</f>
        <v>MONK</v>
      </c>
      <c r="E78" s="19" t="str">
        <f>IF($P78="","",IFERROR(IF(INDEX(MASTER!$F$4:$F$1463,$P78)="","",INDEX(MASTER!$F$4:$F$1463,$P78)),""))</f>
        <v>Support</v>
      </c>
      <c r="F78" s="20">
        <f>IF($P78="","",IFERROR(IF(INDEX(MASTER!$G$4:$G$1463,$P78)="","",INDEX(MASTER!$G$4:$G$1463,$P78)),""))</f>
        <v>62156</v>
      </c>
      <c r="G78" s="19" t="str">
        <f>IF($P78="","",IFERROR(IF(INDEX(MASTER!$H$4:$H$1463,$P78)="","",INDEX(MASTER!$H$4:$H$1463,$P78)),""))</f>
        <v>62,000 - 62,999</v>
      </c>
      <c r="H78" s="20">
        <f>IF($P78="","",IFERROR(IF(INDEX(MASTER!$I$4:$I$1463,$P78)="","",INDEX(MASTER!$I$4:$I$1463,$P78)),""))</f>
        <v>1914</v>
      </c>
      <c r="I78" s="19" t="str">
        <f>IF($P78="","",IFERROR(IF(INDEX(MASTER!$J$4:$J$1463,$P78)="","",INDEX(MASTER!$J$4:$J$1463,$P78)),""))</f>
        <v>ROOKIE</v>
      </c>
      <c r="J78" s="21">
        <f>IF($P78="","",IFERROR(IF(INDEX(MASTER!$L$4:$L$1463,$P78)="","",INDEX(MASTER!$L$4:$L$1463,$P78)),""))</f>
        <v>2.8</v>
      </c>
      <c r="K78" s="21">
        <f>IF($P78="","",IFERROR(IF(INDEX(MASTER!$N$4:$N$1463,$P78)="","",INDEX(MASTER!$N$4:$N$1463,$P78)),""))</f>
        <v>31.9</v>
      </c>
      <c r="L78" s="19" t="str">
        <f>IF($P78="","",IFERROR(IF(INDEX(MASTER!$O$4:$O$1463,$P78)="","",INDEX(MASTER!$O$4:$O$1463,$P78)),""))</f>
        <v>C</v>
      </c>
      <c r="M78" s="19">
        <f>IF($P78="","",IFERROR(IF(INDEX(MASTER!$Q$4:$Q$1463,$P78)="","",INDEX(MASTER!$Q$4:$Q$1463,$P78)),""))</f>
        <v>42</v>
      </c>
      <c r="N78" s="19" t="str">
        <f>IF($P78="","",IFERROR(IF(INDEX(MASTER!$S$4:$S$1463,$P78)="","",INDEX(MASTER!$S$4:$S$1463,$P78)),""))</f>
        <v>Complete</v>
      </c>
      <c r="P78">
        <f>IFERROR(MATCH($Q$1&amp;"@70",MASTER!$AC$4:$AC$1463,0),"")</f>
        <v>998</v>
      </c>
    </row>
    <row r="79" spans="1:16">
      <c r="A79" s="15">
        <f>IF($P79="","",71)</f>
        <v>71</v>
      </c>
      <c r="B79" s="14" t="str">
        <f>IF($P79="","",IFERROR(IF(INDEX(MASTER!$C$4:$C$1463,$P79)="","",INDEX(MASTER!$C$4:$C$1463,$P79)),""))</f>
        <v>Shanabels</v>
      </c>
      <c r="C79" s="15" t="str">
        <f>IF($P79="","",IFERROR(IF(INDEX(MASTER!$D$4:$D$1463,$P79)="","",INDEX(MASTER!$D$4:$D$1463,$P79)),""))</f>
        <v/>
      </c>
      <c r="D79" s="15" t="str">
        <f>IF($P79="","",IFERROR(IF(INDEX(MASTER!$E$4:$E$1463,$P79)="","",INDEX(MASTER!$E$4:$E$1463,$P79)),""))</f>
        <v>DRUID</v>
      </c>
      <c r="E79" s="15" t="str">
        <f>IF($P79="","",IFERROR(IF(INDEX(MASTER!$F$4:$F$1463,$P79)="","",INDEX(MASTER!$F$4:$F$1463,$P79)),""))</f>
        <v>Support</v>
      </c>
      <c r="F79" s="16">
        <f>IF($P79="","",IFERROR(IF(INDEX(MASTER!$G$4:$G$1463,$P79)="","",INDEX(MASTER!$G$4:$G$1463,$P79)),""))</f>
        <v>62186</v>
      </c>
      <c r="G79" s="15" t="str">
        <f>IF($P79="","",IFERROR(IF(INDEX(MASTER!$H$4:$H$1463,$P79)="","",INDEX(MASTER!$H$4:$H$1463,$P79)),""))</f>
        <v>62,000 - 62,999</v>
      </c>
      <c r="H79" s="16">
        <f>IF($P79="","",IFERROR(IF(INDEX(MASTER!$I$4:$I$1463,$P79)="","",INDEX(MASTER!$I$4:$I$1463,$P79)),""))</f>
        <v>1739</v>
      </c>
      <c r="I79" s="15" t="str">
        <f>IF($P79="","",IFERROR(IF(INDEX(MASTER!$J$4:$J$1463,$P79)="","",INDEX(MASTER!$J$4:$J$1463,$P79)),""))</f>
        <v>ROOKIE</v>
      </c>
      <c r="J79" s="17">
        <f>IF($P79="","",IFERROR(IF(INDEX(MASTER!$L$4:$L$1463,$P79)="","",INDEX(MASTER!$L$4:$L$1463,$P79)),""))</f>
        <v>3</v>
      </c>
      <c r="K79" s="17">
        <f>IF($P79="","",IFERROR(IF(INDEX(MASTER!$N$4:$N$1463,$P79)="","",INDEX(MASTER!$N$4:$N$1463,$P79)),""))</f>
        <v>31.5</v>
      </c>
      <c r="L79" s="15" t="str">
        <f>IF($P79="","",IFERROR(IF(INDEX(MASTER!$O$4:$O$1463,$P79)="","",INDEX(MASTER!$O$4:$O$1463,$P79)),""))</f>
        <v>C</v>
      </c>
      <c r="M79" s="15">
        <f>IF($P79="","",IFERROR(IF(INDEX(MASTER!$Q$4:$Q$1463,$P79)="","",INDEX(MASTER!$Q$4:$Q$1463,$P79)),""))</f>
        <v>50</v>
      </c>
      <c r="N79" s="15" t="str">
        <f>IF($P79="","",IFERROR(IF(INDEX(MASTER!$S$4:$S$1463,$P79)="","",INDEX(MASTER!$S$4:$S$1463,$P79)),""))</f>
        <v>Complete</v>
      </c>
      <c r="P79">
        <f>IFERROR(MATCH($Q$1&amp;"@71",MASTER!$AC$4:$AC$1463,0),"")</f>
        <v>1004</v>
      </c>
    </row>
    <row r="80" spans="1:16">
      <c r="A80" s="19">
        <f>IF($P80="","",72)</f>
        <v>72</v>
      </c>
      <c r="B80" s="18" t="str">
        <f>IF($P80="","",IFERROR(IF(INDEX(MASTER!$C$4:$C$1463,$P80)="","",INDEX(MASTER!$C$4:$C$1463,$P80)),""))</f>
        <v>smugg1er</v>
      </c>
      <c r="C80" s="19" t="str">
        <f>IF($P80="","",IFERROR(IF(INDEX(MASTER!$D$4:$D$1463,$P80)="","",INDEX(MASTER!$D$4:$D$1463,$P80)),""))</f>
        <v/>
      </c>
      <c r="D80" s="19" t="str">
        <f>IF($P80="","",IFERROR(IF(INDEX(MASTER!$E$4:$E$1463,$P80)="","",INDEX(MASTER!$E$4:$E$1463,$P80)),""))</f>
        <v>TEMPEST</v>
      </c>
      <c r="E80" s="19" t="str">
        <f>IF($P80="","",IFERROR(IF(INDEX(MASTER!$F$4:$F$1463,$P80)="","",INDEX(MASTER!$F$4:$F$1463,$P80)),""))</f>
        <v>Melee DPS</v>
      </c>
      <c r="F80" s="20">
        <f>IF($P80="","",IFERROR(IF(INDEX(MASTER!$G$4:$G$1463,$P80)="","",INDEX(MASTER!$G$4:$G$1463,$P80)),""))</f>
        <v>58785</v>
      </c>
      <c r="G80" s="19" t="str">
        <f>IF($P80="","",IFERROR(IF(INDEX(MASTER!$H$4:$H$1463,$P80)="","",INDEX(MASTER!$H$4:$H$1463,$P80)),""))</f>
        <v>58,000 - 59,999</v>
      </c>
      <c r="H80" s="20">
        <f>IF($P80="","",IFERROR(IF(INDEX(MASTER!$I$4:$I$1463,$P80)="","",INDEX(MASTER!$I$4:$I$1463,$P80)),""))</f>
        <v>1060</v>
      </c>
      <c r="I80" s="19" t="str">
        <f>IF($P80="","",IFERROR(IF(INDEX(MASTER!$J$4:$J$1463,$P80)="","",INDEX(MASTER!$J$4:$J$1463,$P80)),""))</f>
        <v>ROOKIE</v>
      </c>
      <c r="J80" s="21">
        <f>IF($P80="","",IFERROR(IF(INDEX(MASTER!$L$4:$L$1463,$P80)="","",INDEX(MASTER!$L$4:$L$1463,$P80)),""))</f>
        <v>2.8</v>
      </c>
      <c r="K80" s="21">
        <f>IF($P80="","",IFERROR(IF(INDEX(MASTER!$N$4:$N$1463,$P80)="","",INDEX(MASTER!$N$4:$N$1463,$P80)),""))</f>
        <v>19.3</v>
      </c>
      <c r="L80" s="19" t="str">
        <f>IF($P80="","",IFERROR(IF(INDEX(MASTER!$O$4:$O$1463,$P80)="","",INDEX(MASTER!$O$4:$O$1463,$P80)),""))</f>
        <v>D</v>
      </c>
      <c r="M80" s="19">
        <f>IF($P80="","",IFERROR(IF(INDEX(MASTER!$Q$4:$Q$1463,$P80)="","",INDEX(MASTER!$Q$4:$Q$1463,$P80)),""))</f>
        <v>81</v>
      </c>
      <c r="N80" s="19" t="str">
        <f>IF($P80="","",IFERROR(IF(INDEX(MASTER!$S$4:$S$1463,$P80)="","",INDEX(MASTER!$S$4:$S$1463,$P80)),""))</f>
        <v>Complete</v>
      </c>
      <c r="P80">
        <f>IFERROR(MATCH($Q$1&amp;"@72",MASTER!$AC$4:$AC$1463,0),"")</f>
        <v>1048</v>
      </c>
    </row>
    <row r="81" spans="1:16">
      <c r="A81" s="15">
        <f>IF($P81="","",73)</f>
        <v>73</v>
      </c>
      <c r="B81" s="14" t="str">
        <f>IF($P81="","",IFERROR(IF(INDEX(MASTER!$C$4:$C$1463,$P81)="","",INDEX(MASTER!$C$4:$C$1463,$P81)),""))</f>
        <v>Sroumiz</v>
      </c>
      <c r="C81" s="15" t="str">
        <f>IF($P81="","",IFERROR(IF(INDEX(MASTER!$D$4:$D$1463,$P81)="","",INDEX(MASTER!$D$4:$D$1463,$P81)),""))</f>
        <v/>
      </c>
      <c r="D81" s="15" t="str">
        <f>IF($P81="","",IFERROR(IF(INDEX(MASTER!$E$4:$E$1463,$P81)="","",INDEX(MASTER!$E$4:$E$1463,$P81)),""))</f>
        <v>CRUSADER</v>
      </c>
      <c r="E81" s="15" t="str">
        <f>IF($P81="","",IFERROR(IF(INDEX(MASTER!$F$4:$F$1463,$P81)="","",INDEX(MASTER!$F$4:$F$1463,$P81)),""))</f>
        <v>Frontline</v>
      </c>
      <c r="F81" s="16">
        <f>IF($P81="","",IFERROR(IF(INDEX(MASTER!$G$4:$G$1463,$P81)="","",INDEX(MASTER!$G$4:$G$1463,$P81)),""))</f>
        <v>60596</v>
      </c>
      <c r="G81" s="15" t="str">
        <f>IF($P81="","",IFERROR(IF(INDEX(MASTER!$H$4:$H$1463,$P81)="","",INDEX(MASTER!$H$4:$H$1463,$P81)),""))</f>
        <v>60,000 - 60,999</v>
      </c>
      <c r="H81" s="16">
        <f>IF($P81="","",IFERROR(IF(INDEX(MASTER!$I$4:$I$1463,$P81)="","",INDEX(MASTER!$I$4:$I$1463,$P81)),""))</f>
        <v>1340</v>
      </c>
      <c r="I81" s="15" t="str">
        <f>IF($P81="","",IFERROR(IF(INDEX(MASTER!$J$4:$J$1463,$P81)="","",INDEX(MASTER!$J$4:$J$1463,$P81)),""))</f>
        <v>ROOKIE</v>
      </c>
      <c r="J81" s="17">
        <f>IF($P81="","",IFERROR(IF(INDEX(MASTER!$L$4:$L$1463,$P81)="","",INDEX(MASTER!$L$4:$L$1463,$P81)),""))</f>
        <v>3</v>
      </c>
      <c r="K81" s="17">
        <f>IF($P81="","",IFERROR(IF(INDEX(MASTER!$N$4:$N$1463,$P81)="","",INDEX(MASTER!$N$4:$N$1463,$P81)),""))</f>
        <v>25.6</v>
      </c>
      <c r="L81" s="15" t="str">
        <f>IF($P81="","",IFERROR(IF(INDEX(MASTER!$O$4:$O$1463,$P81)="","",INDEX(MASTER!$O$4:$O$1463,$P81)),""))</f>
        <v>C</v>
      </c>
      <c r="M81" s="15">
        <f>IF($P81="","",IFERROR(IF(INDEX(MASTER!$Q$4:$Q$1463,$P81)="","",INDEX(MASTER!$Q$4:$Q$1463,$P81)),""))</f>
        <v>67</v>
      </c>
      <c r="N81" s="15" t="str">
        <f>IF($P81="","",IFERROR(IF(INDEX(MASTER!$S$4:$S$1463,$P81)="","",INDEX(MASTER!$S$4:$S$1463,$P81)),""))</f>
        <v>Complete</v>
      </c>
      <c r="P81">
        <f>IFERROR(MATCH($Q$1&amp;"@73",MASTER!$AC$4:$AC$1463,0),"")</f>
        <v>1069</v>
      </c>
    </row>
    <row r="82" spans="1:16">
      <c r="A82" s="19">
        <f>IF($P82="","",74)</f>
        <v>74</v>
      </c>
      <c r="B82" s="18" t="str">
        <f>IF($P82="","",IFERROR(IF(INDEX(MASTER!$C$4:$C$1463,$P82)="","",INDEX(MASTER!$C$4:$C$1463,$P82)),""))</f>
        <v>Starling-1</v>
      </c>
      <c r="C82" s="19" t="str">
        <f>IF($P82="","",IFERROR(IF(INDEX(MASTER!$D$4:$D$1463,$P82)="","",INDEX(MASTER!$D$4:$D$1463,$P82)),""))</f>
        <v/>
      </c>
      <c r="D82" s="19" t="str">
        <f>IF($P82="","",IFERROR(IF(INDEX(MASTER!$E$4:$E$1463,$P82)="","",INDEX(MASTER!$E$4:$E$1463,$P82)),""))</f>
        <v>WIZARD</v>
      </c>
      <c r="E82" s="19" t="str">
        <f>IF($P82="","",IFERROR(IF(INDEX(MASTER!$F$4:$F$1463,$P82)="","",INDEX(MASTER!$F$4:$F$1463,$P82)),""))</f>
        <v>Ranged DPS</v>
      </c>
      <c r="F82" s="20">
        <f>IF($P82="","",IFERROR(IF(INDEX(MASTER!$G$4:$G$1463,$P82)="","",INDEX(MASTER!$G$4:$G$1463,$P82)),""))</f>
        <v>62866</v>
      </c>
      <c r="G82" s="19" t="str">
        <f>IF($P82="","",IFERROR(IF(INDEX(MASTER!$H$4:$H$1463,$P82)="","",INDEX(MASTER!$H$4:$H$1463,$P82)),""))</f>
        <v>62,000 - 62,999</v>
      </c>
      <c r="H82" s="20">
        <f>IF($P82="","",IFERROR(IF(INDEX(MASTER!$I$4:$I$1463,$P82)="","",INDEX(MASTER!$I$4:$I$1463,$P82)),""))</f>
        <v>2203</v>
      </c>
      <c r="I82" s="19" t="str">
        <f>IF($P82="","",IFERROR(IF(INDEX(MASTER!$J$4:$J$1463,$P82)="","",INDEX(MASTER!$J$4:$J$1463,$P82)),""))</f>
        <v>DEVELOPING</v>
      </c>
      <c r="J82" s="21">
        <f>IF($P82="","",IFERROR(IF(INDEX(MASTER!$L$4:$L$1463,$P82)="","",INDEX(MASTER!$L$4:$L$1463,$P82)),""))</f>
        <v>4.8499999999999996</v>
      </c>
      <c r="K82" s="21">
        <f>IF($P82="","",IFERROR(IF(INDEX(MASTER!$N$4:$N$1463,$P82)="","",INDEX(MASTER!$N$4:$N$1463,$P82)),""))</f>
        <v>38.4</v>
      </c>
      <c r="L82" s="19" t="str">
        <f>IF($P82="","",IFERROR(IF(INDEX(MASTER!$O$4:$O$1463,$P82)="","",INDEX(MASTER!$O$4:$O$1463,$P82)),""))</f>
        <v>B</v>
      </c>
      <c r="M82" s="19">
        <f>IF($P82="","",IFERROR(IF(INDEX(MASTER!$Q$4:$Q$1463,$P82)="","",INDEX(MASTER!$Q$4:$Q$1463,$P82)),""))</f>
        <v>35</v>
      </c>
      <c r="N82" s="19" t="str">
        <f>IF($P82="","",IFERROR(IF(INDEX(MASTER!$S$4:$S$1463,$P82)="","",INDEX(MASTER!$S$4:$S$1463,$P82)),""))</f>
        <v>Complete</v>
      </c>
      <c r="P82">
        <f>IFERROR(MATCH($Q$1&amp;"@74",MASTER!$AC$4:$AC$1463,0),"")</f>
        <v>1074</v>
      </c>
    </row>
    <row r="83" spans="1:16">
      <c r="A83" s="15">
        <f>IF($P83="","",75)</f>
        <v>75</v>
      </c>
      <c r="B83" s="14" t="str">
        <f>IF($P83="","",IFERROR(IF(INDEX(MASTER!$C$4:$C$1463,$P83)="","",INDEX(MASTER!$C$4:$C$1463,$P83)),""))</f>
        <v>Stevebowie</v>
      </c>
      <c r="C83" s="15" t="str">
        <f>IF($P83="","",IFERROR(IF(INDEX(MASTER!$D$4:$D$1463,$P83)="","",INDEX(MASTER!$D$4:$D$1463,$P83)),""))</f>
        <v/>
      </c>
      <c r="D83" s="15" t="str">
        <f>IF($P83="","",IFERROR(IF(INDEX(MASTER!$E$4:$E$1463,$P83)="","",INDEX(MASTER!$E$4:$E$1463,$P83)),""))</f>
        <v>WARLOCK</v>
      </c>
      <c r="E83" s="15" t="str">
        <f>IF($P83="","",IFERROR(IF(INDEX(MASTER!$F$4:$F$1463,$P83)="","",INDEX(MASTER!$F$4:$F$1463,$P83)),""))</f>
        <v>Control</v>
      </c>
      <c r="F83" s="16">
        <f>IF($P83="","",IFERROR(IF(INDEX(MASTER!$G$4:$G$1463,$P83)="","",INDEX(MASTER!$G$4:$G$1463,$P83)),""))</f>
        <v>62598</v>
      </c>
      <c r="G83" s="15" t="str">
        <f>IF($P83="","",IFERROR(IF(INDEX(MASTER!$H$4:$H$1463,$P83)="","",INDEX(MASTER!$H$4:$H$1463,$P83)),""))</f>
        <v>62,000 - 62,999</v>
      </c>
      <c r="H83" s="16">
        <f>IF($P83="","",IFERROR(IF(INDEX(MASTER!$I$4:$I$1463,$P83)="","",INDEX(MASTER!$I$4:$I$1463,$P83)),""))</f>
        <v>3200</v>
      </c>
      <c r="I83" s="15" t="str">
        <f>IF($P83="","",IFERROR(IF(INDEX(MASTER!$J$4:$J$1463,$P83)="","",INDEX(MASTER!$J$4:$J$1463,$P83)),""))</f>
        <v>DEVELOPING</v>
      </c>
      <c r="J83" s="17">
        <f>IF($P83="","",IFERROR(IF(INDEX(MASTER!$L$4:$L$1463,$P83)="","",INDEX(MASTER!$L$4:$L$1463,$P83)),""))</f>
        <v>5</v>
      </c>
      <c r="K83" s="17">
        <f>IF($P83="","",IFERROR(IF(INDEX(MASTER!$N$4:$N$1463,$P83)="","",INDEX(MASTER!$N$4:$N$1463,$P83)),""))</f>
        <v>42.3</v>
      </c>
      <c r="L83" s="15" t="str">
        <f>IF($P83="","",IFERROR(IF(INDEX(MASTER!$O$4:$O$1463,$P83)="","",INDEX(MASTER!$O$4:$O$1463,$P83)),""))</f>
        <v>B</v>
      </c>
      <c r="M83" s="15">
        <f>IF($P83="","",IFERROR(IF(INDEX(MASTER!$Q$4:$Q$1463,$P83)="","",INDEX(MASTER!$Q$4:$Q$1463,$P83)),""))</f>
        <v>14</v>
      </c>
      <c r="N83" s="15" t="str">
        <f>IF($P83="","",IFERROR(IF(INDEX(MASTER!$S$4:$S$1463,$P83)="","",INDEX(MASTER!$S$4:$S$1463,$P83)),""))</f>
        <v>Complete</v>
      </c>
      <c r="P83">
        <f>IFERROR(MATCH($Q$1&amp;"@75",MASTER!$AC$4:$AC$1463,0),"")</f>
        <v>1077</v>
      </c>
    </row>
    <row r="84" spans="1:16">
      <c r="A84" s="19">
        <f>IF($P84="","",76)</f>
        <v>76</v>
      </c>
      <c r="B84" s="18" t="str">
        <f>IF($P84="","",IFERROR(IF(INDEX(MASTER!$C$4:$C$1463,$P84)="","",INDEX(MASTER!$C$4:$C$1463,$P84)),""))</f>
        <v>SynfulKellan</v>
      </c>
      <c r="C84" s="19" t="str">
        <f>IF($P84="","",IFERROR(IF(INDEX(MASTER!$D$4:$D$1463,$P84)="","",INDEX(MASTER!$D$4:$D$1463,$P84)),""))</f>
        <v/>
      </c>
      <c r="D84" s="19" t="str">
        <f>IF($P84="","",IFERROR(IF(INDEX(MASTER!$E$4:$E$1463,$P84)="","",INDEX(MASTER!$E$4:$E$1463,$P84)),""))</f>
        <v>WARLOCK</v>
      </c>
      <c r="E84" s="19" t="str">
        <f>IF($P84="","",IFERROR(IF(INDEX(MASTER!$F$4:$F$1463,$P84)="","",INDEX(MASTER!$F$4:$F$1463,$P84)),""))</f>
        <v>Control</v>
      </c>
      <c r="F84" s="20">
        <f>IF($P84="","",IFERROR(IF(INDEX(MASTER!$G$4:$G$1463,$P84)="","",INDEX(MASTER!$G$4:$G$1463,$P84)),""))</f>
        <v>62736</v>
      </c>
      <c r="G84" s="19" t="str">
        <f>IF($P84="","",IFERROR(IF(INDEX(MASTER!$H$4:$H$1463,$P84)="","",INDEX(MASTER!$H$4:$H$1463,$P84)),""))</f>
        <v>62,000 - 62,999</v>
      </c>
      <c r="H84" s="20">
        <f>IF($P84="","",IFERROR(IF(INDEX(MASTER!$I$4:$I$1463,$P84)="","",INDEX(MASTER!$I$4:$I$1463,$P84)),""))</f>
        <v>3455</v>
      </c>
      <c r="I84" s="19" t="str">
        <f>IF($P84="","",IFERROR(IF(INDEX(MASTER!$J$4:$J$1463,$P84)="","",INDEX(MASTER!$J$4:$J$1463,$P84)),""))</f>
        <v>DEVELOPING</v>
      </c>
      <c r="J84" s="21">
        <f>IF($P84="","",IFERROR(IF(INDEX(MASTER!$L$4:$L$1463,$P84)="","",INDEX(MASTER!$L$4:$L$1463,$P84)),""))</f>
        <v>4.5999999999999996</v>
      </c>
      <c r="K84" s="21">
        <f>IF($P84="","",IFERROR(IF(INDEX(MASTER!$N$4:$N$1463,$P84)="","",INDEX(MASTER!$N$4:$N$1463,$P84)),""))</f>
        <v>43.1</v>
      </c>
      <c r="L84" s="19" t="str">
        <f>IF($P84="","",IFERROR(IF(INDEX(MASTER!$O$4:$O$1463,$P84)="","",INDEX(MASTER!$O$4:$O$1463,$P84)),""))</f>
        <v>B</v>
      </c>
      <c r="M84" s="19">
        <f>IF($P84="","",IFERROR(IF(INDEX(MASTER!$Q$4:$Q$1463,$P84)="","",INDEX(MASTER!$Q$4:$Q$1463,$P84)),""))</f>
        <v>11</v>
      </c>
      <c r="N84" s="19" t="str">
        <f>IF($P84="","",IFERROR(IF(INDEX(MASTER!$S$4:$S$1463,$P84)="","",INDEX(MASTER!$S$4:$S$1463,$P84)),""))</f>
        <v>Complete</v>
      </c>
      <c r="P84">
        <f>IFERROR(MATCH($Q$1&amp;"@76",MASTER!$AC$4:$AC$1463,0),"")</f>
        <v>1104</v>
      </c>
    </row>
    <row r="85" spans="1:16">
      <c r="A85" s="15">
        <f>IF($P85="","",77)</f>
        <v>77</v>
      </c>
      <c r="B85" s="14" t="str">
        <f>IF($P85="","",IFERROR(IF(INDEX(MASTER!$C$4:$C$1463,$P85)="","",INDEX(MASTER!$C$4:$C$1463,$P85)),""))</f>
        <v>Tartan</v>
      </c>
      <c r="C85" s="15" t="str">
        <f>IF($P85="","",IFERROR(IF(INDEX(MASTER!$D$4:$D$1463,$P85)="","",INDEX(MASTER!$D$4:$D$1463,$P85)),""))</f>
        <v/>
      </c>
      <c r="D85" s="15" t="str">
        <f>IF($P85="","",IFERROR(IF(INDEX(MASTER!$E$4:$E$1463,$P85)="","",INDEX(MASTER!$E$4:$E$1463,$P85)),""))</f>
        <v>DRUID</v>
      </c>
      <c r="E85" s="15" t="str">
        <f>IF($P85="","",IFERROR(IF(INDEX(MASTER!$F$4:$F$1463,$P85)="","",INDEX(MASTER!$F$4:$F$1463,$P85)),""))</f>
        <v>Support</v>
      </c>
      <c r="F85" s="16">
        <f>IF($P85="","",IFERROR(IF(INDEX(MASTER!$G$4:$G$1463,$P85)="","",INDEX(MASTER!$G$4:$G$1463,$P85)),""))</f>
        <v>60166</v>
      </c>
      <c r="G85" s="15" t="str">
        <f>IF($P85="","",IFERROR(IF(INDEX(MASTER!$H$4:$H$1463,$P85)="","",INDEX(MASTER!$H$4:$H$1463,$P85)),""))</f>
        <v>60,000 - 60,999</v>
      </c>
      <c r="H85" s="16">
        <f>IF($P85="","",IFERROR(IF(INDEX(MASTER!$I$4:$I$1463,$P85)="","",INDEX(MASTER!$I$4:$I$1463,$P85)),""))</f>
        <v>1170</v>
      </c>
      <c r="I85" s="15" t="str">
        <f>IF($P85="","",IFERROR(IF(INDEX(MASTER!$J$4:$J$1463,$P85)="","",INDEX(MASTER!$J$4:$J$1463,$P85)),""))</f>
        <v>ROOKIE</v>
      </c>
      <c r="J85" s="17">
        <f>IF($P85="","",IFERROR(IF(INDEX(MASTER!$L$4:$L$1463,$P85)="","",INDEX(MASTER!$L$4:$L$1463,$P85)),""))</f>
        <v>4</v>
      </c>
      <c r="K85" s="17">
        <f>IF($P85="","",IFERROR(IF(INDEX(MASTER!$N$4:$N$1463,$P85)="","",INDEX(MASTER!$N$4:$N$1463,$P85)),""))</f>
        <v>25.4</v>
      </c>
      <c r="L85" s="15" t="str">
        <f>IF($P85="","",IFERROR(IF(INDEX(MASTER!$O$4:$O$1463,$P85)="","",INDEX(MASTER!$O$4:$O$1463,$P85)),""))</f>
        <v>C</v>
      </c>
      <c r="M85" s="15">
        <f>IF($P85="","",IFERROR(IF(INDEX(MASTER!$Q$4:$Q$1463,$P85)="","",INDEX(MASTER!$Q$4:$Q$1463,$P85)),""))</f>
        <v>73</v>
      </c>
      <c r="N85" s="15" t="str">
        <f>IF($P85="","",IFERROR(IF(INDEX(MASTER!$S$4:$S$1463,$P85)="","",INDEX(MASTER!$S$4:$S$1463,$P85)),""))</f>
        <v>Complete</v>
      </c>
      <c r="P85">
        <f>IFERROR(MATCH($Q$1&amp;"@77",MASTER!$AC$4:$AC$1463,0),"")</f>
        <v>1121</v>
      </c>
    </row>
    <row r="86" spans="1:16">
      <c r="A86" s="19">
        <f>IF($P86="","",78)</f>
        <v>78</v>
      </c>
      <c r="B86" s="18" t="str">
        <f>IF($P86="","",IFERROR(IF(INDEX(MASTER!$C$4:$C$1463,$P86)="","",INDEX(MASTER!$C$4:$C$1463,$P86)),""))</f>
        <v>Themunchable</v>
      </c>
      <c r="C86" s="19" t="str">
        <f>IF($P86="","",IFERROR(IF(INDEX(MASTER!$D$4:$D$1463,$P86)="","",INDEX(MASTER!$D$4:$D$1463,$P86)),""))</f>
        <v/>
      </c>
      <c r="D86" s="19" t="str">
        <f>IF($P86="","",IFERROR(IF(INDEX(MASTER!$E$4:$E$1463,$P86)="","",INDEX(MASTER!$E$4:$E$1463,$P86)),""))</f>
        <v>WARLOCK</v>
      </c>
      <c r="E86" s="19" t="str">
        <f>IF($P86="","",IFERROR(IF(INDEX(MASTER!$F$4:$F$1463,$P86)="","",INDEX(MASTER!$F$4:$F$1463,$P86)),""))</f>
        <v>Control</v>
      </c>
      <c r="F86" s="20">
        <f>IF($P86="","",IFERROR(IF(INDEX(MASTER!$G$4:$G$1463,$P86)="","",INDEX(MASTER!$G$4:$G$1463,$P86)),""))</f>
        <v>54663</v>
      </c>
      <c r="G86" s="19" t="str">
        <f>IF($P86="","",IFERROR(IF(INDEX(MASTER!$H$4:$H$1463,$P86)="","",INDEX(MASTER!$H$4:$H$1463,$P86)),""))</f>
        <v>Under 58,000</v>
      </c>
      <c r="H86" s="20">
        <f>IF($P86="","",IFERROR(IF(INDEX(MASTER!$I$4:$I$1463,$P86)="","",INDEX(MASTER!$I$4:$I$1463,$P86)),""))</f>
        <v>1066</v>
      </c>
      <c r="I86" s="19" t="str">
        <f>IF($P86="","",IFERROR(IF(INDEX(MASTER!$J$4:$J$1463,$P86)="","",INDEX(MASTER!$J$4:$J$1463,$P86)),""))</f>
        <v>ROOKIE</v>
      </c>
      <c r="J86" s="21">
        <f>IF($P86="","",IFERROR(IF(INDEX(MASTER!$L$4:$L$1463,$P86)="","",INDEX(MASTER!$L$4:$L$1463,$P86)),""))</f>
        <v>2</v>
      </c>
      <c r="K86" s="21">
        <f>IF($P86="","",IFERROR(IF(INDEX(MASTER!$N$4:$N$1463,$P86)="","",INDEX(MASTER!$N$4:$N$1463,$P86)),""))</f>
        <v>8</v>
      </c>
      <c r="L86" s="19" t="str">
        <f>IF($P86="","",IFERROR(IF(INDEX(MASTER!$O$4:$O$1463,$P86)="","",INDEX(MASTER!$O$4:$O$1463,$P86)),""))</f>
        <v>D</v>
      </c>
      <c r="M86" s="19">
        <f>IF($P86="","",IFERROR(IF(INDEX(MASTER!$Q$4:$Q$1463,$P86)="","",INDEX(MASTER!$Q$4:$Q$1463,$P86)),""))</f>
        <v>79</v>
      </c>
      <c r="N86" s="19" t="str">
        <f>IF($P86="","",IFERROR(IF(INDEX(MASTER!$S$4:$S$1463,$P86)="","",INDEX(MASTER!$S$4:$S$1463,$P86)),""))</f>
        <v>Complete</v>
      </c>
      <c r="P86">
        <f>IFERROR(MATCH($Q$1&amp;"@78",MASTER!$AC$4:$AC$1463,0),"")</f>
        <v>1138</v>
      </c>
    </row>
    <row r="87" spans="1:16">
      <c r="A87" s="15">
        <f>IF($P87="","",79)</f>
        <v>79</v>
      </c>
      <c r="B87" s="14" t="str">
        <f>IF($P87="","",IFERROR(IF(INDEX(MASTER!$C$4:$C$1463,$P87)="","",INDEX(MASTER!$C$4:$C$1463,$P87)),""))</f>
        <v>Theodgar</v>
      </c>
      <c r="C87" s="15" t="str">
        <f>IF($P87="","",IFERROR(IF(INDEX(MASTER!$D$4:$D$1463,$P87)="","",INDEX(MASTER!$D$4:$D$1463,$P87)),""))</f>
        <v/>
      </c>
      <c r="D87" s="15" t="str">
        <f>IF($P87="","",IFERROR(IF(INDEX(MASTER!$E$4:$E$1463,$P87)="","",INDEX(MASTER!$E$4:$E$1463,$P87)),""))</f>
        <v>BARBARIAN</v>
      </c>
      <c r="E87" s="15" t="str">
        <f>IF($P87="","",IFERROR(IF(INDEX(MASTER!$F$4:$F$1463,$P87)="","",INDEX(MASTER!$F$4:$F$1463,$P87)),""))</f>
        <v>Frontline</v>
      </c>
      <c r="F87" s="16">
        <f>IF($P87="","",IFERROR(IF(INDEX(MASTER!$G$4:$G$1463,$P87)="","",INDEX(MASTER!$G$4:$G$1463,$P87)),""))</f>
        <v>61161</v>
      </c>
      <c r="G87" s="15" t="str">
        <f>IF($P87="","",IFERROR(IF(INDEX(MASTER!$H$4:$H$1463,$P87)="","",INDEX(MASTER!$H$4:$H$1463,$P87)),""))</f>
        <v>61,000 - 61,999</v>
      </c>
      <c r="H87" s="16">
        <f>IF($P87="","",IFERROR(IF(INDEX(MASTER!$I$4:$I$1463,$P87)="","",INDEX(MASTER!$I$4:$I$1463,$P87)),""))</f>
        <v>1253</v>
      </c>
      <c r="I87" s="15" t="str">
        <f>IF($P87="","",IFERROR(IF(INDEX(MASTER!$J$4:$J$1463,$P87)="","",INDEX(MASTER!$J$4:$J$1463,$P87)),""))</f>
        <v>ROOKIE</v>
      </c>
      <c r="J87" s="17">
        <f>IF($P87="","",IFERROR(IF(INDEX(MASTER!$L$4:$L$1463,$P87)="","",INDEX(MASTER!$L$4:$L$1463,$P87)),""))</f>
        <v>3</v>
      </c>
      <c r="K87" s="17">
        <f>IF($P87="","",IFERROR(IF(INDEX(MASTER!$N$4:$N$1463,$P87)="","",INDEX(MASTER!$N$4:$N$1463,$P87)),""))</f>
        <v>26.7</v>
      </c>
      <c r="L87" s="15" t="str">
        <f>IF($P87="","",IFERROR(IF(INDEX(MASTER!$O$4:$O$1463,$P87)="","",INDEX(MASTER!$O$4:$O$1463,$P87)),""))</f>
        <v>C</v>
      </c>
      <c r="M87" s="15">
        <f>IF($P87="","",IFERROR(IF(INDEX(MASTER!$Q$4:$Q$1463,$P87)="","",INDEX(MASTER!$Q$4:$Q$1463,$P87)),""))</f>
        <v>69</v>
      </c>
      <c r="N87" s="15" t="str">
        <f>IF($P87="","",IFERROR(IF(INDEX(MASTER!$S$4:$S$1463,$P87)="","",INDEX(MASTER!$S$4:$S$1463,$P87)),""))</f>
        <v>Complete</v>
      </c>
      <c r="P87">
        <f>IFERROR(MATCH($Q$1&amp;"@79",MASTER!$AC$4:$AC$1463,0),"")</f>
        <v>1139</v>
      </c>
    </row>
    <row r="88" spans="1:16">
      <c r="A88" s="19">
        <f>IF($P88="","",80)</f>
        <v>80</v>
      </c>
      <c r="B88" s="18" t="str">
        <f>IF($P88="","",IFERROR(IF(INDEX(MASTER!$C$4:$C$1463,$P88)="","",INDEX(MASTER!$C$4:$C$1463,$P88)),""))</f>
        <v>TheOtherPlayer</v>
      </c>
      <c r="C88" s="19" t="str">
        <f>IF($P88="","",IFERROR(IF(INDEX(MASTER!$D$4:$D$1463,$P88)="","",INDEX(MASTER!$D$4:$D$1463,$P88)),""))</f>
        <v/>
      </c>
      <c r="D88" s="19" t="str">
        <f>IF($P88="","",IFERROR(IF(INDEX(MASTER!$E$4:$E$1463,$P88)="","",INDEX(MASTER!$E$4:$E$1463,$P88)),""))</f>
        <v>CRUSADER</v>
      </c>
      <c r="E88" s="19" t="str">
        <f>IF($P88="","",IFERROR(IF(INDEX(MASTER!$F$4:$F$1463,$P88)="","",INDEX(MASTER!$F$4:$F$1463,$P88)),""))</f>
        <v>Frontline</v>
      </c>
      <c r="F88" s="20">
        <f>IF($P88="","",IFERROR(IF(INDEX(MASTER!$G$4:$G$1463,$P88)="","",INDEX(MASTER!$G$4:$G$1463,$P88)),""))</f>
        <v>61394</v>
      </c>
      <c r="G88" s="19" t="str">
        <f>IF($P88="","",IFERROR(IF(INDEX(MASTER!$H$4:$H$1463,$P88)="","",INDEX(MASTER!$H$4:$H$1463,$P88)),""))</f>
        <v>61,000 - 61,999</v>
      </c>
      <c r="H88" s="20">
        <f>IF($P88="","",IFERROR(IF(INDEX(MASTER!$I$4:$I$1463,$P88)="","",INDEX(MASTER!$I$4:$I$1463,$P88)),""))</f>
        <v>2529</v>
      </c>
      <c r="I88" s="19" t="str">
        <f>IF($P88="","",IFERROR(IF(INDEX(MASTER!$J$4:$J$1463,$P88)="","",INDEX(MASTER!$J$4:$J$1463,$P88)),""))</f>
        <v>DEVELOPING</v>
      </c>
      <c r="J88" s="21">
        <f>IF($P88="","",IFERROR(IF(INDEX(MASTER!$L$4:$L$1463,$P88)="","",INDEX(MASTER!$L$4:$L$1463,$P88)),""))</f>
        <v>4.55</v>
      </c>
      <c r="K88" s="21">
        <f>IF($P88="","",IFERROR(IF(INDEX(MASTER!$N$4:$N$1463,$P88)="","",INDEX(MASTER!$N$4:$N$1463,$P88)),""))</f>
        <v>35.4</v>
      </c>
      <c r="L88" s="19" t="str">
        <f>IF($P88="","",IFERROR(IF(INDEX(MASTER!$O$4:$O$1463,$P88)="","",INDEX(MASTER!$O$4:$O$1463,$P88)),""))</f>
        <v>B</v>
      </c>
      <c r="M88" s="19">
        <f>IF($P88="","",IFERROR(IF(INDEX(MASTER!$Q$4:$Q$1463,$P88)="","",INDEX(MASTER!$Q$4:$Q$1463,$P88)),""))</f>
        <v>23</v>
      </c>
      <c r="N88" s="19" t="str">
        <f>IF($P88="","",IFERROR(IF(INDEX(MASTER!$S$4:$S$1463,$P88)="","",INDEX(MASTER!$S$4:$S$1463,$P88)),""))</f>
        <v>Complete</v>
      </c>
      <c r="P88">
        <f>IFERROR(MATCH($Q$1&amp;"@80",MASTER!$AC$4:$AC$1463,0),"")</f>
        <v>1140</v>
      </c>
    </row>
    <row r="89" spans="1:16">
      <c r="A89" s="15">
        <f>IF($P89="","",81)</f>
        <v>81</v>
      </c>
      <c r="B89" s="14" t="str">
        <f>IF($P89="","",IFERROR(IF(INDEX(MASTER!$C$4:$C$1463,$P89)="","",INDEX(MASTER!$C$4:$C$1463,$P89)),""))</f>
        <v>THERIDDIC</v>
      </c>
      <c r="C89" s="15" t="str">
        <f>IF($P89="","",IFERROR(IF(INDEX(MASTER!$D$4:$D$1463,$P89)="","",INDEX(MASTER!$D$4:$D$1463,$P89)),""))</f>
        <v/>
      </c>
      <c r="D89" s="15" t="str">
        <f>IF($P89="","",IFERROR(IF(INDEX(MASTER!$E$4:$E$1463,$P89)="","",INDEX(MASTER!$E$4:$E$1463,$P89)),""))</f>
        <v>DRUID</v>
      </c>
      <c r="E89" s="15" t="str">
        <f>IF($P89="","",IFERROR(IF(INDEX(MASTER!$F$4:$F$1463,$P89)="","",INDEX(MASTER!$F$4:$F$1463,$P89)),""))</f>
        <v>Support</v>
      </c>
      <c r="F89" s="16">
        <f>IF($P89="","",IFERROR(IF(INDEX(MASTER!$G$4:$G$1463,$P89)="","",INDEX(MASTER!$G$4:$G$1463,$P89)),""))</f>
        <v>63698</v>
      </c>
      <c r="G89" s="15" t="str">
        <f>IF($P89="","",IFERROR(IF(INDEX(MASTER!$H$4:$H$1463,$P89)="","",INDEX(MASTER!$H$4:$H$1463,$P89)),""))</f>
        <v>63,000 - 63,999</v>
      </c>
      <c r="H89" s="16">
        <f>IF($P89="","",IFERROR(IF(INDEX(MASTER!$I$4:$I$1463,$P89)="","",INDEX(MASTER!$I$4:$I$1463,$P89)),""))</f>
        <v>8652</v>
      </c>
      <c r="I89" s="15" t="str">
        <f>IF($P89="","",IFERROR(IF(INDEX(MASTER!$J$4:$J$1463,$P89)="","",INDEX(MASTER!$J$4:$J$1463,$P89)),""))</f>
        <v>ELITE</v>
      </c>
      <c r="J89" s="17">
        <f>IF($P89="","",IFERROR(IF(INDEX(MASTER!$L$4:$L$1463,$P89)="","",INDEX(MASTER!$L$4:$L$1463,$P89)),""))</f>
        <v>6.25</v>
      </c>
      <c r="K89" s="17">
        <f>IF($P89="","",IFERROR(IF(INDEX(MASTER!$N$4:$N$1463,$P89)="","",INDEX(MASTER!$N$4:$N$1463,$P89)),""))</f>
        <v>71.099999999999994</v>
      </c>
      <c r="L89" s="15" t="str">
        <f>IF($P89="","",IFERROR(IF(INDEX(MASTER!$O$4:$O$1463,$P89)="","",INDEX(MASTER!$O$4:$O$1463,$P89)),""))</f>
        <v>S</v>
      </c>
      <c r="M89" s="15">
        <f>IF($P89="","",IFERROR(IF(INDEX(MASTER!$Q$4:$Q$1463,$P89)="","",INDEX(MASTER!$Q$4:$Q$1463,$P89)),""))</f>
        <v>1</v>
      </c>
      <c r="N89" s="15" t="str">
        <f>IF($P89="","",IFERROR(IF(INDEX(MASTER!$S$4:$S$1463,$P89)="","",INDEX(MASTER!$S$4:$S$1463,$P89)),""))</f>
        <v>Complete</v>
      </c>
      <c r="P89">
        <f>IFERROR(MATCH($Q$1&amp;"@81",MASTER!$AC$4:$AC$1463,0),"")</f>
        <v>1142</v>
      </c>
    </row>
    <row r="90" spans="1:16">
      <c r="A90" s="19">
        <f>IF($P90="","",82)</f>
        <v>82</v>
      </c>
      <c r="B90" s="18" t="str">
        <f>IF($P90="","",IFERROR(IF(INDEX(MASTER!$C$4:$C$1463,$P90)="","",INDEX(MASTER!$C$4:$C$1463,$P90)),""))</f>
        <v>Toanpro</v>
      </c>
      <c r="C90" s="19" t="str">
        <f>IF($P90="","",IFERROR(IF(INDEX(MASTER!$D$4:$D$1463,$P90)="","",INDEX(MASTER!$D$4:$D$1463,$P90)),""))</f>
        <v/>
      </c>
      <c r="D90" s="19" t="str">
        <f>IF($P90="","",IFERROR(IF(INDEX(MASTER!$E$4:$E$1463,$P90)="","",INDEX(MASTER!$E$4:$E$1463,$P90)),""))</f>
        <v>DEMON HUNTER</v>
      </c>
      <c r="E90" s="19" t="str">
        <f>IF($P90="","",IFERROR(IF(INDEX(MASTER!$F$4:$F$1463,$P90)="","",INDEX(MASTER!$F$4:$F$1463,$P90)),""))</f>
        <v>Ranged DPS</v>
      </c>
      <c r="F90" s="20">
        <f>IF($P90="","",IFERROR(IF(INDEX(MASTER!$G$4:$G$1463,$P90)="","",INDEX(MASTER!$G$4:$G$1463,$P90)),""))</f>
        <v>61850</v>
      </c>
      <c r="G90" s="19" t="str">
        <f>IF($P90="","",IFERROR(IF(INDEX(MASTER!$H$4:$H$1463,$P90)="","",INDEX(MASTER!$H$4:$H$1463,$P90)),""))</f>
        <v>61,000 - 61,999</v>
      </c>
      <c r="H90" s="20">
        <f>IF($P90="","",IFERROR(IF(INDEX(MASTER!$I$4:$I$1463,$P90)="","",INDEX(MASTER!$I$4:$I$1463,$P90)),""))</f>
        <v>2466</v>
      </c>
      <c r="I90" s="19" t="str">
        <f>IF($P90="","",IFERROR(IF(INDEX(MASTER!$J$4:$J$1463,$P90)="","",INDEX(MASTER!$J$4:$J$1463,$P90)),""))</f>
        <v>DEVELOPING</v>
      </c>
      <c r="J90" s="21">
        <f>IF($P90="","",IFERROR(IF(INDEX(MASTER!$L$4:$L$1463,$P90)="","",INDEX(MASTER!$L$4:$L$1463,$P90)),""))</f>
        <v>3.4</v>
      </c>
      <c r="K90" s="21">
        <f>IF($P90="","",IFERROR(IF(INDEX(MASTER!$N$4:$N$1463,$P90)="","",INDEX(MASTER!$N$4:$N$1463,$P90)),""))</f>
        <v>34.5</v>
      </c>
      <c r="L90" s="19" t="str">
        <f>IF($P90="","",IFERROR(IF(INDEX(MASTER!$O$4:$O$1463,$P90)="","",INDEX(MASTER!$O$4:$O$1463,$P90)),""))</f>
        <v>C</v>
      </c>
      <c r="M90" s="19">
        <f>IF($P90="","",IFERROR(IF(INDEX(MASTER!$Q$4:$Q$1463,$P90)="","",INDEX(MASTER!$Q$4:$Q$1463,$P90)),""))</f>
        <v>26</v>
      </c>
      <c r="N90" s="19" t="str">
        <f>IF($P90="","",IFERROR(IF(INDEX(MASTER!$S$4:$S$1463,$P90)="","",INDEX(MASTER!$S$4:$S$1463,$P90)),""))</f>
        <v>Complete</v>
      </c>
      <c r="P90">
        <f>IFERROR(MATCH($Q$1&amp;"@82",MASTER!$AC$4:$AC$1463,0),"")</f>
        <v>1159</v>
      </c>
    </row>
    <row r="91" spans="1:16">
      <c r="A91" s="15">
        <f>IF($P91="","",83)</f>
        <v>83</v>
      </c>
      <c r="B91" s="14" t="str">
        <f>IF($P91="","",IFERROR(IF(INDEX(MASTER!$C$4:$C$1463,$P91)="","",INDEX(MASTER!$C$4:$C$1463,$P91)),""))</f>
        <v>ToffeBerry</v>
      </c>
      <c r="C91" s="15" t="str">
        <f>IF($P91="","",IFERROR(IF(INDEX(MASTER!$D$4:$D$1463,$P91)="","",INDEX(MASTER!$D$4:$D$1463,$P91)),""))</f>
        <v/>
      </c>
      <c r="D91" s="15" t="str">
        <f>IF($P91="","",IFERROR(IF(INDEX(MASTER!$E$4:$E$1463,$P91)="","",INDEX(MASTER!$E$4:$E$1463,$P91)),""))</f>
        <v>DRUID</v>
      </c>
      <c r="E91" s="15" t="str">
        <f>IF($P91="","",IFERROR(IF(INDEX(MASTER!$F$4:$F$1463,$P91)="","",INDEX(MASTER!$F$4:$F$1463,$P91)),""))</f>
        <v>Support</v>
      </c>
      <c r="F91" s="16">
        <f>IF($P91="","",IFERROR(IF(INDEX(MASTER!$G$4:$G$1463,$P91)="","",INDEX(MASTER!$G$4:$G$1463,$P91)),""))</f>
        <v>62389</v>
      </c>
      <c r="G91" s="15" t="str">
        <f>IF($P91="","",IFERROR(IF(INDEX(MASTER!$H$4:$H$1463,$P91)="","",INDEX(MASTER!$H$4:$H$1463,$P91)),""))</f>
        <v>62,000 - 62,999</v>
      </c>
      <c r="H91" s="16">
        <f>IF($P91="","",IFERROR(IF(INDEX(MASTER!$I$4:$I$1463,$P91)="","",INDEX(MASTER!$I$4:$I$1463,$P91)),""))</f>
        <v>1780</v>
      </c>
      <c r="I91" s="15" t="str">
        <f>IF($P91="","",IFERROR(IF(INDEX(MASTER!$J$4:$J$1463,$P91)="","",INDEX(MASTER!$J$4:$J$1463,$P91)),""))</f>
        <v>ROOKIE</v>
      </c>
      <c r="J91" s="17">
        <f>IF($P91="","",IFERROR(IF(INDEX(MASTER!$L$4:$L$1463,$P91)="","",INDEX(MASTER!$L$4:$L$1463,$P91)),""))</f>
        <v>3.8</v>
      </c>
      <c r="K91" s="17">
        <f>IF($P91="","",IFERROR(IF(INDEX(MASTER!$N$4:$N$1463,$P91)="","",INDEX(MASTER!$N$4:$N$1463,$P91)),""))</f>
        <v>33.5</v>
      </c>
      <c r="L91" s="15" t="str">
        <f>IF($P91="","",IFERROR(IF(INDEX(MASTER!$O$4:$O$1463,$P91)="","",INDEX(MASTER!$O$4:$O$1463,$P91)),""))</f>
        <v>C</v>
      </c>
      <c r="M91" s="15">
        <f>IF($P91="","",IFERROR(IF(INDEX(MASTER!$Q$4:$Q$1463,$P91)="","",INDEX(MASTER!$Q$4:$Q$1463,$P91)),""))</f>
        <v>48</v>
      </c>
      <c r="N91" s="15" t="str">
        <f>IF($P91="","",IFERROR(IF(INDEX(MASTER!$S$4:$S$1463,$P91)="","",INDEX(MASTER!$S$4:$S$1463,$P91)),""))</f>
        <v>Complete</v>
      </c>
      <c r="P91">
        <f>IFERROR(MATCH($Q$1&amp;"@83",MASTER!$AC$4:$AC$1463,0),"")</f>
        <v>1162</v>
      </c>
    </row>
    <row r="92" spans="1:16">
      <c r="A92" s="19">
        <f>IF($P92="","",84)</f>
        <v>84</v>
      </c>
      <c r="B92" s="18" t="str">
        <f>IF($P92="","",IFERROR(IF(INDEX(MASTER!$C$4:$C$1463,$P92)="","",INDEX(MASTER!$C$4:$C$1463,$P92)),""))</f>
        <v>Troxidean</v>
      </c>
      <c r="C92" s="19" t="str">
        <f>IF($P92="","",IFERROR(IF(INDEX(MASTER!$D$4:$D$1463,$P92)="","",INDEX(MASTER!$D$4:$D$1463,$P92)),""))</f>
        <v/>
      </c>
      <c r="D92" s="19" t="str">
        <f>IF($P92="","",IFERROR(IF(INDEX(MASTER!$E$4:$E$1463,$P92)="","",INDEX(MASTER!$E$4:$E$1463,$P92)),""))</f>
        <v>DEMON HUNTER</v>
      </c>
      <c r="E92" s="19" t="str">
        <f>IF($P92="","",IFERROR(IF(INDEX(MASTER!$F$4:$F$1463,$P92)="","",INDEX(MASTER!$F$4:$F$1463,$P92)),""))</f>
        <v>Ranged DPS</v>
      </c>
      <c r="F92" s="20">
        <f>IF($P92="","",IFERROR(IF(INDEX(MASTER!$G$4:$G$1463,$P92)="","",INDEX(MASTER!$G$4:$G$1463,$P92)),""))</f>
        <v>60824</v>
      </c>
      <c r="G92" s="19" t="str">
        <f>IF($P92="","",IFERROR(IF(INDEX(MASTER!$H$4:$H$1463,$P92)="","",INDEX(MASTER!$H$4:$H$1463,$P92)),""))</f>
        <v>60,000 - 60,999</v>
      </c>
      <c r="H92" s="20">
        <f>IF($P92="","",IFERROR(IF(INDEX(MASTER!$I$4:$I$1463,$P92)="","",INDEX(MASTER!$I$4:$I$1463,$P92)),""))</f>
        <v>760</v>
      </c>
      <c r="I92" s="19" t="str">
        <f>IF($P92="","",IFERROR(IF(INDEX(MASTER!$J$4:$J$1463,$P92)="","",INDEX(MASTER!$J$4:$J$1463,$P92)),""))</f>
        <v>ROOKIE</v>
      </c>
      <c r="J92" s="21">
        <f>IF($P92="","",IFERROR(IF(INDEX(MASTER!$L$4:$L$1463,$P92)="","",INDEX(MASTER!$L$4:$L$1463,$P92)),""))</f>
        <v>2.8</v>
      </c>
      <c r="K92" s="21">
        <f>IF($P92="","",IFERROR(IF(INDEX(MASTER!$N$4:$N$1463,$P92)="","",INDEX(MASTER!$N$4:$N$1463,$P92)),""))</f>
        <v>23.3</v>
      </c>
      <c r="L92" s="19" t="str">
        <f>IF($P92="","",IFERROR(IF(INDEX(MASTER!$O$4:$O$1463,$P92)="","",INDEX(MASTER!$O$4:$O$1463,$P92)),""))</f>
        <v>C</v>
      </c>
      <c r="M92" s="19">
        <f>IF($P92="","",IFERROR(IF(INDEX(MASTER!$Q$4:$Q$1463,$P92)="","",INDEX(MASTER!$Q$4:$Q$1463,$P92)),""))</f>
        <v>90</v>
      </c>
      <c r="N92" s="19" t="str">
        <f>IF($P92="","",IFERROR(IF(INDEX(MASTER!$S$4:$S$1463,$P92)="","",INDEX(MASTER!$S$4:$S$1463,$P92)),""))</f>
        <v>Complete</v>
      </c>
      <c r="P92">
        <f>IFERROR(MATCH($Q$1&amp;"@84",MASTER!$AC$4:$AC$1463,0),"")</f>
        <v>1174</v>
      </c>
    </row>
    <row r="93" spans="1:16">
      <c r="A93" s="15">
        <f>IF($P93="","",85)</f>
        <v>85</v>
      </c>
      <c r="B93" s="14" t="str">
        <f>IF($P93="","",IFERROR(IF(INDEX(MASTER!$C$4:$C$1463,$P93)="","",INDEX(MASTER!$C$4:$C$1463,$P93)),""))</f>
        <v>Twizter</v>
      </c>
      <c r="C93" s="15" t="str">
        <f>IF($P93="","",IFERROR(IF(INDEX(MASTER!$D$4:$D$1463,$P93)="","",INDEX(MASTER!$D$4:$D$1463,$P93)),""))</f>
        <v/>
      </c>
      <c r="D93" s="15" t="str">
        <f>IF($P93="","",IFERROR(IF(INDEX(MASTER!$E$4:$E$1463,$P93)="","",INDEX(MASTER!$E$4:$E$1463,$P93)),""))</f>
        <v>BARBARIAN</v>
      </c>
      <c r="E93" s="15" t="str">
        <f>IF($P93="","",IFERROR(IF(INDEX(MASTER!$F$4:$F$1463,$P93)="","",INDEX(MASTER!$F$4:$F$1463,$P93)),""))</f>
        <v>Frontline</v>
      </c>
      <c r="F93" s="16">
        <f>IF($P93="","",IFERROR(IF(INDEX(MASTER!$G$4:$G$1463,$P93)="","",INDEX(MASTER!$G$4:$G$1463,$P93)),""))</f>
        <v>59515</v>
      </c>
      <c r="G93" s="15" t="str">
        <f>IF($P93="","",IFERROR(IF(INDEX(MASTER!$H$4:$H$1463,$P93)="","",INDEX(MASTER!$H$4:$H$1463,$P93)),""))</f>
        <v>58,000 - 59,999</v>
      </c>
      <c r="H93" s="16">
        <f>IF($P93="","",IFERROR(IF(INDEX(MASTER!$I$4:$I$1463,$P93)="","",INDEX(MASTER!$I$4:$I$1463,$P93)),""))</f>
        <v>2308</v>
      </c>
      <c r="I93" s="15" t="str">
        <f>IF($P93="","",IFERROR(IF(INDEX(MASTER!$J$4:$J$1463,$P93)="","",INDEX(MASTER!$J$4:$J$1463,$P93)),""))</f>
        <v>DEVELOPING</v>
      </c>
      <c r="J93" s="17">
        <f>IF($P93="","",IFERROR(IF(INDEX(MASTER!$L$4:$L$1463,$P93)="","",INDEX(MASTER!$L$4:$L$1463,$P93)),""))</f>
        <v>3.3</v>
      </c>
      <c r="K93" s="17">
        <f>IF($P93="","",IFERROR(IF(INDEX(MASTER!$N$4:$N$1463,$P93)="","",INDEX(MASTER!$N$4:$N$1463,$P93)),""))</f>
        <v>27.5</v>
      </c>
      <c r="L93" s="15" t="str">
        <f>IF($P93="","",IFERROR(IF(INDEX(MASTER!$O$4:$O$1463,$P93)="","",INDEX(MASTER!$O$4:$O$1463,$P93)),""))</f>
        <v>C</v>
      </c>
      <c r="M93" s="15">
        <f>IF($P93="","",IFERROR(IF(INDEX(MASTER!$Q$4:$Q$1463,$P93)="","",INDEX(MASTER!$Q$4:$Q$1463,$P93)),""))</f>
        <v>32</v>
      </c>
      <c r="N93" s="15" t="str">
        <f>IF($P93="","",IFERROR(IF(INDEX(MASTER!$S$4:$S$1463,$P93)="","",INDEX(MASTER!$S$4:$S$1463,$P93)),""))</f>
        <v>Complete</v>
      </c>
      <c r="P93">
        <f>IFERROR(MATCH($Q$1&amp;"@85",MASTER!$AC$4:$AC$1463,0),"")</f>
        <v>1183</v>
      </c>
    </row>
    <row r="94" spans="1:16">
      <c r="A94" s="19">
        <f>IF($P94="","",86)</f>
        <v>86</v>
      </c>
      <c r="B94" s="18" t="str">
        <f>IF($P94="","",IFERROR(IF(INDEX(MASTER!$C$4:$C$1463,$P94)="","",INDEX(MASTER!$C$4:$C$1463,$P94)),""))</f>
        <v>Upriser</v>
      </c>
      <c r="C94" s="19" t="str">
        <f>IF($P94="","",IFERROR(IF(INDEX(MASTER!$D$4:$D$1463,$P94)="","",INDEX(MASTER!$D$4:$D$1463,$P94)),""))</f>
        <v/>
      </c>
      <c r="D94" s="19" t="str">
        <f>IF($P94="","",IFERROR(IF(INDEX(MASTER!$E$4:$E$1463,$P94)="","",INDEX(MASTER!$E$4:$E$1463,$P94)),""))</f>
        <v>CRUSADER</v>
      </c>
      <c r="E94" s="19" t="str">
        <f>IF($P94="","",IFERROR(IF(INDEX(MASTER!$F$4:$F$1463,$P94)="","",INDEX(MASTER!$F$4:$F$1463,$P94)),""))</f>
        <v>Frontline</v>
      </c>
      <c r="F94" s="20">
        <f>IF($P94="","",IFERROR(IF(INDEX(MASTER!$G$4:$G$1463,$P94)="","",INDEX(MASTER!$G$4:$G$1463,$P94)),""))</f>
        <v>61399</v>
      </c>
      <c r="G94" s="19" t="str">
        <f>IF($P94="","",IFERROR(IF(INDEX(MASTER!$H$4:$H$1463,$P94)="","",INDEX(MASTER!$H$4:$H$1463,$P94)),""))</f>
        <v>61,000 - 61,999</v>
      </c>
      <c r="H94" s="20">
        <f>IF($P94="","",IFERROR(IF(INDEX(MASTER!$I$4:$I$1463,$P94)="","",INDEX(MASTER!$I$4:$I$1463,$P94)),""))</f>
        <v>1619</v>
      </c>
      <c r="I94" s="19" t="str">
        <f>IF($P94="","",IFERROR(IF(INDEX(MASTER!$J$4:$J$1463,$P94)="","",INDEX(MASTER!$J$4:$J$1463,$P94)),""))</f>
        <v>ROOKIE</v>
      </c>
      <c r="J94" s="21" t="str">
        <f>IF($P94="","",IFERROR(IF(INDEX(MASTER!$L$4:$L$1463,$P94)="","",INDEX(MASTER!$L$4:$L$1463,$P94)),""))</f>
        <v/>
      </c>
      <c r="K94" s="21">
        <f>IF($P94="","",IFERROR(IF(INDEX(MASTER!$N$4:$N$1463,$P94)="","",INDEX(MASTER!$N$4:$N$1463,$P94)),""))</f>
        <v>23.9</v>
      </c>
      <c r="L94" s="19" t="str">
        <f>IF($P94="","",IFERROR(IF(INDEX(MASTER!$O$4:$O$1463,$P94)="","",INDEX(MASTER!$O$4:$O$1463,$P94)),""))</f>
        <v>C</v>
      </c>
      <c r="M94" s="19">
        <f>IF($P94="","",IFERROR(IF(INDEX(MASTER!$Q$4:$Q$1463,$P94)="","",INDEX(MASTER!$Q$4:$Q$1463,$P94)),""))</f>
        <v>55</v>
      </c>
      <c r="N94" s="19" t="str">
        <f>IF($P94="","",IFERROR(IF(INDEX(MASTER!$S$4:$S$1463,$P94)="","",INDEX(MASTER!$S$4:$S$1463,$P94)),""))</f>
        <v>Partial</v>
      </c>
      <c r="P94">
        <f>IFERROR(MATCH($Q$1&amp;"@86",MASTER!$AC$4:$AC$1463,0),"")</f>
        <v>1196</v>
      </c>
    </row>
    <row r="95" spans="1:16">
      <c r="A95" s="15">
        <f>IF($P95="","",87)</f>
        <v>87</v>
      </c>
      <c r="B95" s="14" t="str">
        <f>IF($P95="","",IFERROR(IF(INDEX(MASTER!$C$4:$C$1463,$P95)="","",INDEX(MASTER!$C$4:$C$1463,$P95)),""))</f>
        <v>V3R5A</v>
      </c>
      <c r="C95" s="15" t="str">
        <f>IF($P95="","",IFERROR(IF(INDEX(MASTER!$D$4:$D$1463,$P95)="","",INDEX(MASTER!$D$4:$D$1463,$P95)),""))</f>
        <v/>
      </c>
      <c r="D95" s="15" t="str">
        <f>IF($P95="","",IFERROR(IF(INDEX(MASTER!$E$4:$E$1463,$P95)="","",INDEX(MASTER!$E$4:$E$1463,$P95)),""))</f>
        <v>WARLOCK</v>
      </c>
      <c r="E95" s="15" t="str">
        <f>IF($P95="","",IFERROR(IF(INDEX(MASTER!$F$4:$F$1463,$P95)="","",INDEX(MASTER!$F$4:$F$1463,$P95)),""))</f>
        <v>Control</v>
      </c>
      <c r="F95" s="16">
        <f>IF($P95="","",IFERROR(IF(INDEX(MASTER!$G$4:$G$1463,$P95)="","",INDEX(MASTER!$G$4:$G$1463,$P95)),""))</f>
        <v>62409</v>
      </c>
      <c r="G95" s="15" t="str">
        <f>IF($P95="","",IFERROR(IF(INDEX(MASTER!$H$4:$H$1463,$P95)="","",INDEX(MASTER!$H$4:$H$1463,$P95)),""))</f>
        <v>62,000 - 62,999</v>
      </c>
      <c r="H95" s="16">
        <f>IF($P95="","",IFERROR(IF(INDEX(MASTER!$I$4:$I$1463,$P95)="","",INDEX(MASTER!$I$4:$I$1463,$P95)),""))</f>
        <v>2030</v>
      </c>
      <c r="I95" s="15" t="str">
        <f>IF($P95="","",IFERROR(IF(INDEX(MASTER!$J$4:$J$1463,$P95)="","",INDEX(MASTER!$J$4:$J$1463,$P95)),""))</f>
        <v>DEVELOPING</v>
      </c>
      <c r="J95" s="17">
        <f>IF($P95="","",IFERROR(IF(INDEX(MASTER!$L$4:$L$1463,$P95)="","",INDEX(MASTER!$L$4:$L$1463,$P95)),""))</f>
        <v>4</v>
      </c>
      <c r="K95" s="17">
        <f>IF($P95="","",IFERROR(IF(INDEX(MASTER!$N$4:$N$1463,$P95)="","",INDEX(MASTER!$N$4:$N$1463,$P95)),""))</f>
        <v>35</v>
      </c>
      <c r="L95" s="15" t="str">
        <f>IF($P95="","",IFERROR(IF(INDEX(MASTER!$O$4:$O$1463,$P95)="","",INDEX(MASTER!$O$4:$O$1463,$P95)),""))</f>
        <v>B</v>
      </c>
      <c r="M95" s="15">
        <f>IF($P95="","",IFERROR(IF(INDEX(MASTER!$Q$4:$Q$1463,$P95)="","",INDEX(MASTER!$Q$4:$Q$1463,$P95)),""))</f>
        <v>40</v>
      </c>
      <c r="N95" s="15" t="str">
        <f>IF($P95="","",IFERROR(IF(INDEX(MASTER!$S$4:$S$1463,$P95)="","",INDEX(MASTER!$S$4:$S$1463,$P95)),""))</f>
        <v>Complete</v>
      </c>
      <c r="P95">
        <f>IFERROR(MATCH($Q$1&amp;"@87",MASTER!$AC$4:$AC$1463,0),"")</f>
        <v>1201</v>
      </c>
    </row>
    <row r="96" spans="1:16">
      <c r="A96" s="19">
        <f>IF($P96="","",88)</f>
        <v>88</v>
      </c>
      <c r="B96" s="18" t="str">
        <f>IF($P96="","",IFERROR(IF(INDEX(MASTER!$C$4:$C$1463,$P96)="","",INDEX(MASTER!$C$4:$C$1463,$P96)),""))</f>
        <v>Vemavick</v>
      </c>
      <c r="C96" s="19" t="str">
        <f>IF($P96="","",IFERROR(IF(INDEX(MASTER!$D$4:$D$1463,$P96)="","",INDEX(MASTER!$D$4:$D$1463,$P96)),""))</f>
        <v/>
      </c>
      <c r="D96" s="19" t="str">
        <f>IF($P96="","",IFERROR(IF(INDEX(MASTER!$E$4:$E$1463,$P96)="","",INDEX(MASTER!$E$4:$E$1463,$P96)),""))</f>
        <v>TEMPEST</v>
      </c>
      <c r="E96" s="19" t="str">
        <f>IF($P96="","",IFERROR(IF(INDEX(MASTER!$F$4:$F$1463,$P96)="","",INDEX(MASTER!$F$4:$F$1463,$P96)),""))</f>
        <v>Melee DPS</v>
      </c>
      <c r="F96" s="20">
        <f>IF($P96="","",IFERROR(IF(INDEX(MASTER!$G$4:$G$1463,$P96)="","",INDEX(MASTER!$G$4:$G$1463,$P96)),""))</f>
        <v>59114</v>
      </c>
      <c r="G96" s="19" t="str">
        <f>IF($P96="","",IFERROR(IF(INDEX(MASTER!$H$4:$H$1463,$P96)="","",INDEX(MASTER!$H$4:$H$1463,$P96)),""))</f>
        <v>58,000 - 59,999</v>
      </c>
      <c r="H96" s="20">
        <f>IF($P96="","",IFERROR(IF(INDEX(MASTER!$I$4:$I$1463,$P96)="","",INDEX(MASTER!$I$4:$I$1463,$P96)),""))</f>
        <v>1211</v>
      </c>
      <c r="I96" s="19" t="str">
        <f>IF($P96="","",IFERROR(IF(INDEX(MASTER!$J$4:$J$1463,$P96)="","",INDEX(MASTER!$J$4:$J$1463,$P96)),""))</f>
        <v>ROOKIE</v>
      </c>
      <c r="J96" s="21">
        <f>IF($P96="","",IFERROR(IF(INDEX(MASTER!$L$4:$L$1463,$P96)="","",INDEX(MASTER!$L$4:$L$1463,$P96)),""))</f>
        <v>3.15</v>
      </c>
      <c r="K96" s="21">
        <f>IF($P96="","",IFERROR(IF(INDEX(MASTER!$N$4:$N$1463,$P96)="","",INDEX(MASTER!$N$4:$N$1463,$P96)),""))</f>
        <v>21.4</v>
      </c>
      <c r="L96" s="19" t="str">
        <f>IF($P96="","",IFERROR(IF(INDEX(MASTER!$O$4:$O$1463,$P96)="","",INDEX(MASTER!$O$4:$O$1463,$P96)),""))</f>
        <v>C</v>
      </c>
      <c r="M96" s="19">
        <f>IF($P96="","",IFERROR(IF(INDEX(MASTER!$Q$4:$Q$1463,$P96)="","",INDEX(MASTER!$Q$4:$Q$1463,$P96)),""))</f>
        <v>71</v>
      </c>
      <c r="N96" s="19" t="str">
        <f>IF($P96="","",IFERROR(IF(INDEX(MASTER!$S$4:$S$1463,$P96)="","",INDEX(MASTER!$S$4:$S$1463,$P96)),""))</f>
        <v>Complete</v>
      </c>
      <c r="P96">
        <f>IFERROR(MATCH($Q$1&amp;"@88",MASTER!$AC$4:$AC$1463,0),"")</f>
        <v>1215</v>
      </c>
    </row>
    <row r="97" spans="1:16">
      <c r="A97" s="15">
        <f>IF($P97="","",89)</f>
        <v>89</v>
      </c>
      <c r="B97" s="14" t="str">
        <f>IF($P97="","",IFERROR(IF(INDEX(MASTER!$C$4:$C$1463,$P97)="","",INDEX(MASTER!$C$4:$C$1463,$P97)),""))</f>
        <v>Vexin</v>
      </c>
      <c r="C97" s="15" t="str">
        <f>IF($P97="","",IFERROR(IF(INDEX(MASTER!$D$4:$D$1463,$P97)="","",INDEX(MASTER!$D$4:$D$1463,$P97)),""))</f>
        <v/>
      </c>
      <c r="D97" s="15" t="str">
        <f>IF($P97="","",IFERROR(IF(INDEX(MASTER!$E$4:$E$1463,$P97)="","",INDEX(MASTER!$E$4:$E$1463,$P97)),""))</f>
        <v>WIZARD</v>
      </c>
      <c r="E97" s="15" t="str">
        <f>IF($P97="","",IFERROR(IF(INDEX(MASTER!$F$4:$F$1463,$P97)="","",INDEX(MASTER!$F$4:$F$1463,$P97)),""))</f>
        <v>Ranged DPS</v>
      </c>
      <c r="F97" s="16">
        <f>IF($P97="","",IFERROR(IF(INDEX(MASTER!$G$4:$G$1463,$P97)="","",INDEX(MASTER!$G$4:$G$1463,$P97)),""))</f>
        <v>62411</v>
      </c>
      <c r="G97" s="15" t="str">
        <f>IF($P97="","",IFERROR(IF(INDEX(MASTER!$H$4:$H$1463,$P97)="","",INDEX(MASTER!$H$4:$H$1463,$P97)),""))</f>
        <v>62,000 - 62,999</v>
      </c>
      <c r="H97" s="16">
        <f>IF($P97="","",IFERROR(IF(INDEX(MASTER!$I$4:$I$1463,$P97)="","",INDEX(MASTER!$I$4:$I$1463,$P97)),""))</f>
        <v>1840</v>
      </c>
      <c r="I97" s="15" t="str">
        <f>IF($P97="","",IFERROR(IF(INDEX(MASTER!$J$4:$J$1463,$P97)="","",INDEX(MASTER!$J$4:$J$1463,$P97)),""))</f>
        <v>ROOKIE</v>
      </c>
      <c r="J97" s="17">
        <f>IF($P97="","",IFERROR(IF(INDEX(MASTER!$L$4:$L$1463,$P97)="","",INDEX(MASTER!$L$4:$L$1463,$P97)),""))</f>
        <v>4.0999999999999996</v>
      </c>
      <c r="K97" s="17">
        <f>IF($P97="","",IFERROR(IF(INDEX(MASTER!$N$4:$N$1463,$P97)="","",INDEX(MASTER!$N$4:$N$1463,$P97)),""))</f>
        <v>34.4</v>
      </c>
      <c r="L97" s="15" t="str">
        <f>IF($P97="","",IFERROR(IF(INDEX(MASTER!$O$4:$O$1463,$P97)="","",INDEX(MASTER!$O$4:$O$1463,$P97)),""))</f>
        <v>C</v>
      </c>
      <c r="M97" s="15">
        <f>IF($P97="","",IFERROR(IF(INDEX(MASTER!$Q$4:$Q$1463,$P97)="","",INDEX(MASTER!$Q$4:$Q$1463,$P97)),""))</f>
        <v>45</v>
      </c>
      <c r="N97" s="15" t="str">
        <f>IF($P97="","",IFERROR(IF(INDEX(MASTER!$S$4:$S$1463,$P97)="","",INDEX(MASTER!$S$4:$S$1463,$P97)),""))</f>
        <v>Complete</v>
      </c>
      <c r="P97">
        <f>IFERROR(MATCH($Q$1&amp;"@89",MASTER!$AC$4:$AC$1463,0),"")</f>
        <v>1217</v>
      </c>
    </row>
    <row r="98" spans="1:16">
      <c r="A98" s="19">
        <f>IF($P98="","",90)</f>
        <v>90</v>
      </c>
      <c r="B98" s="18" t="str">
        <f>IF($P98="","",IFERROR(IF(INDEX(MASTER!$C$4:$C$1463,$P98)="","",INDEX(MASTER!$C$4:$C$1463,$P98)),""))</f>
        <v>Viki9069</v>
      </c>
      <c r="C98" s="19" t="str">
        <f>IF($P98="","",IFERROR(IF(INDEX(MASTER!$D$4:$D$1463,$P98)="","",INDEX(MASTER!$D$4:$D$1463,$P98)),""))</f>
        <v/>
      </c>
      <c r="D98" s="19" t="str">
        <f>IF($P98="","",IFERROR(IF(INDEX(MASTER!$E$4:$E$1463,$P98)="","",INDEX(MASTER!$E$4:$E$1463,$P98)),""))</f>
        <v>WARLOCK</v>
      </c>
      <c r="E98" s="19" t="str">
        <f>IF($P98="","",IFERROR(IF(INDEX(MASTER!$F$4:$F$1463,$P98)="","",INDEX(MASTER!$F$4:$F$1463,$P98)),""))</f>
        <v>Control</v>
      </c>
      <c r="F98" s="20">
        <f>IF($P98="","",IFERROR(IF(INDEX(MASTER!$G$4:$G$1463,$P98)="","",INDEX(MASTER!$G$4:$G$1463,$P98)),""))</f>
        <v>60169</v>
      </c>
      <c r="G98" s="19" t="str">
        <f>IF($P98="","",IFERROR(IF(INDEX(MASTER!$H$4:$H$1463,$P98)="","",INDEX(MASTER!$H$4:$H$1463,$P98)),""))</f>
        <v>60,000 - 60,999</v>
      </c>
      <c r="H98" s="20">
        <f>IF($P98="","",IFERROR(IF(INDEX(MASTER!$I$4:$I$1463,$P98)="","",INDEX(MASTER!$I$4:$I$1463,$P98)),""))</f>
        <v>1481</v>
      </c>
      <c r="I98" s="19" t="str">
        <f>IF($P98="","",IFERROR(IF(INDEX(MASTER!$J$4:$J$1463,$P98)="","",INDEX(MASTER!$J$4:$J$1463,$P98)),""))</f>
        <v>ROOKIE</v>
      </c>
      <c r="J98" s="21">
        <f>IF($P98="","",IFERROR(IF(INDEX(MASTER!$L$4:$L$1463,$P98)="","",INDEX(MASTER!$L$4:$L$1463,$P98)),""))</f>
        <v>3.1</v>
      </c>
      <c r="K98" s="21">
        <f>IF($P98="","",IFERROR(IF(INDEX(MASTER!$N$4:$N$1463,$P98)="","",INDEX(MASTER!$N$4:$N$1463,$P98)),""))</f>
        <v>25.2</v>
      </c>
      <c r="L98" s="19" t="str">
        <f>IF($P98="","",IFERROR(IF(INDEX(MASTER!$O$4:$O$1463,$P98)="","",INDEX(MASTER!$O$4:$O$1463,$P98)),""))</f>
        <v>C</v>
      </c>
      <c r="M98" s="19">
        <f>IF($P98="","",IFERROR(IF(INDEX(MASTER!$Q$4:$Q$1463,$P98)="","",INDEX(MASTER!$Q$4:$Q$1463,$P98)),""))</f>
        <v>59</v>
      </c>
      <c r="N98" s="19" t="str">
        <f>IF($P98="","",IFERROR(IF(INDEX(MASTER!$S$4:$S$1463,$P98)="","",INDEX(MASTER!$S$4:$S$1463,$P98)),""))</f>
        <v>Complete</v>
      </c>
      <c r="P98">
        <f>IFERROR(MATCH($Q$1&amp;"@90",MASTER!$AC$4:$AC$1463,0),"")</f>
        <v>1221</v>
      </c>
    </row>
    <row r="99" spans="1:16">
      <c r="A99" s="15">
        <f>IF($P99="","",91)</f>
        <v>91</v>
      </c>
      <c r="B99" s="14" t="str">
        <f>IF($P99="","",IFERROR(IF(INDEX(MASTER!$C$4:$C$1463,$P99)="","",INDEX(MASTER!$C$4:$C$1463,$P99)),""))</f>
        <v>WAGaming</v>
      </c>
      <c r="C99" s="15" t="str">
        <f>IF($P99="","",IFERROR(IF(INDEX(MASTER!$D$4:$D$1463,$P99)="","",INDEX(MASTER!$D$4:$D$1463,$P99)),""))</f>
        <v/>
      </c>
      <c r="D99" s="15" t="str">
        <f>IF($P99="","",IFERROR(IF(INDEX(MASTER!$E$4:$E$1463,$P99)="","",INDEX(MASTER!$E$4:$E$1463,$P99)),""))</f>
        <v>BLOOD KNIGHT</v>
      </c>
      <c r="E99" s="15" t="str">
        <f>IF($P99="","",IFERROR(IF(INDEX(MASTER!$F$4:$F$1463,$P99)="","",INDEX(MASTER!$F$4:$F$1463,$P99)),""))</f>
        <v>Frontline</v>
      </c>
      <c r="F99" s="16">
        <f>IF($P99="","",IFERROR(IF(INDEX(MASTER!$G$4:$G$1463,$P99)="","",INDEX(MASTER!$G$4:$G$1463,$P99)),""))</f>
        <v>62935</v>
      </c>
      <c r="G99" s="15" t="str">
        <f>IF($P99="","",IFERROR(IF(INDEX(MASTER!$H$4:$H$1463,$P99)="","",INDEX(MASTER!$H$4:$H$1463,$P99)),""))</f>
        <v>62,000 - 62,999</v>
      </c>
      <c r="H99" s="16">
        <f>IF($P99="","",IFERROR(IF(INDEX(MASTER!$I$4:$I$1463,$P99)="","",INDEX(MASTER!$I$4:$I$1463,$P99)),""))</f>
        <v>4593</v>
      </c>
      <c r="I99" s="15" t="str">
        <f>IF($P99="","",IFERROR(IF(INDEX(MASTER!$J$4:$J$1463,$P99)="","",INDEX(MASTER!$J$4:$J$1463,$P99)),""))</f>
        <v>CORE</v>
      </c>
      <c r="J99" s="17">
        <f>IF($P99="","",IFERROR(IF(INDEX(MASTER!$L$4:$L$1463,$P99)="","",INDEX(MASTER!$L$4:$L$1463,$P99)),""))</f>
        <v>4.5999999999999996</v>
      </c>
      <c r="K99" s="17">
        <f>IF($P99="","",IFERROR(IF(INDEX(MASTER!$N$4:$N$1463,$P99)="","",INDEX(MASTER!$N$4:$N$1463,$P99)),""))</f>
        <v>48.6</v>
      </c>
      <c r="L99" s="15" t="str">
        <f>IF($P99="","",IFERROR(IF(INDEX(MASTER!$O$4:$O$1463,$P99)="","",INDEX(MASTER!$O$4:$O$1463,$P99)),""))</f>
        <v>B</v>
      </c>
      <c r="M99" s="15">
        <f>IF($P99="","",IFERROR(IF(INDEX(MASTER!$Q$4:$Q$1463,$P99)="","",INDEX(MASTER!$Q$4:$Q$1463,$P99)),""))</f>
        <v>6</v>
      </c>
      <c r="N99" s="15" t="str">
        <f>IF($P99="","",IFERROR(IF(INDEX(MASTER!$S$4:$S$1463,$P99)="","",INDEX(MASTER!$S$4:$S$1463,$P99)),""))</f>
        <v>Complete</v>
      </c>
      <c r="P99">
        <f>IFERROR(MATCH($Q$1&amp;"@91",MASTER!$AC$4:$AC$1463,0),"")</f>
        <v>1237</v>
      </c>
    </row>
    <row r="100" spans="1:16">
      <c r="A100" s="19">
        <f>IF($P100="","",92)</f>
        <v>92</v>
      </c>
      <c r="B100" s="18" t="str">
        <f>IF($P100="","",IFERROR(IF(INDEX(MASTER!$C$4:$C$1463,$P100)="","",INDEX(MASTER!$C$4:$C$1463,$P100)),""))</f>
        <v>WillowBlaise</v>
      </c>
      <c r="C100" s="19" t="str">
        <f>IF($P100="","",IFERROR(IF(INDEX(MASTER!$D$4:$D$1463,$P100)="","",INDEX(MASTER!$D$4:$D$1463,$P100)),""))</f>
        <v/>
      </c>
      <c r="D100" s="19" t="str">
        <f>IF($P100="","",IFERROR(IF(INDEX(MASTER!$E$4:$E$1463,$P100)="","",INDEX(MASTER!$E$4:$E$1463,$P100)),""))</f>
        <v>DEMON HUNTER</v>
      </c>
      <c r="E100" s="19" t="str">
        <f>IF($P100="","",IFERROR(IF(INDEX(MASTER!$F$4:$F$1463,$P100)="","",INDEX(MASTER!$F$4:$F$1463,$P100)),""))</f>
        <v>Ranged DPS</v>
      </c>
      <c r="F100" s="20">
        <f>IF($P100="","",IFERROR(IF(INDEX(MASTER!$G$4:$G$1463,$P100)="","",INDEX(MASTER!$G$4:$G$1463,$P100)),""))</f>
        <v>62192</v>
      </c>
      <c r="G100" s="19" t="str">
        <f>IF($P100="","",IFERROR(IF(INDEX(MASTER!$H$4:$H$1463,$P100)="","",INDEX(MASTER!$H$4:$H$1463,$P100)),""))</f>
        <v>62,000 - 62,999</v>
      </c>
      <c r="H100" s="20">
        <f>IF($P100="","",IFERROR(IF(INDEX(MASTER!$I$4:$I$1463,$P100)="","",INDEX(MASTER!$I$4:$I$1463,$P100)),""))</f>
        <v>1826</v>
      </c>
      <c r="I100" s="19" t="str">
        <f>IF($P100="","",IFERROR(IF(INDEX(MASTER!$J$4:$J$1463,$P100)="","",INDEX(MASTER!$J$4:$J$1463,$P100)),""))</f>
        <v>ROOKIE</v>
      </c>
      <c r="J100" s="21">
        <f>IF($P100="","",IFERROR(IF(INDEX(MASTER!$L$4:$L$1463,$P100)="","",INDEX(MASTER!$L$4:$L$1463,$P100)),""))</f>
        <v>3.1</v>
      </c>
      <c r="K100" s="21">
        <f>IF($P100="","",IFERROR(IF(INDEX(MASTER!$N$4:$N$1463,$P100)="","",INDEX(MASTER!$N$4:$N$1463,$P100)),""))</f>
        <v>32.1</v>
      </c>
      <c r="L100" s="19" t="str">
        <f>IF($P100="","",IFERROR(IF(INDEX(MASTER!$O$4:$O$1463,$P100)="","",INDEX(MASTER!$O$4:$O$1463,$P100)),""))</f>
        <v>C</v>
      </c>
      <c r="M100" s="19">
        <f>IF($P100="","",IFERROR(IF(INDEX(MASTER!$Q$4:$Q$1463,$P100)="","",INDEX(MASTER!$Q$4:$Q$1463,$P100)),""))</f>
        <v>46</v>
      </c>
      <c r="N100" s="19" t="str">
        <f>IF($P100="","",IFERROR(IF(INDEX(MASTER!$S$4:$S$1463,$P100)="","",INDEX(MASTER!$S$4:$S$1463,$P100)),""))</f>
        <v>Complete</v>
      </c>
      <c r="P100">
        <f>IFERROR(MATCH($Q$1&amp;"@92",MASTER!$AC$4:$AC$1463,0),"")</f>
        <v>1254</v>
      </c>
    </row>
    <row r="101" spans="1:16">
      <c r="A101" s="15">
        <f>IF($P101="","",93)</f>
        <v>93</v>
      </c>
      <c r="B101" s="14" t="str">
        <f>IF($P101="","",IFERROR(IF(INDEX(MASTER!$C$4:$C$1463,$P101)="","",INDEX(MASTER!$C$4:$C$1463,$P101)),""))</f>
        <v>WreckItRalph</v>
      </c>
      <c r="C101" s="15" t="str">
        <f>IF($P101="","",IFERROR(IF(INDEX(MASTER!$D$4:$D$1463,$P101)="","",INDEX(MASTER!$D$4:$D$1463,$P101)),""))</f>
        <v/>
      </c>
      <c r="D101" s="15" t="str">
        <f>IF($P101="","",IFERROR(IF(INDEX(MASTER!$E$4:$E$1463,$P101)="","",INDEX(MASTER!$E$4:$E$1463,$P101)),""))</f>
        <v>BARBARIAN</v>
      </c>
      <c r="E101" s="15" t="str">
        <f>IF($P101="","",IFERROR(IF(INDEX(MASTER!$F$4:$F$1463,$P101)="","",INDEX(MASTER!$F$4:$F$1463,$P101)),""))</f>
        <v>Frontline</v>
      </c>
      <c r="F101" s="16">
        <f>IF($P101="","",IFERROR(IF(INDEX(MASTER!$G$4:$G$1463,$P101)="","",INDEX(MASTER!$G$4:$G$1463,$P101)),""))</f>
        <v>62405</v>
      </c>
      <c r="G101" s="15" t="str">
        <f>IF($P101="","",IFERROR(IF(INDEX(MASTER!$H$4:$H$1463,$P101)="","",INDEX(MASTER!$H$4:$H$1463,$P101)),""))</f>
        <v>62,000 - 62,999</v>
      </c>
      <c r="H101" s="16">
        <f>IF($P101="","",IFERROR(IF(INDEX(MASTER!$I$4:$I$1463,$P101)="","",INDEX(MASTER!$I$4:$I$1463,$P101)),""))</f>
        <v>2332</v>
      </c>
      <c r="I101" s="15" t="str">
        <f>IF($P101="","",IFERROR(IF(INDEX(MASTER!$J$4:$J$1463,$P101)="","",INDEX(MASTER!$J$4:$J$1463,$P101)),""))</f>
        <v>DEVELOPING</v>
      </c>
      <c r="J101" s="17">
        <f>IF($P101="","",IFERROR(IF(INDEX(MASTER!$L$4:$L$1463,$P101)="","",INDEX(MASTER!$L$4:$L$1463,$P101)),""))</f>
        <v>4.0999999999999996</v>
      </c>
      <c r="K101" s="17">
        <f>IF($P101="","",IFERROR(IF(INDEX(MASTER!$N$4:$N$1463,$P101)="","",INDEX(MASTER!$N$4:$N$1463,$P101)),""))</f>
        <v>36.5</v>
      </c>
      <c r="L101" s="15" t="str">
        <f>IF($P101="","",IFERROR(IF(INDEX(MASTER!$O$4:$O$1463,$P101)="","",INDEX(MASTER!$O$4:$O$1463,$P101)),""))</f>
        <v>B</v>
      </c>
      <c r="M101" s="15">
        <f>IF($P101="","",IFERROR(IF(INDEX(MASTER!$Q$4:$Q$1463,$P101)="","",INDEX(MASTER!$Q$4:$Q$1463,$P101)),""))</f>
        <v>31</v>
      </c>
      <c r="N101" s="15" t="str">
        <f>IF($P101="","",IFERROR(IF(INDEX(MASTER!$S$4:$S$1463,$P101)="","",INDEX(MASTER!$S$4:$S$1463,$P101)),""))</f>
        <v>Complete</v>
      </c>
      <c r="P101">
        <f>IFERROR(MATCH($Q$1&amp;"@93",MASTER!$AC$4:$AC$1463,0),"")</f>
        <v>1267</v>
      </c>
    </row>
    <row r="102" spans="1:16">
      <c r="A102" s="19">
        <f>IF($P102="","",94)</f>
        <v>94</v>
      </c>
      <c r="B102" s="18" t="str">
        <f>IF($P102="","",IFERROR(IF(INDEX(MASTER!$C$4:$C$1463,$P102)="","",INDEX(MASTER!$C$4:$C$1463,$P102)),""))</f>
        <v>xDARKxX</v>
      </c>
      <c r="C102" s="19" t="str">
        <f>IF($P102="","",IFERROR(IF(INDEX(MASTER!$D$4:$D$1463,$P102)="","",INDEX(MASTER!$D$4:$D$1463,$P102)),""))</f>
        <v/>
      </c>
      <c r="D102" s="19" t="str">
        <f>IF($P102="","",IFERROR(IF(INDEX(MASTER!$E$4:$E$1463,$P102)="","",INDEX(MASTER!$E$4:$E$1463,$P102)),""))</f>
        <v>TEMPEST</v>
      </c>
      <c r="E102" s="19" t="str">
        <f>IF($P102="","",IFERROR(IF(INDEX(MASTER!$F$4:$F$1463,$P102)="","",INDEX(MASTER!$F$4:$F$1463,$P102)),""))</f>
        <v>Melee DPS</v>
      </c>
      <c r="F102" s="20">
        <f>IF($P102="","",IFERROR(IF(INDEX(MASTER!$G$4:$G$1463,$P102)="","",INDEX(MASTER!$G$4:$G$1463,$P102)),""))</f>
        <v>61183</v>
      </c>
      <c r="G102" s="19" t="str">
        <f>IF($P102="","",IFERROR(IF(INDEX(MASTER!$H$4:$H$1463,$P102)="","",INDEX(MASTER!$H$4:$H$1463,$P102)),""))</f>
        <v>61,000 - 61,999</v>
      </c>
      <c r="H102" s="20">
        <f>IF($P102="","",IFERROR(IF(INDEX(MASTER!$I$4:$I$1463,$P102)="","",INDEX(MASTER!$I$4:$I$1463,$P102)),""))</f>
        <v>2580</v>
      </c>
      <c r="I102" s="19" t="str">
        <f>IF($P102="","",IFERROR(IF(INDEX(MASTER!$J$4:$J$1463,$P102)="","",INDEX(MASTER!$J$4:$J$1463,$P102)),""))</f>
        <v>DEVELOPING</v>
      </c>
      <c r="J102" s="21">
        <f>IF($P102="","",IFERROR(IF(INDEX(MASTER!$L$4:$L$1463,$P102)="","",INDEX(MASTER!$L$4:$L$1463,$P102)),""))</f>
        <v>5.0999999999999996</v>
      </c>
      <c r="K102" s="21">
        <f>IF($P102="","",IFERROR(IF(INDEX(MASTER!$N$4:$N$1463,$P102)="","",INDEX(MASTER!$N$4:$N$1463,$P102)),""))</f>
        <v>36</v>
      </c>
      <c r="L102" s="19" t="str">
        <f>IF($P102="","",IFERROR(IF(INDEX(MASTER!$O$4:$O$1463,$P102)="","",INDEX(MASTER!$O$4:$O$1463,$P102)),""))</f>
        <v>B</v>
      </c>
      <c r="M102" s="19">
        <f>IF($P102="","",IFERROR(IF(INDEX(MASTER!$Q$4:$Q$1463,$P102)="","",INDEX(MASTER!$Q$4:$Q$1463,$P102)),""))</f>
        <v>22</v>
      </c>
      <c r="N102" s="19" t="str">
        <f>IF($P102="","",IFERROR(IF(INDEX(MASTER!$S$4:$S$1463,$P102)="","",INDEX(MASTER!$S$4:$S$1463,$P102)),""))</f>
        <v>Complete</v>
      </c>
      <c r="P102">
        <f>IFERROR(MATCH($Q$1&amp;"@94",MASTER!$AC$4:$AC$1463,0),"")</f>
        <v>1276</v>
      </c>
    </row>
    <row r="103" spans="1:16">
      <c r="A103" s="15">
        <f>IF($P103="","",95)</f>
        <v>95</v>
      </c>
      <c r="B103" s="14" t="str">
        <f>IF($P103="","",IFERROR(IF(INDEX(MASTER!$C$4:$C$1463,$P103)="","",INDEX(MASTER!$C$4:$C$1463,$P103)),""))</f>
        <v>xJJx</v>
      </c>
      <c r="C103" s="15" t="str">
        <f>IF($P103="","",IFERROR(IF(INDEX(MASTER!$D$4:$D$1463,$P103)="","",INDEX(MASTER!$D$4:$D$1463,$P103)),""))</f>
        <v/>
      </c>
      <c r="D103" s="15" t="str">
        <f>IF($P103="","",IFERROR(IF(INDEX(MASTER!$E$4:$E$1463,$P103)="","",INDEX(MASTER!$E$4:$E$1463,$P103)),""))</f>
        <v>DEMON HUNTER</v>
      </c>
      <c r="E103" s="15" t="str">
        <f>IF($P103="","",IFERROR(IF(INDEX(MASTER!$F$4:$F$1463,$P103)="","",INDEX(MASTER!$F$4:$F$1463,$P103)),""))</f>
        <v>Ranged DPS</v>
      </c>
      <c r="F103" s="16">
        <f>IF($P103="","",IFERROR(IF(INDEX(MASTER!$G$4:$G$1463,$P103)="","",INDEX(MASTER!$G$4:$G$1463,$P103)),""))</f>
        <v>54763</v>
      </c>
      <c r="G103" s="15" t="str">
        <f>IF($P103="","",IFERROR(IF(INDEX(MASTER!$H$4:$H$1463,$P103)="","",INDEX(MASTER!$H$4:$H$1463,$P103)),""))</f>
        <v>Under 58,000</v>
      </c>
      <c r="H103" s="16">
        <f>IF($P103="","",IFERROR(IF(INDEX(MASTER!$I$4:$I$1463,$P103)="","",INDEX(MASTER!$I$4:$I$1463,$P103)),""))</f>
        <v>700</v>
      </c>
      <c r="I103" s="15" t="str">
        <f>IF($P103="","",IFERROR(IF(INDEX(MASTER!$J$4:$J$1463,$P103)="","",INDEX(MASTER!$J$4:$J$1463,$P103)),""))</f>
        <v>ROOKIE</v>
      </c>
      <c r="J103" s="17">
        <f>IF($P103="","",IFERROR(IF(INDEX(MASTER!$L$4:$L$1463,$P103)="","",INDEX(MASTER!$L$4:$L$1463,$P103)),""))</f>
        <v>3</v>
      </c>
      <c r="K103" s="17">
        <f>IF($P103="","",IFERROR(IF(INDEX(MASTER!$N$4:$N$1463,$P103)="","",INDEX(MASTER!$N$4:$N$1463,$P103)),""))</f>
        <v>8.1</v>
      </c>
      <c r="L103" s="15" t="str">
        <f>IF($P103="","",IFERROR(IF(INDEX(MASTER!$O$4:$O$1463,$P103)="","",INDEX(MASTER!$O$4:$O$1463,$P103)),""))</f>
        <v>D</v>
      </c>
      <c r="M103" s="15">
        <f>IF($P103="","",IFERROR(IF(INDEX(MASTER!$Q$4:$Q$1463,$P103)="","",INDEX(MASTER!$Q$4:$Q$1463,$P103)),""))</f>
        <v>93</v>
      </c>
      <c r="N103" s="15" t="str">
        <f>IF($P103="","",IFERROR(IF(INDEX(MASTER!$S$4:$S$1463,$P103)="","",INDEX(MASTER!$S$4:$S$1463,$P103)),""))</f>
        <v>Complete</v>
      </c>
      <c r="P103">
        <f>IFERROR(MATCH($Q$1&amp;"@95",MASTER!$AC$4:$AC$1463,0),"")</f>
        <v>1284</v>
      </c>
    </row>
    <row r="104" spans="1:16">
      <c r="A104" s="19">
        <f>IF($P104="","",96)</f>
        <v>96</v>
      </c>
      <c r="B104" s="18" t="str">
        <f>IF($P104="","",IFERROR(IF(INDEX(MASTER!$C$4:$C$1463,$P104)="","",INDEX(MASTER!$C$4:$C$1463,$P104)),""))</f>
        <v>zEMiLLiAz</v>
      </c>
      <c r="C104" s="19" t="str">
        <f>IF($P104="","",IFERROR(IF(INDEX(MASTER!$D$4:$D$1463,$P104)="","",INDEX(MASTER!$D$4:$D$1463,$P104)),""))</f>
        <v/>
      </c>
      <c r="D104" s="19" t="str">
        <f>IF($P104="","",IFERROR(IF(INDEX(MASTER!$E$4:$E$1463,$P104)="","",INDEX(MASTER!$E$4:$E$1463,$P104)),""))</f>
        <v>NECROMANCER</v>
      </c>
      <c r="E104" s="19" t="str">
        <f>IF($P104="","",IFERROR(IF(INDEX(MASTER!$F$4:$F$1463,$P104)="","",INDEX(MASTER!$F$4:$F$1463,$P104)),""))</f>
        <v>Control</v>
      </c>
      <c r="F104" s="20">
        <f>IF($P104="","",IFERROR(IF(INDEX(MASTER!$G$4:$G$1463,$P104)="","",INDEX(MASTER!$G$4:$G$1463,$P104)),""))</f>
        <v>61110</v>
      </c>
      <c r="G104" s="19" t="str">
        <f>IF($P104="","",IFERROR(IF(INDEX(MASTER!$H$4:$H$1463,$P104)="","",INDEX(MASTER!$H$4:$H$1463,$P104)),""))</f>
        <v>61,000 - 61,999</v>
      </c>
      <c r="H104" s="20">
        <f>IF($P104="","",IFERROR(IF(INDEX(MASTER!$I$4:$I$1463,$P104)="","",INDEX(MASTER!$I$4:$I$1463,$P104)),""))</f>
        <v>600</v>
      </c>
      <c r="I104" s="19" t="str">
        <f>IF($P104="","",IFERROR(IF(INDEX(MASTER!$J$4:$J$1463,$P104)="","",INDEX(MASTER!$J$4:$J$1463,$P104)),""))</f>
        <v>ROOKIE</v>
      </c>
      <c r="J104" s="21">
        <f>IF($P104="","",IFERROR(IF(INDEX(MASTER!$L$4:$L$1463,$P104)="","",INDEX(MASTER!$L$4:$L$1463,$P104)),""))</f>
        <v>2.7</v>
      </c>
      <c r="K104" s="21">
        <f>IF($P104="","",IFERROR(IF(INDEX(MASTER!$N$4:$N$1463,$P104)="","",INDEX(MASTER!$N$4:$N$1463,$P104)),""))</f>
        <v>23.2</v>
      </c>
      <c r="L104" s="19" t="str">
        <f>IF($P104="","",IFERROR(IF(INDEX(MASTER!$O$4:$O$1463,$P104)="","",INDEX(MASTER!$O$4:$O$1463,$P104)),""))</f>
        <v>C</v>
      </c>
      <c r="M104" s="19">
        <f>IF($P104="","",IFERROR(IF(INDEX(MASTER!$Q$4:$Q$1463,$P104)="","",INDEX(MASTER!$Q$4:$Q$1463,$P104)),""))</f>
        <v>94</v>
      </c>
      <c r="N104" s="19" t="str">
        <f>IF($P104="","",IFERROR(IF(INDEX(MASTER!$S$4:$S$1463,$P104)="","",INDEX(MASTER!$S$4:$S$1463,$P104)),""))</f>
        <v>Complete</v>
      </c>
      <c r="P104">
        <f>IFERROR(MATCH($Q$1&amp;"@96",MASTER!$AC$4:$AC$1463,0),"")</f>
        <v>1317</v>
      </c>
    </row>
    <row r="105" spans="1:16">
      <c r="A105" s="15">
        <f>IF($P105="","",97)</f>
        <v>97</v>
      </c>
      <c r="B105" s="14" t="str">
        <f>IF($P105="","",IFERROR(IF(INDEX(MASTER!$C$4:$C$1463,$P105)="","",INDEX(MASTER!$C$4:$C$1463,$P105)),""))</f>
        <v>Zenpath</v>
      </c>
      <c r="C105" s="15" t="str">
        <f>IF($P105="","",IFERROR(IF(INDEX(MASTER!$D$4:$D$1463,$P105)="","",INDEX(MASTER!$D$4:$D$1463,$P105)),""))</f>
        <v/>
      </c>
      <c r="D105" s="15" t="str">
        <f>IF($P105="","",IFERROR(IF(INDEX(MASTER!$E$4:$E$1463,$P105)="","",INDEX(MASTER!$E$4:$E$1463,$P105)),""))</f>
        <v>WARLOCK</v>
      </c>
      <c r="E105" s="15" t="str">
        <f>IF($P105="","",IFERROR(IF(INDEX(MASTER!$F$4:$F$1463,$P105)="","",INDEX(MASTER!$F$4:$F$1463,$P105)),""))</f>
        <v>Control</v>
      </c>
      <c r="F105" s="16">
        <f>IF($P105="","",IFERROR(IF(INDEX(MASTER!$G$4:$G$1463,$P105)="","",INDEX(MASTER!$G$4:$G$1463,$P105)),""))</f>
        <v>59921</v>
      </c>
      <c r="G105" s="15" t="str">
        <f>IF($P105="","",IFERROR(IF(INDEX(MASTER!$H$4:$H$1463,$P105)="","",INDEX(MASTER!$H$4:$H$1463,$P105)),""))</f>
        <v>58,000 - 59,999</v>
      </c>
      <c r="H105" s="16">
        <f>IF($P105="","",IFERROR(IF(INDEX(MASTER!$I$4:$I$1463,$P105)="","",INDEX(MASTER!$I$4:$I$1463,$P105)),""))</f>
        <v>1085</v>
      </c>
      <c r="I105" s="15" t="str">
        <f>IF($P105="","",IFERROR(IF(INDEX(MASTER!$J$4:$J$1463,$P105)="","",INDEX(MASTER!$J$4:$J$1463,$P105)),""))</f>
        <v>ROOKIE</v>
      </c>
      <c r="J105" s="17">
        <f>IF($P105="","",IFERROR(IF(INDEX(MASTER!$L$4:$L$1463,$P105)="","",INDEX(MASTER!$L$4:$L$1463,$P105)),""))</f>
        <v>3.7</v>
      </c>
      <c r="K105" s="17">
        <f>IF($P105="","",IFERROR(IF(INDEX(MASTER!$N$4:$N$1463,$P105)="","",INDEX(MASTER!$N$4:$N$1463,$P105)),""))</f>
        <v>23.9</v>
      </c>
      <c r="L105" s="15" t="str">
        <f>IF($P105="","",IFERROR(IF(INDEX(MASTER!$O$4:$O$1463,$P105)="","",INDEX(MASTER!$O$4:$O$1463,$P105)),""))</f>
        <v>C</v>
      </c>
      <c r="M105" s="15">
        <f>IF($P105="","",IFERROR(IF(INDEX(MASTER!$Q$4:$Q$1463,$P105)="","",INDEX(MASTER!$Q$4:$Q$1463,$P105)),""))</f>
        <v>77</v>
      </c>
      <c r="N105" s="15" t="str">
        <f>IF($P105="","",IFERROR(IF(INDEX(MASTER!$S$4:$S$1463,$P105)="","",INDEX(MASTER!$S$4:$S$1463,$P105)),""))</f>
        <v>Complete</v>
      </c>
      <c r="P105">
        <f>IFERROR(MATCH($Q$1&amp;"@97",MASTER!$AC$4:$AC$1463,0),"")</f>
        <v>1318</v>
      </c>
    </row>
    <row r="106" spans="1:16">
      <c r="A106" s="19">
        <f>IF($P106="","",98)</f>
        <v>98</v>
      </c>
      <c r="B106" s="18" t="str">
        <f>IF($P106="","",IFERROR(IF(INDEX(MASTER!$C$4:$C$1463,$P106)="","",INDEX(MASTER!$C$4:$C$1463,$P106)),""))</f>
        <v>Zöe</v>
      </c>
      <c r="C106" s="19" t="str">
        <f>IF($P106="","",IFERROR(IF(INDEX(MASTER!$D$4:$D$1463,$P106)="","",INDEX(MASTER!$D$4:$D$1463,$P106)),""))</f>
        <v/>
      </c>
      <c r="D106" s="19" t="str">
        <f>IF($P106="","",IFERROR(IF(INDEX(MASTER!$E$4:$E$1463,$P106)="","",INDEX(MASTER!$E$4:$E$1463,$P106)),""))</f>
        <v>WARLOCK</v>
      </c>
      <c r="E106" s="19" t="str">
        <f>IF($P106="","",IFERROR(IF(INDEX(MASTER!$F$4:$F$1463,$P106)="","",INDEX(MASTER!$F$4:$F$1463,$P106)),""))</f>
        <v>Control</v>
      </c>
      <c r="F106" s="20">
        <f>IF($P106="","",IFERROR(IF(INDEX(MASTER!$G$4:$G$1463,$P106)="","",INDEX(MASTER!$G$4:$G$1463,$P106)),""))</f>
        <v>62626</v>
      </c>
      <c r="G106" s="19" t="str">
        <f>IF($P106="","",IFERROR(IF(INDEX(MASTER!$H$4:$H$1463,$P106)="","",INDEX(MASTER!$H$4:$H$1463,$P106)),""))</f>
        <v>62,000 - 62,999</v>
      </c>
      <c r="H106" s="20">
        <f>IF($P106="","",IFERROR(IF(INDEX(MASTER!$I$4:$I$1463,$P106)="","",INDEX(MASTER!$I$4:$I$1463,$P106)),""))</f>
        <v>2496</v>
      </c>
      <c r="I106" s="19" t="str">
        <f>IF($P106="","",IFERROR(IF(INDEX(MASTER!$J$4:$J$1463,$P106)="","",INDEX(MASTER!$J$4:$J$1463,$P106)),""))</f>
        <v>DEVELOPING</v>
      </c>
      <c r="J106" s="21">
        <f>IF($P106="","",IFERROR(IF(INDEX(MASTER!$L$4:$L$1463,$P106)="","",INDEX(MASTER!$L$4:$L$1463,$P106)),""))</f>
        <v>5.3</v>
      </c>
      <c r="K106" s="21">
        <f>IF($P106="","",IFERROR(IF(INDEX(MASTER!$N$4:$N$1463,$P106)="","",INDEX(MASTER!$N$4:$N$1463,$P106)),""))</f>
        <v>39.799999999999997</v>
      </c>
      <c r="L106" s="19" t="str">
        <f>IF($P106="","",IFERROR(IF(INDEX(MASTER!$O$4:$O$1463,$P106)="","",INDEX(MASTER!$O$4:$O$1463,$P106)),""))</f>
        <v>B</v>
      </c>
      <c r="M106" s="19">
        <f>IF($P106="","",IFERROR(IF(INDEX(MASTER!$Q$4:$Q$1463,$P106)="","",INDEX(MASTER!$Q$4:$Q$1463,$P106)),""))</f>
        <v>25</v>
      </c>
      <c r="N106" s="19" t="str">
        <f>IF($P106="","",IFERROR(IF(INDEX(MASTER!$S$4:$S$1463,$P106)="","",INDEX(MASTER!$S$4:$S$1463,$P106)),""))</f>
        <v>Complete</v>
      </c>
      <c r="P106">
        <f>IFERROR(MATCH($Q$1&amp;"@98",MASTER!$AC$4:$AC$1463,0),"")</f>
        <v>1328</v>
      </c>
    </row>
    <row r="107" spans="1:16">
      <c r="A107" s="15" t="str">
        <f>IF($P107="","",99)</f>
        <v/>
      </c>
      <c r="B107" s="14" t="str">
        <f>IF($P107="","",IFERROR(IF(INDEX(MASTER!$C$4:$C$1463,$P107)="","",INDEX(MASTER!$C$4:$C$1463,$P107)),""))</f>
        <v/>
      </c>
      <c r="C107" s="15" t="str">
        <f>IF($P107="","",IFERROR(IF(INDEX(MASTER!$D$4:$D$1463,$P107)="","",INDEX(MASTER!$D$4:$D$1463,$P107)),""))</f>
        <v/>
      </c>
      <c r="D107" s="15" t="str">
        <f>IF($P107="","",IFERROR(IF(INDEX(MASTER!$E$4:$E$1463,$P107)="","",INDEX(MASTER!$E$4:$E$1463,$P107)),""))</f>
        <v/>
      </c>
      <c r="E107" s="15" t="str">
        <f>IF($P107="","",IFERROR(IF(INDEX(MASTER!$F$4:$F$1463,$P107)="","",INDEX(MASTER!$F$4:$F$1463,$P107)),""))</f>
        <v/>
      </c>
      <c r="F107" s="16" t="str">
        <f>IF($P107="","",IFERROR(IF(INDEX(MASTER!$G$4:$G$1463,$P107)="","",INDEX(MASTER!$G$4:$G$1463,$P107)),""))</f>
        <v/>
      </c>
      <c r="G107" s="15" t="str">
        <f>IF($P107="","",IFERROR(IF(INDEX(MASTER!$H$4:$H$1463,$P107)="","",INDEX(MASTER!$H$4:$H$1463,$P107)),""))</f>
        <v/>
      </c>
      <c r="H107" s="16" t="str">
        <f>IF($P107="","",IFERROR(IF(INDEX(MASTER!$I$4:$I$1463,$P107)="","",INDEX(MASTER!$I$4:$I$1463,$P107)),""))</f>
        <v/>
      </c>
      <c r="I107" s="15" t="str">
        <f>IF($P107="","",IFERROR(IF(INDEX(MASTER!$J$4:$J$1463,$P107)="","",INDEX(MASTER!$J$4:$J$1463,$P107)),""))</f>
        <v/>
      </c>
      <c r="J107" s="17" t="str">
        <f>IF($P107="","",IFERROR(IF(INDEX(MASTER!$L$4:$L$1463,$P107)="","",INDEX(MASTER!$L$4:$L$1463,$P107)),""))</f>
        <v/>
      </c>
      <c r="K107" s="17" t="str">
        <f>IF($P107="","",IFERROR(IF(INDEX(MASTER!$N$4:$N$1463,$P107)="","",INDEX(MASTER!$N$4:$N$1463,$P107)),""))</f>
        <v/>
      </c>
      <c r="L107" s="15" t="str">
        <f>IF($P107="","",IFERROR(IF(INDEX(MASTER!$O$4:$O$1463,$P107)="","",INDEX(MASTER!$O$4:$O$1463,$P107)),""))</f>
        <v/>
      </c>
      <c r="M107" s="15" t="str">
        <f>IF($P107="","",IFERROR(IF(INDEX(MASTER!$Q$4:$Q$1463,$P107)="","",INDEX(MASTER!$Q$4:$Q$1463,$P107)),""))</f>
        <v/>
      </c>
      <c r="N107" s="15" t="str">
        <f>IF($P107="","",IFERROR(IF(INDEX(MASTER!$S$4:$S$1463,$P107)="","",INDEX(MASTER!$S$4:$S$1463,$P107)),""))</f>
        <v/>
      </c>
      <c r="P107" t="str">
        <f>IFERROR(MATCH($Q$1&amp;"@99",MASTER!$AC$4:$AC$1463,0),"")</f>
        <v/>
      </c>
    </row>
    <row r="108" spans="1:16">
      <c r="A108" s="19" t="str">
        <f>IF($P108="","",100)</f>
        <v/>
      </c>
      <c r="B108" s="18" t="str">
        <f>IF($P108="","",IFERROR(IF(INDEX(MASTER!$C$4:$C$1463,$P108)="","",INDEX(MASTER!$C$4:$C$1463,$P108)),""))</f>
        <v/>
      </c>
      <c r="C108" s="19" t="str">
        <f>IF($P108="","",IFERROR(IF(INDEX(MASTER!$D$4:$D$1463,$P108)="","",INDEX(MASTER!$D$4:$D$1463,$P108)),""))</f>
        <v/>
      </c>
      <c r="D108" s="19" t="str">
        <f>IF($P108="","",IFERROR(IF(INDEX(MASTER!$E$4:$E$1463,$P108)="","",INDEX(MASTER!$E$4:$E$1463,$P108)),""))</f>
        <v/>
      </c>
      <c r="E108" s="19" t="str">
        <f>IF($P108="","",IFERROR(IF(INDEX(MASTER!$F$4:$F$1463,$P108)="","",INDEX(MASTER!$F$4:$F$1463,$P108)),""))</f>
        <v/>
      </c>
      <c r="F108" s="20" t="str">
        <f>IF($P108="","",IFERROR(IF(INDEX(MASTER!$G$4:$G$1463,$P108)="","",INDEX(MASTER!$G$4:$G$1463,$P108)),""))</f>
        <v/>
      </c>
      <c r="G108" s="19" t="str">
        <f>IF($P108="","",IFERROR(IF(INDEX(MASTER!$H$4:$H$1463,$P108)="","",INDEX(MASTER!$H$4:$H$1463,$P108)),""))</f>
        <v/>
      </c>
      <c r="H108" s="20" t="str">
        <f>IF($P108="","",IFERROR(IF(INDEX(MASTER!$I$4:$I$1463,$P108)="","",INDEX(MASTER!$I$4:$I$1463,$P108)),""))</f>
        <v/>
      </c>
      <c r="I108" s="19" t="str">
        <f>IF($P108="","",IFERROR(IF(INDEX(MASTER!$J$4:$J$1463,$P108)="","",INDEX(MASTER!$J$4:$J$1463,$P108)),""))</f>
        <v/>
      </c>
      <c r="J108" s="21" t="str">
        <f>IF($P108="","",IFERROR(IF(INDEX(MASTER!$L$4:$L$1463,$P108)="","",INDEX(MASTER!$L$4:$L$1463,$P108)),""))</f>
        <v/>
      </c>
      <c r="K108" s="21" t="str">
        <f>IF($P108="","",IFERROR(IF(INDEX(MASTER!$N$4:$N$1463,$P108)="","",INDEX(MASTER!$N$4:$N$1463,$P108)),""))</f>
        <v/>
      </c>
      <c r="L108" s="19" t="str">
        <f>IF($P108="","",IFERROR(IF(INDEX(MASTER!$O$4:$O$1463,$P108)="","",INDEX(MASTER!$O$4:$O$1463,$P108)),""))</f>
        <v/>
      </c>
      <c r="M108" s="19" t="str">
        <f>IF($P108="","",IFERROR(IF(INDEX(MASTER!$Q$4:$Q$1463,$P108)="","",INDEX(MASTER!$Q$4:$Q$1463,$P108)),""))</f>
        <v/>
      </c>
      <c r="N108" s="19" t="str">
        <f>IF($P108="","",IFERROR(IF(INDEX(MASTER!$S$4:$S$1463,$P108)="","",INDEX(MASTER!$S$4:$S$1463,$P108)),""))</f>
        <v/>
      </c>
      <c r="P108" t="str">
        <f>IFERROR(MATCH($Q$1&amp;"@100",MASTER!$AC$4:$AC$1463,0),"")</f>
        <v/>
      </c>
    </row>
    <row r="109" spans="1:16">
      <c r="A109" s="15" t="str">
        <f>IF($P109="","",101)</f>
        <v/>
      </c>
      <c r="B109" s="14" t="str">
        <f>IF($P109="","",IFERROR(IF(INDEX(MASTER!$C$4:$C$1463,$P109)="","",INDEX(MASTER!$C$4:$C$1463,$P109)),""))</f>
        <v/>
      </c>
      <c r="C109" s="15" t="str">
        <f>IF($P109="","",IFERROR(IF(INDEX(MASTER!$D$4:$D$1463,$P109)="","",INDEX(MASTER!$D$4:$D$1463,$P109)),""))</f>
        <v/>
      </c>
      <c r="D109" s="15" t="str">
        <f>IF($P109="","",IFERROR(IF(INDEX(MASTER!$E$4:$E$1463,$P109)="","",INDEX(MASTER!$E$4:$E$1463,$P109)),""))</f>
        <v/>
      </c>
      <c r="E109" s="15" t="str">
        <f>IF($P109="","",IFERROR(IF(INDEX(MASTER!$F$4:$F$1463,$P109)="","",INDEX(MASTER!$F$4:$F$1463,$P109)),""))</f>
        <v/>
      </c>
      <c r="F109" s="16" t="str">
        <f>IF($P109="","",IFERROR(IF(INDEX(MASTER!$G$4:$G$1463,$P109)="","",INDEX(MASTER!$G$4:$G$1463,$P109)),""))</f>
        <v/>
      </c>
      <c r="G109" s="15" t="str">
        <f>IF($P109="","",IFERROR(IF(INDEX(MASTER!$H$4:$H$1463,$P109)="","",INDEX(MASTER!$H$4:$H$1463,$P109)),""))</f>
        <v/>
      </c>
      <c r="H109" s="16" t="str">
        <f>IF($P109="","",IFERROR(IF(INDEX(MASTER!$I$4:$I$1463,$P109)="","",INDEX(MASTER!$I$4:$I$1463,$P109)),""))</f>
        <v/>
      </c>
      <c r="I109" s="15" t="str">
        <f>IF($P109="","",IFERROR(IF(INDEX(MASTER!$J$4:$J$1463,$P109)="","",INDEX(MASTER!$J$4:$J$1463,$P109)),""))</f>
        <v/>
      </c>
      <c r="J109" s="17" t="str">
        <f>IF($P109="","",IFERROR(IF(INDEX(MASTER!$L$4:$L$1463,$P109)="","",INDEX(MASTER!$L$4:$L$1463,$P109)),""))</f>
        <v/>
      </c>
      <c r="K109" s="17" t="str">
        <f>IF($P109="","",IFERROR(IF(INDEX(MASTER!$N$4:$N$1463,$P109)="","",INDEX(MASTER!$N$4:$N$1463,$P109)),""))</f>
        <v/>
      </c>
      <c r="L109" s="15" t="str">
        <f>IF($P109="","",IFERROR(IF(INDEX(MASTER!$O$4:$O$1463,$P109)="","",INDEX(MASTER!$O$4:$O$1463,$P109)),""))</f>
        <v/>
      </c>
      <c r="M109" s="15" t="str">
        <f>IF($P109="","",IFERROR(IF(INDEX(MASTER!$Q$4:$Q$1463,$P109)="","",INDEX(MASTER!$Q$4:$Q$1463,$P109)),""))</f>
        <v/>
      </c>
      <c r="N109" s="15" t="str">
        <f>IF($P109="","",IFERROR(IF(INDEX(MASTER!$S$4:$S$1463,$P109)="","",INDEX(MASTER!$S$4:$S$1463,$P109)),""))</f>
        <v/>
      </c>
      <c r="P109" t="str">
        <f>IFERROR(MATCH($Q$1&amp;"@101",MASTER!$AC$4:$AC$1463,0),"")</f>
        <v/>
      </c>
    </row>
    <row r="110" spans="1:16">
      <c r="A110" s="19" t="str">
        <f>IF($P110="","",102)</f>
        <v/>
      </c>
      <c r="B110" s="18" t="str">
        <f>IF($P110="","",IFERROR(IF(INDEX(MASTER!$C$4:$C$1463,$P110)="","",INDEX(MASTER!$C$4:$C$1463,$P110)),""))</f>
        <v/>
      </c>
      <c r="C110" s="19" t="str">
        <f>IF($P110="","",IFERROR(IF(INDEX(MASTER!$D$4:$D$1463,$P110)="","",INDEX(MASTER!$D$4:$D$1463,$P110)),""))</f>
        <v/>
      </c>
      <c r="D110" s="19" t="str">
        <f>IF($P110="","",IFERROR(IF(INDEX(MASTER!$E$4:$E$1463,$P110)="","",INDEX(MASTER!$E$4:$E$1463,$P110)),""))</f>
        <v/>
      </c>
      <c r="E110" s="19" t="str">
        <f>IF($P110="","",IFERROR(IF(INDEX(MASTER!$F$4:$F$1463,$P110)="","",INDEX(MASTER!$F$4:$F$1463,$P110)),""))</f>
        <v/>
      </c>
      <c r="F110" s="20" t="str">
        <f>IF($P110="","",IFERROR(IF(INDEX(MASTER!$G$4:$G$1463,$P110)="","",INDEX(MASTER!$G$4:$G$1463,$P110)),""))</f>
        <v/>
      </c>
      <c r="G110" s="19" t="str">
        <f>IF($P110="","",IFERROR(IF(INDEX(MASTER!$H$4:$H$1463,$P110)="","",INDEX(MASTER!$H$4:$H$1463,$P110)),""))</f>
        <v/>
      </c>
      <c r="H110" s="20" t="str">
        <f>IF($P110="","",IFERROR(IF(INDEX(MASTER!$I$4:$I$1463,$P110)="","",INDEX(MASTER!$I$4:$I$1463,$P110)),""))</f>
        <v/>
      </c>
      <c r="I110" s="19" t="str">
        <f>IF($P110="","",IFERROR(IF(INDEX(MASTER!$J$4:$J$1463,$P110)="","",INDEX(MASTER!$J$4:$J$1463,$P110)),""))</f>
        <v/>
      </c>
      <c r="J110" s="21" t="str">
        <f>IF($P110="","",IFERROR(IF(INDEX(MASTER!$L$4:$L$1463,$P110)="","",INDEX(MASTER!$L$4:$L$1463,$P110)),""))</f>
        <v/>
      </c>
      <c r="K110" s="21" t="str">
        <f>IF($P110="","",IFERROR(IF(INDEX(MASTER!$N$4:$N$1463,$P110)="","",INDEX(MASTER!$N$4:$N$1463,$P110)),""))</f>
        <v/>
      </c>
      <c r="L110" s="19" t="str">
        <f>IF($P110="","",IFERROR(IF(INDEX(MASTER!$O$4:$O$1463,$P110)="","",INDEX(MASTER!$O$4:$O$1463,$P110)),""))</f>
        <v/>
      </c>
      <c r="M110" s="19" t="str">
        <f>IF($P110="","",IFERROR(IF(INDEX(MASTER!$Q$4:$Q$1463,$P110)="","",INDEX(MASTER!$Q$4:$Q$1463,$P110)),""))</f>
        <v/>
      </c>
      <c r="N110" s="19" t="str">
        <f>IF($P110="","",IFERROR(IF(INDEX(MASTER!$S$4:$S$1463,$P110)="","",INDEX(MASTER!$S$4:$S$1463,$P110)),""))</f>
        <v/>
      </c>
      <c r="P110" t="str">
        <f>IFERROR(MATCH($Q$1&amp;"@102",MASTER!$AC$4:$AC$1463,0),"")</f>
        <v/>
      </c>
    </row>
    <row r="111" spans="1:16">
      <c r="A111" s="15" t="str">
        <f>IF($P111="","",103)</f>
        <v/>
      </c>
      <c r="B111" s="14" t="str">
        <f>IF($P111="","",IFERROR(IF(INDEX(MASTER!$C$4:$C$1463,$P111)="","",INDEX(MASTER!$C$4:$C$1463,$P111)),""))</f>
        <v/>
      </c>
      <c r="C111" s="15" t="str">
        <f>IF($P111="","",IFERROR(IF(INDEX(MASTER!$D$4:$D$1463,$P111)="","",INDEX(MASTER!$D$4:$D$1463,$P111)),""))</f>
        <v/>
      </c>
      <c r="D111" s="15" t="str">
        <f>IF($P111="","",IFERROR(IF(INDEX(MASTER!$E$4:$E$1463,$P111)="","",INDEX(MASTER!$E$4:$E$1463,$P111)),""))</f>
        <v/>
      </c>
      <c r="E111" s="15" t="str">
        <f>IF($P111="","",IFERROR(IF(INDEX(MASTER!$F$4:$F$1463,$P111)="","",INDEX(MASTER!$F$4:$F$1463,$P111)),""))</f>
        <v/>
      </c>
      <c r="F111" s="16" t="str">
        <f>IF($P111="","",IFERROR(IF(INDEX(MASTER!$G$4:$G$1463,$P111)="","",INDEX(MASTER!$G$4:$G$1463,$P111)),""))</f>
        <v/>
      </c>
      <c r="G111" s="15" t="str">
        <f>IF($P111="","",IFERROR(IF(INDEX(MASTER!$H$4:$H$1463,$P111)="","",INDEX(MASTER!$H$4:$H$1463,$P111)),""))</f>
        <v/>
      </c>
      <c r="H111" s="16" t="str">
        <f>IF($P111="","",IFERROR(IF(INDEX(MASTER!$I$4:$I$1463,$P111)="","",INDEX(MASTER!$I$4:$I$1463,$P111)),""))</f>
        <v/>
      </c>
      <c r="I111" s="15" t="str">
        <f>IF($P111="","",IFERROR(IF(INDEX(MASTER!$J$4:$J$1463,$P111)="","",INDEX(MASTER!$J$4:$J$1463,$P111)),""))</f>
        <v/>
      </c>
      <c r="J111" s="17" t="str">
        <f>IF($P111="","",IFERROR(IF(INDEX(MASTER!$L$4:$L$1463,$P111)="","",INDEX(MASTER!$L$4:$L$1463,$P111)),""))</f>
        <v/>
      </c>
      <c r="K111" s="17" t="str">
        <f>IF($P111="","",IFERROR(IF(INDEX(MASTER!$N$4:$N$1463,$P111)="","",INDEX(MASTER!$N$4:$N$1463,$P111)),""))</f>
        <v/>
      </c>
      <c r="L111" s="15" t="str">
        <f>IF($P111="","",IFERROR(IF(INDEX(MASTER!$O$4:$O$1463,$P111)="","",INDEX(MASTER!$O$4:$O$1463,$P111)),""))</f>
        <v/>
      </c>
      <c r="M111" s="15" t="str">
        <f>IF($P111="","",IFERROR(IF(INDEX(MASTER!$Q$4:$Q$1463,$P111)="","",INDEX(MASTER!$Q$4:$Q$1463,$P111)),""))</f>
        <v/>
      </c>
      <c r="N111" s="15" t="str">
        <f>IF($P111="","",IFERROR(IF(INDEX(MASTER!$S$4:$S$1463,$P111)="","",INDEX(MASTER!$S$4:$S$1463,$P111)),""))</f>
        <v/>
      </c>
      <c r="P111" t="str">
        <f>IFERROR(MATCH($Q$1&amp;"@103",MASTER!$AC$4:$AC$1463,0),"")</f>
        <v/>
      </c>
    </row>
    <row r="112" spans="1:16">
      <c r="A112" s="19" t="str">
        <f>IF($P112="","",104)</f>
        <v/>
      </c>
      <c r="B112" s="18" t="str">
        <f>IF($P112="","",IFERROR(IF(INDEX(MASTER!$C$4:$C$1463,$P112)="","",INDEX(MASTER!$C$4:$C$1463,$P112)),""))</f>
        <v/>
      </c>
      <c r="C112" s="19" t="str">
        <f>IF($P112="","",IFERROR(IF(INDEX(MASTER!$D$4:$D$1463,$P112)="","",INDEX(MASTER!$D$4:$D$1463,$P112)),""))</f>
        <v/>
      </c>
      <c r="D112" s="19" t="str">
        <f>IF($P112="","",IFERROR(IF(INDEX(MASTER!$E$4:$E$1463,$P112)="","",INDEX(MASTER!$E$4:$E$1463,$P112)),""))</f>
        <v/>
      </c>
      <c r="E112" s="19" t="str">
        <f>IF($P112="","",IFERROR(IF(INDEX(MASTER!$F$4:$F$1463,$P112)="","",INDEX(MASTER!$F$4:$F$1463,$P112)),""))</f>
        <v/>
      </c>
      <c r="F112" s="20" t="str">
        <f>IF($P112="","",IFERROR(IF(INDEX(MASTER!$G$4:$G$1463,$P112)="","",INDEX(MASTER!$G$4:$G$1463,$P112)),""))</f>
        <v/>
      </c>
      <c r="G112" s="19" t="str">
        <f>IF($P112="","",IFERROR(IF(INDEX(MASTER!$H$4:$H$1463,$P112)="","",INDEX(MASTER!$H$4:$H$1463,$P112)),""))</f>
        <v/>
      </c>
      <c r="H112" s="20" t="str">
        <f>IF($P112="","",IFERROR(IF(INDEX(MASTER!$I$4:$I$1463,$P112)="","",INDEX(MASTER!$I$4:$I$1463,$P112)),""))</f>
        <v/>
      </c>
      <c r="I112" s="19" t="str">
        <f>IF($P112="","",IFERROR(IF(INDEX(MASTER!$J$4:$J$1463,$P112)="","",INDEX(MASTER!$J$4:$J$1463,$P112)),""))</f>
        <v/>
      </c>
      <c r="J112" s="21" t="str">
        <f>IF($P112="","",IFERROR(IF(INDEX(MASTER!$L$4:$L$1463,$P112)="","",INDEX(MASTER!$L$4:$L$1463,$P112)),""))</f>
        <v/>
      </c>
      <c r="K112" s="21" t="str">
        <f>IF($P112="","",IFERROR(IF(INDEX(MASTER!$N$4:$N$1463,$P112)="","",INDEX(MASTER!$N$4:$N$1463,$P112)),""))</f>
        <v/>
      </c>
      <c r="L112" s="19" t="str">
        <f>IF($P112="","",IFERROR(IF(INDEX(MASTER!$O$4:$O$1463,$P112)="","",INDEX(MASTER!$O$4:$O$1463,$P112)),""))</f>
        <v/>
      </c>
      <c r="M112" s="19" t="str">
        <f>IF($P112="","",IFERROR(IF(INDEX(MASTER!$Q$4:$Q$1463,$P112)="","",INDEX(MASTER!$Q$4:$Q$1463,$P112)),""))</f>
        <v/>
      </c>
      <c r="N112" s="19" t="str">
        <f>IF($P112="","",IFERROR(IF(INDEX(MASTER!$S$4:$S$1463,$P112)="","",INDEX(MASTER!$S$4:$S$1463,$P112)),""))</f>
        <v/>
      </c>
      <c r="P112" t="str">
        <f>IFERROR(MATCH($Q$1&amp;"@104",MASTER!$AC$4:$AC$1463,0),"")</f>
        <v/>
      </c>
    </row>
    <row r="113" spans="1:16">
      <c r="A113" s="15" t="str">
        <f>IF($P113="","",105)</f>
        <v/>
      </c>
      <c r="B113" s="14" t="str">
        <f>IF($P113="","",IFERROR(IF(INDEX(MASTER!$C$4:$C$1463,$P113)="","",INDEX(MASTER!$C$4:$C$1463,$P113)),""))</f>
        <v/>
      </c>
      <c r="C113" s="15" t="str">
        <f>IF($P113="","",IFERROR(IF(INDEX(MASTER!$D$4:$D$1463,$P113)="","",INDEX(MASTER!$D$4:$D$1463,$P113)),""))</f>
        <v/>
      </c>
      <c r="D113" s="15" t="str">
        <f>IF($P113="","",IFERROR(IF(INDEX(MASTER!$E$4:$E$1463,$P113)="","",INDEX(MASTER!$E$4:$E$1463,$P113)),""))</f>
        <v/>
      </c>
      <c r="E113" s="15" t="str">
        <f>IF($P113="","",IFERROR(IF(INDEX(MASTER!$F$4:$F$1463,$P113)="","",INDEX(MASTER!$F$4:$F$1463,$P113)),""))</f>
        <v/>
      </c>
      <c r="F113" s="16" t="str">
        <f>IF($P113="","",IFERROR(IF(INDEX(MASTER!$G$4:$G$1463,$P113)="","",INDEX(MASTER!$G$4:$G$1463,$P113)),""))</f>
        <v/>
      </c>
      <c r="G113" s="15" t="str">
        <f>IF($P113="","",IFERROR(IF(INDEX(MASTER!$H$4:$H$1463,$P113)="","",INDEX(MASTER!$H$4:$H$1463,$P113)),""))</f>
        <v/>
      </c>
      <c r="H113" s="16" t="str">
        <f>IF($P113="","",IFERROR(IF(INDEX(MASTER!$I$4:$I$1463,$P113)="","",INDEX(MASTER!$I$4:$I$1463,$P113)),""))</f>
        <v/>
      </c>
      <c r="I113" s="15" t="str">
        <f>IF($P113="","",IFERROR(IF(INDEX(MASTER!$J$4:$J$1463,$P113)="","",INDEX(MASTER!$J$4:$J$1463,$P113)),""))</f>
        <v/>
      </c>
      <c r="J113" s="17" t="str">
        <f>IF($P113="","",IFERROR(IF(INDEX(MASTER!$L$4:$L$1463,$P113)="","",INDEX(MASTER!$L$4:$L$1463,$P113)),""))</f>
        <v/>
      </c>
      <c r="K113" s="17" t="str">
        <f>IF($P113="","",IFERROR(IF(INDEX(MASTER!$N$4:$N$1463,$P113)="","",INDEX(MASTER!$N$4:$N$1463,$P113)),""))</f>
        <v/>
      </c>
      <c r="L113" s="15" t="str">
        <f>IF($P113="","",IFERROR(IF(INDEX(MASTER!$O$4:$O$1463,$P113)="","",INDEX(MASTER!$O$4:$O$1463,$P113)),""))</f>
        <v/>
      </c>
      <c r="M113" s="15" t="str">
        <f>IF($P113="","",IFERROR(IF(INDEX(MASTER!$Q$4:$Q$1463,$P113)="","",INDEX(MASTER!$Q$4:$Q$1463,$P113)),""))</f>
        <v/>
      </c>
      <c r="N113" s="15" t="str">
        <f>IF($P113="","",IFERROR(IF(INDEX(MASTER!$S$4:$S$1463,$P113)="","",INDEX(MASTER!$S$4:$S$1463,$P113)),""))</f>
        <v/>
      </c>
      <c r="P113" t="str">
        <f>IFERROR(MATCH($Q$1&amp;"@105",MASTER!$AC$4:$AC$1463,0),"")</f>
        <v/>
      </c>
    </row>
    <row r="114" spans="1:16">
      <c r="A114" s="19" t="str">
        <f>IF($P114="","",106)</f>
        <v/>
      </c>
      <c r="B114" s="18" t="str">
        <f>IF($P114="","",IFERROR(IF(INDEX(MASTER!$C$4:$C$1463,$P114)="","",INDEX(MASTER!$C$4:$C$1463,$P114)),""))</f>
        <v/>
      </c>
      <c r="C114" s="19" t="str">
        <f>IF($P114="","",IFERROR(IF(INDEX(MASTER!$D$4:$D$1463,$P114)="","",INDEX(MASTER!$D$4:$D$1463,$P114)),""))</f>
        <v/>
      </c>
      <c r="D114" s="19" t="str">
        <f>IF($P114="","",IFERROR(IF(INDEX(MASTER!$E$4:$E$1463,$P114)="","",INDEX(MASTER!$E$4:$E$1463,$P114)),""))</f>
        <v/>
      </c>
      <c r="E114" s="19" t="str">
        <f>IF($P114="","",IFERROR(IF(INDEX(MASTER!$F$4:$F$1463,$P114)="","",INDEX(MASTER!$F$4:$F$1463,$P114)),""))</f>
        <v/>
      </c>
      <c r="F114" s="20" t="str">
        <f>IF($P114="","",IFERROR(IF(INDEX(MASTER!$G$4:$G$1463,$P114)="","",INDEX(MASTER!$G$4:$G$1463,$P114)),""))</f>
        <v/>
      </c>
      <c r="G114" s="19" t="str">
        <f>IF($P114="","",IFERROR(IF(INDEX(MASTER!$H$4:$H$1463,$P114)="","",INDEX(MASTER!$H$4:$H$1463,$P114)),""))</f>
        <v/>
      </c>
      <c r="H114" s="20" t="str">
        <f>IF($P114="","",IFERROR(IF(INDEX(MASTER!$I$4:$I$1463,$P114)="","",INDEX(MASTER!$I$4:$I$1463,$P114)),""))</f>
        <v/>
      </c>
      <c r="I114" s="19" t="str">
        <f>IF($P114="","",IFERROR(IF(INDEX(MASTER!$J$4:$J$1463,$P114)="","",INDEX(MASTER!$J$4:$J$1463,$P114)),""))</f>
        <v/>
      </c>
      <c r="J114" s="21" t="str">
        <f>IF($P114="","",IFERROR(IF(INDEX(MASTER!$L$4:$L$1463,$P114)="","",INDEX(MASTER!$L$4:$L$1463,$P114)),""))</f>
        <v/>
      </c>
      <c r="K114" s="21" t="str">
        <f>IF($P114="","",IFERROR(IF(INDEX(MASTER!$N$4:$N$1463,$P114)="","",INDEX(MASTER!$N$4:$N$1463,$P114)),""))</f>
        <v/>
      </c>
      <c r="L114" s="19" t="str">
        <f>IF($P114="","",IFERROR(IF(INDEX(MASTER!$O$4:$O$1463,$P114)="","",INDEX(MASTER!$O$4:$O$1463,$P114)),""))</f>
        <v/>
      </c>
      <c r="M114" s="19" t="str">
        <f>IF($P114="","",IFERROR(IF(INDEX(MASTER!$Q$4:$Q$1463,$P114)="","",INDEX(MASTER!$Q$4:$Q$1463,$P114)),""))</f>
        <v/>
      </c>
      <c r="N114" s="19" t="str">
        <f>IF($P114="","",IFERROR(IF(INDEX(MASTER!$S$4:$S$1463,$P114)="","",INDEX(MASTER!$S$4:$S$1463,$P114)),""))</f>
        <v/>
      </c>
      <c r="P114" t="str">
        <f>IFERROR(MATCH($Q$1&amp;"@106",MASTER!$AC$4:$AC$1463,0),"")</f>
        <v/>
      </c>
    </row>
    <row r="115" spans="1:16">
      <c r="A115" s="15" t="str">
        <f>IF($P115="","",107)</f>
        <v/>
      </c>
      <c r="B115" s="14" t="str">
        <f>IF($P115="","",IFERROR(IF(INDEX(MASTER!$C$4:$C$1463,$P115)="","",INDEX(MASTER!$C$4:$C$1463,$P115)),""))</f>
        <v/>
      </c>
      <c r="C115" s="15" t="str">
        <f>IF($P115="","",IFERROR(IF(INDEX(MASTER!$D$4:$D$1463,$P115)="","",INDEX(MASTER!$D$4:$D$1463,$P115)),""))</f>
        <v/>
      </c>
      <c r="D115" s="15" t="str">
        <f>IF($P115="","",IFERROR(IF(INDEX(MASTER!$E$4:$E$1463,$P115)="","",INDEX(MASTER!$E$4:$E$1463,$P115)),""))</f>
        <v/>
      </c>
      <c r="E115" s="15" t="str">
        <f>IF($P115="","",IFERROR(IF(INDEX(MASTER!$F$4:$F$1463,$P115)="","",INDEX(MASTER!$F$4:$F$1463,$P115)),""))</f>
        <v/>
      </c>
      <c r="F115" s="16" t="str">
        <f>IF($P115="","",IFERROR(IF(INDEX(MASTER!$G$4:$G$1463,$P115)="","",INDEX(MASTER!$G$4:$G$1463,$P115)),""))</f>
        <v/>
      </c>
      <c r="G115" s="15" t="str">
        <f>IF($P115="","",IFERROR(IF(INDEX(MASTER!$H$4:$H$1463,$P115)="","",INDEX(MASTER!$H$4:$H$1463,$P115)),""))</f>
        <v/>
      </c>
      <c r="H115" s="16" t="str">
        <f>IF($P115="","",IFERROR(IF(INDEX(MASTER!$I$4:$I$1463,$P115)="","",INDEX(MASTER!$I$4:$I$1463,$P115)),""))</f>
        <v/>
      </c>
      <c r="I115" s="15" t="str">
        <f>IF($P115="","",IFERROR(IF(INDEX(MASTER!$J$4:$J$1463,$P115)="","",INDEX(MASTER!$J$4:$J$1463,$P115)),""))</f>
        <v/>
      </c>
      <c r="J115" s="17" t="str">
        <f>IF($P115="","",IFERROR(IF(INDEX(MASTER!$L$4:$L$1463,$P115)="","",INDEX(MASTER!$L$4:$L$1463,$P115)),""))</f>
        <v/>
      </c>
      <c r="K115" s="17" t="str">
        <f>IF($P115="","",IFERROR(IF(INDEX(MASTER!$N$4:$N$1463,$P115)="","",INDEX(MASTER!$N$4:$N$1463,$P115)),""))</f>
        <v/>
      </c>
      <c r="L115" s="15" t="str">
        <f>IF($P115="","",IFERROR(IF(INDEX(MASTER!$O$4:$O$1463,$P115)="","",INDEX(MASTER!$O$4:$O$1463,$P115)),""))</f>
        <v/>
      </c>
      <c r="M115" s="15" t="str">
        <f>IF($P115="","",IFERROR(IF(INDEX(MASTER!$Q$4:$Q$1463,$P115)="","",INDEX(MASTER!$Q$4:$Q$1463,$P115)),""))</f>
        <v/>
      </c>
      <c r="N115" s="15" t="str">
        <f>IF($P115="","",IFERROR(IF(INDEX(MASTER!$S$4:$S$1463,$P115)="","",INDEX(MASTER!$S$4:$S$1463,$P115)),""))</f>
        <v/>
      </c>
      <c r="P115" t="str">
        <f>IFERROR(MATCH($Q$1&amp;"@107",MASTER!$AC$4:$AC$1463,0),"")</f>
        <v/>
      </c>
    </row>
    <row r="116" spans="1:16">
      <c r="A116" s="19" t="str">
        <f>IF($P116="","",108)</f>
        <v/>
      </c>
      <c r="B116" s="18" t="str">
        <f>IF($P116="","",IFERROR(IF(INDEX(MASTER!$C$4:$C$1463,$P116)="","",INDEX(MASTER!$C$4:$C$1463,$P116)),""))</f>
        <v/>
      </c>
      <c r="C116" s="19" t="str">
        <f>IF($P116="","",IFERROR(IF(INDEX(MASTER!$D$4:$D$1463,$P116)="","",INDEX(MASTER!$D$4:$D$1463,$P116)),""))</f>
        <v/>
      </c>
      <c r="D116" s="19" t="str">
        <f>IF($P116="","",IFERROR(IF(INDEX(MASTER!$E$4:$E$1463,$P116)="","",INDEX(MASTER!$E$4:$E$1463,$P116)),""))</f>
        <v/>
      </c>
      <c r="E116" s="19" t="str">
        <f>IF($P116="","",IFERROR(IF(INDEX(MASTER!$F$4:$F$1463,$P116)="","",INDEX(MASTER!$F$4:$F$1463,$P116)),""))</f>
        <v/>
      </c>
      <c r="F116" s="20" t="str">
        <f>IF($P116="","",IFERROR(IF(INDEX(MASTER!$G$4:$G$1463,$P116)="","",INDEX(MASTER!$G$4:$G$1463,$P116)),""))</f>
        <v/>
      </c>
      <c r="G116" s="19" t="str">
        <f>IF($P116="","",IFERROR(IF(INDEX(MASTER!$H$4:$H$1463,$P116)="","",INDEX(MASTER!$H$4:$H$1463,$P116)),""))</f>
        <v/>
      </c>
      <c r="H116" s="20" t="str">
        <f>IF($P116="","",IFERROR(IF(INDEX(MASTER!$I$4:$I$1463,$P116)="","",INDEX(MASTER!$I$4:$I$1463,$P116)),""))</f>
        <v/>
      </c>
      <c r="I116" s="19" t="str">
        <f>IF($P116="","",IFERROR(IF(INDEX(MASTER!$J$4:$J$1463,$P116)="","",INDEX(MASTER!$J$4:$J$1463,$P116)),""))</f>
        <v/>
      </c>
      <c r="J116" s="21" t="str">
        <f>IF($P116="","",IFERROR(IF(INDEX(MASTER!$L$4:$L$1463,$P116)="","",INDEX(MASTER!$L$4:$L$1463,$P116)),""))</f>
        <v/>
      </c>
      <c r="K116" s="21" t="str">
        <f>IF($P116="","",IFERROR(IF(INDEX(MASTER!$N$4:$N$1463,$P116)="","",INDEX(MASTER!$N$4:$N$1463,$P116)),""))</f>
        <v/>
      </c>
      <c r="L116" s="19" t="str">
        <f>IF($P116="","",IFERROR(IF(INDEX(MASTER!$O$4:$O$1463,$P116)="","",INDEX(MASTER!$O$4:$O$1463,$P116)),""))</f>
        <v/>
      </c>
      <c r="M116" s="19" t="str">
        <f>IF($P116="","",IFERROR(IF(INDEX(MASTER!$Q$4:$Q$1463,$P116)="","",INDEX(MASTER!$Q$4:$Q$1463,$P116)),""))</f>
        <v/>
      </c>
      <c r="N116" s="19" t="str">
        <f>IF($P116="","",IFERROR(IF(INDEX(MASTER!$S$4:$S$1463,$P116)="","",INDEX(MASTER!$S$4:$S$1463,$P116)),""))</f>
        <v/>
      </c>
      <c r="P116" t="str">
        <f>IFERROR(MATCH($Q$1&amp;"@108",MASTER!$AC$4:$AC$1463,0),"")</f>
        <v/>
      </c>
    </row>
    <row r="117" spans="1:16">
      <c r="A117" s="15" t="str">
        <f>IF($P117="","",109)</f>
        <v/>
      </c>
      <c r="B117" s="14" t="str">
        <f>IF($P117="","",IFERROR(IF(INDEX(MASTER!$C$4:$C$1463,$P117)="","",INDEX(MASTER!$C$4:$C$1463,$P117)),""))</f>
        <v/>
      </c>
      <c r="C117" s="15" t="str">
        <f>IF($P117="","",IFERROR(IF(INDEX(MASTER!$D$4:$D$1463,$P117)="","",INDEX(MASTER!$D$4:$D$1463,$P117)),""))</f>
        <v/>
      </c>
      <c r="D117" s="15" t="str">
        <f>IF($P117="","",IFERROR(IF(INDEX(MASTER!$E$4:$E$1463,$P117)="","",INDEX(MASTER!$E$4:$E$1463,$P117)),""))</f>
        <v/>
      </c>
      <c r="E117" s="15" t="str">
        <f>IF($P117="","",IFERROR(IF(INDEX(MASTER!$F$4:$F$1463,$P117)="","",INDEX(MASTER!$F$4:$F$1463,$P117)),""))</f>
        <v/>
      </c>
      <c r="F117" s="16" t="str">
        <f>IF($P117="","",IFERROR(IF(INDEX(MASTER!$G$4:$G$1463,$P117)="","",INDEX(MASTER!$G$4:$G$1463,$P117)),""))</f>
        <v/>
      </c>
      <c r="G117" s="15" t="str">
        <f>IF($P117="","",IFERROR(IF(INDEX(MASTER!$H$4:$H$1463,$P117)="","",INDEX(MASTER!$H$4:$H$1463,$P117)),""))</f>
        <v/>
      </c>
      <c r="H117" s="16" t="str">
        <f>IF($P117="","",IFERROR(IF(INDEX(MASTER!$I$4:$I$1463,$P117)="","",INDEX(MASTER!$I$4:$I$1463,$P117)),""))</f>
        <v/>
      </c>
      <c r="I117" s="15" t="str">
        <f>IF($P117="","",IFERROR(IF(INDEX(MASTER!$J$4:$J$1463,$P117)="","",INDEX(MASTER!$J$4:$J$1463,$P117)),""))</f>
        <v/>
      </c>
      <c r="J117" s="17" t="str">
        <f>IF($P117="","",IFERROR(IF(INDEX(MASTER!$L$4:$L$1463,$P117)="","",INDEX(MASTER!$L$4:$L$1463,$P117)),""))</f>
        <v/>
      </c>
      <c r="K117" s="17" t="str">
        <f>IF($P117="","",IFERROR(IF(INDEX(MASTER!$N$4:$N$1463,$P117)="","",INDEX(MASTER!$N$4:$N$1463,$P117)),""))</f>
        <v/>
      </c>
      <c r="L117" s="15" t="str">
        <f>IF($P117="","",IFERROR(IF(INDEX(MASTER!$O$4:$O$1463,$P117)="","",INDEX(MASTER!$O$4:$O$1463,$P117)),""))</f>
        <v/>
      </c>
      <c r="M117" s="15" t="str">
        <f>IF($P117="","",IFERROR(IF(INDEX(MASTER!$Q$4:$Q$1463,$P117)="","",INDEX(MASTER!$Q$4:$Q$1463,$P117)),""))</f>
        <v/>
      </c>
      <c r="N117" s="15" t="str">
        <f>IF($P117="","",IFERROR(IF(INDEX(MASTER!$S$4:$S$1463,$P117)="","",INDEX(MASTER!$S$4:$S$1463,$P117)),""))</f>
        <v/>
      </c>
      <c r="P117" t="str">
        <f>IFERROR(MATCH($Q$1&amp;"@109",MASTER!$AC$4:$AC$1463,0),"")</f>
        <v/>
      </c>
    </row>
    <row r="118" spans="1:16">
      <c r="A118" s="19" t="str">
        <f>IF($P118="","",110)</f>
        <v/>
      </c>
      <c r="B118" s="18" t="str">
        <f>IF($P118="","",IFERROR(IF(INDEX(MASTER!$C$4:$C$1463,$P118)="","",INDEX(MASTER!$C$4:$C$1463,$P118)),""))</f>
        <v/>
      </c>
      <c r="C118" s="19" t="str">
        <f>IF($P118="","",IFERROR(IF(INDEX(MASTER!$D$4:$D$1463,$P118)="","",INDEX(MASTER!$D$4:$D$1463,$P118)),""))</f>
        <v/>
      </c>
      <c r="D118" s="19" t="str">
        <f>IF($P118="","",IFERROR(IF(INDEX(MASTER!$E$4:$E$1463,$P118)="","",INDEX(MASTER!$E$4:$E$1463,$P118)),""))</f>
        <v/>
      </c>
      <c r="E118" s="19" t="str">
        <f>IF($P118="","",IFERROR(IF(INDEX(MASTER!$F$4:$F$1463,$P118)="","",INDEX(MASTER!$F$4:$F$1463,$P118)),""))</f>
        <v/>
      </c>
      <c r="F118" s="20" t="str">
        <f>IF($P118="","",IFERROR(IF(INDEX(MASTER!$G$4:$G$1463,$P118)="","",INDEX(MASTER!$G$4:$G$1463,$P118)),""))</f>
        <v/>
      </c>
      <c r="G118" s="19" t="str">
        <f>IF($P118="","",IFERROR(IF(INDEX(MASTER!$H$4:$H$1463,$P118)="","",INDEX(MASTER!$H$4:$H$1463,$P118)),""))</f>
        <v/>
      </c>
      <c r="H118" s="20" t="str">
        <f>IF($P118="","",IFERROR(IF(INDEX(MASTER!$I$4:$I$1463,$P118)="","",INDEX(MASTER!$I$4:$I$1463,$P118)),""))</f>
        <v/>
      </c>
      <c r="I118" s="19" t="str">
        <f>IF($P118="","",IFERROR(IF(INDEX(MASTER!$J$4:$J$1463,$P118)="","",INDEX(MASTER!$J$4:$J$1463,$P118)),""))</f>
        <v/>
      </c>
      <c r="J118" s="21" t="str">
        <f>IF($P118="","",IFERROR(IF(INDEX(MASTER!$L$4:$L$1463,$P118)="","",INDEX(MASTER!$L$4:$L$1463,$P118)),""))</f>
        <v/>
      </c>
      <c r="K118" s="21" t="str">
        <f>IF($P118="","",IFERROR(IF(INDEX(MASTER!$N$4:$N$1463,$P118)="","",INDEX(MASTER!$N$4:$N$1463,$P118)),""))</f>
        <v/>
      </c>
      <c r="L118" s="19" t="str">
        <f>IF($P118="","",IFERROR(IF(INDEX(MASTER!$O$4:$O$1463,$P118)="","",INDEX(MASTER!$O$4:$O$1463,$P118)),""))</f>
        <v/>
      </c>
      <c r="M118" s="19" t="str">
        <f>IF($P118="","",IFERROR(IF(INDEX(MASTER!$Q$4:$Q$1463,$P118)="","",INDEX(MASTER!$Q$4:$Q$1463,$P118)),""))</f>
        <v/>
      </c>
      <c r="N118" s="19" t="str">
        <f>IF($P118="","",IFERROR(IF(INDEX(MASTER!$S$4:$S$1463,$P118)="","",INDEX(MASTER!$S$4:$S$1463,$P118)),""))</f>
        <v/>
      </c>
      <c r="P118" t="str">
        <f>IFERROR(MATCH($Q$1&amp;"@110",MASTER!$AC$4:$AC$1463,0),"")</f>
        <v/>
      </c>
    </row>
    <row r="119" spans="1:16">
      <c r="A119" s="15" t="str">
        <f>IF($P119="","",111)</f>
        <v/>
      </c>
      <c r="B119" s="14" t="str">
        <f>IF($P119="","",IFERROR(IF(INDEX(MASTER!$C$4:$C$1463,$P119)="","",INDEX(MASTER!$C$4:$C$1463,$P119)),""))</f>
        <v/>
      </c>
      <c r="C119" s="15" t="str">
        <f>IF($P119="","",IFERROR(IF(INDEX(MASTER!$D$4:$D$1463,$P119)="","",INDEX(MASTER!$D$4:$D$1463,$P119)),""))</f>
        <v/>
      </c>
      <c r="D119" s="15" t="str">
        <f>IF($P119="","",IFERROR(IF(INDEX(MASTER!$E$4:$E$1463,$P119)="","",INDEX(MASTER!$E$4:$E$1463,$P119)),""))</f>
        <v/>
      </c>
      <c r="E119" s="15" t="str">
        <f>IF($P119="","",IFERROR(IF(INDEX(MASTER!$F$4:$F$1463,$P119)="","",INDEX(MASTER!$F$4:$F$1463,$P119)),""))</f>
        <v/>
      </c>
      <c r="F119" s="16" t="str">
        <f>IF($P119="","",IFERROR(IF(INDEX(MASTER!$G$4:$G$1463,$P119)="","",INDEX(MASTER!$G$4:$G$1463,$P119)),""))</f>
        <v/>
      </c>
      <c r="G119" s="15" t="str">
        <f>IF($P119="","",IFERROR(IF(INDEX(MASTER!$H$4:$H$1463,$P119)="","",INDEX(MASTER!$H$4:$H$1463,$P119)),""))</f>
        <v/>
      </c>
      <c r="H119" s="16" t="str">
        <f>IF($P119="","",IFERROR(IF(INDEX(MASTER!$I$4:$I$1463,$P119)="","",INDEX(MASTER!$I$4:$I$1463,$P119)),""))</f>
        <v/>
      </c>
      <c r="I119" s="15" t="str">
        <f>IF($P119="","",IFERROR(IF(INDEX(MASTER!$J$4:$J$1463,$P119)="","",INDEX(MASTER!$J$4:$J$1463,$P119)),""))</f>
        <v/>
      </c>
      <c r="J119" s="17" t="str">
        <f>IF($P119="","",IFERROR(IF(INDEX(MASTER!$L$4:$L$1463,$P119)="","",INDEX(MASTER!$L$4:$L$1463,$P119)),""))</f>
        <v/>
      </c>
      <c r="K119" s="17" t="str">
        <f>IF($P119="","",IFERROR(IF(INDEX(MASTER!$N$4:$N$1463,$P119)="","",INDEX(MASTER!$N$4:$N$1463,$P119)),""))</f>
        <v/>
      </c>
      <c r="L119" s="15" t="str">
        <f>IF($P119="","",IFERROR(IF(INDEX(MASTER!$O$4:$O$1463,$P119)="","",INDEX(MASTER!$O$4:$O$1463,$P119)),""))</f>
        <v/>
      </c>
      <c r="M119" s="15" t="str">
        <f>IF($P119="","",IFERROR(IF(INDEX(MASTER!$Q$4:$Q$1463,$P119)="","",INDEX(MASTER!$Q$4:$Q$1463,$P119)),""))</f>
        <v/>
      </c>
      <c r="N119" s="15" t="str">
        <f>IF($P119="","",IFERROR(IF(INDEX(MASTER!$S$4:$S$1463,$P119)="","",INDEX(MASTER!$S$4:$S$1463,$P119)),""))</f>
        <v/>
      </c>
      <c r="P119" t="str">
        <f>IFERROR(MATCH($Q$1&amp;"@111",MASTER!$AC$4:$AC$1463,0),"")</f>
        <v/>
      </c>
    </row>
    <row r="120" spans="1:16">
      <c r="A120" s="19" t="str">
        <f>IF($P120="","",112)</f>
        <v/>
      </c>
      <c r="B120" s="18" t="str">
        <f>IF($P120="","",IFERROR(IF(INDEX(MASTER!$C$4:$C$1463,$P120)="","",INDEX(MASTER!$C$4:$C$1463,$P120)),""))</f>
        <v/>
      </c>
      <c r="C120" s="19" t="str">
        <f>IF($P120="","",IFERROR(IF(INDEX(MASTER!$D$4:$D$1463,$P120)="","",INDEX(MASTER!$D$4:$D$1463,$P120)),""))</f>
        <v/>
      </c>
      <c r="D120" s="19" t="str">
        <f>IF($P120="","",IFERROR(IF(INDEX(MASTER!$E$4:$E$1463,$P120)="","",INDEX(MASTER!$E$4:$E$1463,$P120)),""))</f>
        <v/>
      </c>
      <c r="E120" s="19" t="str">
        <f>IF($P120="","",IFERROR(IF(INDEX(MASTER!$F$4:$F$1463,$P120)="","",INDEX(MASTER!$F$4:$F$1463,$P120)),""))</f>
        <v/>
      </c>
      <c r="F120" s="20" t="str">
        <f>IF($P120="","",IFERROR(IF(INDEX(MASTER!$G$4:$G$1463,$P120)="","",INDEX(MASTER!$G$4:$G$1463,$P120)),""))</f>
        <v/>
      </c>
      <c r="G120" s="19" t="str">
        <f>IF($P120="","",IFERROR(IF(INDEX(MASTER!$H$4:$H$1463,$P120)="","",INDEX(MASTER!$H$4:$H$1463,$P120)),""))</f>
        <v/>
      </c>
      <c r="H120" s="20" t="str">
        <f>IF($P120="","",IFERROR(IF(INDEX(MASTER!$I$4:$I$1463,$P120)="","",INDEX(MASTER!$I$4:$I$1463,$P120)),""))</f>
        <v/>
      </c>
      <c r="I120" s="19" t="str">
        <f>IF($P120="","",IFERROR(IF(INDEX(MASTER!$J$4:$J$1463,$P120)="","",INDEX(MASTER!$J$4:$J$1463,$P120)),""))</f>
        <v/>
      </c>
      <c r="J120" s="21" t="str">
        <f>IF($P120="","",IFERROR(IF(INDEX(MASTER!$L$4:$L$1463,$P120)="","",INDEX(MASTER!$L$4:$L$1463,$P120)),""))</f>
        <v/>
      </c>
      <c r="K120" s="21" t="str">
        <f>IF($P120="","",IFERROR(IF(INDEX(MASTER!$N$4:$N$1463,$P120)="","",INDEX(MASTER!$N$4:$N$1463,$P120)),""))</f>
        <v/>
      </c>
      <c r="L120" s="19" t="str">
        <f>IF($P120="","",IFERROR(IF(INDEX(MASTER!$O$4:$O$1463,$P120)="","",INDEX(MASTER!$O$4:$O$1463,$P120)),""))</f>
        <v/>
      </c>
      <c r="M120" s="19" t="str">
        <f>IF($P120="","",IFERROR(IF(INDEX(MASTER!$Q$4:$Q$1463,$P120)="","",INDEX(MASTER!$Q$4:$Q$1463,$P120)),""))</f>
        <v/>
      </c>
      <c r="N120" s="19" t="str">
        <f>IF($P120="","",IFERROR(IF(INDEX(MASTER!$S$4:$S$1463,$P120)="","",INDEX(MASTER!$S$4:$S$1463,$P120)),""))</f>
        <v/>
      </c>
      <c r="P120" t="str">
        <f>IFERROR(MATCH($Q$1&amp;"@112",MASTER!$AC$4:$AC$1463,0),"")</f>
        <v/>
      </c>
    </row>
    <row r="121" spans="1:16">
      <c r="A121" s="15" t="str">
        <f>IF($P121="","",113)</f>
        <v/>
      </c>
      <c r="B121" s="14" t="str">
        <f>IF($P121="","",IFERROR(IF(INDEX(MASTER!$C$4:$C$1463,$P121)="","",INDEX(MASTER!$C$4:$C$1463,$P121)),""))</f>
        <v/>
      </c>
      <c r="C121" s="15" t="str">
        <f>IF($P121="","",IFERROR(IF(INDEX(MASTER!$D$4:$D$1463,$P121)="","",INDEX(MASTER!$D$4:$D$1463,$P121)),""))</f>
        <v/>
      </c>
      <c r="D121" s="15" t="str">
        <f>IF($P121="","",IFERROR(IF(INDEX(MASTER!$E$4:$E$1463,$P121)="","",INDEX(MASTER!$E$4:$E$1463,$P121)),""))</f>
        <v/>
      </c>
      <c r="E121" s="15" t="str">
        <f>IF($P121="","",IFERROR(IF(INDEX(MASTER!$F$4:$F$1463,$P121)="","",INDEX(MASTER!$F$4:$F$1463,$P121)),""))</f>
        <v/>
      </c>
      <c r="F121" s="16" t="str">
        <f>IF($P121="","",IFERROR(IF(INDEX(MASTER!$G$4:$G$1463,$P121)="","",INDEX(MASTER!$G$4:$G$1463,$P121)),""))</f>
        <v/>
      </c>
      <c r="G121" s="15" t="str">
        <f>IF($P121="","",IFERROR(IF(INDEX(MASTER!$H$4:$H$1463,$P121)="","",INDEX(MASTER!$H$4:$H$1463,$P121)),""))</f>
        <v/>
      </c>
      <c r="H121" s="16" t="str">
        <f>IF($P121="","",IFERROR(IF(INDEX(MASTER!$I$4:$I$1463,$P121)="","",INDEX(MASTER!$I$4:$I$1463,$P121)),""))</f>
        <v/>
      </c>
      <c r="I121" s="15" t="str">
        <f>IF($P121="","",IFERROR(IF(INDEX(MASTER!$J$4:$J$1463,$P121)="","",INDEX(MASTER!$J$4:$J$1463,$P121)),""))</f>
        <v/>
      </c>
      <c r="J121" s="17" t="str">
        <f>IF($P121="","",IFERROR(IF(INDEX(MASTER!$L$4:$L$1463,$P121)="","",INDEX(MASTER!$L$4:$L$1463,$P121)),""))</f>
        <v/>
      </c>
      <c r="K121" s="17" t="str">
        <f>IF($P121="","",IFERROR(IF(INDEX(MASTER!$N$4:$N$1463,$P121)="","",INDEX(MASTER!$N$4:$N$1463,$P121)),""))</f>
        <v/>
      </c>
      <c r="L121" s="15" t="str">
        <f>IF($P121="","",IFERROR(IF(INDEX(MASTER!$O$4:$O$1463,$P121)="","",INDEX(MASTER!$O$4:$O$1463,$P121)),""))</f>
        <v/>
      </c>
      <c r="M121" s="15" t="str">
        <f>IF($P121="","",IFERROR(IF(INDEX(MASTER!$Q$4:$Q$1463,$P121)="","",INDEX(MASTER!$Q$4:$Q$1463,$P121)),""))</f>
        <v/>
      </c>
      <c r="N121" s="15" t="str">
        <f>IF($P121="","",IFERROR(IF(INDEX(MASTER!$S$4:$S$1463,$P121)="","",INDEX(MASTER!$S$4:$S$1463,$P121)),""))</f>
        <v/>
      </c>
      <c r="P121" t="str">
        <f>IFERROR(MATCH($Q$1&amp;"@113",MASTER!$AC$4:$AC$1463,0),"")</f>
        <v/>
      </c>
    </row>
    <row r="122" spans="1:16">
      <c r="A122" s="19" t="str">
        <f>IF($P122="","",114)</f>
        <v/>
      </c>
      <c r="B122" s="18" t="str">
        <f>IF($P122="","",IFERROR(IF(INDEX(MASTER!$C$4:$C$1463,$P122)="","",INDEX(MASTER!$C$4:$C$1463,$P122)),""))</f>
        <v/>
      </c>
      <c r="C122" s="19" t="str">
        <f>IF($P122="","",IFERROR(IF(INDEX(MASTER!$D$4:$D$1463,$P122)="","",INDEX(MASTER!$D$4:$D$1463,$P122)),""))</f>
        <v/>
      </c>
      <c r="D122" s="19" t="str">
        <f>IF($P122="","",IFERROR(IF(INDEX(MASTER!$E$4:$E$1463,$P122)="","",INDEX(MASTER!$E$4:$E$1463,$P122)),""))</f>
        <v/>
      </c>
      <c r="E122" s="19" t="str">
        <f>IF($P122="","",IFERROR(IF(INDEX(MASTER!$F$4:$F$1463,$P122)="","",INDEX(MASTER!$F$4:$F$1463,$P122)),""))</f>
        <v/>
      </c>
      <c r="F122" s="20" t="str">
        <f>IF($P122="","",IFERROR(IF(INDEX(MASTER!$G$4:$G$1463,$P122)="","",INDEX(MASTER!$G$4:$G$1463,$P122)),""))</f>
        <v/>
      </c>
      <c r="G122" s="19" t="str">
        <f>IF($P122="","",IFERROR(IF(INDEX(MASTER!$H$4:$H$1463,$P122)="","",INDEX(MASTER!$H$4:$H$1463,$P122)),""))</f>
        <v/>
      </c>
      <c r="H122" s="20" t="str">
        <f>IF($P122="","",IFERROR(IF(INDEX(MASTER!$I$4:$I$1463,$P122)="","",INDEX(MASTER!$I$4:$I$1463,$P122)),""))</f>
        <v/>
      </c>
      <c r="I122" s="19" t="str">
        <f>IF($P122="","",IFERROR(IF(INDEX(MASTER!$J$4:$J$1463,$P122)="","",INDEX(MASTER!$J$4:$J$1463,$P122)),""))</f>
        <v/>
      </c>
      <c r="J122" s="21" t="str">
        <f>IF($P122="","",IFERROR(IF(INDEX(MASTER!$L$4:$L$1463,$P122)="","",INDEX(MASTER!$L$4:$L$1463,$P122)),""))</f>
        <v/>
      </c>
      <c r="K122" s="21" t="str">
        <f>IF($P122="","",IFERROR(IF(INDEX(MASTER!$N$4:$N$1463,$P122)="","",INDEX(MASTER!$N$4:$N$1463,$P122)),""))</f>
        <v/>
      </c>
      <c r="L122" s="19" t="str">
        <f>IF($P122="","",IFERROR(IF(INDEX(MASTER!$O$4:$O$1463,$P122)="","",INDEX(MASTER!$O$4:$O$1463,$P122)),""))</f>
        <v/>
      </c>
      <c r="M122" s="19" t="str">
        <f>IF($P122="","",IFERROR(IF(INDEX(MASTER!$Q$4:$Q$1463,$P122)="","",INDEX(MASTER!$Q$4:$Q$1463,$P122)),""))</f>
        <v/>
      </c>
      <c r="N122" s="19" t="str">
        <f>IF($P122="","",IFERROR(IF(INDEX(MASTER!$S$4:$S$1463,$P122)="","",INDEX(MASTER!$S$4:$S$1463,$P122)),""))</f>
        <v/>
      </c>
      <c r="P122" t="str">
        <f>IFERROR(MATCH($Q$1&amp;"@114",MASTER!$AC$4:$AC$1463,0),"")</f>
        <v/>
      </c>
    </row>
    <row r="123" spans="1:16">
      <c r="A123" s="15" t="str">
        <f>IF($P123="","",115)</f>
        <v/>
      </c>
      <c r="B123" s="14" t="str">
        <f>IF($P123="","",IFERROR(IF(INDEX(MASTER!$C$4:$C$1463,$P123)="","",INDEX(MASTER!$C$4:$C$1463,$P123)),""))</f>
        <v/>
      </c>
      <c r="C123" s="15" t="str">
        <f>IF($P123="","",IFERROR(IF(INDEX(MASTER!$D$4:$D$1463,$P123)="","",INDEX(MASTER!$D$4:$D$1463,$P123)),""))</f>
        <v/>
      </c>
      <c r="D123" s="15" t="str">
        <f>IF($P123="","",IFERROR(IF(INDEX(MASTER!$E$4:$E$1463,$P123)="","",INDEX(MASTER!$E$4:$E$1463,$P123)),""))</f>
        <v/>
      </c>
      <c r="E123" s="15" t="str">
        <f>IF($P123="","",IFERROR(IF(INDEX(MASTER!$F$4:$F$1463,$P123)="","",INDEX(MASTER!$F$4:$F$1463,$P123)),""))</f>
        <v/>
      </c>
      <c r="F123" s="16" t="str">
        <f>IF($P123="","",IFERROR(IF(INDEX(MASTER!$G$4:$G$1463,$P123)="","",INDEX(MASTER!$G$4:$G$1463,$P123)),""))</f>
        <v/>
      </c>
      <c r="G123" s="15" t="str">
        <f>IF($P123="","",IFERROR(IF(INDEX(MASTER!$H$4:$H$1463,$P123)="","",INDEX(MASTER!$H$4:$H$1463,$P123)),""))</f>
        <v/>
      </c>
      <c r="H123" s="16" t="str">
        <f>IF($P123="","",IFERROR(IF(INDEX(MASTER!$I$4:$I$1463,$P123)="","",INDEX(MASTER!$I$4:$I$1463,$P123)),""))</f>
        <v/>
      </c>
      <c r="I123" s="15" t="str">
        <f>IF($P123="","",IFERROR(IF(INDEX(MASTER!$J$4:$J$1463,$P123)="","",INDEX(MASTER!$J$4:$J$1463,$P123)),""))</f>
        <v/>
      </c>
      <c r="J123" s="17" t="str">
        <f>IF($P123="","",IFERROR(IF(INDEX(MASTER!$L$4:$L$1463,$P123)="","",INDEX(MASTER!$L$4:$L$1463,$P123)),""))</f>
        <v/>
      </c>
      <c r="K123" s="17" t="str">
        <f>IF($P123="","",IFERROR(IF(INDEX(MASTER!$N$4:$N$1463,$P123)="","",INDEX(MASTER!$N$4:$N$1463,$P123)),""))</f>
        <v/>
      </c>
      <c r="L123" s="15" t="str">
        <f>IF($P123="","",IFERROR(IF(INDEX(MASTER!$O$4:$O$1463,$P123)="","",INDEX(MASTER!$O$4:$O$1463,$P123)),""))</f>
        <v/>
      </c>
      <c r="M123" s="15" t="str">
        <f>IF($P123="","",IFERROR(IF(INDEX(MASTER!$Q$4:$Q$1463,$P123)="","",INDEX(MASTER!$Q$4:$Q$1463,$P123)),""))</f>
        <v/>
      </c>
      <c r="N123" s="15" t="str">
        <f>IF($P123="","",IFERROR(IF(INDEX(MASTER!$S$4:$S$1463,$P123)="","",INDEX(MASTER!$S$4:$S$1463,$P123)),""))</f>
        <v/>
      </c>
      <c r="P123" t="str">
        <f>IFERROR(MATCH($Q$1&amp;"@115",MASTER!$AC$4:$AC$1463,0),"")</f>
        <v/>
      </c>
    </row>
    <row r="124" spans="1:16">
      <c r="A124" s="19" t="str">
        <f>IF($P124="","",116)</f>
        <v/>
      </c>
      <c r="B124" s="18" t="str">
        <f>IF($P124="","",IFERROR(IF(INDEX(MASTER!$C$4:$C$1463,$P124)="","",INDEX(MASTER!$C$4:$C$1463,$P124)),""))</f>
        <v/>
      </c>
      <c r="C124" s="19" t="str">
        <f>IF($P124="","",IFERROR(IF(INDEX(MASTER!$D$4:$D$1463,$P124)="","",INDEX(MASTER!$D$4:$D$1463,$P124)),""))</f>
        <v/>
      </c>
      <c r="D124" s="19" t="str">
        <f>IF($P124="","",IFERROR(IF(INDEX(MASTER!$E$4:$E$1463,$P124)="","",INDEX(MASTER!$E$4:$E$1463,$P124)),""))</f>
        <v/>
      </c>
      <c r="E124" s="19" t="str">
        <f>IF($P124="","",IFERROR(IF(INDEX(MASTER!$F$4:$F$1463,$P124)="","",INDEX(MASTER!$F$4:$F$1463,$P124)),""))</f>
        <v/>
      </c>
      <c r="F124" s="20" t="str">
        <f>IF($P124="","",IFERROR(IF(INDEX(MASTER!$G$4:$G$1463,$P124)="","",INDEX(MASTER!$G$4:$G$1463,$P124)),""))</f>
        <v/>
      </c>
      <c r="G124" s="19" t="str">
        <f>IF($P124="","",IFERROR(IF(INDEX(MASTER!$H$4:$H$1463,$P124)="","",INDEX(MASTER!$H$4:$H$1463,$P124)),""))</f>
        <v/>
      </c>
      <c r="H124" s="20" t="str">
        <f>IF($P124="","",IFERROR(IF(INDEX(MASTER!$I$4:$I$1463,$P124)="","",INDEX(MASTER!$I$4:$I$1463,$P124)),""))</f>
        <v/>
      </c>
      <c r="I124" s="19" t="str">
        <f>IF($P124="","",IFERROR(IF(INDEX(MASTER!$J$4:$J$1463,$P124)="","",INDEX(MASTER!$J$4:$J$1463,$P124)),""))</f>
        <v/>
      </c>
      <c r="J124" s="21" t="str">
        <f>IF($P124="","",IFERROR(IF(INDEX(MASTER!$L$4:$L$1463,$P124)="","",INDEX(MASTER!$L$4:$L$1463,$P124)),""))</f>
        <v/>
      </c>
      <c r="K124" s="21" t="str">
        <f>IF($P124="","",IFERROR(IF(INDEX(MASTER!$N$4:$N$1463,$P124)="","",INDEX(MASTER!$N$4:$N$1463,$P124)),""))</f>
        <v/>
      </c>
      <c r="L124" s="19" t="str">
        <f>IF($P124="","",IFERROR(IF(INDEX(MASTER!$O$4:$O$1463,$P124)="","",INDEX(MASTER!$O$4:$O$1463,$P124)),""))</f>
        <v/>
      </c>
      <c r="M124" s="19" t="str">
        <f>IF($P124="","",IFERROR(IF(INDEX(MASTER!$Q$4:$Q$1463,$P124)="","",INDEX(MASTER!$Q$4:$Q$1463,$P124)),""))</f>
        <v/>
      </c>
      <c r="N124" s="19" t="str">
        <f>IF($P124="","",IFERROR(IF(INDEX(MASTER!$S$4:$S$1463,$P124)="","",INDEX(MASTER!$S$4:$S$1463,$P124)),""))</f>
        <v/>
      </c>
      <c r="P124" t="str">
        <f>IFERROR(MATCH($Q$1&amp;"@116",MASTER!$AC$4:$AC$1463,0),"")</f>
        <v/>
      </c>
    </row>
    <row r="125" spans="1:16">
      <c r="A125" s="15" t="str">
        <f>IF($P125="","",117)</f>
        <v/>
      </c>
      <c r="B125" s="14" t="str">
        <f>IF($P125="","",IFERROR(IF(INDEX(MASTER!$C$4:$C$1463,$P125)="","",INDEX(MASTER!$C$4:$C$1463,$P125)),""))</f>
        <v/>
      </c>
      <c r="C125" s="15" t="str">
        <f>IF($P125="","",IFERROR(IF(INDEX(MASTER!$D$4:$D$1463,$P125)="","",INDEX(MASTER!$D$4:$D$1463,$P125)),""))</f>
        <v/>
      </c>
      <c r="D125" s="15" t="str">
        <f>IF($P125="","",IFERROR(IF(INDEX(MASTER!$E$4:$E$1463,$P125)="","",INDEX(MASTER!$E$4:$E$1463,$P125)),""))</f>
        <v/>
      </c>
      <c r="E125" s="15" t="str">
        <f>IF($P125="","",IFERROR(IF(INDEX(MASTER!$F$4:$F$1463,$P125)="","",INDEX(MASTER!$F$4:$F$1463,$P125)),""))</f>
        <v/>
      </c>
      <c r="F125" s="16" t="str">
        <f>IF($P125="","",IFERROR(IF(INDEX(MASTER!$G$4:$G$1463,$P125)="","",INDEX(MASTER!$G$4:$G$1463,$P125)),""))</f>
        <v/>
      </c>
      <c r="G125" s="15" t="str">
        <f>IF($P125="","",IFERROR(IF(INDEX(MASTER!$H$4:$H$1463,$P125)="","",INDEX(MASTER!$H$4:$H$1463,$P125)),""))</f>
        <v/>
      </c>
      <c r="H125" s="16" t="str">
        <f>IF($P125="","",IFERROR(IF(INDEX(MASTER!$I$4:$I$1463,$P125)="","",INDEX(MASTER!$I$4:$I$1463,$P125)),""))</f>
        <v/>
      </c>
      <c r="I125" s="15" t="str">
        <f>IF($P125="","",IFERROR(IF(INDEX(MASTER!$J$4:$J$1463,$P125)="","",INDEX(MASTER!$J$4:$J$1463,$P125)),""))</f>
        <v/>
      </c>
      <c r="J125" s="17" t="str">
        <f>IF($P125="","",IFERROR(IF(INDEX(MASTER!$L$4:$L$1463,$P125)="","",INDEX(MASTER!$L$4:$L$1463,$P125)),""))</f>
        <v/>
      </c>
      <c r="K125" s="17" t="str">
        <f>IF($P125="","",IFERROR(IF(INDEX(MASTER!$N$4:$N$1463,$P125)="","",INDEX(MASTER!$N$4:$N$1463,$P125)),""))</f>
        <v/>
      </c>
      <c r="L125" s="15" t="str">
        <f>IF($P125="","",IFERROR(IF(INDEX(MASTER!$O$4:$O$1463,$P125)="","",INDEX(MASTER!$O$4:$O$1463,$P125)),""))</f>
        <v/>
      </c>
      <c r="M125" s="15" t="str">
        <f>IF($P125="","",IFERROR(IF(INDEX(MASTER!$Q$4:$Q$1463,$P125)="","",INDEX(MASTER!$Q$4:$Q$1463,$P125)),""))</f>
        <v/>
      </c>
      <c r="N125" s="15" t="str">
        <f>IF($P125="","",IFERROR(IF(INDEX(MASTER!$S$4:$S$1463,$P125)="","",INDEX(MASTER!$S$4:$S$1463,$P125)),""))</f>
        <v/>
      </c>
      <c r="P125" t="str">
        <f>IFERROR(MATCH($Q$1&amp;"@117",MASTER!$AC$4:$AC$1463,0),"")</f>
        <v/>
      </c>
    </row>
    <row r="126" spans="1:16">
      <c r="A126" s="19" t="str">
        <f>IF($P126="","",118)</f>
        <v/>
      </c>
      <c r="B126" s="18" t="str">
        <f>IF($P126="","",IFERROR(IF(INDEX(MASTER!$C$4:$C$1463,$P126)="","",INDEX(MASTER!$C$4:$C$1463,$P126)),""))</f>
        <v/>
      </c>
      <c r="C126" s="19" t="str">
        <f>IF($P126="","",IFERROR(IF(INDEX(MASTER!$D$4:$D$1463,$P126)="","",INDEX(MASTER!$D$4:$D$1463,$P126)),""))</f>
        <v/>
      </c>
      <c r="D126" s="19" t="str">
        <f>IF($P126="","",IFERROR(IF(INDEX(MASTER!$E$4:$E$1463,$P126)="","",INDEX(MASTER!$E$4:$E$1463,$P126)),""))</f>
        <v/>
      </c>
      <c r="E126" s="19" t="str">
        <f>IF($P126="","",IFERROR(IF(INDEX(MASTER!$F$4:$F$1463,$P126)="","",INDEX(MASTER!$F$4:$F$1463,$P126)),""))</f>
        <v/>
      </c>
      <c r="F126" s="20" t="str">
        <f>IF($P126="","",IFERROR(IF(INDEX(MASTER!$G$4:$G$1463,$P126)="","",INDEX(MASTER!$G$4:$G$1463,$P126)),""))</f>
        <v/>
      </c>
      <c r="G126" s="19" t="str">
        <f>IF($P126="","",IFERROR(IF(INDEX(MASTER!$H$4:$H$1463,$P126)="","",INDEX(MASTER!$H$4:$H$1463,$P126)),""))</f>
        <v/>
      </c>
      <c r="H126" s="20" t="str">
        <f>IF($P126="","",IFERROR(IF(INDEX(MASTER!$I$4:$I$1463,$P126)="","",INDEX(MASTER!$I$4:$I$1463,$P126)),""))</f>
        <v/>
      </c>
      <c r="I126" s="19" t="str">
        <f>IF($P126="","",IFERROR(IF(INDEX(MASTER!$J$4:$J$1463,$P126)="","",INDEX(MASTER!$J$4:$J$1463,$P126)),""))</f>
        <v/>
      </c>
      <c r="J126" s="21" t="str">
        <f>IF($P126="","",IFERROR(IF(INDEX(MASTER!$L$4:$L$1463,$P126)="","",INDEX(MASTER!$L$4:$L$1463,$P126)),""))</f>
        <v/>
      </c>
      <c r="K126" s="21" t="str">
        <f>IF($P126="","",IFERROR(IF(INDEX(MASTER!$N$4:$N$1463,$P126)="","",INDEX(MASTER!$N$4:$N$1463,$P126)),""))</f>
        <v/>
      </c>
      <c r="L126" s="19" t="str">
        <f>IF($P126="","",IFERROR(IF(INDEX(MASTER!$O$4:$O$1463,$P126)="","",INDEX(MASTER!$O$4:$O$1463,$P126)),""))</f>
        <v/>
      </c>
      <c r="M126" s="19" t="str">
        <f>IF($P126="","",IFERROR(IF(INDEX(MASTER!$Q$4:$Q$1463,$P126)="","",INDEX(MASTER!$Q$4:$Q$1463,$P126)),""))</f>
        <v/>
      </c>
      <c r="N126" s="19" t="str">
        <f>IF($P126="","",IFERROR(IF(INDEX(MASTER!$S$4:$S$1463,$P126)="","",INDEX(MASTER!$S$4:$S$1463,$P126)),""))</f>
        <v/>
      </c>
      <c r="P126" t="str">
        <f>IFERROR(MATCH($Q$1&amp;"@118",MASTER!$AC$4:$AC$1463,0),"")</f>
        <v/>
      </c>
    </row>
    <row r="127" spans="1:16">
      <c r="A127" s="15" t="str">
        <f>IF($P127="","",119)</f>
        <v/>
      </c>
      <c r="B127" s="14" t="str">
        <f>IF($P127="","",IFERROR(IF(INDEX(MASTER!$C$4:$C$1463,$P127)="","",INDEX(MASTER!$C$4:$C$1463,$P127)),""))</f>
        <v/>
      </c>
      <c r="C127" s="15" t="str">
        <f>IF($P127="","",IFERROR(IF(INDEX(MASTER!$D$4:$D$1463,$P127)="","",INDEX(MASTER!$D$4:$D$1463,$P127)),""))</f>
        <v/>
      </c>
      <c r="D127" s="15" t="str">
        <f>IF($P127="","",IFERROR(IF(INDEX(MASTER!$E$4:$E$1463,$P127)="","",INDEX(MASTER!$E$4:$E$1463,$P127)),""))</f>
        <v/>
      </c>
      <c r="E127" s="15" t="str">
        <f>IF($P127="","",IFERROR(IF(INDEX(MASTER!$F$4:$F$1463,$P127)="","",INDEX(MASTER!$F$4:$F$1463,$P127)),""))</f>
        <v/>
      </c>
      <c r="F127" s="16" t="str">
        <f>IF($P127="","",IFERROR(IF(INDEX(MASTER!$G$4:$G$1463,$P127)="","",INDEX(MASTER!$G$4:$G$1463,$P127)),""))</f>
        <v/>
      </c>
      <c r="G127" s="15" t="str">
        <f>IF($P127="","",IFERROR(IF(INDEX(MASTER!$H$4:$H$1463,$P127)="","",INDEX(MASTER!$H$4:$H$1463,$P127)),""))</f>
        <v/>
      </c>
      <c r="H127" s="16" t="str">
        <f>IF($P127="","",IFERROR(IF(INDEX(MASTER!$I$4:$I$1463,$P127)="","",INDEX(MASTER!$I$4:$I$1463,$P127)),""))</f>
        <v/>
      </c>
      <c r="I127" s="15" t="str">
        <f>IF($P127="","",IFERROR(IF(INDEX(MASTER!$J$4:$J$1463,$P127)="","",INDEX(MASTER!$J$4:$J$1463,$P127)),""))</f>
        <v/>
      </c>
      <c r="J127" s="17" t="str">
        <f>IF($P127="","",IFERROR(IF(INDEX(MASTER!$L$4:$L$1463,$P127)="","",INDEX(MASTER!$L$4:$L$1463,$P127)),""))</f>
        <v/>
      </c>
      <c r="K127" s="17" t="str">
        <f>IF($P127="","",IFERROR(IF(INDEX(MASTER!$N$4:$N$1463,$P127)="","",INDEX(MASTER!$N$4:$N$1463,$P127)),""))</f>
        <v/>
      </c>
      <c r="L127" s="15" t="str">
        <f>IF($P127="","",IFERROR(IF(INDEX(MASTER!$O$4:$O$1463,$P127)="","",INDEX(MASTER!$O$4:$O$1463,$P127)),""))</f>
        <v/>
      </c>
      <c r="M127" s="15" t="str">
        <f>IF($P127="","",IFERROR(IF(INDEX(MASTER!$Q$4:$Q$1463,$P127)="","",INDEX(MASTER!$Q$4:$Q$1463,$P127)),""))</f>
        <v/>
      </c>
      <c r="N127" s="15" t="str">
        <f>IF($P127="","",IFERROR(IF(INDEX(MASTER!$S$4:$S$1463,$P127)="","",INDEX(MASTER!$S$4:$S$1463,$P127)),""))</f>
        <v/>
      </c>
      <c r="P127" t="str">
        <f>IFERROR(MATCH($Q$1&amp;"@119",MASTER!$AC$4:$AC$1463,0),"")</f>
        <v/>
      </c>
    </row>
    <row r="128" spans="1:16">
      <c r="A128" s="19" t="str">
        <f>IF($P128="","",120)</f>
        <v/>
      </c>
      <c r="B128" s="18" t="str">
        <f>IF($P128="","",IFERROR(IF(INDEX(MASTER!$C$4:$C$1463,$P128)="","",INDEX(MASTER!$C$4:$C$1463,$P128)),""))</f>
        <v/>
      </c>
      <c r="C128" s="19" t="str">
        <f>IF($P128="","",IFERROR(IF(INDEX(MASTER!$D$4:$D$1463,$P128)="","",INDEX(MASTER!$D$4:$D$1463,$P128)),""))</f>
        <v/>
      </c>
      <c r="D128" s="19" t="str">
        <f>IF($P128="","",IFERROR(IF(INDEX(MASTER!$E$4:$E$1463,$P128)="","",INDEX(MASTER!$E$4:$E$1463,$P128)),""))</f>
        <v/>
      </c>
      <c r="E128" s="19" t="str">
        <f>IF($P128="","",IFERROR(IF(INDEX(MASTER!$F$4:$F$1463,$P128)="","",INDEX(MASTER!$F$4:$F$1463,$P128)),""))</f>
        <v/>
      </c>
      <c r="F128" s="20" t="str">
        <f>IF($P128="","",IFERROR(IF(INDEX(MASTER!$G$4:$G$1463,$P128)="","",INDEX(MASTER!$G$4:$G$1463,$P128)),""))</f>
        <v/>
      </c>
      <c r="G128" s="19" t="str">
        <f>IF($P128="","",IFERROR(IF(INDEX(MASTER!$H$4:$H$1463,$P128)="","",INDEX(MASTER!$H$4:$H$1463,$P128)),""))</f>
        <v/>
      </c>
      <c r="H128" s="20" t="str">
        <f>IF($P128="","",IFERROR(IF(INDEX(MASTER!$I$4:$I$1463,$P128)="","",INDEX(MASTER!$I$4:$I$1463,$P128)),""))</f>
        <v/>
      </c>
      <c r="I128" s="19" t="str">
        <f>IF($P128="","",IFERROR(IF(INDEX(MASTER!$J$4:$J$1463,$P128)="","",INDEX(MASTER!$J$4:$J$1463,$P128)),""))</f>
        <v/>
      </c>
      <c r="J128" s="21" t="str">
        <f>IF($P128="","",IFERROR(IF(INDEX(MASTER!$L$4:$L$1463,$P128)="","",INDEX(MASTER!$L$4:$L$1463,$P128)),""))</f>
        <v/>
      </c>
      <c r="K128" s="21" t="str">
        <f>IF($P128="","",IFERROR(IF(INDEX(MASTER!$N$4:$N$1463,$P128)="","",INDEX(MASTER!$N$4:$N$1463,$P128)),""))</f>
        <v/>
      </c>
      <c r="L128" s="19" t="str">
        <f>IF($P128="","",IFERROR(IF(INDEX(MASTER!$O$4:$O$1463,$P128)="","",INDEX(MASTER!$O$4:$O$1463,$P128)),""))</f>
        <v/>
      </c>
      <c r="M128" s="19" t="str">
        <f>IF($P128="","",IFERROR(IF(INDEX(MASTER!$Q$4:$Q$1463,$P128)="","",INDEX(MASTER!$Q$4:$Q$1463,$P128)),""))</f>
        <v/>
      </c>
      <c r="N128" s="19" t="str">
        <f>IF($P128="","",IFERROR(IF(INDEX(MASTER!$S$4:$S$1463,$P128)="","",INDEX(MASTER!$S$4:$S$1463,$P128)),""))</f>
        <v/>
      </c>
      <c r="P128" t="str">
        <f>IFERROR(MATCH($Q$1&amp;"@120",MASTER!$AC$4:$AC$1463,0),"")</f>
        <v/>
      </c>
    </row>
    <row r="129" spans="1:16">
      <c r="A129" s="15" t="str">
        <f>IF($P129="","",121)</f>
        <v/>
      </c>
      <c r="B129" s="14" t="str">
        <f>IF($P129="","",IFERROR(IF(INDEX(MASTER!$C$4:$C$1463,$P129)="","",INDEX(MASTER!$C$4:$C$1463,$P129)),""))</f>
        <v/>
      </c>
      <c r="C129" s="15" t="str">
        <f>IF($P129="","",IFERROR(IF(INDEX(MASTER!$D$4:$D$1463,$P129)="","",INDEX(MASTER!$D$4:$D$1463,$P129)),""))</f>
        <v/>
      </c>
      <c r="D129" s="15" t="str">
        <f>IF($P129="","",IFERROR(IF(INDEX(MASTER!$E$4:$E$1463,$P129)="","",INDEX(MASTER!$E$4:$E$1463,$P129)),""))</f>
        <v/>
      </c>
      <c r="E129" s="15" t="str">
        <f>IF($P129="","",IFERROR(IF(INDEX(MASTER!$F$4:$F$1463,$P129)="","",INDEX(MASTER!$F$4:$F$1463,$P129)),""))</f>
        <v/>
      </c>
      <c r="F129" s="16" t="str">
        <f>IF($P129="","",IFERROR(IF(INDEX(MASTER!$G$4:$G$1463,$P129)="","",INDEX(MASTER!$G$4:$G$1463,$P129)),""))</f>
        <v/>
      </c>
      <c r="G129" s="15" t="str">
        <f>IF($P129="","",IFERROR(IF(INDEX(MASTER!$H$4:$H$1463,$P129)="","",INDEX(MASTER!$H$4:$H$1463,$P129)),""))</f>
        <v/>
      </c>
      <c r="H129" s="16" t="str">
        <f>IF($P129="","",IFERROR(IF(INDEX(MASTER!$I$4:$I$1463,$P129)="","",INDEX(MASTER!$I$4:$I$1463,$P129)),""))</f>
        <v/>
      </c>
      <c r="I129" s="15" t="str">
        <f>IF($P129="","",IFERROR(IF(INDEX(MASTER!$J$4:$J$1463,$P129)="","",INDEX(MASTER!$J$4:$J$1463,$P129)),""))</f>
        <v/>
      </c>
      <c r="J129" s="17" t="str">
        <f>IF($P129="","",IFERROR(IF(INDEX(MASTER!$L$4:$L$1463,$P129)="","",INDEX(MASTER!$L$4:$L$1463,$P129)),""))</f>
        <v/>
      </c>
      <c r="K129" s="17" t="str">
        <f>IF($P129="","",IFERROR(IF(INDEX(MASTER!$N$4:$N$1463,$P129)="","",INDEX(MASTER!$N$4:$N$1463,$P129)),""))</f>
        <v/>
      </c>
      <c r="L129" s="15" t="str">
        <f>IF($P129="","",IFERROR(IF(INDEX(MASTER!$O$4:$O$1463,$P129)="","",INDEX(MASTER!$O$4:$O$1463,$P129)),""))</f>
        <v/>
      </c>
      <c r="M129" s="15" t="str">
        <f>IF($P129="","",IFERROR(IF(INDEX(MASTER!$Q$4:$Q$1463,$P129)="","",INDEX(MASTER!$Q$4:$Q$1463,$P129)),""))</f>
        <v/>
      </c>
      <c r="N129" s="15" t="str">
        <f>IF($P129="","",IFERROR(IF(INDEX(MASTER!$S$4:$S$1463,$P129)="","",INDEX(MASTER!$S$4:$S$1463,$P129)),""))</f>
        <v/>
      </c>
      <c r="P129" t="str">
        <f>IFERROR(MATCH($Q$1&amp;"@121",MASTER!$AC$4:$AC$1463,0),"")</f>
        <v/>
      </c>
    </row>
    <row r="130" spans="1:16">
      <c r="A130" s="19" t="str">
        <f>IF($P130="","",122)</f>
        <v/>
      </c>
      <c r="B130" s="18" t="str">
        <f>IF($P130="","",IFERROR(IF(INDEX(MASTER!$C$4:$C$1463,$P130)="","",INDEX(MASTER!$C$4:$C$1463,$P130)),""))</f>
        <v/>
      </c>
      <c r="C130" s="19" t="str">
        <f>IF($P130="","",IFERROR(IF(INDEX(MASTER!$D$4:$D$1463,$P130)="","",INDEX(MASTER!$D$4:$D$1463,$P130)),""))</f>
        <v/>
      </c>
      <c r="D130" s="19" t="str">
        <f>IF($P130="","",IFERROR(IF(INDEX(MASTER!$E$4:$E$1463,$P130)="","",INDEX(MASTER!$E$4:$E$1463,$P130)),""))</f>
        <v/>
      </c>
      <c r="E130" s="19" t="str">
        <f>IF($P130="","",IFERROR(IF(INDEX(MASTER!$F$4:$F$1463,$P130)="","",INDEX(MASTER!$F$4:$F$1463,$P130)),""))</f>
        <v/>
      </c>
      <c r="F130" s="20" t="str">
        <f>IF($P130="","",IFERROR(IF(INDEX(MASTER!$G$4:$G$1463,$P130)="","",INDEX(MASTER!$G$4:$G$1463,$P130)),""))</f>
        <v/>
      </c>
      <c r="G130" s="19" t="str">
        <f>IF($P130="","",IFERROR(IF(INDEX(MASTER!$H$4:$H$1463,$P130)="","",INDEX(MASTER!$H$4:$H$1463,$P130)),""))</f>
        <v/>
      </c>
      <c r="H130" s="20" t="str">
        <f>IF($P130="","",IFERROR(IF(INDEX(MASTER!$I$4:$I$1463,$P130)="","",INDEX(MASTER!$I$4:$I$1463,$P130)),""))</f>
        <v/>
      </c>
      <c r="I130" s="19" t="str">
        <f>IF($P130="","",IFERROR(IF(INDEX(MASTER!$J$4:$J$1463,$P130)="","",INDEX(MASTER!$J$4:$J$1463,$P130)),""))</f>
        <v/>
      </c>
      <c r="J130" s="21" t="str">
        <f>IF($P130="","",IFERROR(IF(INDEX(MASTER!$L$4:$L$1463,$P130)="","",INDEX(MASTER!$L$4:$L$1463,$P130)),""))</f>
        <v/>
      </c>
      <c r="K130" s="21" t="str">
        <f>IF($P130="","",IFERROR(IF(INDEX(MASTER!$N$4:$N$1463,$P130)="","",INDEX(MASTER!$N$4:$N$1463,$P130)),""))</f>
        <v/>
      </c>
      <c r="L130" s="19" t="str">
        <f>IF($P130="","",IFERROR(IF(INDEX(MASTER!$O$4:$O$1463,$P130)="","",INDEX(MASTER!$O$4:$O$1463,$P130)),""))</f>
        <v/>
      </c>
      <c r="M130" s="19" t="str">
        <f>IF($P130="","",IFERROR(IF(INDEX(MASTER!$Q$4:$Q$1463,$P130)="","",INDEX(MASTER!$Q$4:$Q$1463,$P130)),""))</f>
        <v/>
      </c>
      <c r="N130" s="19" t="str">
        <f>IF($P130="","",IFERROR(IF(INDEX(MASTER!$S$4:$S$1463,$P130)="","",INDEX(MASTER!$S$4:$S$1463,$P130)),""))</f>
        <v/>
      </c>
      <c r="P130" t="str">
        <f>IFERROR(MATCH($Q$1&amp;"@122",MASTER!$AC$4:$AC$1463,0),"")</f>
        <v/>
      </c>
    </row>
    <row r="131" spans="1:16">
      <c r="A131" s="15" t="str">
        <f>IF($P131="","",123)</f>
        <v/>
      </c>
      <c r="B131" s="14" t="str">
        <f>IF($P131="","",IFERROR(IF(INDEX(MASTER!$C$4:$C$1463,$P131)="","",INDEX(MASTER!$C$4:$C$1463,$P131)),""))</f>
        <v/>
      </c>
      <c r="C131" s="15" t="str">
        <f>IF($P131="","",IFERROR(IF(INDEX(MASTER!$D$4:$D$1463,$P131)="","",INDEX(MASTER!$D$4:$D$1463,$P131)),""))</f>
        <v/>
      </c>
      <c r="D131" s="15" t="str">
        <f>IF($P131="","",IFERROR(IF(INDEX(MASTER!$E$4:$E$1463,$P131)="","",INDEX(MASTER!$E$4:$E$1463,$P131)),""))</f>
        <v/>
      </c>
      <c r="E131" s="15" t="str">
        <f>IF($P131="","",IFERROR(IF(INDEX(MASTER!$F$4:$F$1463,$P131)="","",INDEX(MASTER!$F$4:$F$1463,$P131)),""))</f>
        <v/>
      </c>
      <c r="F131" s="16" t="str">
        <f>IF($P131="","",IFERROR(IF(INDEX(MASTER!$G$4:$G$1463,$P131)="","",INDEX(MASTER!$G$4:$G$1463,$P131)),""))</f>
        <v/>
      </c>
      <c r="G131" s="15" t="str">
        <f>IF($P131="","",IFERROR(IF(INDEX(MASTER!$H$4:$H$1463,$P131)="","",INDEX(MASTER!$H$4:$H$1463,$P131)),""))</f>
        <v/>
      </c>
      <c r="H131" s="16" t="str">
        <f>IF($P131="","",IFERROR(IF(INDEX(MASTER!$I$4:$I$1463,$P131)="","",INDEX(MASTER!$I$4:$I$1463,$P131)),""))</f>
        <v/>
      </c>
      <c r="I131" s="15" t="str">
        <f>IF($P131="","",IFERROR(IF(INDEX(MASTER!$J$4:$J$1463,$P131)="","",INDEX(MASTER!$J$4:$J$1463,$P131)),""))</f>
        <v/>
      </c>
      <c r="J131" s="17" t="str">
        <f>IF($P131="","",IFERROR(IF(INDEX(MASTER!$L$4:$L$1463,$P131)="","",INDEX(MASTER!$L$4:$L$1463,$P131)),""))</f>
        <v/>
      </c>
      <c r="K131" s="17" t="str">
        <f>IF($P131="","",IFERROR(IF(INDEX(MASTER!$N$4:$N$1463,$P131)="","",INDEX(MASTER!$N$4:$N$1463,$P131)),""))</f>
        <v/>
      </c>
      <c r="L131" s="15" t="str">
        <f>IF($P131="","",IFERROR(IF(INDEX(MASTER!$O$4:$O$1463,$P131)="","",INDEX(MASTER!$O$4:$O$1463,$P131)),""))</f>
        <v/>
      </c>
      <c r="M131" s="15" t="str">
        <f>IF($P131="","",IFERROR(IF(INDEX(MASTER!$Q$4:$Q$1463,$P131)="","",INDEX(MASTER!$Q$4:$Q$1463,$P131)),""))</f>
        <v/>
      </c>
      <c r="N131" s="15" t="str">
        <f>IF($P131="","",IFERROR(IF(INDEX(MASTER!$S$4:$S$1463,$P131)="","",INDEX(MASTER!$S$4:$S$1463,$P131)),""))</f>
        <v/>
      </c>
      <c r="P131" t="str">
        <f>IFERROR(MATCH($Q$1&amp;"@123",MASTER!$AC$4:$AC$1463,0),"")</f>
        <v/>
      </c>
    </row>
    <row r="134" spans="1:16" ht="19.5" customHeight="1">
      <c r="B134" s="91" t="s">
        <v>488</v>
      </c>
      <c r="C134" s="91"/>
      <c r="D134" s="91"/>
      <c r="E134" s="91"/>
      <c r="F134" s="91"/>
      <c r="G134" s="91"/>
    </row>
    <row r="135" spans="1:16" ht="27.75" customHeight="1">
      <c r="B135" s="108" t="s">
        <v>68</v>
      </c>
      <c r="C135" s="108"/>
      <c r="D135" s="13" t="s">
        <v>69</v>
      </c>
      <c r="E135" s="13" t="s">
        <v>64</v>
      </c>
      <c r="F135" s="13" t="s">
        <v>50</v>
      </c>
      <c r="G135" s="13" t="s">
        <v>51</v>
      </c>
    </row>
    <row r="136" spans="1:16">
      <c r="B136" s="105" t="s">
        <v>71</v>
      </c>
      <c r="C136" s="105"/>
      <c r="D136" s="20" t="str">
        <f>IFERROR(INDEX(SETUP!$B$55:$B$64,MATCH($B136,SETUP!$A$55:$A$64,0)),"-")</f>
        <v>Frontline</v>
      </c>
      <c r="E136" s="20">
        <f>COUNTIFS(MASTER!$B:$B,$Q$1,MASTER!$E:$E,$B136)</f>
        <v>18</v>
      </c>
      <c r="F136" s="20">
        <f>IFERROR(ROUND(AVERAGEIFS(MASTER!$I:$I,MASTER!$B:$B,$Q$1,MASTER!$E:$E,$B136),0),"-")</f>
        <v>2027</v>
      </c>
      <c r="G136" s="20">
        <f>IF($E136=0,"-",IFERROR(_xlfn.MAXIFS(MASTER!$I:$I,MASTER!$B:$B,$Q$1,MASTER!$E:$E,$B136),"-"))</f>
        <v>7277</v>
      </c>
    </row>
    <row r="137" spans="1:16">
      <c r="B137" s="106" t="s">
        <v>72</v>
      </c>
      <c r="C137" s="106"/>
      <c r="D137" s="16" t="str">
        <f>IFERROR(INDEX(SETUP!$B$55:$B$64,MATCH($B137,SETUP!$A$55:$A$64,0)),"-")</f>
        <v>Frontline</v>
      </c>
      <c r="E137" s="16">
        <f>COUNTIFS(MASTER!$B:$B,$Q$1,MASTER!$E:$E,$B137)</f>
        <v>2</v>
      </c>
      <c r="F137" s="16">
        <f>IFERROR(ROUND(AVERAGEIFS(MASTER!$I:$I,MASTER!$B:$B,$Q$1,MASTER!$E:$E,$B137),0),"-")</f>
        <v>3442</v>
      </c>
      <c r="G137" s="16">
        <f>IF($E137=0,"-",IFERROR(_xlfn.MAXIFS(MASTER!$I:$I,MASTER!$B:$B,$Q$1,MASTER!$E:$E,$B137),"-"))</f>
        <v>4593</v>
      </c>
    </row>
    <row r="138" spans="1:16">
      <c r="B138" s="105" t="s">
        <v>73</v>
      </c>
      <c r="C138" s="105"/>
      <c r="D138" s="20" t="str">
        <f>IFERROR(INDEX(SETUP!$B$55:$B$64,MATCH($B138,SETUP!$A$55:$A$64,0)),"-")</f>
        <v>Frontline</v>
      </c>
      <c r="E138" s="20">
        <f>COUNTIFS(MASTER!$B:$B,$Q$1,MASTER!$E:$E,$B138)</f>
        <v>7</v>
      </c>
      <c r="F138" s="20">
        <f>IFERROR(ROUND(AVERAGEIFS(MASTER!$I:$I,MASTER!$B:$B,$Q$1,MASTER!$E:$E,$B138),0),"-")</f>
        <v>1633</v>
      </c>
      <c r="G138" s="20">
        <f>IF($E138=0,"-",IFERROR(_xlfn.MAXIFS(MASTER!$I:$I,MASTER!$B:$B,$Q$1,MASTER!$E:$E,$B138),"-"))</f>
        <v>2529</v>
      </c>
    </row>
    <row r="139" spans="1:16">
      <c r="B139" s="106" t="s">
        <v>74</v>
      </c>
      <c r="C139" s="106"/>
      <c r="D139" s="16" t="str">
        <f>IFERROR(INDEX(SETUP!$B$55:$B$64,MATCH($B139,SETUP!$A$55:$A$64,0)),"-")</f>
        <v>Ranged DPS</v>
      </c>
      <c r="E139" s="16">
        <f>COUNTIFS(MASTER!$B:$B,$Q$1,MASTER!$E:$E,$B139)</f>
        <v>16</v>
      </c>
      <c r="F139" s="16">
        <f>IFERROR(ROUND(AVERAGEIFS(MASTER!$I:$I,MASTER!$B:$B,$Q$1,MASTER!$E:$E,$B139),0),"-")</f>
        <v>1888</v>
      </c>
      <c r="G139" s="16">
        <f>IF($E139=0,"-",IFERROR(_xlfn.MAXIFS(MASTER!$I:$I,MASTER!$B:$B,$Q$1,MASTER!$E:$E,$B139),"-"))</f>
        <v>3762</v>
      </c>
    </row>
    <row r="140" spans="1:16">
      <c r="B140" s="105" t="s">
        <v>75</v>
      </c>
      <c r="C140" s="105"/>
      <c r="D140" s="20" t="str">
        <f>IFERROR(INDEX(SETUP!$B$55:$B$64,MATCH($B140,SETUP!$A$55:$A$64,0)),"-")</f>
        <v>Support</v>
      </c>
      <c r="E140" s="20">
        <f>COUNTIFS(MASTER!$B:$B,$Q$1,MASTER!$E:$E,$B140)</f>
        <v>5</v>
      </c>
      <c r="F140" s="20">
        <f>IFERROR(ROUND(AVERAGEIFS(MASTER!$I:$I,MASTER!$B:$B,$Q$1,MASTER!$E:$E,$B140),0),"-")</f>
        <v>2980</v>
      </c>
      <c r="G140" s="20">
        <f>IF($E140=0,"-",IFERROR(_xlfn.MAXIFS(MASTER!$I:$I,MASTER!$B:$B,$Q$1,MASTER!$E:$E,$B140),"-"))</f>
        <v>8652</v>
      </c>
    </row>
    <row r="141" spans="1:16">
      <c r="B141" s="106" t="s">
        <v>76</v>
      </c>
      <c r="C141" s="106"/>
      <c r="D141" s="16" t="str">
        <f>IFERROR(INDEX(SETUP!$B$55:$B$64,MATCH($B141,SETUP!$A$55:$A$64,0)),"-")</f>
        <v>Support</v>
      </c>
      <c r="E141" s="16">
        <f>COUNTIFS(MASTER!$B:$B,$Q$1,MASTER!$E:$E,$B141)</f>
        <v>3</v>
      </c>
      <c r="F141" s="16">
        <f>IFERROR(ROUND(AVERAGEIFS(MASTER!$I:$I,MASTER!$B:$B,$Q$1,MASTER!$E:$E,$B141),0),"-")</f>
        <v>4748</v>
      </c>
      <c r="G141" s="16">
        <f>IF($E141=0,"-",IFERROR(_xlfn.MAXIFS(MASTER!$I:$I,MASTER!$B:$B,$Q$1,MASTER!$E:$E,$B141),"-"))</f>
        <v>8150</v>
      </c>
    </row>
    <row r="142" spans="1:16">
      <c r="B142" s="105" t="s">
        <v>77</v>
      </c>
      <c r="C142" s="105"/>
      <c r="D142" s="20" t="str">
        <f>IFERROR(INDEX(SETUP!$B$55:$B$64,MATCH($B142,SETUP!$A$55:$A$64,0)),"-")</f>
        <v>Control</v>
      </c>
      <c r="E142" s="20">
        <f>COUNTIFS(MASTER!$B:$B,$Q$1,MASTER!$E:$E,$B142)</f>
        <v>5</v>
      </c>
      <c r="F142" s="20">
        <f>IFERROR(ROUND(AVERAGEIFS(MASTER!$I:$I,MASTER!$B:$B,$Q$1,MASTER!$E:$E,$B142),0),"-")</f>
        <v>2023</v>
      </c>
      <c r="G142" s="20">
        <f>IF($E142=0,"-",IFERROR(_xlfn.MAXIFS(MASTER!$I:$I,MASTER!$B:$B,$Q$1,MASTER!$E:$E,$B142),"-"))</f>
        <v>3654</v>
      </c>
    </row>
    <row r="143" spans="1:16">
      <c r="B143" s="106" t="s">
        <v>78</v>
      </c>
      <c r="C143" s="106"/>
      <c r="D143" s="16" t="str">
        <f>IFERROR(INDEX(SETUP!$B$55:$B$64,MATCH($B143,SETUP!$A$55:$A$64,0)),"-")</f>
        <v>Melee DPS</v>
      </c>
      <c r="E143" s="16">
        <f>COUNTIFS(MASTER!$B:$B,$Q$1,MASTER!$E:$E,$B143)</f>
        <v>8</v>
      </c>
      <c r="F143" s="16">
        <f>IFERROR(ROUND(AVERAGEIFS(MASTER!$I:$I,MASTER!$B:$B,$Q$1,MASTER!$E:$E,$B143),0),"-")</f>
        <v>1469</v>
      </c>
      <c r="G143" s="16">
        <f>IF($E143=0,"-",IFERROR(_xlfn.MAXIFS(MASTER!$I:$I,MASTER!$B:$B,$Q$1,MASTER!$E:$E,$B143),"-"))</f>
        <v>2580</v>
      </c>
    </row>
    <row r="144" spans="1:16">
      <c r="B144" s="105" t="s">
        <v>79</v>
      </c>
      <c r="C144" s="105"/>
      <c r="D144" s="20" t="str">
        <f>IFERROR(INDEX(SETUP!$B$55:$B$64,MATCH($B144,SETUP!$A$55:$A$64,0)),"-")</f>
        <v>Control</v>
      </c>
      <c r="E144" s="20">
        <f>COUNTIFS(MASTER!$B:$B,$Q$1,MASTER!$E:$E,$B144)</f>
        <v>28</v>
      </c>
      <c r="F144" s="20">
        <f>IFERROR(ROUND(AVERAGEIFS(MASTER!$I:$I,MASTER!$B:$B,$Q$1,MASTER!$E:$E,$B144),0),"-")</f>
        <v>1907</v>
      </c>
      <c r="G144" s="20">
        <f>IF($E144=0,"-",IFERROR(_xlfn.MAXIFS(MASTER!$I:$I,MASTER!$B:$B,$Q$1,MASTER!$E:$E,$B144),"-"))</f>
        <v>4749</v>
      </c>
    </row>
    <row r="145" spans="2:7">
      <c r="B145" s="106" t="s">
        <v>80</v>
      </c>
      <c r="C145" s="106"/>
      <c r="D145" s="16" t="str">
        <f>IFERROR(INDEX(SETUP!$B$55:$B$64,MATCH($B145,SETUP!$A$55:$A$64,0)),"-")</f>
        <v>Ranged DPS</v>
      </c>
      <c r="E145" s="16">
        <f>COUNTIFS(MASTER!$B:$B,$Q$1,MASTER!$E:$E,$B145)</f>
        <v>6</v>
      </c>
      <c r="F145" s="16">
        <f>IFERROR(ROUND(AVERAGEIFS(MASTER!$I:$I,MASTER!$B:$B,$Q$1,MASTER!$E:$E,$B145),0),"-")</f>
        <v>2724</v>
      </c>
      <c r="G145" s="16">
        <f>IF($E145=0,"-",IFERROR(_xlfn.MAXIFS(MASTER!$I:$I,MASTER!$B:$B,$Q$1,MASTER!$E:$E,$B145),"-"))</f>
        <v>6533</v>
      </c>
    </row>
  </sheetData>
  <autoFilter ref="A8:N131" xr:uid="{00000000-0009-0000-0000-000016000000}"/>
  <mergeCells count="29">
    <mergeCell ref="A1:N1"/>
    <mergeCell ref="A2:N2"/>
    <mergeCell ref="A4:B4"/>
    <mergeCell ref="C4:D4"/>
    <mergeCell ref="E4:F4"/>
    <mergeCell ref="G4:H4"/>
    <mergeCell ref="I4:J4"/>
    <mergeCell ref="K4:L4"/>
    <mergeCell ref="M4:N4"/>
    <mergeCell ref="K5:L5"/>
    <mergeCell ref="M5:N5"/>
    <mergeCell ref="A7:N7"/>
    <mergeCell ref="B134:G134"/>
    <mergeCell ref="B135:C135"/>
    <mergeCell ref="A5:B5"/>
    <mergeCell ref="C5:D5"/>
    <mergeCell ref="E5:F5"/>
    <mergeCell ref="G5:H5"/>
    <mergeCell ref="I5:J5"/>
    <mergeCell ref="B136:C136"/>
    <mergeCell ref="B137:C137"/>
    <mergeCell ref="B138:C138"/>
    <mergeCell ref="B139:C139"/>
    <mergeCell ref="B140:C140"/>
    <mergeCell ref="B141:C141"/>
    <mergeCell ref="B142:C142"/>
    <mergeCell ref="B143:C143"/>
    <mergeCell ref="B144:C144"/>
    <mergeCell ref="B145:C145"/>
  </mergeCells>
  <conditionalFormatting sqref="H9:H131">
    <cfRule type="colorScale" priority="2">
      <colorScale>
        <cfvo type="num" val="0"/>
        <cfvo type="num" val="5000"/>
        <cfvo type="num" val="12600"/>
        <color rgb="FFF8CBAD"/>
        <color rgb="FFFFE699"/>
        <color rgb="FFA9D08E"/>
      </colorScale>
    </cfRule>
  </conditionalFormatting>
  <conditionalFormatting sqref="N9:N131">
    <cfRule type="cellIs" dxfId="2" priority="3" operator="equal">
      <formula>"Name only"</formula>
    </cfRule>
  </conditionalFormatting>
  <printOptions horizontalCentered="1"/>
  <pageMargins left="0.75" right="0.75" top="1" bottom="1" header="0.511811023622047" footer="0.511811023622047"/>
  <pageSetup fitToHeight="0" orientation="landscape" horizontalDpi="300" verticalDpi="300"/>
  <ignoredErrors>
    <ignoredError sqref="A1:Q145" evalError="1" twoDigitTextYear="1" numberStoredAsText="1" formula="1" formulaRange="1" unlockedFormula="1" emptyCellReference="1" listDataValidation="1" calculatedColumn="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filterMode="1">
    <tabColor rgb="FFBF8F00"/>
    <pageSetUpPr fitToPage="1"/>
  </sheetPr>
  <dimension ref="A1:AI1463"/>
  <sheetViews>
    <sheetView zoomScaleNormal="100" workbookViewId="0">
      <pane xSplit="3" ySplit="3" topLeftCell="D779" activePane="bottomRight" state="frozen"/>
      <selection pane="topRight" activeCell="D1" sqref="D1"/>
      <selection pane="bottomLeft" activeCell="A4" sqref="A4"/>
      <selection pane="bottomRight" activeCell="C1225" sqref="C1225"/>
    </sheetView>
  </sheetViews>
  <sheetFormatPr defaultColWidth="8.7109375" defaultRowHeight="15"/>
  <cols>
    <col min="1" max="1" width="12.42578125" customWidth="1"/>
    <col min="2" max="2" width="20.42578125" customWidth="1"/>
    <col min="3" max="3" width="26" customWidth="1"/>
    <col min="4" max="4" width="10" customWidth="1"/>
    <col min="5" max="5" width="15" customWidth="1"/>
    <col min="6" max="6" width="12" customWidth="1"/>
    <col min="7" max="7" width="11" customWidth="1"/>
    <col min="8" max="8" width="16" customWidth="1"/>
    <col min="9" max="9" width="10" customWidth="1"/>
    <col min="10" max="10" width="13" customWidth="1"/>
    <col min="11" max="11" width="15" customWidth="1"/>
    <col min="12" max="12" width="11" customWidth="1"/>
    <col min="13" max="13" width="13" customWidth="1"/>
    <col min="14" max="14" width="9" customWidth="1"/>
    <col min="15" max="15" width="8" customWidth="1"/>
    <col min="16" max="16" width="10" customWidth="1"/>
    <col min="17" max="17" width="9" customWidth="1"/>
    <col min="18" max="18" width="8" customWidth="1"/>
    <col min="19" max="19" width="13" customWidth="1"/>
    <col min="20" max="20" width="24" customWidth="1"/>
    <col min="21" max="21" width="20" customWidth="1"/>
    <col min="22" max="22" width="16" customWidth="1"/>
    <col min="23" max="23" width="14" customWidth="1"/>
    <col min="24" max="24" width="9" hidden="1" customWidth="1"/>
    <col min="25" max="25" width="14" hidden="1" customWidth="1"/>
    <col min="26" max="27" width="9" hidden="1" customWidth="1"/>
    <col min="28" max="28" width="12" hidden="1" customWidth="1"/>
    <col min="29" max="29" width="14" hidden="1" customWidth="1"/>
    <col min="30" max="30" width="10" hidden="1" customWidth="1"/>
    <col min="31" max="31" width="22" hidden="1" customWidth="1"/>
    <col min="32" max="33" width="9" hidden="1" customWidth="1"/>
    <col min="34" max="35" width="14" hidden="1" customWidth="1"/>
  </cols>
  <sheetData>
    <row r="1" spans="1:35" ht="30" customHeight="1">
      <c r="A1" s="92" t="s">
        <v>502</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row>
    <row r="2" spans="1:35" ht="15.75" customHeight="1">
      <c r="A2" s="93" t="s">
        <v>503</v>
      </c>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row>
    <row r="3" spans="1:35" ht="27.75" customHeight="1">
      <c r="A3" s="13" t="s">
        <v>45</v>
      </c>
      <c r="B3" s="13" t="s">
        <v>44</v>
      </c>
      <c r="C3" s="13" t="s">
        <v>128</v>
      </c>
      <c r="D3" s="13" t="s">
        <v>504</v>
      </c>
      <c r="E3" s="13" t="s">
        <v>68</v>
      </c>
      <c r="F3" s="13" t="s">
        <v>69</v>
      </c>
      <c r="G3" s="13" t="s">
        <v>483</v>
      </c>
      <c r="H3" s="13" t="s">
        <v>484</v>
      </c>
      <c r="I3" s="13" t="s">
        <v>129</v>
      </c>
      <c r="J3" s="13" t="s">
        <v>278</v>
      </c>
      <c r="K3" s="13" t="s">
        <v>505</v>
      </c>
      <c r="L3" s="13" t="s">
        <v>506</v>
      </c>
      <c r="M3" s="13" t="s">
        <v>507</v>
      </c>
      <c r="N3" s="13" t="s">
        <v>486</v>
      </c>
      <c r="O3" s="13" t="s">
        <v>133</v>
      </c>
      <c r="P3" s="13" t="s">
        <v>508</v>
      </c>
      <c r="Q3" s="13" t="s">
        <v>509</v>
      </c>
      <c r="R3" s="13" t="s">
        <v>510</v>
      </c>
      <c r="S3" s="13" t="s">
        <v>511</v>
      </c>
      <c r="T3" s="13" t="s">
        <v>512</v>
      </c>
      <c r="U3" s="13" t="s">
        <v>255</v>
      </c>
      <c r="V3" s="13" t="s">
        <v>194</v>
      </c>
      <c r="W3" s="13" t="s">
        <v>513</v>
      </c>
      <c r="X3" s="13" t="s">
        <v>514</v>
      </c>
      <c r="Y3" s="13" t="s">
        <v>515</v>
      </c>
      <c r="Z3" s="13" t="s">
        <v>516</v>
      </c>
      <c r="AA3" s="13" t="s">
        <v>517</v>
      </c>
      <c r="AB3" s="13" t="s">
        <v>518</v>
      </c>
      <c r="AC3" s="13" t="s">
        <v>519</v>
      </c>
      <c r="AD3" s="13" t="s">
        <v>520</v>
      </c>
      <c r="AE3" s="13" t="s">
        <v>521</v>
      </c>
      <c r="AF3" s="13" t="s">
        <v>522</v>
      </c>
      <c r="AG3" s="13" t="s">
        <v>523</v>
      </c>
      <c r="AH3" s="13" t="s">
        <v>524</v>
      </c>
      <c r="AI3" s="13" t="s">
        <v>525</v>
      </c>
    </row>
    <row r="4" spans="1:35" hidden="1">
      <c r="A4" s="69" t="s">
        <v>109</v>
      </c>
      <c r="B4" s="69" t="s">
        <v>111</v>
      </c>
      <c r="C4" s="63" t="s">
        <v>526</v>
      </c>
      <c r="D4" s="69" t="s">
        <v>527</v>
      </c>
      <c r="E4" s="68" t="s">
        <v>79</v>
      </c>
      <c r="F4" s="15" t="str">
        <f>IF($C4="","",IF($E4="","-",IFERROR(INDEX(SETUP!$B$55:$B$64,MATCH($E4,SETUP!$A$55:$A$64,0)),"Other")))</f>
        <v>Control</v>
      </c>
      <c r="G4" s="70">
        <v>62578</v>
      </c>
      <c r="H4" s="15" t="str">
        <f>IF($C4="","",IF($G4="","-",INDEX(SETUP!$B$26:$B$32,MATCH($G4,SETUP!$A$26:$A$32,1))))</f>
        <v>62,000 - 62,999</v>
      </c>
      <c r="I4" s="70">
        <v>3877</v>
      </c>
      <c r="J4" s="15" t="str">
        <f>IF($C4="","",IF($I4="","-",INDEX(SETUP!$B$16:$B$22,MATCH($I4,SETUP!$A$16:$A$22,1))))</f>
        <v>DEVELOPING</v>
      </c>
      <c r="K4" s="15" t="str">
        <f t="shared" ref="K4:K67" si="0">IF($C4="","",IF($I4="","-",TEXT(INT($I4/1000)*1000,"#,##0")&amp;" - "&amp;TEXT(INT($I4/1000)*1000+999,"#,##0")))</f>
        <v>3,000 - 3,999</v>
      </c>
      <c r="L4" s="71">
        <v>4.5</v>
      </c>
      <c r="M4" s="15" t="str">
        <f>IF($C4="","",IF($L4="","-",INDEX(SETUP!$B$36:$B$42,MATCH($L4,SETUP!$A$36:$A$42,1))))</f>
        <v>4k - 5k</v>
      </c>
      <c r="N4" s="17">
        <f>IF($C4="","",IF(OR($G4="",$I4=""),"",ROUND(100*(SETUP!$B$4*MIN(1,$I4/SETUP!$B$9)+SETUP!$B$5*MAX(0,MIN(1,($G4-SETUP!$B$10)/(SETUP!$B$11-SETUP!$B$10)))+SETUP!$B$6*MIN(1,IF($L4="",0,$L4)/SETUP!$B$12)),1)))</f>
        <v>44.4</v>
      </c>
      <c r="O4" s="15" t="str">
        <f>IF($C4="","",IF($N4="","-",INDEX(SETUP!$B$46:$B$51,MATCH($N4,SETUP!$A$46:$A$51,1))))</f>
        <v>B</v>
      </c>
      <c r="P4" s="15">
        <f>IF($C4="","",IF($I4="","",RANK($I4,$I$4:$I$1463)+COUNTIF($I$4:$I4,$I4)-1))</f>
        <v>627</v>
      </c>
      <c r="Q4" s="15">
        <f>IF($C4="","",COUNTIFS($B$4:$B$1463,$B4,$X$4:$X$1463,"&gt;"&amp;$X4)+COUNTIFS($B$4:$B4,$B4,$X$4:$X4,"="&amp;$X4))</f>
        <v>68</v>
      </c>
      <c r="R4" s="72">
        <f>IF($C4="","",IF($I4="","",ROUND(COUNTIF($I$4:$I$1463,"&lt;"&amp;$I4)/COUNT($I$4:$I$1463),3)))</f>
        <v>0.52600000000000002</v>
      </c>
      <c r="S4" s="15" t="str">
        <f t="shared" ref="S4:S67" si="1">IF($C4="","",IF($G4="","Name only",IF(OR($I4="",$L4=""),"Partial","Complete")))</f>
        <v>Complete</v>
      </c>
      <c r="T4" s="41" t="str">
        <f>IF($C4="","",TRIM(IF(COUNTIF($C$4:$C$1463,$C4)&gt;1,"Dup name; ","")&amp;IF(AND($G4&lt;&gt;"",$G4&lt;55000),"Low CR - verify; ","")&amp;IF(AND($L4&lt;&gt;"",$L4&gt;15),"Secondary - verify; ","")&amp;IF($E4="","No class; ","")))</f>
        <v/>
      </c>
      <c r="U4" s="68"/>
      <c r="V4" s="68"/>
      <c r="W4" s="68"/>
      <c r="X4" s="73">
        <f t="shared" ref="X4:X67" si="2">IF($C4="","",IF($I4="",-1,$I4))</f>
        <v>3877</v>
      </c>
      <c r="Y4" s="41" t="str">
        <f t="shared" ref="Y4:Y67" si="3">IF($C4="","",$B4&amp;"|"&amp;$Q4)</f>
        <v>RECKONING|68</v>
      </c>
      <c r="Z4" s="15">
        <f>IF($C4="","",IF($G4="","",RANK($G4,$G$4:$G$1463)+COUNTIF($G$4:$G4,$G4)-1))</f>
        <v>619</v>
      </c>
      <c r="AA4" s="15">
        <f>IF($C4="","",IF($N4="","",RANK($N4,$N$4:$N$1463)+COUNTIF($N$4:$N4,$N4)-1))</f>
        <v>644</v>
      </c>
      <c r="AB4" s="41" t="str">
        <f>IF($C4="","",IF($E4="","",$E4&amp;"#"&amp;(COUNTIFS($E$4:$E$1463,$E4,$X$4:$X$1463,"&gt;"&amp;$X4)+COUNTIFS($E$4:$E4,$E4,$X$4:$X4,"="&amp;$X4))))</f>
        <v>WARLOCK#148</v>
      </c>
      <c r="AC4" s="41" t="str">
        <f>IF($C4="","",$B4&amp;"@"&amp;(COUNTIFS($B$4:$B$1463,$B4,$C$4:$C$1463,"&lt;"&amp;$C4)+COUNTIFS($B$4:$B4,$B4,$C$4:$C4,$C4)))</f>
        <v>RECKONING@1</v>
      </c>
      <c r="AD4" s="41">
        <f t="shared" ref="AD4:AD67" si="4">IF($C4="","",ROW()-4+1)</f>
        <v>1</v>
      </c>
      <c r="AE4" s="41" t="s">
        <v>528</v>
      </c>
      <c r="AF4" s="73">
        <f t="shared" ref="AF4:AF67" si="5">IF($C4="","",IF($G4="",-1,$G4))</f>
        <v>62578</v>
      </c>
      <c r="AG4" s="74">
        <f t="shared" ref="AG4:AG67" si="6">IF($C4="","",IF($L4="",-1,$L4))</f>
        <v>4.5</v>
      </c>
      <c r="AH4" s="41" t="str">
        <f>IF($C4="","",$B4&amp;"|"&amp;(COUNTIFS($B$4:$B$1463,$B4,$AF$4:$AF$1463,"&gt;"&amp;$AF4)+COUNTIFS($B$4:$B4,$B4,$AF$4:$AF4,"="&amp;$AF4)))</f>
        <v>RECKONING|57</v>
      </c>
      <c r="AI4" s="41" t="str">
        <f>IF($C4="","",$B4&amp;"|"&amp;(COUNTIFS($B$4:$B$1463,$B4,$AG$4:$AG$1463,"&gt;"&amp;$AG4)+COUNTIFS($B$4:$B4,$B4,$AG$4:$AG4,"="&amp;$AG4)))</f>
        <v>RECKONING|81</v>
      </c>
    </row>
    <row r="5" spans="1:35" hidden="1">
      <c r="A5" s="69" t="s">
        <v>109</v>
      </c>
      <c r="B5" s="69" t="s">
        <v>116</v>
      </c>
      <c r="C5" s="63" t="s">
        <v>529</v>
      </c>
      <c r="D5" s="69" t="s">
        <v>530</v>
      </c>
      <c r="E5" s="68" t="s">
        <v>75</v>
      </c>
      <c r="F5" s="19" t="str">
        <f>IF($C5="","",IF($E5="","-",IFERROR(INDEX(SETUP!$B$55:$B$64,MATCH($E5,SETUP!$A$55:$A$64,0)),"Other")))</f>
        <v>Support</v>
      </c>
      <c r="G5" s="70">
        <v>62044</v>
      </c>
      <c r="H5" s="19" t="str">
        <f>IF($C5="","",IF($G5="","-",INDEX(SETUP!$B$26:$B$32,MATCH($G5,SETUP!$A$26:$A$32,1))))</f>
        <v>62,000 - 62,999</v>
      </c>
      <c r="I5" s="70">
        <v>2678</v>
      </c>
      <c r="J5" s="19" t="str">
        <f>IF($C5="","",IF($I5="","-",INDEX(SETUP!$B$16:$B$22,MATCH($I5,SETUP!$A$16:$A$22,1))))</f>
        <v>DEVELOPING</v>
      </c>
      <c r="K5" s="19" t="str">
        <f t="shared" si="0"/>
        <v>2,000 - 2,999</v>
      </c>
      <c r="L5" s="71">
        <v>3.8</v>
      </c>
      <c r="M5" s="19" t="str">
        <f>IF($C5="","",IF($L5="","-",INDEX(SETUP!$B$36:$B$42,MATCH($L5,SETUP!$A$36:$A$42,1))))</f>
        <v>3k - 4k</v>
      </c>
      <c r="N5" s="21">
        <f>IF($C5="","",IF(OR($G5="",$I5=""),"",ROUND(100*(SETUP!$B$4*MIN(1,$I5/SETUP!$B$9)+SETUP!$B$5*MAX(0,MIN(1,($G5-SETUP!$B$10)/(SETUP!$B$11-SETUP!$B$10)))+SETUP!$B$6*MIN(1,IF($L5="",0,$L5)/SETUP!$B$12)),1)))</f>
        <v>36.6</v>
      </c>
      <c r="O5" s="19" t="str">
        <f>IF($C5="","",IF($N5="","-",INDEX(SETUP!$B$46:$B$51,MATCH($N5,SETUP!$A$46:$A$51,1))))</f>
        <v>B</v>
      </c>
      <c r="P5" s="19">
        <f>IF($C5="","",IF($I5="","",RANK($I5,$I$4:$I$1463)+COUNTIF($I$4:$I5,$I5)-1))</f>
        <v>959</v>
      </c>
      <c r="Q5" s="19">
        <f>IF($C5="","",COUNTIFS($B$4:$B$1463,$B5,$X$4:$X$1463,"&gt;"&amp;$X5)+COUNTIFS($B$4:$B5,$B5,$X$4:$X5,"="&amp;$X5))</f>
        <v>66</v>
      </c>
      <c r="R5" s="75">
        <f>IF($C5="","",IF($I5="","",ROUND(COUNTIF($I$4:$I$1463,"&lt;"&amp;$I5)/COUNT($I$4:$I$1463),3)))</f>
        <v>0.27600000000000002</v>
      </c>
      <c r="S5" s="19" t="str">
        <f t="shared" si="1"/>
        <v>Complete</v>
      </c>
      <c r="T5" s="1" t="str">
        <f>IF($C5="","",TRIM(IF(COUNTIF($C$4:$C$1463,$C5)&gt;1,"Dup name; ","")&amp;IF(AND($G5&lt;&gt;"",$G5&lt;55000),"Low CR - verify; ","")&amp;IF(AND($L5&lt;&gt;"",$L5&gt;15),"Secondary - verify; ","")&amp;IF($E5="","No class; ","")))</f>
        <v/>
      </c>
      <c r="U5" s="68"/>
      <c r="V5" s="68"/>
      <c r="W5" s="68"/>
      <c r="X5" s="76">
        <f t="shared" si="2"/>
        <v>2678</v>
      </c>
      <c r="Y5" s="1" t="str">
        <f t="shared" si="3"/>
        <v>VENGEANCE|66</v>
      </c>
      <c r="Z5" s="19">
        <f>IF($C5="","",IF($G5="","",RANK($G5,$G$4:$G$1463)+COUNTIF($G$4:$G5,$G5)-1))</f>
        <v>819</v>
      </c>
      <c r="AA5" s="19">
        <f>IF($C5="","",IF($N5="","",RANK($N5,$N$4:$N$1463)+COUNTIF($N$4:$N5,$N5)-1))</f>
        <v>941</v>
      </c>
      <c r="AB5" s="1" t="str">
        <f>IF($C5="","",IF($E5="","",$E5&amp;"#"&amp;(COUNTIFS($E$4:$E$1463,$E5,$X$4:$X$1463,"&gt;"&amp;$X5)+COUNTIFS($E$4:$E5,$E5,$X$4:$X5,"="&amp;$X5))))</f>
        <v>DRUID#44</v>
      </c>
      <c r="AC5" s="1" t="str">
        <f>IF($C5="","",$B5&amp;"@"&amp;(COUNTIFS($B$4:$B$1463,$B5,$C$4:$C$1463,"&lt;"&amp;$C5)+COUNTIFS($B$4:$B5,$B5,$C$4:$C5,$C5)))</f>
        <v>VENGEANCE@1</v>
      </c>
      <c r="AD5" s="1">
        <f t="shared" si="4"/>
        <v>2</v>
      </c>
      <c r="AE5" s="1" t="s">
        <v>531</v>
      </c>
      <c r="AF5" s="76">
        <f t="shared" si="5"/>
        <v>62044</v>
      </c>
      <c r="AG5" s="77">
        <f t="shared" si="6"/>
        <v>3.8</v>
      </c>
      <c r="AH5" s="1" t="str">
        <f>IF($C5="","",$B5&amp;"|"&amp;(COUNTIFS($B$4:$B$1463,$B5,$AF$4:$AF$1463,"&gt;"&amp;$AF5)+COUNTIFS($B$4:$B5,$B5,$AF$4:$AF5,"="&amp;$AF5)))</f>
        <v>VENGEANCE|47</v>
      </c>
      <c r="AI5" s="1" t="str">
        <f>IF($C5="","",$B5&amp;"|"&amp;(COUNTIFS($B$4:$B$1463,$B5,$AG$4:$AG$1463,"&gt;"&amp;$AG5)+COUNTIFS($B$4:$B5,$B5,$AG$4:$AG5,"="&amp;$AG5)))</f>
        <v>VENGEANCE|68</v>
      </c>
    </row>
    <row r="6" spans="1:35" hidden="1">
      <c r="A6" s="69" t="s">
        <v>106</v>
      </c>
      <c r="B6" s="69" t="s">
        <v>105</v>
      </c>
      <c r="C6" s="63" t="s">
        <v>532</v>
      </c>
      <c r="D6" s="69"/>
      <c r="E6" s="68" t="s">
        <v>79</v>
      </c>
      <c r="F6" s="15" t="str">
        <f>IF($C6="","",IF($E6="","-",IFERROR(INDEX(SETUP!$B$55:$B$64,MATCH($E6,SETUP!$A$55:$A$64,0)),"Other")))</f>
        <v>Control</v>
      </c>
      <c r="G6" s="70">
        <v>63413</v>
      </c>
      <c r="H6" s="15" t="str">
        <f>IF($C6="","",IF($G6="","-",INDEX(SETUP!$B$26:$B$32,MATCH($G6,SETUP!$A$26:$A$32,1))))</f>
        <v>63,000 - 63,999</v>
      </c>
      <c r="I6" s="70">
        <v>5340</v>
      </c>
      <c r="J6" s="15" t="str">
        <f>IF($C6="","",IF($I6="","-",INDEX(SETUP!$B$16:$B$22,MATCH($I6,SETUP!$A$16:$A$22,1))))</f>
        <v>CORE</v>
      </c>
      <c r="K6" s="15" t="str">
        <f t="shared" si="0"/>
        <v>5,000 - 5,999</v>
      </c>
      <c r="L6" s="71">
        <v>5.19</v>
      </c>
      <c r="M6" s="15" t="str">
        <f>IF($C6="","",IF($L6="","-",INDEX(SETUP!$B$36:$B$42,MATCH($L6,SETUP!$A$36:$A$42,1))))</f>
        <v>5k - 6k</v>
      </c>
      <c r="N6" s="17">
        <f>IF($C6="","",IF(OR($G6="",$I6=""),"",ROUND(100*(SETUP!$B$4*MIN(1,$I6/SETUP!$B$9)+SETUP!$B$5*MAX(0,MIN(1,($G6-SETUP!$B$10)/(SETUP!$B$11-SETUP!$B$10)))+SETUP!$B$6*MIN(1,IF($L6="",0,$L6)/SETUP!$B$12)),1)))</f>
        <v>54.1</v>
      </c>
      <c r="O6" s="15" t="str">
        <f>IF($C6="","",IF($N6="","-",INDEX(SETUP!$B$46:$B$51,MATCH($N6,SETUP!$A$46:$A$51,1))))</f>
        <v>A</v>
      </c>
      <c r="P6" s="15">
        <f>IF($C6="","",IF($I6="","",RANK($I6,$I$4:$I$1463)+COUNTIF($I$4:$I6,$I6)-1))</f>
        <v>356</v>
      </c>
      <c r="Q6" s="15">
        <f>IF($C6="","",COUNTIFS($B$4:$B$1463,$B6,$X$4:$X$1463,"&gt;"&amp;$X6)+COUNTIFS($B$4:$B6,$B6,$X$4:$X6,"="&amp;$X6))</f>
        <v>42</v>
      </c>
      <c r="R6" s="72">
        <f>IF($C6="","",IF($I6="","",ROUND(COUNTIF($I$4:$I$1463,"&lt;"&amp;$I6)/COUNT($I$4:$I$1463),3)))</f>
        <v>0.73099999999999998</v>
      </c>
      <c r="S6" s="15" t="str">
        <f t="shared" si="1"/>
        <v>Complete</v>
      </c>
      <c r="T6" s="41" t="str">
        <f>IF($C6="","",TRIM(IF(COUNTIF($C$4:$C$1463,$C6)&gt;1,"Dup name; ","")&amp;IF(AND($G6&lt;&gt;"",$G6&lt;55000),"Low CR - verify; ","")&amp;IF(AND($L6&lt;&gt;"",$L6&gt;15),"Secondary - verify; ","")&amp;IF($E6="","No class; ","")))</f>
        <v/>
      </c>
      <c r="U6" s="68"/>
      <c r="V6" s="68"/>
      <c r="W6" s="68"/>
      <c r="X6" s="73">
        <f t="shared" si="2"/>
        <v>5340</v>
      </c>
      <c r="Y6" s="41" t="str">
        <f t="shared" si="3"/>
        <v>LEGENDS|42</v>
      </c>
      <c r="Z6" s="15">
        <f>IF($C6="","",IF($G6="","",RANK($G6,$G$4:$G$1463)+COUNTIF($G$4:$G6,$G6)-1))</f>
        <v>216</v>
      </c>
      <c r="AA6" s="15">
        <f>IF($C6="","",IF($N6="","",RANK($N6,$N$4:$N$1463)+COUNTIF($N$4:$N6,$N6)-1))</f>
        <v>335</v>
      </c>
      <c r="AB6" s="41" t="str">
        <f>IF($C6="","",IF($E6="","",$E6&amp;"#"&amp;(COUNTIFS($E$4:$E$1463,$E6,$X$4:$X$1463,"&gt;"&amp;$X6)+COUNTIFS($E$4:$E6,$E6,$X$4:$X6,"="&amp;$X6))))</f>
        <v>WARLOCK#83</v>
      </c>
      <c r="AC6" s="41" t="str">
        <f>IF($C6="","",$B6&amp;"@"&amp;(COUNTIFS($B$4:$B$1463,$B6,$C$4:$C$1463,"&lt;"&amp;$C6)+COUNTIFS($B$4:$B6,$B6,$C$4:$C6,$C6)))</f>
        <v>LEGENDS@1</v>
      </c>
      <c r="AD6" s="41">
        <f t="shared" si="4"/>
        <v>3</v>
      </c>
      <c r="AE6" s="41" t="s">
        <v>533</v>
      </c>
      <c r="AF6" s="73">
        <f t="shared" si="5"/>
        <v>63413</v>
      </c>
      <c r="AG6" s="74">
        <f t="shared" si="6"/>
        <v>5.19</v>
      </c>
      <c r="AH6" s="41" t="str">
        <f>IF($C6="","",$B6&amp;"|"&amp;(COUNTIFS($B$4:$B$1463,$B6,$AF$4:$AF$1463,"&gt;"&amp;$AF6)+COUNTIFS($B$4:$B6,$B6,$AF$4:$AF6,"="&amp;$AF6)))</f>
        <v>LEGENDS|28</v>
      </c>
      <c r="AI6" s="41" t="str">
        <f>IF($C6="","",$B6&amp;"|"&amp;(COUNTIFS($B$4:$B$1463,$B6,$AG$4:$AG$1463,"&gt;"&amp;$AG6)+COUNTIFS($B$4:$B6,$B6,$AG$4:$AG6,"="&amp;$AG6)))</f>
        <v>LEGENDS|56</v>
      </c>
    </row>
    <row r="7" spans="1:35" hidden="1">
      <c r="A7" s="69" t="s">
        <v>109</v>
      </c>
      <c r="B7" s="69" t="s">
        <v>118</v>
      </c>
      <c r="C7" s="63" t="s">
        <v>534</v>
      </c>
      <c r="D7" s="69"/>
      <c r="E7" s="68" t="s">
        <v>77</v>
      </c>
      <c r="F7" s="19" t="str">
        <f>IF($C7="","",IF($E7="","-",IFERROR(INDEX(SETUP!$B$55:$B$64,MATCH($E7,SETUP!$A$55:$A$64,0)),"Other")))</f>
        <v>Control</v>
      </c>
      <c r="G7" s="70">
        <v>61878</v>
      </c>
      <c r="H7" s="19" t="str">
        <f>IF($C7="","",IF($G7="","-",INDEX(SETUP!$B$26:$B$32,MATCH($G7,SETUP!$A$26:$A$32,1))))</f>
        <v>61,000 - 61,999</v>
      </c>
      <c r="I7" s="70">
        <v>3654</v>
      </c>
      <c r="J7" s="19" t="str">
        <f>IF($C7="","",IF($I7="","-",INDEX(SETUP!$B$16:$B$22,MATCH($I7,SETUP!$A$16:$A$22,1))))</f>
        <v>DEVELOPING</v>
      </c>
      <c r="K7" s="19" t="str">
        <f t="shared" si="0"/>
        <v>3,000 - 3,999</v>
      </c>
      <c r="L7" s="71">
        <v>4.25</v>
      </c>
      <c r="M7" s="19" t="str">
        <f>IF($C7="","",IF($L7="","-",INDEX(SETUP!$B$36:$B$42,MATCH($L7,SETUP!$A$36:$A$42,1))))</f>
        <v>4k - 5k</v>
      </c>
      <c r="N7" s="21">
        <f>IF($C7="","",IF(OR($G7="",$I7=""),"",ROUND(100*(SETUP!$B$4*MIN(1,$I7/SETUP!$B$9)+SETUP!$B$5*MAX(0,MIN(1,($G7-SETUP!$B$10)/(SETUP!$B$11-SETUP!$B$10)))+SETUP!$B$6*MIN(1,IF($L7="",0,$L7)/SETUP!$B$12)),1)))</f>
        <v>41.1</v>
      </c>
      <c r="O7" s="19" t="str">
        <f>IF($C7="","",IF($N7="","-",INDEX(SETUP!$B$46:$B$51,MATCH($N7,SETUP!$A$46:$A$51,1))))</f>
        <v>B</v>
      </c>
      <c r="P7" s="19">
        <f>IF($C7="","",IF($I7="","",RANK($I7,$I$4:$I$1463)+COUNTIF($I$4:$I7,$I7)-1))</f>
        <v>688</v>
      </c>
      <c r="Q7" s="19">
        <f>IF($C7="","",COUNTIFS($B$4:$B$1463,$B7,$X$4:$X$1463,"&gt;"&amp;$X7)+COUNTIFS($B$4:$B7,$B7,$X$4:$X7,"="&amp;$X7))</f>
        <v>9</v>
      </c>
      <c r="R7" s="75">
        <f>IF($C7="","",IF($I7="","",ROUND(COUNTIF($I$4:$I$1463,"&lt;"&amp;$I7)/COUNT($I$4:$I$1463),3)))</f>
        <v>0.48099999999999998</v>
      </c>
      <c r="S7" s="19" t="str">
        <f t="shared" si="1"/>
        <v>Complete</v>
      </c>
      <c r="T7" s="1" t="str">
        <f>IF($C7="","",TRIM(IF(COUNTIF($C$4:$C$1463,$C7)&gt;1,"Dup name; ","")&amp;IF(AND($G7&lt;&gt;"",$G7&lt;55000),"Low CR - verify; ","")&amp;IF(AND($L7&lt;&gt;"",$L7&gt;15),"Secondary - verify; ","")&amp;IF($E7="","No class; ","")))</f>
        <v/>
      </c>
      <c r="U7" s="68"/>
      <c r="V7" s="68"/>
      <c r="W7" s="68"/>
      <c r="X7" s="76">
        <f t="shared" si="2"/>
        <v>3654</v>
      </c>
      <c r="Y7" s="1" t="str">
        <f t="shared" si="3"/>
        <v>ZOMBIES|9</v>
      </c>
      <c r="Z7" s="19">
        <f>IF($C7="","",IF($G7="","",RANK($G7,$G$4:$G$1463)+COUNTIF($G$4:$G7,$G7)-1))</f>
        <v>884</v>
      </c>
      <c r="AA7" s="19">
        <f>IF($C7="","",IF($N7="","",RANK($N7,$N$4:$N$1463)+COUNTIF($N$4:$N7,$N7)-1))</f>
        <v>768</v>
      </c>
      <c r="AB7" s="1" t="str">
        <f>IF($C7="","",IF($E7="","",$E7&amp;"#"&amp;(COUNTIFS($E$4:$E$1463,$E7,$X$4:$X$1463,"&gt;"&amp;$X7)+COUNTIFS($E$4:$E7,$E7,$X$4:$X7,"="&amp;$X7))))</f>
        <v>NECROMANCER#34</v>
      </c>
      <c r="AC7" s="1" t="str">
        <f>IF($C7="","",$B7&amp;"@"&amp;(COUNTIFS($B$4:$B$1463,$B7,$C$4:$C$1463,"&lt;"&amp;$C7)+COUNTIFS($B$4:$B7,$B7,$C$4:$C7,$C7)))</f>
        <v>ZOMBIES@1</v>
      </c>
      <c r="AD7" s="1">
        <f t="shared" si="4"/>
        <v>4</v>
      </c>
      <c r="AE7" s="1" t="s">
        <v>535</v>
      </c>
      <c r="AF7" s="76">
        <f t="shared" si="5"/>
        <v>61878</v>
      </c>
      <c r="AG7" s="77">
        <f t="shared" si="6"/>
        <v>4.25</v>
      </c>
      <c r="AH7" s="1" t="str">
        <f>IF($C7="","",$B7&amp;"|"&amp;(COUNTIFS($B$4:$B$1463,$B7,$AF$4:$AF$1463,"&gt;"&amp;$AF7)+COUNTIFS($B$4:$B7,$B7,$AF$4:$AF7,"="&amp;$AF7)))</f>
        <v>ZOMBIES|30</v>
      </c>
      <c r="AI7" s="1" t="str">
        <f>IF($C7="","",$B7&amp;"|"&amp;(COUNTIFS($B$4:$B$1463,$B7,$AG$4:$AG$1463,"&gt;"&amp;$AG7)+COUNTIFS($B$4:$B7,$B7,$AG$4:$AG7,"="&amp;$AG7)))</f>
        <v>ZOMBIES|22</v>
      </c>
    </row>
    <row r="8" spans="1:35" hidden="1">
      <c r="A8" s="69" t="s">
        <v>109</v>
      </c>
      <c r="B8" s="69" t="s">
        <v>116</v>
      </c>
      <c r="C8" s="63" t="s">
        <v>536</v>
      </c>
      <c r="D8" s="69" t="s">
        <v>530</v>
      </c>
      <c r="E8" s="68" t="s">
        <v>71</v>
      </c>
      <c r="F8" s="15" t="str">
        <f>IF($C8="","",IF($E8="","-",IFERROR(INDEX(SETUP!$B$55:$B$64,MATCH($E8,SETUP!$A$55:$A$64,0)),"Other")))</f>
        <v>Frontline</v>
      </c>
      <c r="G8" s="70">
        <v>61329</v>
      </c>
      <c r="H8" s="15" t="str">
        <f>IF($C8="","",IF($G8="","-",INDEX(SETUP!$B$26:$B$32,MATCH($G8,SETUP!$A$26:$A$32,1))))</f>
        <v>61,000 - 61,999</v>
      </c>
      <c r="I8" s="70">
        <v>5646</v>
      </c>
      <c r="J8" s="15" t="str">
        <f>IF($C8="","",IF($I8="","-",INDEX(SETUP!$B$16:$B$22,MATCH($I8,SETUP!$A$16:$A$22,1))))</f>
        <v>CORE</v>
      </c>
      <c r="K8" s="15" t="str">
        <f t="shared" si="0"/>
        <v>5,000 - 5,999</v>
      </c>
      <c r="L8" s="71">
        <v>4.91</v>
      </c>
      <c r="M8" s="15" t="str">
        <f>IF($C8="","",IF($L8="","-",INDEX(SETUP!$B$36:$B$42,MATCH($L8,SETUP!$A$36:$A$42,1))))</f>
        <v>4k - 5k</v>
      </c>
      <c r="N8" s="17">
        <f>IF($C8="","",IF(OR($G8="",$I8=""),"",ROUND(100*(SETUP!$B$4*MIN(1,$I8/SETUP!$B$9)+SETUP!$B$5*MAX(0,MIN(1,($G8-SETUP!$B$10)/(SETUP!$B$11-SETUP!$B$10)))+SETUP!$B$6*MIN(1,IF($L8="",0,$L8)/SETUP!$B$12)),1)))</f>
        <v>49.5</v>
      </c>
      <c r="O8" s="15" t="str">
        <f>IF($C8="","",IF($N8="","-",INDEX(SETUP!$B$46:$B$51,MATCH($N8,SETUP!$A$46:$A$51,1))))</f>
        <v>B</v>
      </c>
      <c r="P8" s="15">
        <f>IF($C8="","",IF($I8="","",RANK($I8,$I$4:$I$1463)+COUNTIF($I$4:$I8,$I8)-1))</f>
        <v>318</v>
      </c>
      <c r="Q8" s="15">
        <f>IF($C8="","",COUNTIFS($B$4:$B$1463,$B8,$X$4:$X$1463,"&gt;"&amp;$X8)+COUNTIFS($B$4:$B8,$B8,$X$4:$X8,"="&amp;$X8))</f>
        <v>9</v>
      </c>
      <c r="R8" s="72">
        <f>IF($C8="","",IF($I8="","",ROUND(COUNTIF($I$4:$I$1463,"&lt;"&amp;$I8)/COUNT($I$4:$I$1463),3)))</f>
        <v>0.76</v>
      </c>
      <c r="S8" s="15" t="str">
        <f t="shared" si="1"/>
        <v>Complete</v>
      </c>
      <c r="T8" s="41" t="str">
        <f>IF($C8="","",TRIM(IF(COUNTIF($C$4:$C$1463,$C8)&gt;1,"Dup name; ","")&amp;IF(AND($G8&lt;&gt;"",$G8&lt;55000),"Low CR - verify; ","")&amp;IF(AND($L8&lt;&gt;"",$L8&gt;15),"Secondary - verify; ","")&amp;IF($E8="","No class; ","")))</f>
        <v/>
      </c>
      <c r="U8" s="68"/>
      <c r="V8" s="68"/>
      <c r="W8" s="68"/>
      <c r="X8" s="73">
        <f t="shared" si="2"/>
        <v>5646</v>
      </c>
      <c r="Y8" s="41" t="str">
        <f t="shared" si="3"/>
        <v>VENGEANCE|9</v>
      </c>
      <c r="Z8" s="15">
        <f>IF($C8="","",IF($G8="","",RANK($G8,$G$4:$G$1463)+COUNTIF($G$4:$G8,$G8)-1))</f>
        <v>1056</v>
      </c>
      <c r="AA8" s="15">
        <f>IF($C8="","",IF($N8="","",RANK($N8,$N$4:$N$1463)+COUNTIF($N$4:$N8,$N8)-1))</f>
        <v>468</v>
      </c>
      <c r="AB8" s="41" t="str">
        <f>IF($C8="","",IF($E8="","",$E8&amp;"#"&amp;(COUNTIFS($E$4:$E$1463,$E8,$X$4:$X$1463,"&gt;"&amp;$X8)+COUNTIFS($E$4:$E8,$E8,$X$4:$X8,"="&amp;$X8))))</f>
        <v>BARBARIAN#63</v>
      </c>
      <c r="AC8" s="41" t="str">
        <f>IF($C8="","",$B8&amp;"@"&amp;(COUNTIFS($B$4:$B$1463,$B8,$C$4:$C$1463,"&lt;"&amp;$C8)+COUNTIFS($B$4:$B8,$B8,$C$4:$C8,$C8)))</f>
        <v>VENGEANCE@2</v>
      </c>
      <c r="AD8" s="41">
        <f t="shared" si="4"/>
        <v>5</v>
      </c>
      <c r="AE8" s="41" t="s">
        <v>537</v>
      </c>
      <c r="AF8" s="73">
        <f t="shared" si="5"/>
        <v>61329</v>
      </c>
      <c r="AG8" s="74">
        <f t="shared" si="6"/>
        <v>4.91</v>
      </c>
      <c r="AH8" s="41" t="str">
        <f>IF($C8="","",$B8&amp;"|"&amp;(COUNTIFS($B$4:$B$1463,$B8,$AF$4:$AF$1463,"&gt;"&amp;$AF8)+COUNTIFS($B$4:$B8,$B8,$AF$4:$AF8,"="&amp;$AF8)))</f>
        <v>VENGEANCE|68</v>
      </c>
      <c r="AI8" s="41" t="str">
        <f>IF($C8="","",$B8&amp;"|"&amp;(COUNTIFS($B$4:$B$1463,$B8,$AG$4:$AG$1463,"&gt;"&amp;$AG8)+COUNTIFS($B$4:$B8,$B8,$AG$4:$AG8,"="&amp;$AG8)))</f>
        <v>VENGEANCE|34</v>
      </c>
    </row>
    <row r="9" spans="1:35" hidden="1">
      <c r="A9" s="69" t="s">
        <v>109</v>
      </c>
      <c r="B9" s="69" t="s">
        <v>108</v>
      </c>
      <c r="C9" s="63" t="s">
        <v>538</v>
      </c>
      <c r="D9" s="69"/>
      <c r="E9" s="68" t="s">
        <v>79</v>
      </c>
      <c r="F9" s="19" t="str">
        <f>IF($C9="","",IF($E9="","-",IFERROR(INDEX(SETUP!$B$55:$B$64,MATCH($E9,SETUP!$A$55:$A$64,0)),"Other")))</f>
        <v>Control</v>
      </c>
      <c r="G9" s="70">
        <v>62214</v>
      </c>
      <c r="H9" s="19" t="str">
        <f>IF($C9="","",IF($G9="","-",INDEX(SETUP!$B$26:$B$32,MATCH($G9,SETUP!$A$26:$A$32,1))))</f>
        <v>62,000 - 62,999</v>
      </c>
      <c r="I9" s="70">
        <v>4411</v>
      </c>
      <c r="J9" s="19" t="str">
        <f>IF($C9="","",IF($I9="","-",INDEX(SETUP!$B$16:$B$22,MATCH($I9,SETUP!$A$16:$A$22,1))))</f>
        <v>CORE</v>
      </c>
      <c r="K9" s="19" t="str">
        <f t="shared" si="0"/>
        <v>4,000 - 4,999</v>
      </c>
      <c r="L9" s="71">
        <v>4.2</v>
      </c>
      <c r="M9" s="19" t="str">
        <f>IF($C9="","",IF($L9="","-",INDEX(SETUP!$B$36:$B$42,MATCH($L9,SETUP!$A$36:$A$42,1))))</f>
        <v>4k - 5k</v>
      </c>
      <c r="N9" s="21">
        <f>IF($C9="","",IF(OR($G9="",$I9=""),"",ROUND(100*(SETUP!$B$4*MIN(1,$I9/SETUP!$B$9)+SETUP!$B$5*MAX(0,MIN(1,($G9-SETUP!$B$10)/(SETUP!$B$11-SETUP!$B$10)))+SETUP!$B$6*MIN(1,IF($L9="",0,$L9)/SETUP!$B$12)),1)))</f>
        <v>45.2</v>
      </c>
      <c r="O9" s="19" t="str">
        <f>IF($C9="","",IF($N9="","-",INDEX(SETUP!$B$46:$B$51,MATCH($N9,SETUP!$A$46:$A$51,1))))</f>
        <v>B</v>
      </c>
      <c r="P9" s="19">
        <f>IF($C9="","",IF($I9="","",RANK($I9,$I$4:$I$1463)+COUNTIF($I$4:$I9,$I9)-1))</f>
        <v>510</v>
      </c>
      <c r="Q9" s="19">
        <f>IF($C9="","",COUNTIFS($B$4:$B$1463,$B9,$X$4:$X$1463,"&gt;"&amp;$X9)+COUNTIFS($B$4:$B9,$B9,$X$4:$X9,"="&amp;$X9))</f>
        <v>63</v>
      </c>
      <c r="R9" s="75">
        <f>IF($C9="","",IF($I9="","",ROUND(COUNTIF($I$4:$I$1463,"&lt;"&amp;$I9)/COUNT($I$4:$I$1463),3)))</f>
        <v>0.61499999999999999</v>
      </c>
      <c r="S9" s="19" t="str">
        <f t="shared" si="1"/>
        <v>Complete</v>
      </c>
      <c r="T9" s="1" t="str">
        <f>IF($C9="","",TRIM(IF(COUNTIF($C$4:$C$1463,$C9)&gt;1,"Dup name; ","")&amp;IF(AND($G9&lt;&gt;"",$G9&lt;55000),"Low CR - verify; ","")&amp;IF(AND($L9&lt;&gt;"",$L9&gt;15),"Secondary - verify; ","")&amp;IF($E9="","No class; ","")))</f>
        <v/>
      </c>
      <c r="U9" s="68"/>
      <c r="V9" s="68"/>
      <c r="W9" s="68"/>
      <c r="X9" s="76">
        <f t="shared" si="2"/>
        <v>4411</v>
      </c>
      <c r="Y9" s="1" t="str">
        <f t="shared" si="3"/>
        <v>SBG|63</v>
      </c>
      <c r="Z9" s="19">
        <f>IF($C9="","",IF($G9="","",RANK($G9,$G$4:$G$1463)+COUNTIF($G$4:$G9,$G9)-1))</f>
        <v>751</v>
      </c>
      <c r="AA9" s="19">
        <f>IF($C9="","",IF($N9="","",RANK($N9,$N$4:$N$1463)+COUNTIF($N$4:$N9,$N9)-1))</f>
        <v>614</v>
      </c>
      <c r="AB9" s="1" t="str">
        <f>IF($C9="","",IF($E9="","",$E9&amp;"#"&amp;(COUNTIFS($E$4:$E$1463,$E9,$X$4:$X$1463,"&gt;"&amp;$X9)+COUNTIFS($E$4:$E9,$E9,$X$4:$X9,"="&amp;$X9))))</f>
        <v>WARLOCK#117</v>
      </c>
      <c r="AC9" s="1" t="str">
        <f>IF($C9="","",$B9&amp;"@"&amp;(COUNTIFS($B$4:$B$1463,$B9,$C$4:$C$1463,"&lt;"&amp;$C9)+COUNTIFS($B$4:$B9,$B9,$C$4:$C9,$C9)))</f>
        <v>SBG@1</v>
      </c>
      <c r="AD9" s="1">
        <f t="shared" si="4"/>
        <v>6</v>
      </c>
      <c r="AE9" s="1" t="s">
        <v>539</v>
      </c>
      <c r="AF9" s="76">
        <f t="shared" si="5"/>
        <v>62214</v>
      </c>
      <c r="AG9" s="77">
        <f t="shared" si="6"/>
        <v>4.2</v>
      </c>
      <c r="AH9" s="1" t="str">
        <f>IF($C9="","",$B9&amp;"|"&amp;(COUNTIFS($B$4:$B$1463,$B9,$AF$4:$AF$1463,"&gt;"&amp;$AF9)+COUNTIFS($B$4:$B9,$B9,$AF$4:$AF9,"="&amp;$AF9)))</f>
        <v>SBG|66</v>
      </c>
      <c r="AI9" s="1" t="str">
        <f>IF($C9="","",$B9&amp;"|"&amp;(COUNTIFS($B$4:$B$1463,$B9,$AG$4:$AG$1463,"&gt;"&amp;$AG9)+COUNTIFS($B$4:$B9,$B9,$AG$4:$AG9,"="&amp;$AG9)))</f>
        <v>SBG|89</v>
      </c>
    </row>
    <row r="10" spans="1:35" hidden="1">
      <c r="A10" s="69" t="s">
        <v>106</v>
      </c>
      <c r="B10" s="69" t="s">
        <v>107</v>
      </c>
      <c r="C10" s="63" t="s">
        <v>540</v>
      </c>
      <c r="D10" s="69"/>
      <c r="E10" s="68" t="s">
        <v>73</v>
      </c>
      <c r="F10" s="15" t="str">
        <f>IF($C10="","",IF($E10="","-",IFERROR(INDEX(SETUP!$B$55:$B$64,MATCH($E10,SETUP!$A$55:$A$64,0)),"Other")))</f>
        <v>Frontline</v>
      </c>
      <c r="G10" s="70">
        <v>62145</v>
      </c>
      <c r="H10" s="15" t="str">
        <f>IF($C10="","",IF($G10="","-",INDEX(SETUP!$B$26:$B$32,MATCH($G10,SETUP!$A$26:$A$32,1))))</f>
        <v>62,000 - 62,999</v>
      </c>
      <c r="I10" s="70">
        <v>4324</v>
      </c>
      <c r="J10" s="15" t="str">
        <f>IF($C10="","",IF($I10="","-",INDEX(SETUP!$B$16:$B$22,MATCH($I10,SETUP!$A$16:$A$22,1))))</f>
        <v>CORE</v>
      </c>
      <c r="K10" s="15" t="str">
        <f t="shared" si="0"/>
        <v>4,000 - 4,999</v>
      </c>
      <c r="L10" s="71">
        <v>5</v>
      </c>
      <c r="M10" s="15" t="str">
        <f>IF($C10="","",IF($L10="","-",INDEX(SETUP!$B$36:$B$42,MATCH($L10,SETUP!$A$36:$A$42,1))))</f>
        <v>5k - 6k</v>
      </c>
      <c r="N10" s="17">
        <f>IF($C10="","",IF(OR($G10="",$I10=""),"",ROUND(100*(SETUP!$B$4*MIN(1,$I10/SETUP!$B$9)+SETUP!$B$5*MAX(0,MIN(1,($G10-SETUP!$B$10)/(SETUP!$B$11-SETUP!$B$10)))+SETUP!$B$6*MIN(1,IF($L10="",0,$L10)/SETUP!$B$12)),1)))</f>
        <v>46</v>
      </c>
      <c r="O10" s="15" t="str">
        <f>IF($C10="","",IF($N10="","-",INDEX(SETUP!$B$46:$B$51,MATCH($N10,SETUP!$A$46:$A$51,1))))</f>
        <v>B</v>
      </c>
      <c r="P10" s="15">
        <f>IF($C10="","",IF($I10="","",RANK($I10,$I$4:$I$1463)+COUNTIF($I$4:$I10,$I10)-1))</f>
        <v>525</v>
      </c>
      <c r="Q10" s="15">
        <f>IF($C10="","",COUNTIFS($B$4:$B$1463,$B10,$X$4:$X$1463,"&gt;"&amp;$X10)+COUNTIFS($B$4:$B10,$B10,$X$4:$X10,"="&amp;$X10))</f>
        <v>41</v>
      </c>
      <c r="R10" s="72">
        <f>IF($C10="","",IF($I10="","",ROUND(COUNTIF($I$4:$I$1463,"&lt;"&amp;$I10)/COUNT($I$4:$I$1463),3)))</f>
        <v>0.60299999999999998</v>
      </c>
      <c r="S10" s="15" t="str">
        <f t="shared" si="1"/>
        <v>Complete</v>
      </c>
      <c r="T10" s="41" t="str">
        <f>IF($C10="","",TRIM(IF(COUNTIF($C$4:$C$1463,$C10)&gt;1,"Dup name; ","")&amp;IF(AND($G10&lt;&gt;"",$G10&lt;55000),"Low CR - verify; ","")&amp;IF(AND($L10&lt;&gt;"",$L10&gt;15),"Secondary - verify; ","")&amp;IF($E10="","No class; ","")))</f>
        <v/>
      </c>
      <c r="U10" s="68"/>
      <c r="V10" s="68"/>
      <c r="W10" s="68"/>
      <c r="X10" s="73">
        <f t="shared" si="2"/>
        <v>4324</v>
      </c>
      <c r="Y10" s="41" t="str">
        <f t="shared" si="3"/>
        <v>UNDYING|41</v>
      </c>
      <c r="Z10" s="15">
        <f>IF($C10="","",IF($G10="","",RANK($G10,$G$4:$G$1463)+COUNTIF($G$4:$G10,$G10)-1))</f>
        <v>779</v>
      </c>
      <c r="AA10" s="15">
        <f>IF($C10="","",IF($N10="","",RANK($N10,$N$4:$N$1463)+COUNTIF($N$4:$N10,$N10)-1))</f>
        <v>589</v>
      </c>
      <c r="AB10" s="41" t="str">
        <f>IF($C10="","",IF($E10="","",$E10&amp;"#"&amp;(COUNTIFS($E$4:$E$1463,$E10,$X$4:$X$1463,"&gt;"&amp;$X10)+COUNTIFS($E$4:$E10,$E10,$X$4:$X10,"="&amp;$X10))))</f>
        <v>CRUSADER#63</v>
      </c>
      <c r="AC10" s="41" t="str">
        <f>IF($C10="","",$B10&amp;"@"&amp;(COUNTIFS($B$4:$B$1463,$B10,$C$4:$C$1463,"&lt;"&amp;$C10)+COUNTIFS($B$4:$B10,$B10,$C$4:$C10,$C10)))</f>
        <v>UNDYING@1</v>
      </c>
      <c r="AD10" s="41">
        <f t="shared" si="4"/>
        <v>7</v>
      </c>
      <c r="AE10" s="41" t="s">
        <v>541</v>
      </c>
      <c r="AF10" s="73">
        <f t="shared" si="5"/>
        <v>62145</v>
      </c>
      <c r="AG10" s="74">
        <f t="shared" si="6"/>
        <v>5</v>
      </c>
      <c r="AH10" s="41" t="str">
        <f>IF($C10="","",$B10&amp;"|"&amp;(COUNTIFS($B$4:$B$1463,$B10,$AF$4:$AF$1463,"&gt;"&amp;$AF10)+COUNTIFS($B$4:$B10,$B10,$AF$4:$AF10,"="&amp;$AF10)))</f>
        <v>UNDYING|74</v>
      </c>
      <c r="AI10" s="41" t="str">
        <f>IF($C10="","",$B10&amp;"|"&amp;(COUNTIFS($B$4:$B$1463,$B10,$AG$4:$AG$1463,"&gt;"&amp;$AG10)+COUNTIFS($B$4:$B10,$B10,$AG$4:$AG10,"="&amp;$AG10)))</f>
        <v>UNDYING|51</v>
      </c>
    </row>
    <row r="11" spans="1:35" hidden="1">
      <c r="A11" s="69" t="s">
        <v>106</v>
      </c>
      <c r="B11" s="69" t="s">
        <v>86</v>
      </c>
      <c r="C11" s="63" t="s">
        <v>542</v>
      </c>
      <c r="D11" s="69"/>
      <c r="E11" s="68" t="s">
        <v>77</v>
      </c>
      <c r="F11" s="19" t="str">
        <f>IF($C11="","",IF($E11="","-",IFERROR(INDEX(SETUP!$B$55:$B$64,MATCH($E11,SETUP!$A$55:$A$64,0)),"Other")))</f>
        <v>Control</v>
      </c>
      <c r="G11" s="70">
        <v>63921</v>
      </c>
      <c r="H11" s="19" t="str">
        <f>IF($C11="","",IF($G11="","-",INDEX(SETUP!$B$26:$B$32,MATCH($G11,SETUP!$A$26:$A$32,1))))</f>
        <v>63,000 - 63,999</v>
      </c>
      <c r="I11" s="70">
        <v>8227</v>
      </c>
      <c r="J11" s="19" t="str">
        <f>IF($C11="","",IF($I11="","-",INDEX(SETUP!$B$16:$B$22,MATCH($I11,SETUP!$A$16:$A$22,1))))</f>
        <v>ELITE</v>
      </c>
      <c r="K11" s="19" t="str">
        <f t="shared" si="0"/>
        <v>8,000 - 8,999</v>
      </c>
      <c r="L11" s="71">
        <v>5.85</v>
      </c>
      <c r="M11" s="19" t="str">
        <f>IF($C11="","",IF($L11="","-",INDEX(SETUP!$B$36:$B$42,MATCH($L11,SETUP!$A$36:$A$42,1))))</f>
        <v>5k - 6k</v>
      </c>
      <c r="N11" s="21">
        <f>IF($C11="","",IF(OR($G11="",$I11=""),"",ROUND(100*(SETUP!$B$4*MIN(1,$I11/SETUP!$B$9)+SETUP!$B$5*MAX(0,MIN(1,($G11-SETUP!$B$10)/(SETUP!$B$11-SETUP!$B$10)))+SETUP!$B$6*MIN(1,IF($L11="",0,$L11)/SETUP!$B$12)),1)))</f>
        <v>69.099999999999994</v>
      </c>
      <c r="O11" s="19" t="str">
        <f>IF($C11="","",IF($N11="","-",INDEX(SETUP!$B$46:$B$51,MATCH($N11,SETUP!$A$46:$A$51,1))))</f>
        <v>S</v>
      </c>
      <c r="P11" s="19">
        <f>IF($C11="","",IF($I11="","",RANK($I11,$I$4:$I$1463)+COUNTIF($I$4:$I11,$I11)-1))</f>
        <v>134</v>
      </c>
      <c r="Q11" s="19">
        <f>IF($C11="","",COUNTIFS($B$4:$B$1463,$B11,$X$4:$X$1463,"&gt;"&amp;$X11)+COUNTIFS($B$4:$B11,$B11,$X$4:$X11,"="&amp;$X11))</f>
        <v>31</v>
      </c>
      <c r="R11" s="75">
        <f>IF($C11="","",IF($I11="","",ROUND(COUNTIF($I$4:$I$1463,"&lt;"&amp;$I11)/COUNT($I$4:$I$1463),3)))</f>
        <v>0.89900000000000002</v>
      </c>
      <c r="S11" s="19" t="str">
        <f t="shared" si="1"/>
        <v>Complete</v>
      </c>
      <c r="T11" s="1" t="str">
        <f>IF($C11="","",TRIM(IF(COUNTIF($C$4:$C$1463,$C11)&gt;1,"Dup name; ","")&amp;IF(AND($G11&lt;&gt;"",$G11&lt;55000),"Low CR - verify; ","")&amp;IF(AND($L11&lt;&gt;"",$L11&gt;15),"Secondary - verify; ","")&amp;IF($E11="","No class; ","")))</f>
        <v/>
      </c>
      <c r="U11" s="68"/>
      <c r="V11" s="68"/>
      <c r="W11" s="68"/>
      <c r="X11" s="76">
        <f t="shared" si="2"/>
        <v>8227</v>
      </c>
      <c r="Y11" s="1" t="str">
        <f t="shared" si="3"/>
        <v>VANGUARD|31</v>
      </c>
      <c r="Z11" s="19">
        <f>IF($C11="","",IF($G11="","",RANK($G11,$G$4:$G$1463)+COUNTIF($G$4:$G11,$G11)-1))</f>
        <v>91</v>
      </c>
      <c r="AA11" s="19">
        <f>IF($C11="","",IF($N11="","",RANK($N11,$N$4:$N$1463)+COUNTIF($N$4:$N11,$N11)-1))</f>
        <v>135</v>
      </c>
      <c r="AB11" s="1" t="str">
        <f>IF($C11="","",IF($E11="","",$E11&amp;"#"&amp;(COUNTIFS($E$4:$E$1463,$E11,$X$4:$X$1463,"&gt;"&amp;$X11)+COUNTIFS($E$4:$E11,$E11,$X$4:$X11,"="&amp;$X11))))</f>
        <v>NECROMANCER#2</v>
      </c>
      <c r="AC11" s="1" t="str">
        <f>IF($C11="","",$B11&amp;"@"&amp;(COUNTIFS($B$4:$B$1463,$B11,$C$4:$C$1463,"&lt;"&amp;$C11)+COUNTIFS($B$4:$B11,$B11,$C$4:$C11,$C11)))</f>
        <v>VANGUARD@1</v>
      </c>
      <c r="AD11" s="1">
        <f t="shared" si="4"/>
        <v>8</v>
      </c>
      <c r="AE11" s="1" t="s">
        <v>543</v>
      </c>
      <c r="AF11" s="76">
        <f t="shared" si="5"/>
        <v>63921</v>
      </c>
      <c r="AG11" s="77">
        <f t="shared" si="6"/>
        <v>5.85</v>
      </c>
      <c r="AH11" s="1" t="str">
        <f>IF($C11="","",$B11&amp;"|"&amp;(COUNTIFS($B$4:$B$1463,$B11,$AF$4:$AF$1463,"&gt;"&amp;$AF11)+COUNTIFS($B$4:$B11,$B11,$AF$4:$AF11,"="&amp;$AF11)))</f>
        <v>VANGUARD|23</v>
      </c>
      <c r="AI11" s="1" t="str">
        <f>IF($C11="","",$B11&amp;"|"&amp;(COUNTIFS($B$4:$B$1463,$B11,$AG$4:$AG$1463,"&gt;"&amp;$AG11)+COUNTIFS($B$4:$B11,$B11,$AG$4:$AG11,"="&amp;$AG11)))</f>
        <v>VANGUARD|44</v>
      </c>
    </row>
    <row r="12" spans="1:35" hidden="1">
      <c r="A12" s="69" t="s">
        <v>109</v>
      </c>
      <c r="B12" s="69" t="s">
        <v>117</v>
      </c>
      <c r="C12" s="63" t="s">
        <v>544</v>
      </c>
      <c r="D12" s="78" t="s">
        <v>545</v>
      </c>
      <c r="E12" s="68" t="s">
        <v>74</v>
      </c>
      <c r="F12" s="15" t="str">
        <f>IF($C12="","",IF($E12="","-",IFERROR(INDEX(SETUP!$B$55:$B$64,MATCH($E12,SETUP!$A$55:$A$64,0)),"Other")))</f>
        <v>Ranged DPS</v>
      </c>
      <c r="G12" s="70">
        <v>62742</v>
      </c>
      <c r="H12" s="15" t="str">
        <f>IF($C12="","",IF($G12="","-",INDEX(SETUP!$B$26:$B$32,MATCH($G12,SETUP!$A$26:$A$32,1))))</f>
        <v>62,000 - 62,999</v>
      </c>
      <c r="I12" s="70">
        <v>3833</v>
      </c>
      <c r="J12" s="15" t="str">
        <f>IF($C12="","",IF($I12="","-",INDEX(SETUP!$B$16:$B$22,MATCH($I12,SETUP!$A$16:$A$22,1))))</f>
        <v>DEVELOPING</v>
      </c>
      <c r="K12" s="15" t="str">
        <f t="shared" si="0"/>
        <v>3,000 - 3,999</v>
      </c>
      <c r="L12" s="71">
        <v>5.8</v>
      </c>
      <c r="M12" s="15" t="str">
        <f>IF($C12="","",IF($L12="","-",INDEX(SETUP!$B$36:$B$42,MATCH($L12,SETUP!$A$36:$A$42,1))))</f>
        <v>5k - 6k</v>
      </c>
      <c r="N12" s="17">
        <f>IF($C12="","",IF(OR($G12="",$I12=""),"",ROUND(100*(SETUP!$B$4*MIN(1,$I12/SETUP!$B$9)+SETUP!$B$5*MAX(0,MIN(1,($G12-SETUP!$B$10)/(SETUP!$B$11-SETUP!$B$10)))+SETUP!$B$6*MIN(1,IF($L12="",0,$L12)/SETUP!$B$12)),1)))</f>
        <v>46.8</v>
      </c>
      <c r="O12" s="15" t="str">
        <f>IF($C12="","",IF($N12="","-",INDEX(SETUP!$B$46:$B$51,MATCH($N12,SETUP!$A$46:$A$51,1))))</f>
        <v>B</v>
      </c>
      <c r="P12" s="15">
        <f>IF($C12="","",IF($I12="","",RANK($I12,$I$4:$I$1463)+COUNTIF($I$4:$I12,$I12)-1))</f>
        <v>639</v>
      </c>
      <c r="Q12" s="15">
        <f>IF($C12="","",COUNTIFS($B$4:$B$1463,$B12,$X$4:$X$1463,"&gt;"&amp;$X12)+COUNTIFS($B$4:$B12,$B12,$X$4:$X12,"="&amp;$X12))</f>
        <v>3</v>
      </c>
      <c r="R12" s="72">
        <f>IF($C12="","",IF($I12="","",ROUND(COUNTIF($I$4:$I$1463,"&lt;"&amp;$I12)/COUNT($I$4:$I$1463),3)))</f>
        <v>0.51800000000000002</v>
      </c>
      <c r="S12" s="15" t="str">
        <f t="shared" si="1"/>
        <v>Complete</v>
      </c>
      <c r="T12" s="41" t="str">
        <f>IF($C12="","",TRIM(IF(COUNTIF($C$4:$C$1463,$C12)&gt;1,"Dup name; ","")&amp;IF(AND($G12&lt;&gt;"",$G12&lt;55000),"Low CR - verify; ","")&amp;IF(AND($L12&lt;&gt;"",$L12&gt;15),"Secondary - verify; ","")&amp;IF($E12="","No class; ","")))</f>
        <v/>
      </c>
      <c r="U12" s="68"/>
      <c r="V12" s="68"/>
      <c r="W12" s="68"/>
      <c r="X12" s="73">
        <f t="shared" si="2"/>
        <v>3833</v>
      </c>
      <c r="Y12" s="41" t="str">
        <f t="shared" si="3"/>
        <v>VENDETTA|3</v>
      </c>
      <c r="Z12" s="15">
        <f>IF($C12="","",IF($G12="","",RANK($G12,$G$4:$G$1463)+COUNTIF($G$4:$G12,$G12)-1))</f>
        <v>548</v>
      </c>
      <c r="AA12" s="15">
        <f>IF($C12="","",IF($N12="","",RANK($N12,$N$4:$N$1463)+COUNTIF($N$4:$N12,$N12)-1))</f>
        <v>554</v>
      </c>
      <c r="AB12" s="41" t="str">
        <f>IF($C12="","",IF($E12="","",$E12&amp;"#"&amp;(COUNTIFS($E$4:$E$1463,$E12,$X$4:$X$1463,"&gt;"&amp;$X12)+COUNTIFS($E$4:$E12,$E12,$X$4:$X12,"="&amp;$X12))))</f>
        <v>DEMON HUNTER#105</v>
      </c>
      <c r="AC12" s="41" t="str">
        <f>IF($C12="","",$B12&amp;"@"&amp;(COUNTIFS($B$4:$B$1463,$B12,$C$4:$C$1463,"&lt;"&amp;$C12)+COUNTIFS($B$4:$B12,$B12,$C$4:$C12,$C12)))</f>
        <v>VENDETTA@2</v>
      </c>
      <c r="AD12" s="41">
        <f t="shared" si="4"/>
        <v>9</v>
      </c>
      <c r="AE12" s="41" t="s">
        <v>546</v>
      </c>
      <c r="AF12" s="73">
        <f t="shared" si="5"/>
        <v>62742</v>
      </c>
      <c r="AG12" s="74">
        <f t="shared" si="6"/>
        <v>5.8</v>
      </c>
      <c r="AH12" s="41" t="str">
        <f>IF($C12="","",$B12&amp;"|"&amp;(COUNTIFS($B$4:$B$1463,$B12,$AF$4:$AF$1463,"&gt;"&amp;$AF12)+COUNTIFS($B$4:$B12,$B12,$AF$4:$AF12,"="&amp;$AF12)))</f>
        <v>VENDETTA|9</v>
      </c>
      <c r="AI12" s="41" t="str">
        <f>IF($C12="","",$B12&amp;"|"&amp;(COUNTIFS($B$4:$B$1463,$B12,$AG$4:$AG$1463,"&gt;"&amp;$AG12)+COUNTIFS($B$4:$B12,$B12,$AG$4:$AG12,"="&amp;$AG12)))</f>
        <v>VENDETTA|2</v>
      </c>
    </row>
    <row r="13" spans="1:35" hidden="1">
      <c r="A13" s="69" t="s">
        <v>109</v>
      </c>
      <c r="B13" s="69" t="s">
        <v>113</v>
      </c>
      <c r="C13" s="63" t="s">
        <v>547</v>
      </c>
      <c r="D13" s="69" t="s">
        <v>548</v>
      </c>
      <c r="E13" s="68" t="s">
        <v>74</v>
      </c>
      <c r="F13" s="19" t="str">
        <f>IF($C13="","",IF($E13="","-",IFERROR(INDEX(SETUP!$B$55:$B$64,MATCH($E13,SETUP!$A$55:$A$64,0)),"Other")))</f>
        <v>Ranged DPS</v>
      </c>
      <c r="G13" s="70">
        <v>61966</v>
      </c>
      <c r="H13" s="19" t="str">
        <f>IF($C13="","",IF($G13="","-",INDEX(SETUP!$B$26:$B$32,MATCH($G13,SETUP!$A$26:$A$32,1))))</f>
        <v>61,000 - 61,999</v>
      </c>
      <c r="I13" s="70">
        <v>4714</v>
      </c>
      <c r="J13" s="19" t="str">
        <f>IF($C13="","",IF($I13="","-",INDEX(SETUP!$B$16:$B$22,MATCH($I13,SETUP!$A$16:$A$22,1))))</f>
        <v>CORE</v>
      </c>
      <c r="K13" s="19" t="str">
        <f t="shared" si="0"/>
        <v>4,000 - 4,999</v>
      </c>
      <c r="L13" s="71">
        <v>4.95</v>
      </c>
      <c r="M13" s="19" t="str">
        <f>IF($C13="","",IF($L13="","-",INDEX(SETUP!$B$36:$B$42,MATCH($L13,SETUP!$A$36:$A$42,1))))</f>
        <v>4k - 5k</v>
      </c>
      <c r="N13" s="21">
        <f>IF($C13="","",IF(OR($G13="",$I13=""),"",ROUND(100*(SETUP!$B$4*MIN(1,$I13/SETUP!$B$9)+SETUP!$B$5*MAX(0,MIN(1,($G13-SETUP!$B$10)/(SETUP!$B$11-SETUP!$B$10)))+SETUP!$B$6*MIN(1,IF($L13="",0,$L13)/SETUP!$B$12)),1)))</f>
        <v>47.2</v>
      </c>
      <c r="O13" s="19" t="str">
        <f>IF($C13="","",IF($N13="","-",INDEX(SETUP!$B$46:$B$51,MATCH($N13,SETUP!$A$46:$A$51,1))))</f>
        <v>B</v>
      </c>
      <c r="P13" s="19">
        <f>IF($C13="","",IF($I13="","",RANK($I13,$I$4:$I$1463)+COUNTIF($I$4:$I13,$I13)-1))</f>
        <v>452</v>
      </c>
      <c r="Q13" s="19">
        <f>IF($C13="","",COUNTIFS($B$4:$B$1463,$B13,$X$4:$X$1463,"&gt;"&amp;$X13)+COUNTIFS($B$4:$B13,$B13,$X$4:$X13,"="&amp;$X13))</f>
        <v>20</v>
      </c>
      <c r="R13" s="75">
        <f>IF($C13="","",IF($I13="","",ROUND(COUNTIF($I$4:$I$1463,"&lt;"&amp;$I13)/COUNT($I$4:$I$1463),3)))</f>
        <v>0.65900000000000003</v>
      </c>
      <c r="S13" s="19" t="str">
        <f t="shared" si="1"/>
        <v>Complete</v>
      </c>
      <c r="T13" s="1" t="str">
        <f>IF($C13="","",TRIM(IF(COUNTIF($C$4:$C$1463,$C13)&gt;1,"Dup name; ","")&amp;IF(AND($G13&lt;&gt;"",$G13&lt;55000),"Low CR - verify; ","")&amp;IF(AND($L13&lt;&gt;"",$L13&gt;15),"Secondary - verify; ","")&amp;IF($E13="","No class; ","")))</f>
        <v/>
      </c>
      <c r="U13" s="68"/>
      <c r="V13" s="68"/>
      <c r="W13" s="68"/>
      <c r="X13" s="76">
        <f t="shared" si="2"/>
        <v>4714</v>
      </c>
      <c r="Y13" s="1" t="str">
        <f t="shared" si="3"/>
        <v>INVICTUS|20</v>
      </c>
      <c r="Z13" s="19">
        <f>IF($C13="","",IF($G13="","",RANK($G13,$G$4:$G$1463)+COUNTIF($G$4:$G13,$G13)-1))</f>
        <v>843</v>
      </c>
      <c r="AA13" s="19">
        <f>IF($C13="","",IF($N13="","",RANK($N13,$N$4:$N$1463)+COUNTIF($N$4:$N13,$N13)-1))</f>
        <v>543</v>
      </c>
      <c r="AB13" s="1" t="str">
        <f>IF($C13="","",IF($E13="","",$E13&amp;"#"&amp;(COUNTIFS($E$4:$E$1463,$E13,$X$4:$X$1463,"&gt;"&amp;$X13)+COUNTIFS($E$4:$E13,$E13,$X$4:$X13,"="&amp;$X13))))</f>
        <v>DEMON HUNTER#74</v>
      </c>
      <c r="AC13" s="1" t="str">
        <f>IF($C13="","",$B13&amp;"@"&amp;(COUNTIFS($B$4:$B$1463,$B13,$C$4:$C$1463,"&lt;"&amp;$C13)+COUNTIFS($B$4:$B13,$B13,$C$4:$C13,$C13)))</f>
        <v>INVICTUS@1</v>
      </c>
      <c r="AD13" s="1">
        <f t="shared" si="4"/>
        <v>10</v>
      </c>
      <c r="AE13" s="1" t="s">
        <v>549</v>
      </c>
      <c r="AF13" s="76">
        <f t="shared" si="5"/>
        <v>61966</v>
      </c>
      <c r="AG13" s="77">
        <f t="shared" si="6"/>
        <v>4.95</v>
      </c>
      <c r="AH13" s="1" t="str">
        <f>IF($C13="","",$B13&amp;"|"&amp;(COUNTIFS($B$4:$B$1463,$B13,$AF$4:$AF$1463,"&gt;"&amp;$AF13)+COUNTIFS($B$4:$B13,$B13,$AF$4:$AF13,"="&amp;$AF13)))</f>
        <v>INVICTUS|54</v>
      </c>
      <c r="AI13" s="1" t="str">
        <f>IF($C13="","",$B13&amp;"|"&amp;(COUNTIFS($B$4:$B$1463,$B13,$AG$4:$AG$1463,"&gt;"&amp;$AG13)+COUNTIFS($B$4:$B13,$B13,$AG$4:$AG13,"="&amp;$AG13)))</f>
        <v>INVICTUS|31</v>
      </c>
    </row>
    <row r="14" spans="1:35" hidden="1">
      <c r="A14" s="69" t="s">
        <v>109</v>
      </c>
      <c r="B14" s="69" t="s">
        <v>111</v>
      </c>
      <c r="C14" s="63" t="s">
        <v>550</v>
      </c>
      <c r="D14" s="69" t="s">
        <v>527</v>
      </c>
      <c r="E14" s="68" t="s">
        <v>72</v>
      </c>
      <c r="F14" s="15" t="str">
        <f>IF($C14="","",IF($E14="","-",IFERROR(INDEX(SETUP!$B$55:$B$64,MATCH($E14,SETUP!$A$55:$A$64,0)),"Other")))</f>
        <v>Frontline</v>
      </c>
      <c r="G14" s="70">
        <v>62745</v>
      </c>
      <c r="H14" s="15" t="str">
        <f>IF($C14="","",IF($G14="","-",INDEX(SETUP!$B$26:$B$32,MATCH($G14,SETUP!$A$26:$A$32,1))))</f>
        <v>62,000 - 62,999</v>
      </c>
      <c r="I14" s="70">
        <v>3014</v>
      </c>
      <c r="J14" s="15" t="str">
        <f>IF($C14="","",IF($I14="","-",INDEX(SETUP!$B$16:$B$22,MATCH($I14,SETUP!$A$16:$A$22,1))))</f>
        <v>DEVELOPING</v>
      </c>
      <c r="K14" s="15" t="str">
        <f t="shared" si="0"/>
        <v>3,000 - 3,999</v>
      </c>
      <c r="L14" s="71">
        <v>4.8</v>
      </c>
      <c r="M14" s="15" t="str">
        <f>IF($C14="","",IF($L14="","-",INDEX(SETUP!$B$36:$B$42,MATCH($L14,SETUP!$A$36:$A$42,1))))</f>
        <v>4k - 5k</v>
      </c>
      <c r="N14" s="17">
        <f>IF($C14="","",IF(OR($G14="",$I14=""),"",ROUND(100*(SETUP!$B$4*MIN(1,$I14/SETUP!$B$9)+SETUP!$B$5*MAX(0,MIN(1,($G14-SETUP!$B$10)/(SETUP!$B$11-SETUP!$B$10)))+SETUP!$B$6*MIN(1,IF($L14="",0,$L14)/SETUP!$B$12)),1)))</f>
        <v>41.5</v>
      </c>
      <c r="O14" s="15" t="str">
        <f>IF($C14="","",IF($N14="","-",INDEX(SETUP!$B$46:$B$51,MATCH($N14,SETUP!$A$46:$A$51,1))))</f>
        <v>B</v>
      </c>
      <c r="P14" s="15">
        <f>IF($C14="","",IF($I14="","",RANK($I14,$I$4:$I$1463)+COUNTIF($I$4:$I14,$I14)-1))</f>
        <v>876</v>
      </c>
      <c r="Q14" s="15">
        <f>IF($C14="","",COUNTIFS($B$4:$B$1463,$B14,$X$4:$X$1463,"&gt;"&amp;$X14)+COUNTIFS($B$4:$B14,$B14,$X$4:$X14,"="&amp;$X14))</f>
        <v>88</v>
      </c>
      <c r="R14" s="72">
        <f>IF($C14="","",IF($I14="","",ROUND(COUNTIF($I$4:$I$1463,"&lt;"&amp;$I14)/COUNT($I$4:$I$1463),3)))</f>
        <v>0.33800000000000002</v>
      </c>
      <c r="S14" s="15" t="str">
        <f t="shared" si="1"/>
        <v>Complete</v>
      </c>
      <c r="T14" s="41" t="str">
        <f>IF($C14="","",TRIM(IF(COUNTIF($C$4:$C$1463,$C14)&gt;1,"Dup name; ","")&amp;IF(AND($G14&lt;&gt;"",$G14&lt;55000),"Low CR - verify; ","")&amp;IF(AND($L14&lt;&gt;"",$L14&gt;15),"Secondary - verify; ","")&amp;IF($E14="","No class; ","")))</f>
        <v/>
      </c>
      <c r="U14" s="68"/>
      <c r="V14" s="68"/>
      <c r="W14" s="68"/>
      <c r="X14" s="73">
        <f t="shared" si="2"/>
        <v>3014</v>
      </c>
      <c r="Y14" s="41" t="str">
        <f t="shared" si="3"/>
        <v>RECKONING|88</v>
      </c>
      <c r="Z14" s="15">
        <f>IF($C14="","",IF($G14="","",RANK($G14,$G$4:$G$1463)+COUNTIF($G$4:$G14,$G14)-1))</f>
        <v>547</v>
      </c>
      <c r="AA14" s="15">
        <f>IF($C14="","",IF($N14="","",RANK($N14,$N$4:$N$1463)+COUNTIF($N$4:$N14,$N14)-1))</f>
        <v>756</v>
      </c>
      <c r="AB14" s="41" t="str">
        <f>IF($C14="","",IF($E14="","",$E14&amp;"#"&amp;(COUNTIFS($E$4:$E$1463,$E14,$X$4:$X$1463,"&gt;"&amp;$X14)+COUNTIFS($E$4:$E14,$E14,$X$4:$X14,"="&amp;$X14))))</f>
        <v>BLOOD KNIGHT#64</v>
      </c>
      <c r="AC14" s="41" t="str">
        <f>IF($C14="","",$B14&amp;"@"&amp;(COUNTIFS($B$4:$B$1463,$B14,$C$4:$C$1463,"&lt;"&amp;$C14)+COUNTIFS($B$4:$B14,$B14,$C$4:$C14,$C14)))</f>
        <v>RECKONING@2</v>
      </c>
      <c r="AD14" s="41">
        <f t="shared" si="4"/>
        <v>11</v>
      </c>
      <c r="AE14" s="41" t="s">
        <v>551</v>
      </c>
      <c r="AF14" s="73">
        <f t="shared" si="5"/>
        <v>62745</v>
      </c>
      <c r="AG14" s="74">
        <f t="shared" si="6"/>
        <v>4.8</v>
      </c>
      <c r="AH14" s="41" t="str">
        <f>IF($C14="","",$B14&amp;"|"&amp;(COUNTIFS($B$4:$B$1463,$B14,$AF$4:$AF$1463,"&gt;"&amp;$AF14)+COUNTIFS($B$4:$B14,$B14,$AF$4:$AF14,"="&amp;$AF14)))</f>
        <v>RECKONING|54</v>
      </c>
      <c r="AI14" s="41" t="str">
        <f>IF($C14="","",$B14&amp;"|"&amp;(COUNTIFS($B$4:$B$1463,$B14,$AG$4:$AG$1463,"&gt;"&amp;$AG14)+COUNTIFS($B$4:$B14,$B14,$AG$4:$AG14,"="&amp;$AG14)))</f>
        <v>RECKONING|74</v>
      </c>
    </row>
    <row r="15" spans="1:35" hidden="1">
      <c r="A15" s="69" t="s">
        <v>109</v>
      </c>
      <c r="B15" s="69" t="s">
        <v>116</v>
      </c>
      <c r="C15" s="63" t="s">
        <v>552</v>
      </c>
      <c r="D15" s="69" t="s">
        <v>530</v>
      </c>
      <c r="E15" s="68" t="s">
        <v>77</v>
      </c>
      <c r="F15" s="19" t="str">
        <f>IF($C15="","",IF($E15="","-",IFERROR(INDEX(SETUP!$B$55:$B$64,MATCH($E15,SETUP!$A$55:$A$64,0)),"Other")))</f>
        <v>Control</v>
      </c>
      <c r="G15" s="70">
        <v>59911</v>
      </c>
      <c r="H15" s="19" t="str">
        <f>IF($C15="","",IF($G15="","-",INDEX(SETUP!$B$26:$B$32,MATCH($G15,SETUP!$A$26:$A$32,1))))</f>
        <v>58,000 - 59,999</v>
      </c>
      <c r="I15" s="70">
        <v>2308</v>
      </c>
      <c r="J15" s="19" t="str">
        <f>IF($C15="","",IF($I15="","-",INDEX(SETUP!$B$16:$B$22,MATCH($I15,SETUP!$A$16:$A$22,1))))</f>
        <v>DEVELOPING</v>
      </c>
      <c r="K15" s="19" t="str">
        <f t="shared" si="0"/>
        <v>2,000 - 2,999</v>
      </c>
      <c r="L15" s="71">
        <v>4.5999999999999996</v>
      </c>
      <c r="M15" s="19" t="str">
        <f>IF($C15="","",IF($L15="","-",INDEX(SETUP!$B$36:$B$42,MATCH($L15,SETUP!$A$36:$A$42,1))))</f>
        <v>4k - 5k</v>
      </c>
      <c r="N15" s="21">
        <f>IF($C15="","",IF(OR($G15="",$I15=""),"",ROUND(100*(SETUP!$B$4*MIN(1,$I15/SETUP!$B$9)+SETUP!$B$5*MAX(0,MIN(1,($G15-SETUP!$B$10)/(SETUP!$B$11-SETUP!$B$10)))+SETUP!$B$6*MIN(1,IF($L15="",0,$L15)/SETUP!$B$12)),1)))</f>
        <v>30.7</v>
      </c>
      <c r="O15" s="19" t="str">
        <f>IF($C15="","",IF($N15="","-",INDEX(SETUP!$B$46:$B$51,MATCH($N15,SETUP!$A$46:$A$51,1))))</f>
        <v>C</v>
      </c>
      <c r="P15" s="19">
        <f>IF($C15="","",IF($I15="","",RANK($I15,$I$4:$I$1463)+COUNTIF($I$4:$I15,$I15)-1))</f>
        <v>1040</v>
      </c>
      <c r="Q15" s="19">
        <f>IF($C15="","",COUNTIFS($B$4:$B$1463,$B15,$X$4:$X$1463,"&gt;"&amp;$X15)+COUNTIFS($B$4:$B15,$B15,$X$4:$X15,"="&amp;$X15))</f>
        <v>75</v>
      </c>
      <c r="R15" s="75">
        <f>IF($C15="","",IF($I15="","",ROUND(COUNTIF($I$4:$I$1463,"&lt;"&amp;$I15)/COUNT($I$4:$I$1463),3)))</f>
        <v>0.21299999999999999</v>
      </c>
      <c r="S15" s="19" t="str">
        <f t="shared" si="1"/>
        <v>Complete</v>
      </c>
      <c r="T15" s="1" t="str">
        <f>IF($C15="","",TRIM(IF(COUNTIF($C$4:$C$1463,$C15)&gt;1,"Dup name; ","")&amp;IF(AND($G15&lt;&gt;"",$G15&lt;55000),"Low CR - verify; ","")&amp;IF(AND($L15&lt;&gt;"",$L15&gt;15),"Secondary - verify; ","")&amp;IF($E15="","No class; ","")))</f>
        <v/>
      </c>
      <c r="U15" s="68"/>
      <c r="V15" s="68"/>
      <c r="W15" s="68"/>
      <c r="X15" s="76">
        <f t="shared" si="2"/>
        <v>2308</v>
      </c>
      <c r="Y15" s="1" t="str">
        <f t="shared" si="3"/>
        <v>VENGEANCE|75</v>
      </c>
      <c r="Z15" s="19">
        <f>IF($C15="","",IF($G15="","",RANK($G15,$G$4:$G$1463)+COUNTIF($G$4:$G15,$G15)-1))</f>
        <v>1243</v>
      </c>
      <c r="AA15" s="19">
        <f>IF($C15="","",IF($N15="","",RANK($N15,$N$4:$N$1463)+COUNTIF($N$4:$N15,$N15)-1))</f>
        <v>1127</v>
      </c>
      <c r="AB15" s="1" t="str">
        <f>IF($C15="","",IF($E15="","",$E15&amp;"#"&amp;(COUNTIFS($E$4:$E$1463,$E15,$X$4:$X$1463,"&gt;"&amp;$X15)+COUNTIFS($E$4:$E15,$E15,$X$4:$X15,"="&amp;$X15))))</f>
        <v>NECROMANCER#67</v>
      </c>
      <c r="AC15" s="1" t="str">
        <f>IF($C15="","",$B15&amp;"@"&amp;(COUNTIFS($B$4:$B$1463,$B15,$C$4:$C$1463,"&lt;"&amp;$C15)+COUNTIFS($B$4:$B15,$B15,$C$4:$C15,$C15)))</f>
        <v>VENGEANCE@3</v>
      </c>
      <c r="AD15" s="1">
        <f t="shared" si="4"/>
        <v>12</v>
      </c>
      <c r="AE15" s="1" t="s">
        <v>553</v>
      </c>
      <c r="AF15" s="76">
        <f t="shared" si="5"/>
        <v>59911</v>
      </c>
      <c r="AG15" s="77">
        <f t="shared" si="6"/>
        <v>4.5999999999999996</v>
      </c>
      <c r="AH15" s="1" t="str">
        <f>IF($C15="","",$B15&amp;"|"&amp;(COUNTIFS($B$4:$B$1463,$B15,$AF$4:$AF$1463,"&gt;"&amp;$AF15)+COUNTIFS($B$4:$B15,$B15,$AF$4:$AF15,"="&amp;$AF15)))</f>
        <v>VENGEANCE|89</v>
      </c>
      <c r="AI15" s="1" t="str">
        <f>IF($C15="","",$B15&amp;"|"&amp;(COUNTIFS($B$4:$B$1463,$B15,$AG$4:$AG$1463,"&gt;"&amp;$AG15)+COUNTIFS($B$4:$B15,$B15,$AG$4:$AG15,"="&amp;$AG15)))</f>
        <v>VENGEANCE|48</v>
      </c>
    </row>
    <row r="16" spans="1:35" hidden="1">
      <c r="A16" s="69" t="s">
        <v>109</v>
      </c>
      <c r="B16" s="69" t="s">
        <v>115</v>
      </c>
      <c r="C16" s="63" t="s">
        <v>554</v>
      </c>
      <c r="D16" s="69"/>
      <c r="E16" s="68" t="s">
        <v>77</v>
      </c>
      <c r="F16" s="15" t="str">
        <f>IF($C16="","",IF($E16="","-",IFERROR(INDEX(SETUP!$B$55:$B$64,MATCH($E16,SETUP!$A$55:$A$64,0)),"Other")))</f>
        <v>Control</v>
      </c>
      <c r="G16" s="70">
        <v>55513</v>
      </c>
      <c r="H16" s="15" t="str">
        <f>IF($C16="","",IF($G16="","-",INDEX(SETUP!$B$26:$B$32,MATCH($G16,SETUP!$A$26:$A$32,1))))</f>
        <v>Under 58,000</v>
      </c>
      <c r="I16" s="70">
        <v>791</v>
      </c>
      <c r="J16" s="15" t="str">
        <f>IF($C16="","",IF($I16="","-",INDEX(SETUP!$B$16:$B$22,MATCH($I16,SETUP!$A$16:$A$22,1))))</f>
        <v>ROOKIE</v>
      </c>
      <c r="K16" s="15" t="str">
        <f t="shared" si="0"/>
        <v>0 - 999</v>
      </c>
      <c r="L16" s="71">
        <v>2.4</v>
      </c>
      <c r="M16" s="15" t="str">
        <f>IF($C16="","",IF($L16="","-",INDEX(SETUP!$B$36:$B$42,MATCH($L16,SETUP!$A$36:$A$42,1))))</f>
        <v>Under 3k</v>
      </c>
      <c r="N16" s="17">
        <f>IF($C16="","",IF(OR($G16="",$I16=""),"",ROUND(100*(SETUP!$B$4*MIN(1,$I16/SETUP!$B$9)+SETUP!$B$5*MAX(0,MIN(1,($G16-SETUP!$B$10)/(SETUP!$B$11-SETUP!$B$10)))+SETUP!$B$6*MIN(1,IF($L16="",0,$L16)/SETUP!$B$12)),1)))</f>
        <v>8.8000000000000007</v>
      </c>
      <c r="O16" s="15" t="str">
        <f>IF($C16="","",IF($N16="","-",INDEX(SETUP!$B$46:$B$51,MATCH($N16,SETUP!$A$46:$A$51,1))))</f>
        <v>D</v>
      </c>
      <c r="P16" s="15">
        <f>IF($C16="","",IF($I16="","",RANK($I16,$I$4:$I$1463)+COUNTIF($I$4:$I16,$I16)-1))</f>
        <v>1295</v>
      </c>
      <c r="Q16" s="15">
        <f>IF($C16="","",COUNTIFS($B$4:$B$1463,$B16,$X$4:$X$1463,"&gt;"&amp;$X16)+COUNTIFS($B$4:$B16,$B16,$X$4:$X16,"="&amp;$X16))</f>
        <v>65</v>
      </c>
      <c r="R16" s="72">
        <f>IF($C16="","",IF($I16="","",ROUND(COUNTIF($I$4:$I$1463,"&lt;"&amp;$I16)/COUNT($I$4:$I$1463),3)))</f>
        <v>2.3E-2</v>
      </c>
      <c r="S16" s="15" t="str">
        <f t="shared" si="1"/>
        <v>Complete</v>
      </c>
      <c r="T16" s="41" t="str">
        <f>IF($C16="","",TRIM(IF(COUNTIF($C$4:$C$1463,$C16)&gt;1,"Dup name; ","")&amp;IF(AND($G16&lt;&gt;"",$G16&lt;55000),"Low CR - verify; ","")&amp;IF(AND($L16&lt;&gt;"",$L16&gt;15),"Secondary - verify; ","")&amp;IF($E16="","No class; ","")))</f>
        <v/>
      </c>
      <c r="U16" s="68"/>
      <c r="V16" s="68"/>
      <c r="W16" s="68"/>
      <c r="X16" s="73">
        <f t="shared" si="2"/>
        <v>791</v>
      </c>
      <c r="Y16" s="41" t="str">
        <f t="shared" si="3"/>
        <v>SUB ROSA|65</v>
      </c>
      <c r="Z16" s="15">
        <f>IF($C16="","",IF($G16="","",RANK($G16,$G$4:$G$1463)+COUNTIF($G$4:$G16,$G16)-1))</f>
        <v>1317</v>
      </c>
      <c r="AA16" s="15">
        <f>IF($C16="","",IF($N16="","",RANK($N16,$N$4:$N$1463)+COUNTIF($N$4:$N16,$N16)-1))</f>
        <v>1320</v>
      </c>
      <c r="AB16" s="41" t="str">
        <f>IF($C16="","",IF($E16="","",$E16&amp;"#"&amp;(COUNTIFS($E$4:$E$1463,$E16,$X$4:$X$1463,"&gt;"&amp;$X16)+COUNTIFS($E$4:$E16,$E16,$X$4:$X16,"="&amp;$X16))))</f>
        <v>NECROMANCER#102</v>
      </c>
      <c r="AC16" s="41" t="str">
        <f>IF($C16="","",$B16&amp;"@"&amp;(COUNTIFS($B$4:$B$1463,$B16,$C$4:$C$1463,"&lt;"&amp;$C16)+COUNTIFS($B$4:$B16,$B16,$C$4:$C16,$C16)))</f>
        <v>SUB ROSA@1</v>
      </c>
      <c r="AD16" s="41">
        <f t="shared" si="4"/>
        <v>13</v>
      </c>
      <c r="AE16" s="41" t="s">
        <v>555</v>
      </c>
      <c r="AF16" s="73">
        <f t="shared" si="5"/>
        <v>55513</v>
      </c>
      <c r="AG16" s="74">
        <f t="shared" si="6"/>
        <v>2.4</v>
      </c>
      <c r="AH16" s="41" t="str">
        <f>IF($C16="","",$B16&amp;"|"&amp;(COUNTIFS($B$4:$B$1463,$B16,$AF$4:$AF$1463,"&gt;"&amp;$AF16)+COUNTIFS($B$4:$B16,$B16,$AF$4:$AF16,"="&amp;$AF16)))</f>
        <v>SUB ROSA|68</v>
      </c>
      <c r="AI16" s="41" t="str">
        <f>IF($C16="","",$B16&amp;"|"&amp;(COUNTIFS($B$4:$B$1463,$B16,$AG$4:$AG$1463,"&gt;"&amp;$AG16)+COUNTIFS($B$4:$B16,$B16,$AG$4:$AG16,"="&amp;$AG16)))</f>
        <v>SUB ROSA|67</v>
      </c>
    </row>
    <row r="17" spans="1:35" hidden="1">
      <c r="A17" s="69" t="s">
        <v>109</v>
      </c>
      <c r="B17" s="69" t="s">
        <v>114</v>
      </c>
      <c r="C17" s="63" t="s">
        <v>556</v>
      </c>
      <c r="D17" s="69"/>
      <c r="E17" s="68" t="s">
        <v>71</v>
      </c>
      <c r="F17" s="19" t="str">
        <f>IF($C17="","",IF($E17="","-",IFERROR(INDEX(SETUP!$B$55:$B$64,MATCH($E17,SETUP!$A$55:$A$64,0)),"Other")))</f>
        <v>Frontline</v>
      </c>
      <c r="G17" s="70">
        <v>55990</v>
      </c>
      <c r="H17" s="19" t="str">
        <f>IF($C17="","",IF($G17="","-",INDEX(SETUP!$B$26:$B$32,MATCH($G17,SETUP!$A$26:$A$32,1))))</f>
        <v>Under 58,000</v>
      </c>
      <c r="I17" s="70">
        <v>4387</v>
      </c>
      <c r="J17" s="19" t="str">
        <f>IF($C17="","",IF($I17="","-",INDEX(SETUP!$B$16:$B$22,MATCH($I17,SETUP!$A$16:$A$22,1))))</f>
        <v>CORE</v>
      </c>
      <c r="K17" s="19" t="str">
        <f t="shared" si="0"/>
        <v>4,000 - 4,999</v>
      </c>
      <c r="L17" s="71">
        <v>3.7</v>
      </c>
      <c r="M17" s="19" t="str">
        <f>IF($C17="","",IF($L17="","-",INDEX(SETUP!$B$36:$B$42,MATCH($L17,SETUP!$A$36:$A$42,1))))</f>
        <v>3k - 4k</v>
      </c>
      <c r="N17" s="21">
        <f>IF($C17="","",IF(OR($G17="",$I17=""),"",ROUND(100*(SETUP!$B$4*MIN(1,$I17/SETUP!$B$9)+SETUP!$B$5*MAX(0,MIN(1,($G17-SETUP!$B$10)/(SETUP!$B$11-SETUP!$B$10)))+SETUP!$B$6*MIN(1,IF($L17="",0,$L17)/SETUP!$B$12)),1)))</f>
        <v>27.9</v>
      </c>
      <c r="O17" s="19" t="str">
        <f>IF($C17="","",IF($N17="","-",INDEX(SETUP!$B$46:$B$51,MATCH($N17,SETUP!$A$46:$A$51,1))))</f>
        <v>C</v>
      </c>
      <c r="P17" s="19">
        <f>IF($C17="","",IF($I17="","",RANK($I17,$I$4:$I$1463)+COUNTIF($I$4:$I17,$I17)-1))</f>
        <v>518</v>
      </c>
      <c r="Q17" s="19">
        <f>IF($C17="","",COUNTIFS($B$4:$B$1463,$B17,$X$4:$X$1463,"&gt;"&amp;$X17)+COUNTIFS($B$4:$B17,$B17,$X$4:$X17,"="&amp;$X17))</f>
        <v>8</v>
      </c>
      <c r="R17" s="75">
        <f>IF($C17="","",IF($I17="","",ROUND(COUNTIF($I$4:$I$1463,"&lt;"&amp;$I17)/COUNT($I$4:$I$1463),3)))</f>
        <v>0.60899999999999999</v>
      </c>
      <c r="S17" s="19" t="str">
        <f t="shared" si="1"/>
        <v>Complete</v>
      </c>
      <c r="T17" s="1" t="str">
        <f>IF($C17="","",TRIM(IF(COUNTIF($C$4:$C$1463,$C17)&gt;1,"Dup name; ","")&amp;IF(AND($G17&lt;&gt;"",$G17&lt;55000),"Low CR - verify; ","")&amp;IF(AND($L17&lt;&gt;"",$L17&gt;15),"Secondary - verify; ","")&amp;IF($E17="","No class; ","")))</f>
        <v/>
      </c>
      <c r="U17" s="68"/>
      <c r="V17" s="68"/>
      <c r="W17" s="68"/>
      <c r="X17" s="76">
        <f t="shared" si="2"/>
        <v>4387</v>
      </c>
      <c r="Y17" s="1" t="str">
        <f t="shared" si="3"/>
        <v>EMERALD LEAF TRIBE|8</v>
      </c>
      <c r="Z17" s="19">
        <f>IF($C17="","",IF($G17="","",RANK($G17,$G$4:$G$1463)+COUNTIF($G$4:$G17,$G17)-1))</f>
        <v>1313</v>
      </c>
      <c r="AA17" s="19">
        <f>IF($C17="","",IF($N17="","",RANK($N17,$N$4:$N$1463)+COUNTIF($N$4:$N17,$N17)-1))</f>
        <v>1192</v>
      </c>
      <c r="AB17" s="1" t="str">
        <f>IF($C17="","",IF($E17="","",$E17&amp;"#"&amp;(COUNTIFS($E$4:$E$1463,$E17,$X$4:$X$1463,"&gt;"&amp;$X17)+COUNTIFS($E$4:$E17,$E17,$X$4:$X17,"="&amp;$X17))))</f>
        <v>BARBARIAN#99</v>
      </c>
      <c r="AC17" s="1" t="str">
        <f>IF($C17="","",$B17&amp;"@"&amp;(COUNTIFS($B$4:$B$1463,$B17,$C$4:$C$1463,"&lt;"&amp;$C17)+COUNTIFS($B$4:$B17,$B17,$C$4:$C17,$C17)))</f>
        <v>EMERALD LEAF TRIBE@1</v>
      </c>
      <c r="AD17" s="1">
        <f t="shared" si="4"/>
        <v>14</v>
      </c>
      <c r="AE17" s="1" t="s">
        <v>557</v>
      </c>
      <c r="AF17" s="76">
        <f t="shared" si="5"/>
        <v>55990</v>
      </c>
      <c r="AG17" s="77">
        <f t="shared" si="6"/>
        <v>3.7</v>
      </c>
      <c r="AH17" s="1" t="str">
        <f>IF($C17="","",$B17&amp;"|"&amp;(COUNTIFS($B$4:$B$1463,$B17,$AF$4:$AF$1463,"&gt;"&amp;$AF17)+COUNTIFS($B$4:$B17,$B17,$AF$4:$AF17,"="&amp;$AF17)))</f>
        <v>EMERALD LEAF TRIBE|94</v>
      </c>
      <c r="AI17" s="1" t="str">
        <f>IF($C17="","",$B17&amp;"|"&amp;(COUNTIFS($B$4:$B$1463,$B17,$AG$4:$AG$1463,"&gt;"&amp;$AG17)+COUNTIFS($B$4:$B17,$B17,$AG$4:$AG17,"="&amp;$AG17)))</f>
        <v>EMERALD LEAF TRIBE|46</v>
      </c>
    </row>
    <row r="18" spans="1:35" hidden="1">
      <c r="A18" s="69" t="s">
        <v>109</v>
      </c>
      <c r="B18" s="69" t="s">
        <v>116</v>
      </c>
      <c r="C18" s="63" t="s">
        <v>558</v>
      </c>
      <c r="D18" s="69" t="s">
        <v>530</v>
      </c>
      <c r="E18" s="68" t="s">
        <v>73</v>
      </c>
      <c r="F18" s="15" t="str">
        <f>IF($C18="","",IF($E18="","-",IFERROR(INDEX(SETUP!$B$55:$B$64,MATCH($E18,SETUP!$A$55:$A$64,0)),"Other")))</f>
        <v>Frontline</v>
      </c>
      <c r="G18" s="70">
        <v>62542</v>
      </c>
      <c r="H18" s="15" t="str">
        <f>IF($C18="","",IF($G18="","-",INDEX(SETUP!$B$26:$B$32,MATCH($G18,SETUP!$A$26:$A$32,1))))</f>
        <v>62,000 - 62,999</v>
      </c>
      <c r="I18" s="70">
        <v>4661</v>
      </c>
      <c r="J18" s="15" t="str">
        <f>IF($C18="","",IF($I18="","-",INDEX(SETUP!$B$16:$B$22,MATCH($I18,SETUP!$A$16:$A$22,1))))</f>
        <v>CORE</v>
      </c>
      <c r="K18" s="15" t="str">
        <f t="shared" si="0"/>
        <v>4,000 - 4,999</v>
      </c>
      <c r="L18" s="71">
        <v>5.0999999999999996</v>
      </c>
      <c r="M18" s="15" t="str">
        <f>IF($C18="","",IF($L18="","-",INDEX(SETUP!$B$36:$B$42,MATCH($L18,SETUP!$A$36:$A$42,1))))</f>
        <v>5k - 6k</v>
      </c>
      <c r="N18" s="17">
        <f>IF($C18="","",IF(OR($G18="",$I18=""),"",ROUND(100*(SETUP!$B$4*MIN(1,$I18/SETUP!$B$9)+SETUP!$B$5*MAX(0,MIN(1,($G18-SETUP!$B$10)/(SETUP!$B$11-SETUP!$B$10)))+SETUP!$B$6*MIN(1,IF($L18="",0,$L18)/SETUP!$B$12)),1)))</f>
        <v>48.7</v>
      </c>
      <c r="O18" s="15" t="str">
        <f>IF($C18="","",IF($N18="","-",INDEX(SETUP!$B$46:$B$51,MATCH($N18,SETUP!$A$46:$A$51,1))))</f>
        <v>B</v>
      </c>
      <c r="P18" s="15">
        <f>IF($C18="","",IF($I18="","",RANK($I18,$I$4:$I$1463)+COUNTIF($I$4:$I18,$I18)-1))</f>
        <v>461</v>
      </c>
      <c r="Q18" s="15">
        <f>IF($C18="","",COUNTIFS($B$4:$B$1463,$B18,$X$4:$X$1463,"&gt;"&amp;$X18)+COUNTIFS($B$4:$B18,$B18,$X$4:$X18,"="&amp;$X18))</f>
        <v>21</v>
      </c>
      <c r="R18" s="72">
        <f>IF($C18="","",IF($I18="","",ROUND(COUNTIF($I$4:$I$1463,"&lt;"&amp;$I18)/COUNT($I$4:$I$1463),3)))</f>
        <v>0.65200000000000002</v>
      </c>
      <c r="S18" s="15" t="str">
        <f t="shared" si="1"/>
        <v>Complete</v>
      </c>
      <c r="T18" s="41" t="str">
        <f>IF($C18="","",TRIM(IF(COUNTIF($C$4:$C$1463,$C18)&gt;1,"Dup name; ","")&amp;IF(AND($G18&lt;&gt;"",$G18&lt;55000),"Low CR - verify; ","")&amp;IF(AND($L18&lt;&gt;"",$L18&gt;15),"Secondary - verify; ","")&amp;IF($E18="","No class; ","")))</f>
        <v/>
      </c>
      <c r="U18" s="68"/>
      <c r="V18" s="68"/>
      <c r="W18" s="68"/>
      <c r="X18" s="73">
        <f t="shared" si="2"/>
        <v>4661</v>
      </c>
      <c r="Y18" s="41" t="str">
        <f t="shared" si="3"/>
        <v>VENGEANCE|21</v>
      </c>
      <c r="Z18" s="15">
        <f>IF($C18="","",IF($G18="","",RANK($G18,$G$4:$G$1463)+COUNTIF($G$4:$G18,$G18)-1))</f>
        <v>636</v>
      </c>
      <c r="AA18" s="15">
        <f>IF($C18="","",IF($N18="","",RANK($N18,$N$4:$N$1463)+COUNTIF($N$4:$N18,$N18)-1))</f>
        <v>491</v>
      </c>
      <c r="AB18" s="41" t="str">
        <f>IF($C18="","",IF($E18="","",$E18&amp;"#"&amp;(COUNTIFS($E$4:$E$1463,$E18,$X$4:$X$1463,"&gt;"&amp;$X18)+COUNTIFS($E$4:$E18,$E18,$X$4:$X18,"="&amp;$X18))))</f>
        <v>CRUSADER#56</v>
      </c>
      <c r="AC18" s="41" t="str">
        <f>IF($C18="","",$B18&amp;"@"&amp;(COUNTIFS($B$4:$B$1463,$B18,$C$4:$C$1463,"&lt;"&amp;$C18)+COUNTIFS($B$4:$B18,$B18,$C$4:$C18,$C18)))</f>
        <v>VENGEANCE@4</v>
      </c>
      <c r="AD18" s="41">
        <f t="shared" si="4"/>
        <v>15</v>
      </c>
      <c r="AE18" s="41" t="s">
        <v>559</v>
      </c>
      <c r="AF18" s="73">
        <f t="shared" si="5"/>
        <v>62542</v>
      </c>
      <c r="AG18" s="74">
        <f t="shared" si="6"/>
        <v>5.0999999999999996</v>
      </c>
      <c r="AH18" s="41" t="str">
        <f>IF($C18="","",$B18&amp;"|"&amp;(COUNTIFS($B$4:$B$1463,$B18,$AF$4:$AF$1463,"&gt;"&amp;$AF18)+COUNTIFS($B$4:$B18,$B18,$AF$4:$AF18,"="&amp;$AF18)))</f>
        <v>VENGEANCE|39</v>
      </c>
      <c r="AI18" s="41" t="str">
        <f>IF($C18="","",$B18&amp;"|"&amp;(COUNTIFS($B$4:$B$1463,$B18,$AG$4:$AG$1463,"&gt;"&amp;$AG18)+COUNTIFS($B$4:$B18,$B18,$AG$4:$AG18,"="&amp;$AG18)))</f>
        <v>VENGEANCE|26</v>
      </c>
    </row>
    <row r="19" spans="1:35">
      <c r="A19" s="69" t="s">
        <v>104</v>
      </c>
      <c r="B19" s="69" t="s">
        <v>66</v>
      </c>
      <c r="C19" s="63" t="s">
        <v>560</v>
      </c>
      <c r="D19" s="69"/>
      <c r="E19" s="68" t="s">
        <v>75</v>
      </c>
      <c r="F19" s="19" t="str">
        <f>IF($C19="","",IF($E19="","-",IFERROR(INDEX(SETUP!$B$55:$B$64,MATCH($E19,SETUP!$A$55:$A$64,0)),"Other")))</f>
        <v>Support</v>
      </c>
      <c r="G19" s="70">
        <v>62997</v>
      </c>
      <c r="H19" s="19" t="str">
        <f>IF($C19="","",IF($G19="","-",INDEX(SETUP!$B$26:$B$32,MATCH($G19,SETUP!$A$26:$A$32,1))))</f>
        <v>62,000 - 62,999</v>
      </c>
      <c r="I19" s="70">
        <v>7436</v>
      </c>
      <c r="J19" s="19" t="str">
        <f>IF($C19="","",IF($I19="","-",INDEX(SETUP!$B$16:$B$22,MATCH($I19,SETUP!$A$16:$A$22,1))))</f>
        <v>VETERAN</v>
      </c>
      <c r="K19" s="19" t="str">
        <f>IF($C19="","",IF($I19="","-",TEXT(INT($I19/1000)*1000,"#,##0")&amp;" - "&amp;TEXT(INT($I19/1000)*1000+999,"#,##0")))</f>
        <v>7,000 - 7,999</v>
      </c>
      <c r="L19" s="71">
        <v>6.06</v>
      </c>
      <c r="M19" s="19" t="str">
        <f>IF($C19="","",IF($L19="","-",INDEX(SETUP!$B$36:$B$42,MATCH($L19,SETUP!$A$36:$A$42,1))))</f>
        <v>6k - 8k</v>
      </c>
      <c r="N19" s="21">
        <f>IF($C19="","",IF(OR($G19="",$I19=""),"",ROUND(100*(SETUP!$B$4*MIN(1,$I19/SETUP!$B$9)+SETUP!$B$5*MAX(0,MIN(1,($G19-SETUP!$B$10)/(SETUP!$B$11-SETUP!$B$10)))+SETUP!$B$6*MIN(1,IF($L19="",0,$L19)/SETUP!$B$12)),1)))</f>
        <v>63.6</v>
      </c>
      <c r="O19" s="19" t="str">
        <f>IF($C19="","",IF($N19="","-",INDEX(SETUP!$B$46:$B$51,MATCH($N19,SETUP!$A$46:$A$51,1))))</f>
        <v>A</v>
      </c>
      <c r="P19" s="19">
        <f>IF($C19="","",IF($I19="","",RANK($I19,$I$4:$I$1463)+COUNTIF($I$4:$I19,$I19)-1))</f>
        <v>176</v>
      </c>
      <c r="Q19" s="19">
        <f>IF($C19="","",COUNTIFS($B$4:$B$1463,$B19,$X$4:$X$1463,"&gt;"&amp;$X19)+COUNTIFS($B$4:$B19,$B19,$X$4:$X19,"="&amp;$X19))</f>
        <v>18</v>
      </c>
      <c r="R19" s="75">
        <f>IF($C19="","",IF($I19="","",ROUND(COUNTIF($I$4:$I$1463,"&lt;"&amp;$I19)/COUNT($I$4:$I$1463),3)))</f>
        <v>0.86699999999999999</v>
      </c>
      <c r="S19" s="19" t="str">
        <f>IF($C19="","",IF($G19="","Name only",IF(OR($I19="",$L19=""),"Partial","Complete")))</f>
        <v>Complete</v>
      </c>
      <c r="T19" s="1" t="str">
        <f>IF($C19="","",TRIM(IF(COUNTIF($C$4:$C$1463,$C19)&gt;1,"Dup name; ","")&amp;IF(AND($G19&lt;&gt;"",$G19&lt;55000),"Low CR - verify; ","")&amp;IF(AND($L19&lt;&gt;"",$L19&gt;15),"Secondary - verify; ","")&amp;IF($E19="","No class; ","")))</f>
        <v/>
      </c>
      <c r="U19" s="68"/>
      <c r="V19" s="68"/>
      <c r="W19" s="68"/>
      <c r="X19" s="76">
        <f t="shared" si="2"/>
        <v>7436</v>
      </c>
      <c r="Y19" s="1" t="str">
        <f t="shared" si="3"/>
        <v>FUCT|18</v>
      </c>
      <c r="Z19" s="19">
        <f>IF($C19="","",IF($G19="","",RANK($G19,$G$4:$G$1463)+COUNTIF($G$4:$G19,$G19)-1))</f>
        <v>429</v>
      </c>
      <c r="AA19" s="19">
        <f>IF($C19="","",IF($N19="","",RANK($N19,$N$4:$N$1463)+COUNTIF($N$4:$N19,$N19)-1))</f>
        <v>193</v>
      </c>
      <c r="AB19" s="1" t="str">
        <f>IF($C19="","",IF($E19="","",$E19&amp;"#"&amp;(COUNTIFS($E$4:$E$1463,$E19,$X$4:$X$1463,"&gt;"&amp;$X19)+COUNTIFS($E$4:$E19,$E19,$X$4:$X19,"="&amp;$X19))))</f>
        <v>DRUID#7</v>
      </c>
      <c r="AC19" s="1" t="str">
        <f>IF($C19="","",$B19&amp;"@"&amp;(COUNTIFS($B$4:$B$1463,$B19,$C$4:$C$1463,"&lt;"&amp;$C19)+COUNTIFS($B$4:$B19,$B19,$C$4:$C19,$C19)))</f>
        <v>FUCT@1</v>
      </c>
      <c r="AD19" s="1">
        <f t="shared" si="4"/>
        <v>16</v>
      </c>
      <c r="AE19" s="1" t="s">
        <v>561</v>
      </c>
      <c r="AF19" s="76">
        <f t="shared" si="5"/>
        <v>62997</v>
      </c>
      <c r="AG19" s="77">
        <f t="shared" si="6"/>
        <v>6.06</v>
      </c>
      <c r="AH19" s="1" t="str">
        <f>IF($C19="","",$B19&amp;"|"&amp;(COUNTIFS($B$4:$B$1463,$B19,$AF$4:$AF$1463,"&gt;"&amp;$AF19)+COUNTIFS($B$4:$B19,$B19,$AF$4:$AF19,"="&amp;$AF19)))</f>
        <v>FUCT|45</v>
      </c>
      <c r="AI19" s="1" t="str">
        <f>IF($C19="","",$B19&amp;"|"&amp;(COUNTIFS($B$4:$B$1463,$B19,$AG$4:$AG$1463,"&gt;"&amp;$AG19)+COUNTIFS($B$4:$B19,$B19,$AG$4:$AG19,"="&amp;$AG19)))</f>
        <v>FUCT|19</v>
      </c>
    </row>
    <row r="20" spans="1:35" hidden="1">
      <c r="A20" s="69" t="s">
        <v>106</v>
      </c>
      <c r="B20" s="69" t="s">
        <v>86</v>
      </c>
      <c r="C20" s="63" t="s">
        <v>562</v>
      </c>
      <c r="D20" s="69"/>
      <c r="E20" s="68" t="s">
        <v>79</v>
      </c>
      <c r="F20" s="15" t="str">
        <f>IF($C20="","",IF($E20="","-",IFERROR(INDEX(SETUP!$B$55:$B$64,MATCH($E20,SETUP!$A$55:$A$64,0)),"Other")))</f>
        <v>Control</v>
      </c>
      <c r="G20" s="70">
        <v>63213</v>
      </c>
      <c r="H20" s="15" t="str">
        <f>IF($C20="","",IF($G20="","-",INDEX(SETUP!$B$26:$B$32,MATCH($G20,SETUP!$A$26:$A$32,1))))</f>
        <v>63,000 - 63,999</v>
      </c>
      <c r="I20" s="70">
        <v>4265</v>
      </c>
      <c r="J20" s="15" t="str">
        <f>IF($C20="","",IF($I20="","-",INDEX(SETUP!$B$16:$B$22,MATCH($I20,SETUP!$A$16:$A$22,1))))</f>
        <v>CORE</v>
      </c>
      <c r="K20" s="15" t="str">
        <f>IF($C20="","",IF($I20="","-",TEXT(INT($I20/1000)*1000,"#,##0")&amp;" - "&amp;TEXT(INT($I20/1000)*1000+999,"#,##0")))</f>
        <v>4,000 - 4,999</v>
      </c>
      <c r="L20" s="71">
        <v>6.41</v>
      </c>
      <c r="M20" s="15" t="str">
        <f>IF($C20="","",IF($L20="","-",INDEX(SETUP!$B$36:$B$42,MATCH($L20,SETUP!$A$36:$A$42,1))))</f>
        <v>6k - 8k</v>
      </c>
      <c r="N20" s="17">
        <f>IF($C20="","",IF(OR($G20="",$I20=""),"",ROUND(100*(SETUP!$B$4*MIN(1,$I20/SETUP!$B$9)+SETUP!$B$5*MAX(0,MIN(1,($G20-SETUP!$B$10)/(SETUP!$B$11-SETUP!$B$10)))+SETUP!$B$6*MIN(1,IF($L20="",0,$L20)/SETUP!$B$12)),1)))</f>
        <v>50.9</v>
      </c>
      <c r="O20" s="15" t="str">
        <f>IF($C20="","",IF($N20="","-",INDEX(SETUP!$B$46:$B$51,MATCH($N20,SETUP!$A$46:$A$51,1))))</f>
        <v>A</v>
      </c>
      <c r="P20" s="15">
        <f>IF($C20="","",IF($I20="","",RANK($I20,$I$4:$I$1463)+COUNTIF($I$4:$I20,$I20)-1))</f>
        <v>542</v>
      </c>
      <c r="Q20" s="15">
        <f>IF($C20="","",COUNTIFS($B$4:$B$1463,$B20,$X$4:$X$1463,"&gt;"&amp;$X20)+COUNTIFS($B$4:$B20,$B20,$X$4:$X20,"="&amp;$X20))</f>
        <v>77</v>
      </c>
      <c r="R20" s="72">
        <f>IF($C20="","",IF($I20="","",ROUND(COUNTIF($I$4:$I$1463,"&lt;"&amp;$I20)/COUNT($I$4:$I$1463),3)))</f>
        <v>0.59099999999999997</v>
      </c>
      <c r="S20" s="15" t="str">
        <f>IF($C20="","",IF($G20="","Name only",IF(OR($I20="",$L20=""),"Partial","Complete")))</f>
        <v>Complete</v>
      </c>
      <c r="T20" s="41" t="str">
        <f>IF($C20="","",TRIM(IF(COUNTIF($C$4:$C$1463,$C20)&gt;1,"Dup name; ","")&amp;IF(AND($G20&lt;&gt;"",$G20&lt;55000),"Low CR - verify; ","")&amp;IF(AND($L20&lt;&gt;"",$L20&gt;15),"Secondary - verify; ","")&amp;IF($E20="","No class; ","")))</f>
        <v/>
      </c>
      <c r="U20" s="68"/>
      <c r="V20" s="68"/>
      <c r="W20" s="68"/>
      <c r="X20" s="73">
        <f t="shared" si="2"/>
        <v>4265</v>
      </c>
      <c r="Y20" s="41" t="str">
        <f t="shared" si="3"/>
        <v>VANGUARD|77</v>
      </c>
      <c r="Z20" s="15">
        <f>IF($C20="","",IF($G20="","",RANK($G20,$G$4:$G$1463)+COUNTIF($G$4:$G20,$G20)-1))</f>
        <v>307</v>
      </c>
      <c r="AA20" s="15">
        <f>IF($C20="","",IF($N20="","",RANK($N20,$N$4:$N$1463)+COUNTIF($N$4:$N20,$N20)-1))</f>
        <v>427</v>
      </c>
      <c r="AB20" s="41" t="str">
        <f>IF($C20="","",IF($E20="","",$E20&amp;"#"&amp;(COUNTIFS($E$4:$E$1463,$E20,$X$4:$X$1463,"&gt;"&amp;$X20)+COUNTIFS($E$4:$E20,$E20,$X$4:$X20,"="&amp;$X20))))</f>
        <v>WARLOCK#126</v>
      </c>
      <c r="AC20" s="41" t="str">
        <f>IF($C20="","",$B20&amp;"@"&amp;(COUNTIFS($B$4:$B$1463,$B20,$C$4:$C$1463,"&lt;"&amp;$C20)+COUNTIFS($B$4:$B20,$B20,$C$4:$C20,$C20)))</f>
        <v>VANGUARD@2</v>
      </c>
      <c r="AD20" s="41">
        <f t="shared" si="4"/>
        <v>17</v>
      </c>
      <c r="AE20" s="41" t="s">
        <v>563</v>
      </c>
      <c r="AF20" s="73">
        <f t="shared" si="5"/>
        <v>63213</v>
      </c>
      <c r="AG20" s="74">
        <f t="shared" si="6"/>
        <v>6.41</v>
      </c>
      <c r="AH20" s="41" t="str">
        <f>IF($C20="","",$B20&amp;"|"&amp;(COUNTIFS($B$4:$B$1463,$B20,$AF$4:$AF$1463,"&gt;"&amp;$AF20)+COUNTIFS($B$4:$B20,$B20,$AF$4:$AF20,"="&amp;$AF20)))</f>
        <v>VANGUARD|50</v>
      </c>
      <c r="AI20" s="41" t="str">
        <f>IF($C20="","",$B20&amp;"|"&amp;(COUNTIFS($B$4:$B$1463,$B20,$AG$4:$AG$1463,"&gt;"&amp;$AG20)+COUNTIFS($B$4:$B20,$B20,$AG$4:$AG20,"="&amp;$AG20)))</f>
        <v>VANGUARD|32</v>
      </c>
    </row>
    <row r="21" spans="1:35" hidden="1">
      <c r="A21" s="69" t="s">
        <v>109</v>
      </c>
      <c r="B21" s="69" t="s">
        <v>117</v>
      </c>
      <c r="C21" s="63" t="s">
        <v>564</v>
      </c>
      <c r="D21" s="69"/>
      <c r="E21" s="68" t="s">
        <v>77</v>
      </c>
      <c r="F21" s="19" t="str">
        <f>IF($C21="","",IF($E21="","-",IFERROR(INDEX(SETUP!$B$55:$B$64,MATCH($E21,SETUP!$A$55:$A$64,0)),"Other")))</f>
        <v>Control</v>
      </c>
      <c r="G21" s="70">
        <v>62059</v>
      </c>
      <c r="H21" s="19" t="str">
        <f>IF($C21="","",IF($G21="","-",INDEX(SETUP!$B$26:$B$32,MATCH($G21,SETUP!$A$26:$A$32,1))))</f>
        <v>62,000 - 62,999</v>
      </c>
      <c r="I21" s="70">
        <v>2635</v>
      </c>
      <c r="J21" s="19" t="str">
        <f>IF($C21="","",IF($I21="","-",INDEX(SETUP!$B$16:$B$22,MATCH($I21,SETUP!$A$16:$A$22,1))))</f>
        <v>DEVELOPING</v>
      </c>
      <c r="K21" s="19" t="str">
        <f>IF($C21="","",IF($I21="","-",TEXT(INT($I21/1000)*1000,"#,##0")&amp;" - "&amp;TEXT(INT($I21/1000)*1000+999,"#,##0")))</f>
        <v>2,000 - 2,999</v>
      </c>
      <c r="L21" s="71">
        <v>4.3499999999999996</v>
      </c>
      <c r="M21" s="19" t="str">
        <f>IF($C21="","",IF($L21="","-",INDEX(SETUP!$B$36:$B$42,MATCH($L21,SETUP!$A$36:$A$42,1))))</f>
        <v>4k - 5k</v>
      </c>
      <c r="N21" s="21">
        <f>IF($C21="","",IF(OR($G21="",$I21=""),"",ROUND(100*(SETUP!$B$4*MIN(1,$I21/SETUP!$B$9)+SETUP!$B$5*MAX(0,MIN(1,($G21-SETUP!$B$10)/(SETUP!$B$11-SETUP!$B$10)))+SETUP!$B$6*MIN(1,IF($L21="",0,$L21)/SETUP!$B$12)),1)))</f>
        <v>37.299999999999997</v>
      </c>
      <c r="O21" s="19" t="str">
        <f>IF($C21="","",IF($N21="","-",INDEX(SETUP!$B$46:$B$51,MATCH($N21,SETUP!$A$46:$A$51,1))))</f>
        <v>B</v>
      </c>
      <c r="P21" s="19">
        <f>IF($C21="","",IF($I21="","",RANK($I21,$I$4:$I$1463)+COUNTIF($I$4:$I21,$I21)-1))</f>
        <v>968</v>
      </c>
      <c r="Q21" s="19">
        <f>IF($C21="","",COUNTIFS($B$4:$B$1463,$B21,$X$4:$X$1463,"&gt;"&amp;$X21)+COUNTIFS($B$4:$B21,$B21,$X$4:$X21,"="&amp;$X21))</f>
        <v>27</v>
      </c>
      <c r="R21" s="75">
        <f>IF($C21="","",IF($I21="","",ROUND(COUNTIF($I$4:$I$1463,"&lt;"&amp;$I21)/COUNT($I$4:$I$1463),3)))</f>
        <v>0.26900000000000002</v>
      </c>
      <c r="S21" s="19" t="str">
        <f>IF($C21="","",IF($G21="","Name only",IF(OR($I21="",$L21=""),"Partial","Complete")))</f>
        <v>Complete</v>
      </c>
      <c r="T21" s="1" t="str">
        <f>IF($C21="","",TRIM(IF(COUNTIF($C$4:$C$1463,$C21)&gt;1,"Dup name; ","")&amp;IF(AND($G21&lt;&gt;"",$G21&lt;55000),"Low CR - verify; ","")&amp;IF(AND($L21&lt;&gt;"",$L21&gt;15),"Secondary - verify; ","")&amp;IF($E21="","No class; ","")))</f>
        <v/>
      </c>
      <c r="U21" s="68"/>
      <c r="V21" s="68"/>
      <c r="W21" s="68"/>
      <c r="X21" s="76">
        <f t="shared" si="2"/>
        <v>2635</v>
      </c>
      <c r="Y21" s="1" t="str">
        <f t="shared" si="3"/>
        <v>VENDETTA|27</v>
      </c>
      <c r="Z21" s="19">
        <f>IF($C21="","",IF($G21="","",RANK($G21,$G$4:$G$1463)+COUNTIF($G$4:$G21,$G21)-1))</f>
        <v>812</v>
      </c>
      <c r="AA21" s="19">
        <f>IF($C21="","",IF($N21="","",RANK($N21,$N$4:$N$1463)+COUNTIF($N$4:$N21,$N21)-1))</f>
        <v>916</v>
      </c>
      <c r="AB21" s="1" t="str">
        <f>IF($C21="","",IF($E21="","",$E21&amp;"#"&amp;(COUNTIFS($E$4:$E$1463,$E21,$X$4:$X$1463,"&gt;"&amp;$X21)+COUNTIFS($E$4:$E21,$E21,$X$4:$X21,"="&amp;$X21))))</f>
        <v>NECROMANCER#58</v>
      </c>
      <c r="AC21" s="1" t="str">
        <f>IF($C21="","",$B21&amp;"@"&amp;(COUNTIFS($B$4:$B$1463,$B21,$C$4:$C$1463,"&lt;"&amp;$C21)+COUNTIFS($B$4:$B21,$B21,$C$4:$C21,$C21)))</f>
        <v>VENDETTA@3</v>
      </c>
      <c r="AD21" s="1">
        <f t="shared" si="4"/>
        <v>18</v>
      </c>
      <c r="AE21" s="1" t="s">
        <v>565</v>
      </c>
      <c r="AF21" s="76">
        <f t="shared" si="5"/>
        <v>62059</v>
      </c>
      <c r="AG21" s="77">
        <f t="shared" si="6"/>
        <v>4.3499999999999996</v>
      </c>
      <c r="AH21" s="1" t="str">
        <f>IF($C21="","",$B21&amp;"|"&amp;(COUNTIFS($B$4:$B$1463,$B21,$AF$4:$AF$1463,"&gt;"&amp;$AF21)+COUNTIFS($B$4:$B21,$B21,$AF$4:$AF21,"="&amp;$AF21)))</f>
        <v>VENDETTA|36</v>
      </c>
      <c r="AI21" s="1" t="str">
        <f>IF($C21="","",$B21&amp;"|"&amp;(COUNTIFS($B$4:$B$1463,$B21,$AG$4:$AG$1463,"&gt;"&amp;$AG21)+COUNTIFS($B$4:$B21,$B21,$AG$4:$AG21,"="&amp;$AG21)))</f>
        <v>VENDETTA|20</v>
      </c>
    </row>
    <row r="22" spans="1:35" hidden="1">
      <c r="A22" s="69" t="s">
        <v>109</v>
      </c>
      <c r="B22" s="69" t="s">
        <v>112</v>
      </c>
      <c r="C22" s="63" t="s">
        <v>566</v>
      </c>
      <c r="D22" s="69" t="s">
        <v>567</v>
      </c>
      <c r="E22" s="68" t="s">
        <v>72</v>
      </c>
      <c r="F22" s="15" t="str">
        <f>IF($C22="","",IF($E22="","-",IFERROR(INDEX(SETUP!$B$55:$B$64,MATCH($E22,SETUP!$A$55:$A$64,0)),"Other")))</f>
        <v>Frontline</v>
      </c>
      <c r="G22" s="70">
        <v>61346</v>
      </c>
      <c r="H22" s="15" t="str">
        <f>IF($C22="","",IF($G22="","-",INDEX(SETUP!$B$26:$B$32,MATCH($G22,SETUP!$A$26:$A$32,1))))</f>
        <v>61,000 - 61,999</v>
      </c>
      <c r="I22" s="70">
        <v>1127</v>
      </c>
      <c r="J22" s="15" t="str">
        <f>IF($C22="","",IF($I22="","-",INDEX(SETUP!$B$16:$B$22,MATCH($I22,SETUP!$A$16:$A$22,1))))</f>
        <v>ROOKIE</v>
      </c>
      <c r="K22" s="15" t="str">
        <f>IF($C22="","",IF($I22="","-",TEXT(INT($I22/1000)*1000,"#,##0")&amp;" - "&amp;TEXT(INT($I22/1000)*1000+999,"#,##0")))</f>
        <v>1,000 - 1,999</v>
      </c>
      <c r="L22" s="71">
        <v>3.5</v>
      </c>
      <c r="M22" s="15" t="str">
        <f>IF($C22="","",IF($L22="","-",INDEX(SETUP!$B$36:$B$42,MATCH($L22,SETUP!$A$36:$A$42,1))))</f>
        <v>3k - 4k</v>
      </c>
      <c r="N22" s="17">
        <f>IF($C22="","",IF(OR($G22="",$I22=""),"",ROUND(100*(SETUP!$B$4*MIN(1,$I22/SETUP!$B$9)+SETUP!$B$5*MAX(0,MIN(1,($G22-SETUP!$B$10)/(SETUP!$B$11-SETUP!$B$10)))+SETUP!$B$6*MIN(1,IF($L22="",0,$L22)/SETUP!$B$12)),1)))</f>
        <v>27.5</v>
      </c>
      <c r="O22" s="15" t="str">
        <f>IF($C22="","",IF($N22="","-",INDEX(SETUP!$B$46:$B$51,MATCH($N22,SETUP!$A$46:$A$51,1))))</f>
        <v>C</v>
      </c>
      <c r="P22" s="15">
        <f>IF($C22="","",IF($I22="","",RANK($I22,$I$4:$I$1463)+COUNTIF($I$4:$I22,$I22)-1))</f>
        <v>1251</v>
      </c>
      <c r="Q22" s="15">
        <f>IF($C22="","",COUNTIFS($B$4:$B$1463,$B22,$X$4:$X$1463,"&gt;"&amp;$X22)+COUNTIFS($B$4:$B22,$B22,$X$4:$X22,"="&amp;$X22))</f>
        <v>90</v>
      </c>
      <c r="R22" s="72">
        <f>IF($C22="","",IF($I22="","",ROUND(COUNTIF($I$4:$I$1463,"&lt;"&amp;$I22)/COUNT($I$4:$I$1463),3)))</f>
        <v>5.6000000000000001E-2</v>
      </c>
      <c r="S22" s="15" t="str">
        <f>IF($C22="","",IF($G22="","Name only",IF(OR($I22="",$L22=""),"Partial","Complete")))</f>
        <v>Complete</v>
      </c>
      <c r="T22" s="41" t="str">
        <f>IF($C22="","",TRIM(IF(COUNTIF($C$4:$C$1463,$C22)&gt;1,"Dup name; ","")&amp;IF(AND($G22&lt;&gt;"",$G22&lt;55000),"Low CR - verify; ","")&amp;IF(AND($L22&lt;&gt;"",$L22&gt;15),"Secondary - verify; ","")&amp;IF($E22="","No class; ","")))</f>
        <v/>
      </c>
      <c r="U22" s="68"/>
      <c r="V22" s="68"/>
      <c r="W22" s="68"/>
      <c r="X22" s="73">
        <f t="shared" si="2"/>
        <v>1127</v>
      </c>
      <c r="Y22" s="41" t="str">
        <f t="shared" si="3"/>
        <v>ACHERON|90</v>
      </c>
      <c r="Z22" s="15">
        <f>IF($C22="","",IF($G22="","",RANK($G22,$G$4:$G$1463)+COUNTIF($G$4:$G22,$G22)-1))</f>
        <v>1050</v>
      </c>
      <c r="AA22" s="15">
        <f>IF($C22="","",IF($N22="","",RANK($N22,$N$4:$N$1463)+COUNTIF($N$4:$N22,$N22)-1))</f>
        <v>1201</v>
      </c>
      <c r="AB22" s="41" t="str">
        <f>IF($C22="","",IF($E22="","",$E22&amp;"#"&amp;(COUNTIFS($E$4:$E$1463,$E22,$X$4:$X$1463,"&gt;"&amp;$X22)+COUNTIFS($E$4:$E22,$E22,$X$4:$X22,"="&amp;$X22))))</f>
        <v>BLOOD KNIGHT#89</v>
      </c>
      <c r="AC22" s="41" t="str">
        <f>IF($C22="","",$B22&amp;"@"&amp;(COUNTIFS($B$4:$B$1463,$B22,$C$4:$C$1463,"&lt;"&amp;$C22)+COUNTIFS($B$4:$B22,$B22,$C$4:$C22,$C22)))</f>
        <v>ACHERON@1</v>
      </c>
      <c r="AD22" s="41">
        <f t="shared" si="4"/>
        <v>19</v>
      </c>
      <c r="AE22" s="41" t="s">
        <v>568</v>
      </c>
      <c r="AF22" s="73">
        <f t="shared" si="5"/>
        <v>61346</v>
      </c>
      <c r="AG22" s="74">
        <f t="shared" si="6"/>
        <v>3.5</v>
      </c>
      <c r="AH22" s="41" t="str">
        <f>IF($C22="","",$B22&amp;"|"&amp;(COUNTIFS($B$4:$B$1463,$B22,$AF$4:$AF$1463,"&gt;"&amp;$AF22)+COUNTIFS($B$4:$B22,$B22,$AF$4:$AF22,"="&amp;$AF22)))</f>
        <v>ACHERON|84</v>
      </c>
      <c r="AI22" s="41" t="str">
        <f>IF($C22="","",$B22&amp;"|"&amp;(COUNTIFS($B$4:$B$1463,$B22,$AG$4:$AG$1463,"&gt;"&amp;$AG22)+COUNTIFS($B$4:$B22,$B22,$AG$4:$AG22,"="&amp;$AG22)))</f>
        <v>ACHERON|88</v>
      </c>
    </row>
    <row r="23" spans="1:35" hidden="1">
      <c r="A23" s="69" t="s">
        <v>109</v>
      </c>
      <c r="B23" s="69" t="s">
        <v>118</v>
      </c>
      <c r="C23" s="63" t="s">
        <v>569</v>
      </c>
      <c r="D23" s="69"/>
      <c r="E23" s="68" t="s">
        <v>78</v>
      </c>
      <c r="F23" s="19" t="str">
        <f>IF($C23="","",IF($E23="","-",IFERROR(INDEX(SETUP!$B$55:$B$64,MATCH($E23,SETUP!$A$55:$A$64,0)),"Other")))</f>
        <v>Melee DPS</v>
      </c>
      <c r="G23" s="70">
        <v>60968</v>
      </c>
      <c r="H23" s="19" t="str">
        <f>IF($C23="","",IF($G23="","-",INDEX(SETUP!$B$26:$B$32,MATCH($G23,SETUP!$A$26:$A$32,1))))</f>
        <v>60,000 - 60,999</v>
      </c>
      <c r="I23" s="70">
        <v>560</v>
      </c>
      <c r="J23" s="19" t="str">
        <f>IF($C23="","",IF($I23="","-",INDEX(SETUP!$B$16:$B$22,MATCH($I23,SETUP!$A$16:$A$22,1))))</f>
        <v>ROOKIE</v>
      </c>
      <c r="K23" s="19" t="str">
        <f>IF($C23="","",IF($I23="","-",TEXT(INT($I23/1000)*1000,"#,##0")&amp;" - "&amp;TEXT(INT($I23/1000)*1000+999,"#,##0")))</f>
        <v>0 - 999</v>
      </c>
      <c r="L23" s="71">
        <v>2.7</v>
      </c>
      <c r="M23" s="19" t="str">
        <f>IF($C23="","",IF($L23="","-",INDEX(SETUP!$B$36:$B$42,MATCH($L23,SETUP!$A$36:$A$42,1))))</f>
        <v>Under 3k</v>
      </c>
      <c r="N23" s="21">
        <f>IF($C23="","",IF(OR($G23="",$I23=""),"",ROUND(100*(SETUP!$B$4*MIN(1,$I23/SETUP!$B$9)+SETUP!$B$5*MAX(0,MIN(1,($G23-SETUP!$B$10)/(SETUP!$B$11-SETUP!$B$10)))+SETUP!$B$6*MIN(1,IF($L23="",0,$L23)/SETUP!$B$12)),1)))</f>
        <v>22.6</v>
      </c>
      <c r="O23" s="19" t="str">
        <f>IF($C23="","",IF($N23="","-",INDEX(SETUP!$B$46:$B$51,MATCH($N23,SETUP!$A$46:$A$51,1))))</f>
        <v>C</v>
      </c>
      <c r="P23" s="19">
        <f>IF($C23="","",IF($I23="","",RANK($I23,$I$4:$I$1463)+COUNTIF($I$4:$I23,$I23)-1))</f>
        <v>1313</v>
      </c>
      <c r="Q23" s="19">
        <f>IF($C23="","",COUNTIFS($B$4:$B$1463,$B23,$X$4:$X$1463,"&gt;"&amp;$X23)+COUNTIFS($B$4:$B23,$B23,$X$4:$X23,"="&amp;$X23))</f>
        <v>95</v>
      </c>
      <c r="R23" s="75">
        <f>IF($C23="","",IF($I23="","",ROUND(COUNTIF($I$4:$I$1463,"&lt;"&amp;$I23)/COUNT($I$4:$I$1463),3)))</f>
        <v>8.9999999999999993E-3</v>
      </c>
      <c r="S23" s="19" t="str">
        <f>IF($C23="","",IF($G23="","Name only",IF(OR($I23="",$L23=""),"Partial","Complete")))</f>
        <v>Complete</v>
      </c>
      <c r="T23" s="1" t="str">
        <f>IF($C23="","",TRIM(IF(COUNTIF($C$4:$C$1463,$C23)&gt;1,"Dup name; ","")&amp;IF(AND($G23&lt;&gt;"",$G23&lt;55000),"Low CR - verify; ","")&amp;IF(AND($L23&lt;&gt;"",$L23&gt;15),"Secondary - verify; ","")&amp;IF($E23="","No class; ","")))</f>
        <v/>
      </c>
      <c r="U23" s="68"/>
      <c r="V23" s="68"/>
      <c r="W23" s="68"/>
      <c r="X23" s="76">
        <f t="shared" si="2"/>
        <v>560</v>
      </c>
      <c r="Y23" s="1" t="str">
        <f t="shared" si="3"/>
        <v>ZOMBIES|95</v>
      </c>
      <c r="Z23" s="19">
        <f>IF($C23="","",IF($G23="","",RANK($G23,$G$4:$G$1463)+COUNTIF($G$4:$G23,$G23)-1))</f>
        <v>1139</v>
      </c>
      <c r="AA23" s="19">
        <f>IF($C23="","",IF($N23="","",RANK($N23,$N$4:$N$1463)+COUNTIF($N$4:$N23,$N23)-1))</f>
        <v>1273</v>
      </c>
      <c r="AB23" s="1" t="str">
        <f>IF($C23="","",IF($E23="","",$E23&amp;"#"&amp;(COUNTIFS($E$4:$E$1463,$E23,$X$4:$X$1463,"&gt;"&amp;$X23)+COUNTIFS($E$4:$E23,$E23,$X$4:$X23,"="&amp;$X23))))</f>
        <v>TEMPEST#66</v>
      </c>
      <c r="AC23" s="1" t="str">
        <f>IF($C23="","",$B23&amp;"@"&amp;(COUNTIFS($B$4:$B$1463,$B23,$C$4:$C$1463,"&lt;"&amp;$C23)+COUNTIFS($B$4:$B23,$B23,$C$4:$C23,$C23)))</f>
        <v>ZOMBIES@2</v>
      </c>
      <c r="AD23" s="1">
        <f t="shared" si="4"/>
        <v>20</v>
      </c>
      <c r="AE23" s="1" t="s">
        <v>570</v>
      </c>
      <c r="AF23" s="76">
        <f t="shared" si="5"/>
        <v>60968</v>
      </c>
      <c r="AG23" s="77">
        <f t="shared" si="6"/>
        <v>2.7</v>
      </c>
      <c r="AH23" s="1" t="str">
        <f>IF($C23="","",$B23&amp;"|"&amp;(COUNTIFS($B$4:$B$1463,$B23,$AF$4:$AF$1463,"&gt;"&amp;$AF23)+COUNTIFS($B$4:$B23,$B23,$AF$4:$AF23,"="&amp;$AF23)))</f>
        <v>ZOMBIES|54</v>
      </c>
      <c r="AI23" s="1" t="str">
        <f>IF($C23="","",$B23&amp;"|"&amp;(COUNTIFS($B$4:$B$1463,$B23,$AG$4:$AG$1463,"&gt;"&amp;$AG23)+COUNTIFS($B$4:$B23,$B23,$AG$4:$AG23,"="&amp;$AG23)))</f>
        <v>ZOMBIES|84</v>
      </c>
    </row>
    <row r="24" spans="1:35" hidden="1">
      <c r="A24" s="69" t="s">
        <v>109</v>
      </c>
      <c r="B24" s="69" t="s">
        <v>114</v>
      </c>
      <c r="C24" s="63" t="s">
        <v>571</v>
      </c>
      <c r="D24" s="69"/>
      <c r="E24" s="68" t="s">
        <v>75</v>
      </c>
      <c r="F24" s="15" t="str">
        <f>IF($C24="","",IF($E24="","-",IFERROR(INDEX(SETUP!$B$55:$B$64,MATCH($E24,SETUP!$A$55:$A$64,0)),"Other")))</f>
        <v>Support</v>
      </c>
      <c r="G24" s="70">
        <v>60460</v>
      </c>
      <c r="H24" s="15" t="str">
        <f>IF($C24="","",IF($G24="","-",INDEX(SETUP!$B$26:$B$32,MATCH($G24,SETUP!$A$26:$A$32,1))))</f>
        <v>60,000 - 60,999</v>
      </c>
      <c r="I24" s="70">
        <v>1525</v>
      </c>
      <c r="J24" s="15" t="str">
        <f>IF($C24="","",IF($I24="","-",INDEX(SETUP!$B$16:$B$22,MATCH($I24,SETUP!$A$16:$A$22,1))))</f>
        <v>ROOKIE</v>
      </c>
      <c r="K24" s="15" t="str">
        <f>IF($C24="","",IF($I24="","-",TEXT(INT($I24/1000)*1000,"#,##0")&amp;" - "&amp;TEXT(INT($I24/1000)*1000+999,"#,##0")))</f>
        <v>1,000 - 1,999</v>
      </c>
      <c r="L24" s="71">
        <v>2.9</v>
      </c>
      <c r="M24" s="15" t="str">
        <f>IF($C24="","",IF($L24="","-",INDEX(SETUP!$B$36:$B$42,MATCH($L24,SETUP!$A$36:$A$42,1))))</f>
        <v>Under 3k</v>
      </c>
      <c r="N24" s="17">
        <f>IF($C24="","",IF(OR($G24="",$I24=""),"",ROUND(100*(SETUP!$B$4*MIN(1,$I24/SETUP!$B$9)+SETUP!$B$5*MAX(0,MIN(1,($G24-SETUP!$B$10)/(SETUP!$B$11-SETUP!$B$10)))+SETUP!$B$6*MIN(1,IF($L24="",0,$L24)/SETUP!$B$12)),1)))</f>
        <v>25.9</v>
      </c>
      <c r="O24" s="15" t="str">
        <f>IF($C24="","",IF($N24="","-",INDEX(SETUP!$B$46:$B$51,MATCH($N24,SETUP!$A$46:$A$51,1))))</f>
        <v>C</v>
      </c>
      <c r="P24" s="15">
        <f>IF($C24="","",IF($I24="","",RANK($I24,$I$4:$I$1463)+COUNTIF($I$4:$I24,$I24)-1))</f>
        <v>1185</v>
      </c>
      <c r="Q24" s="15">
        <f>IF($C24="","",COUNTIFS($B$4:$B$1463,$B24,$X$4:$X$1463,"&gt;"&amp;$X24)+COUNTIFS($B$4:$B24,$B24,$X$4:$X24,"="&amp;$X24))</f>
        <v>69</v>
      </c>
      <c r="R24" s="72">
        <f>IF($C24="","",IF($I24="","",ROUND(COUNTIF($I$4:$I$1463,"&lt;"&amp;$I24)/COUNT($I$4:$I$1463),3)))</f>
        <v>0.106</v>
      </c>
      <c r="S24" s="15" t="str">
        <f>IF($C24="","",IF($G24="","Name only",IF(OR($I24="",$L24=""),"Partial","Complete")))</f>
        <v>Complete</v>
      </c>
      <c r="T24" s="41" t="str">
        <f>IF($C24="","",TRIM(IF(COUNTIF($C$4:$C$1463,$C24)&gt;1,"Dup name; ","")&amp;IF(AND($G24&lt;&gt;"",$G24&lt;55000),"Low CR - verify; ","")&amp;IF(AND($L24&lt;&gt;"",$L24&gt;15),"Secondary - verify; ","")&amp;IF($E24="","No class; ","")))</f>
        <v/>
      </c>
      <c r="U24" s="68"/>
      <c r="V24" s="68"/>
      <c r="W24" s="68"/>
      <c r="X24" s="73">
        <f t="shared" si="2"/>
        <v>1525</v>
      </c>
      <c r="Y24" s="41" t="str">
        <f t="shared" si="3"/>
        <v>EMERALD LEAF TRIBE|69</v>
      </c>
      <c r="Z24" s="15">
        <f>IF($C24="","",IF($G24="","",RANK($G24,$G$4:$G$1463)+COUNTIF($G$4:$G24,$G24)-1))</f>
        <v>1210</v>
      </c>
      <c r="AA24" s="15">
        <f>IF($C24="","",IF($N24="","",RANK($N24,$N$4:$N$1463)+COUNTIF($N$4:$N24,$N24)-1))</f>
        <v>1226</v>
      </c>
      <c r="AB24" s="41" t="str">
        <f>IF($C24="","",IF($E24="","",$E24&amp;"#"&amp;(COUNTIFS($E$4:$E$1463,$E24,$X$4:$X$1463,"&gt;"&amp;$X24)+COUNTIFS($E$4:$E24,$E24,$X$4:$X24,"="&amp;$X24))))</f>
        <v>DRUID#57</v>
      </c>
      <c r="AC24" s="41" t="str">
        <f>IF($C24="","",$B24&amp;"@"&amp;(COUNTIFS($B$4:$B$1463,$B24,$C$4:$C$1463,"&lt;"&amp;$C24)+COUNTIFS($B$4:$B24,$B24,$C$4:$C24,$C24)))</f>
        <v>EMERALD LEAF TRIBE@2</v>
      </c>
      <c r="AD24" s="41">
        <f t="shared" si="4"/>
        <v>21</v>
      </c>
      <c r="AE24" s="41" t="s">
        <v>572</v>
      </c>
      <c r="AF24" s="73">
        <f t="shared" si="5"/>
        <v>60460</v>
      </c>
      <c r="AG24" s="74">
        <f t="shared" si="6"/>
        <v>2.9</v>
      </c>
      <c r="AH24" s="41" t="str">
        <f>IF($C24="","",$B24&amp;"|"&amp;(COUNTIFS($B$4:$B$1463,$B24,$AF$4:$AF$1463,"&gt;"&amp;$AF24)+COUNTIFS($B$4:$B24,$B24,$AF$4:$AF24,"="&amp;$AF24)))</f>
        <v>EMERALD LEAF TRIBE|71</v>
      </c>
      <c r="AI24" s="41" t="str">
        <f>IF($C24="","",$B24&amp;"|"&amp;(COUNTIFS($B$4:$B$1463,$B24,$AG$4:$AG$1463,"&gt;"&amp;$AG24)+COUNTIFS($B$4:$B24,$B24,$AG$4:$AG24,"="&amp;$AG24)))</f>
        <v>EMERALD LEAF TRIBE|83</v>
      </c>
    </row>
    <row r="25" spans="1:35" hidden="1">
      <c r="A25" s="69" t="s">
        <v>109</v>
      </c>
      <c r="B25" s="69" t="s">
        <v>117</v>
      </c>
      <c r="C25" s="63" t="s">
        <v>573</v>
      </c>
      <c r="D25" s="69"/>
      <c r="E25" s="68" t="s">
        <v>79</v>
      </c>
      <c r="F25" s="19" t="str">
        <f>IF($C25="","",IF($E25="","-",IFERROR(INDEX(SETUP!$B$55:$B$64,MATCH($E25,SETUP!$A$55:$A$64,0)),"Other")))</f>
        <v>Control</v>
      </c>
      <c r="G25" s="70">
        <v>61484</v>
      </c>
      <c r="H25" s="19" t="str">
        <f>IF($C25="","",IF($G25="","-",INDEX(SETUP!$B$26:$B$32,MATCH($G25,SETUP!$A$26:$A$32,1))))</f>
        <v>61,000 - 61,999</v>
      </c>
      <c r="I25" s="70">
        <v>3238</v>
      </c>
      <c r="J25" s="19" t="str">
        <f>IF($C25="","",IF($I25="","-",INDEX(SETUP!$B$16:$B$22,MATCH($I25,SETUP!$A$16:$A$22,1))))</f>
        <v>DEVELOPING</v>
      </c>
      <c r="K25" s="19" t="str">
        <f>IF($C25="","",IF($I25="","-",TEXT(INT($I25/1000)*1000,"#,##0")&amp;" - "&amp;TEXT(INT($I25/1000)*1000+999,"#,##0")))</f>
        <v>3,000 - 3,999</v>
      </c>
      <c r="L25" s="71">
        <v>5.15</v>
      </c>
      <c r="M25" s="19" t="str">
        <f>IF($C25="","",IF($L25="","-",INDEX(SETUP!$B$36:$B$42,MATCH($L25,SETUP!$A$36:$A$42,1))))</f>
        <v>5k - 6k</v>
      </c>
      <c r="N25" s="21">
        <f>IF($C25="","",IF(OR($G25="",$I25=""),"",ROUND(100*(SETUP!$B$4*MIN(1,$I25/SETUP!$B$9)+SETUP!$B$5*MAX(0,MIN(1,($G25-SETUP!$B$10)/(SETUP!$B$11-SETUP!$B$10)))+SETUP!$B$6*MIN(1,IF($L25="",0,$L25)/SETUP!$B$12)),1)))</f>
        <v>39.799999999999997</v>
      </c>
      <c r="O25" s="19" t="str">
        <f>IF($C25="","",IF($N25="","-",INDEX(SETUP!$B$46:$B$51,MATCH($N25,SETUP!$A$46:$A$51,1))))</f>
        <v>B</v>
      </c>
      <c r="P25" s="19">
        <f>IF($C25="","",IF($I25="","",RANK($I25,$I$4:$I$1463)+COUNTIF($I$4:$I25,$I25)-1))</f>
        <v>810</v>
      </c>
      <c r="Q25" s="19">
        <f>IF($C25="","",COUNTIFS($B$4:$B$1463,$B25,$X$4:$X$1463,"&gt;"&amp;$X25)+COUNTIFS($B$4:$B25,$B25,$X$4:$X25,"="&amp;$X25))</f>
        <v>10</v>
      </c>
      <c r="R25" s="75">
        <f>IF($C25="","",IF($I25="","",ROUND(COUNTIF($I$4:$I$1463,"&lt;"&amp;$I25)/COUNT($I$4:$I$1463),3)))</f>
        <v>0.38800000000000001</v>
      </c>
      <c r="S25" s="19" t="str">
        <f>IF($C25="","",IF($G25="","Name only",IF(OR($I25="",$L25=""),"Partial","Complete")))</f>
        <v>Complete</v>
      </c>
      <c r="T25" s="1" t="str">
        <f>IF($C25="","",TRIM(IF(COUNTIF($C$4:$C$1463,$C25)&gt;1,"Dup name; ","")&amp;IF(AND($G25&lt;&gt;"",$G25&lt;55000),"Low CR - verify; ","")&amp;IF(AND($L25&lt;&gt;"",$L25&gt;15),"Secondary - verify; ","")&amp;IF($E25="","No class; ","")))</f>
        <v/>
      </c>
      <c r="U25" s="68"/>
      <c r="V25" s="68"/>
      <c r="W25" s="68"/>
      <c r="X25" s="76">
        <f t="shared" si="2"/>
        <v>3238</v>
      </c>
      <c r="Y25" s="1" t="str">
        <f t="shared" si="3"/>
        <v>VENDETTA|10</v>
      </c>
      <c r="Z25" s="19">
        <f>IF($C25="","",IF($G25="","",RANK($G25,$G$4:$G$1463)+COUNTIF($G$4:$G25,$G25)-1))</f>
        <v>1008</v>
      </c>
      <c r="AA25" s="19">
        <f>IF($C25="","",IF($N25="","",RANK($N25,$N$4:$N$1463)+COUNTIF($N$4:$N25,$N25)-1))</f>
        <v>827</v>
      </c>
      <c r="AB25" s="1" t="str">
        <f>IF($C25="","",IF($E25="","",$E25&amp;"#"&amp;(COUNTIFS($E$4:$E$1463,$E25,$X$4:$X$1463,"&gt;"&amp;$X25)+COUNTIFS($E$4:$E25,$E25,$X$4:$X25,"="&amp;$X25))))</f>
        <v>WARLOCK#199</v>
      </c>
      <c r="AC25" s="1" t="str">
        <f>IF($C25="","",$B25&amp;"@"&amp;(COUNTIFS($B$4:$B$1463,$B25,$C$4:$C$1463,"&lt;"&amp;$C25)+COUNTIFS($B$4:$B25,$B25,$C$4:$C25,$C25)))</f>
        <v>VENDETTA@4</v>
      </c>
      <c r="AD25" s="1">
        <f t="shared" si="4"/>
        <v>22</v>
      </c>
      <c r="AE25" s="1" t="s">
        <v>574</v>
      </c>
      <c r="AF25" s="76">
        <f t="shared" si="5"/>
        <v>61484</v>
      </c>
      <c r="AG25" s="77">
        <f t="shared" si="6"/>
        <v>5.15</v>
      </c>
      <c r="AH25" s="1" t="str">
        <f>IF($C25="","",$B25&amp;"|"&amp;(COUNTIFS($B$4:$B$1463,$B25,$AF$4:$AF$1463,"&gt;"&amp;$AF25)+COUNTIFS($B$4:$B25,$B25,$AF$4:$AF25,"="&amp;$AF25)))</f>
        <v>VENDETTA|50</v>
      </c>
      <c r="AI25" s="1" t="str">
        <f>IF($C25="","",$B25&amp;"|"&amp;(COUNTIFS($B$4:$B$1463,$B25,$AG$4:$AG$1463,"&gt;"&amp;$AG25)+COUNTIFS($B$4:$B25,$B25,$AG$4:$AG25,"="&amp;$AG25)))</f>
        <v>VENDETTA|6</v>
      </c>
    </row>
    <row r="26" spans="1:35" hidden="1">
      <c r="A26" s="69" t="s">
        <v>106</v>
      </c>
      <c r="B26" s="69" t="s">
        <v>105</v>
      </c>
      <c r="C26" s="63" t="s">
        <v>575</v>
      </c>
      <c r="D26" s="69"/>
      <c r="E26" s="68" t="s">
        <v>73</v>
      </c>
      <c r="F26" s="15" t="str">
        <f>IF($C26="","",IF($E26="","-",IFERROR(INDEX(SETUP!$B$55:$B$64,MATCH($E26,SETUP!$A$55:$A$64,0)),"Other")))</f>
        <v>Frontline</v>
      </c>
      <c r="G26" s="70">
        <v>62008</v>
      </c>
      <c r="H26" s="15" t="str">
        <f>IF($C26="","",IF($G26="","-",INDEX(SETUP!$B$26:$B$32,MATCH($G26,SETUP!$A$26:$A$32,1))))</f>
        <v>62,000 - 62,999</v>
      </c>
      <c r="I26" s="70">
        <v>3820</v>
      </c>
      <c r="J26" s="15" t="str">
        <f>IF($C26="","",IF($I26="","-",INDEX(SETUP!$B$16:$B$22,MATCH($I26,SETUP!$A$16:$A$22,1))))</f>
        <v>DEVELOPING</v>
      </c>
      <c r="K26" s="15" t="str">
        <f>IF($C26="","",IF($I26="","-",TEXT(INT($I26/1000)*1000,"#,##0")&amp;" - "&amp;TEXT(INT($I26/1000)*1000+999,"#,##0")))</f>
        <v>3,000 - 3,999</v>
      </c>
      <c r="L26" s="71">
        <v>5.34</v>
      </c>
      <c r="M26" s="15" t="str">
        <f>IF($C26="","",IF($L26="","-",INDEX(SETUP!$B$36:$B$42,MATCH($L26,SETUP!$A$36:$A$42,1))))</f>
        <v>5k - 6k</v>
      </c>
      <c r="N26" s="17">
        <f>IF($C26="","",IF(OR($G26="",$I26=""),"",ROUND(100*(SETUP!$B$4*MIN(1,$I26/SETUP!$B$9)+SETUP!$B$5*MAX(0,MIN(1,($G26-SETUP!$B$10)/(SETUP!$B$11-SETUP!$B$10)))+SETUP!$B$6*MIN(1,IF($L26="",0,$L26)/SETUP!$B$12)),1)))</f>
        <v>44</v>
      </c>
      <c r="O26" s="15" t="str">
        <f>IF($C26="","",IF($N26="","-",INDEX(SETUP!$B$46:$B$51,MATCH($N26,SETUP!$A$46:$A$51,1))))</f>
        <v>B</v>
      </c>
      <c r="P26" s="15">
        <f>IF($C26="","",IF($I26="","",RANK($I26,$I$4:$I$1463)+COUNTIF($I$4:$I26,$I26)-1))</f>
        <v>643</v>
      </c>
      <c r="Q26" s="15">
        <f>IF($C26="","",COUNTIFS($B$4:$B$1463,$B26,$X$4:$X$1463,"&gt;"&amp;$X26)+COUNTIFS($B$4:$B26,$B26,$X$4:$X26,"="&amp;$X26))</f>
        <v>76</v>
      </c>
      <c r="R26" s="72">
        <f>IF($C26="","",IF($I26="","",ROUND(COUNTIF($I$4:$I$1463,"&lt;"&amp;$I26)/COUNT($I$4:$I$1463),3)))</f>
        <v>0.51500000000000001</v>
      </c>
      <c r="S26" s="15" t="str">
        <f>IF($C26="","",IF($G26="","Name only",IF(OR($I26="",$L26=""),"Partial","Complete")))</f>
        <v>Complete</v>
      </c>
      <c r="T26" s="41" t="str">
        <f>IF($C26="","",TRIM(IF(COUNTIF($C$4:$C$1463,$C26)&gt;1,"Dup name; ","")&amp;IF(AND($G26&lt;&gt;"",$G26&lt;55000),"Low CR - verify; ","")&amp;IF(AND($L26&lt;&gt;"",$L26&gt;15),"Secondary - verify; ","")&amp;IF($E26="","No class; ","")))</f>
        <v/>
      </c>
      <c r="U26" s="68"/>
      <c r="V26" s="68"/>
      <c r="W26" s="68"/>
      <c r="X26" s="73">
        <f t="shared" si="2"/>
        <v>3820</v>
      </c>
      <c r="Y26" s="41" t="str">
        <f t="shared" si="3"/>
        <v>LEGENDS|76</v>
      </c>
      <c r="Z26" s="15">
        <f>IF($C26="","",IF($G26="","",RANK($G26,$G$4:$G$1463)+COUNTIF($G$4:$G26,$G26)-1))</f>
        <v>836</v>
      </c>
      <c r="AA26" s="15">
        <f>IF($C26="","",IF($N26="","",RANK($N26,$N$4:$N$1463)+COUNTIF($N$4:$N26,$N26)-1))</f>
        <v>668</v>
      </c>
      <c r="AB26" s="41" t="str">
        <f>IF($C26="","",IF($E26="","",$E26&amp;"#"&amp;(COUNTIFS($E$4:$E$1463,$E26,$X$4:$X$1463,"&gt;"&amp;$X26)+COUNTIFS($E$4:$E26,$E26,$X$4:$X26,"="&amp;$X26))))</f>
        <v>CRUSADER#76</v>
      </c>
      <c r="AC26" s="41" t="str">
        <f>IF($C26="","",$B26&amp;"@"&amp;(COUNTIFS($B$4:$B$1463,$B26,$C$4:$C$1463,"&lt;"&amp;$C26)+COUNTIFS($B$4:$B26,$B26,$C$4:$C26,$C26)))</f>
        <v>LEGENDS@2</v>
      </c>
      <c r="AD26" s="41">
        <f t="shared" si="4"/>
        <v>23</v>
      </c>
      <c r="AE26" s="41" t="s">
        <v>576</v>
      </c>
      <c r="AF26" s="73">
        <f t="shared" si="5"/>
        <v>62008</v>
      </c>
      <c r="AG26" s="74">
        <f t="shared" si="6"/>
        <v>5.34</v>
      </c>
      <c r="AH26" s="41" t="str">
        <f>IF($C26="","",$B26&amp;"|"&amp;(COUNTIFS($B$4:$B$1463,$B26,$AF$4:$AF$1463,"&gt;"&amp;$AF26)+COUNTIFS($B$4:$B26,$B26,$AF$4:$AF26,"="&amp;$AF26)))</f>
        <v>LEGENDS|82</v>
      </c>
      <c r="AI26" s="41" t="str">
        <f>IF($C26="","",$B26&amp;"|"&amp;(COUNTIFS($B$4:$B$1463,$B26,$AG$4:$AG$1463,"&gt;"&amp;$AG26)+COUNTIFS($B$4:$B26,$B26,$AG$4:$AG26,"="&amp;$AG26)))</f>
        <v>LEGENDS|47</v>
      </c>
    </row>
    <row r="27" spans="1:35" hidden="1">
      <c r="A27" s="69" t="s">
        <v>109</v>
      </c>
      <c r="B27" s="69" t="s">
        <v>112</v>
      </c>
      <c r="C27" s="63" t="s">
        <v>577</v>
      </c>
      <c r="D27" s="69"/>
      <c r="E27" s="68" t="s">
        <v>79</v>
      </c>
      <c r="F27" s="19" t="str">
        <f>IF($C27="","",IF($E27="","-",IFERROR(INDEX(SETUP!$B$55:$B$64,MATCH($E27,SETUP!$A$55:$A$64,0)),"Other")))</f>
        <v>Control</v>
      </c>
      <c r="G27" s="70">
        <v>62100</v>
      </c>
      <c r="H27" s="19" t="str">
        <f>IF($C27="","",IF($G27="","-",INDEX(SETUP!$B$26:$B$32,MATCH($G27,SETUP!$A$26:$A$32,1))))</f>
        <v>62,000 - 62,999</v>
      </c>
      <c r="I27" s="70">
        <v>6285</v>
      </c>
      <c r="J27" s="19" t="str">
        <f>IF($C27="","",IF($I27="","-",INDEX(SETUP!$B$16:$B$22,MATCH($I27,SETUP!$A$16:$A$22,1))))</f>
        <v>VETERAN</v>
      </c>
      <c r="K27" s="19" t="str">
        <f>IF($C27="","",IF($I27="","-",TEXT(INT($I27/1000)*1000,"#,##0")&amp;" - "&amp;TEXT(INT($I27/1000)*1000+999,"#,##0")))</f>
        <v>6,000 - 6,999</v>
      </c>
      <c r="L27" s="71">
        <v>5.7</v>
      </c>
      <c r="M27" s="19" t="str">
        <f>IF($C27="","",IF($L27="","-",INDEX(SETUP!$B$36:$B$42,MATCH($L27,SETUP!$A$36:$A$42,1))))</f>
        <v>5k - 6k</v>
      </c>
      <c r="N27" s="21">
        <f>IF($C27="","",IF(OR($G27="",$I27=""),"",ROUND(100*(SETUP!$B$4*MIN(1,$I27/SETUP!$B$9)+SETUP!$B$5*MAX(0,MIN(1,($G27-SETUP!$B$10)/(SETUP!$B$11-SETUP!$B$10)))+SETUP!$B$6*MIN(1,IF($L27="",0,$L27)/SETUP!$B$12)),1)))</f>
        <v>55.6</v>
      </c>
      <c r="O27" s="19" t="str">
        <f>IF($C27="","",IF($N27="","-",INDEX(SETUP!$B$46:$B$51,MATCH($N27,SETUP!$A$46:$A$51,1))))</f>
        <v>A</v>
      </c>
      <c r="P27" s="19">
        <f>IF($C27="","",IF($I27="","",RANK($I27,$I$4:$I$1463)+COUNTIF($I$4:$I27,$I27)-1))</f>
        <v>258</v>
      </c>
      <c r="Q27" s="19">
        <f>IF($C27="","",COUNTIFS($B$4:$B$1463,$B27,$X$4:$X$1463,"&gt;"&amp;$X27)+COUNTIFS($B$4:$B27,$B27,$X$4:$X27,"="&amp;$X27))</f>
        <v>12</v>
      </c>
      <c r="R27" s="75">
        <f>IF($C27="","",IF($I27="","",ROUND(COUNTIF($I$4:$I$1463,"&lt;"&amp;$I27)/COUNT($I$4:$I$1463),3)))</f>
        <v>0.80500000000000005</v>
      </c>
      <c r="S27" s="19" t="str">
        <f>IF($C27="","",IF($G27="","Name only",IF(OR($I27="",$L27=""),"Partial","Complete")))</f>
        <v>Complete</v>
      </c>
      <c r="T27" s="1" t="str">
        <f>IF($C27="","",TRIM(IF(COUNTIF($C$4:$C$1463,$C27)&gt;1,"Dup name; ","")&amp;IF(AND($G27&lt;&gt;"",$G27&lt;55000),"Low CR - verify; ","")&amp;IF(AND($L27&lt;&gt;"",$L27&gt;15),"Secondary - verify; ","")&amp;IF($E27="","No class; ","")))</f>
        <v/>
      </c>
      <c r="U27" s="68"/>
      <c r="V27" s="68"/>
      <c r="W27" s="68"/>
      <c r="X27" s="76">
        <f t="shared" si="2"/>
        <v>6285</v>
      </c>
      <c r="Y27" s="1" t="str">
        <f t="shared" si="3"/>
        <v>ACHERON|12</v>
      </c>
      <c r="Z27" s="19">
        <f>IF($C27="","",IF($G27="","",RANK($G27,$G$4:$G$1463)+COUNTIF($G$4:$G27,$G27)-1))</f>
        <v>800</v>
      </c>
      <c r="AA27" s="19">
        <f>IF($C27="","",IF($N27="","",RANK($N27,$N$4:$N$1463)+COUNTIF($N$4:$N27,$N27)-1))</f>
        <v>304</v>
      </c>
      <c r="AB27" s="1" t="str">
        <f>IF($C27="","",IF($E27="","",$E27&amp;"#"&amp;(COUNTIFS($E$4:$E$1463,$E27,$X$4:$X$1463,"&gt;"&amp;$X27)+COUNTIFS($E$4:$E27,$E27,$X$4:$X27,"="&amp;$X27))))</f>
        <v>WARLOCK#54</v>
      </c>
      <c r="AC27" s="1" t="str">
        <f>IF($C27="","",$B27&amp;"@"&amp;(COUNTIFS($B$4:$B$1463,$B27,$C$4:$C$1463,"&lt;"&amp;$C27)+COUNTIFS($B$4:$B27,$B27,$C$4:$C27,$C27)))</f>
        <v>ACHERON@2</v>
      </c>
      <c r="AD27" s="1">
        <f t="shared" si="4"/>
        <v>24</v>
      </c>
      <c r="AE27" s="1" t="s">
        <v>578</v>
      </c>
      <c r="AF27" s="76">
        <f t="shared" si="5"/>
        <v>62100</v>
      </c>
      <c r="AG27" s="77">
        <f t="shared" si="6"/>
        <v>5.7</v>
      </c>
      <c r="AH27" s="1" t="str">
        <f>IF($C27="","",$B27&amp;"|"&amp;(COUNTIFS($B$4:$B$1463,$B27,$AF$4:$AF$1463,"&gt;"&amp;$AF27)+COUNTIFS($B$4:$B27,$B27,$AF$4:$AF27,"="&amp;$AF27)))</f>
        <v>ACHERON|66</v>
      </c>
      <c r="AI27" s="1" t="str">
        <f>IF($C27="","",$B27&amp;"|"&amp;(COUNTIFS($B$4:$B$1463,$B27,$AG$4:$AG$1463,"&gt;"&amp;$AG27)+COUNTIFS($B$4:$B27,$B27,$AG$4:$AG27,"="&amp;$AG27)))</f>
        <v>ACHERON|24</v>
      </c>
    </row>
    <row r="28" spans="1:35" hidden="1">
      <c r="A28" s="69" t="s">
        <v>106</v>
      </c>
      <c r="B28" s="69" t="s">
        <v>86</v>
      </c>
      <c r="C28" s="63" t="s">
        <v>579</v>
      </c>
      <c r="D28" s="69"/>
      <c r="E28" s="68" t="s">
        <v>73</v>
      </c>
      <c r="F28" s="15" t="str">
        <f>IF($C28="","",IF($E28="","-",IFERROR(INDEX(SETUP!$B$55:$B$64,MATCH($E28,SETUP!$A$55:$A$64,0)),"Other")))</f>
        <v>Frontline</v>
      </c>
      <c r="G28" s="70">
        <v>63496</v>
      </c>
      <c r="H28" s="15" t="str">
        <f>IF($C28="","",IF($G28="","-",INDEX(SETUP!$B$26:$B$32,MATCH($G28,SETUP!$A$26:$A$32,1))))</f>
        <v>63,000 - 63,999</v>
      </c>
      <c r="I28" s="70">
        <v>7281</v>
      </c>
      <c r="J28" s="15" t="str">
        <f>IF($C28="","",IF($I28="","-",INDEX(SETUP!$B$16:$B$22,MATCH($I28,SETUP!$A$16:$A$22,1))))</f>
        <v>VETERAN</v>
      </c>
      <c r="K28" s="15" t="str">
        <f>IF($C28="","",IF($I28="","-",TEXT(INT($I28/1000)*1000,"#,##0")&amp;" - "&amp;TEXT(INT($I28/1000)*1000+999,"#,##0")))</f>
        <v>7,000 - 7,999</v>
      </c>
      <c r="L28" s="71">
        <v>5.3</v>
      </c>
      <c r="M28" s="15" t="str">
        <f>IF($C28="","",IF($L28="","-",INDEX(SETUP!$B$36:$B$42,MATCH($L28,SETUP!$A$36:$A$42,1))))</f>
        <v>5k - 6k</v>
      </c>
      <c r="N28" s="17">
        <f>IF($C28="","",IF(OR($G28="",$I28=""),"",ROUND(100*(SETUP!$B$4*MIN(1,$I28/SETUP!$B$9)+SETUP!$B$5*MAX(0,MIN(1,($G28-SETUP!$B$10)/(SETUP!$B$11-SETUP!$B$10)))+SETUP!$B$6*MIN(1,IF($L28="",0,$L28)/SETUP!$B$12)),1)))</f>
        <v>63</v>
      </c>
      <c r="O28" s="15" t="str">
        <f>IF($C28="","",IF($N28="","-",INDEX(SETUP!$B$46:$B$51,MATCH($N28,SETUP!$A$46:$A$51,1))))</f>
        <v>A</v>
      </c>
      <c r="P28" s="15">
        <f>IF($C28="","",IF($I28="","",RANK($I28,$I$4:$I$1463)+COUNTIF($I$4:$I28,$I28)-1))</f>
        <v>195</v>
      </c>
      <c r="Q28" s="15">
        <f>IF($C28="","",COUNTIFS($B$4:$B$1463,$B28,$X$4:$X$1463,"&gt;"&amp;$X28)+COUNTIFS($B$4:$B28,$B28,$X$4:$X28,"="&amp;$X28))</f>
        <v>42</v>
      </c>
      <c r="R28" s="72">
        <f>IF($C28="","",IF($I28="","",ROUND(COUNTIF($I$4:$I$1463,"&lt;"&amp;$I28)/COUNT($I$4:$I$1463),3)))</f>
        <v>0.85299999999999998</v>
      </c>
      <c r="S28" s="15" t="str">
        <f>IF($C28="","",IF($G28="","Name only",IF(OR($I28="",$L28=""),"Partial","Complete")))</f>
        <v>Complete</v>
      </c>
      <c r="T28" s="41" t="str">
        <f>IF($C28="","",TRIM(IF(COUNTIF($C$4:$C$1463,$C28)&gt;1,"Dup name; ","")&amp;IF(AND($G28&lt;&gt;"",$G28&lt;55000),"Low CR - verify; ","")&amp;IF(AND($L28&lt;&gt;"",$L28&gt;15),"Secondary - verify; ","")&amp;IF($E28="","No class; ","")))</f>
        <v/>
      </c>
      <c r="U28" s="68"/>
      <c r="V28" s="68"/>
      <c r="W28" s="68"/>
      <c r="X28" s="73">
        <f t="shared" si="2"/>
        <v>7281</v>
      </c>
      <c r="Y28" s="41" t="str">
        <f t="shared" si="3"/>
        <v>VANGUARD|42</v>
      </c>
      <c r="Z28" s="15">
        <f>IF($C28="","",IF($G28="","",RANK($G28,$G$4:$G$1463)+COUNTIF($G$4:$G28,$G28)-1))</f>
        <v>194</v>
      </c>
      <c r="AA28" s="15">
        <f>IF($C28="","",IF($N28="","",RANK($N28,$N$4:$N$1463)+COUNTIF($N$4:$N28,$N28)-1))</f>
        <v>203</v>
      </c>
      <c r="AB28" s="41" t="str">
        <f>IF($C28="","",IF($E28="","",$E28&amp;"#"&amp;(COUNTIFS($E$4:$E$1463,$E28,$X$4:$X$1463,"&gt;"&amp;$X28)+COUNTIFS($E$4:$E28,$E28,$X$4:$X28,"="&amp;$X28))))</f>
        <v>CRUSADER#29</v>
      </c>
      <c r="AC28" s="41" t="str">
        <f>IF($C28="","",$B28&amp;"@"&amp;(COUNTIFS($B$4:$B$1463,$B28,$C$4:$C$1463,"&lt;"&amp;$C28)+COUNTIFS($B$4:$B28,$B28,$C$4:$C28,$C28)))</f>
        <v>VANGUARD@4</v>
      </c>
      <c r="AD28" s="41">
        <f t="shared" si="4"/>
        <v>25</v>
      </c>
      <c r="AE28" s="41" t="s">
        <v>580</v>
      </c>
      <c r="AF28" s="73">
        <f t="shared" si="5"/>
        <v>63496</v>
      </c>
      <c r="AG28" s="74">
        <f t="shared" si="6"/>
        <v>5.3</v>
      </c>
      <c r="AH28" s="41" t="str">
        <f>IF($C28="","",$B28&amp;"|"&amp;(COUNTIFS($B$4:$B$1463,$B28,$AF$4:$AF$1463,"&gt;"&amp;$AF28)+COUNTIFS($B$4:$B28,$B28,$AF$4:$AF28,"="&amp;$AF28)))</f>
        <v>VANGUARD|40</v>
      </c>
      <c r="AI28" s="41" t="str">
        <f>IF($C28="","",$B28&amp;"|"&amp;(COUNTIFS($B$4:$B$1463,$B28,$AG$4:$AG$1463,"&gt;"&amp;$AG28)+COUNTIFS($B$4:$B28,$B28,$AG$4:$AG28,"="&amp;$AG28)))</f>
        <v>VANGUARD|58</v>
      </c>
    </row>
    <row r="29" spans="1:35" hidden="1">
      <c r="A29" s="69" t="s">
        <v>109</v>
      </c>
      <c r="B29" s="69" t="s">
        <v>111</v>
      </c>
      <c r="C29" s="63" t="s">
        <v>581</v>
      </c>
      <c r="D29" s="69" t="s">
        <v>527</v>
      </c>
      <c r="E29" s="68" t="s">
        <v>76</v>
      </c>
      <c r="F29" s="19" t="str">
        <f>IF($C29="","",IF($E29="","-",IFERROR(INDEX(SETUP!$B$55:$B$64,MATCH($E29,SETUP!$A$55:$A$64,0)),"Other")))</f>
        <v>Support</v>
      </c>
      <c r="G29" s="70">
        <v>63210</v>
      </c>
      <c r="H29" s="19" t="str">
        <f>IF($C29="","",IF($G29="","-",INDEX(SETUP!$B$26:$B$32,MATCH($G29,SETUP!$A$26:$A$32,1))))</f>
        <v>63,000 - 63,999</v>
      </c>
      <c r="I29" s="70">
        <v>11000</v>
      </c>
      <c r="J29" s="19" t="str">
        <f>IF($C29="","",IF($I29="","-",INDEX(SETUP!$B$16:$B$22,MATCH($I29,SETUP!$A$16:$A$22,1))))</f>
        <v>APEX</v>
      </c>
      <c r="K29" s="19" t="str">
        <f>IF($C29="","",IF($I29="","-",TEXT(INT($I29/1000)*1000,"#,##0")&amp;" - "&amp;TEXT(INT($I29/1000)*1000+999,"#,##0")))</f>
        <v>11,000 - 11,999</v>
      </c>
      <c r="L29" s="71">
        <v>8.0500000000000007</v>
      </c>
      <c r="M29" s="19" t="str">
        <f>IF($C29="","",IF($L29="","-",INDEX(SETUP!$B$36:$B$42,MATCH($L29,SETUP!$A$36:$A$42,1))))</f>
        <v>8k - 10k</v>
      </c>
      <c r="N29" s="21">
        <f>IF($C29="","",IF(OR($G29="",$I29=""),"",ROUND(100*(SETUP!$B$4*MIN(1,$I29/SETUP!$B$9)+SETUP!$B$5*MAX(0,MIN(1,($G29-SETUP!$B$10)/(SETUP!$B$11-SETUP!$B$10)))+SETUP!$B$6*MIN(1,IF($L29="",0,$L29)/SETUP!$B$12)),1)))</f>
        <v>83</v>
      </c>
      <c r="O29" s="19" t="str">
        <f>IF($C29="","",IF($N29="","-",INDEX(SETUP!$B$46:$B$51,MATCH($N29,SETUP!$A$46:$A$51,1))))</f>
        <v>S+</v>
      </c>
      <c r="P29" s="19">
        <f>IF($C29="","",IF($I29="","",RANK($I29,$I$4:$I$1463)+COUNTIF($I$4:$I29,$I29)-1))</f>
        <v>16</v>
      </c>
      <c r="Q29" s="19">
        <f>IF($C29="","",COUNTIFS($B$4:$B$1463,$B29,$X$4:$X$1463,"&gt;"&amp;$X29)+COUNTIFS($B$4:$B29,$B29,$X$4:$X29,"="&amp;$X29))</f>
        <v>2</v>
      </c>
      <c r="R29" s="75">
        <f>IF($C29="","",IF($I29="","",ROUND(COUNTIF($I$4:$I$1463,"&lt;"&amp;$I29)/COUNT($I$4:$I$1463),3)))</f>
        <v>0.98699999999999999</v>
      </c>
      <c r="S29" s="19" t="str">
        <f>IF($C29="","",IF($G29="","Name only",IF(OR($I29="",$L29=""),"Partial","Complete")))</f>
        <v>Complete</v>
      </c>
      <c r="T29" s="1" t="str">
        <f>IF($C29="","",TRIM(IF(COUNTIF($C$4:$C$1463,$C29)&gt;1,"Dup name; ","")&amp;IF(AND($G29&lt;&gt;"",$G29&lt;55000),"Low CR - verify; ","")&amp;IF(AND($L29&lt;&gt;"",$L29&gt;15),"Secondary - verify; ","")&amp;IF($E29="","No class; ","")))</f>
        <v/>
      </c>
      <c r="U29" s="68"/>
      <c r="V29" s="68"/>
      <c r="W29" s="68"/>
      <c r="X29" s="76">
        <f t="shared" si="2"/>
        <v>11000</v>
      </c>
      <c r="Y29" s="1" t="str">
        <f t="shared" si="3"/>
        <v>RECKONING|2</v>
      </c>
      <c r="Z29" s="19">
        <f>IF($C29="","",IF($G29="","",RANK($G29,$G$4:$G$1463)+COUNTIF($G$4:$G29,$G29)-1))</f>
        <v>310</v>
      </c>
      <c r="AA29" s="19">
        <f>IF($C29="","",IF($N29="","",RANK($N29,$N$4:$N$1463)+COUNTIF($N$4:$N29,$N29)-1))</f>
        <v>32</v>
      </c>
      <c r="AB29" s="1" t="str">
        <f>IF($C29="","",IF($E29="","",$E29&amp;"#"&amp;(COUNTIFS($E$4:$E$1463,$E29,$X$4:$X$1463,"&gt;"&amp;$X29)+COUNTIFS($E$4:$E29,$E29,$X$4:$X29,"="&amp;$X29))))</f>
        <v>MONK#1</v>
      </c>
      <c r="AC29" s="1" t="str">
        <f>IF($C29="","",$B29&amp;"@"&amp;(COUNTIFS($B$4:$B$1463,$B29,$C$4:$C$1463,"&lt;"&amp;$C29)+COUNTIFS($B$4:$B29,$B29,$C$4:$C29,$C29)))</f>
        <v>RECKONING@3</v>
      </c>
      <c r="AD29" s="1">
        <f t="shared" si="4"/>
        <v>26</v>
      </c>
      <c r="AE29" s="1" t="s">
        <v>582</v>
      </c>
      <c r="AF29" s="76">
        <f t="shared" si="5"/>
        <v>63210</v>
      </c>
      <c r="AG29" s="77">
        <f t="shared" si="6"/>
        <v>8.0500000000000007</v>
      </c>
      <c r="AH29" s="1" t="str">
        <f>IF($C29="","",$B29&amp;"|"&amp;(COUNTIFS($B$4:$B$1463,$B29,$AF$4:$AF$1463,"&gt;"&amp;$AF29)+COUNTIFS($B$4:$B29,$B29,$AF$4:$AF29,"="&amp;$AF29)))</f>
        <v>RECKONING|32</v>
      </c>
      <c r="AI29" s="1" t="str">
        <f>IF($C29="","",$B29&amp;"|"&amp;(COUNTIFS($B$4:$B$1463,$B29,$AG$4:$AG$1463,"&gt;"&amp;$AG29)+COUNTIFS($B$4:$B29,$B29,$AG$4:$AG29,"="&amp;$AG29)))</f>
        <v>RECKONING|12</v>
      </c>
    </row>
    <row r="30" spans="1:35" hidden="1">
      <c r="A30" s="69" t="s">
        <v>109</v>
      </c>
      <c r="B30" s="69" t="s">
        <v>110</v>
      </c>
      <c r="C30" s="63" t="s">
        <v>583</v>
      </c>
      <c r="D30" s="69"/>
      <c r="E30" s="68" t="s">
        <v>72</v>
      </c>
      <c r="F30" s="15" t="str">
        <f>IF($C30="","",IF($E30="","-",IFERROR(INDEX(SETUP!$B$55:$B$64,MATCH($E30,SETUP!$A$55:$A$64,0)),"Other")))</f>
        <v>Frontline</v>
      </c>
      <c r="G30" s="70">
        <v>62929</v>
      </c>
      <c r="H30" s="15" t="str">
        <f>IF($C30="","",IF($G30="","-",INDEX(SETUP!$B$26:$B$32,MATCH($G30,SETUP!$A$26:$A$32,1))))</f>
        <v>62,000 - 62,999</v>
      </c>
      <c r="I30" s="70">
        <v>8169</v>
      </c>
      <c r="J30" s="15" t="str">
        <f>IF($C30="","",IF($I30="","-",INDEX(SETUP!$B$16:$B$22,MATCH($I30,SETUP!$A$16:$A$22,1))))</f>
        <v>ELITE</v>
      </c>
      <c r="K30" s="15" t="str">
        <f>IF($C30="","",IF($I30="","-",TEXT(INT($I30/1000)*1000,"#,##0")&amp;" - "&amp;TEXT(INT($I30/1000)*1000+999,"#,##0")))</f>
        <v>8,000 - 8,999</v>
      </c>
      <c r="L30" s="71">
        <v>6.15</v>
      </c>
      <c r="M30" s="15" t="str">
        <f>IF($C30="","",IF($L30="","-",INDEX(SETUP!$B$36:$B$42,MATCH($L30,SETUP!$A$36:$A$42,1))))</f>
        <v>6k - 8k</v>
      </c>
      <c r="N30" s="17">
        <f>IF($C30="","",IF(OR($G30="",$I30=""),"",ROUND(100*(SETUP!$B$4*MIN(1,$I30/SETUP!$B$9)+SETUP!$B$5*MAX(0,MIN(1,($G30-SETUP!$B$10)/(SETUP!$B$11-SETUP!$B$10)))+SETUP!$B$6*MIN(1,IF($L30="",0,$L30)/SETUP!$B$12)),1)))</f>
        <v>66.8</v>
      </c>
      <c r="O30" s="15" t="str">
        <f>IF($C30="","",IF($N30="","-",INDEX(SETUP!$B$46:$B$51,MATCH($N30,SETUP!$A$46:$A$51,1))))</f>
        <v>S</v>
      </c>
      <c r="P30" s="15">
        <f>IF($C30="","",IF($I30="","",RANK($I30,$I$4:$I$1463)+COUNTIF($I$4:$I30,$I30)-1))</f>
        <v>138</v>
      </c>
      <c r="Q30" s="15">
        <f>IF($C30="","",COUNTIFS($B$4:$B$1463,$B30,$X$4:$X$1463,"&gt;"&amp;$X30)+COUNTIFS($B$4:$B30,$B30,$X$4:$X30,"="&amp;$X30))</f>
        <v>22</v>
      </c>
      <c r="R30" s="72">
        <f>IF($C30="","",IF($I30="","",ROUND(COUNTIF($I$4:$I$1463,"&lt;"&amp;$I30)/COUNT($I$4:$I$1463),3)))</f>
        <v>0.89600000000000002</v>
      </c>
      <c r="S30" s="15" t="str">
        <f>IF($C30="","",IF($G30="","Name only",IF(OR($I30="",$L30=""),"Partial","Complete")))</f>
        <v>Complete</v>
      </c>
      <c r="T30" s="41" t="str">
        <f>IF($C30="","",TRIM(IF(COUNTIF($C$4:$C$1463,$C30)&gt;1,"Dup name; ","")&amp;IF(AND($G30&lt;&gt;"",$G30&lt;55000),"Low CR - verify; ","")&amp;IF(AND($L30&lt;&gt;"",$L30&gt;15),"Secondary - verify; ","")&amp;IF($E30="","No class; ","")))</f>
        <v/>
      </c>
      <c r="U30" s="68"/>
      <c r="V30" s="68"/>
      <c r="W30" s="68"/>
      <c r="X30" s="73">
        <f t="shared" si="2"/>
        <v>8169</v>
      </c>
      <c r="Y30" s="41" t="str">
        <f t="shared" si="3"/>
        <v>AZUKI|22</v>
      </c>
      <c r="Z30" s="15">
        <f>IF($C30="","",IF($G30="","",RANK($G30,$G$4:$G$1463)+COUNTIF($G$4:$G30,$G30)-1))</f>
        <v>462</v>
      </c>
      <c r="AA30" s="15">
        <f>IF($C30="","",IF($N30="","",RANK($N30,$N$4:$N$1463)+COUNTIF($N$4:$N30,$N30)-1))</f>
        <v>158</v>
      </c>
      <c r="AB30" s="41" t="str">
        <f>IF($C30="","",IF($E30="","",$E30&amp;"#"&amp;(COUNTIFS($E$4:$E$1463,$E30,$X$4:$X$1463,"&gt;"&amp;$X30)+COUNTIFS($E$4:$E30,$E30,$X$4:$X30,"="&amp;$X30))))</f>
        <v>BLOOD KNIGHT#8</v>
      </c>
      <c r="AC30" s="41" t="str">
        <f>IF($C30="","",$B30&amp;"@"&amp;(COUNTIFS($B$4:$B$1463,$B30,$C$4:$C$1463,"&lt;"&amp;$C30)+COUNTIFS($B$4:$B30,$B30,$C$4:$C30,$C30)))</f>
        <v>AZUKI@1</v>
      </c>
      <c r="AD30" s="41">
        <f t="shared" si="4"/>
        <v>27</v>
      </c>
      <c r="AE30" s="41" t="s">
        <v>584</v>
      </c>
      <c r="AF30" s="73">
        <f t="shared" si="5"/>
        <v>62929</v>
      </c>
      <c r="AG30" s="74">
        <f t="shared" si="6"/>
        <v>6.15</v>
      </c>
      <c r="AH30" s="41" t="str">
        <f>IF($C30="","",$B30&amp;"|"&amp;(COUNTIFS($B$4:$B$1463,$B30,$AF$4:$AF$1463,"&gt;"&amp;$AF30)+COUNTIFS($B$4:$B30,$B30,$AF$4:$AF30,"="&amp;$AF30)))</f>
        <v>AZUKI|45</v>
      </c>
      <c r="AI30" s="41" t="str">
        <f>IF($C30="","",$B30&amp;"|"&amp;(COUNTIFS($B$4:$B$1463,$B30,$AG$4:$AG$1463,"&gt;"&amp;$AG30)+COUNTIFS($B$4:$B30,$B30,$AG$4:$AG30,"="&amp;$AG30)))</f>
        <v>AZUKI|41</v>
      </c>
    </row>
    <row r="31" spans="1:35" hidden="1">
      <c r="A31" s="69" t="s">
        <v>109</v>
      </c>
      <c r="B31" s="69" t="s">
        <v>115</v>
      </c>
      <c r="C31" s="63" t="s">
        <v>585</v>
      </c>
      <c r="D31" s="69"/>
      <c r="E31" s="68" t="s">
        <v>76</v>
      </c>
      <c r="F31" s="19" t="str">
        <f>IF($C31="","",IF($E31="","-",IFERROR(INDEX(SETUP!$B$55:$B$64,MATCH($E31,SETUP!$A$55:$A$64,0)),"Other")))</f>
        <v>Support</v>
      </c>
      <c r="G31" s="70">
        <v>62264</v>
      </c>
      <c r="H31" s="19" t="str">
        <f>IF($C31="","",IF($G31="","-",INDEX(SETUP!$B$26:$B$32,MATCH($G31,SETUP!$A$26:$A$32,1))))</f>
        <v>62,000 - 62,999</v>
      </c>
      <c r="I31" s="70">
        <v>9887</v>
      </c>
      <c r="J31" s="19" t="str">
        <f>IF($C31="","",IF($I31="","-",INDEX(SETUP!$B$16:$B$22,MATCH($I31,SETUP!$A$16:$A$22,1))))</f>
        <v>ELITE</v>
      </c>
      <c r="K31" s="19" t="str">
        <f>IF($C31="","",IF($I31="","-",TEXT(INT($I31/1000)*1000,"#,##0")&amp;" - "&amp;TEXT(INT($I31/1000)*1000+999,"#,##0")))</f>
        <v>9,000 - 9,999</v>
      </c>
      <c r="L31" s="71">
        <v>7.35</v>
      </c>
      <c r="M31" s="19" t="str">
        <f>IF($C31="","",IF($L31="","-",INDEX(SETUP!$B$36:$B$42,MATCH($L31,SETUP!$A$36:$A$42,1))))</f>
        <v>6k - 8k</v>
      </c>
      <c r="N31" s="21">
        <f>IF($C31="","",IF(OR($G31="",$I31=""),"",ROUND(100*(SETUP!$B$4*MIN(1,$I31/SETUP!$B$9)+SETUP!$B$5*MAX(0,MIN(1,($G31-SETUP!$B$10)/(SETUP!$B$11-SETUP!$B$10)))+SETUP!$B$6*MIN(1,IF($L31="",0,$L31)/SETUP!$B$12)),1)))</f>
        <v>74.5</v>
      </c>
      <c r="O31" s="19" t="str">
        <f>IF($C31="","",IF($N31="","-",INDEX(SETUP!$B$46:$B$51,MATCH($N31,SETUP!$A$46:$A$51,1))))</f>
        <v>S</v>
      </c>
      <c r="P31" s="19">
        <f>IF($C31="","",IF($I31="","",RANK($I31,$I$4:$I$1463)+COUNTIF($I$4:$I31,$I31)-1))</f>
        <v>59</v>
      </c>
      <c r="Q31" s="19">
        <f>IF($C31="","",COUNTIFS($B$4:$B$1463,$B31,$X$4:$X$1463,"&gt;"&amp;$X31)+COUNTIFS($B$4:$B31,$B31,$X$4:$X31,"="&amp;$X31))</f>
        <v>3</v>
      </c>
      <c r="R31" s="75">
        <f>IF($C31="","",IF($I31="","",ROUND(COUNTIF($I$4:$I$1463,"&lt;"&amp;$I31)/COUNT($I$4:$I$1463),3)))</f>
        <v>0.95499999999999996</v>
      </c>
      <c r="S31" s="19" t="str">
        <f>IF($C31="","",IF($G31="","Name only",IF(OR($I31="",$L31=""),"Partial","Complete")))</f>
        <v>Complete</v>
      </c>
      <c r="T31" s="1" t="str">
        <f>IF($C31="","",TRIM(IF(COUNTIF($C$4:$C$1463,$C31)&gt;1,"Dup name; ","")&amp;IF(AND($G31&lt;&gt;"",$G31&lt;55000),"Low CR - verify; ","")&amp;IF(AND($L31&lt;&gt;"",$L31&gt;15),"Secondary - verify; ","")&amp;IF($E31="","No class; ","")))</f>
        <v/>
      </c>
      <c r="U31" s="68"/>
      <c r="V31" s="68"/>
      <c r="W31" s="68"/>
      <c r="X31" s="76">
        <f t="shared" si="2"/>
        <v>9887</v>
      </c>
      <c r="Y31" s="1" t="str">
        <f t="shared" si="3"/>
        <v>SUB ROSA|3</v>
      </c>
      <c r="Z31" s="19">
        <f>IF($C31="","",IF($G31="","",RANK($G31,$G$4:$G$1463)+COUNTIF($G$4:$G31,$G31)-1))</f>
        <v>738</v>
      </c>
      <c r="AA31" s="19">
        <f>IF($C31="","",IF($N31="","",RANK($N31,$N$4:$N$1463)+COUNTIF($N$4:$N31,$N31)-1))</f>
        <v>91</v>
      </c>
      <c r="AB31" s="1" t="str">
        <f>IF($C31="","",IF($E31="","",$E31&amp;"#"&amp;(COUNTIFS($E$4:$E$1463,$E31,$X$4:$X$1463,"&gt;"&amp;$X31)+COUNTIFS($E$4:$E31,$E31,$X$4:$X31,"="&amp;$X31))))</f>
        <v>MONK#4</v>
      </c>
      <c r="AC31" s="1" t="str">
        <f>IF($C31="","",$B31&amp;"@"&amp;(COUNTIFS($B$4:$B$1463,$B31,$C$4:$C$1463,"&lt;"&amp;$C31)+COUNTIFS($B$4:$B31,$B31,$C$4:$C31,$C31)))</f>
        <v>SUB ROSA@2</v>
      </c>
      <c r="AD31" s="1">
        <f t="shared" si="4"/>
        <v>28</v>
      </c>
      <c r="AE31" s="1" t="s">
        <v>586</v>
      </c>
      <c r="AF31" s="76">
        <f t="shared" si="5"/>
        <v>62264</v>
      </c>
      <c r="AG31" s="77">
        <f t="shared" si="6"/>
        <v>7.35</v>
      </c>
      <c r="AH31" s="1" t="str">
        <f>IF($C31="","",$B31&amp;"|"&amp;(COUNTIFS($B$4:$B$1463,$B31,$AF$4:$AF$1463,"&gt;"&amp;$AF31)+COUNTIFS($B$4:$B31,$B31,$AF$4:$AF31,"="&amp;$AF31)))</f>
        <v>SUB ROSA|24</v>
      </c>
      <c r="AI31" s="1" t="str">
        <f>IF($C31="","",$B31&amp;"|"&amp;(COUNTIFS($B$4:$B$1463,$B31,$AG$4:$AG$1463,"&gt;"&amp;$AG31)+COUNTIFS($B$4:$B31,$B31,$AG$4:$AG31,"="&amp;$AG31)))</f>
        <v>SUB ROSA|3</v>
      </c>
    </row>
    <row r="32" spans="1:35" hidden="1">
      <c r="A32" s="69" t="s">
        <v>106</v>
      </c>
      <c r="B32" s="69" t="s">
        <v>86</v>
      </c>
      <c r="C32" s="63" t="s">
        <v>587</v>
      </c>
      <c r="D32" s="69"/>
      <c r="E32" s="68" t="s">
        <v>73</v>
      </c>
      <c r="F32" s="15" t="str">
        <f>IF($C32="","",IF($E32="","-",IFERROR(INDEX(SETUP!$B$55:$B$64,MATCH($E32,SETUP!$A$55:$A$64,0)),"Other")))</f>
        <v>Frontline</v>
      </c>
      <c r="G32" s="70">
        <v>64072</v>
      </c>
      <c r="H32" s="15" t="str">
        <f>IF($C32="","",IF($G32="","-",INDEX(SETUP!$B$26:$B$32,MATCH($G32,SETUP!$A$26:$A$32,1))))</f>
        <v>64,000 +</v>
      </c>
      <c r="I32" s="70">
        <v>10170</v>
      </c>
      <c r="J32" s="15" t="str">
        <f>IF($C32="","",IF($I32="","-",INDEX(SETUP!$B$16:$B$22,MATCH($I32,SETUP!$A$16:$A$22,1))))</f>
        <v>APEX</v>
      </c>
      <c r="K32" s="15" t="str">
        <f>IF($C32="","",IF($I32="","-",TEXT(INT($I32/1000)*1000,"#,##0")&amp;" - "&amp;TEXT(INT($I32/1000)*1000+999,"#,##0")))</f>
        <v>10,000 - 10,999</v>
      </c>
      <c r="L32" s="71">
        <v>9.5399999999999991</v>
      </c>
      <c r="M32" s="15" t="str">
        <f>IF($C32="","",IF($L32="","-",INDEX(SETUP!$B$36:$B$42,MATCH($L32,SETUP!$A$36:$A$42,1))))</f>
        <v>8k - 10k</v>
      </c>
      <c r="N32" s="17">
        <f>IF($C32="","",IF(OR($G32="",$I32=""),"",ROUND(100*(SETUP!$B$4*MIN(1,$I32/SETUP!$B$9)+SETUP!$B$5*MAX(0,MIN(1,($G32-SETUP!$B$10)/(SETUP!$B$11-SETUP!$B$10)))+SETUP!$B$6*MIN(1,IF($L32="",0,$L32)/SETUP!$B$12)),1)))</f>
        <v>84.2</v>
      </c>
      <c r="O32" s="15" t="str">
        <f>IF($C32="","",IF($N32="","-",INDEX(SETUP!$B$46:$B$51,MATCH($N32,SETUP!$A$46:$A$51,1))))</f>
        <v>S+</v>
      </c>
      <c r="P32" s="15">
        <f>IF($C32="","",IF($I32="","",RANK($I32,$I$4:$I$1463)+COUNTIF($I$4:$I32,$I32)-1))</f>
        <v>42</v>
      </c>
      <c r="Q32" s="15">
        <f>IF($C32="","",COUNTIFS($B$4:$B$1463,$B32,$X$4:$X$1463,"&gt;"&amp;$X32)+COUNTIFS($B$4:$B32,$B32,$X$4:$X32,"="&amp;$X32))</f>
        <v>6</v>
      </c>
      <c r="R32" s="72">
        <f>IF($C32="","",IF($I32="","",ROUND(COUNTIF($I$4:$I$1463,"&lt;"&amp;$I32)/COUNT($I$4:$I$1463),3)))</f>
        <v>0.96799999999999997</v>
      </c>
      <c r="S32" s="15" t="str">
        <f>IF($C32="","",IF($G32="","Name only",IF(OR($I32="",$L32=""),"Partial","Complete")))</f>
        <v>Complete</v>
      </c>
      <c r="T32" s="41" t="str">
        <f>IF($C32="","",TRIM(IF(COUNTIF($C$4:$C$1463,$C32)&gt;1,"Dup name; ","")&amp;IF(AND($G32&lt;&gt;"",$G32&lt;55000),"Low CR - verify; ","")&amp;IF(AND($L32&lt;&gt;"",$L32&gt;15),"Secondary - verify; ","")&amp;IF($E32="","No class; ","")))</f>
        <v/>
      </c>
      <c r="U32" s="68"/>
      <c r="V32" s="68"/>
      <c r="W32" s="68"/>
      <c r="X32" s="73">
        <f t="shared" si="2"/>
        <v>10170</v>
      </c>
      <c r="Y32" s="41" t="str">
        <f t="shared" si="3"/>
        <v>VANGUARD|6</v>
      </c>
      <c r="Z32" s="15">
        <f>IF($C32="","",IF($G32="","",RANK($G32,$G$4:$G$1463)+COUNTIF($G$4:$G32,$G32)-1))</f>
        <v>61</v>
      </c>
      <c r="AA32" s="15">
        <f>IF($C32="","",IF($N32="","",RANK($N32,$N$4:$N$1463)+COUNTIF($N$4:$N32,$N32)-1))</f>
        <v>25</v>
      </c>
      <c r="AB32" s="41" t="str">
        <f>IF($C32="","",IF($E32="","",$E32&amp;"#"&amp;(COUNTIFS($E$4:$E$1463,$E32,$X$4:$X$1463,"&gt;"&amp;$X32)+COUNTIFS($E$4:$E32,$E32,$X$4:$X32,"="&amp;$X32))))</f>
        <v>CRUSADER#9</v>
      </c>
      <c r="AC32" s="41" t="str">
        <f>IF($C32="","",$B32&amp;"@"&amp;(COUNTIFS($B$4:$B$1463,$B32,$C$4:$C$1463,"&lt;"&amp;$C32)+COUNTIFS($B$4:$B32,$B32,$C$4:$C32,$C32)))</f>
        <v>VANGUARD@5</v>
      </c>
      <c r="AD32" s="41">
        <f t="shared" si="4"/>
        <v>29</v>
      </c>
      <c r="AE32" s="41" t="s">
        <v>588</v>
      </c>
      <c r="AF32" s="73">
        <f t="shared" si="5"/>
        <v>64072</v>
      </c>
      <c r="AG32" s="74">
        <f t="shared" si="6"/>
        <v>9.5399999999999991</v>
      </c>
      <c r="AH32" s="41" t="str">
        <f>IF($C32="","",$B32&amp;"|"&amp;(COUNTIFS($B$4:$B$1463,$B32,$AF$4:$AF$1463,"&gt;"&amp;$AF32)+COUNTIFS($B$4:$B32,$B32,$AF$4:$AF32,"="&amp;$AF32)))</f>
        <v>VANGUARD|16</v>
      </c>
      <c r="AI32" s="41" t="str">
        <f>IF($C32="","",$B32&amp;"|"&amp;(COUNTIFS($B$4:$B$1463,$B32,$AG$4:$AG$1463,"&gt;"&amp;$AG32)+COUNTIFS($B$4:$B32,$B32,$AG$4:$AG32,"="&amp;$AG32)))</f>
        <v>VANGUARD|6</v>
      </c>
    </row>
    <row r="33" spans="1:35" hidden="1">
      <c r="A33" s="69" t="s">
        <v>106</v>
      </c>
      <c r="B33" s="69" t="s">
        <v>86</v>
      </c>
      <c r="C33" s="63" t="s">
        <v>589</v>
      </c>
      <c r="D33" s="69"/>
      <c r="E33" s="68" t="s">
        <v>79</v>
      </c>
      <c r="F33" s="19" t="str">
        <f>IF($C33="","",IF($E33="","-",IFERROR(INDEX(SETUP!$B$55:$B$64,MATCH($E33,SETUP!$A$55:$A$64,0)),"Other")))</f>
        <v>Control</v>
      </c>
      <c r="G33" s="70">
        <v>64178</v>
      </c>
      <c r="H33" s="19" t="str">
        <f>IF($C33="","",IF($G33="","-",INDEX(SETUP!$B$26:$B$32,MATCH($G33,SETUP!$A$26:$A$32,1))))</f>
        <v>64,000 +</v>
      </c>
      <c r="I33" s="70">
        <v>9037</v>
      </c>
      <c r="J33" s="19" t="str">
        <f>IF($C33="","",IF($I33="","-",INDEX(SETUP!$B$16:$B$22,MATCH($I33,SETUP!$A$16:$A$22,1))))</f>
        <v>ELITE</v>
      </c>
      <c r="K33" s="19" t="str">
        <f>IF($C33="","",IF($I33="","-",TEXT(INT($I33/1000)*1000,"#,##0")&amp;" - "&amp;TEXT(INT($I33/1000)*1000+999,"#,##0")))</f>
        <v>9,000 - 9,999</v>
      </c>
      <c r="L33" s="71">
        <v>7</v>
      </c>
      <c r="M33" s="19" t="str">
        <f>IF($C33="","",IF($L33="","-",INDEX(SETUP!$B$36:$B$42,MATCH($L33,SETUP!$A$36:$A$42,1))))</f>
        <v>6k - 8k</v>
      </c>
      <c r="N33" s="21">
        <f>IF($C33="","",IF(OR($G33="",$I33=""),"",ROUND(100*(SETUP!$B$4*MIN(1,$I33/SETUP!$B$9)+SETUP!$B$5*MAX(0,MIN(1,($G33-SETUP!$B$10)/(SETUP!$B$11-SETUP!$B$10)))+SETUP!$B$6*MIN(1,IF($L33="",0,$L33)/SETUP!$B$12)),1)))</f>
        <v>75.3</v>
      </c>
      <c r="O33" s="19" t="str">
        <f>IF($C33="","",IF($N33="","-",INDEX(SETUP!$B$46:$B$51,MATCH($N33,SETUP!$A$46:$A$51,1))))</f>
        <v>S</v>
      </c>
      <c r="P33" s="19">
        <f>IF($C33="","",IF($I33="","",RANK($I33,$I$4:$I$1463)+COUNTIF($I$4:$I33,$I33)-1))</f>
        <v>91</v>
      </c>
      <c r="Q33" s="19">
        <f>IF($C33="","",COUNTIFS($B$4:$B$1463,$B33,$X$4:$X$1463,"&gt;"&amp;$X33)+COUNTIFS($B$4:$B33,$B33,$X$4:$X33,"="&amp;$X33))</f>
        <v>23</v>
      </c>
      <c r="R33" s="75">
        <f>IF($C33="","",IF($I33="","",ROUND(COUNTIF($I$4:$I$1463,"&lt;"&amp;$I33)/COUNT($I$4:$I$1463),3)))</f>
        <v>0.93100000000000005</v>
      </c>
      <c r="S33" s="19" t="str">
        <f>IF($C33="","",IF($G33="","Name only",IF(OR($I33="",$L33=""),"Partial","Complete")))</f>
        <v>Complete</v>
      </c>
      <c r="T33" s="1" t="str">
        <f>IF($C33="","",TRIM(IF(COUNTIF($C$4:$C$1463,$C33)&gt;1,"Dup name; ","")&amp;IF(AND($G33&lt;&gt;"",$G33&lt;55000),"Low CR - verify; ","")&amp;IF(AND($L33&lt;&gt;"",$L33&gt;15),"Secondary - verify; ","")&amp;IF($E33="","No class; ","")))</f>
        <v/>
      </c>
      <c r="U33" s="68"/>
      <c r="V33" s="68"/>
      <c r="W33" s="68"/>
      <c r="X33" s="76">
        <f t="shared" si="2"/>
        <v>9037</v>
      </c>
      <c r="Y33" s="1" t="str">
        <f t="shared" si="3"/>
        <v>VANGUARD|23</v>
      </c>
      <c r="Z33" s="19">
        <f>IF($C33="","",IF($G33="","",RANK($G33,$G$4:$G$1463)+COUNTIF($G$4:$G33,$G33)-1))</f>
        <v>47</v>
      </c>
      <c r="AA33" s="19">
        <f>IF($C33="","",IF($N33="","",RANK($N33,$N$4:$N$1463)+COUNTIF($N$4:$N33,$N33)-1))</f>
        <v>88</v>
      </c>
      <c r="AB33" s="1" t="str">
        <f>IF($C33="","",IF($E33="","",$E33&amp;"#"&amp;(COUNTIFS($E$4:$E$1463,$E33,$X$4:$X$1463,"&gt;"&amp;$X33)+COUNTIFS($E$4:$E33,$E33,$X$4:$X33,"="&amp;$X33))))</f>
        <v>WARLOCK#18</v>
      </c>
      <c r="AC33" s="1" t="str">
        <f>IF($C33="","",$B33&amp;"@"&amp;(COUNTIFS($B$4:$B$1463,$B33,$C$4:$C$1463,"&lt;"&amp;$C33)+COUNTIFS($B$4:$B33,$B33,$C$4:$C33,$C33)))</f>
        <v>VANGUARD@6</v>
      </c>
      <c r="AD33" s="1">
        <f t="shared" si="4"/>
        <v>30</v>
      </c>
      <c r="AE33" s="1" t="s">
        <v>590</v>
      </c>
      <c r="AF33" s="76">
        <f t="shared" si="5"/>
        <v>64178</v>
      </c>
      <c r="AG33" s="77">
        <f t="shared" si="6"/>
        <v>7</v>
      </c>
      <c r="AH33" s="1" t="str">
        <f>IF($C33="","",$B33&amp;"|"&amp;(COUNTIFS($B$4:$B$1463,$B33,$AF$4:$AF$1463,"&gt;"&amp;$AF33)+COUNTIFS($B$4:$B33,$B33,$AF$4:$AF33,"="&amp;$AF33)))</f>
        <v>VANGUARD|13</v>
      </c>
      <c r="AI33" s="1" t="str">
        <f>IF($C33="","",$B33&amp;"|"&amp;(COUNTIFS($B$4:$B$1463,$B33,$AG$4:$AG$1463,"&gt;"&amp;$AG33)+COUNTIFS($B$4:$B33,$B33,$AG$4:$AG33,"="&amp;$AG33)))</f>
        <v>VANGUARD|17</v>
      </c>
    </row>
    <row r="34" spans="1:35" hidden="1">
      <c r="A34" s="69" t="s">
        <v>106</v>
      </c>
      <c r="B34" s="69" t="s">
        <v>107</v>
      </c>
      <c r="C34" s="63" t="s">
        <v>591</v>
      </c>
      <c r="D34" s="69"/>
      <c r="E34" s="68" t="s">
        <v>79</v>
      </c>
      <c r="F34" s="15" t="str">
        <f>IF($C34="","",IF($E34="","-",IFERROR(INDEX(SETUP!$B$55:$B$64,MATCH($E34,SETUP!$A$55:$A$64,0)),"Other")))</f>
        <v>Control</v>
      </c>
      <c r="G34" s="70">
        <v>62928</v>
      </c>
      <c r="H34" s="15" t="str">
        <f>IF($C34="","",IF($G34="","-",INDEX(SETUP!$B$26:$B$32,MATCH($G34,SETUP!$A$26:$A$32,1))))</f>
        <v>62,000 - 62,999</v>
      </c>
      <c r="I34" s="70">
        <v>4285</v>
      </c>
      <c r="J34" s="15" t="str">
        <f>IF($C34="","",IF($I34="","-",INDEX(SETUP!$B$16:$B$22,MATCH($I34,SETUP!$A$16:$A$22,1))))</f>
        <v>CORE</v>
      </c>
      <c r="K34" s="15" t="str">
        <f>IF($C34="","",IF($I34="","-",TEXT(INT($I34/1000)*1000,"#,##0")&amp;" - "&amp;TEXT(INT($I34/1000)*1000+999,"#,##0")))</f>
        <v>4,000 - 4,999</v>
      </c>
      <c r="L34" s="71">
        <v>4.4000000000000004</v>
      </c>
      <c r="M34" s="15" t="str">
        <f>IF($C34="","",IF($L34="","-",INDEX(SETUP!$B$36:$B$42,MATCH($L34,SETUP!$A$36:$A$42,1))))</f>
        <v>4k - 5k</v>
      </c>
      <c r="N34" s="17">
        <f>IF($C34="","",IF(OR($G34="",$I34=""),"",ROUND(100*(SETUP!$B$4*MIN(1,$I34/SETUP!$B$9)+SETUP!$B$5*MAX(0,MIN(1,($G34-SETUP!$B$10)/(SETUP!$B$11-SETUP!$B$10)))+SETUP!$B$6*MIN(1,IF($L34="",0,$L34)/SETUP!$B$12)),1)))</f>
        <v>46.9</v>
      </c>
      <c r="O34" s="15" t="str">
        <f>IF($C34="","",IF($N34="","-",INDEX(SETUP!$B$46:$B$51,MATCH($N34,SETUP!$A$46:$A$51,1))))</f>
        <v>B</v>
      </c>
      <c r="P34" s="15">
        <f>IF($C34="","",IF($I34="","",RANK($I34,$I$4:$I$1463)+COUNTIF($I$4:$I34,$I34)-1))</f>
        <v>537</v>
      </c>
      <c r="Q34" s="15">
        <f>IF($C34="","",COUNTIFS($B$4:$B$1463,$B34,$X$4:$X$1463,"&gt;"&amp;$X34)+COUNTIFS($B$4:$B34,$B34,$X$4:$X34,"="&amp;$X34))</f>
        <v>44</v>
      </c>
      <c r="R34" s="72">
        <f>IF($C34="","",IF($I34="","",ROUND(COUNTIF($I$4:$I$1463,"&lt;"&amp;$I34)/COUNT($I$4:$I$1463),3)))</f>
        <v>0.59499999999999997</v>
      </c>
      <c r="S34" s="15" t="str">
        <f>IF($C34="","",IF($G34="","Name only",IF(OR($I34="",$L34=""),"Partial","Complete")))</f>
        <v>Complete</v>
      </c>
      <c r="T34" s="41" t="str">
        <f>IF($C34="","",TRIM(IF(COUNTIF($C$4:$C$1463,$C34)&gt;1,"Dup name; ","")&amp;IF(AND($G34&lt;&gt;"",$G34&lt;55000),"Low CR - verify; ","")&amp;IF(AND($L34&lt;&gt;"",$L34&gt;15),"Secondary - verify; ","")&amp;IF($E34="","No class; ","")))</f>
        <v/>
      </c>
      <c r="U34" s="68"/>
      <c r="V34" s="68"/>
      <c r="W34" s="68"/>
      <c r="X34" s="73">
        <f t="shared" si="2"/>
        <v>4285</v>
      </c>
      <c r="Y34" s="41" t="str">
        <f t="shared" si="3"/>
        <v>UNDYING|44</v>
      </c>
      <c r="Z34" s="15">
        <f>IF($C34="","",IF($G34="","",RANK($G34,$G$4:$G$1463)+COUNTIF($G$4:$G34,$G34)-1))</f>
        <v>464</v>
      </c>
      <c r="AA34" s="15">
        <f>IF($C34="","",IF($N34="","",RANK($N34,$N$4:$N$1463)+COUNTIF($N$4:$N34,$N34)-1))</f>
        <v>553</v>
      </c>
      <c r="AB34" s="41" t="str">
        <f>IF($C34="","",IF($E34="","",$E34&amp;"#"&amp;(COUNTIFS($E$4:$E$1463,$E34,$X$4:$X$1463,"&gt;"&amp;$X34)+COUNTIFS($E$4:$E34,$E34,$X$4:$X34,"="&amp;$X34))))</f>
        <v>WARLOCK#123</v>
      </c>
      <c r="AC34" s="41" t="str">
        <f>IF($C34="","",$B34&amp;"@"&amp;(COUNTIFS($B$4:$B$1463,$B34,$C$4:$C$1463,"&lt;"&amp;$C34)+COUNTIFS($B$4:$B34,$B34,$C$4:$C34,$C34)))</f>
        <v>UNDYING@2</v>
      </c>
      <c r="AD34" s="41">
        <f t="shared" si="4"/>
        <v>31</v>
      </c>
      <c r="AE34" s="41" t="s">
        <v>592</v>
      </c>
      <c r="AF34" s="73">
        <f t="shared" si="5"/>
        <v>62928</v>
      </c>
      <c r="AG34" s="74">
        <f t="shared" si="6"/>
        <v>4.4000000000000004</v>
      </c>
      <c r="AH34" s="41" t="str">
        <f>IF($C34="","",$B34&amp;"|"&amp;(COUNTIFS($B$4:$B$1463,$B34,$AF$4:$AF$1463,"&gt;"&amp;$AF34)+COUNTIFS($B$4:$B34,$B34,$AF$4:$AF34,"="&amp;$AF34)))</f>
        <v>UNDYING|46</v>
      </c>
      <c r="AI34" s="41" t="str">
        <f>IF($C34="","",$B34&amp;"|"&amp;(COUNTIFS($B$4:$B$1463,$B34,$AG$4:$AG$1463,"&gt;"&amp;$AG34)+COUNTIFS($B$4:$B34,$B34,$AG$4:$AG34,"="&amp;$AG34)))</f>
        <v>UNDYING|71</v>
      </c>
    </row>
    <row r="35" spans="1:35" hidden="1">
      <c r="A35" s="69" t="s">
        <v>106</v>
      </c>
      <c r="B35" s="69" t="s">
        <v>105</v>
      </c>
      <c r="C35" s="63" t="s">
        <v>593</v>
      </c>
      <c r="D35" s="69" t="s">
        <v>594</v>
      </c>
      <c r="E35" s="68" t="s">
        <v>79</v>
      </c>
      <c r="F35" s="19" t="str">
        <f>IF($C35="","",IF($E35="","-",IFERROR(INDEX(SETUP!$B$55:$B$64,MATCH($E35,SETUP!$A$55:$A$64,0)),"Other")))</f>
        <v>Control</v>
      </c>
      <c r="G35" s="70">
        <v>63604</v>
      </c>
      <c r="H35" s="19" t="str">
        <f>IF($C35="","",IF($G35="","-",INDEX(SETUP!$B$26:$B$32,MATCH($G35,SETUP!$A$26:$A$32,1))))</f>
        <v>63,000 - 63,999</v>
      </c>
      <c r="I35" s="70">
        <v>5671</v>
      </c>
      <c r="J35" s="19" t="str">
        <f>IF($C35="","",IF($I35="","-",INDEX(SETUP!$B$16:$B$22,MATCH($I35,SETUP!$A$16:$A$22,1))))</f>
        <v>CORE</v>
      </c>
      <c r="K35" s="19" t="str">
        <f>IF($C35="","",IF($I35="","-",TEXT(INT($I35/1000)*1000,"#,##0")&amp;" - "&amp;TEXT(INT($I35/1000)*1000+999,"#,##0")))</f>
        <v>5,000 - 5,999</v>
      </c>
      <c r="L35" s="71">
        <v>5.0999999999999996</v>
      </c>
      <c r="M35" s="19" t="str">
        <f>IF($C35="","",IF($L35="","-",INDEX(SETUP!$B$36:$B$42,MATCH($L35,SETUP!$A$36:$A$42,1))))</f>
        <v>5k - 6k</v>
      </c>
      <c r="N35" s="21">
        <f>IF($C35="","",IF(OR($G35="",$I35=""),"",ROUND(100*(SETUP!$B$4*MIN(1,$I35/SETUP!$B$9)+SETUP!$B$5*MAX(0,MIN(1,($G35-SETUP!$B$10)/(SETUP!$B$11-SETUP!$B$10)))+SETUP!$B$6*MIN(1,IF($L35="",0,$L35)/SETUP!$B$12)),1)))</f>
        <v>55.9</v>
      </c>
      <c r="O35" s="19" t="str">
        <f>IF($C35="","",IF($N35="","-",INDEX(SETUP!$B$46:$B$51,MATCH($N35,SETUP!$A$46:$A$51,1))))</f>
        <v>A</v>
      </c>
      <c r="P35" s="19">
        <f>IF($C35="","",IF($I35="","",RANK($I35,$I$4:$I$1463)+COUNTIF($I$4:$I35,$I35)-1))</f>
        <v>316</v>
      </c>
      <c r="Q35" s="19">
        <f>IF($C35="","",COUNTIFS($B$4:$B$1463,$B35,$X$4:$X$1463,"&gt;"&amp;$X35)+COUNTIFS($B$4:$B35,$B35,$X$4:$X35,"="&amp;$X35))</f>
        <v>36</v>
      </c>
      <c r="R35" s="75">
        <f>IF($C35="","",IF($I35="","",ROUND(COUNTIF($I$4:$I$1463,"&lt;"&amp;$I35)/COUNT($I$4:$I$1463),3)))</f>
        <v>0.76100000000000001</v>
      </c>
      <c r="S35" s="19" t="str">
        <f>IF($C35="","",IF($G35="","Name only",IF(OR($I35="",$L35=""),"Partial","Complete")))</f>
        <v>Complete</v>
      </c>
      <c r="T35" s="1" t="str">
        <f>IF($C35="","",TRIM(IF(COUNTIF($C$4:$C$1463,$C35)&gt;1,"Dup name; ","")&amp;IF(AND($G35&lt;&gt;"",$G35&lt;55000),"Low CR - verify; ","")&amp;IF(AND($L35&lt;&gt;"",$L35&gt;15),"Secondary - verify; ","")&amp;IF($E35="","No class; ","")))</f>
        <v/>
      </c>
      <c r="U35" s="68"/>
      <c r="V35" s="68"/>
      <c r="W35" s="68"/>
      <c r="X35" s="76">
        <f t="shared" si="2"/>
        <v>5671</v>
      </c>
      <c r="Y35" s="1" t="str">
        <f t="shared" si="3"/>
        <v>LEGENDS|36</v>
      </c>
      <c r="Z35" s="19">
        <f>IF($C35="","",IF($G35="","",RANK($G35,$G$4:$G$1463)+COUNTIF($G$4:$G35,$G35)-1))</f>
        <v>169</v>
      </c>
      <c r="AA35" s="19">
        <f>IF($C35="","",IF($N35="","",RANK($N35,$N$4:$N$1463)+COUNTIF($N$4:$N35,$N35)-1))</f>
        <v>292</v>
      </c>
      <c r="AB35" s="1" t="str">
        <f>IF($C35="","",IF($E35="","",$E35&amp;"#"&amp;(COUNTIFS($E$4:$E$1463,$E35,$X$4:$X$1463,"&gt;"&amp;$X35)+COUNTIFS($E$4:$E35,$E35,$X$4:$X35,"="&amp;$X35))))</f>
        <v>WARLOCK#68</v>
      </c>
      <c r="AC35" s="1" t="str">
        <f>IF($C35="","",$B35&amp;"@"&amp;(COUNTIFS($B$4:$B$1463,$B35,$C$4:$C$1463,"&lt;"&amp;$C35)+COUNTIFS($B$4:$B35,$B35,$C$4:$C35,$C35)))</f>
        <v>LEGENDS@3</v>
      </c>
      <c r="AD35" s="1">
        <f t="shared" si="4"/>
        <v>32</v>
      </c>
      <c r="AE35" s="1" t="s">
        <v>595</v>
      </c>
      <c r="AF35" s="76">
        <f t="shared" si="5"/>
        <v>63604</v>
      </c>
      <c r="AG35" s="77">
        <f t="shared" si="6"/>
        <v>5.0999999999999996</v>
      </c>
      <c r="AH35" s="1" t="str">
        <f>IF($C35="","",$B35&amp;"|"&amp;(COUNTIFS($B$4:$B$1463,$B35,$AF$4:$AF$1463,"&gt;"&amp;$AF35)+COUNTIFS($B$4:$B35,$B35,$AF$4:$AF35,"="&amp;$AF35)))</f>
        <v>LEGENDS|20</v>
      </c>
      <c r="AI35" s="1" t="str">
        <f>IF($C35="","",$B35&amp;"|"&amp;(COUNTIFS($B$4:$B$1463,$B35,$AG$4:$AG$1463,"&gt;"&amp;$AG35)+COUNTIFS($B$4:$B35,$B35,$AG$4:$AG35,"="&amp;$AG35)))</f>
        <v>LEGENDS|60</v>
      </c>
    </row>
    <row r="36" spans="1:35" hidden="1">
      <c r="A36" s="69" t="s">
        <v>106</v>
      </c>
      <c r="B36" s="69" t="s">
        <v>107</v>
      </c>
      <c r="C36" s="63" t="s">
        <v>596</v>
      </c>
      <c r="D36" s="69"/>
      <c r="E36" s="68" t="s">
        <v>79</v>
      </c>
      <c r="F36" s="15" t="str">
        <f>IF($C36="","",IF($E36="","-",IFERROR(INDEX(SETUP!$B$55:$B$64,MATCH($E36,SETUP!$A$55:$A$64,0)),"Other")))</f>
        <v>Control</v>
      </c>
      <c r="G36" s="70">
        <v>63449</v>
      </c>
      <c r="H36" s="15" t="str">
        <f>IF($C36="","",IF($G36="","-",INDEX(SETUP!$B$26:$B$32,MATCH($G36,SETUP!$A$26:$A$32,1))))</f>
        <v>63,000 - 63,999</v>
      </c>
      <c r="I36" s="70">
        <v>7230</v>
      </c>
      <c r="J36" s="15" t="str">
        <f>IF($C36="","",IF($I36="","-",INDEX(SETUP!$B$16:$B$22,MATCH($I36,SETUP!$A$16:$A$22,1))))</f>
        <v>VETERAN</v>
      </c>
      <c r="K36" s="15" t="str">
        <f>IF($C36="","",IF($I36="","-",TEXT(INT($I36/1000)*1000,"#,##0")&amp;" - "&amp;TEXT(INT($I36/1000)*1000+999,"#,##0")))</f>
        <v>7,000 - 7,999</v>
      </c>
      <c r="L36" s="71">
        <v>4.5999999999999996</v>
      </c>
      <c r="M36" s="15" t="str">
        <f>IF($C36="","",IF($L36="","-",INDEX(SETUP!$B$36:$B$42,MATCH($L36,SETUP!$A$36:$A$42,1))))</f>
        <v>4k - 5k</v>
      </c>
      <c r="N36" s="17">
        <f>IF($C36="","",IF(OR($G36="",$I36=""),"",ROUND(100*(SETUP!$B$4*MIN(1,$I36/SETUP!$B$9)+SETUP!$B$5*MAX(0,MIN(1,($G36-SETUP!$B$10)/(SETUP!$B$11-SETUP!$B$10)))+SETUP!$B$6*MIN(1,IF($L36="",0,$L36)/SETUP!$B$12)),1)))</f>
        <v>61.5</v>
      </c>
      <c r="O36" s="15" t="str">
        <f>IF($C36="","",IF($N36="","-",INDEX(SETUP!$B$46:$B$51,MATCH($N36,SETUP!$A$46:$A$51,1))))</f>
        <v>A</v>
      </c>
      <c r="P36" s="15">
        <f>IF($C36="","",IF($I36="","",RANK($I36,$I$4:$I$1463)+COUNTIF($I$4:$I36,$I36)-1))</f>
        <v>199</v>
      </c>
      <c r="Q36" s="15">
        <f>IF($C36="","",COUNTIFS($B$4:$B$1463,$B36,$X$4:$X$1463,"&gt;"&amp;$X36)+COUNTIFS($B$4:$B36,$B36,$X$4:$X36,"="&amp;$X36))</f>
        <v>12</v>
      </c>
      <c r="R36" s="72">
        <f>IF($C36="","",IF($I36="","",ROUND(COUNTIF($I$4:$I$1463,"&lt;"&amp;$I36)/COUNT($I$4:$I$1463),3)))</f>
        <v>0.85</v>
      </c>
      <c r="S36" s="15" t="str">
        <f>IF($C36="","",IF($G36="","Name only",IF(OR($I36="",$L36=""),"Partial","Complete")))</f>
        <v>Complete</v>
      </c>
      <c r="T36" s="41" t="str">
        <f>IF($C36="","",TRIM(IF(COUNTIF($C$4:$C$1463,$C36)&gt;1,"Dup name; ","")&amp;IF(AND($G36&lt;&gt;"",$G36&lt;55000),"Low CR - verify; ","")&amp;IF(AND($L36&lt;&gt;"",$L36&gt;15),"Secondary - verify; ","")&amp;IF($E36="","No class; ","")))</f>
        <v/>
      </c>
      <c r="U36" s="68"/>
      <c r="V36" s="68"/>
      <c r="W36" s="68"/>
      <c r="X36" s="73">
        <f t="shared" si="2"/>
        <v>7230</v>
      </c>
      <c r="Y36" s="41" t="str">
        <f t="shared" si="3"/>
        <v>UNDYING|12</v>
      </c>
      <c r="Z36" s="15">
        <f>IF($C36="","",IF($G36="","",RANK($G36,$G$4:$G$1463)+COUNTIF($G$4:$G36,$G36)-1))</f>
        <v>206</v>
      </c>
      <c r="AA36" s="15">
        <f>IF($C36="","",IF($N36="","",RANK($N36,$N$4:$N$1463)+COUNTIF($N$4:$N36,$N36)-1))</f>
        <v>220</v>
      </c>
      <c r="AB36" s="41" t="str">
        <f>IF($C36="","",IF($E36="","",$E36&amp;"#"&amp;(COUNTIFS($E$4:$E$1463,$E36,$X$4:$X$1463,"&gt;"&amp;$X36)+COUNTIFS($E$4:$E36,$E36,$X$4:$X36,"="&amp;$X36))))</f>
        <v>WARLOCK#41</v>
      </c>
      <c r="AC36" s="41" t="str">
        <f>IF($C36="","",$B36&amp;"@"&amp;(COUNTIFS($B$4:$B$1463,$B36,$C$4:$C$1463,"&lt;"&amp;$C36)+COUNTIFS($B$4:$B36,$B36,$C$4:$C36,$C36)))</f>
        <v>UNDYING@3</v>
      </c>
      <c r="AD36" s="41">
        <f t="shared" si="4"/>
        <v>33</v>
      </c>
      <c r="AE36" s="41" t="s">
        <v>553</v>
      </c>
      <c r="AF36" s="73">
        <f t="shared" si="5"/>
        <v>63449</v>
      </c>
      <c r="AG36" s="74">
        <f t="shared" si="6"/>
        <v>4.5999999999999996</v>
      </c>
      <c r="AH36" s="41" t="str">
        <f>IF($C36="","",$B36&amp;"|"&amp;(COUNTIFS($B$4:$B$1463,$B36,$AF$4:$AF$1463,"&gt;"&amp;$AF36)+COUNTIFS($B$4:$B36,$B36,$AF$4:$AF36,"="&amp;$AF36)))</f>
        <v>UNDYING|11</v>
      </c>
      <c r="AI36" s="41" t="str">
        <f>IF($C36="","",$B36&amp;"|"&amp;(COUNTIFS($B$4:$B$1463,$B36,$AG$4:$AG$1463,"&gt;"&amp;$AG36)+COUNTIFS($B$4:$B36,$B36,$AG$4:$AG36,"="&amp;$AG36)))</f>
        <v>UNDYING|63</v>
      </c>
    </row>
    <row r="37" spans="1:35" hidden="1">
      <c r="A37" s="69" t="s">
        <v>109</v>
      </c>
      <c r="B37" s="69" t="s">
        <v>110</v>
      </c>
      <c r="C37" s="63" t="s">
        <v>597</v>
      </c>
      <c r="D37" s="69"/>
      <c r="E37" s="68" t="s">
        <v>75</v>
      </c>
      <c r="F37" s="19" t="str">
        <f>IF($C37="","",IF($E37="","-",IFERROR(INDEX(SETUP!$B$55:$B$64,MATCH($E37,SETUP!$A$55:$A$64,0)),"Other")))</f>
        <v>Support</v>
      </c>
      <c r="G37" s="70">
        <v>64393</v>
      </c>
      <c r="H37" s="19" t="str">
        <f>IF($C37="","",IF($G37="","-",INDEX(SETUP!$B$26:$B$32,MATCH($G37,SETUP!$A$26:$A$32,1))))</f>
        <v>64,000 +</v>
      </c>
      <c r="I37" s="70">
        <v>9381</v>
      </c>
      <c r="J37" s="19" t="str">
        <f>IF($C37="","",IF($I37="","-",INDEX(SETUP!$B$16:$B$22,MATCH($I37,SETUP!$A$16:$A$22,1))))</f>
        <v>ELITE</v>
      </c>
      <c r="K37" s="19" t="str">
        <f>IF($C37="","",IF($I37="","-",TEXT(INT($I37/1000)*1000,"#,##0")&amp;" - "&amp;TEXT(INT($I37/1000)*1000+999,"#,##0")))</f>
        <v>9,000 - 9,999</v>
      </c>
      <c r="L37" s="71">
        <v>7.55</v>
      </c>
      <c r="M37" s="19" t="str">
        <f>IF($C37="","",IF($L37="","-",INDEX(SETUP!$B$36:$B$42,MATCH($L37,SETUP!$A$36:$A$42,1))))</f>
        <v>6k - 8k</v>
      </c>
      <c r="N37" s="21">
        <f>IF($C37="","",IF(OR($G37="",$I37=""),"",ROUND(100*(SETUP!$B$4*MIN(1,$I37/SETUP!$B$9)+SETUP!$B$5*MAX(0,MIN(1,($G37-SETUP!$B$10)/(SETUP!$B$11-SETUP!$B$10)))+SETUP!$B$6*MIN(1,IF($L37="",0,$L37)/SETUP!$B$12)),1)))</f>
        <v>78.3</v>
      </c>
      <c r="O37" s="19" t="str">
        <f>IF($C37="","",IF($N37="","-",INDEX(SETUP!$B$46:$B$51,MATCH($N37,SETUP!$A$46:$A$51,1))))</f>
        <v>S</v>
      </c>
      <c r="P37" s="19">
        <f>IF($C37="","",IF($I37="","",RANK($I37,$I$4:$I$1463)+COUNTIF($I$4:$I37,$I37)-1))</f>
        <v>79</v>
      </c>
      <c r="Q37" s="19">
        <f>IF($C37="","",COUNTIFS($B$4:$B$1463,$B37,$X$4:$X$1463,"&gt;"&amp;$X37)+COUNTIFS($B$4:$B37,$B37,$X$4:$X37,"="&amp;$X37))</f>
        <v>18</v>
      </c>
      <c r="R37" s="75">
        <f>IF($C37="","",IF($I37="","",ROUND(COUNTIF($I$4:$I$1463,"&lt;"&amp;$I37)/COUNT($I$4:$I$1463),3)))</f>
        <v>0.94</v>
      </c>
      <c r="S37" s="19" t="str">
        <f>IF($C37="","",IF($G37="","Name only",IF(OR($I37="",$L37=""),"Partial","Complete")))</f>
        <v>Complete</v>
      </c>
      <c r="T37" s="1" t="str">
        <f>IF($C37="","",TRIM(IF(COUNTIF($C$4:$C$1463,$C37)&gt;1,"Dup name; ","")&amp;IF(AND($G37&lt;&gt;"",$G37&lt;55000),"Low CR - verify; ","")&amp;IF(AND($L37&lt;&gt;"",$L37&gt;15),"Secondary - verify; ","")&amp;IF($E37="","No class; ","")))</f>
        <v/>
      </c>
      <c r="U37" s="68"/>
      <c r="V37" s="68"/>
      <c r="W37" s="68"/>
      <c r="X37" s="76">
        <f t="shared" si="2"/>
        <v>9381</v>
      </c>
      <c r="Y37" s="1" t="str">
        <f t="shared" si="3"/>
        <v>AZUKI|18</v>
      </c>
      <c r="Z37" s="19">
        <f>IF($C37="","",IF($G37="","",RANK($G37,$G$4:$G$1463)+COUNTIF($G$4:$G37,$G37)-1))</f>
        <v>10</v>
      </c>
      <c r="AA37" s="19">
        <f>IF($C37="","",IF($N37="","",RANK($N37,$N$4:$N$1463)+COUNTIF($N$4:$N37,$N37)-1))</f>
        <v>65</v>
      </c>
      <c r="AB37" s="1" t="str">
        <f>IF($C37="","",IF($E37="","",$E37&amp;"#"&amp;(COUNTIFS($E$4:$E$1463,$E37,$X$4:$X$1463,"&gt;"&amp;$X37)+COUNTIFS($E$4:$E37,$E37,$X$4:$X37,"="&amp;$X37))))</f>
        <v>DRUID#5</v>
      </c>
      <c r="AC37" s="1" t="str">
        <f>IF($C37="","",$B37&amp;"@"&amp;(COUNTIFS($B$4:$B$1463,$B37,$C$4:$C$1463,"&lt;"&amp;$C37)+COUNTIFS($B$4:$B37,$B37,$C$4:$C37,$C37)))</f>
        <v>AZUKI@2</v>
      </c>
      <c r="AD37" s="1">
        <f t="shared" si="4"/>
        <v>34</v>
      </c>
      <c r="AE37" s="1" t="s">
        <v>598</v>
      </c>
      <c r="AF37" s="76">
        <f t="shared" si="5"/>
        <v>64393</v>
      </c>
      <c r="AG37" s="77">
        <f t="shared" si="6"/>
        <v>7.55</v>
      </c>
      <c r="AH37" s="1" t="str">
        <f>IF($C37="","",$B37&amp;"|"&amp;(COUNTIFS($B$4:$B$1463,$B37,$AF$4:$AF$1463,"&gt;"&amp;$AF37)+COUNTIFS($B$4:$B37,$B37,$AF$4:$AF37,"="&amp;$AF37)))</f>
        <v>AZUKI|4</v>
      </c>
      <c r="AI37" s="1" t="str">
        <f>IF($C37="","",$B37&amp;"|"&amp;(COUNTIFS($B$4:$B$1463,$B37,$AG$4:$AG$1463,"&gt;"&amp;$AG37)+COUNTIFS($B$4:$B37,$B37,$AG$4:$AG37,"="&amp;$AG37)))</f>
        <v>AZUKI|20</v>
      </c>
    </row>
    <row r="38" spans="1:35" hidden="1">
      <c r="A38" s="69" t="s">
        <v>109</v>
      </c>
      <c r="B38" s="69" t="s">
        <v>113</v>
      </c>
      <c r="C38" s="63" t="s">
        <v>599</v>
      </c>
      <c r="D38" s="69" t="s">
        <v>548</v>
      </c>
      <c r="E38" s="68" t="s">
        <v>71</v>
      </c>
      <c r="F38" s="15" t="str">
        <f>IF($C38="","",IF($E38="","-",IFERROR(INDEX(SETUP!$B$55:$B$64,MATCH($E38,SETUP!$A$55:$A$64,0)),"Other")))</f>
        <v>Frontline</v>
      </c>
      <c r="G38" s="70">
        <v>61215</v>
      </c>
      <c r="H38" s="15" t="str">
        <f>IF($C38="","",IF($G38="","-",INDEX(SETUP!$B$26:$B$32,MATCH($G38,SETUP!$A$26:$A$32,1))))</f>
        <v>61,000 - 61,999</v>
      </c>
      <c r="I38" s="70">
        <v>1470</v>
      </c>
      <c r="J38" s="15" t="str">
        <f>IF($C38="","",IF($I38="","-",INDEX(SETUP!$B$16:$B$22,MATCH($I38,SETUP!$A$16:$A$22,1))))</f>
        <v>ROOKIE</v>
      </c>
      <c r="K38" s="15" t="str">
        <f>IF($C38="","",IF($I38="","-",TEXT(INT($I38/1000)*1000,"#,##0")&amp;" - "&amp;TEXT(INT($I38/1000)*1000+999,"#,##0")))</f>
        <v>1,000 - 1,999</v>
      </c>
      <c r="L38" s="71">
        <v>3.85</v>
      </c>
      <c r="M38" s="15" t="str">
        <f>IF($C38="","",IF($L38="","-",INDEX(SETUP!$B$36:$B$42,MATCH($L38,SETUP!$A$36:$A$42,1))))</f>
        <v>3k - 4k</v>
      </c>
      <c r="N38" s="17">
        <f>IF($C38="","",IF(OR($G38="",$I38=""),"",ROUND(100*(SETUP!$B$4*MIN(1,$I38/SETUP!$B$9)+SETUP!$B$5*MAX(0,MIN(1,($G38-SETUP!$B$10)/(SETUP!$B$11-SETUP!$B$10)))+SETUP!$B$6*MIN(1,IF($L38="",0,$L38)/SETUP!$B$12)),1)))</f>
        <v>29.2</v>
      </c>
      <c r="O38" s="15" t="str">
        <f>IF($C38="","",IF($N38="","-",INDEX(SETUP!$B$46:$B$51,MATCH($N38,SETUP!$A$46:$A$51,1))))</f>
        <v>C</v>
      </c>
      <c r="P38" s="15">
        <f>IF($C38="","",IF($I38="","",RANK($I38,$I$4:$I$1463)+COUNTIF($I$4:$I38,$I38)-1))</f>
        <v>1197</v>
      </c>
      <c r="Q38" s="15">
        <f>IF($C38="","",COUNTIFS($B$4:$B$1463,$B38,$X$4:$X$1463,"&gt;"&amp;$X38)+COUNTIFS($B$4:$B38,$B38,$X$4:$X38,"="&amp;$X38))</f>
        <v>91</v>
      </c>
      <c r="R38" s="72">
        <f>IF($C38="","",IF($I38="","",ROUND(COUNTIF($I$4:$I$1463,"&lt;"&amp;$I38)/COUNT($I$4:$I$1463),3)))</f>
        <v>9.4E-2</v>
      </c>
      <c r="S38" s="15" t="str">
        <f>IF($C38="","",IF($G38="","Name only",IF(OR($I38="",$L38=""),"Partial","Complete")))</f>
        <v>Complete</v>
      </c>
      <c r="T38" s="41" t="str">
        <f>IF($C38="","",TRIM(IF(COUNTIF($C$4:$C$1463,$C38)&gt;1,"Dup name; ","")&amp;IF(AND($G38&lt;&gt;"",$G38&lt;55000),"Low CR - verify; ","")&amp;IF(AND($L38&lt;&gt;"",$L38&gt;15),"Secondary - verify; ","")&amp;IF($E38="","No class; ","")))</f>
        <v/>
      </c>
      <c r="U38" s="68"/>
      <c r="V38" s="68"/>
      <c r="W38" s="68"/>
      <c r="X38" s="73">
        <f t="shared" si="2"/>
        <v>1470</v>
      </c>
      <c r="Y38" s="41" t="str">
        <f t="shared" si="3"/>
        <v>INVICTUS|91</v>
      </c>
      <c r="Z38" s="15">
        <f>IF($C38="","",IF($G38="","",RANK($G38,$G$4:$G$1463)+COUNTIF($G$4:$G38,$G38)-1))</f>
        <v>1083</v>
      </c>
      <c r="AA38" s="15">
        <f>IF($C38="","",IF($N38="","",RANK($N38,$N$4:$N$1463)+COUNTIF($N$4:$N38,$N38)-1))</f>
        <v>1164</v>
      </c>
      <c r="AB38" s="41" t="str">
        <f>IF($C38="","",IF($E38="","",$E38&amp;"#"&amp;(COUNTIFS($E$4:$E$1463,$E38,$X$4:$X$1463,"&gt;"&amp;$X38)+COUNTIFS($E$4:$E38,$E38,$X$4:$X38,"="&amp;$X38))))</f>
        <v>BARBARIAN#201</v>
      </c>
      <c r="AC38" s="41" t="str">
        <f>IF($C38="","",$B38&amp;"@"&amp;(COUNTIFS($B$4:$B$1463,$B38,$C$4:$C$1463,"&lt;"&amp;$C38)+COUNTIFS($B$4:$B38,$B38,$C$4:$C38,$C38)))</f>
        <v>INVICTUS@2</v>
      </c>
      <c r="AD38" s="41">
        <f t="shared" si="4"/>
        <v>35</v>
      </c>
      <c r="AE38" s="41" t="s">
        <v>600</v>
      </c>
      <c r="AF38" s="73">
        <f t="shared" si="5"/>
        <v>61215</v>
      </c>
      <c r="AG38" s="74">
        <f t="shared" si="6"/>
        <v>3.85</v>
      </c>
      <c r="AH38" s="41" t="str">
        <f>IF($C38="","",$B38&amp;"|"&amp;(COUNTIFS($B$4:$B$1463,$B38,$AF$4:$AF$1463,"&gt;"&amp;$AF38)+COUNTIFS($B$4:$B38,$B38,$AF$4:$AF38,"="&amp;$AF38)))</f>
        <v>INVICTUS|79</v>
      </c>
      <c r="AI38" s="41" t="str">
        <f>IF($C38="","",$B38&amp;"|"&amp;(COUNTIFS($B$4:$B$1463,$B38,$AG$4:$AG$1463,"&gt;"&amp;$AG38)+COUNTIFS($B$4:$B38,$B38,$AG$4:$AG38,"="&amp;$AG38)))</f>
        <v>INVICTUS|61</v>
      </c>
    </row>
    <row r="39" spans="1:35" hidden="1">
      <c r="A39" s="69" t="s">
        <v>109</v>
      </c>
      <c r="B39" s="69" t="s">
        <v>116</v>
      </c>
      <c r="C39" s="63" t="s">
        <v>601</v>
      </c>
      <c r="D39" s="69" t="s">
        <v>530</v>
      </c>
      <c r="E39" s="68" t="s">
        <v>75</v>
      </c>
      <c r="F39" s="19" t="str">
        <f>IF($C39="","",IF($E39="","-",IFERROR(INDEX(SETUP!$B$55:$B$64,MATCH($E39,SETUP!$A$55:$A$64,0)),"Other")))</f>
        <v>Support</v>
      </c>
      <c r="G39" s="70">
        <v>62838</v>
      </c>
      <c r="H39" s="19" t="str">
        <f>IF($C39="","",IF($G39="","-",INDEX(SETUP!$B$26:$B$32,MATCH($G39,SETUP!$A$26:$A$32,1))))</f>
        <v>62,000 - 62,999</v>
      </c>
      <c r="I39" s="70">
        <v>5114</v>
      </c>
      <c r="J39" s="19" t="str">
        <f>IF($C39="","",IF($I39="","-",INDEX(SETUP!$B$16:$B$22,MATCH($I39,SETUP!$A$16:$A$22,1))))</f>
        <v>CORE</v>
      </c>
      <c r="K39" s="19" t="str">
        <f>IF($C39="","",IF($I39="","-",TEXT(INT($I39/1000)*1000,"#,##0")&amp;" - "&amp;TEXT(INT($I39/1000)*1000+999,"#,##0")))</f>
        <v>5,000 - 5,999</v>
      </c>
      <c r="L39" s="71">
        <v>5.5</v>
      </c>
      <c r="M39" s="19" t="str">
        <f>IF($C39="","",IF($L39="","-",INDEX(SETUP!$B$36:$B$42,MATCH($L39,SETUP!$A$36:$A$42,1))))</f>
        <v>5k - 6k</v>
      </c>
      <c r="N39" s="21">
        <f>IF($C39="","",IF(OR($G39="",$I39=""),"",ROUND(100*(SETUP!$B$4*MIN(1,$I39/SETUP!$B$9)+SETUP!$B$5*MAX(0,MIN(1,($G39-SETUP!$B$10)/(SETUP!$B$11-SETUP!$B$10)))+SETUP!$B$6*MIN(1,IF($L39="",0,$L39)/SETUP!$B$12)),1)))</f>
        <v>52.1</v>
      </c>
      <c r="O39" s="19" t="str">
        <f>IF($C39="","",IF($N39="","-",INDEX(SETUP!$B$46:$B$51,MATCH($N39,SETUP!$A$46:$A$51,1))))</f>
        <v>A</v>
      </c>
      <c r="P39" s="19">
        <f>IF($C39="","",IF($I39="","",RANK($I39,$I$4:$I$1463)+COUNTIF($I$4:$I39,$I39)-1))</f>
        <v>392</v>
      </c>
      <c r="Q39" s="19">
        <f>IF($C39="","",COUNTIFS($B$4:$B$1463,$B39,$X$4:$X$1463,"&gt;"&amp;$X39)+COUNTIFS($B$4:$B39,$B39,$X$4:$X39,"="&amp;$X39))</f>
        <v>15</v>
      </c>
      <c r="R39" s="75">
        <f>IF($C39="","",IF($I39="","",ROUND(COUNTIF($I$4:$I$1463,"&lt;"&amp;$I39)/COUNT($I$4:$I$1463),3)))</f>
        <v>0.70399999999999996</v>
      </c>
      <c r="S39" s="19" t="str">
        <f>IF($C39="","",IF($G39="","Name only",IF(OR($I39="",$L39=""),"Partial","Complete")))</f>
        <v>Complete</v>
      </c>
      <c r="T39" s="1" t="str">
        <f>IF($C39="","",TRIM(IF(COUNTIF($C$4:$C$1463,$C39)&gt;1,"Dup name; ","")&amp;IF(AND($G39&lt;&gt;"",$G39&lt;55000),"Low CR - verify; ","")&amp;IF(AND($L39&lt;&gt;"",$L39&gt;15),"Secondary - verify; ","")&amp;IF($E39="","No class; ","")))</f>
        <v/>
      </c>
      <c r="U39" s="68"/>
      <c r="V39" s="68"/>
      <c r="W39" s="68"/>
      <c r="X39" s="76">
        <f t="shared" si="2"/>
        <v>5114</v>
      </c>
      <c r="Y39" s="1" t="str">
        <f t="shared" si="3"/>
        <v>VENGEANCE|15</v>
      </c>
      <c r="Z39" s="19">
        <f>IF($C39="","",IF($G39="","",RANK($G39,$G$4:$G$1463)+COUNTIF($G$4:$G39,$G39)-1))</f>
        <v>504</v>
      </c>
      <c r="AA39" s="19">
        <f>IF($C39="","",IF($N39="","",RANK($N39,$N$4:$N$1463)+COUNTIF($N$4:$N39,$N39)-1))</f>
        <v>387</v>
      </c>
      <c r="AB39" s="1" t="str">
        <f>IF($C39="","",IF($E39="","",$E39&amp;"#"&amp;(COUNTIFS($E$4:$E$1463,$E39,$X$4:$X$1463,"&gt;"&amp;$X39)+COUNTIFS($E$4:$E39,$E39,$X$4:$X39,"="&amp;$X39))))</f>
        <v>DRUID#20</v>
      </c>
      <c r="AC39" s="1" t="str">
        <f>IF($C39="","",$B39&amp;"@"&amp;(COUNTIFS($B$4:$B$1463,$B39,$C$4:$C$1463,"&lt;"&amp;$C39)+COUNTIFS($B$4:$B39,$B39,$C$4:$C39,$C39)))</f>
        <v>VENGEANCE@5</v>
      </c>
      <c r="AD39" s="1">
        <f t="shared" si="4"/>
        <v>36</v>
      </c>
      <c r="AE39" s="1" t="s">
        <v>602</v>
      </c>
      <c r="AF39" s="76">
        <f t="shared" si="5"/>
        <v>62838</v>
      </c>
      <c r="AG39" s="77">
        <f t="shared" si="6"/>
        <v>5.5</v>
      </c>
      <c r="AH39" s="1" t="str">
        <f>IF($C39="","",$B39&amp;"|"&amp;(COUNTIFS($B$4:$B$1463,$B39,$AF$4:$AF$1463,"&gt;"&amp;$AF39)+COUNTIFS($B$4:$B39,$B39,$AF$4:$AF39,"="&amp;$AF39)))</f>
        <v>VENGEANCE|27</v>
      </c>
      <c r="AI39" s="1" t="str">
        <f>IF($C39="","",$B39&amp;"|"&amp;(COUNTIFS($B$4:$B$1463,$B39,$AG$4:$AG$1463,"&gt;"&amp;$AG39)+COUNTIFS($B$4:$B39,$B39,$AG$4:$AG39,"="&amp;$AG39)))</f>
        <v>VENGEANCE|18</v>
      </c>
    </row>
    <row r="40" spans="1:35" hidden="1">
      <c r="A40" s="69" t="s">
        <v>109</v>
      </c>
      <c r="B40" s="69" t="s">
        <v>110</v>
      </c>
      <c r="C40" s="63" t="s">
        <v>603</v>
      </c>
      <c r="D40" s="69" t="s">
        <v>604</v>
      </c>
      <c r="E40" s="68" t="s">
        <v>73</v>
      </c>
      <c r="F40" s="15" t="str">
        <f>IF($C40="","",IF($E40="","-",IFERROR(INDEX(SETUP!$B$55:$B$64,MATCH($E40,SETUP!$A$55:$A$64,0)),"Other")))</f>
        <v>Frontline</v>
      </c>
      <c r="G40" s="70">
        <v>64220</v>
      </c>
      <c r="H40" s="15" t="str">
        <f>IF($C40="","",IF($G40="","-",INDEX(SETUP!$B$26:$B$32,MATCH($G40,SETUP!$A$26:$A$32,1))))</f>
        <v>64,000 +</v>
      </c>
      <c r="I40" s="70">
        <v>12511</v>
      </c>
      <c r="J40" s="15" t="str">
        <f>IF($C40="","",IF($I40="","-",INDEX(SETUP!$B$16:$B$22,MATCH($I40,SETUP!$A$16:$A$22,1))))</f>
        <v>MYTHIC</v>
      </c>
      <c r="K40" s="15" t="str">
        <f>IF($C40="","",IF($I40="","-",TEXT(INT($I40/1000)*1000,"#,##0")&amp;" - "&amp;TEXT(INT($I40/1000)*1000+999,"#,##0")))</f>
        <v>12,000 - 12,999</v>
      </c>
      <c r="L40" s="71">
        <v>9.5500000000000007</v>
      </c>
      <c r="M40" s="15" t="str">
        <f>IF($C40="","",IF($L40="","-",INDEX(SETUP!$B$36:$B$42,MATCH($L40,SETUP!$A$36:$A$42,1))))</f>
        <v>8k - 10k</v>
      </c>
      <c r="N40" s="17">
        <f>IF($C40="","",IF(OR($G40="",$I40=""),"",ROUND(100*(SETUP!$B$4*MIN(1,$I40/SETUP!$B$9)+SETUP!$B$5*MAX(0,MIN(1,($G40-SETUP!$B$10)/(SETUP!$B$11-SETUP!$B$10)))+SETUP!$B$6*MIN(1,IF($L40="",0,$L40)/SETUP!$B$12)),1)))</f>
        <v>94.8</v>
      </c>
      <c r="O40" s="15" t="str">
        <f>IF($C40="","",IF($N40="","-",INDEX(SETUP!$B$46:$B$51,MATCH($N40,SETUP!$A$46:$A$51,1))))</f>
        <v>S+</v>
      </c>
      <c r="P40" s="15">
        <f>IF($C40="","",IF($I40="","",RANK($I40,$I$4:$I$1463)+COUNTIF($I$4:$I40,$I40)-1))</f>
        <v>1</v>
      </c>
      <c r="Q40" s="15">
        <f>IF($C40="","",COUNTIFS($B$4:$B$1463,$B40,$X$4:$X$1463,"&gt;"&amp;$X40)+COUNTIFS($B$4:$B40,$B40,$X$4:$X40,"="&amp;$X40))</f>
        <v>1</v>
      </c>
      <c r="R40" s="72">
        <f>IF($C40="","",IF($I40="","",ROUND(COUNTIF($I$4:$I$1463,"&lt;"&amp;$I40)/COUNT($I$4:$I$1463),3)))</f>
        <v>0.998</v>
      </c>
      <c r="S40" s="15" t="str">
        <f>IF($C40="","",IF($G40="","Name only",IF(OR($I40="",$L40=""),"Partial","Complete")))</f>
        <v>Complete</v>
      </c>
      <c r="T40" s="41" t="str">
        <f>IF($C40="","",TRIM(IF(COUNTIF($C$4:$C$1463,$C40)&gt;1,"Dup name; ","")&amp;IF(AND($G40&lt;&gt;"",$G40&lt;55000),"Low CR - verify; ","")&amp;IF(AND($L40&lt;&gt;"",$L40&gt;15),"Secondary - verify; ","")&amp;IF($E40="","No class; ","")))</f>
        <v/>
      </c>
      <c r="U40" s="68"/>
      <c r="V40" s="68"/>
      <c r="W40" s="68"/>
      <c r="X40" s="73">
        <f t="shared" si="2"/>
        <v>12511</v>
      </c>
      <c r="Y40" s="41" t="str">
        <f t="shared" si="3"/>
        <v>AZUKI|1</v>
      </c>
      <c r="Z40" s="15">
        <f>IF($C40="","",IF($G40="","",RANK($G40,$G$4:$G$1463)+COUNTIF($G$4:$G40,$G40)-1))</f>
        <v>37</v>
      </c>
      <c r="AA40" s="15">
        <f>IF($C40="","",IF($N40="","",RANK($N40,$N$4:$N$1463)+COUNTIF($N$4:$N40,$N40)-1))</f>
        <v>2</v>
      </c>
      <c r="AB40" s="41" t="str">
        <f>IF($C40="","",IF($E40="","",$E40&amp;"#"&amp;(COUNTIFS($E$4:$E$1463,$E40,$X$4:$X$1463,"&gt;"&amp;$X40)+COUNTIFS($E$4:$E40,$E40,$X$4:$X40,"="&amp;$X40))))</f>
        <v>CRUSADER#1</v>
      </c>
      <c r="AC40" s="41" t="str">
        <f>IF($C40="","",$B40&amp;"@"&amp;(COUNTIFS($B$4:$B$1463,$B40,$C$4:$C$1463,"&lt;"&amp;$C40)+COUNTIFS($B$4:$B40,$B40,$C$4:$C40,$C40)))</f>
        <v>AZUKI@3</v>
      </c>
      <c r="AD40" s="41">
        <f t="shared" si="4"/>
        <v>37</v>
      </c>
      <c r="AE40" s="41" t="s">
        <v>605</v>
      </c>
      <c r="AF40" s="73">
        <f t="shared" si="5"/>
        <v>64220</v>
      </c>
      <c r="AG40" s="74">
        <f t="shared" si="6"/>
        <v>9.5500000000000007</v>
      </c>
      <c r="AH40" s="41" t="str">
        <f>IF($C40="","",$B40&amp;"|"&amp;(COUNTIFS($B$4:$B$1463,$B40,$AF$4:$AF$1463,"&gt;"&amp;$AF40)+COUNTIFS($B$4:$B40,$B40,$AF$4:$AF40,"="&amp;$AF40)))</f>
        <v>AZUKI|9</v>
      </c>
      <c r="AI40" s="41" t="str">
        <f>IF($C40="","",$B40&amp;"|"&amp;(COUNTIFS($B$4:$B$1463,$B40,$AG$4:$AG$1463,"&gt;"&amp;$AG40)+COUNTIFS($B$4:$B40,$B40,$AG$4:$AG40,"="&amp;$AG40)))</f>
        <v>AZUKI|6</v>
      </c>
    </row>
    <row r="41" spans="1:35" hidden="1">
      <c r="A41" s="69" t="s">
        <v>109</v>
      </c>
      <c r="B41" s="69" t="s">
        <v>110</v>
      </c>
      <c r="C41" s="63" t="s">
        <v>606</v>
      </c>
      <c r="D41" s="69"/>
      <c r="E41" s="68" t="s">
        <v>73</v>
      </c>
      <c r="F41" s="19" t="str">
        <f>IF($C41="","",IF($E41="","-",IFERROR(INDEX(SETUP!$B$55:$B$64,MATCH($E41,SETUP!$A$55:$A$64,0)),"Other")))</f>
        <v>Frontline</v>
      </c>
      <c r="G41" s="70">
        <v>64216</v>
      </c>
      <c r="H41" s="19" t="str">
        <f>IF($C41="","",IF($G41="","-",INDEX(SETUP!$B$26:$B$32,MATCH($G41,SETUP!$A$26:$A$32,1))))</f>
        <v>64,000 +</v>
      </c>
      <c r="I41" s="70">
        <v>12511</v>
      </c>
      <c r="J41" s="19" t="str">
        <f>IF($C41="","",IF($I41="","-",INDEX(SETUP!$B$16:$B$22,MATCH($I41,SETUP!$A$16:$A$22,1))))</f>
        <v>MYTHIC</v>
      </c>
      <c r="K41" s="19" t="str">
        <f>IF($C41="","",IF($I41="","-",TEXT(INT($I41/1000)*1000,"#,##0")&amp;" - "&amp;TEXT(INT($I41/1000)*1000+999,"#,##0")))</f>
        <v>12,000 - 12,999</v>
      </c>
      <c r="L41" s="71">
        <v>9.5</v>
      </c>
      <c r="M41" s="19" t="str">
        <f>IF($C41="","",IF($L41="","-",INDEX(SETUP!$B$36:$B$42,MATCH($L41,SETUP!$A$36:$A$42,1))))</f>
        <v>8k - 10k</v>
      </c>
      <c r="N41" s="21">
        <f>IF($C41="","",IF(OR($G41="",$I41=""),"",ROUND(100*(SETUP!$B$4*MIN(1,$I41/SETUP!$B$9)+SETUP!$B$5*MAX(0,MIN(1,($G41-SETUP!$B$10)/(SETUP!$B$11-SETUP!$B$10)))+SETUP!$B$6*MIN(1,IF($L41="",0,$L41)/SETUP!$B$12)),1)))</f>
        <v>94.7</v>
      </c>
      <c r="O41" s="19" t="str">
        <f>IF($C41="","",IF($N41="","-",INDEX(SETUP!$B$46:$B$51,MATCH($N41,SETUP!$A$46:$A$51,1))))</f>
        <v>S+</v>
      </c>
      <c r="P41" s="19">
        <f>IF($C41="","",IF($I41="","",RANK($I41,$I$4:$I$1463)+COUNTIF($I$4:$I41,$I41)-1))</f>
        <v>2</v>
      </c>
      <c r="Q41" s="19">
        <f>IF($C41="","",COUNTIFS($B$4:$B$1463,$B41,$X$4:$X$1463,"&gt;"&amp;$X41)+COUNTIFS($B$4:$B41,$B41,$X$4:$X41,"="&amp;$X41))</f>
        <v>2</v>
      </c>
      <c r="R41" s="75">
        <f>IF($C41="","",IF($I41="","",ROUND(COUNTIF($I$4:$I$1463,"&lt;"&amp;$I41)/COUNT($I$4:$I$1463),3)))</f>
        <v>0.998</v>
      </c>
      <c r="S41" s="19" t="str">
        <f>IF($C41="","",IF($G41="","Name only",IF(OR($I41="",$L41=""),"Partial","Complete")))</f>
        <v>Complete</v>
      </c>
      <c r="T41" s="1" t="str">
        <f>IF($C41="","",TRIM(IF(COUNTIF($C$4:$C$1463,$C41)&gt;1,"Dup name; ","")&amp;IF(AND($G41&lt;&gt;"",$G41&lt;55000),"Low CR - verify; ","")&amp;IF(AND($L41&lt;&gt;"",$L41&gt;15),"Secondary - verify; ","")&amp;IF($E41="","No class; ","")))</f>
        <v/>
      </c>
      <c r="U41" s="68"/>
      <c r="V41" s="68"/>
      <c r="W41" s="68"/>
      <c r="X41" s="76">
        <f t="shared" si="2"/>
        <v>12511</v>
      </c>
      <c r="Y41" s="1" t="str">
        <f t="shared" si="3"/>
        <v>AZUKI|2</v>
      </c>
      <c r="Z41" s="19">
        <f>IF($C41="","",IF($G41="","",RANK($G41,$G$4:$G$1463)+COUNTIF($G$4:$G41,$G41)-1))</f>
        <v>38</v>
      </c>
      <c r="AA41" s="19">
        <f>IF($C41="","",IF($N41="","",RANK($N41,$N$4:$N$1463)+COUNTIF($N$4:$N41,$N41)-1))</f>
        <v>3</v>
      </c>
      <c r="AB41" s="1" t="str">
        <f>IF($C41="","",IF($E41="","",$E41&amp;"#"&amp;(COUNTIFS($E$4:$E$1463,$E41,$X$4:$X$1463,"&gt;"&amp;$X41)+COUNTIFS($E$4:$E41,$E41,$X$4:$X41,"="&amp;$X41))))</f>
        <v>CRUSADER#2</v>
      </c>
      <c r="AC41" s="1" t="str">
        <f>IF($C41="","",$B41&amp;"@"&amp;(COUNTIFS($B$4:$B$1463,$B41,$C$4:$C$1463,"&lt;"&amp;$C41)+COUNTIFS($B$4:$B41,$B41,$C$4:$C41,$C41)))</f>
        <v>AZUKI@4</v>
      </c>
      <c r="AD41" s="1">
        <f t="shared" si="4"/>
        <v>38</v>
      </c>
      <c r="AE41" s="1" t="s">
        <v>607</v>
      </c>
      <c r="AF41" s="76">
        <f t="shared" si="5"/>
        <v>64216</v>
      </c>
      <c r="AG41" s="77">
        <f t="shared" si="6"/>
        <v>9.5</v>
      </c>
      <c r="AH41" s="1" t="str">
        <f>IF($C41="","",$B41&amp;"|"&amp;(COUNTIFS($B$4:$B$1463,$B41,$AF$4:$AF$1463,"&gt;"&amp;$AF41)+COUNTIFS($B$4:$B41,$B41,$AF$4:$AF41,"="&amp;$AF41)))</f>
        <v>AZUKI|10</v>
      </c>
      <c r="AI41" s="1" t="str">
        <f>IF($C41="","",$B41&amp;"|"&amp;(COUNTIFS($B$4:$B$1463,$B41,$AG$4:$AG$1463,"&gt;"&amp;$AG41)+COUNTIFS($B$4:$B41,$B41,$AG$4:$AG41,"="&amp;$AG41)))</f>
        <v>AZUKI|7</v>
      </c>
    </row>
    <row r="42" spans="1:35" hidden="1">
      <c r="A42" s="69" t="s">
        <v>109</v>
      </c>
      <c r="B42" s="69" t="s">
        <v>114</v>
      </c>
      <c r="C42" s="63" t="s">
        <v>608</v>
      </c>
      <c r="D42" s="69"/>
      <c r="E42" s="68" t="s">
        <v>72</v>
      </c>
      <c r="F42" s="15" t="str">
        <f>IF($C42="","",IF($E42="","-",IFERROR(INDEX(SETUP!$B$55:$B$64,MATCH($E42,SETUP!$A$55:$A$64,0)),"Other")))</f>
        <v>Frontline</v>
      </c>
      <c r="G42" s="70">
        <v>62450</v>
      </c>
      <c r="H42" s="15" t="str">
        <f>IF($C42="","",IF($G42="","-",INDEX(SETUP!$B$26:$B$32,MATCH($G42,SETUP!$A$26:$A$32,1))))</f>
        <v>62,000 - 62,999</v>
      </c>
      <c r="I42" s="70">
        <v>1683</v>
      </c>
      <c r="J42" s="15" t="str">
        <f>IF($C42="","",IF($I42="","-",INDEX(SETUP!$B$16:$B$22,MATCH($I42,SETUP!$A$16:$A$22,1))))</f>
        <v>ROOKIE</v>
      </c>
      <c r="K42" s="15" t="str">
        <f>IF($C42="","",IF($I42="","-",TEXT(INT($I42/1000)*1000,"#,##0")&amp;" - "&amp;TEXT(INT($I42/1000)*1000+999,"#,##0")))</f>
        <v>1,000 - 1,999</v>
      </c>
      <c r="L42" s="71">
        <v>3.5</v>
      </c>
      <c r="M42" s="15" t="str">
        <f>IF($C42="","",IF($L42="","-",INDEX(SETUP!$B$36:$B$42,MATCH($L42,SETUP!$A$36:$A$42,1))))</f>
        <v>3k - 4k</v>
      </c>
      <c r="N42" s="17">
        <f>IF($C42="","",IF(OR($G42="",$I42=""),"",ROUND(100*(SETUP!$B$4*MIN(1,$I42/SETUP!$B$9)+SETUP!$B$5*MAX(0,MIN(1,($G42-SETUP!$B$10)/(SETUP!$B$11-SETUP!$B$10)))+SETUP!$B$6*MIN(1,IF($L42="",0,$L42)/SETUP!$B$12)),1)))</f>
        <v>32.799999999999997</v>
      </c>
      <c r="O42" s="15" t="str">
        <f>IF($C42="","",IF($N42="","-",INDEX(SETUP!$B$46:$B$51,MATCH($N42,SETUP!$A$46:$A$51,1))))</f>
        <v>C</v>
      </c>
      <c r="P42" s="15">
        <f>IF($C42="","",IF($I42="","",RANK($I42,$I$4:$I$1463)+COUNTIF($I$4:$I42,$I42)-1))</f>
        <v>1161</v>
      </c>
      <c r="Q42" s="15">
        <f>IF($C42="","",COUNTIFS($B$4:$B$1463,$B42,$X$4:$X$1463,"&gt;"&amp;$X42)+COUNTIFS($B$4:$B42,$B42,$X$4:$X42,"="&amp;$X42))</f>
        <v>62</v>
      </c>
      <c r="R42" s="72">
        <f>IF($C42="","",IF($I42="","",ROUND(COUNTIF($I$4:$I$1463,"&lt;"&amp;$I42)/COUNT($I$4:$I$1463),3)))</f>
        <v>0.124</v>
      </c>
      <c r="S42" s="15" t="str">
        <f>IF($C42="","",IF($G42="","Name only",IF(OR($I42="",$L42=""),"Partial","Complete")))</f>
        <v>Complete</v>
      </c>
      <c r="T42" s="41" t="str">
        <f>IF($C42="","",TRIM(IF(COUNTIF($C$4:$C$1463,$C42)&gt;1,"Dup name; ","")&amp;IF(AND($G42&lt;&gt;"",$G42&lt;55000),"Low CR - verify; ","")&amp;IF(AND($L42&lt;&gt;"",$L42&gt;15),"Secondary - verify; ","")&amp;IF($E42="","No class; ","")))</f>
        <v/>
      </c>
      <c r="U42" s="68"/>
      <c r="V42" s="68"/>
      <c r="W42" s="68"/>
      <c r="X42" s="73">
        <f t="shared" si="2"/>
        <v>1683</v>
      </c>
      <c r="Y42" s="41" t="str">
        <f t="shared" si="3"/>
        <v>EMERALD LEAF TRIBE|62</v>
      </c>
      <c r="Z42" s="15">
        <f>IF($C42="","",IF($G42="","",RANK($G42,$G$4:$G$1463)+COUNTIF($G$4:$G42,$G42)-1))</f>
        <v>673</v>
      </c>
      <c r="AA42" s="15">
        <f>IF($C42="","",IF($N42="","",RANK($N42,$N$4:$N$1463)+COUNTIF($N$4:$N42,$N42)-1))</f>
        <v>1073</v>
      </c>
      <c r="AB42" s="41" t="str">
        <f>IF($C42="","",IF($E42="","",$E42&amp;"#"&amp;(COUNTIFS($E$4:$E$1463,$E42,$X$4:$X$1463,"&gt;"&amp;$X42)+COUNTIFS($E$4:$E42,$E42,$X$4:$X42,"="&amp;$X42))))</f>
        <v>BLOOD KNIGHT#79</v>
      </c>
      <c r="AC42" s="41" t="str">
        <f>IF($C42="","",$B42&amp;"@"&amp;(COUNTIFS($B$4:$B$1463,$B42,$C$4:$C$1463,"&lt;"&amp;$C42)+COUNTIFS($B$4:$B42,$B42,$C$4:$C42,$C42)))</f>
        <v>EMERALD LEAF TRIBE@3</v>
      </c>
      <c r="AD42" s="41">
        <f t="shared" si="4"/>
        <v>39</v>
      </c>
      <c r="AE42" s="41" t="s">
        <v>609</v>
      </c>
      <c r="AF42" s="73">
        <f t="shared" si="5"/>
        <v>62450</v>
      </c>
      <c r="AG42" s="74">
        <f t="shared" si="6"/>
        <v>3.5</v>
      </c>
      <c r="AH42" s="41" t="str">
        <f>IF($C42="","",$B42&amp;"|"&amp;(COUNTIFS($B$4:$B$1463,$B42,$AF$4:$AF$1463,"&gt;"&amp;$AF42)+COUNTIFS($B$4:$B42,$B42,$AF$4:$AF42,"="&amp;$AF42)))</f>
        <v>EMERALD LEAF TRIBE|18</v>
      </c>
      <c r="AI42" s="41" t="str">
        <f>IF($C42="","",$B42&amp;"|"&amp;(COUNTIFS($B$4:$B$1463,$B42,$AG$4:$AG$1463,"&gt;"&amp;$AG42)+COUNTIFS($B$4:$B42,$B42,$AG$4:$AG42,"="&amp;$AG42)))</f>
        <v>EMERALD LEAF TRIBE|51</v>
      </c>
    </row>
    <row r="43" spans="1:35" hidden="1">
      <c r="A43" s="69" t="s">
        <v>109</v>
      </c>
      <c r="B43" s="69" t="s">
        <v>118</v>
      </c>
      <c r="C43" s="63" t="s">
        <v>610</v>
      </c>
      <c r="D43" s="69"/>
      <c r="E43" s="68" t="s">
        <v>71</v>
      </c>
      <c r="F43" s="19" t="str">
        <f>IF($C43="","",IF($E43="","-",IFERROR(INDEX(SETUP!$B$55:$B$64,MATCH($E43,SETUP!$A$55:$A$64,0)),"Other")))</f>
        <v>Frontline</v>
      </c>
      <c r="G43" s="70">
        <v>60408</v>
      </c>
      <c r="H43" s="19" t="str">
        <f>IF($C43="","",IF($G43="","-",INDEX(SETUP!$B$26:$B$32,MATCH($G43,SETUP!$A$26:$A$32,1))))</f>
        <v>60,000 - 60,999</v>
      </c>
      <c r="I43" s="70">
        <v>1064</v>
      </c>
      <c r="J43" s="19" t="str">
        <f>IF($C43="","",IF($I43="","-",INDEX(SETUP!$B$16:$B$22,MATCH($I43,SETUP!$A$16:$A$22,1))))</f>
        <v>ROOKIE</v>
      </c>
      <c r="K43" s="19" t="str">
        <f>IF($C43="","",IF($I43="","-",TEXT(INT($I43/1000)*1000,"#,##0")&amp;" - "&amp;TEXT(INT($I43/1000)*1000+999,"#,##0")))</f>
        <v>1,000 - 1,999</v>
      </c>
      <c r="L43" s="71">
        <v>3</v>
      </c>
      <c r="M43" s="19" t="str">
        <f>IF($C43="","",IF($L43="","-",INDEX(SETUP!$B$36:$B$42,MATCH($L43,SETUP!$A$36:$A$42,1))))</f>
        <v>3k - 4k</v>
      </c>
      <c r="N43" s="21">
        <f>IF($C43="","",IF(OR($G43="",$I43=""),"",ROUND(100*(SETUP!$B$4*MIN(1,$I43/SETUP!$B$9)+SETUP!$B$5*MAX(0,MIN(1,($G43-SETUP!$B$10)/(SETUP!$B$11-SETUP!$B$10)))+SETUP!$B$6*MIN(1,IF($L43="",0,$L43)/SETUP!$B$12)),1)))</f>
        <v>23.9</v>
      </c>
      <c r="O43" s="19" t="str">
        <f>IF($C43="","",IF($N43="","-",INDEX(SETUP!$B$46:$B$51,MATCH($N43,SETUP!$A$46:$A$51,1))))</f>
        <v>C</v>
      </c>
      <c r="P43" s="19">
        <f>IF($C43="","",IF($I43="","",RANK($I43,$I$4:$I$1463)+COUNTIF($I$4:$I43,$I43)-1))</f>
        <v>1262</v>
      </c>
      <c r="Q43" s="19">
        <f>IF($C43="","",COUNTIFS($B$4:$B$1463,$B43,$X$4:$X$1463,"&gt;"&amp;$X43)+COUNTIFS($B$4:$B43,$B43,$X$4:$X43,"="&amp;$X43))</f>
        <v>80</v>
      </c>
      <c r="R43" s="75">
        <f>IF($C43="","",IF($I43="","",ROUND(COUNTIF($I$4:$I$1463,"&lt;"&amp;$I43)/COUNT($I$4:$I$1463),3)))</f>
        <v>4.8000000000000001E-2</v>
      </c>
      <c r="S43" s="19" t="str">
        <f>IF($C43="","",IF($G43="","Name only",IF(OR($I43="",$L43=""),"Partial","Complete")))</f>
        <v>Complete</v>
      </c>
      <c r="T43" s="1" t="str">
        <f>IF($C43="","",TRIM(IF(COUNTIF($C$4:$C$1463,$C43)&gt;1,"Dup name; ","")&amp;IF(AND($G43&lt;&gt;"",$G43&lt;55000),"Low CR - verify; ","")&amp;IF(AND($L43&lt;&gt;"",$L43&gt;15),"Secondary - verify; ","")&amp;IF($E43="","No class; ","")))</f>
        <v/>
      </c>
      <c r="U43" s="68"/>
      <c r="V43" s="68"/>
      <c r="W43" s="68"/>
      <c r="X43" s="76">
        <f t="shared" si="2"/>
        <v>1064</v>
      </c>
      <c r="Y43" s="1" t="str">
        <f t="shared" si="3"/>
        <v>ZOMBIES|80</v>
      </c>
      <c r="Z43" s="19">
        <f>IF($C43="","",IF($G43="","",RANK($G43,$G$4:$G$1463)+COUNTIF($G$4:$G43,$G43)-1))</f>
        <v>1217</v>
      </c>
      <c r="AA43" s="19">
        <f>IF($C43="","",IF($N43="","",RANK($N43,$N$4:$N$1463)+COUNTIF($N$4:$N43,$N43)-1))</f>
        <v>1258</v>
      </c>
      <c r="AB43" s="1" t="str">
        <f>IF($C43="","",IF($E43="","",$E43&amp;"#"&amp;(COUNTIFS($E$4:$E$1463,$E43,$X$4:$X$1463,"&gt;"&amp;$X43)+COUNTIFS($E$4:$E43,$E43,$X$4:$X43,"="&amp;$X43))))</f>
        <v>BARBARIAN#210</v>
      </c>
      <c r="AC43" s="1" t="str">
        <f>IF($C43="","",$B43&amp;"@"&amp;(COUNTIFS($B$4:$B$1463,$B43,$C$4:$C$1463,"&lt;"&amp;$C43)+COUNTIFS($B$4:$B43,$B43,$C$4:$C43,$C43)))</f>
        <v>ZOMBIES@3</v>
      </c>
      <c r="AD43" s="1">
        <f t="shared" si="4"/>
        <v>40</v>
      </c>
      <c r="AE43" s="1" t="s">
        <v>611</v>
      </c>
      <c r="AF43" s="76">
        <f t="shared" si="5"/>
        <v>60408</v>
      </c>
      <c r="AG43" s="77">
        <f t="shared" si="6"/>
        <v>3</v>
      </c>
      <c r="AH43" s="1" t="str">
        <f>IF($C43="","",$B43&amp;"|"&amp;(COUNTIFS($B$4:$B$1463,$B43,$AF$4:$AF$1463,"&gt;"&amp;$AF43)+COUNTIFS($B$4:$B43,$B43,$AF$4:$AF43,"="&amp;$AF43)))</f>
        <v>ZOMBIES|72</v>
      </c>
      <c r="AI43" s="1" t="str">
        <f>IF($C43="","",$B43&amp;"|"&amp;(COUNTIFS($B$4:$B$1463,$B43,$AG$4:$AG$1463,"&gt;"&amp;$AG43)+COUNTIFS($B$4:$B43,$B43,$AG$4:$AG43,"="&amp;$AG43)))</f>
        <v>ZOMBIES|69</v>
      </c>
    </row>
    <row r="44" spans="1:35" hidden="1">
      <c r="A44" s="69" t="s">
        <v>109</v>
      </c>
      <c r="B44" s="69" t="s">
        <v>117</v>
      </c>
      <c r="C44" s="63" t="s">
        <v>612</v>
      </c>
      <c r="D44" s="69"/>
      <c r="E44" s="68" t="s">
        <v>71</v>
      </c>
      <c r="F44" s="15" t="str">
        <f>IF($C44="","",IF($E44="","-",IFERROR(INDEX(SETUP!$B$55:$B$64,MATCH($E44,SETUP!$A$55:$A$64,0)),"Other")))</f>
        <v>Frontline</v>
      </c>
      <c r="G44" s="70">
        <v>63539</v>
      </c>
      <c r="H44" s="15" t="str">
        <f>IF($C44="","",IF($G44="","-",INDEX(SETUP!$B$26:$B$32,MATCH($G44,SETUP!$A$26:$A$32,1))))</f>
        <v>63,000 - 63,999</v>
      </c>
      <c r="I44" s="70">
        <v>4790</v>
      </c>
      <c r="J44" s="15" t="str">
        <f>IF($C44="","",IF($I44="","-",INDEX(SETUP!$B$16:$B$22,MATCH($I44,SETUP!$A$16:$A$22,1))))</f>
        <v>CORE</v>
      </c>
      <c r="K44" s="15" t="str">
        <f>IF($C44="","",IF($I44="","-",TEXT(INT($I44/1000)*1000,"#,##0")&amp;" - "&amp;TEXT(INT($I44/1000)*1000+999,"#,##0")))</f>
        <v>4,000 - 4,999</v>
      </c>
      <c r="L44" s="71">
        <v>4.9000000000000004</v>
      </c>
      <c r="M44" s="15" t="str">
        <f>IF($C44="","",IF($L44="","-",INDEX(SETUP!$B$36:$B$42,MATCH($L44,SETUP!$A$36:$A$42,1))))</f>
        <v>4k - 5k</v>
      </c>
      <c r="N44" s="17">
        <f>IF($C44="","",IF(OR($G44="",$I44=""),"",ROUND(100*(SETUP!$B$4*MIN(1,$I44/SETUP!$B$9)+SETUP!$B$5*MAX(0,MIN(1,($G44-SETUP!$B$10)/(SETUP!$B$11-SETUP!$B$10)))+SETUP!$B$6*MIN(1,IF($L44="",0,$L44)/SETUP!$B$12)),1)))</f>
        <v>51.5</v>
      </c>
      <c r="O44" s="15" t="str">
        <f>IF($C44="","",IF($N44="","-",INDEX(SETUP!$B$46:$B$51,MATCH($N44,SETUP!$A$46:$A$51,1))))</f>
        <v>A</v>
      </c>
      <c r="P44" s="15">
        <f>IF($C44="","",IF($I44="","",RANK($I44,$I$4:$I$1463)+COUNTIF($I$4:$I44,$I44)-1))</f>
        <v>440</v>
      </c>
      <c r="Q44" s="15">
        <f>IF($C44="","",COUNTIFS($B$4:$B$1463,$B44,$X$4:$X$1463,"&gt;"&amp;$X44)+COUNTIFS($B$4:$B44,$B44,$X$4:$X44,"="&amp;$X44))</f>
        <v>1</v>
      </c>
      <c r="R44" s="72">
        <f>IF($C44="","",IF($I44="","",ROUND(COUNTIF($I$4:$I$1463,"&lt;"&amp;$I44)/COUNT($I$4:$I$1463),3)))</f>
        <v>0.66800000000000004</v>
      </c>
      <c r="S44" s="15" t="str">
        <f>IF($C44="","",IF($G44="","Name only",IF(OR($I44="",$L44=""),"Partial","Complete")))</f>
        <v>Complete</v>
      </c>
      <c r="T44" s="41" t="str">
        <f>IF($C44="","",TRIM(IF(COUNTIF($C$4:$C$1463,$C44)&gt;1,"Dup name; ","")&amp;IF(AND($G44&lt;&gt;"",$G44&lt;55000),"Low CR - verify; ","")&amp;IF(AND($L44&lt;&gt;"",$L44&gt;15),"Secondary - verify; ","")&amp;IF($E44="","No class; ","")))</f>
        <v/>
      </c>
      <c r="U44" s="68"/>
      <c r="V44" s="68"/>
      <c r="W44" s="68"/>
      <c r="X44" s="73">
        <f t="shared" si="2"/>
        <v>4790</v>
      </c>
      <c r="Y44" s="41" t="str">
        <f t="shared" si="3"/>
        <v>VENDETTA|1</v>
      </c>
      <c r="Z44" s="15">
        <f>IF($C44="","",IF($G44="","",RANK($G44,$G$4:$G$1463)+COUNTIF($G$4:$G44,$G44)-1))</f>
        <v>178</v>
      </c>
      <c r="AA44" s="15">
        <f>IF($C44="","",IF($N44="","",RANK($N44,$N$4:$N$1463)+COUNTIF($N$4:$N44,$N44)-1))</f>
        <v>403</v>
      </c>
      <c r="AB44" s="41" t="str">
        <f>IF($C44="","",IF($E44="","",$E44&amp;"#"&amp;(COUNTIFS($E$4:$E$1463,$E44,$X$4:$X$1463,"&gt;"&amp;$X44)+COUNTIFS($E$4:$E44,$E44,$X$4:$X44,"="&amp;$X44))))</f>
        <v>BARBARIAN#86</v>
      </c>
      <c r="AC44" s="41" t="str">
        <f>IF($C44="","",$B44&amp;"@"&amp;(COUNTIFS($B$4:$B$1463,$B44,$C$4:$C$1463,"&lt;"&amp;$C44)+COUNTIFS($B$4:$B44,$B44,$C$4:$C44,$C44)))</f>
        <v>VENDETTA@6</v>
      </c>
      <c r="AD44" s="41">
        <f t="shared" si="4"/>
        <v>41</v>
      </c>
      <c r="AE44" s="41" t="s">
        <v>613</v>
      </c>
      <c r="AF44" s="73">
        <f t="shared" si="5"/>
        <v>63539</v>
      </c>
      <c r="AG44" s="74">
        <f t="shared" si="6"/>
        <v>4.9000000000000004</v>
      </c>
      <c r="AH44" s="41" t="str">
        <f>IF($C44="","",$B44&amp;"|"&amp;(COUNTIFS($B$4:$B$1463,$B44,$AF$4:$AF$1463,"&gt;"&amp;$AF44)+COUNTIFS($B$4:$B44,$B44,$AF$4:$AF44,"="&amp;$AF44)))</f>
        <v>VENDETTA|1</v>
      </c>
      <c r="AI44" s="41" t="str">
        <f>IF($C44="","",$B44&amp;"|"&amp;(COUNTIFS($B$4:$B$1463,$B44,$AG$4:$AG$1463,"&gt;"&amp;$AG44)+COUNTIFS($B$4:$B44,$B44,$AG$4:$AG44,"="&amp;$AG44)))</f>
        <v>VENDETTA|11</v>
      </c>
    </row>
    <row r="45" spans="1:35" hidden="1">
      <c r="A45" s="69" t="s">
        <v>109</v>
      </c>
      <c r="B45" s="69" t="s">
        <v>116</v>
      </c>
      <c r="C45" s="63" t="s">
        <v>614</v>
      </c>
      <c r="D45" s="69" t="s">
        <v>530</v>
      </c>
      <c r="E45" s="68" t="s">
        <v>74</v>
      </c>
      <c r="F45" s="19" t="str">
        <f>IF($C45="","",IF($E45="","-",IFERROR(INDEX(SETUP!$B$55:$B$64,MATCH($E45,SETUP!$A$55:$A$64,0)),"Other")))</f>
        <v>Ranged DPS</v>
      </c>
      <c r="G45" s="70">
        <v>62764</v>
      </c>
      <c r="H45" s="19" t="str">
        <f>IF($C45="","",IF($G45="","-",INDEX(SETUP!$B$26:$B$32,MATCH($G45,SETUP!$A$26:$A$32,1))))</f>
        <v>62,000 - 62,999</v>
      </c>
      <c r="I45" s="70">
        <v>5695</v>
      </c>
      <c r="J45" s="19" t="str">
        <f>IF($C45="","",IF($I45="","-",INDEX(SETUP!$B$16:$B$22,MATCH($I45,SETUP!$A$16:$A$22,1))))</f>
        <v>CORE</v>
      </c>
      <c r="K45" s="19" t="str">
        <f>IF($C45="","",IF($I45="","-",TEXT(INT($I45/1000)*1000,"#,##0")&amp;" - "&amp;TEXT(INT($I45/1000)*1000+999,"#,##0")))</f>
        <v>5,000 - 5,999</v>
      </c>
      <c r="L45" s="71">
        <v>8</v>
      </c>
      <c r="M45" s="19" t="str">
        <f>IF($C45="","",IF($L45="","-",INDEX(SETUP!$B$36:$B$42,MATCH($L45,SETUP!$A$36:$A$42,1))))</f>
        <v>8k - 10k</v>
      </c>
      <c r="N45" s="21">
        <f>IF($C45="","",IF(OR($G45="",$I45=""),"",ROUND(100*(SETUP!$B$4*MIN(1,$I45/SETUP!$B$9)+SETUP!$B$5*MAX(0,MIN(1,($G45-SETUP!$B$10)/(SETUP!$B$11-SETUP!$B$10)))+SETUP!$B$6*MIN(1,IF($L45="",0,$L45)/SETUP!$B$12)),1)))</f>
        <v>58.6</v>
      </c>
      <c r="O45" s="19" t="str">
        <f>IF($C45="","",IF($N45="","-",INDEX(SETUP!$B$46:$B$51,MATCH($N45,SETUP!$A$46:$A$51,1))))</f>
        <v>A</v>
      </c>
      <c r="P45" s="19">
        <f>IF($C45="","",IF($I45="","",RANK($I45,$I$4:$I$1463)+COUNTIF($I$4:$I45,$I45)-1))</f>
        <v>314</v>
      </c>
      <c r="Q45" s="19">
        <f>IF($C45="","",COUNTIFS($B$4:$B$1463,$B45,$X$4:$X$1463,"&gt;"&amp;$X45)+COUNTIFS($B$4:$B45,$B45,$X$4:$X45,"="&amp;$X45))</f>
        <v>8</v>
      </c>
      <c r="R45" s="75">
        <f>IF($C45="","",IF($I45="","",ROUND(COUNTIF($I$4:$I$1463,"&lt;"&amp;$I45)/COUNT($I$4:$I$1463),3)))</f>
        <v>0.76300000000000001</v>
      </c>
      <c r="S45" s="19" t="str">
        <f>IF($C45="","",IF($G45="","Name only",IF(OR($I45="",$L45=""),"Partial","Complete")))</f>
        <v>Complete</v>
      </c>
      <c r="T45" s="1" t="str">
        <f>IF($C45="","",TRIM(IF(COUNTIF($C$4:$C$1463,$C45)&gt;1,"Dup name; ","")&amp;IF(AND($G45&lt;&gt;"",$G45&lt;55000),"Low CR - verify; ","")&amp;IF(AND($L45&lt;&gt;"",$L45&gt;15),"Secondary - verify; ","")&amp;IF($E45="","No class; ","")))</f>
        <v/>
      </c>
      <c r="U45" s="68"/>
      <c r="V45" s="68"/>
      <c r="W45" s="68"/>
      <c r="X45" s="76">
        <f t="shared" si="2"/>
        <v>5695</v>
      </c>
      <c r="Y45" s="1" t="str">
        <f t="shared" si="3"/>
        <v>VENGEANCE|8</v>
      </c>
      <c r="Z45" s="19">
        <f>IF($C45="","",IF($G45="","",RANK($G45,$G$4:$G$1463)+COUNTIF($G$4:$G45,$G45)-1))</f>
        <v>536</v>
      </c>
      <c r="AA45" s="19">
        <f>IF($C45="","",IF($N45="","",RANK($N45,$N$4:$N$1463)+COUNTIF($N$4:$N45,$N45)-1))</f>
        <v>254</v>
      </c>
      <c r="AB45" s="1" t="str">
        <f>IF($C45="","",IF($E45="","",$E45&amp;"#"&amp;(COUNTIFS($E$4:$E$1463,$E45,$X$4:$X$1463,"&gt;"&amp;$X45)+COUNTIFS($E$4:$E45,$E45,$X$4:$X45,"="&amp;$X45))))</f>
        <v>DEMON HUNTER#53</v>
      </c>
      <c r="AC45" s="1" t="str">
        <f>IF($C45="","",$B45&amp;"@"&amp;(COUNTIFS($B$4:$B$1463,$B45,$C$4:$C$1463,"&lt;"&amp;$C45)+COUNTIFS($B$4:$B45,$B45,$C$4:$C45,$C45)))</f>
        <v>VENGEANCE@6</v>
      </c>
      <c r="AD45" s="1">
        <f t="shared" si="4"/>
        <v>42</v>
      </c>
      <c r="AE45" s="1" t="s">
        <v>615</v>
      </c>
      <c r="AF45" s="76">
        <f t="shared" si="5"/>
        <v>62764</v>
      </c>
      <c r="AG45" s="77">
        <f t="shared" si="6"/>
        <v>8</v>
      </c>
      <c r="AH45" s="1" t="str">
        <f>IF($C45="","",$B45&amp;"|"&amp;(COUNTIFS($B$4:$B$1463,$B45,$AF$4:$AF$1463,"&gt;"&amp;$AF45)+COUNTIFS($B$4:$B45,$B45,$AF$4:$AF45,"="&amp;$AF45)))</f>
        <v>VENGEANCE|29</v>
      </c>
      <c r="AI45" s="1" t="str">
        <f>IF($C45="","",$B45&amp;"|"&amp;(COUNTIFS($B$4:$B$1463,$B45,$AG$4:$AG$1463,"&gt;"&amp;$AG45)+COUNTIFS($B$4:$B45,$B45,$AG$4:$AG45,"="&amp;$AG45)))</f>
        <v>VENGEANCE|5</v>
      </c>
    </row>
    <row r="46" spans="1:35" hidden="1">
      <c r="A46" s="69" t="s">
        <v>109</v>
      </c>
      <c r="B46" s="69" t="s">
        <v>117</v>
      </c>
      <c r="C46" s="63" t="s">
        <v>616</v>
      </c>
      <c r="D46" s="69"/>
      <c r="E46" s="68" t="s">
        <v>71</v>
      </c>
      <c r="F46" s="15" t="str">
        <f>IF($C46="","",IF($E46="","-",IFERROR(INDEX(SETUP!$B$55:$B$64,MATCH($E46,SETUP!$A$55:$A$64,0)),"Other")))</f>
        <v>Frontline</v>
      </c>
      <c r="G46" s="70">
        <v>62279</v>
      </c>
      <c r="H46" s="15" t="str">
        <f>IF($C46="","",IF($G46="","-",INDEX(SETUP!$B$26:$B$32,MATCH($G46,SETUP!$A$26:$A$32,1))))</f>
        <v>62,000 - 62,999</v>
      </c>
      <c r="I46" s="70">
        <v>1310</v>
      </c>
      <c r="J46" s="15" t="str">
        <f>IF($C46="","",IF($I46="","-",INDEX(SETUP!$B$16:$B$22,MATCH($I46,SETUP!$A$16:$A$22,1))))</f>
        <v>ROOKIE</v>
      </c>
      <c r="K46" s="15" t="str">
        <f>IF($C46="","",IF($I46="","-",TEXT(INT($I46/1000)*1000,"#,##0")&amp;" - "&amp;TEXT(INT($I46/1000)*1000+999,"#,##0")))</f>
        <v>1,000 - 1,999</v>
      </c>
      <c r="L46" s="71">
        <v>4.3</v>
      </c>
      <c r="M46" s="15" t="str">
        <f>IF($C46="","",IF($L46="","-",INDEX(SETUP!$B$36:$B$42,MATCH($L46,SETUP!$A$36:$A$42,1))))</f>
        <v>4k - 5k</v>
      </c>
      <c r="N46" s="17">
        <f>IF($C46="","",IF(OR($G46="",$I46=""),"",ROUND(100*(SETUP!$B$4*MIN(1,$I46/SETUP!$B$9)+SETUP!$B$5*MAX(0,MIN(1,($G46-SETUP!$B$10)/(SETUP!$B$11-SETUP!$B$10)))+SETUP!$B$6*MIN(1,IF($L46="",0,$L46)/SETUP!$B$12)),1)))</f>
        <v>32</v>
      </c>
      <c r="O46" s="15" t="str">
        <f>IF($C46="","",IF($N46="","-",INDEX(SETUP!$B$46:$B$51,MATCH($N46,SETUP!$A$46:$A$51,1))))</f>
        <v>C</v>
      </c>
      <c r="P46" s="15">
        <f>IF($C46="","",IF($I46="","",RANK($I46,$I$4:$I$1463)+COUNTIF($I$4:$I46,$I46)-1))</f>
        <v>1226</v>
      </c>
      <c r="Q46" s="15">
        <f>IF($C46="","",COUNTIFS($B$4:$B$1463,$B46,$X$4:$X$1463,"&gt;"&amp;$X46)+COUNTIFS($B$4:$B46,$B46,$X$4:$X46,"="&amp;$X46))</f>
        <v>77</v>
      </c>
      <c r="R46" s="72">
        <f>IF($C46="","",IF($I46="","",ROUND(COUNTIF($I$4:$I$1463,"&lt;"&amp;$I46)/COUNT($I$4:$I$1463),3)))</f>
        <v>7.2999999999999995E-2</v>
      </c>
      <c r="S46" s="15" t="str">
        <f>IF($C46="","",IF($G46="","Name only",IF(OR($I46="",$L46=""),"Partial","Complete")))</f>
        <v>Complete</v>
      </c>
      <c r="T46" s="41" t="str">
        <f>IF($C46="","",TRIM(IF(COUNTIF($C$4:$C$1463,$C46)&gt;1,"Dup name; ","")&amp;IF(AND($G46&lt;&gt;"",$G46&lt;55000),"Low CR - verify; ","")&amp;IF(AND($L46&lt;&gt;"",$L46&gt;15),"Secondary - verify; ","")&amp;IF($E46="","No class; ","")))</f>
        <v/>
      </c>
      <c r="U46" s="68"/>
      <c r="V46" s="68"/>
      <c r="W46" s="68"/>
      <c r="X46" s="73">
        <f t="shared" si="2"/>
        <v>1310</v>
      </c>
      <c r="Y46" s="41" t="str">
        <f t="shared" si="3"/>
        <v>VENDETTA|77</v>
      </c>
      <c r="Z46" s="15">
        <f>IF($C46="","",IF($G46="","",RANK($G46,$G$4:$G$1463)+COUNTIF($G$4:$G46,$G46)-1))</f>
        <v>727</v>
      </c>
      <c r="AA46" s="15">
        <f>IF($C46="","",IF($N46="","",RANK($N46,$N$4:$N$1463)+COUNTIF($N$4:$N46,$N46)-1))</f>
        <v>1098</v>
      </c>
      <c r="AB46" s="41" t="str">
        <f>IF($C46="","",IF($E46="","",$E46&amp;"#"&amp;(COUNTIFS($E$4:$E$1463,$E46,$X$4:$X$1463,"&gt;"&amp;$X46)+COUNTIFS($E$4:$E46,$E46,$X$4:$X46,"="&amp;$X46))))</f>
        <v>BARBARIAN#203</v>
      </c>
      <c r="AC46" s="41" t="str">
        <f>IF($C46="","",$B46&amp;"@"&amp;(COUNTIFS($B$4:$B$1463,$B46,$C$4:$C$1463,"&lt;"&amp;$C46)+COUNTIFS($B$4:$B46,$B46,$C$4:$C46,$C46)))</f>
        <v>VENDETTA@7</v>
      </c>
      <c r="AD46" s="41">
        <f t="shared" si="4"/>
        <v>43</v>
      </c>
      <c r="AE46" s="41" t="s">
        <v>617</v>
      </c>
      <c r="AF46" s="73">
        <f t="shared" si="5"/>
        <v>62279</v>
      </c>
      <c r="AG46" s="74">
        <f t="shared" si="6"/>
        <v>4.3</v>
      </c>
      <c r="AH46" s="41" t="str">
        <f>IF($C46="","",$B46&amp;"|"&amp;(COUNTIFS($B$4:$B$1463,$B46,$AF$4:$AF$1463,"&gt;"&amp;$AF46)+COUNTIFS($B$4:$B46,$B46,$AF$4:$AF46,"="&amp;$AF46)))</f>
        <v>VENDETTA|27</v>
      </c>
      <c r="AI46" s="41" t="str">
        <f>IF($C46="","",$B46&amp;"|"&amp;(COUNTIFS($B$4:$B$1463,$B46,$AG$4:$AG$1463,"&gt;"&amp;$AG46)+COUNTIFS($B$4:$B46,$B46,$AG$4:$AG46,"="&amp;$AG46)))</f>
        <v>VENDETTA|21</v>
      </c>
    </row>
    <row r="47" spans="1:35" hidden="1">
      <c r="A47" s="69" t="s">
        <v>106</v>
      </c>
      <c r="B47" s="69" t="s">
        <v>105</v>
      </c>
      <c r="C47" s="63" t="s">
        <v>618</v>
      </c>
      <c r="D47" s="69" t="s">
        <v>619</v>
      </c>
      <c r="E47" s="68" t="s">
        <v>74</v>
      </c>
      <c r="F47" s="19" t="str">
        <f>IF($C47="","",IF($E47="","-",IFERROR(INDEX(SETUP!$B$55:$B$64,MATCH($E47,SETUP!$A$55:$A$64,0)),"Other")))</f>
        <v>Ranged DPS</v>
      </c>
      <c r="G47" s="70">
        <v>63945</v>
      </c>
      <c r="H47" s="19" t="str">
        <f>IF($C47="","",IF($G47="","-",INDEX(SETUP!$B$26:$B$32,MATCH($G47,SETUP!$A$26:$A$32,1))))</f>
        <v>63,000 - 63,999</v>
      </c>
      <c r="I47" s="70">
        <v>11001</v>
      </c>
      <c r="J47" s="19" t="str">
        <f>IF($C47="","",IF($I47="","-",INDEX(SETUP!$B$16:$B$22,MATCH($I47,SETUP!$A$16:$A$22,1))))</f>
        <v>APEX</v>
      </c>
      <c r="K47" s="19" t="str">
        <f>IF($C47="","",IF($I47="","-",TEXT(INT($I47/1000)*1000,"#,##0")&amp;" - "&amp;TEXT(INT($I47/1000)*1000+999,"#,##0")))</f>
        <v>11,000 - 11,999</v>
      </c>
      <c r="L47" s="71">
        <v>7.56</v>
      </c>
      <c r="M47" s="19" t="str">
        <f>IF($C47="","",IF($L47="","-",INDEX(SETUP!$B$36:$B$42,MATCH($L47,SETUP!$A$36:$A$42,1))))</f>
        <v>6k - 8k</v>
      </c>
      <c r="N47" s="21">
        <f>IF($C47="","",IF(OR($G47="",$I47=""),"",ROUND(100*(SETUP!$B$4*MIN(1,$I47/SETUP!$B$9)+SETUP!$B$5*MAX(0,MIN(1,($G47-SETUP!$B$10)/(SETUP!$B$11-SETUP!$B$10)))+SETUP!$B$6*MIN(1,IF($L47="",0,$L47)/SETUP!$B$12)),1)))</f>
        <v>84.2</v>
      </c>
      <c r="O47" s="19" t="str">
        <f>IF($C47="","",IF($N47="","-",INDEX(SETUP!$B$46:$B$51,MATCH($N47,SETUP!$A$46:$A$51,1))))</f>
        <v>S+</v>
      </c>
      <c r="P47" s="19">
        <f>IF($C47="","",IF($I47="","",RANK($I47,$I$4:$I$1463)+COUNTIF($I$4:$I47,$I47)-1))</f>
        <v>15</v>
      </c>
      <c r="Q47" s="19">
        <f>IF($C47="","",COUNTIFS($B$4:$B$1463,$B47,$X$4:$X$1463,"&gt;"&amp;$X47)+COUNTIFS($B$4:$B47,$B47,$X$4:$X47,"="&amp;$X47))</f>
        <v>2</v>
      </c>
      <c r="R47" s="75">
        <f>IF($C47="","",IF($I47="","",ROUND(COUNTIF($I$4:$I$1463,"&lt;"&amp;$I47)/COUNT($I$4:$I$1463),3)))</f>
        <v>0.98899999999999999</v>
      </c>
      <c r="S47" s="19" t="str">
        <f>IF($C47="","",IF($G47="","Name only",IF(OR($I47="",$L47=""),"Partial","Complete")))</f>
        <v>Complete</v>
      </c>
      <c r="T47" s="1" t="str">
        <f>IF($C47="","",TRIM(IF(COUNTIF($C$4:$C$1463,$C47)&gt;1,"Dup name; ","")&amp;IF(AND($G47&lt;&gt;"",$G47&lt;55000),"Low CR - verify; ","")&amp;IF(AND($L47&lt;&gt;"",$L47&gt;15),"Secondary - verify; ","")&amp;IF($E47="","No class; ","")))</f>
        <v/>
      </c>
      <c r="U47" s="68"/>
      <c r="V47" s="68"/>
      <c r="W47" s="68"/>
      <c r="X47" s="76">
        <f t="shared" si="2"/>
        <v>11001</v>
      </c>
      <c r="Y47" s="1" t="str">
        <f t="shared" si="3"/>
        <v>LEGENDS|2</v>
      </c>
      <c r="Z47" s="19">
        <f>IF($C47="","",IF($G47="","",RANK($G47,$G$4:$G$1463)+COUNTIF($G$4:$G47,$G47)-1))</f>
        <v>84</v>
      </c>
      <c r="AA47" s="19">
        <f>IF($C47="","",IF($N47="","",RANK($N47,$N$4:$N$1463)+COUNTIF($N$4:$N47,$N47)-1))</f>
        <v>26</v>
      </c>
      <c r="AB47" s="1" t="str">
        <f>IF($C47="","",IF($E47="","",$E47&amp;"#"&amp;(COUNTIFS($E$4:$E$1463,$E47,$X$4:$X$1463,"&gt;"&amp;$X47)+COUNTIFS($E$4:$E47,$E47,$X$4:$X47,"="&amp;$X47))))</f>
        <v>DEMON HUNTER#3</v>
      </c>
      <c r="AC47" s="1" t="str">
        <f>IF($C47="","",$B47&amp;"@"&amp;(COUNTIFS($B$4:$B$1463,$B47,$C$4:$C$1463,"&lt;"&amp;$C47)+COUNTIFS($B$4:$B47,$B47,$C$4:$C47,$C47)))</f>
        <v>LEGENDS@4</v>
      </c>
      <c r="AD47" s="1">
        <f t="shared" si="4"/>
        <v>44</v>
      </c>
      <c r="AE47" s="1" t="s">
        <v>620</v>
      </c>
      <c r="AF47" s="76">
        <f t="shared" si="5"/>
        <v>63945</v>
      </c>
      <c r="AG47" s="77">
        <f t="shared" si="6"/>
        <v>7.56</v>
      </c>
      <c r="AH47" s="1" t="str">
        <f>IF($C47="","",$B47&amp;"|"&amp;(COUNTIFS($B$4:$B$1463,$B47,$AF$4:$AF$1463,"&gt;"&amp;$AF47)+COUNTIFS($B$4:$B47,$B47,$AF$4:$AF47,"="&amp;$AF47)))</f>
        <v>LEGENDS|7</v>
      </c>
      <c r="AI47" s="1" t="str">
        <f>IF($C47="","",$B47&amp;"|"&amp;(COUNTIFS($B$4:$B$1463,$B47,$AG$4:$AG$1463,"&gt;"&amp;$AG47)+COUNTIFS($B$4:$B47,$B47,$AG$4:$AG47,"="&amp;$AG47)))</f>
        <v>LEGENDS|3</v>
      </c>
    </row>
    <row r="48" spans="1:35" hidden="1">
      <c r="A48" s="69" t="s">
        <v>109</v>
      </c>
      <c r="B48" s="69" t="s">
        <v>112</v>
      </c>
      <c r="C48" s="63" t="s">
        <v>621</v>
      </c>
      <c r="D48" s="69" t="s">
        <v>567</v>
      </c>
      <c r="E48" s="68" t="s">
        <v>79</v>
      </c>
      <c r="F48" s="15" t="str">
        <f>IF($C48="","",IF($E48="","-",IFERROR(INDEX(SETUP!$B$55:$B$64,MATCH($E48,SETUP!$A$55:$A$64,0)),"Other")))</f>
        <v>Control</v>
      </c>
      <c r="G48" s="70">
        <v>61936</v>
      </c>
      <c r="H48" s="15" t="str">
        <f>IF($C48="","",IF($G48="","-",INDEX(SETUP!$B$26:$B$32,MATCH($G48,SETUP!$A$26:$A$32,1))))</f>
        <v>61,000 - 61,999</v>
      </c>
      <c r="I48" s="70">
        <v>4692</v>
      </c>
      <c r="J48" s="15" t="str">
        <f>IF($C48="","",IF($I48="","-",INDEX(SETUP!$B$16:$B$22,MATCH($I48,SETUP!$A$16:$A$22,1))))</f>
        <v>CORE</v>
      </c>
      <c r="K48" s="15" t="str">
        <f>IF($C48="","",IF($I48="","-",TEXT(INT($I48/1000)*1000,"#,##0")&amp;" - "&amp;TEXT(INT($I48/1000)*1000+999,"#,##0")))</f>
        <v>4,000 - 4,999</v>
      </c>
      <c r="L48" s="71">
        <v>4.75</v>
      </c>
      <c r="M48" s="15" t="str">
        <f>IF($C48="","",IF($L48="","-",INDEX(SETUP!$B$36:$B$42,MATCH($L48,SETUP!$A$36:$A$42,1))))</f>
        <v>4k - 5k</v>
      </c>
      <c r="N48" s="17">
        <f>IF($C48="","",IF(OR($G48="",$I48=""),"",ROUND(100*(SETUP!$B$4*MIN(1,$I48/SETUP!$B$9)+SETUP!$B$5*MAX(0,MIN(1,($G48-SETUP!$B$10)/(SETUP!$B$11-SETUP!$B$10)))+SETUP!$B$6*MIN(1,IF($L48="",0,$L48)/SETUP!$B$12)),1)))</f>
        <v>46.7</v>
      </c>
      <c r="O48" s="15" t="str">
        <f>IF($C48="","",IF($N48="","-",INDEX(SETUP!$B$46:$B$51,MATCH($N48,SETUP!$A$46:$A$51,1))))</f>
        <v>B</v>
      </c>
      <c r="P48" s="15">
        <f>IF($C48="","",IF($I48="","",RANK($I48,$I$4:$I$1463)+COUNTIF($I$4:$I48,$I48)-1))</f>
        <v>456</v>
      </c>
      <c r="Q48" s="15">
        <f>IF($C48="","",COUNTIFS($B$4:$B$1463,$B48,$X$4:$X$1463,"&gt;"&amp;$X48)+COUNTIFS($B$4:$B48,$B48,$X$4:$X48,"="&amp;$X48))</f>
        <v>30</v>
      </c>
      <c r="R48" s="72">
        <f>IF($C48="","",IF($I48="","",ROUND(COUNTIF($I$4:$I$1463,"&lt;"&amp;$I48)/COUNT($I$4:$I$1463),3)))</f>
        <v>0.65600000000000003</v>
      </c>
      <c r="S48" s="15" t="str">
        <f>IF($C48="","",IF($G48="","Name only",IF(OR($I48="",$L48=""),"Partial","Complete")))</f>
        <v>Complete</v>
      </c>
      <c r="T48" s="41" t="str">
        <f>IF($C48="","",TRIM(IF(COUNTIF($C$4:$C$1463,$C48)&gt;1,"Dup name; ","")&amp;IF(AND($G48&lt;&gt;"",$G48&lt;55000),"Low CR - verify; ","")&amp;IF(AND($L48&lt;&gt;"",$L48&gt;15),"Secondary - verify; ","")&amp;IF($E48="","No class; ","")))</f>
        <v/>
      </c>
      <c r="U48" s="68"/>
      <c r="V48" s="68"/>
      <c r="W48" s="68"/>
      <c r="X48" s="73">
        <f t="shared" si="2"/>
        <v>4692</v>
      </c>
      <c r="Y48" s="41" t="str">
        <f t="shared" si="3"/>
        <v>ACHERON|30</v>
      </c>
      <c r="Z48" s="15">
        <f>IF($C48="","",IF($G48="","",RANK($G48,$G$4:$G$1463)+COUNTIF($G$4:$G48,$G48)-1))</f>
        <v>858</v>
      </c>
      <c r="AA48" s="15">
        <f>IF($C48="","",IF($N48="","",RANK($N48,$N$4:$N$1463)+COUNTIF($N$4:$N48,$N48)-1))</f>
        <v>558</v>
      </c>
      <c r="AB48" s="41" t="str">
        <f>IF($C48="","",IF($E48="","",$E48&amp;"#"&amp;(COUNTIFS($E$4:$E$1463,$E48,$X$4:$X$1463,"&gt;"&amp;$X48)+COUNTIFS($E$4:$E48,$E48,$X$4:$X48,"="&amp;$X48))))</f>
        <v>WARLOCK#106</v>
      </c>
      <c r="AC48" s="41" t="str">
        <f>IF($C48="","",$B48&amp;"@"&amp;(COUNTIFS($B$4:$B$1463,$B48,$C$4:$C$1463,"&lt;"&amp;$C48)+COUNTIFS($B$4:$B48,$B48,$C$4:$C48,$C48)))</f>
        <v>ACHERON@3</v>
      </c>
      <c r="AD48" s="41">
        <f t="shared" si="4"/>
        <v>45</v>
      </c>
      <c r="AE48" s="41" t="s">
        <v>622</v>
      </c>
      <c r="AF48" s="73">
        <f t="shared" si="5"/>
        <v>61936</v>
      </c>
      <c r="AG48" s="74">
        <f t="shared" si="6"/>
        <v>4.75</v>
      </c>
      <c r="AH48" s="41" t="str">
        <f>IF($C48="","",$B48&amp;"|"&amp;(COUNTIFS($B$4:$B$1463,$B48,$AF$4:$AF$1463,"&gt;"&amp;$AF48)+COUNTIFS($B$4:$B48,$B48,$AF$4:$AF48,"="&amp;$AF48)))</f>
        <v>ACHERON|70</v>
      </c>
      <c r="AI48" s="41" t="str">
        <f>IF($C48="","",$B48&amp;"|"&amp;(COUNTIFS($B$4:$B$1463,$B48,$AG$4:$AG$1463,"&gt;"&amp;$AG48)+COUNTIFS($B$4:$B48,$B48,$AG$4:$AG48,"="&amp;$AG48)))</f>
        <v>ACHERON|51</v>
      </c>
    </row>
    <row r="49" spans="1:35" hidden="1">
      <c r="A49" s="69" t="s">
        <v>109</v>
      </c>
      <c r="B49" s="69" t="s">
        <v>118</v>
      </c>
      <c r="C49" s="63" t="s">
        <v>623</v>
      </c>
      <c r="D49" s="69"/>
      <c r="E49" s="68" t="s">
        <v>73</v>
      </c>
      <c r="F49" s="19" t="str">
        <f>IF($C49="","",IF($E49="","-",IFERROR(INDEX(SETUP!$B$55:$B$64,MATCH($E49,SETUP!$A$55:$A$64,0)),"Other")))</f>
        <v>Frontline</v>
      </c>
      <c r="G49" s="70">
        <v>60873</v>
      </c>
      <c r="H49" s="19" t="str">
        <f>IF($C49="","",IF($G49="","-",INDEX(SETUP!$B$26:$B$32,MATCH($G49,SETUP!$A$26:$A$32,1))))</f>
        <v>60,000 - 60,999</v>
      </c>
      <c r="I49" s="70">
        <v>1103</v>
      </c>
      <c r="J49" s="19" t="str">
        <f>IF($C49="","",IF($I49="","-",INDEX(SETUP!$B$16:$B$22,MATCH($I49,SETUP!$A$16:$A$22,1))))</f>
        <v>ROOKIE</v>
      </c>
      <c r="K49" s="19" t="str">
        <f>IF($C49="","",IF($I49="","-",TEXT(INT($I49/1000)*1000,"#,##0")&amp;" - "&amp;TEXT(INT($I49/1000)*1000+999,"#,##0")))</f>
        <v>1,000 - 1,999</v>
      </c>
      <c r="L49" s="71">
        <v>3.3</v>
      </c>
      <c r="M49" s="19" t="str">
        <f>IF($C49="","",IF($L49="","-",INDEX(SETUP!$B$36:$B$42,MATCH($L49,SETUP!$A$36:$A$42,1))))</f>
        <v>3k - 4k</v>
      </c>
      <c r="N49" s="21">
        <f>IF($C49="","",IF(OR($G49="",$I49=""),"",ROUND(100*(SETUP!$B$4*MIN(1,$I49/SETUP!$B$9)+SETUP!$B$5*MAX(0,MIN(1,($G49-SETUP!$B$10)/(SETUP!$B$11-SETUP!$B$10)))+SETUP!$B$6*MIN(1,IF($L49="",0,$L49)/SETUP!$B$12)),1)))</f>
        <v>25.8</v>
      </c>
      <c r="O49" s="19" t="str">
        <f>IF($C49="","",IF($N49="","-",INDEX(SETUP!$B$46:$B$51,MATCH($N49,SETUP!$A$46:$A$51,1))))</f>
        <v>C</v>
      </c>
      <c r="P49" s="19">
        <f>IF($C49="","",IF($I49="","",RANK($I49,$I$4:$I$1463)+COUNTIF($I$4:$I49,$I49)-1))</f>
        <v>1254</v>
      </c>
      <c r="Q49" s="19">
        <f>IF($C49="","",COUNTIFS($B$4:$B$1463,$B49,$X$4:$X$1463,"&gt;"&amp;$X49)+COUNTIFS($B$4:$B49,$B49,$X$4:$X49,"="&amp;$X49))</f>
        <v>76</v>
      </c>
      <c r="R49" s="75">
        <f>IF($C49="","",IF($I49="","",ROUND(COUNTIF($I$4:$I$1463,"&lt;"&amp;$I49)/COUNT($I$4:$I$1463),3)))</f>
        <v>5.3999999999999999E-2</v>
      </c>
      <c r="S49" s="19" t="str">
        <f>IF($C49="","",IF($G49="","Name only",IF(OR($I49="",$L49=""),"Partial","Complete")))</f>
        <v>Complete</v>
      </c>
      <c r="T49" s="1" t="str">
        <f>IF($C49="","",TRIM(IF(COUNTIF($C$4:$C$1463,$C49)&gt;1,"Dup name; ","")&amp;IF(AND($G49&lt;&gt;"",$G49&lt;55000),"Low CR - verify; ","")&amp;IF(AND($L49&lt;&gt;"",$L49&gt;15),"Secondary - verify; ","")&amp;IF($E49="","No class; ","")))</f>
        <v/>
      </c>
      <c r="U49" s="68"/>
      <c r="V49" s="68"/>
      <c r="W49" s="68"/>
      <c r="X49" s="76">
        <f t="shared" si="2"/>
        <v>1103</v>
      </c>
      <c r="Y49" s="1" t="str">
        <f t="shared" si="3"/>
        <v>ZOMBIES|76</v>
      </c>
      <c r="Z49" s="19">
        <f>IF($C49="","",IF($G49="","",RANK($G49,$G$4:$G$1463)+COUNTIF($G$4:$G49,$G49)-1))</f>
        <v>1160</v>
      </c>
      <c r="AA49" s="19">
        <f>IF($C49="","",IF($N49="","",RANK($N49,$N$4:$N$1463)+COUNTIF($N$4:$N49,$N49)-1))</f>
        <v>1228</v>
      </c>
      <c r="AB49" s="1" t="str">
        <f>IF($C49="","",IF($E49="","",$E49&amp;"#"&amp;(COUNTIFS($E$4:$E$1463,$E49,$X$4:$X$1463,"&gt;"&amp;$X49)+COUNTIFS($E$4:$E49,$E49,$X$4:$X49,"="&amp;$X49))))</f>
        <v>CRUSADER#120</v>
      </c>
      <c r="AC49" s="1" t="str">
        <f>IF($C49="","",$B49&amp;"@"&amp;(COUNTIFS($B$4:$B$1463,$B49,$C$4:$C$1463,"&lt;"&amp;$C49)+COUNTIFS($B$4:$B49,$B49,$C$4:$C49,$C49)))</f>
        <v>ZOMBIES@4</v>
      </c>
      <c r="AD49" s="1">
        <f t="shared" si="4"/>
        <v>46</v>
      </c>
      <c r="AE49" s="1" t="s">
        <v>624</v>
      </c>
      <c r="AF49" s="76">
        <f t="shared" si="5"/>
        <v>60873</v>
      </c>
      <c r="AG49" s="77">
        <f t="shared" si="6"/>
        <v>3.3</v>
      </c>
      <c r="AH49" s="1" t="str">
        <f>IF($C49="","",$B49&amp;"|"&amp;(COUNTIFS($B$4:$B$1463,$B49,$AF$4:$AF$1463,"&gt;"&amp;$AF49)+COUNTIFS($B$4:$B49,$B49,$AF$4:$AF49,"="&amp;$AF49)))</f>
        <v>ZOMBIES|61</v>
      </c>
      <c r="AI49" s="1" t="str">
        <f>IF($C49="","",$B49&amp;"|"&amp;(COUNTIFS($B$4:$B$1463,$B49,$AG$4:$AG$1463,"&gt;"&amp;$AG49)+COUNTIFS($B$4:$B49,$B49,$AG$4:$AG49,"="&amp;$AG49)))</f>
        <v>ZOMBIES|54</v>
      </c>
    </row>
    <row r="50" spans="1:35" hidden="1">
      <c r="A50" s="69" t="s">
        <v>109</v>
      </c>
      <c r="B50" s="69" t="s">
        <v>118</v>
      </c>
      <c r="C50" s="63" t="s">
        <v>625</v>
      </c>
      <c r="D50" s="69"/>
      <c r="E50" s="68" t="s">
        <v>79</v>
      </c>
      <c r="F50" s="15" t="str">
        <f>IF($C50="","",IF($E50="","-",IFERROR(INDEX(SETUP!$B$55:$B$64,MATCH($E50,SETUP!$A$55:$A$64,0)),"Other")))</f>
        <v>Control</v>
      </c>
      <c r="G50" s="70">
        <v>61433</v>
      </c>
      <c r="H50" s="15" t="str">
        <f>IF($C50="","",IF($G50="","-",INDEX(SETUP!$B$26:$B$32,MATCH($G50,SETUP!$A$26:$A$32,1))))</f>
        <v>61,000 - 61,999</v>
      </c>
      <c r="I50" s="70">
        <v>4749</v>
      </c>
      <c r="J50" s="15" t="str">
        <f>IF($C50="","",IF($I50="","-",INDEX(SETUP!$B$16:$B$22,MATCH($I50,SETUP!$A$16:$A$22,1))))</f>
        <v>CORE</v>
      </c>
      <c r="K50" s="15" t="str">
        <f>IF($C50="","",IF($I50="","-",TEXT(INT($I50/1000)*1000,"#,##0")&amp;" - "&amp;TEXT(INT($I50/1000)*1000+999,"#,##0")))</f>
        <v>4,000 - 4,999</v>
      </c>
      <c r="L50" s="71">
        <v>6.4</v>
      </c>
      <c r="M50" s="15" t="str">
        <f>IF($C50="","",IF($L50="","-",INDEX(SETUP!$B$36:$B$42,MATCH($L50,SETUP!$A$36:$A$42,1))))</f>
        <v>6k - 8k</v>
      </c>
      <c r="N50" s="17">
        <f>IF($C50="","",IF(OR($G50="",$I50=""),"",ROUND(100*(SETUP!$B$4*MIN(1,$I50/SETUP!$B$9)+SETUP!$B$5*MAX(0,MIN(1,($G50-SETUP!$B$10)/(SETUP!$B$11-SETUP!$B$10)))+SETUP!$B$6*MIN(1,IF($L50="",0,$L50)/SETUP!$B$12)),1)))</f>
        <v>48.3</v>
      </c>
      <c r="O50" s="15" t="str">
        <f>IF($C50="","",IF($N50="","-",INDEX(SETUP!$B$46:$B$51,MATCH($N50,SETUP!$A$46:$A$51,1))))</f>
        <v>B</v>
      </c>
      <c r="P50" s="15">
        <f>IF($C50="","",IF($I50="","",RANK($I50,$I$4:$I$1463)+COUNTIF($I$4:$I50,$I50)-1))</f>
        <v>448</v>
      </c>
      <c r="Q50" s="15">
        <f>IF($C50="","",COUNTIFS($B$4:$B$1463,$B50,$X$4:$X$1463,"&gt;"&amp;$X50)+COUNTIFS($B$4:$B50,$B50,$X$4:$X50,"="&amp;$X50))</f>
        <v>5</v>
      </c>
      <c r="R50" s="72">
        <f>IF($C50="","",IF($I50="","",ROUND(COUNTIF($I$4:$I$1463,"&lt;"&amp;$I50)/COUNT($I$4:$I$1463),3)))</f>
        <v>0.66200000000000003</v>
      </c>
      <c r="S50" s="15" t="str">
        <f>IF($C50="","",IF($G50="","Name only",IF(OR($I50="",$L50=""),"Partial","Complete")))</f>
        <v>Complete</v>
      </c>
      <c r="T50" s="41" t="str">
        <f>IF($C50="","",TRIM(IF(COUNTIF($C$4:$C$1463,$C50)&gt;1,"Dup name; ","")&amp;IF(AND($G50&lt;&gt;"",$G50&lt;55000),"Low CR - verify; ","")&amp;IF(AND($L50&lt;&gt;"",$L50&gt;15),"Secondary - verify; ","")&amp;IF($E50="","No class; ","")))</f>
        <v/>
      </c>
      <c r="U50" s="68"/>
      <c r="V50" s="68"/>
      <c r="W50" s="68"/>
      <c r="X50" s="73">
        <f t="shared" si="2"/>
        <v>4749</v>
      </c>
      <c r="Y50" s="41" t="str">
        <f t="shared" si="3"/>
        <v>ZOMBIES|5</v>
      </c>
      <c r="Z50" s="15">
        <f>IF($C50="","",IF($G50="","",RANK($G50,$G$4:$G$1463)+COUNTIF($G$4:$G50,$G50)-1))</f>
        <v>1020</v>
      </c>
      <c r="AA50" s="15">
        <f>IF($C50="","",IF($N50="","",RANK($N50,$N$4:$N$1463)+COUNTIF($N$4:$N50,$N50)-1))</f>
        <v>508</v>
      </c>
      <c r="AB50" s="41" t="str">
        <f>IF($C50="","",IF($E50="","",$E50&amp;"#"&amp;(COUNTIFS($E$4:$E$1463,$E50,$X$4:$X$1463,"&gt;"&amp;$X50)+COUNTIFS($E$4:$E50,$E50,$X$4:$X50,"="&amp;$X50))))</f>
        <v>WARLOCK#105</v>
      </c>
      <c r="AC50" s="41" t="str">
        <f>IF($C50="","",$B50&amp;"@"&amp;(COUNTIFS($B$4:$B$1463,$B50,$C$4:$C$1463,"&lt;"&amp;$C50)+COUNTIFS($B$4:$B50,$B50,$C$4:$C50,$C50)))</f>
        <v>ZOMBIES@5</v>
      </c>
      <c r="AD50" s="41">
        <f t="shared" si="4"/>
        <v>47</v>
      </c>
      <c r="AE50" s="41" t="s">
        <v>626</v>
      </c>
      <c r="AF50" s="73">
        <f t="shared" si="5"/>
        <v>61433</v>
      </c>
      <c r="AG50" s="74">
        <f t="shared" si="6"/>
        <v>6.4</v>
      </c>
      <c r="AH50" s="41" t="str">
        <f>IF($C50="","",$B50&amp;"|"&amp;(COUNTIFS($B$4:$B$1463,$B50,$AF$4:$AF$1463,"&gt;"&amp;$AF50)+COUNTIFS($B$4:$B50,$B50,$AF$4:$AF50,"="&amp;$AF50)))</f>
        <v>ZOMBIES|39</v>
      </c>
      <c r="AI50" s="41" t="str">
        <f>IF($C50="","",$B50&amp;"|"&amp;(COUNTIFS($B$4:$B$1463,$B50,$AG$4:$AG$1463,"&gt;"&amp;$AG50)+COUNTIFS($B$4:$B50,$B50,$AG$4:$AG50,"="&amp;$AG50)))</f>
        <v>ZOMBIES|2</v>
      </c>
    </row>
    <row r="51" spans="1:35" hidden="1">
      <c r="A51" s="69" t="s">
        <v>109</v>
      </c>
      <c r="B51" s="69" t="s">
        <v>112</v>
      </c>
      <c r="C51" s="63" t="s">
        <v>627</v>
      </c>
      <c r="D51" s="69" t="s">
        <v>567</v>
      </c>
      <c r="E51" s="68" t="s">
        <v>71</v>
      </c>
      <c r="F51" s="19" t="str">
        <f>IF($C51="","",IF($E51="","-",IFERROR(INDEX(SETUP!$B$55:$B$64,MATCH($E51,SETUP!$A$55:$A$64,0)),"Other")))</f>
        <v>Frontline</v>
      </c>
      <c r="G51" s="70">
        <v>61435</v>
      </c>
      <c r="H51" s="19" t="str">
        <f>IF($C51="","",IF($G51="","-",INDEX(SETUP!$B$26:$B$32,MATCH($G51,SETUP!$A$26:$A$32,1))))</f>
        <v>61,000 - 61,999</v>
      </c>
      <c r="I51" s="70">
        <v>2646</v>
      </c>
      <c r="J51" s="19" t="str">
        <f>IF($C51="","",IF($I51="","-",INDEX(SETUP!$B$16:$B$22,MATCH($I51,SETUP!$A$16:$A$22,1))))</f>
        <v>DEVELOPING</v>
      </c>
      <c r="K51" s="19" t="str">
        <f>IF($C51="","",IF($I51="","-",TEXT(INT($I51/1000)*1000,"#,##0")&amp;" - "&amp;TEXT(INT($I51/1000)*1000+999,"#,##0")))</f>
        <v>2,000 - 2,999</v>
      </c>
      <c r="L51" s="71">
        <v>4.75</v>
      </c>
      <c r="M51" s="19" t="str">
        <f>IF($C51="","",IF($L51="","-",INDEX(SETUP!$B$36:$B$42,MATCH($L51,SETUP!$A$36:$A$42,1))))</f>
        <v>4k - 5k</v>
      </c>
      <c r="N51" s="21">
        <f>IF($C51="","",IF(OR($G51="",$I51=""),"",ROUND(100*(SETUP!$B$4*MIN(1,$I51/SETUP!$B$9)+SETUP!$B$5*MAX(0,MIN(1,($G51-SETUP!$B$10)/(SETUP!$B$11-SETUP!$B$10)))+SETUP!$B$6*MIN(1,IF($L51="",0,$L51)/SETUP!$B$12)),1)))</f>
        <v>36.4</v>
      </c>
      <c r="O51" s="19" t="str">
        <f>IF($C51="","",IF($N51="","-",INDEX(SETUP!$B$46:$B$51,MATCH($N51,SETUP!$A$46:$A$51,1))))</f>
        <v>B</v>
      </c>
      <c r="P51" s="19">
        <f>IF($C51="","",IF($I51="","",RANK($I51,$I$4:$I$1463)+COUNTIF($I$4:$I51,$I51)-1))</f>
        <v>966</v>
      </c>
      <c r="Q51" s="19">
        <f>IF($C51="","",COUNTIFS($B$4:$B$1463,$B51,$X$4:$X$1463,"&gt;"&amp;$X51)+COUNTIFS($B$4:$B51,$B51,$X$4:$X51,"="&amp;$X51))</f>
        <v>75</v>
      </c>
      <c r="R51" s="75">
        <f>IF($C51="","",IF($I51="","",ROUND(COUNTIF($I$4:$I$1463,"&lt;"&amp;$I51)/COUNT($I$4:$I$1463),3)))</f>
        <v>0.27100000000000002</v>
      </c>
      <c r="S51" s="19" t="str">
        <f>IF($C51="","",IF($G51="","Name only",IF(OR($I51="",$L51=""),"Partial","Complete")))</f>
        <v>Complete</v>
      </c>
      <c r="T51" s="1" t="str">
        <f>IF($C51="","",TRIM(IF(COUNTIF($C$4:$C$1463,$C51)&gt;1,"Dup name; ","")&amp;IF(AND($G51&lt;&gt;"",$G51&lt;55000),"Low CR - verify; ","")&amp;IF(AND($L51&lt;&gt;"",$L51&gt;15),"Secondary - verify; ","")&amp;IF($E51="","No class; ","")))</f>
        <v/>
      </c>
      <c r="U51" s="68"/>
      <c r="V51" s="68"/>
      <c r="W51" s="68"/>
      <c r="X51" s="76">
        <f t="shared" si="2"/>
        <v>2646</v>
      </c>
      <c r="Y51" s="1" t="str">
        <f t="shared" si="3"/>
        <v>ACHERON|75</v>
      </c>
      <c r="Z51" s="19">
        <f>IF($C51="","",IF($G51="","",RANK($G51,$G$4:$G$1463)+COUNTIF($G$4:$G51,$G51)-1))</f>
        <v>1019</v>
      </c>
      <c r="AA51" s="19">
        <f>IF($C51="","",IF($N51="","",RANK($N51,$N$4:$N$1463)+COUNTIF($N$4:$N51,$N51)-1))</f>
        <v>951</v>
      </c>
      <c r="AB51" s="1" t="str">
        <f>IF($C51="","",IF($E51="","",$E51&amp;"#"&amp;(COUNTIFS($E$4:$E$1463,$E51,$X$4:$X$1463,"&gt;"&amp;$X51)+COUNTIFS($E$4:$E51,$E51,$X$4:$X51,"="&amp;$X51))))</f>
        <v>BARBARIAN#164</v>
      </c>
      <c r="AC51" s="1" t="str">
        <f>IF($C51="","",$B51&amp;"@"&amp;(COUNTIFS($B$4:$B$1463,$B51,$C$4:$C$1463,"&lt;"&amp;$C51)+COUNTIFS($B$4:$B51,$B51,$C$4:$C51,$C51)))</f>
        <v>ACHERON@4</v>
      </c>
      <c r="AD51" s="1">
        <f t="shared" si="4"/>
        <v>48</v>
      </c>
      <c r="AE51" s="1" t="s">
        <v>628</v>
      </c>
      <c r="AF51" s="76">
        <f t="shared" si="5"/>
        <v>61435</v>
      </c>
      <c r="AG51" s="77">
        <f t="shared" si="6"/>
        <v>4.75</v>
      </c>
      <c r="AH51" s="1" t="str">
        <f>IF($C51="","",$B51&amp;"|"&amp;(COUNTIFS($B$4:$B$1463,$B51,$AF$4:$AF$1463,"&gt;"&amp;$AF51)+COUNTIFS($B$4:$B51,$B51,$AF$4:$AF51,"="&amp;$AF51)))</f>
        <v>ACHERON|82</v>
      </c>
      <c r="AI51" s="1" t="str">
        <f>IF($C51="","",$B51&amp;"|"&amp;(COUNTIFS($B$4:$B$1463,$B51,$AG$4:$AG$1463,"&gt;"&amp;$AG51)+COUNTIFS($B$4:$B51,$B51,$AG$4:$AG51,"="&amp;$AG51)))</f>
        <v>ACHERON|52</v>
      </c>
    </row>
    <row r="52" spans="1:35" hidden="1">
      <c r="A52" s="69" t="s">
        <v>109</v>
      </c>
      <c r="B52" s="69" t="s">
        <v>115</v>
      </c>
      <c r="C52" s="63" t="s">
        <v>629</v>
      </c>
      <c r="D52" s="69"/>
      <c r="E52" s="68" t="s">
        <v>77</v>
      </c>
      <c r="F52" s="15" t="str">
        <f>IF($C52="","",IF($E52="","-",IFERROR(INDEX(SETUP!$B$55:$B$64,MATCH($E52,SETUP!$A$55:$A$64,0)),"Other")))</f>
        <v>Control</v>
      </c>
      <c r="G52" s="70">
        <v>60793</v>
      </c>
      <c r="H52" s="15" t="str">
        <f>IF($C52="","",IF($G52="","-",INDEX(SETUP!$B$26:$B$32,MATCH($G52,SETUP!$A$26:$A$32,1))))</f>
        <v>60,000 - 60,999</v>
      </c>
      <c r="I52" s="70">
        <v>2308</v>
      </c>
      <c r="J52" s="15" t="str">
        <f>IF($C52="","",IF($I52="","-",INDEX(SETUP!$B$16:$B$22,MATCH($I52,SETUP!$A$16:$A$22,1))))</f>
        <v>DEVELOPING</v>
      </c>
      <c r="K52" s="15" t="str">
        <f>IF($C52="","",IF($I52="","-",TEXT(INT($I52/1000)*1000,"#,##0")&amp;" - "&amp;TEXT(INT($I52/1000)*1000+999,"#,##0")))</f>
        <v>2,000 - 2,999</v>
      </c>
      <c r="L52" s="71">
        <v>4.5</v>
      </c>
      <c r="M52" s="15" t="str">
        <f>IF($C52="","",IF($L52="","-",INDEX(SETUP!$B$36:$B$42,MATCH($L52,SETUP!$A$36:$A$42,1))))</f>
        <v>4k - 5k</v>
      </c>
      <c r="N52" s="17">
        <f>IF($C52="","",IF(OR($G52="",$I52=""),"",ROUND(100*(SETUP!$B$4*MIN(1,$I52/SETUP!$B$9)+SETUP!$B$5*MAX(0,MIN(1,($G52-SETUP!$B$10)/(SETUP!$B$11-SETUP!$B$10)))+SETUP!$B$6*MIN(1,IF($L52="",0,$L52)/SETUP!$B$12)),1)))</f>
        <v>32.799999999999997</v>
      </c>
      <c r="O52" s="15" t="str">
        <f>IF($C52="","",IF($N52="","-",INDEX(SETUP!$B$46:$B$51,MATCH($N52,SETUP!$A$46:$A$51,1))))</f>
        <v>C</v>
      </c>
      <c r="P52" s="15">
        <f>IF($C52="","",IF($I52="","",RANK($I52,$I$4:$I$1463)+COUNTIF($I$4:$I52,$I52)-1))</f>
        <v>1041</v>
      </c>
      <c r="Q52" s="15">
        <f>IF($C52="","",COUNTIFS($B$4:$B$1463,$B52,$X$4:$X$1463,"&gt;"&amp;$X52)+COUNTIFS($B$4:$B52,$B52,$X$4:$X52,"="&amp;$X52))</f>
        <v>36</v>
      </c>
      <c r="R52" s="72">
        <f>IF($C52="","",IF($I52="","",ROUND(COUNTIF($I$4:$I$1463,"&lt;"&amp;$I52)/COUNT($I$4:$I$1463),3)))</f>
        <v>0.21299999999999999</v>
      </c>
      <c r="S52" s="15" t="str">
        <f>IF($C52="","",IF($G52="","Name only",IF(OR($I52="",$L52=""),"Partial","Complete")))</f>
        <v>Complete</v>
      </c>
      <c r="T52" s="41" t="str">
        <f>IF($C52="","",TRIM(IF(COUNTIF($C$4:$C$1463,$C52)&gt;1,"Dup name; ","")&amp;IF(AND($G52&lt;&gt;"",$G52&lt;55000),"Low CR - verify; ","")&amp;IF(AND($L52&lt;&gt;"",$L52&gt;15),"Secondary - verify; ","")&amp;IF($E52="","No class; ","")))</f>
        <v/>
      </c>
      <c r="U52" s="68"/>
      <c r="V52" s="68"/>
      <c r="W52" s="68"/>
      <c r="X52" s="73">
        <f t="shared" si="2"/>
        <v>2308</v>
      </c>
      <c r="Y52" s="41" t="str">
        <f t="shared" si="3"/>
        <v>SUB ROSA|36</v>
      </c>
      <c r="Z52" s="15">
        <f>IF($C52="","",IF($G52="","",RANK($G52,$G$4:$G$1463)+COUNTIF($G$4:$G52,$G52)-1))</f>
        <v>1173</v>
      </c>
      <c r="AA52" s="15">
        <f>IF($C52="","",IF($N52="","",RANK($N52,$N$4:$N$1463)+COUNTIF($N$4:$N52,$N52)-1))</f>
        <v>1074</v>
      </c>
      <c r="AB52" s="41" t="str">
        <f>IF($C52="","",IF($E52="","",$E52&amp;"#"&amp;(COUNTIFS($E$4:$E$1463,$E52,$X$4:$X$1463,"&gt;"&amp;$X52)+COUNTIFS($E$4:$E52,$E52,$X$4:$X52,"="&amp;$X52))))</f>
        <v>NECROMANCER#68</v>
      </c>
      <c r="AC52" s="41" t="str">
        <f>IF($C52="","",$B52&amp;"@"&amp;(COUNTIFS($B$4:$B$1463,$B52,$C$4:$C$1463,"&lt;"&amp;$C52)+COUNTIFS($B$4:$B52,$B52,$C$4:$C52,$C52)))</f>
        <v>SUB ROSA@4</v>
      </c>
      <c r="AD52" s="41">
        <f t="shared" si="4"/>
        <v>49</v>
      </c>
      <c r="AE52" s="41" t="s">
        <v>630</v>
      </c>
      <c r="AF52" s="73">
        <f t="shared" si="5"/>
        <v>60793</v>
      </c>
      <c r="AG52" s="74">
        <f t="shared" si="6"/>
        <v>4.5</v>
      </c>
      <c r="AH52" s="41" t="str">
        <f>IF($C52="","",$B52&amp;"|"&amp;(COUNTIFS($B$4:$B$1463,$B52,$AF$4:$AF$1463,"&gt;"&amp;$AF52)+COUNTIFS($B$4:$B52,$B52,$AF$4:$AF52,"="&amp;$AF52)))</f>
        <v>SUB ROSA|55</v>
      </c>
      <c r="AI52" s="41" t="str">
        <f>IF($C52="","",$B52&amp;"|"&amp;(COUNTIFS($B$4:$B$1463,$B52,$AG$4:$AG$1463,"&gt;"&amp;$AG52)+COUNTIFS($B$4:$B52,$B52,$AG$4:$AG52,"="&amp;$AG52)))</f>
        <v>SUB ROSA|15</v>
      </c>
    </row>
    <row r="53" spans="1:35" hidden="1">
      <c r="A53" s="69" t="s">
        <v>109</v>
      </c>
      <c r="B53" s="69" t="s">
        <v>115</v>
      </c>
      <c r="C53" s="63" t="s">
        <v>631</v>
      </c>
      <c r="D53" s="69"/>
      <c r="E53" s="68" t="s">
        <v>72</v>
      </c>
      <c r="F53" s="19" t="str">
        <f>IF($C53="","",IF($E53="","-",IFERROR(INDEX(SETUP!$B$55:$B$64,MATCH($E53,SETUP!$A$55:$A$64,0)),"Other")))</f>
        <v>Frontline</v>
      </c>
      <c r="G53" s="70">
        <v>61290</v>
      </c>
      <c r="H53" s="19" t="str">
        <f>IF($C53="","",IF($G53="","-",INDEX(SETUP!$B$26:$B$32,MATCH($G53,SETUP!$A$26:$A$32,1))))</f>
        <v>61,000 - 61,999</v>
      </c>
      <c r="I53" s="70">
        <v>1030</v>
      </c>
      <c r="J53" s="19" t="str">
        <f>IF($C53="","",IF($I53="","-",INDEX(SETUP!$B$16:$B$22,MATCH($I53,SETUP!$A$16:$A$22,1))))</f>
        <v>ROOKIE</v>
      </c>
      <c r="K53" s="19" t="str">
        <f>IF($C53="","",IF($I53="","-",TEXT(INT($I53/1000)*1000,"#,##0")&amp;" - "&amp;TEXT(INT($I53/1000)*1000+999,"#,##0")))</f>
        <v>1,000 - 1,999</v>
      </c>
      <c r="L53" s="71">
        <v>3.1</v>
      </c>
      <c r="M53" s="19" t="str">
        <f>IF($C53="","",IF($L53="","-",INDEX(SETUP!$B$36:$B$42,MATCH($L53,SETUP!$A$36:$A$42,1))))</f>
        <v>3k - 4k</v>
      </c>
      <c r="N53" s="21">
        <f>IF($C53="","",IF(OR($G53="",$I53=""),"",ROUND(100*(SETUP!$B$4*MIN(1,$I53/SETUP!$B$9)+SETUP!$B$5*MAX(0,MIN(1,($G53-SETUP!$B$10)/(SETUP!$B$11-SETUP!$B$10)))+SETUP!$B$6*MIN(1,IF($L53="",0,$L53)/SETUP!$B$12)),1)))</f>
        <v>26.2</v>
      </c>
      <c r="O53" s="19" t="str">
        <f>IF($C53="","",IF($N53="","-",INDEX(SETUP!$B$46:$B$51,MATCH($N53,SETUP!$A$46:$A$51,1))))</f>
        <v>C</v>
      </c>
      <c r="P53" s="19">
        <f>IF($C53="","",IF($I53="","",RANK($I53,$I$4:$I$1463)+COUNTIF($I$4:$I53,$I53)-1))</f>
        <v>1269</v>
      </c>
      <c r="Q53" s="19">
        <f>IF($C53="","",COUNTIFS($B$4:$B$1463,$B53,$X$4:$X$1463,"&gt;"&amp;$X53)+COUNTIFS($B$4:$B53,$B53,$X$4:$X53,"="&amp;$X53))</f>
        <v>61</v>
      </c>
      <c r="R53" s="75">
        <f>IF($C53="","",IF($I53="","",ROUND(COUNTIF($I$4:$I$1463,"&lt;"&amp;$I53)/COUNT($I$4:$I$1463),3)))</f>
        <v>4.2000000000000003E-2</v>
      </c>
      <c r="S53" s="19" t="str">
        <f>IF($C53="","",IF($G53="","Name only",IF(OR($I53="",$L53=""),"Partial","Complete")))</f>
        <v>Complete</v>
      </c>
      <c r="T53" s="1" t="str">
        <f>IF($C53="","",TRIM(IF(COUNTIF($C$4:$C$1463,$C53)&gt;1,"Dup name; ","")&amp;IF(AND($G53&lt;&gt;"",$G53&lt;55000),"Low CR - verify; ","")&amp;IF(AND($L53&lt;&gt;"",$L53&gt;15),"Secondary - verify; ","")&amp;IF($E53="","No class; ","")))</f>
        <v/>
      </c>
      <c r="U53" s="68"/>
      <c r="V53" s="68"/>
      <c r="W53" s="68"/>
      <c r="X53" s="76">
        <f t="shared" si="2"/>
        <v>1030</v>
      </c>
      <c r="Y53" s="1" t="str">
        <f t="shared" si="3"/>
        <v>SUB ROSA|61</v>
      </c>
      <c r="Z53" s="19">
        <f>IF($C53="","",IF($G53="","",RANK($G53,$G$4:$G$1463)+COUNTIF($G$4:$G53,$G53)-1))</f>
        <v>1065</v>
      </c>
      <c r="AA53" s="19">
        <f>IF($C53="","",IF($N53="","",RANK($N53,$N$4:$N$1463)+COUNTIF($N$4:$N53,$N53)-1))</f>
        <v>1222</v>
      </c>
      <c r="AB53" s="1" t="str">
        <f>IF($C53="","",IF($E53="","",$E53&amp;"#"&amp;(COUNTIFS($E$4:$E$1463,$E53,$X$4:$X$1463,"&gt;"&amp;$X53)+COUNTIFS($E$4:$E53,$E53,$X$4:$X53,"="&amp;$X53))))</f>
        <v>BLOOD KNIGHT#91</v>
      </c>
      <c r="AC53" s="1" t="str">
        <f>IF($C53="","",$B53&amp;"@"&amp;(COUNTIFS($B$4:$B$1463,$B53,$C$4:$C$1463,"&lt;"&amp;$C53)+COUNTIFS($B$4:$B53,$B53,$C$4:$C53,$C53)))</f>
        <v>SUB ROSA@5</v>
      </c>
      <c r="AD53" s="1">
        <f t="shared" si="4"/>
        <v>50</v>
      </c>
      <c r="AE53" s="1" t="s">
        <v>632</v>
      </c>
      <c r="AF53" s="76">
        <f t="shared" si="5"/>
        <v>61290</v>
      </c>
      <c r="AG53" s="77">
        <f t="shared" si="6"/>
        <v>3.1</v>
      </c>
      <c r="AH53" s="1" t="str">
        <f>IF($C53="","",$B53&amp;"|"&amp;(COUNTIFS($B$4:$B$1463,$B53,$AF$4:$AF$1463,"&gt;"&amp;$AF53)+COUNTIFS($B$4:$B53,$B53,$AF$4:$AF53,"="&amp;$AF53)))</f>
        <v>SUB ROSA|48</v>
      </c>
      <c r="AI53" s="1" t="str">
        <f>IF($C53="","",$B53&amp;"|"&amp;(COUNTIFS($B$4:$B$1463,$B53,$AG$4:$AG$1463,"&gt;"&amp;$AG53)+COUNTIFS($B$4:$B53,$B53,$AG$4:$AG53,"="&amp;$AG53)))</f>
        <v>SUB ROSA|53</v>
      </c>
    </row>
    <row r="54" spans="1:35" hidden="1">
      <c r="A54" s="69" t="s">
        <v>106</v>
      </c>
      <c r="B54" s="69" t="s">
        <v>107</v>
      </c>
      <c r="C54" s="63" t="s">
        <v>633</v>
      </c>
      <c r="D54" s="69"/>
      <c r="E54" s="68" t="s">
        <v>77</v>
      </c>
      <c r="F54" s="15" t="str">
        <f>IF($C54="","",IF($E54="","-",IFERROR(INDEX(SETUP!$B$55:$B$64,MATCH($E54,SETUP!$A$55:$A$64,0)),"Other")))</f>
        <v>Control</v>
      </c>
      <c r="G54" s="70">
        <v>63229</v>
      </c>
      <c r="H54" s="15" t="str">
        <f>IF($C54="","",IF($G54="","-",INDEX(SETUP!$B$26:$B$32,MATCH($G54,SETUP!$A$26:$A$32,1))))</f>
        <v>63,000 - 63,999</v>
      </c>
      <c r="I54" s="70">
        <v>7317</v>
      </c>
      <c r="J54" s="15" t="str">
        <f>IF($C54="","",IF($I54="","-",INDEX(SETUP!$B$16:$B$22,MATCH($I54,SETUP!$A$16:$A$22,1))))</f>
        <v>VETERAN</v>
      </c>
      <c r="K54" s="15" t="str">
        <f>IF($C54="","",IF($I54="","-",TEXT(INT($I54/1000)*1000,"#,##0")&amp;" - "&amp;TEXT(INT($I54/1000)*1000+999,"#,##0")))</f>
        <v>7,000 - 7,999</v>
      </c>
      <c r="L54" s="71">
        <v>6.5</v>
      </c>
      <c r="M54" s="15" t="str">
        <f>IF($C54="","",IF($L54="","-",INDEX(SETUP!$B$36:$B$42,MATCH($L54,SETUP!$A$36:$A$42,1))))</f>
        <v>6k - 8k</v>
      </c>
      <c r="N54" s="17">
        <f>IF($C54="","",IF(OR($G54="",$I54=""),"",ROUND(100*(SETUP!$B$4*MIN(1,$I54/SETUP!$B$9)+SETUP!$B$5*MAX(0,MIN(1,($G54-SETUP!$B$10)/(SETUP!$B$11-SETUP!$B$10)))+SETUP!$B$6*MIN(1,IF($L54="",0,$L54)/SETUP!$B$12)),1)))</f>
        <v>64.400000000000006</v>
      </c>
      <c r="O54" s="15" t="str">
        <f>IF($C54="","",IF($N54="","-",INDEX(SETUP!$B$46:$B$51,MATCH($N54,SETUP!$A$46:$A$51,1))))</f>
        <v>A</v>
      </c>
      <c r="P54" s="15">
        <f>IF($C54="","",IF($I54="","",RANK($I54,$I$4:$I$1463)+COUNTIF($I$4:$I54,$I54)-1))</f>
        <v>192</v>
      </c>
      <c r="Q54" s="15">
        <f>IF($C54="","",COUNTIFS($B$4:$B$1463,$B54,$X$4:$X$1463,"&gt;"&amp;$X54)+COUNTIFS($B$4:$B54,$B54,$X$4:$X54,"="&amp;$X54))</f>
        <v>10</v>
      </c>
      <c r="R54" s="72">
        <f>IF($C54="","",IF($I54="","",ROUND(COUNTIF($I$4:$I$1463,"&lt;"&amp;$I54)/COUNT($I$4:$I$1463),3)))</f>
        <v>0.85499999999999998</v>
      </c>
      <c r="S54" s="15" t="str">
        <f>IF($C54="","",IF($G54="","Name only",IF(OR($I54="",$L54=""),"Partial","Complete")))</f>
        <v>Complete</v>
      </c>
      <c r="T54" s="41" t="str">
        <f>IF($C54="","",TRIM(IF(COUNTIF($C$4:$C$1463,$C54)&gt;1,"Dup name; ","")&amp;IF(AND($G54&lt;&gt;"",$G54&lt;55000),"Low CR - verify; ","")&amp;IF(AND($L54&lt;&gt;"",$L54&gt;15),"Secondary - verify; ","")&amp;IF($E54="","No class; ","")))</f>
        <v/>
      </c>
      <c r="U54" s="68"/>
      <c r="V54" s="68"/>
      <c r="W54" s="68"/>
      <c r="X54" s="73">
        <f t="shared" si="2"/>
        <v>7317</v>
      </c>
      <c r="Y54" s="41" t="str">
        <f t="shared" si="3"/>
        <v>UNDYING|10</v>
      </c>
      <c r="Z54" s="15">
        <f>IF($C54="","",IF($G54="","",RANK($G54,$G$4:$G$1463)+COUNTIF($G$4:$G54,$G54)-1))</f>
        <v>301</v>
      </c>
      <c r="AA54" s="15">
        <f>IF($C54="","",IF($N54="","",RANK($N54,$N$4:$N$1463)+COUNTIF($N$4:$N54,$N54)-1))</f>
        <v>182</v>
      </c>
      <c r="AB54" s="41" t="str">
        <f>IF($C54="","",IF($E54="","",$E54&amp;"#"&amp;(COUNTIFS($E$4:$E$1463,$E54,$X$4:$X$1463,"&gt;"&amp;$X54)+COUNTIFS($E$4:$E54,$E54,$X$4:$X54,"="&amp;$X54))))</f>
        <v>NECROMANCER#5</v>
      </c>
      <c r="AC54" s="41" t="str">
        <f>IF($C54="","",$B54&amp;"@"&amp;(COUNTIFS($B$4:$B$1463,$B54,$C$4:$C$1463,"&lt;"&amp;$C54)+COUNTIFS($B$4:$B54,$B54,$C$4:$C54,$C54)))</f>
        <v>UNDYING@5</v>
      </c>
      <c r="AD54" s="41">
        <f t="shared" si="4"/>
        <v>51</v>
      </c>
      <c r="AE54" s="41" t="s">
        <v>634</v>
      </c>
      <c r="AF54" s="73">
        <f t="shared" si="5"/>
        <v>63229</v>
      </c>
      <c r="AG54" s="74">
        <f t="shared" si="6"/>
        <v>6.5</v>
      </c>
      <c r="AH54" s="41" t="str">
        <f>IF($C54="","",$B54&amp;"|"&amp;(COUNTIFS($B$4:$B$1463,$B54,$AF$4:$AF$1463,"&gt;"&amp;$AF54)+COUNTIFS($B$4:$B54,$B54,$AF$4:$AF54,"="&amp;$AF54)))</f>
        <v>UNDYING|31</v>
      </c>
      <c r="AI54" s="41" t="str">
        <f>IF($C54="","",$B54&amp;"|"&amp;(COUNTIFS($B$4:$B$1463,$B54,$AG$4:$AG$1463,"&gt;"&amp;$AG54)+COUNTIFS($B$4:$B54,$B54,$AG$4:$AG54,"="&amp;$AG54)))</f>
        <v>UNDYING|12</v>
      </c>
    </row>
    <row r="55" spans="1:35" hidden="1">
      <c r="A55" s="69" t="s">
        <v>109</v>
      </c>
      <c r="B55" s="69" t="s">
        <v>115</v>
      </c>
      <c r="C55" s="63" t="s">
        <v>635</v>
      </c>
      <c r="D55" s="69"/>
      <c r="E55" s="68" t="s">
        <v>79</v>
      </c>
      <c r="F55" s="19" t="str">
        <f>IF($C55="","",IF($E55="","-",IFERROR(INDEX(SETUP!$B$55:$B$64,MATCH($E55,SETUP!$A$55:$A$64,0)),"Other")))</f>
        <v>Control</v>
      </c>
      <c r="G55" s="70">
        <v>58237</v>
      </c>
      <c r="H55" s="19" t="str">
        <f>IF($C55="","",IF($G55="","-",INDEX(SETUP!$B$26:$B$32,MATCH($G55,SETUP!$A$26:$A$32,1))))</f>
        <v>58,000 - 59,999</v>
      </c>
      <c r="I55" s="70">
        <v>465</v>
      </c>
      <c r="J55" s="19" t="str">
        <f>IF($C55="","",IF($I55="","-",INDEX(SETUP!$B$16:$B$22,MATCH($I55,SETUP!$A$16:$A$22,1))))</f>
        <v>ROOKIE</v>
      </c>
      <c r="K55" s="19" t="str">
        <f>IF($C55="","",IF($I55="","-",TEXT(INT($I55/1000)*1000,"#,##0")&amp;" - "&amp;TEXT(INT($I55/1000)*1000+999,"#,##0")))</f>
        <v>0 - 999</v>
      </c>
      <c r="L55" s="71">
        <v>1.8</v>
      </c>
      <c r="M55" s="19" t="str">
        <f>IF($C55="","",IF($L55="","-",INDEX(SETUP!$B$36:$B$42,MATCH($L55,SETUP!$A$36:$A$42,1))))</f>
        <v>Under 3k</v>
      </c>
      <c r="N55" s="21">
        <f>IF($C55="","",IF(OR($G55="",$I55=""),"",ROUND(100*(SETUP!$B$4*MIN(1,$I55/SETUP!$B$9)+SETUP!$B$5*MAX(0,MIN(1,($G55-SETUP!$B$10)/(SETUP!$B$11-SETUP!$B$10)))+SETUP!$B$6*MIN(1,IF($L55="",0,$L55)/SETUP!$B$12)),1)))</f>
        <v>13.5</v>
      </c>
      <c r="O55" s="19" t="str">
        <f>IF($C55="","",IF($N55="","-",INDEX(SETUP!$B$46:$B$51,MATCH($N55,SETUP!$A$46:$A$51,1))))</f>
        <v>D</v>
      </c>
      <c r="P55" s="19">
        <f>IF($C55="","",IF($I55="","",RANK($I55,$I$4:$I$1463)+COUNTIF($I$4:$I55,$I55)-1))</f>
        <v>1319</v>
      </c>
      <c r="Q55" s="19">
        <f>IF($C55="","",COUNTIFS($B$4:$B$1463,$B55,$X$4:$X$1463,"&gt;"&amp;$X55)+COUNTIFS($B$4:$B55,$B55,$X$4:$X55,"="&amp;$X55))</f>
        <v>67</v>
      </c>
      <c r="R55" s="75">
        <f>IF($C55="","",IF($I55="","",ROUND(COUNTIF($I$4:$I$1463,"&lt;"&amp;$I55)/COUNT($I$4:$I$1463),3)))</f>
        <v>5.0000000000000001E-3</v>
      </c>
      <c r="S55" s="19" t="str">
        <f>IF($C55="","",IF($G55="","Name only",IF(OR($I55="",$L55=""),"Partial","Complete")))</f>
        <v>Complete</v>
      </c>
      <c r="T55" s="1" t="str">
        <f>IF($C55="","",TRIM(IF(COUNTIF($C$4:$C$1463,$C55)&gt;1,"Dup name; ","")&amp;IF(AND($G55&lt;&gt;"",$G55&lt;55000),"Low CR - verify; ","")&amp;IF(AND($L55&lt;&gt;"",$L55&gt;15),"Secondary - verify; ","")&amp;IF($E55="","No class; ","")))</f>
        <v/>
      </c>
      <c r="U55" s="68"/>
      <c r="V55" s="68"/>
      <c r="W55" s="68"/>
      <c r="X55" s="76">
        <f t="shared" si="2"/>
        <v>465</v>
      </c>
      <c r="Y55" s="1" t="str">
        <f t="shared" si="3"/>
        <v>SUB ROSA|67</v>
      </c>
      <c r="Z55" s="19">
        <f>IF($C55="","",IF($G55="","",RANK($G55,$G$4:$G$1463)+COUNTIF($G$4:$G55,$G55)-1))</f>
        <v>1294</v>
      </c>
      <c r="AA55" s="19">
        <f>IF($C55="","",IF($N55="","",RANK($N55,$N$4:$N$1463)+COUNTIF($N$4:$N55,$N55)-1))</f>
        <v>1313</v>
      </c>
      <c r="AB55" s="1" t="str">
        <f>IF($C55="","",IF($E55="","",$E55&amp;"#"&amp;(COUNTIFS($E$4:$E$1463,$E55,$X$4:$X$1463,"&gt;"&amp;$X55)+COUNTIFS($E$4:$E55,$E55,$X$4:$X55,"="&amp;$X55))))</f>
        <v>WARLOCK#323</v>
      </c>
      <c r="AC55" s="1" t="str">
        <f>IF($C55="","",$B55&amp;"@"&amp;(COUNTIFS($B$4:$B$1463,$B55,$C$4:$C$1463,"&lt;"&amp;$C55)+COUNTIFS($B$4:$B55,$B55,$C$4:$C55,$C55)))</f>
        <v>SUB ROSA@6</v>
      </c>
      <c r="AD55" s="1">
        <f t="shared" si="4"/>
        <v>52</v>
      </c>
      <c r="AE55" s="1" t="s">
        <v>636</v>
      </c>
      <c r="AF55" s="76">
        <f t="shared" si="5"/>
        <v>58237</v>
      </c>
      <c r="AG55" s="77">
        <f t="shared" si="6"/>
        <v>1.8</v>
      </c>
      <c r="AH55" s="1" t="str">
        <f>IF($C55="","",$B55&amp;"|"&amp;(COUNTIFS($B$4:$B$1463,$B55,$AF$4:$AF$1463,"&gt;"&amp;$AF55)+COUNTIFS($B$4:$B55,$B55,$AF$4:$AF55,"="&amp;$AF55)))</f>
        <v>SUB ROSA|65</v>
      </c>
      <c r="AI55" s="1" t="str">
        <f>IF($C55="","",$B55&amp;"|"&amp;(COUNTIFS($B$4:$B$1463,$B55,$AG$4:$AG$1463,"&gt;"&amp;$AG55)+COUNTIFS($B$4:$B55,$B55,$AG$4:$AG55,"="&amp;$AG55)))</f>
        <v>SUB ROSA|68</v>
      </c>
    </row>
    <row r="56" spans="1:35" hidden="1">
      <c r="A56" s="69" t="s">
        <v>109</v>
      </c>
      <c r="B56" s="69" t="s">
        <v>111</v>
      </c>
      <c r="C56" s="63" t="s">
        <v>637</v>
      </c>
      <c r="D56" s="69" t="s">
        <v>527</v>
      </c>
      <c r="E56" s="68" t="s">
        <v>74</v>
      </c>
      <c r="F56" s="15" t="str">
        <f>IF($C56="","",IF($E56="","-",IFERROR(INDEX(SETUP!$B$55:$B$64,MATCH($E56,SETUP!$A$55:$A$64,0)),"Other")))</f>
        <v>Ranged DPS</v>
      </c>
      <c r="G56" s="70">
        <v>64325</v>
      </c>
      <c r="H56" s="15" t="str">
        <f>IF($C56="","",IF($G56="","-",INDEX(SETUP!$B$26:$B$32,MATCH($G56,SETUP!$A$26:$A$32,1))))</f>
        <v>64,000 +</v>
      </c>
      <c r="I56" s="70">
        <v>10252</v>
      </c>
      <c r="J56" s="15" t="str">
        <f>IF($C56="","",IF($I56="","-",INDEX(SETUP!$B$16:$B$22,MATCH($I56,SETUP!$A$16:$A$22,1))))</f>
        <v>APEX</v>
      </c>
      <c r="K56" s="15" t="str">
        <f>IF($C56="","",IF($I56="","-",TEXT(INT($I56/1000)*1000,"#,##0")&amp;" - "&amp;TEXT(INT($I56/1000)*1000+999,"#,##0")))</f>
        <v>10,000 - 10,999</v>
      </c>
      <c r="L56" s="71">
        <v>8.1</v>
      </c>
      <c r="M56" s="15" t="str">
        <f>IF($C56="","",IF($L56="","-",INDEX(SETUP!$B$36:$B$42,MATCH($L56,SETUP!$A$36:$A$42,1))))</f>
        <v>8k - 10k</v>
      </c>
      <c r="N56" s="17">
        <f>IF($C56="","",IF(OR($G56="",$I56=""),"",ROUND(100*(SETUP!$B$4*MIN(1,$I56/SETUP!$B$9)+SETUP!$B$5*MAX(0,MIN(1,($G56-SETUP!$B$10)/(SETUP!$B$11-SETUP!$B$10)))+SETUP!$B$6*MIN(1,IF($L56="",0,$L56)/SETUP!$B$12)),1)))</f>
        <v>82.8</v>
      </c>
      <c r="O56" s="15" t="str">
        <f>IF($C56="","",IF($N56="","-",INDEX(SETUP!$B$46:$B$51,MATCH($N56,SETUP!$A$46:$A$51,1))))</f>
        <v>S+</v>
      </c>
      <c r="P56" s="15">
        <f>IF($C56="","",IF($I56="","",RANK($I56,$I$4:$I$1463)+COUNTIF($I$4:$I56,$I56)-1))</f>
        <v>37</v>
      </c>
      <c r="Q56" s="15">
        <f>IF($C56="","",COUNTIFS($B$4:$B$1463,$B56,$X$4:$X$1463,"&gt;"&amp;$X56)+COUNTIFS($B$4:$B56,$B56,$X$4:$X56,"="&amp;$X56))</f>
        <v>8</v>
      </c>
      <c r="R56" s="72">
        <f>IF($C56="","",IF($I56="","",ROUND(COUNTIF($I$4:$I$1463,"&lt;"&amp;$I56)/COUNT($I$4:$I$1463),3)))</f>
        <v>0.97199999999999998</v>
      </c>
      <c r="S56" s="15" t="str">
        <f>IF($C56="","",IF($G56="","Name only",IF(OR($I56="",$L56=""),"Partial","Complete")))</f>
        <v>Complete</v>
      </c>
      <c r="T56" s="41" t="str">
        <f>IF($C56="","",TRIM(IF(COUNTIF($C$4:$C$1463,$C56)&gt;1,"Dup name; ","")&amp;IF(AND($G56&lt;&gt;"",$G56&lt;55000),"Low CR - verify; ","")&amp;IF(AND($L56&lt;&gt;"",$L56&gt;15),"Secondary - verify; ","")&amp;IF($E56="","No class; ","")))</f>
        <v/>
      </c>
      <c r="U56" s="68"/>
      <c r="V56" s="68"/>
      <c r="W56" s="68"/>
      <c r="X56" s="73">
        <f t="shared" si="2"/>
        <v>10252</v>
      </c>
      <c r="Y56" s="41" t="str">
        <f t="shared" si="3"/>
        <v>RECKONING|8</v>
      </c>
      <c r="Z56" s="15">
        <f>IF($C56="","",IF($G56="","",RANK($G56,$G$4:$G$1463)+COUNTIF($G$4:$G56,$G56)-1))</f>
        <v>21</v>
      </c>
      <c r="AA56" s="15">
        <f>IF($C56="","",IF($N56="","",RANK($N56,$N$4:$N$1463)+COUNTIF($N$4:$N56,$N56)-1))</f>
        <v>33</v>
      </c>
      <c r="AB56" s="41" t="str">
        <f>IF($C56="","",IF($E56="","",$E56&amp;"#"&amp;(COUNTIFS($E$4:$E$1463,$E56,$X$4:$X$1463,"&gt;"&amp;$X56)+COUNTIFS($E$4:$E56,$E56,$X$4:$X56,"="&amp;$X56))))</f>
        <v>DEMON HUNTER#7</v>
      </c>
      <c r="AC56" s="41" t="str">
        <f>IF($C56="","",$B56&amp;"@"&amp;(COUNTIFS($B$4:$B$1463,$B56,$C$4:$C$1463,"&lt;"&amp;$C56)+COUNTIFS($B$4:$B56,$B56,$C$4:$C56,$C56)))</f>
        <v>RECKONING@5</v>
      </c>
      <c r="AD56" s="41">
        <f t="shared" si="4"/>
        <v>53</v>
      </c>
      <c r="AE56" s="41" t="s">
        <v>638</v>
      </c>
      <c r="AF56" s="73">
        <f t="shared" si="5"/>
        <v>64325</v>
      </c>
      <c r="AG56" s="74">
        <f t="shared" si="6"/>
        <v>8.1</v>
      </c>
      <c r="AH56" s="41" t="str">
        <f>IF($C56="","",$B56&amp;"|"&amp;(COUNTIFS($B$4:$B$1463,$B56,$AF$4:$AF$1463,"&gt;"&amp;$AF56)+COUNTIFS($B$4:$B56,$B56,$AF$4:$AF56,"="&amp;$AF56)))</f>
        <v>RECKONING|2</v>
      </c>
      <c r="AI56" s="41" t="str">
        <f>IF($C56="","",$B56&amp;"|"&amp;(COUNTIFS($B$4:$B$1463,$B56,$AG$4:$AG$1463,"&gt;"&amp;$AG56)+COUNTIFS($B$4:$B56,$B56,$AG$4:$AG56,"="&amp;$AG56)))</f>
        <v>RECKONING|11</v>
      </c>
    </row>
    <row r="57" spans="1:35" hidden="1">
      <c r="A57" s="69" t="s">
        <v>109</v>
      </c>
      <c r="B57" s="69" t="s">
        <v>113</v>
      </c>
      <c r="C57" s="63" t="s">
        <v>639</v>
      </c>
      <c r="D57" s="69" t="s">
        <v>548</v>
      </c>
      <c r="E57" s="68" t="s">
        <v>71</v>
      </c>
      <c r="F57" s="19" t="str">
        <f>IF($C57="","",IF($E57="","-",IFERROR(INDEX(SETUP!$B$55:$B$64,MATCH($E57,SETUP!$A$55:$A$64,0)),"Other")))</f>
        <v>Frontline</v>
      </c>
      <c r="G57" s="70">
        <v>60750</v>
      </c>
      <c r="H57" s="19" t="str">
        <f>IF($C57="","",IF($G57="","-",INDEX(SETUP!$B$26:$B$32,MATCH($G57,SETUP!$A$26:$A$32,1))))</f>
        <v>60,000 - 60,999</v>
      </c>
      <c r="I57" s="70">
        <v>3586</v>
      </c>
      <c r="J57" s="19" t="str">
        <f>IF($C57="","",IF($I57="","-",INDEX(SETUP!$B$16:$B$22,MATCH($I57,SETUP!$A$16:$A$22,1))))</f>
        <v>DEVELOPING</v>
      </c>
      <c r="K57" s="19" t="str">
        <f>IF($C57="","",IF($I57="","-",TEXT(INT($I57/1000)*1000,"#,##0")&amp;" - "&amp;TEXT(INT($I57/1000)*1000+999,"#,##0")))</f>
        <v>3,000 - 3,999</v>
      </c>
      <c r="L57" s="71">
        <v>3.75</v>
      </c>
      <c r="M57" s="19" t="str">
        <f>IF($C57="","",IF($L57="","-",INDEX(SETUP!$B$36:$B$42,MATCH($L57,SETUP!$A$36:$A$42,1))))</f>
        <v>3k - 4k</v>
      </c>
      <c r="N57" s="21">
        <f>IF($C57="","",IF(OR($G57="",$I57=""),"",ROUND(100*(SETUP!$B$4*MIN(1,$I57/SETUP!$B$9)+SETUP!$B$5*MAX(0,MIN(1,($G57-SETUP!$B$10)/(SETUP!$B$11-SETUP!$B$10)))+SETUP!$B$6*MIN(1,IF($L57="",0,$L57)/SETUP!$B$12)),1)))</f>
        <v>37</v>
      </c>
      <c r="O57" s="19" t="str">
        <f>IF($C57="","",IF($N57="","-",INDEX(SETUP!$B$46:$B$51,MATCH($N57,SETUP!$A$46:$A$51,1))))</f>
        <v>B</v>
      </c>
      <c r="P57" s="19">
        <f>IF($C57="","",IF($I57="","",RANK($I57,$I$4:$I$1463)+COUNTIF($I$4:$I57,$I57)-1))</f>
        <v>705</v>
      </c>
      <c r="Q57" s="19">
        <f>IF($C57="","",COUNTIFS($B$4:$B$1463,$B57,$X$4:$X$1463,"&gt;"&amp;$X57)+COUNTIFS($B$4:$B57,$B57,$X$4:$X57,"="&amp;$X57))</f>
        <v>33</v>
      </c>
      <c r="R57" s="75">
        <f>IF($C57="","",IF($I57="","",ROUND(COUNTIF($I$4:$I$1463,"&lt;"&amp;$I57)/COUNT($I$4:$I$1463),3)))</f>
        <v>0.46700000000000003</v>
      </c>
      <c r="S57" s="19" t="str">
        <f>IF($C57="","",IF($G57="","Name only",IF(OR($I57="",$L57=""),"Partial","Complete")))</f>
        <v>Complete</v>
      </c>
      <c r="T57" s="1" t="str">
        <f>IF($C57="","",TRIM(IF(COUNTIF($C$4:$C$1463,$C57)&gt;1,"Dup name; ","")&amp;IF(AND($G57&lt;&gt;"",$G57&lt;55000),"Low CR - verify; ","")&amp;IF(AND($L57&lt;&gt;"",$L57&gt;15),"Secondary - verify; ","")&amp;IF($E57="","No class; ","")))</f>
        <v/>
      </c>
      <c r="U57" s="68"/>
      <c r="V57" s="68"/>
      <c r="W57" s="68"/>
      <c r="X57" s="76">
        <f t="shared" si="2"/>
        <v>3586</v>
      </c>
      <c r="Y57" s="1" t="str">
        <f t="shared" si="3"/>
        <v>INVICTUS|33</v>
      </c>
      <c r="Z57" s="19">
        <f>IF($C57="","",IF($G57="","",RANK($G57,$G$4:$G$1463)+COUNTIF($G$4:$G57,$G57)-1))</f>
        <v>1179</v>
      </c>
      <c r="AA57" s="19">
        <f>IF($C57="","",IF($N57="","",RANK($N57,$N$4:$N$1463)+COUNTIF($N$4:$N57,$N57)-1))</f>
        <v>929</v>
      </c>
      <c r="AB57" s="1" t="str">
        <f>IF($C57="","",IF($E57="","",$E57&amp;"#"&amp;(COUNTIFS($E$4:$E$1463,$E57,$X$4:$X$1463,"&gt;"&amp;$X57)+COUNTIFS($E$4:$E57,$E57,$X$4:$X57,"="&amp;$X57))))</f>
        <v>BARBARIAN#124</v>
      </c>
      <c r="AC57" s="1" t="str">
        <f>IF($C57="","",$B57&amp;"@"&amp;(COUNTIFS($B$4:$B$1463,$B57,$C$4:$C$1463,"&lt;"&amp;$C57)+COUNTIFS($B$4:$B57,$B57,$C$4:$C57,$C57)))</f>
        <v>INVICTUS@4</v>
      </c>
      <c r="AD57" s="1">
        <f t="shared" si="4"/>
        <v>54</v>
      </c>
      <c r="AE57" s="1" t="s">
        <v>640</v>
      </c>
      <c r="AF57" s="76">
        <f t="shared" si="5"/>
        <v>60750</v>
      </c>
      <c r="AG57" s="77">
        <f t="shared" si="6"/>
        <v>3.75</v>
      </c>
      <c r="AH57" s="1" t="str">
        <f>IF($C57="","",$B57&amp;"|"&amp;(COUNTIFS($B$4:$B$1463,$B57,$AF$4:$AF$1463,"&gt;"&amp;$AF57)+COUNTIFS($B$4:$B57,$B57,$AF$4:$AF57,"="&amp;$AF57)))</f>
        <v>INVICTUS|89</v>
      </c>
      <c r="AI57" s="1" t="str">
        <f>IF($C57="","",$B57&amp;"|"&amp;(COUNTIFS($B$4:$B$1463,$B57,$AG$4:$AG$1463,"&gt;"&amp;$AG57)+COUNTIFS($B$4:$B57,$B57,$AG$4:$AG57,"="&amp;$AG57)))</f>
        <v>INVICTUS|64</v>
      </c>
    </row>
    <row r="58" spans="1:35" hidden="1">
      <c r="A58" s="69" t="s">
        <v>109</v>
      </c>
      <c r="B58" s="69" t="s">
        <v>118</v>
      </c>
      <c r="C58" s="63" t="s">
        <v>641</v>
      </c>
      <c r="D58" s="69"/>
      <c r="E58" s="68" t="s">
        <v>73</v>
      </c>
      <c r="F58" s="15" t="str">
        <f>IF($C58="","",IF($E58="","-",IFERROR(INDEX(SETUP!$B$55:$B$64,MATCH($E58,SETUP!$A$55:$A$64,0)),"Other")))</f>
        <v>Frontline</v>
      </c>
      <c r="G58" s="70">
        <v>59650</v>
      </c>
      <c r="H58" s="15" t="str">
        <f>IF($C58="","",IF($G58="","-",INDEX(SETUP!$B$26:$B$32,MATCH($G58,SETUP!$A$26:$A$32,1))))</f>
        <v>58,000 - 59,999</v>
      </c>
      <c r="I58" s="70">
        <v>1630</v>
      </c>
      <c r="J58" s="15" t="str">
        <f>IF($C58="","",IF($I58="","-",INDEX(SETUP!$B$16:$B$22,MATCH($I58,SETUP!$A$16:$A$22,1))))</f>
        <v>ROOKIE</v>
      </c>
      <c r="K58" s="15" t="str">
        <f>IF($C58="","",IF($I58="","-",TEXT(INT($I58/1000)*1000,"#,##0")&amp;" - "&amp;TEXT(INT($I58/1000)*1000+999,"#,##0")))</f>
        <v>1,000 - 1,999</v>
      </c>
      <c r="L58" s="71">
        <v>3.4</v>
      </c>
      <c r="M58" s="15" t="str">
        <f>IF($C58="","",IF($L58="","-",INDEX(SETUP!$B$36:$B$42,MATCH($L58,SETUP!$A$36:$A$42,1))))</f>
        <v>3k - 4k</v>
      </c>
      <c r="N58" s="17">
        <f>IF($C58="","",IF(OR($G58="",$I58=""),"",ROUND(100*(SETUP!$B$4*MIN(1,$I58/SETUP!$B$9)+SETUP!$B$5*MAX(0,MIN(1,($G58-SETUP!$B$10)/(SETUP!$B$11-SETUP!$B$10)))+SETUP!$B$6*MIN(1,IF($L58="",0,$L58)/SETUP!$B$12)),1)))</f>
        <v>25</v>
      </c>
      <c r="O58" s="15" t="str">
        <f>IF($C58="","",IF($N58="","-",INDEX(SETUP!$B$46:$B$51,MATCH($N58,SETUP!$A$46:$A$51,1))))</f>
        <v>C</v>
      </c>
      <c r="P58" s="15">
        <f>IF($C58="","",IF($I58="","",RANK($I58,$I$4:$I$1463)+COUNTIF($I$4:$I58,$I58)-1))</f>
        <v>1172</v>
      </c>
      <c r="Q58" s="15">
        <f>IF($C58="","",COUNTIFS($B$4:$B$1463,$B58,$X$4:$X$1463,"&gt;"&amp;$X58)+COUNTIFS($B$4:$B58,$B58,$X$4:$X58,"="&amp;$X58))</f>
        <v>53</v>
      </c>
      <c r="R58" s="72">
        <f>IF($C58="","",IF($I58="","",ROUND(COUNTIF($I$4:$I$1463,"&lt;"&amp;$I58)/COUNT($I$4:$I$1463),3)))</f>
        <v>0.115</v>
      </c>
      <c r="S58" s="15" t="str">
        <f>IF($C58="","",IF($G58="","Name only",IF(OR($I58="",$L58=""),"Partial","Complete")))</f>
        <v>Complete</v>
      </c>
      <c r="T58" s="41" t="str">
        <f>IF($C58="","",TRIM(IF(COUNTIF($C$4:$C$1463,$C58)&gt;1,"Dup name; ","")&amp;IF(AND($G58&lt;&gt;"",$G58&lt;55000),"Low CR - verify; ","")&amp;IF(AND($L58&lt;&gt;"",$L58&gt;15),"Secondary - verify; ","")&amp;IF($E58="","No class; ","")))</f>
        <v/>
      </c>
      <c r="U58" s="68"/>
      <c r="V58" s="68"/>
      <c r="W58" s="68"/>
      <c r="X58" s="73">
        <f t="shared" si="2"/>
        <v>1630</v>
      </c>
      <c r="Y58" s="41" t="str">
        <f t="shared" si="3"/>
        <v>ZOMBIES|53</v>
      </c>
      <c r="Z58" s="15">
        <f>IF($C58="","",IF($G58="","",RANK($G58,$G$4:$G$1463)+COUNTIF($G$4:$G58,$G58)-1))</f>
        <v>1257</v>
      </c>
      <c r="AA58" s="15">
        <f>IF($C58="","",IF($N58="","",RANK($N58,$N$4:$N$1463)+COUNTIF($N$4:$N58,$N58)-1))</f>
        <v>1244</v>
      </c>
      <c r="AB58" s="41" t="str">
        <f>IF($C58="","",IF($E58="","",$E58&amp;"#"&amp;(COUNTIFS($E$4:$E$1463,$E58,$X$4:$X$1463,"&gt;"&amp;$X58)+COUNTIFS($E$4:$E58,$E58,$X$4:$X58,"="&amp;$X58))))</f>
        <v>CRUSADER#114</v>
      </c>
      <c r="AC58" s="41" t="str">
        <f>IF($C58="","",$B58&amp;"@"&amp;(COUNTIFS($B$4:$B$1463,$B58,$C$4:$C$1463,"&lt;"&amp;$C58)+COUNTIFS($B$4:$B58,$B58,$C$4:$C58,$C58)))</f>
        <v>ZOMBIES@6</v>
      </c>
      <c r="AD58" s="41">
        <f t="shared" si="4"/>
        <v>55</v>
      </c>
      <c r="AE58" s="41" t="s">
        <v>642</v>
      </c>
      <c r="AF58" s="73">
        <f t="shared" si="5"/>
        <v>59650</v>
      </c>
      <c r="AG58" s="74">
        <f t="shared" si="6"/>
        <v>3.4</v>
      </c>
      <c r="AH58" s="41" t="str">
        <f>IF($C58="","",$B58&amp;"|"&amp;(COUNTIFS($B$4:$B$1463,$B58,$AF$4:$AF$1463,"&gt;"&amp;$AF58)+COUNTIFS($B$4:$B58,$B58,$AF$4:$AF58,"="&amp;$AF58)))</f>
        <v>ZOMBIES|84</v>
      </c>
      <c r="AI58" s="41" t="str">
        <f>IF($C58="","",$B58&amp;"|"&amp;(COUNTIFS($B$4:$B$1463,$B58,$AG$4:$AG$1463,"&gt;"&amp;$AG58)+COUNTIFS($B$4:$B58,$B58,$AG$4:$AG58,"="&amp;$AG58)))</f>
        <v>ZOMBIES|51</v>
      </c>
    </row>
    <row r="59" spans="1:35" hidden="1">
      <c r="A59" s="69" t="s">
        <v>106</v>
      </c>
      <c r="B59" s="69" t="s">
        <v>86</v>
      </c>
      <c r="C59" s="63" t="s">
        <v>643</v>
      </c>
      <c r="D59" s="69"/>
      <c r="E59" s="68" t="s">
        <v>73</v>
      </c>
      <c r="F59" s="19" t="str">
        <f>IF($C59="","",IF($E59="","-",IFERROR(INDEX(SETUP!$B$55:$B$64,MATCH($E59,SETUP!$A$55:$A$64,0)),"Other")))</f>
        <v>Frontline</v>
      </c>
      <c r="G59" s="70">
        <v>64199</v>
      </c>
      <c r="H59" s="19" t="str">
        <f>IF($C59="","",IF($G59="","-",INDEX(SETUP!$B$26:$B$32,MATCH($G59,SETUP!$A$26:$A$32,1))))</f>
        <v>64,000 +</v>
      </c>
      <c r="I59" s="70">
        <v>9870</v>
      </c>
      <c r="J59" s="19" t="str">
        <f>IF($C59="","",IF($I59="","-",INDEX(SETUP!$B$16:$B$22,MATCH($I59,SETUP!$A$16:$A$22,1))))</f>
        <v>ELITE</v>
      </c>
      <c r="K59" s="19" t="str">
        <f>IF($C59="","",IF($I59="","-",TEXT(INT($I59/1000)*1000,"#,##0")&amp;" - "&amp;TEXT(INT($I59/1000)*1000+999,"#,##0")))</f>
        <v>9,000 - 9,999</v>
      </c>
      <c r="L59" s="71">
        <v>6.14</v>
      </c>
      <c r="M59" s="19" t="str">
        <f>IF($C59="","",IF($L59="","-",INDEX(SETUP!$B$36:$B$42,MATCH($L59,SETUP!$A$36:$A$42,1))))</f>
        <v>6k - 8k</v>
      </c>
      <c r="N59" s="21">
        <f>IF($C59="","",IF(OR($G59="",$I59=""),"",ROUND(100*(SETUP!$B$4*MIN(1,$I59/SETUP!$B$9)+SETUP!$B$5*MAX(0,MIN(1,($G59-SETUP!$B$10)/(SETUP!$B$11-SETUP!$B$10)))+SETUP!$B$6*MIN(1,IF($L59="",0,$L59)/SETUP!$B$12)),1)))</f>
        <v>77.5</v>
      </c>
      <c r="O59" s="19" t="str">
        <f>IF($C59="","",IF($N59="","-",INDEX(SETUP!$B$46:$B$51,MATCH($N59,SETUP!$A$46:$A$51,1))))</f>
        <v>S</v>
      </c>
      <c r="P59" s="19">
        <f>IF($C59="","",IF($I59="","",RANK($I59,$I$4:$I$1463)+COUNTIF($I$4:$I59,$I59)-1))</f>
        <v>60</v>
      </c>
      <c r="Q59" s="19">
        <f>IF($C59="","",COUNTIFS($B$4:$B$1463,$B59,$X$4:$X$1463,"&gt;"&amp;$X59)+COUNTIFS($B$4:$B59,$B59,$X$4:$X59,"="&amp;$X59))</f>
        <v>13</v>
      </c>
      <c r="R59" s="75">
        <f>IF($C59="","",IF($I59="","",ROUND(COUNTIF($I$4:$I$1463,"&lt;"&amp;$I59)/COUNT($I$4:$I$1463),3)))</f>
        <v>0.95499999999999996</v>
      </c>
      <c r="S59" s="19" t="str">
        <f>IF($C59="","",IF($G59="","Name only",IF(OR($I59="",$L59=""),"Partial","Complete")))</f>
        <v>Complete</v>
      </c>
      <c r="T59" s="1" t="str">
        <f>IF($C59="","",TRIM(IF(COUNTIF($C$4:$C$1463,$C59)&gt;1,"Dup name; ","")&amp;IF(AND($G59&lt;&gt;"",$G59&lt;55000),"Low CR - verify; ","")&amp;IF(AND($L59&lt;&gt;"",$L59&gt;15),"Secondary - verify; ","")&amp;IF($E59="","No class; ","")))</f>
        <v/>
      </c>
      <c r="U59" s="68"/>
      <c r="V59" s="68"/>
      <c r="W59" s="68"/>
      <c r="X59" s="76">
        <f t="shared" si="2"/>
        <v>9870</v>
      </c>
      <c r="Y59" s="1" t="str">
        <f t="shared" si="3"/>
        <v>VANGUARD|13</v>
      </c>
      <c r="Z59" s="19">
        <f>IF($C59="","",IF($G59="","",RANK($G59,$G$4:$G$1463)+COUNTIF($G$4:$G59,$G59)-1))</f>
        <v>43</v>
      </c>
      <c r="AA59" s="19">
        <f>IF($C59="","",IF($N59="","",RANK($N59,$N$4:$N$1463)+COUNTIF($N$4:$N59,$N59)-1))</f>
        <v>72</v>
      </c>
      <c r="AB59" s="1" t="str">
        <f>IF($C59="","",IF($E59="","",$E59&amp;"#"&amp;(COUNTIFS($E$4:$E$1463,$E59,$X$4:$X$1463,"&gt;"&amp;$X59)+COUNTIFS($E$4:$E59,$E59,$X$4:$X59,"="&amp;$X59))))</f>
        <v>CRUSADER#12</v>
      </c>
      <c r="AC59" s="1" t="str">
        <f>IF($C59="","",$B59&amp;"@"&amp;(COUNTIFS($B$4:$B$1463,$B59,$C$4:$C$1463,"&lt;"&amp;$C59)+COUNTIFS($B$4:$B59,$B59,$C$4:$C59,$C59)))</f>
        <v>VANGUARD@7</v>
      </c>
      <c r="AD59" s="1">
        <f t="shared" si="4"/>
        <v>56</v>
      </c>
      <c r="AE59" s="1" t="s">
        <v>644</v>
      </c>
      <c r="AF59" s="76">
        <f t="shared" si="5"/>
        <v>64199</v>
      </c>
      <c r="AG59" s="77">
        <f t="shared" si="6"/>
        <v>6.14</v>
      </c>
      <c r="AH59" s="1" t="str">
        <f>IF($C59="","",$B59&amp;"|"&amp;(COUNTIFS($B$4:$B$1463,$B59,$AF$4:$AF$1463,"&gt;"&amp;$AF59)+COUNTIFS($B$4:$B59,$B59,$AF$4:$AF59,"="&amp;$AF59)))</f>
        <v>VANGUARD|11</v>
      </c>
      <c r="AI59" s="1" t="str">
        <f>IF($C59="","",$B59&amp;"|"&amp;(COUNTIFS($B$4:$B$1463,$B59,$AG$4:$AG$1463,"&gt;"&amp;$AG59)+COUNTIFS($B$4:$B59,$B59,$AG$4:$AG59,"="&amp;$AG59)))</f>
        <v>VANGUARD|39</v>
      </c>
    </row>
    <row r="60" spans="1:35" hidden="1">
      <c r="A60" s="69" t="s">
        <v>106</v>
      </c>
      <c r="B60" s="69" t="s">
        <v>107</v>
      </c>
      <c r="C60" s="63" t="s">
        <v>645</v>
      </c>
      <c r="D60" s="69"/>
      <c r="E60" s="68" t="s">
        <v>79</v>
      </c>
      <c r="F60" s="15" t="str">
        <f>IF($C60="","",IF($E60="","-",IFERROR(INDEX(SETUP!$B$55:$B$64,MATCH($E60,SETUP!$A$55:$A$64,0)),"Other")))</f>
        <v>Control</v>
      </c>
      <c r="G60" s="70">
        <v>63263</v>
      </c>
      <c r="H60" s="15" t="str">
        <f>IF($C60="","",IF($G60="","-",INDEX(SETUP!$B$26:$B$32,MATCH($G60,SETUP!$A$26:$A$32,1))))</f>
        <v>63,000 - 63,999</v>
      </c>
      <c r="I60" s="70">
        <v>3528</v>
      </c>
      <c r="J60" s="15" t="str">
        <f>IF($C60="","",IF($I60="","-",INDEX(SETUP!$B$16:$B$22,MATCH($I60,SETUP!$A$16:$A$22,1))))</f>
        <v>DEVELOPING</v>
      </c>
      <c r="K60" s="15" t="str">
        <f>IF($C60="","",IF($I60="","-",TEXT(INT($I60/1000)*1000,"#,##0")&amp;" - "&amp;TEXT(INT($I60/1000)*1000+999,"#,##0")))</f>
        <v>3,000 - 3,999</v>
      </c>
      <c r="L60" s="71">
        <v>4.2</v>
      </c>
      <c r="M60" s="15" t="str">
        <f>IF($C60="","",IF($L60="","-",INDEX(SETUP!$B$36:$B$42,MATCH($L60,SETUP!$A$36:$A$42,1))))</f>
        <v>4k - 5k</v>
      </c>
      <c r="N60" s="17">
        <f>IF($C60="","",IF(OR($G60="",$I60=""),"",ROUND(100*(SETUP!$B$4*MIN(1,$I60/SETUP!$B$9)+SETUP!$B$5*MAX(0,MIN(1,($G60-SETUP!$B$10)/(SETUP!$B$11-SETUP!$B$10)))+SETUP!$B$6*MIN(1,IF($L60="",0,$L60)/SETUP!$B$12)),1)))</f>
        <v>44.1</v>
      </c>
      <c r="O60" s="15" t="str">
        <f>IF($C60="","",IF($N60="","-",INDEX(SETUP!$B$46:$B$51,MATCH($N60,SETUP!$A$46:$A$51,1))))</f>
        <v>B</v>
      </c>
      <c r="P60" s="15">
        <f>IF($C60="","",IF($I60="","",RANK($I60,$I$4:$I$1463)+COUNTIF($I$4:$I60,$I60)-1))</f>
        <v>721</v>
      </c>
      <c r="Q60" s="15">
        <f>IF($C60="","",COUNTIFS($B$4:$B$1463,$B60,$X$4:$X$1463,"&gt;"&amp;$X60)+COUNTIFS($B$4:$B60,$B60,$X$4:$X60,"="&amp;$X60))</f>
        <v>68</v>
      </c>
      <c r="R60" s="72">
        <f>IF($C60="","",IF($I60="","",ROUND(COUNTIF($I$4:$I$1463,"&lt;"&amp;$I60)/COUNT($I$4:$I$1463),3)))</f>
        <v>0.45500000000000002</v>
      </c>
      <c r="S60" s="15" t="str">
        <f>IF($C60="","",IF($G60="","Name only",IF(OR($I60="",$L60=""),"Partial","Complete")))</f>
        <v>Complete</v>
      </c>
      <c r="T60" s="41" t="str">
        <f>IF($C60="","",TRIM(IF(COUNTIF($C$4:$C$1463,$C60)&gt;1,"Dup name; ","")&amp;IF(AND($G60&lt;&gt;"",$G60&lt;55000),"Low CR - verify; ","")&amp;IF(AND($L60&lt;&gt;"",$L60&gt;15),"Secondary - verify; ","")&amp;IF($E60="","No class; ","")))</f>
        <v/>
      </c>
      <c r="U60" s="68"/>
      <c r="V60" s="68"/>
      <c r="W60" s="68"/>
      <c r="X60" s="73">
        <f t="shared" si="2"/>
        <v>3528</v>
      </c>
      <c r="Y60" s="41" t="str">
        <f t="shared" si="3"/>
        <v>UNDYING|68</v>
      </c>
      <c r="Z60" s="15">
        <f>IF($C60="","",IF($G60="","",RANK($G60,$G$4:$G$1463)+COUNTIF($G$4:$G60,$G60)-1))</f>
        <v>281</v>
      </c>
      <c r="AA60" s="15">
        <f>IF($C60="","",IF($N60="","",RANK($N60,$N$4:$N$1463)+COUNTIF($N$4:$N60,$N60)-1))</f>
        <v>661</v>
      </c>
      <c r="AB60" s="41" t="str">
        <f>IF($C60="","",IF($E60="","",$E60&amp;"#"&amp;(COUNTIFS($E$4:$E$1463,$E60,$X$4:$X$1463,"&gt;"&amp;$X60)+COUNTIFS($E$4:$E60,$E60,$X$4:$X60,"="&amp;$X60))))</f>
        <v>WARLOCK#180</v>
      </c>
      <c r="AC60" s="41" t="str">
        <f>IF($C60="","",$B60&amp;"@"&amp;(COUNTIFS($B$4:$B$1463,$B60,$C$4:$C$1463,"&lt;"&amp;$C60)+COUNTIFS($B$4:$B60,$B60,$C$4:$C60,$C60)))</f>
        <v>UNDYING@6</v>
      </c>
      <c r="AD60" s="41">
        <f t="shared" si="4"/>
        <v>57</v>
      </c>
      <c r="AE60" s="41" t="s">
        <v>646</v>
      </c>
      <c r="AF60" s="73">
        <f t="shared" si="5"/>
        <v>63263</v>
      </c>
      <c r="AG60" s="74">
        <f t="shared" si="6"/>
        <v>4.2</v>
      </c>
      <c r="AH60" s="41" t="str">
        <f>IF($C60="","",$B60&amp;"|"&amp;(COUNTIFS($B$4:$B$1463,$B60,$AF$4:$AF$1463,"&gt;"&amp;$AF60)+COUNTIFS($B$4:$B60,$B60,$AF$4:$AF60,"="&amp;$AF60)))</f>
        <v>UNDYING|26</v>
      </c>
      <c r="AI60" s="41" t="str">
        <f>IF($C60="","",$B60&amp;"|"&amp;(COUNTIFS($B$4:$B$1463,$B60,$AG$4:$AG$1463,"&gt;"&amp;$AG60)+COUNTIFS($B$4:$B60,$B60,$AG$4:$AG60,"="&amp;$AG60)))</f>
        <v>UNDYING|75</v>
      </c>
    </row>
    <row r="61" spans="1:35" hidden="1">
      <c r="A61" s="69" t="s">
        <v>109</v>
      </c>
      <c r="B61" s="69" t="s">
        <v>118</v>
      </c>
      <c r="C61" s="63" t="s">
        <v>647</v>
      </c>
      <c r="D61" s="69"/>
      <c r="E61" s="68" t="s">
        <v>74</v>
      </c>
      <c r="F61" s="19" t="str">
        <f>IF($C61="","",IF($E61="","-",IFERROR(INDEX(SETUP!$B$55:$B$64,MATCH($E61,SETUP!$A$55:$A$64,0)),"Other")))</f>
        <v>Ranged DPS</v>
      </c>
      <c r="G61" s="70">
        <v>60073</v>
      </c>
      <c r="H61" s="19" t="str">
        <f>IF($C61="","",IF($G61="","-",INDEX(SETUP!$B$26:$B$32,MATCH($G61,SETUP!$A$26:$A$32,1))))</f>
        <v>60,000 - 60,999</v>
      </c>
      <c r="I61" s="70">
        <v>2500</v>
      </c>
      <c r="J61" s="19" t="str">
        <f>IF($C61="","",IF($I61="","-",INDEX(SETUP!$B$16:$B$22,MATCH($I61,SETUP!$A$16:$A$22,1))))</f>
        <v>DEVELOPING</v>
      </c>
      <c r="K61" s="19" t="str">
        <f>IF($C61="","",IF($I61="","-",TEXT(INT($I61/1000)*1000,"#,##0")&amp;" - "&amp;TEXT(INT($I61/1000)*1000+999,"#,##0")))</f>
        <v>2,000 - 2,999</v>
      </c>
      <c r="L61" s="71">
        <v>3.6</v>
      </c>
      <c r="M61" s="19" t="str">
        <f>IF($C61="","",IF($L61="","-",INDEX(SETUP!$B$36:$B$42,MATCH($L61,SETUP!$A$36:$A$42,1))))</f>
        <v>3k - 4k</v>
      </c>
      <c r="N61" s="21">
        <f>IF($C61="","",IF(OR($G61="",$I61=""),"",ROUND(100*(SETUP!$B$4*MIN(1,$I61/SETUP!$B$9)+SETUP!$B$5*MAX(0,MIN(1,($G61-SETUP!$B$10)/(SETUP!$B$11-SETUP!$B$10)))+SETUP!$B$6*MIN(1,IF($L61="",0,$L61)/SETUP!$B$12)),1)))</f>
        <v>30.3</v>
      </c>
      <c r="O61" s="19" t="str">
        <f>IF($C61="","",IF($N61="","-",INDEX(SETUP!$B$46:$B$51,MATCH($N61,SETUP!$A$46:$A$51,1))))</f>
        <v>C</v>
      </c>
      <c r="P61" s="19">
        <f>IF($C61="","",IF($I61="","",RANK($I61,$I$4:$I$1463)+COUNTIF($I$4:$I61,$I61)-1))</f>
        <v>1009</v>
      </c>
      <c r="Q61" s="19">
        <f>IF($C61="","",COUNTIFS($B$4:$B$1463,$B61,$X$4:$X$1463,"&gt;"&amp;$X61)+COUNTIFS($B$4:$B61,$B61,$X$4:$X61,"="&amp;$X61))</f>
        <v>24</v>
      </c>
      <c r="R61" s="75">
        <f>IF($C61="","",IF($I61="","",ROUND(COUNTIF($I$4:$I$1463,"&lt;"&amp;$I61)/COUNT($I$4:$I$1463),3)))</f>
        <v>0.23799999999999999</v>
      </c>
      <c r="S61" s="19" t="str">
        <f>IF($C61="","",IF($G61="","Name only",IF(OR($I61="",$L61=""),"Partial","Complete")))</f>
        <v>Complete</v>
      </c>
      <c r="T61" s="1" t="str">
        <f>IF($C61="","",TRIM(IF(COUNTIF($C$4:$C$1463,$C61)&gt;1,"Dup name; ","")&amp;IF(AND($G61&lt;&gt;"",$G61&lt;55000),"Low CR - verify; ","")&amp;IF(AND($L61&lt;&gt;"",$L61&gt;15),"Secondary - verify; ","")&amp;IF($E61="","No class; ","")))</f>
        <v/>
      </c>
      <c r="U61" s="68"/>
      <c r="V61" s="68"/>
      <c r="W61" s="68"/>
      <c r="X61" s="76">
        <f t="shared" si="2"/>
        <v>2500</v>
      </c>
      <c r="Y61" s="1" t="str">
        <f t="shared" si="3"/>
        <v>ZOMBIES|24</v>
      </c>
      <c r="Z61" s="19">
        <f>IF($C61="","",IF($G61="","",RANK($G61,$G$4:$G$1463)+COUNTIF($G$4:$G61,$G61)-1))</f>
        <v>1235</v>
      </c>
      <c r="AA61" s="19">
        <f>IF($C61="","",IF($N61="","",RANK($N61,$N$4:$N$1463)+COUNTIF($N$4:$N61,$N61)-1))</f>
        <v>1142</v>
      </c>
      <c r="AB61" s="1" t="str">
        <f>IF($C61="","",IF($E61="","",$E61&amp;"#"&amp;(COUNTIFS($E$4:$E$1463,$E61,$X$4:$X$1463,"&gt;"&amp;$X61)+COUNTIFS($E$4:$E61,$E61,$X$4:$X61,"="&amp;$X61))))</f>
        <v>DEMON HUNTER#161</v>
      </c>
      <c r="AC61" s="1" t="str">
        <f>IF($C61="","",$B61&amp;"@"&amp;(COUNTIFS($B$4:$B$1463,$B61,$C$4:$C$1463,"&lt;"&amp;$C61)+COUNTIFS($B$4:$B61,$B61,$C$4:$C61,$C61)))</f>
        <v>ZOMBIES@7</v>
      </c>
      <c r="AD61" s="1">
        <f t="shared" si="4"/>
        <v>58</v>
      </c>
      <c r="AE61" s="1" t="s">
        <v>648</v>
      </c>
      <c r="AF61" s="76">
        <f t="shared" si="5"/>
        <v>60073</v>
      </c>
      <c r="AG61" s="77">
        <f t="shared" si="6"/>
        <v>3.6</v>
      </c>
      <c r="AH61" s="1" t="str">
        <f>IF($C61="","",$B61&amp;"|"&amp;(COUNTIFS($B$4:$B$1463,$B61,$AF$4:$AF$1463,"&gt;"&amp;$AF61)+COUNTIFS($B$4:$B61,$B61,$AF$4:$AF61,"="&amp;$AF61)))</f>
        <v>ZOMBIES|78</v>
      </c>
      <c r="AI61" s="1" t="str">
        <f>IF($C61="","",$B61&amp;"|"&amp;(COUNTIFS($B$4:$B$1463,$B61,$AG$4:$AG$1463,"&gt;"&amp;$AG61)+COUNTIFS($B$4:$B61,$B61,$AG$4:$AG61,"="&amp;$AG61)))</f>
        <v>ZOMBIES|45</v>
      </c>
    </row>
    <row r="62" spans="1:35" hidden="1">
      <c r="A62" s="69" t="s">
        <v>109</v>
      </c>
      <c r="B62" s="69" t="s">
        <v>110</v>
      </c>
      <c r="C62" s="63" t="s">
        <v>649</v>
      </c>
      <c r="D62" s="69"/>
      <c r="E62" s="68" t="s">
        <v>78</v>
      </c>
      <c r="F62" s="15" t="str">
        <f>IF($C62="","",IF($E62="","-",IFERROR(INDEX(SETUP!$B$55:$B$64,MATCH($E62,SETUP!$A$55:$A$64,0)),"Other")))</f>
        <v>Melee DPS</v>
      </c>
      <c r="G62" s="70">
        <v>56994</v>
      </c>
      <c r="H62" s="15" t="str">
        <f>IF($C62="","",IF($G62="","-",INDEX(SETUP!$B$26:$B$32,MATCH($G62,SETUP!$A$26:$A$32,1))))</f>
        <v>Under 58,000</v>
      </c>
      <c r="I62" s="70">
        <v>3360</v>
      </c>
      <c r="J62" s="15" t="str">
        <f>IF($C62="","",IF($I62="","-",INDEX(SETUP!$B$16:$B$22,MATCH($I62,SETUP!$A$16:$A$22,1))))</f>
        <v>DEVELOPING</v>
      </c>
      <c r="K62" s="15" t="str">
        <f>IF($C62="","",IF($I62="","-",TEXT(INT($I62/1000)*1000,"#,##0")&amp;" - "&amp;TEXT(INT($I62/1000)*1000+999,"#,##0")))</f>
        <v>3,000 - 3,999</v>
      </c>
      <c r="L62" s="71">
        <v>4</v>
      </c>
      <c r="M62" s="15" t="str">
        <f>IF($C62="","",IF($L62="","-",INDEX(SETUP!$B$36:$B$42,MATCH($L62,SETUP!$A$36:$A$42,1))))</f>
        <v>4k - 5k</v>
      </c>
      <c r="N62" s="17">
        <f>IF($C62="","",IF(OR($G62="",$I62=""),"",ROUND(100*(SETUP!$B$4*MIN(1,$I62/SETUP!$B$9)+SETUP!$B$5*MAX(0,MIN(1,($G62-SETUP!$B$10)/(SETUP!$B$11-SETUP!$B$10)))+SETUP!$B$6*MIN(1,IF($L62="",0,$L62)/SETUP!$B$12)),1)))</f>
        <v>26.6</v>
      </c>
      <c r="O62" s="15" t="str">
        <f>IF($C62="","",IF($N62="","-",INDEX(SETUP!$B$46:$B$51,MATCH($N62,SETUP!$A$46:$A$51,1))))</f>
        <v>C</v>
      </c>
      <c r="P62" s="15">
        <f>IF($C62="","",IF($I62="","",RANK($I62,$I$4:$I$1463)+COUNTIF($I$4:$I62,$I62)-1))</f>
        <v>768</v>
      </c>
      <c r="Q62" s="15">
        <f>IF($C62="","",COUNTIFS($B$4:$B$1463,$B62,$X$4:$X$1463,"&gt;"&amp;$X62)+COUNTIFS($B$4:$B62,$B62,$X$4:$X62,"="&amp;$X62))</f>
        <v>80</v>
      </c>
      <c r="R62" s="72">
        <f>IF($C62="","",IF($I62="","",ROUND(COUNTIF($I$4:$I$1463,"&lt;"&amp;$I62)/COUNT($I$4:$I$1463),3)))</f>
        <v>0.42</v>
      </c>
      <c r="S62" s="15" t="str">
        <f>IF($C62="","",IF($G62="","Name only",IF(OR($I62="",$L62=""),"Partial","Complete")))</f>
        <v>Complete</v>
      </c>
      <c r="T62" s="41" t="str">
        <f>IF($C62="","",TRIM(IF(COUNTIF($C$4:$C$1463,$C62)&gt;1,"Dup name; ","")&amp;IF(AND($G62&lt;&gt;"",$G62&lt;55000),"Low CR - verify; ","")&amp;IF(AND($L62&lt;&gt;"",$L62&gt;15),"Secondary - verify; ","")&amp;IF($E62="","No class; ","")))</f>
        <v/>
      </c>
      <c r="U62" s="68"/>
      <c r="V62" s="68"/>
      <c r="W62" s="68"/>
      <c r="X62" s="73">
        <f t="shared" si="2"/>
        <v>3360</v>
      </c>
      <c r="Y62" s="41" t="str">
        <f t="shared" si="3"/>
        <v>AZUKI|80</v>
      </c>
      <c r="Z62" s="15">
        <f>IF($C62="","",IF($G62="","",RANK($G62,$G$4:$G$1463)+COUNTIF($G$4:$G62,$G62)-1))</f>
        <v>1310</v>
      </c>
      <c r="AA62" s="15">
        <f>IF($C62="","",IF($N62="","",RANK($N62,$N$4:$N$1463)+COUNTIF($N$4:$N62,$N62)-1))</f>
        <v>1216</v>
      </c>
      <c r="AB62" s="41" t="str">
        <f>IF($C62="","",IF($E62="","",$E62&amp;"#"&amp;(COUNTIFS($E$4:$E$1463,$E62,$X$4:$X$1463,"&gt;"&amp;$X62)+COUNTIFS($E$4:$E62,$E62,$X$4:$X62,"="&amp;$X62))))</f>
        <v>TEMPEST#29</v>
      </c>
      <c r="AC62" s="41" t="str">
        <f>IF($C62="","",$B62&amp;"@"&amp;(COUNTIFS($B$4:$B$1463,$B62,$C$4:$C$1463,"&lt;"&amp;$C62)+COUNTIFS($B$4:$B62,$B62,$C$4:$C62,$C62)))</f>
        <v>AZUKI@5</v>
      </c>
      <c r="AD62" s="41">
        <f t="shared" si="4"/>
        <v>59</v>
      </c>
      <c r="AE62" s="41" t="s">
        <v>650</v>
      </c>
      <c r="AF62" s="73">
        <f t="shared" si="5"/>
        <v>56994</v>
      </c>
      <c r="AG62" s="74">
        <f t="shared" si="6"/>
        <v>4</v>
      </c>
      <c r="AH62" s="41" t="str">
        <f>IF($C62="","",$B62&amp;"|"&amp;(COUNTIFS($B$4:$B$1463,$B62,$AF$4:$AF$1463,"&gt;"&amp;$AF62)+COUNTIFS($B$4:$B62,$B62,$AF$4:$AF62,"="&amp;$AF62)))</f>
        <v>AZUKI|101</v>
      </c>
      <c r="AI62" s="41" t="str">
        <f>IF($C62="","",$B62&amp;"|"&amp;(COUNTIFS($B$4:$B$1463,$B62,$AG$4:$AG$1463,"&gt;"&amp;$AG62)+COUNTIFS($B$4:$B62,$B62,$AG$4:$AG62,"="&amp;$AG62)))</f>
        <v>AZUKI|91</v>
      </c>
    </row>
    <row r="63" spans="1:35" hidden="1">
      <c r="A63" s="69" t="s">
        <v>109</v>
      </c>
      <c r="B63" s="69" t="s">
        <v>113</v>
      </c>
      <c r="C63" s="63" t="s">
        <v>651</v>
      </c>
      <c r="D63" s="69" t="s">
        <v>548</v>
      </c>
      <c r="E63" s="68" t="s">
        <v>71</v>
      </c>
      <c r="F63" s="19" t="str">
        <f>IF($C63="","",IF($E63="","-",IFERROR(INDEX(SETUP!$B$55:$B$64,MATCH($E63,SETUP!$A$55:$A$64,0)),"Other")))</f>
        <v>Frontline</v>
      </c>
      <c r="G63" s="70">
        <v>63228</v>
      </c>
      <c r="H63" s="19" t="str">
        <f>IF($C63="","",IF($G63="","-",INDEX(SETUP!$B$26:$B$32,MATCH($G63,SETUP!$A$26:$A$32,1))))</f>
        <v>63,000 - 63,999</v>
      </c>
      <c r="I63" s="70">
        <v>3332</v>
      </c>
      <c r="J63" s="19" t="str">
        <f>IF($C63="","",IF($I63="","-",INDEX(SETUP!$B$16:$B$22,MATCH($I63,SETUP!$A$16:$A$22,1))))</f>
        <v>DEVELOPING</v>
      </c>
      <c r="K63" s="19" t="str">
        <f>IF($C63="","",IF($I63="","-",TEXT(INT($I63/1000)*1000,"#,##0")&amp;" - "&amp;TEXT(INT($I63/1000)*1000+999,"#,##0")))</f>
        <v>3,000 - 3,999</v>
      </c>
      <c r="L63" s="71">
        <v>4.45</v>
      </c>
      <c r="M63" s="19" t="str">
        <f>IF($C63="","",IF($L63="","-",INDEX(SETUP!$B$36:$B$42,MATCH($L63,SETUP!$A$36:$A$42,1))))</f>
        <v>4k - 5k</v>
      </c>
      <c r="N63" s="21">
        <f>IF($C63="","",IF(OR($G63="",$I63=""),"",ROUND(100*(SETUP!$B$4*MIN(1,$I63/SETUP!$B$9)+SETUP!$B$5*MAX(0,MIN(1,($G63-SETUP!$B$10)/(SETUP!$B$11-SETUP!$B$10)))+SETUP!$B$6*MIN(1,IF($L63="",0,$L63)/SETUP!$B$12)),1)))</f>
        <v>43.6</v>
      </c>
      <c r="O63" s="19" t="str">
        <f>IF($C63="","",IF($N63="","-",INDEX(SETUP!$B$46:$B$51,MATCH($N63,SETUP!$A$46:$A$51,1))))</f>
        <v>B</v>
      </c>
      <c r="P63" s="19">
        <f>IF($C63="","",IF($I63="","",RANK($I63,$I$4:$I$1463)+COUNTIF($I$4:$I63,$I63)-1))</f>
        <v>778</v>
      </c>
      <c r="Q63" s="19">
        <f>IF($C63="","",COUNTIFS($B$4:$B$1463,$B63,$X$4:$X$1463,"&gt;"&amp;$X63)+COUNTIFS($B$4:$B63,$B63,$X$4:$X63,"="&amp;$X63))</f>
        <v>39</v>
      </c>
      <c r="R63" s="75">
        <f>IF($C63="","",IF($I63="","",ROUND(COUNTIF($I$4:$I$1463,"&lt;"&amp;$I63)/COUNT($I$4:$I$1463),3)))</f>
        <v>0.41299999999999998</v>
      </c>
      <c r="S63" s="19" t="str">
        <f>IF($C63="","",IF($G63="","Name only",IF(OR($I63="",$L63=""),"Partial","Complete")))</f>
        <v>Complete</v>
      </c>
      <c r="T63" s="1" t="str">
        <f>IF($C63="","",TRIM(IF(COUNTIF($C$4:$C$1463,$C63)&gt;1,"Dup name; ","")&amp;IF(AND($G63&lt;&gt;"",$G63&lt;55000),"Low CR - verify; ","")&amp;IF(AND($L63&lt;&gt;"",$L63&gt;15),"Secondary - verify; ","")&amp;IF($E63="","No class; ","")))</f>
        <v/>
      </c>
      <c r="U63" s="68"/>
      <c r="V63" s="68"/>
      <c r="W63" s="68"/>
      <c r="X63" s="76">
        <f t="shared" si="2"/>
        <v>3332</v>
      </c>
      <c r="Y63" s="1" t="str">
        <f t="shared" si="3"/>
        <v>INVICTUS|39</v>
      </c>
      <c r="Z63" s="19">
        <f>IF($C63="","",IF($G63="","",RANK($G63,$G$4:$G$1463)+COUNTIF($G$4:$G63,$G63)-1))</f>
        <v>303</v>
      </c>
      <c r="AA63" s="19">
        <f>IF($C63="","",IF($N63="","",RANK($N63,$N$4:$N$1463)+COUNTIF($N$4:$N63,$N63)-1))</f>
        <v>683</v>
      </c>
      <c r="AB63" s="1" t="str">
        <f>IF($C63="","",IF($E63="","",$E63&amp;"#"&amp;(COUNTIFS($E$4:$E$1463,$E63,$X$4:$X$1463,"&gt;"&amp;$X63)+COUNTIFS($E$4:$E63,$E63,$X$4:$X63,"="&amp;$X63))))</f>
        <v>BARBARIAN#137</v>
      </c>
      <c r="AC63" s="1" t="str">
        <f>IF($C63="","",$B63&amp;"@"&amp;(COUNTIFS($B$4:$B$1463,$B63,$C$4:$C$1463,"&lt;"&amp;$C63)+COUNTIFS($B$4:$B63,$B63,$C$4:$C63,$C63)))</f>
        <v>INVICTUS@6</v>
      </c>
      <c r="AD63" s="1">
        <f t="shared" si="4"/>
        <v>60</v>
      </c>
      <c r="AE63" s="1" t="s">
        <v>652</v>
      </c>
      <c r="AF63" s="76">
        <f t="shared" si="5"/>
        <v>63228</v>
      </c>
      <c r="AG63" s="77">
        <f t="shared" si="6"/>
        <v>4.45</v>
      </c>
      <c r="AH63" s="1" t="str">
        <f>IF($C63="","",$B63&amp;"|"&amp;(COUNTIFS($B$4:$B$1463,$B63,$AF$4:$AF$1463,"&gt;"&amp;$AF63)+COUNTIFS($B$4:$B63,$B63,$AF$4:$AF63,"="&amp;$AF63)))</f>
        <v>INVICTUS|13</v>
      </c>
      <c r="AI63" s="1" t="str">
        <f>IF($C63="","",$B63&amp;"|"&amp;(COUNTIFS($B$4:$B$1463,$B63,$AG$4:$AG$1463,"&gt;"&amp;$AG63)+COUNTIFS($B$4:$B63,$B63,$AG$4:$AG63,"="&amp;$AG63)))</f>
        <v>INVICTUS|47</v>
      </c>
    </row>
    <row r="64" spans="1:35" hidden="1">
      <c r="A64" s="69" t="s">
        <v>109</v>
      </c>
      <c r="B64" s="69" t="s">
        <v>110</v>
      </c>
      <c r="C64" s="63" t="s">
        <v>653</v>
      </c>
      <c r="D64" s="69"/>
      <c r="E64" s="68" t="s">
        <v>73</v>
      </c>
      <c r="F64" s="15" t="str">
        <f>IF($C64="","",IF($E64="","-",IFERROR(INDEX(SETUP!$B$55:$B$64,MATCH($E64,SETUP!$A$55:$A$64,0)),"Other")))</f>
        <v>Frontline</v>
      </c>
      <c r="G64" s="70">
        <v>63194</v>
      </c>
      <c r="H64" s="15" t="str">
        <f>IF($C64="","",IF($G64="","-",INDEX(SETUP!$B$26:$B$32,MATCH($G64,SETUP!$A$26:$A$32,1))))</f>
        <v>63,000 - 63,999</v>
      </c>
      <c r="I64" s="70">
        <v>4150</v>
      </c>
      <c r="J64" s="15" t="str">
        <f>IF($C64="","",IF($I64="","-",INDEX(SETUP!$B$16:$B$22,MATCH($I64,SETUP!$A$16:$A$22,1))))</f>
        <v>CORE</v>
      </c>
      <c r="K64" s="15" t="str">
        <f>IF($C64="","",IF($I64="","-",TEXT(INT($I64/1000)*1000,"#,##0")&amp;" - "&amp;TEXT(INT($I64/1000)*1000+999,"#,##0")))</f>
        <v>4,000 - 4,999</v>
      </c>
      <c r="L64" s="71">
        <v>4.05</v>
      </c>
      <c r="M64" s="15" t="str">
        <f>IF($C64="","",IF($L64="","-",INDEX(SETUP!$B$36:$B$42,MATCH($L64,SETUP!$A$36:$A$42,1))))</f>
        <v>4k - 5k</v>
      </c>
      <c r="N64" s="17">
        <f>IF($C64="","",IF(OR($G64="",$I64=""),"",ROUND(100*(SETUP!$B$4*MIN(1,$I64/SETUP!$B$9)+SETUP!$B$5*MAX(0,MIN(1,($G64-SETUP!$B$10)/(SETUP!$B$11-SETUP!$B$10)))+SETUP!$B$6*MIN(1,IF($L64="",0,$L64)/SETUP!$B$12)),1)))</f>
        <v>46.4</v>
      </c>
      <c r="O64" s="15" t="str">
        <f>IF($C64="","",IF($N64="","-",INDEX(SETUP!$B$46:$B$51,MATCH($N64,SETUP!$A$46:$A$51,1))))</f>
        <v>B</v>
      </c>
      <c r="P64" s="15">
        <f>IF($C64="","",IF($I64="","",RANK($I64,$I$4:$I$1463)+COUNTIF($I$4:$I64,$I64)-1))</f>
        <v>570</v>
      </c>
      <c r="Q64" s="15">
        <f>IF($C64="","",COUNTIFS($B$4:$B$1463,$B64,$X$4:$X$1463,"&gt;"&amp;$X64)+COUNTIFS($B$4:$B64,$B64,$X$4:$X64,"="&amp;$X64))</f>
        <v>62</v>
      </c>
      <c r="R64" s="72">
        <f>IF($C64="","",IF($I64="","",ROUND(COUNTIF($I$4:$I$1463,"&lt;"&amp;$I64)/COUNT($I$4:$I$1463),3)))</f>
        <v>0.56999999999999995</v>
      </c>
      <c r="S64" s="15" t="str">
        <f>IF($C64="","",IF($G64="","Name only",IF(OR($I64="",$L64=""),"Partial","Complete")))</f>
        <v>Complete</v>
      </c>
      <c r="T64" s="41" t="str">
        <f>IF($C64="","",TRIM(IF(COUNTIF($C$4:$C$1463,$C64)&gt;1,"Dup name; ","")&amp;IF(AND($G64&lt;&gt;"",$G64&lt;55000),"Low CR - verify; ","")&amp;IF(AND($L64&lt;&gt;"",$L64&gt;15),"Secondary - verify; ","")&amp;IF($E64="","No class; ","")))</f>
        <v/>
      </c>
      <c r="U64" s="68"/>
      <c r="V64" s="68"/>
      <c r="W64" s="68"/>
      <c r="X64" s="73">
        <f t="shared" si="2"/>
        <v>4150</v>
      </c>
      <c r="Y64" s="41" t="str">
        <f t="shared" si="3"/>
        <v>AZUKI|62</v>
      </c>
      <c r="Z64" s="15">
        <f>IF($C64="","",IF($G64="","",RANK($G64,$G$4:$G$1463)+COUNTIF($G$4:$G64,$G64)-1))</f>
        <v>319</v>
      </c>
      <c r="AA64" s="15">
        <f>IF($C64="","",IF($N64="","",RANK($N64,$N$4:$N$1463)+COUNTIF($N$4:$N64,$N64)-1))</f>
        <v>573</v>
      </c>
      <c r="AB64" s="41" t="str">
        <f>IF($C64="","",IF($E64="","",$E64&amp;"#"&amp;(COUNTIFS($E$4:$E$1463,$E64,$X$4:$X$1463,"&gt;"&amp;$X64)+COUNTIFS($E$4:$E64,$E64,$X$4:$X64,"="&amp;$X64))))</f>
        <v>CRUSADER#70</v>
      </c>
      <c r="AC64" s="41" t="str">
        <f>IF($C64="","",$B64&amp;"@"&amp;(COUNTIFS($B$4:$B$1463,$B64,$C$4:$C$1463,"&lt;"&amp;$C64)+COUNTIFS($B$4:$B64,$B64,$C$4:$C64,$C64)))</f>
        <v>AZUKI@6</v>
      </c>
      <c r="AD64" s="41">
        <f t="shared" si="4"/>
        <v>61</v>
      </c>
      <c r="AE64" s="41" t="s">
        <v>654</v>
      </c>
      <c r="AF64" s="73">
        <f t="shared" si="5"/>
        <v>63194</v>
      </c>
      <c r="AG64" s="74">
        <f t="shared" si="6"/>
        <v>4.05</v>
      </c>
      <c r="AH64" s="41" t="str">
        <f>IF($C64="","",$B64&amp;"|"&amp;(COUNTIFS($B$4:$B$1463,$B64,$AF$4:$AF$1463,"&gt;"&amp;$AF64)+COUNTIFS($B$4:$B64,$B64,$AF$4:$AF64,"="&amp;$AF64)))</f>
        <v>AZUKI|33</v>
      </c>
      <c r="AI64" s="41" t="str">
        <f>IF($C64="","",$B64&amp;"|"&amp;(COUNTIFS($B$4:$B$1463,$B64,$AG$4:$AG$1463,"&gt;"&amp;$AG64)+COUNTIFS($B$4:$B64,$B64,$AG$4:$AG64,"="&amp;$AG64)))</f>
        <v>AZUKI|89</v>
      </c>
    </row>
    <row r="65" spans="1:35" hidden="1">
      <c r="A65" s="69" t="s">
        <v>106</v>
      </c>
      <c r="B65" s="69" t="s">
        <v>105</v>
      </c>
      <c r="C65" s="63" t="s">
        <v>655</v>
      </c>
      <c r="D65" s="69"/>
      <c r="E65" s="68" t="s">
        <v>72</v>
      </c>
      <c r="F65" s="19" t="str">
        <f>IF($C65="","",IF($E65="","-",IFERROR(INDEX(SETUP!$B$55:$B$64,MATCH($E65,SETUP!$A$55:$A$64,0)),"Other")))</f>
        <v>Frontline</v>
      </c>
      <c r="G65" s="70">
        <v>63345</v>
      </c>
      <c r="H65" s="19" t="str">
        <f>IF($C65="","",IF($G65="","-",INDEX(SETUP!$B$26:$B$32,MATCH($G65,SETUP!$A$26:$A$32,1))))</f>
        <v>63,000 - 63,999</v>
      </c>
      <c r="I65" s="70">
        <v>5594</v>
      </c>
      <c r="J65" s="19" t="str">
        <f>IF($C65="","",IF($I65="","-",INDEX(SETUP!$B$16:$B$22,MATCH($I65,SETUP!$A$16:$A$22,1))))</f>
        <v>CORE</v>
      </c>
      <c r="K65" s="19" t="str">
        <f>IF($C65="","",IF($I65="","-",TEXT(INT($I65/1000)*1000,"#,##0")&amp;" - "&amp;TEXT(INT($I65/1000)*1000+999,"#,##0")))</f>
        <v>5,000 - 5,999</v>
      </c>
      <c r="L65" s="71">
        <v>5.41</v>
      </c>
      <c r="M65" s="19" t="str">
        <f>IF($C65="","",IF($L65="","-",INDEX(SETUP!$B$36:$B$42,MATCH($L65,SETUP!$A$36:$A$42,1))))</f>
        <v>5k - 6k</v>
      </c>
      <c r="N65" s="21">
        <f>IF($C65="","",IF(OR($G65="",$I65=""),"",ROUND(100*(SETUP!$B$4*MIN(1,$I65/SETUP!$B$9)+SETUP!$B$5*MAX(0,MIN(1,($G65-SETUP!$B$10)/(SETUP!$B$11-SETUP!$B$10)))+SETUP!$B$6*MIN(1,IF($L65="",0,$L65)/SETUP!$B$12)),1)))</f>
        <v>55.4</v>
      </c>
      <c r="O65" s="19" t="str">
        <f>IF($C65="","",IF($N65="","-",INDEX(SETUP!$B$46:$B$51,MATCH($N65,SETUP!$A$46:$A$51,1))))</f>
        <v>A</v>
      </c>
      <c r="P65" s="19">
        <f>IF($C65="","",IF($I65="","",RANK($I65,$I$4:$I$1463)+COUNTIF($I$4:$I65,$I65)-1))</f>
        <v>325</v>
      </c>
      <c r="Q65" s="19">
        <f>IF($C65="","",COUNTIFS($B$4:$B$1463,$B65,$X$4:$X$1463,"&gt;"&amp;$X65)+COUNTIFS($B$4:$B65,$B65,$X$4:$X65,"="&amp;$X65))</f>
        <v>38</v>
      </c>
      <c r="R65" s="75">
        <f>IF($C65="","",IF($I65="","",ROUND(COUNTIF($I$4:$I$1463,"&lt;"&amp;$I65)/COUNT($I$4:$I$1463),3)))</f>
        <v>0.755</v>
      </c>
      <c r="S65" s="19" t="str">
        <f>IF($C65="","",IF($G65="","Name only",IF(OR($I65="",$L65=""),"Partial","Complete")))</f>
        <v>Complete</v>
      </c>
      <c r="T65" s="1" t="str">
        <f>IF($C65="","",TRIM(IF(COUNTIF($C$4:$C$1463,$C65)&gt;1,"Dup name; ","")&amp;IF(AND($G65&lt;&gt;"",$G65&lt;55000),"Low CR - verify; ","")&amp;IF(AND($L65&lt;&gt;"",$L65&gt;15),"Secondary - verify; ","")&amp;IF($E65="","No class; ","")))</f>
        <v/>
      </c>
      <c r="U65" s="68"/>
      <c r="V65" s="68"/>
      <c r="W65" s="68"/>
      <c r="X65" s="76">
        <f t="shared" si="2"/>
        <v>5594</v>
      </c>
      <c r="Y65" s="1" t="str">
        <f t="shared" si="3"/>
        <v>LEGENDS|38</v>
      </c>
      <c r="Z65" s="19">
        <f>IF($C65="","",IF($G65="","",RANK($G65,$G$4:$G$1463)+COUNTIF($G$4:$G65,$G65)-1))</f>
        <v>241</v>
      </c>
      <c r="AA65" s="19">
        <f>IF($C65="","",IF($N65="","",RANK($N65,$N$4:$N$1463)+COUNTIF($N$4:$N65,$N65)-1))</f>
        <v>307</v>
      </c>
      <c r="AB65" s="1" t="str">
        <f>IF($C65="","",IF($E65="","",$E65&amp;"#"&amp;(COUNTIFS($E$4:$E$1463,$E65,$X$4:$X$1463,"&gt;"&amp;$X65)+COUNTIFS($E$4:$E65,$E65,$X$4:$X65,"="&amp;$X65))))</f>
        <v>BLOOD KNIGHT#23</v>
      </c>
      <c r="AC65" s="1" t="str">
        <f>IF($C65="","",$B65&amp;"@"&amp;(COUNTIFS($B$4:$B$1463,$B65,$C$4:$C$1463,"&lt;"&amp;$C65)+COUNTIFS($B$4:$B65,$B65,$C$4:$C65,$C65)))</f>
        <v>LEGENDS@5</v>
      </c>
      <c r="AD65" s="1">
        <f t="shared" si="4"/>
        <v>62</v>
      </c>
      <c r="AE65" s="1" t="s">
        <v>656</v>
      </c>
      <c r="AF65" s="76">
        <f t="shared" si="5"/>
        <v>63345</v>
      </c>
      <c r="AG65" s="77">
        <f t="shared" si="6"/>
        <v>5.41</v>
      </c>
      <c r="AH65" s="1" t="str">
        <f>IF($C65="","",$B65&amp;"|"&amp;(COUNTIFS($B$4:$B$1463,$B65,$AF$4:$AF$1463,"&gt;"&amp;$AF65)+COUNTIFS($B$4:$B65,$B65,$AF$4:$AF65,"="&amp;$AF65)))</f>
        <v>LEGENDS|32</v>
      </c>
      <c r="AI65" s="1" t="str">
        <f>IF($C65="","",$B65&amp;"|"&amp;(COUNTIFS($B$4:$B$1463,$B65,$AG$4:$AG$1463,"&gt;"&amp;$AG65)+COUNTIFS($B$4:$B65,$B65,$AG$4:$AG65,"="&amp;$AG65)))</f>
        <v>LEGENDS|41</v>
      </c>
    </row>
    <row r="66" spans="1:35" hidden="1">
      <c r="A66" s="69" t="s">
        <v>109</v>
      </c>
      <c r="B66" s="69" t="s">
        <v>108</v>
      </c>
      <c r="C66" s="63" t="s">
        <v>657</v>
      </c>
      <c r="D66" s="69"/>
      <c r="E66" s="68" t="s">
        <v>73</v>
      </c>
      <c r="F66" s="15" t="str">
        <f>IF($C66="","",IF($E66="","-",IFERROR(INDEX(SETUP!$B$55:$B$64,MATCH($E66,SETUP!$A$55:$A$64,0)),"Other")))</f>
        <v>Frontline</v>
      </c>
      <c r="G66" s="70">
        <v>63481</v>
      </c>
      <c r="H66" s="15" t="str">
        <f>IF($C66="","",IF($G66="","-",INDEX(SETUP!$B$26:$B$32,MATCH($G66,SETUP!$A$26:$A$32,1))))</f>
        <v>63,000 - 63,999</v>
      </c>
      <c r="I66" s="70">
        <v>5977</v>
      </c>
      <c r="J66" s="15" t="str">
        <f>IF($C66="","",IF($I66="","-",INDEX(SETUP!$B$16:$B$22,MATCH($I66,SETUP!$A$16:$A$22,1))))</f>
        <v>CORE</v>
      </c>
      <c r="K66" s="15" t="str">
        <f>IF($C66="","",IF($I66="","-",TEXT(INT($I66/1000)*1000,"#,##0")&amp;" - "&amp;TEXT(INT($I66/1000)*1000+999,"#,##0")))</f>
        <v>5,000 - 5,999</v>
      </c>
      <c r="L66" s="71">
        <v>7.5</v>
      </c>
      <c r="M66" s="15" t="str">
        <f>IF($C66="","",IF($L66="","-",INDEX(SETUP!$B$36:$B$42,MATCH($L66,SETUP!$A$36:$A$42,1))))</f>
        <v>6k - 8k</v>
      </c>
      <c r="N66" s="17">
        <f>IF($C66="","",IF(OR($G66="",$I66=""),"",ROUND(100*(SETUP!$B$4*MIN(1,$I66/SETUP!$B$9)+SETUP!$B$5*MAX(0,MIN(1,($G66-SETUP!$B$10)/(SETUP!$B$11-SETUP!$B$10)))+SETUP!$B$6*MIN(1,IF($L66="",0,$L66)/SETUP!$B$12)),1)))</f>
        <v>60.9</v>
      </c>
      <c r="O66" s="15" t="str">
        <f>IF($C66="","",IF($N66="","-",INDEX(SETUP!$B$46:$B$51,MATCH($N66,SETUP!$A$46:$A$51,1))))</f>
        <v>A</v>
      </c>
      <c r="P66" s="15">
        <f>IF($C66="","",IF($I66="","",RANK($I66,$I$4:$I$1463)+COUNTIF($I$4:$I66,$I66)-1))</f>
        <v>290</v>
      </c>
      <c r="Q66" s="15">
        <f>IF($C66="","",COUNTIFS($B$4:$B$1463,$B66,$X$4:$X$1463,"&gt;"&amp;$X66)+COUNTIFS($B$4:$B66,$B66,$X$4:$X66,"="&amp;$X66))</f>
        <v>46</v>
      </c>
      <c r="R66" s="72">
        <f>IF($C66="","",IF($I66="","",ROUND(COUNTIF($I$4:$I$1463,"&lt;"&amp;$I66)/COUNT($I$4:$I$1463),3)))</f>
        <v>0.78100000000000003</v>
      </c>
      <c r="S66" s="15" t="str">
        <f>IF($C66="","",IF($G66="","Name only",IF(OR($I66="",$L66=""),"Partial","Complete")))</f>
        <v>Complete</v>
      </c>
      <c r="T66" s="41" t="str">
        <f>IF($C66="","",TRIM(IF(COUNTIF($C$4:$C$1463,$C66)&gt;1,"Dup name; ","")&amp;IF(AND($G66&lt;&gt;"",$G66&lt;55000),"Low CR - verify; ","")&amp;IF(AND($L66&lt;&gt;"",$L66&gt;15),"Secondary - verify; ","")&amp;IF($E66="","No class; ","")))</f>
        <v/>
      </c>
      <c r="U66" s="68"/>
      <c r="V66" s="68"/>
      <c r="W66" s="68"/>
      <c r="X66" s="73">
        <f t="shared" si="2"/>
        <v>5977</v>
      </c>
      <c r="Y66" s="41" t="str">
        <f t="shared" si="3"/>
        <v>SBG|46</v>
      </c>
      <c r="Z66" s="15">
        <f>IF($C66="","",IF($G66="","",RANK($G66,$G$4:$G$1463)+COUNTIF($G$4:$G66,$G66)-1))</f>
        <v>198</v>
      </c>
      <c r="AA66" s="15">
        <f>IF($C66="","",IF($N66="","",RANK($N66,$N$4:$N$1463)+COUNTIF($N$4:$N66,$N66)-1))</f>
        <v>225</v>
      </c>
      <c r="AB66" s="41" t="str">
        <f>IF($C66="","",IF($E66="","",$E66&amp;"#"&amp;(COUNTIFS($E$4:$E$1463,$E66,$X$4:$X$1463,"&gt;"&amp;$X66)+COUNTIFS($E$4:$E66,$E66,$X$4:$X66,"="&amp;$X66))))</f>
        <v>CRUSADER#42</v>
      </c>
      <c r="AC66" s="41" t="str">
        <f>IF($C66="","",$B66&amp;"@"&amp;(COUNTIFS($B$4:$B$1463,$B66,$C$4:$C$1463,"&lt;"&amp;$C66)+COUNTIFS($B$4:$B66,$B66,$C$4:$C66,$C66)))</f>
        <v>SBG@2</v>
      </c>
      <c r="AD66" s="41">
        <f t="shared" si="4"/>
        <v>63</v>
      </c>
      <c r="AE66" s="41" t="s">
        <v>658</v>
      </c>
      <c r="AF66" s="73">
        <f t="shared" si="5"/>
        <v>63481</v>
      </c>
      <c r="AG66" s="74">
        <f t="shared" si="6"/>
        <v>7.5</v>
      </c>
      <c r="AH66" s="41" t="str">
        <f>IF($C66="","",$B66&amp;"|"&amp;(COUNTIFS($B$4:$B$1463,$B66,$AF$4:$AF$1463,"&gt;"&amp;$AF66)+COUNTIFS($B$4:$B66,$B66,$AF$4:$AF66,"="&amp;$AF66)))</f>
        <v>SBG|30</v>
      </c>
      <c r="AI66" s="41" t="str">
        <f>IF($C66="","",$B66&amp;"|"&amp;(COUNTIFS($B$4:$B$1463,$B66,$AG$4:$AG$1463,"&gt;"&amp;$AG66)+COUNTIFS($B$4:$B66,$B66,$AG$4:$AG66,"="&amp;$AG66)))</f>
        <v>SBG|20</v>
      </c>
    </row>
    <row r="67" spans="1:35" hidden="1">
      <c r="A67" s="69" t="s">
        <v>109</v>
      </c>
      <c r="B67" s="69" t="s">
        <v>110</v>
      </c>
      <c r="C67" s="63" t="s">
        <v>659</v>
      </c>
      <c r="D67" s="69"/>
      <c r="E67" s="68" t="s">
        <v>80</v>
      </c>
      <c r="F67" s="19" t="str">
        <f>IF($C67="","",IF($E67="","-",IFERROR(INDEX(SETUP!$B$55:$B$64,MATCH($E67,SETUP!$A$55:$A$64,0)),"Other")))</f>
        <v>Ranged DPS</v>
      </c>
      <c r="G67" s="70">
        <v>61862</v>
      </c>
      <c r="H67" s="19" t="str">
        <f>IF($C67="","",IF($G67="","-",INDEX(SETUP!$B$26:$B$32,MATCH($G67,SETUP!$A$26:$A$32,1))))</f>
        <v>61,000 - 61,999</v>
      </c>
      <c r="I67" s="70">
        <v>3520</v>
      </c>
      <c r="J67" s="19" t="str">
        <f>IF($C67="","",IF($I67="","-",INDEX(SETUP!$B$16:$B$22,MATCH($I67,SETUP!$A$16:$A$22,1))))</f>
        <v>DEVELOPING</v>
      </c>
      <c r="K67" s="19" t="str">
        <f>IF($C67="","",IF($I67="","-",TEXT(INT($I67/1000)*1000,"#,##0")&amp;" - "&amp;TEXT(INT($I67/1000)*1000+999,"#,##0")))</f>
        <v>3,000 - 3,999</v>
      </c>
      <c r="L67" s="71">
        <v>3</v>
      </c>
      <c r="M67" s="19" t="str">
        <f>IF($C67="","",IF($L67="","-",INDEX(SETUP!$B$36:$B$42,MATCH($L67,SETUP!$A$36:$A$42,1))))</f>
        <v>3k - 4k</v>
      </c>
      <c r="N67" s="21">
        <f>IF($C67="","",IF(OR($G67="",$I67=""),"",ROUND(100*(SETUP!$B$4*MIN(1,$I67/SETUP!$B$9)+SETUP!$B$5*MAX(0,MIN(1,($G67-SETUP!$B$10)/(SETUP!$B$11-SETUP!$B$10)))+SETUP!$B$6*MIN(1,IF($L67="",0,$L67)/SETUP!$B$12)),1)))</f>
        <v>38.4</v>
      </c>
      <c r="O67" s="19" t="str">
        <f>IF($C67="","",IF($N67="","-",INDEX(SETUP!$B$46:$B$51,MATCH($N67,SETUP!$A$46:$A$51,1))))</f>
        <v>B</v>
      </c>
      <c r="P67" s="19">
        <f>IF($C67="","",IF($I67="","",RANK($I67,$I$4:$I$1463)+COUNTIF($I$4:$I67,$I67)-1))</f>
        <v>724</v>
      </c>
      <c r="Q67" s="19">
        <f>IF($C67="","",COUNTIFS($B$4:$B$1463,$B67,$X$4:$X$1463,"&gt;"&amp;$X67)+COUNTIFS($B$4:$B67,$B67,$X$4:$X67,"="&amp;$X67))</f>
        <v>73</v>
      </c>
      <c r="R67" s="75">
        <f>IF($C67="","",IF($I67="","",ROUND(COUNTIF($I$4:$I$1463,"&lt;"&amp;$I67)/COUNT($I$4:$I$1463),3)))</f>
        <v>0.45300000000000001</v>
      </c>
      <c r="S67" s="19" t="str">
        <f>IF($C67="","",IF($G67="","Name only",IF(OR($I67="",$L67=""),"Partial","Complete")))</f>
        <v>Complete</v>
      </c>
      <c r="T67" s="1" t="str">
        <f>IF($C67="","",TRIM(IF(COUNTIF($C$4:$C$1463,$C67)&gt;1,"Dup name; ","")&amp;IF(AND($G67&lt;&gt;"",$G67&lt;55000),"Low CR - verify; ","")&amp;IF(AND($L67&lt;&gt;"",$L67&gt;15),"Secondary - verify; ","")&amp;IF($E67="","No class; ","")))</f>
        <v/>
      </c>
      <c r="U67" s="68"/>
      <c r="V67" s="68"/>
      <c r="W67" s="68"/>
      <c r="X67" s="76">
        <f t="shared" si="2"/>
        <v>3520</v>
      </c>
      <c r="Y67" s="1" t="str">
        <f t="shared" si="3"/>
        <v>AZUKI|73</v>
      </c>
      <c r="Z67" s="19">
        <f>IF($C67="","",IF($G67="","",RANK($G67,$G$4:$G$1463)+COUNTIF($G$4:$G67,$G67)-1))</f>
        <v>894</v>
      </c>
      <c r="AA67" s="19">
        <f>IF($C67="","",IF($N67="","",RANK($N67,$N$4:$N$1463)+COUNTIF($N$4:$N67,$N67)-1))</f>
        <v>888</v>
      </c>
      <c r="AB67" s="1" t="str">
        <f>IF($C67="","",IF($E67="","",$E67&amp;"#"&amp;(COUNTIFS($E$4:$E$1463,$E67,$X$4:$X$1463,"&gt;"&amp;$X67)+COUNTIFS($E$4:$E67,$E67,$X$4:$X67,"="&amp;$X67))))</f>
        <v>WIZARD#55</v>
      </c>
      <c r="AC67" s="1" t="str">
        <f>IF($C67="","",$B67&amp;"@"&amp;(COUNTIFS($B$4:$B$1463,$B67,$C$4:$C$1463,"&lt;"&amp;$C67)+COUNTIFS($B$4:$B67,$B67,$C$4:$C67,$C67)))</f>
        <v>AZUKI@7</v>
      </c>
      <c r="AD67" s="1">
        <f t="shared" si="4"/>
        <v>64</v>
      </c>
      <c r="AE67" s="1" t="s">
        <v>611</v>
      </c>
      <c r="AF67" s="76">
        <f t="shared" si="5"/>
        <v>61862</v>
      </c>
      <c r="AG67" s="77">
        <f t="shared" si="6"/>
        <v>3</v>
      </c>
      <c r="AH67" s="1" t="str">
        <f>IF($C67="","",$B67&amp;"|"&amp;(COUNTIFS($B$4:$B$1463,$B67,$AF$4:$AF$1463,"&gt;"&amp;$AF67)+COUNTIFS($B$4:$B67,$B67,$AF$4:$AF67,"="&amp;$AF67)))</f>
        <v>AZUKI|82</v>
      </c>
      <c r="AI67" s="1" t="str">
        <f>IF($C67="","",$B67&amp;"|"&amp;(COUNTIFS($B$4:$B$1463,$B67,$AG$4:$AG$1463,"&gt;"&amp;$AG67)+COUNTIFS($B$4:$B67,$B67,$AG$4:$AG67,"="&amp;$AG67)))</f>
        <v>AZUKI|101</v>
      </c>
    </row>
    <row r="68" spans="1:35" hidden="1">
      <c r="A68" s="69" t="s">
        <v>109</v>
      </c>
      <c r="B68" s="69" t="s">
        <v>117</v>
      </c>
      <c r="C68" s="63" t="s">
        <v>660</v>
      </c>
      <c r="D68" s="69"/>
      <c r="E68" s="68" t="s">
        <v>79</v>
      </c>
      <c r="F68" s="15" t="str">
        <f>IF($C68="","",IF($E68="","-",IFERROR(INDEX(SETUP!$B$55:$B$64,MATCH($E68,SETUP!$A$55:$A$64,0)),"Other")))</f>
        <v>Control</v>
      </c>
      <c r="G68" s="70">
        <v>62811</v>
      </c>
      <c r="H68" s="15" t="str">
        <f>IF($C68="","",IF($G68="","-",INDEX(SETUP!$B$26:$B$32,MATCH($G68,SETUP!$A$26:$A$32,1))))</f>
        <v>62,000 - 62,999</v>
      </c>
      <c r="I68" s="70">
        <v>2718</v>
      </c>
      <c r="J68" s="15" t="str">
        <f>IF($C68="","",IF($I68="","-",INDEX(SETUP!$B$16:$B$22,MATCH($I68,SETUP!$A$16:$A$22,1))))</f>
        <v>DEVELOPING</v>
      </c>
      <c r="K68" s="15" t="str">
        <f>IF($C68="","",IF($I68="","-",TEXT(INT($I68/1000)*1000,"#,##0")&amp;" - "&amp;TEXT(INT($I68/1000)*1000+999,"#,##0")))</f>
        <v>2,000 - 2,999</v>
      </c>
      <c r="L68" s="71">
        <v>5.15</v>
      </c>
      <c r="M68" s="15" t="str">
        <f>IF($C68="","",IF($L68="","-",INDEX(SETUP!$B$36:$B$42,MATCH($L68,SETUP!$A$36:$A$42,1))))</f>
        <v>5k - 6k</v>
      </c>
      <c r="N68" s="17">
        <f>IF($C68="","",IF(OR($G68="",$I68=""),"",ROUND(100*(SETUP!$B$4*MIN(1,$I68/SETUP!$B$9)+SETUP!$B$5*MAX(0,MIN(1,($G68-SETUP!$B$10)/(SETUP!$B$11-SETUP!$B$10)))+SETUP!$B$6*MIN(1,IF($L68="",0,$L68)/SETUP!$B$12)),1)))</f>
        <v>41</v>
      </c>
      <c r="O68" s="15" t="str">
        <f>IF($C68="","",IF($N68="","-",INDEX(SETUP!$B$46:$B$51,MATCH($N68,SETUP!$A$46:$A$51,1))))</f>
        <v>B</v>
      </c>
      <c r="P68" s="15">
        <f>IF($C68="","",IF($I68="","",RANK($I68,$I$4:$I$1463)+COUNTIF($I$4:$I68,$I68)-1))</f>
        <v>949</v>
      </c>
      <c r="Q68" s="15">
        <f>IF($C68="","",COUNTIFS($B$4:$B$1463,$B68,$X$4:$X$1463,"&gt;"&amp;$X68)+COUNTIFS($B$4:$B68,$B68,$X$4:$X68,"="&amp;$X68))</f>
        <v>25</v>
      </c>
      <c r="R68" s="72">
        <f>IF($C68="","",IF($I68="","",ROUND(COUNTIF($I$4:$I$1463,"&lt;"&amp;$I68)/COUNT($I$4:$I$1463),3)))</f>
        <v>0.28399999999999997</v>
      </c>
      <c r="S68" s="15" t="str">
        <f>IF($C68="","",IF($G68="","Name only",IF(OR($I68="",$L68=""),"Partial","Complete")))</f>
        <v>Complete</v>
      </c>
      <c r="T68" s="41" t="str">
        <f>IF($C68="","",TRIM(IF(COUNTIF($C$4:$C$1463,$C68)&gt;1,"Dup name; ","")&amp;IF(AND($G68&lt;&gt;"",$G68&lt;55000),"Low CR - verify; ","")&amp;IF(AND($L68&lt;&gt;"",$L68&gt;15),"Secondary - verify; ","")&amp;IF($E68="","No class; ","")))</f>
        <v/>
      </c>
      <c r="U68" s="68"/>
      <c r="V68" s="68"/>
      <c r="W68" s="68"/>
      <c r="X68" s="73">
        <f t="shared" ref="X68:X131" si="7">IF($C68="","",IF($I68="",-1,$I68))</f>
        <v>2718</v>
      </c>
      <c r="Y68" s="41" t="str">
        <f t="shared" ref="Y68:Y131" si="8">IF($C68="","",$B68&amp;"|"&amp;$Q68)</f>
        <v>VENDETTA|25</v>
      </c>
      <c r="Z68" s="15">
        <f>IF($C68="","",IF($G68="","",RANK($G68,$G$4:$G$1463)+COUNTIF($G$4:$G68,$G68)-1))</f>
        <v>515</v>
      </c>
      <c r="AA68" s="15">
        <f>IF($C68="","",IF($N68="","",RANK($N68,$N$4:$N$1463)+COUNTIF($N$4:$N68,$N68)-1))</f>
        <v>774</v>
      </c>
      <c r="AB68" s="41" t="str">
        <f>IF($C68="","",IF($E68="","",$E68&amp;"#"&amp;(COUNTIFS($E$4:$E$1463,$E68,$X$4:$X$1463,"&gt;"&amp;$X68)+COUNTIFS($E$4:$E68,$E68,$X$4:$X68,"="&amp;$X68))))</f>
        <v>WARLOCK#234</v>
      </c>
      <c r="AC68" s="41" t="str">
        <f>IF($C68="","",$B68&amp;"@"&amp;(COUNTIFS($B$4:$B$1463,$B68,$C$4:$C$1463,"&lt;"&amp;$C68)+COUNTIFS($B$4:$B68,$B68,$C$4:$C68,$C68)))</f>
        <v>VENDETTA@9</v>
      </c>
      <c r="AD68" s="41">
        <f t="shared" ref="AD68:AD131" si="9">IF($C68="","",ROW()-4+1)</f>
        <v>65</v>
      </c>
      <c r="AE68" s="41" t="s">
        <v>574</v>
      </c>
      <c r="AF68" s="73">
        <f t="shared" ref="AF68:AF131" si="10">IF($C68="","",IF($G68="",-1,$G68))</f>
        <v>62811</v>
      </c>
      <c r="AG68" s="74">
        <f t="shared" ref="AG68:AG131" si="11">IF($C68="","",IF($L68="",-1,$L68))</f>
        <v>5.15</v>
      </c>
      <c r="AH68" s="41" t="str">
        <f>IF($C68="","",$B68&amp;"|"&amp;(COUNTIFS($B$4:$B$1463,$B68,$AF$4:$AF$1463,"&gt;"&amp;$AF68)+COUNTIFS($B$4:$B68,$B68,$AF$4:$AF68,"="&amp;$AF68)))</f>
        <v>VENDETTA|8</v>
      </c>
      <c r="AI68" s="41" t="str">
        <f>IF($C68="","",$B68&amp;"|"&amp;(COUNTIFS($B$4:$B$1463,$B68,$AG$4:$AG$1463,"&gt;"&amp;$AG68)+COUNTIFS($B$4:$B68,$B68,$AG$4:$AG68,"="&amp;$AG68)))</f>
        <v>VENDETTA|7</v>
      </c>
    </row>
    <row r="69" spans="1:35" hidden="1">
      <c r="A69" s="69" t="s">
        <v>109</v>
      </c>
      <c r="B69" s="69" t="s">
        <v>108</v>
      </c>
      <c r="C69" s="63" t="s">
        <v>661</v>
      </c>
      <c r="D69" s="69"/>
      <c r="E69" s="68" t="s">
        <v>73</v>
      </c>
      <c r="F69" s="19" t="str">
        <f>IF($C69="","",IF($E69="","-",IFERROR(INDEX(SETUP!$B$55:$B$64,MATCH($E69,SETUP!$A$55:$A$64,0)),"Other")))</f>
        <v>Frontline</v>
      </c>
      <c r="G69" s="70">
        <v>63880</v>
      </c>
      <c r="H69" s="19" t="str">
        <f>IF($C69="","",IF($G69="","-",INDEX(SETUP!$B$26:$B$32,MATCH($G69,SETUP!$A$26:$A$32,1))))</f>
        <v>63,000 - 63,999</v>
      </c>
      <c r="I69" s="70">
        <v>8144</v>
      </c>
      <c r="J69" s="19" t="str">
        <f>IF($C69="","",IF($I69="","-",INDEX(SETUP!$B$16:$B$22,MATCH($I69,SETUP!$A$16:$A$22,1))))</f>
        <v>ELITE</v>
      </c>
      <c r="K69" s="19" t="str">
        <f>IF($C69="","",IF($I69="","-",TEXT(INT($I69/1000)*1000,"#,##0")&amp;" - "&amp;TEXT(INT($I69/1000)*1000+999,"#,##0")))</f>
        <v>8,000 - 8,999</v>
      </c>
      <c r="L69" s="71">
        <v>6</v>
      </c>
      <c r="M69" s="19" t="str">
        <f>IF($C69="","",IF($L69="","-",INDEX(SETUP!$B$36:$B$42,MATCH($L69,SETUP!$A$36:$A$42,1))))</f>
        <v>6k - 8k</v>
      </c>
      <c r="N69" s="21">
        <f>IF($C69="","",IF(OR($G69="",$I69=""),"",ROUND(100*(SETUP!$B$4*MIN(1,$I69/SETUP!$B$9)+SETUP!$B$5*MAX(0,MIN(1,($G69-SETUP!$B$10)/(SETUP!$B$11-SETUP!$B$10)))+SETUP!$B$6*MIN(1,IF($L69="",0,$L69)/SETUP!$B$12)),1)))</f>
        <v>68.900000000000006</v>
      </c>
      <c r="O69" s="19" t="str">
        <f>IF($C69="","",IF($N69="","-",INDEX(SETUP!$B$46:$B$51,MATCH($N69,SETUP!$A$46:$A$51,1))))</f>
        <v>S</v>
      </c>
      <c r="P69" s="19">
        <f>IF($C69="","",IF($I69="","",RANK($I69,$I$4:$I$1463)+COUNTIF($I$4:$I69,$I69)-1))</f>
        <v>141</v>
      </c>
      <c r="Q69" s="19">
        <f>IF($C69="","",COUNTIFS($B$4:$B$1463,$B69,$X$4:$X$1463,"&gt;"&amp;$X69)+COUNTIFS($B$4:$B69,$B69,$X$4:$X69,"="&amp;$X69))</f>
        <v>22</v>
      </c>
      <c r="R69" s="75">
        <f>IF($C69="","",IF($I69="","",ROUND(COUNTIF($I$4:$I$1463,"&lt;"&amp;$I69)/COUNT($I$4:$I$1463),3)))</f>
        <v>0.89400000000000002</v>
      </c>
      <c r="S69" s="19" t="str">
        <f>IF($C69="","",IF($G69="","Name only",IF(OR($I69="",$L69=""),"Partial","Complete")))</f>
        <v>Complete</v>
      </c>
      <c r="T69" s="1" t="str">
        <f>IF($C69="","",TRIM(IF(COUNTIF($C$4:$C$1463,$C69)&gt;1,"Dup name; ","")&amp;IF(AND($G69&lt;&gt;"",$G69&lt;55000),"Low CR - verify; ","")&amp;IF(AND($L69&lt;&gt;"",$L69&gt;15),"Secondary - verify; ","")&amp;IF($E69="","No class; ","")))</f>
        <v/>
      </c>
      <c r="U69" s="68"/>
      <c r="V69" s="68"/>
      <c r="W69" s="68"/>
      <c r="X69" s="76">
        <f t="shared" si="7"/>
        <v>8144</v>
      </c>
      <c r="Y69" s="1" t="str">
        <f t="shared" si="8"/>
        <v>SBG|22</v>
      </c>
      <c r="Z69" s="19">
        <f>IF($C69="","",IF($G69="","",RANK($G69,$G$4:$G$1463)+COUNTIF($G$4:$G69,$G69)-1))</f>
        <v>102</v>
      </c>
      <c r="AA69" s="19">
        <f>IF($C69="","",IF($N69="","",RANK($N69,$N$4:$N$1463)+COUNTIF($N$4:$N69,$N69)-1))</f>
        <v>136</v>
      </c>
      <c r="AB69" s="1" t="str">
        <f>IF($C69="","",IF($E69="","",$E69&amp;"#"&amp;(COUNTIFS($E$4:$E$1463,$E69,$X$4:$X$1463,"&gt;"&amp;$X69)+COUNTIFS($E$4:$E69,$E69,$X$4:$X69,"="&amp;$X69))))</f>
        <v>CRUSADER#22</v>
      </c>
      <c r="AC69" s="1" t="str">
        <f>IF($C69="","",$B69&amp;"@"&amp;(COUNTIFS($B$4:$B$1463,$B69,$C$4:$C$1463,"&lt;"&amp;$C69)+COUNTIFS($B$4:$B69,$B69,$C$4:$C69,$C69)))</f>
        <v>SBG@3</v>
      </c>
      <c r="AD69" s="1">
        <f t="shared" si="9"/>
        <v>66</v>
      </c>
      <c r="AE69" s="1" t="s">
        <v>662</v>
      </c>
      <c r="AF69" s="76">
        <f t="shared" si="10"/>
        <v>63880</v>
      </c>
      <c r="AG69" s="77">
        <f t="shared" si="11"/>
        <v>6</v>
      </c>
      <c r="AH69" s="1" t="str">
        <f>IF($C69="","",$B69&amp;"|"&amp;(COUNTIFS($B$4:$B$1463,$B69,$AF$4:$AF$1463,"&gt;"&amp;$AF69)+COUNTIFS($B$4:$B69,$B69,$AF$4:$AF69,"="&amp;$AF69)))</f>
        <v>SBG|17</v>
      </c>
      <c r="AI69" s="1" t="str">
        <f>IF($C69="","",$B69&amp;"|"&amp;(COUNTIFS($B$4:$B$1463,$B69,$AG$4:$AG$1463,"&gt;"&amp;$AG69)+COUNTIFS($B$4:$B69,$B69,$AG$4:$AG69,"="&amp;$AG69)))</f>
        <v>SBG|39</v>
      </c>
    </row>
    <row r="70" spans="1:35" hidden="1">
      <c r="A70" s="69" t="s">
        <v>109</v>
      </c>
      <c r="B70" s="69" t="s">
        <v>116</v>
      </c>
      <c r="C70" s="63" t="s">
        <v>663</v>
      </c>
      <c r="D70" s="69" t="s">
        <v>530</v>
      </c>
      <c r="E70" s="68" t="s">
        <v>75</v>
      </c>
      <c r="F70" s="15" t="str">
        <f>IF($C70="","",IF($E70="","-",IFERROR(INDEX(SETUP!$B$55:$B$64,MATCH($E70,SETUP!$A$55:$A$64,0)),"Other")))</f>
        <v>Support</v>
      </c>
      <c r="G70" s="70">
        <v>59279</v>
      </c>
      <c r="H70" s="15" t="str">
        <f>IF($C70="","",IF($G70="","-",INDEX(SETUP!$B$26:$B$32,MATCH($G70,SETUP!$A$26:$A$32,1))))</f>
        <v>58,000 - 59,999</v>
      </c>
      <c r="I70" s="70">
        <v>3520</v>
      </c>
      <c r="J70" s="15" t="str">
        <f>IF($C70="","",IF($I70="","-",INDEX(SETUP!$B$16:$B$22,MATCH($I70,SETUP!$A$16:$A$22,1))))</f>
        <v>DEVELOPING</v>
      </c>
      <c r="K70" s="15" t="str">
        <f>IF($C70="","",IF($I70="","-",TEXT(INT($I70/1000)*1000,"#,##0")&amp;" - "&amp;TEXT(INT($I70/1000)*1000+999,"#,##0")))</f>
        <v>3,000 - 3,999</v>
      </c>
      <c r="L70" s="71">
        <v>4.6100000000000003</v>
      </c>
      <c r="M70" s="15" t="str">
        <f>IF($C70="","",IF($L70="","-",INDEX(SETUP!$B$36:$B$42,MATCH($L70,SETUP!$A$36:$A$42,1))))</f>
        <v>4k - 5k</v>
      </c>
      <c r="N70" s="17">
        <f>IF($C70="","",IF(OR($G70="",$I70=""),"",ROUND(100*(SETUP!$B$4*MIN(1,$I70/SETUP!$B$9)+SETUP!$B$5*MAX(0,MIN(1,($G70-SETUP!$B$10)/(SETUP!$B$11-SETUP!$B$10)))+SETUP!$B$6*MIN(1,IF($L70="",0,$L70)/SETUP!$B$12)),1)))</f>
        <v>34.299999999999997</v>
      </c>
      <c r="O70" s="15" t="str">
        <f>IF($C70="","",IF($N70="","-",INDEX(SETUP!$B$46:$B$51,MATCH($N70,SETUP!$A$46:$A$51,1))))</f>
        <v>C</v>
      </c>
      <c r="P70" s="15">
        <f>IF($C70="","",IF($I70="","",RANK($I70,$I$4:$I$1463)+COUNTIF($I$4:$I70,$I70)-1))</f>
        <v>725</v>
      </c>
      <c r="Q70" s="15">
        <f>IF($C70="","",COUNTIFS($B$4:$B$1463,$B70,$X$4:$X$1463,"&gt;"&amp;$X70)+COUNTIFS($B$4:$B70,$B70,$X$4:$X70,"="&amp;$X70))</f>
        <v>44</v>
      </c>
      <c r="R70" s="72">
        <f>IF($C70="","",IF($I70="","",ROUND(COUNTIF($I$4:$I$1463,"&lt;"&amp;$I70)/COUNT($I$4:$I$1463),3)))</f>
        <v>0.45300000000000001</v>
      </c>
      <c r="S70" s="15" t="str">
        <f>IF($C70="","",IF($G70="","Name only",IF(OR($I70="",$L70=""),"Partial","Complete")))</f>
        <v>Complete</v>
      </c>
      <c r="T70" s="41" t="str">
        <f>IF($C70="","",TRIM(IF(COUNTIF($C$4:$C$1463,$C70)&gt;1,"Dup name; ","")&amp;IF(AND($G70&lt;&gt;"",$G70&lt;55000),"Low CR - verify; ","")&amp;IF(AND($L70&lt;&gt;"",$L70&gt;15),"Secondary - verify; ","")&amp;IF($E70="","No class; ","")))</f>
        <v/>
      </c>
      <c r="U70" s="68"/>
      <c r="V70" s="68"/>
      <c r="W70" s="68"/>
      <c r="X70" s="73">
        <f t="shared" si="7"/>
        <v>3520</v>
      </c>
      <c r="Y70" s="41" t="str">
        <f t="shared" si="8"/>
        <v>VENGEANCE|44</v>
      </c>
      <c r="Z70" s="15">
        <f>IF($C70="","",IF($G70="","",RANK($G70,$G$4:$G$1463)+COUNTIF($G$4:$G70,$G70)-1))</f>
        <v>1268</v>
      </c>
      <c r="AA70" s="15">
        <f>IF($C70="","",IF($N70="","",RANK($N70,$N$4:$N$1463)+COUNTIF($N$4:$N70,$N70)-1))</f>
        <v>1030</v>
      </c>
      <c r="AB70" s="41" t="str">
        <f>IF($C70="","",IF($E70="","",$E70&amp;"#"&amp;(COUNTIFS($E$4:$E$1463,$E70,$X$4:$X$1463,"&gt;"&amp;$X70)+COUNTIFS($E$4:$E70,$E70,$X$4:$X70,"="&amp;$X70))))</f>
        <v>DRUID#34</v>
      </c>
      <c r="AC70" s="41" t="str">
        <f>IF($C70="","",$B70&amp;"@"&amp;(COUNTIFS($B$4:$B$1463,$B70,$C$4:$C$1463,"&lt;"&amp;$C70)+COUNTIFS($B$4:$B70,$B70,$C$4:$C70,$C70)))</f>
        <v>VENGEANCE@7</v>
      </c>
      <c r="AD70" s="41">
        <f t="shared" si="9"/>
        <v>67</v>
      </c>
      <c r="AE70" s="41" t="s">
        <v>664</v>
      </c>
      <c r="AF70" s="73">
        <f t="shared" si="10"/>
        <v>59279</v>
      </c>
      <c r="AG70" s="74">
        <f t="shared" si="11"/>
        <v>4.6100000000000003</v>
      </c>
      <c r="AH70" s="41" t="str">
        <f>IF($C70="","",$B70&amp;"|"&amp;(COUNTIFS($B$4:$B$1463,$B70,$AF$4:$AF$1463,"&gt;"&amp;$AF70)+COUNTIFS($B$4:$B70,$B70,$AF$4:$AF70,"="&amp;$AF70)))</f>
        <v>VENGEANCE|92</v>
      </c>
      <c r="AI70" s="41" t="str">
        <f>IF($C70="","",$B70&amp;"|"&amp;(COUNTIFS($B$4:$B$1463,$B70,$AG$4:$AG$1463,"&gt;"&amp;$AG70)+COUNTIFS($B$4:$B70,$B70,$AG$4:$AG70,"="&amp;$AG70)))</f>
        <v>VENGEANCE|47</v>
      </c>
    </row>
    <row r="71" spans="1:35" hidden="1">
      <c r="A71" s="69" t="s">
        <v>106</v>
      </c>
      <c r="B71" s="69" t="s">
        <v>107</v>
      </c>
      <c r="C71" s="63" t="s">
        <v>665</v>
      </c>
      <c r="D71" s="69"/>
      <c r="E71" s="68" t="s">
        <v>72</v>
      </c>
      <c r="F71" s="19" t="str">
        <f>IF($C71="","",IF($E71="","-",IFERROR(INDEX(SETUP!$B$55:$B$64,MATCH($E71,SETUP!$A$55:$A$64,0)),"Other")))</f>
        <v>Frontline</v>
      </c>
      <c r="G71" s="70">
        <v>62657</v>
      </c>
      <c r="H71" s="19" t="str">
        <f>IF($C71="","",IF($G71="","-",INDEX(SETUP!$B$26:$B$32,MATCH($G71,SETUP!$A$26:$A$32,1))))</f>
        <v>62,000 - 62,999</v>
      </c>
      <c r="I71" s="70">
        <v>3747</v>
      </c>
      <c r="J71" s="19" t="str">
        <f>IF($C71="","",IF($I71="","-",INDEX(SETUP!$B$16:$B$22,MATCH($I71,SETUP!$A$16:$A$22,1))))</f>
        <v>DEVELOPING</v>
      </c>
      <c r="K71" s="19" t="str">
        <f>IF($C71="","",IF($I71="","-",TEXT(INT($I71/1000)*1000,"#,##0")&amp;" - "&amp;TEXT(INT($I71/1000)*1000+999,"#,##0")))</f>
        <v>3,000 - 3,999</v>
      </c>
      <c r="L71" s="71">
        <v>4.5999999999999996</v>
      </c>
      <c r="M71" s="19" t="str">
        <f>IF($C71="","",IF($L71="","-",INDEX(SETUP!$B$36:$B$42,MATCH($L71,SETUP!$A$36:$A$42,1))))</f>
        <v>4k - 5k</v>
      </c>
      <c r="N71" s="21">
        <f>IF($C71="","",IF(OR($G71="",$I71=""),"",ROUND(100*(SETUP!$B$4*MIN(1,$I71/SETUP!$B$9)+SETUP!$B$5*MAX(0,MIN(1,($G71-SETUP!$B$10)/(SETUP!$B$11-SETUP!$B$10)))+SETUP!$B$6*MIN(1,IF($L71="",0,$L71)/SETUP!$B$12)),1)))</f>
        <v>44.2</v>
      </c>
      <c r="O71" s="19" t="str">
        <f>IF($C71="","",IF($N71="","-",INDEX(SETUP!$B$46:$B$51,MATCH($N71,SETUP!$A$46:$A$51,1))))</f>
        <v>B</v>
      </c>
      <c r="P71" s="19">
        <f>IF($C71="","",IF($I71="","",RANK($I71,$I$4:$I$1463)+COUNTIF($I$4:$I71,$I71)-1))</f>
        <v>668</v>
      </c>
      <c r="Q71" s="19">
        <f>IF($C71="","",COUNTIFS($B$4:$B$1463,$B71,$X$4:$X$1463,"&gt;"&amp;$X71)+COUNTIFS($B$4:$B71,$B71,$X$4:$X71,"="&amp;$X71))</f>
        <v>58</v>
      </c>
      <c r="R71" s="75">
        <f>IF($C71="","",IF($I71="","",ROUND(COUNTIF($I$4:$I$1463,"&lt;"&amp;$I71)/COUNT($I$4:$I$1463),3)))</f>
        <v>0.496</v>
      </c>
      <c r="S71" s="19" t="str">
        <f>IF($C71="","",IF($G71="","Name only",IF(OR($I71="",$L71=""),"Partial","Complete")))</f>
        <v>Complete</v>
      </c>
      <c r="T71" s="1" t="str">
        <f>IF($C71="","",TRIM(IF(COUNTIF($C$4:$C$1463,$C71)&gt;1,"Dup name; ","")&amp;IF(AND($G71&lt;&gt;"",$G71&lt;55000),"Low CR - verify; ","")&amp;IF(AND($L71&lt;&gt;"",$L71&gt;15),"Secondary - verify; ","")&amp;IF($E71="","No class; ","")))</f>
        <v/>
      </c>
      <c r="U71" s="68"/>
      <c r="V71" s="68"/>
      <c r="W71" s="68"/>
      <c r="X71" s="76">
        <f t="shared" si="7"/>
        <v>3747</v>
      </c>
      <c r="Y71" s="1" t="str">
        <f t="shared" si="8"/>
        <v>UNDYING|58</v>
      </c>
      <c r="Z71" s="19">
        <f>IF($C71="","",IF($G71="","",RANK($G71,$G$4:$G$1463)+COUNTIF($G$4:$G71,$G71)-1))</f>
        <v>584</v>
      </c>
      <c r="AA71" s="19">
        <f>IF($C71="","",IF($N71="","",RANK($N71,$N$4:$N$1463)+COUNTIF($N$4:$N71,$N71)-1))</f>
        <v>652</v>
      </c>
      <c r="AB71" s="1" t="str">
        <f>IF($C71="","",IF($E71="","",$E71&amp;"#"&amp;(COUNTIFS($E$4:$E$1463,$E71,$X$4:$X$1463,"&gt;"&amp;$X71)+COUNTIFS($E$4:$E71,$E71,$X$4:$X71,"="&amp;$X71))))</f>
        <v>BLOOD KNIGHT#42</v>
      </c>
      <c r="AC71" s="1" t="str">
        <f>IF($C71="","",$B71&amp;"@"&amp;(COUNTIFS($B$4:$B$1463,$B71,$C$4:$C$1463,"&lt;"&amp;$C71)+COUNTIFS($B$4:$B71,$B71,$C$4:$C71,$C71)))</f>
        <v>UNDYING@7</v>
      </c>
      <c r="AD71" s="1">
        <f t="shared" si="9"/>
        <v>68</v>
      </c>
      <c r="AE71" s="1" t="s">
        <v>553</v>
      </c>
      <c r="AF71" s="76">
        <f t="shared" si="10"/>
        <v>62657</v>
      </c>
      <c r="AG71" s="77">
        <f t="shared" si="11"/>
        <v>4.5999999999999996</v>
      </c>
      <c r="AH71" s="1" t="str">
        <f>IF($C71="","",$B71&amp;"|"&amp;(COUNTIFS($B$4:$B$1463,$B71,$AF$4:$AF$1463,"&gt;"&amp;$AF71)+COUNTIFS($B$4:$B71,$B71,$AF$4:$AF71,"="&amp;$AF71)))</f>
        <v>UNDYING|59</v>
      </c>
      <c r="AI71" s="1" t="str">
        <f>IF($C71="","",$B71&amp;"|"&amp;(COUNTIFS($B$4:$B$1463,$B71,$AG$4:$AG$1463,"&gt;"&amp;$AG71)+COUNTIFS($B$4:$B71,$B71,$AG$4:$AG71,"="&amp;$AG71)))</f>
        <v>UNDYING|64</v>
      </c>
    </row>
    <row r="72" spans="1:35" hidden="1">
      <c r="A72" s="69" t="s">
        <v>109</v>
      </c>
      <c r="B72" s="69" t="s">
        <v>113</v>
      </c>
      <c r="C72" s="63" t="s">
        <v>666</v>
      </c>
      <c r="D72" s="69" t="s">
        <v>548</v>
      </c>
      <c r="E72" s="68" t="s">
        <v>79</v>
      </c>
      <c r="F72" s="15" t="str">
        <f>IF($C72="","",IF($E72="","-",IFERROR(INDEX(SETUP!$B$55:$B$64,MATCH($E72,SETUP!$A$55:$A$64,0)),"Other")))</f>
        <v>Control</v>
      </c>
      <c r="G72" s="70">
        <v>60920</v>
      </c>
      <c r="H72" s="15" t="str">
        <f>IF($C72="","",IF($G72="","-",INDEX(SETUP!$B$26:$B$32,MATCH($G72,SETUP!$A$26:$A$32,1))))</f>
        <v>60,000 - 60,999</v>
      </c>
      <c r="I72" s="70">
        <v>2000</v>
      </c>
      <c r="J72" s="15" t="str">
        <f>IF($C72="","",IF($I72="","-",INDEX(SETUP!$B$16:$B$22,MATCH($I72,SETUP!$A$16:$A$22,1))))</f>
        <v>DEVELOPING</v>
      </c>
      <c r="K72" s="15" t="str">
        <f>IF($C72="","",IF($I72="","-",TEXT(INT($I72/1000)*1000,"#,##0")&amp;" - "&amp;TEXT(INT($I72/1000)*1000+999,"#,##0")))</f>
        <v>2,000 - 2,999</v>
      </c>
      <c r="L72" s="71">
        <v>3.55</v>
      </c>
      <c r="M72" s="15" t="str">
        <f>IF($C72="","",IF($L72="","-",INDEX(SETUP!$B$36:$B$42,MATCH($L72,SETUP!$A$36:$A$42,1))))</f>
        <v>3k - 4k</v>
      </c>
      <c r="N72" s="17">
        <f>IF($C72="","",IF(OR($G72="",$I72=""),"",ROUND(100*(SETUP!$B$4*MIN(1,$I72/SETUP!$B$9)+SETUP!$B$5*MAX(0,MIN(1,($G72-SETUP!$B$10)/(SETUP!$B$11-SETUP!$B$10)))+SETUP!$B$6*MIN(1,IF($L72="",0,$L72)/SETUP!$B$12)),1)))</f>
        <v>30.2</v>
      </c>
      <c r="O72" s="15" t="str">
        <f>IF($C72="","",IF($N72="","-",INDEX(SETUP!$B$46:$B$51,MATCH($N72,SETUP!$A$46:$A$51,1))))</f>
        <v>C</v>
      </c>
      <c r="P72" s="15">
        <f>IF($C72="","",IF($I72="","",RANK($I72,$I$4:$I$1463)+COUNTIF($I$4:$I72,$I72)-1))</f>
        <v>1117</v>
      </c>
      <c r="Q72" s="15">
        <f>IF($C72="","",COUNTIFS($B$4:$B$1463,$B72,$X$4:$X$1463,"&gt;"&amp;$X72)+COUNTIFS($B$4:$B72,$B72,$X$4:$X72,"="&amp;$X72))</f>
        <v>83</v>
      </c>
      <c r="R72" s="72">
        <f>IF($C72="","",IF($I72="","",ROUND(COUNTIF($I$4:$I$1463,"&lt;"&amp;$I72)/COUNT($I$4:$I$1463),3)))</f>
        <v>0.157</v>
      </c>
      <c r="S72" s="15" t="str">
        <f>IF($C72="","",IF($G72="","Name only",IF(OR($I72="",$L72=""),"Partial","Complete")))</f>
        <v>Complete</v>
      </c>
      <c r="T72" s="41" t="str">
        <f>IF($C72="","",TRIM(IF(COUNTIF($C$4:$C$1463,$C72)&gt;1,"Dup name; ","")&amp;IF(AND($G72&lt;&gt;"",$G72&lt;55000),"Low CR - verify; ","")&amp;IF(AND($L72&lt;&gt;"",$L72&gt;15),"Secondary - verify; ","")&amp;IF($E72="","No class; ","")))</f>
        <v/>
      </c>
      <c r="U72" s="68"/>
      <c r="V72" s="68"/>
      <c r="W72" s="68"/>
      <c r="X72" s="73">
        <f t="shared" si="7"/>
        <v>2000</v>
      </c>
      <c r="Y72" s="41" t="str">
        <f t="shared" si="8"/>
        <v>INVICTUS|83</v>
      </c>
      <c r="Z72" s="15">
        <f>IF($C72="","",IF($G72="","",RANK($G72,$G$4:$G$1463)+COUNTIF($G$4:$G72,$G72)-1))</f>
        <v>1147</v>
      </c>
      <c r="AA72" s="15">
        <f>IF($C72="","",IF($N72="","",RANK($N72,$N$4:$N$1463)+COUNTIF($N$4:$N72,$N72)-1))</f>
        <v>1144</v>
      </c>
      <c r="AB72" s="41" t="str">
        <f>IF($C72="","",IF($E72="","",$E72&amp;"#"&amp;(COUNTIFS($E$4:$E$1463,$E72,$X$4:$X$1463,"&gt;"&amp;$X72)+COUNTIFS($E$4:$E72,$E72,$X$4:$X72,"="&amp;$X72))))</f>
        <v>WARLOCK#280</v>
      </c>
      <c r="AC72" s="41" t="str">
        <f>IF($C72="","",$B72&amp;"@"&amp;(COUNTIFS($B$4:$B$1463,$B72,$C$4:$C$1463,"&lt;"&amp;$C72)+COUNTIFS($B$4:$B72,$B72,$C$4:$C72,$C72)))</f>
        <v>INVICTUS@7</v>
      </c>
      <c r="AD72" s="41">
        <f t="shared" si="9"/>
        <v>69</v>
      </c>
      <c r="AE72" s="41" t="s">
        <v>667</v>
      </c>
      <c r="AF72" s="73">
        <f t="shared" si="10"/>
        <v>60920</v>
      </c>
      <c r="AG72" s="74">
        <f t="shared" si="11"/>
        <v>3.55</v>
      </c>
      <c r="AH72" s="41" t="str">
        <f>IF($C72="","",$B72&amp;"|"&amp;(COUNTIFS($B$4:$B$1463,$B72,$AF$4:$AF$1463,"&gt;"&amp;$AF72)+COUNTIFS($B$4:$B72,$B72,$AF$4:$AF72,"="&amp;$AF72)))</f>
        <v>INVICTUS|87</v>
      </c>
      <c r="AI72" s="41" t="str">
        <f>IF($C72="","",$B72&amp;"|"&amp;(COUNTIFS($B$4:$B$1463,$B72,$AG$4:$AG$1463,"&gt;"&amp;$AG72)+COUNTIFS($B$4:$B72,$B72,$AG$4:$AG72,"="&amp;$AG72)))</f>
        <v>INVICTUS|75</v>
      </c>
    </row>
    <row r="73" spans="1:35" hidden="1">
      <c r="A73" s="69" t="s">
        <v>109</v>
      </c>
      <c r="B73" s="69" t="s">
        <v>118</v>
      </c>
      <c r="C73" s="63" t="s">
        <v>668</v>
      </c>
      <c r="D73" s="69"/>
      <c r="E73" s="68" t="s">
        <v>74</v>
      </c>
      <c r="F73" s="19" t="str">
        <f>IF($C73="","",IF($E73="","-",IFERROR(INDEX(SETUP!$B$55:$B$64,MATCH($E73,SETUP!$A$55:$A$64,0)),"Other")))</f>
        <v>Ranged DPS</v>
      </c>
      <c r="G73" s="70">
        <v>59589</v>
      </c>
      <c r="H73" s="19" t="str">
        <f>IF($C73="","",IF($G73="","-",INDEX(SETUP!$B$26:$B$32,MATCH($G73,SETUP!$A$26:$A$32,1))))</f>
        <v>58,000 - 59,999</v>
      </c>
      <c r="I73" s="70">
        <v>2153</v>
      </c>
      <c r="J73" s="19" t="str">
        <f>IF($C73="","",IF($I73="","-",INDEX(SETUP!$B$16:$B$22,MATCH($I73,SETUP!$A$16:$A$22,1))))</f>
        <v>DEVELOPING</v>
      </c>
      <c r="K73" s="19" t="str">
        <f>IF($C73="","",IF($I73="","-",TEXT(INT($I73/1000)*1000,"#,##0")&amp;" - "&amp;TEXT(INT($I73/1000)*1000+999,"#,##0")))</f>
        <v>2,000 - 2,999</v>
      </c>
      <c r="L73" s="71">
        <v>2.6</v>
      </c>
      <c r="M73" s="19" t="str">
        <f>IF($C73="","",IF($L73="","-",INDEX(SETUP!$B$36:$B$42,MATCH($L73,SETUP!$A$36:$A$42,1))))</f>
        <v>Under 3k</v>
      </c>
      <c r="N73" s="21">
        <f>IF($C73="","",IF(OR($G73="",$I73=""),"",ROUND(100*(SETUP!$B$4*MIN(1,$I73/SETUP!$B$9)+SETUP!$B$5*MAX(0,MIN(1,($G73-SETUP!$B$10)/(SETUP!$B$11-SETUP!$B$10)))+SETUP!$B$6*MIN(1,IF($L73="",0,$L73)/SETUP!$B$12)),1)))</f>
        <v>25.8</v>
      </c>
      <c r="O73" s="19" t="str">
        <f>IF($C73="","",IF($N73="","-",INDEX(SETUP!$B$46:$B$51,MATCH($N73,SETUP!$A$46:$A$51,1))))</f>
        <v>C</v>
      </c>
      <c r="P73" s="19">
        <f>IF($C73="","",IF($I73="","",RANK($I73,$I$4:$I$1463)+COUNTIF($I$4:$I73,$I73)-1))</f>
        <v>1074</v>
      </c>
      <c r="Q73" s="19">
        <f>IF($C73="","",COUNTIFS($B$4:$B$1463,$B73,$X$4:$X$1463,"&gt;"&amp;$X73)+COUNTIFS($B$4:$B73,$B73,$X$4:$X73,"="&amp;$X73))</f>
        <v>36</v>
      </c>
      <c r="R73" s="75">
        <f>IF($C73="","",IF($I73="","",ROUND(COUNTIF($I$4:$I$1463,"&lt;"&amp;$I73)/COUNT($I$4:$I$1463),3)))</f>
        <v>0.189</v>
      </c>
      <c r="S73" s="19" t="str">
        <f>IF($C73="","",IF($G73="","Name only",IF(OR($I73="",$L73=""),"Partial","Complete")))</f>
        <v>Complete</v>
      </c>
      <c r="T73" s="1" t="str">
        <f>IF($C73="","",TRIM(IF(COUNTIF($C$4:$C$1463,$C73)&gt;1,"Dup name; ","")&amp;IF(AND($G73&lt;&gt;"",$G73&lt;55000),"Low CR - verify; ","")&amp;IF(AND($L73&lt;&gt;"",$L73&gt;15),"Secondary - verify; ","")&amp;IF($E73="","No class; ","")))</f>
        <v/>
      </c>
      <c r="U73" s="68"/>
      <c r="V73" s="68"/>
      <c r="W73" s="68"/>
      <c r="X73" s="76">
        <f t="shared" si="7"/>
        <v>2153</v>
      </c>
      <c r="Y73" s="1" t="str">
        <f t="shared" si="8"/>
        <v>ZOMBIES|36</v>
      </c>
      <c r="Z73" s="19">
        <f>IF($C73="","",IF($G73="","",RANK($G73,$G$4:$G$1463)+COUNTIF($G$4:$G73,$G73)-1))</f>
        <v>1260</v>
      </c>
      <c r="AA73" s="19">
        <f>IF($C73="","",IF($N73="","",RANK($N73,$N$4:$N$1463)+COUNTIF($N$4:$N73,$N73)-1))</f>
        <v>1229</v>
      </c>
      <c r="AB73" s="1" t="str">
        <f>IF($C73="","",IF($E73="","",$E73&amp;"#"&amp;(COUNTIFS($E$4:$E$1463,$E73,$X$4:$X$1463,"&gt;"&amp;$X73)+COUNTIFS($E$4:$E73,$E73,$X$4:$X73,"="&amp;$X73))))</f>
        <v>DEMON HUNTER#166</v>
      </c>
      <c r="AC73" s="1" t="str">
        <f>IF($C73="","",$B73&amp;"@"&amp;(COUNTIFS($B$4:$B$1463,$B73,$C$4:$C$1463,"&lt;"&amp;$C73)+COUNTIFS($B$4:$B73,$B73,$C$4:$C73,$C73)))</f>
        <v>ZOMBIES@8</v>
      </c>
      <c r="AD73" s="1">
        <f t="shared" si="9"/>
        <v>70</v>
      </c>
      <c r="AE73" s="1" t="s">
        <v>669</v>
      </c>
      <c r="AF73" s="76">
        <f t="shared" si="10"/>
        <v>59589</v>
      </c>
      <c r="AG73" s="77">
        <f t="shared" si="11"/>
        <v>2.6</v>
      </c>
      <c r="AH73" s="1" t="str">
        <f>IF($C73="","",$B73&amp;"|"&amp;(COUNTIFS($B$4:$B$1463,$B73,$AF$4:$AF$1463,"&gt;"&amp;$AF73)+COUNTIFS($B$4:$B73,$B73,$AF$4:$AF73,"="&amp;$AF73)))</f>
        <v>ZOMBIES|85</v>
      </c>
      <c r="AI73" s="1" t="str">
        <f>IF($C73="","",$B73&amp;"|"&amp;(COUNTIFS($B$4:$B$1463,$B73,$AG$4:$AG$1463,"&gt;"&amp;$AG73)+COUNTIFS($B$4:$B73,$B73,$AG$4:$AG73,"="&amp;$AG73)))</f>
        <v>ZOMBIES|91</v>
      </c>
    </row>
    <row r="74" spans="1:35" hidden="1">
      <c r="A74" s="69" t="s">
        <v>109</v>
      </c>
      <c r="B74" s="69" t="s">
        <v>111</v>
      </c>
      <c r="C74" s="63" t="s">
        <v>670</v>
      </c>
      <c r="D74" s="69" t="s">
        <v>527</v>
      </c>
      <c r="E74" s="68" t="s">
        <v>71</v>
      </c>
      <c r="F74" s="15" t="str">
        <f>IF($C74="","",IF($E74="","-",IFERROR(INDEX(SETUP!$B$55:$B$64,MATCH($E74,SETUP!$A$55:$A$64,0)),"Other")))</f>
        <v>Frontline</v>
      </c>
      <c r="G74" s="70">
        <v>62387</v>
      </c>
      <c r="H74" s="15" t="str">
        <f>IF($C74="","",IF($G74="","-",INDEX(SETUP!$B$26:$B$32,MATCH($G74,SETUP!$A$26:$A$32,1))))</f>
        <v>62,000 - 62,999</v>
      </c>
      <c r="I74" s="70">
        <v>5244</v>
      </c>
      <c r="J74" s="15" t="str">
        <f>IF($C74="","",IF($I74="","-",INDEX(SETUP!$B$16:$B$22,MATCH($I74,SETUP!$A$16:$A$22,1))))</f>
        <v>CORE</v>
      </c>
      <c r="K74" s="15" t="str">
        <f>IF($C74="","",IF($I74="","-",TEXT(INT($I74/1000)*1000,"#,##0")&amp;" - "&amp;TEXT(INT($I74/1000)*1000+999,"#,##0")))</f>
        <v>5,000 - 5,999</v>
      </c>
      <c r="L74" s="71">
        <v>4.5999999999999996</v>
      </c>
      <c r="M74" s="15" t="str">
        <f>IF($C74="","",IF($L74="","-",INDEX(SETUP!$B$36:$B$42,MATCH($L74,SETUP!$A$36:$A$42,1))))</f>
        <v>4k - 5k</v>
      </c>
      <c r="N74" s="17">
        <f>IF($C74="","",IF(OR($G74="",$I74=""),"",ROUND(100*(SETUP!$B$4*MIN(1,$I74/SETUP!$B$9)+SETUP!$B$5*MAX(0,MIN(1,($G74-SETUP!$B$10)/(SETUP!$B$11-SETUP!$B$10)))+SETUP!$B$6*MIN(1,IF($L74="",0,$L74)/SETUP!$B$12)),1)))</f>
        <v>50</v>
      </c>
      <c r="O74" s="15" t="str">
        <f>IF($C74="","",IF($N74="","-",INDEX(SETUP!$B$46:$B$51,MATCH($N74,SETUP!$A$46:$A$51,1))))</f>
        <v>A</v>
      </c>
      <c r="P74" s="15">
        <f>IF($C74="","",IF($I74="","",RANK($I74,$I$4:$I$1463)+COUNTIF($I$4:$I74,$I74)-1))</f>
        <v>372</v>
      </c>
      <c r="Q74" s="15">
        <f>IF($C74="","",COUNTIFS($B$4:$B$1463,$B74,$X$4:$X$1463,"&gt;"&amp;$X74)+COUNTIFS($B$4:$B74,$B74,$X$4:$X74,"="&amp;$X74))</f>
        <v>44</v>
      </c>
      <c r="R74" s="72">
        <f>IF($C74="","",IF($I74="","",ROUND(COUNTIF($I$4:$I$1463,"&lt;"&amp;$I74)/COUNT($I$4:$I$1463),3)))</f>
        <v>0.71899999999999997</v>
      </c>
      <c r="S74" s="15" t="str">
        <f>IF($C74="","",IF($G74="","Name only",IF(OR($I74="",$L74=""),"Partial","Complete")))</f>
        <v>Complete</v>
      </c>
      <c r="T74" s="41" t="str">
        <f>IF($C74="","",TRIM(IF(COUNTIF($C$4:$C$1463,$C74)&gt;1,"Dup name; ","")&amp;IF(AND($G74&lt;&gt;"",$G74&lt;55000),"Low CR - verify; ","")&amp;IF(AND($L74&lt;&gt;"",$L74&gt;15),"Secondary - verify; ","")&amp;IF($E74="","No class; ","")))</f>
        <v/>
      </c>
      <c r="U74" s="68"/>
      <c r="V74" s="68"/>
      <c r="W74" s="68"/>
      <c r="X74" s="73">
        <f t="shared" si="7"/>
        <v>5244</v>
      </c>
      <c r="Y74" s="41" t="str">
        <f t="shared" si="8"/>
        <v>RECKONING|44</v>
      </c>
      <c r="Z74" s="15">
        <f>IF($C74="","",IF($G74="","",RANK($G74,$G$4:$G$1463)+COUNTIF($G$4:$G74,$G74)-1))</f>
        <v>699</v>
      </c>
      <c r="AA74" s="15">
        <f>IF($C74="","",IF($N74="","",RANK($N74,$N$4:$N$1463)+COUNTIF($N$4:$N74,$N74)-1))</f>
        <v>458</v>
      </c>
      <c r="AB74" s="41" t="str">
        <f>IF($C74="","",IF($E74="","",$E74&amp;"#"&amp;(COUNTIFS($E$4:$E$1463,$E74,$X$4:$X$1463,"&gt;"&amp;$X74)+COUNTIFS($E$4:$E74,$E74,$X$4:$X74,"="&amp;$X74))))</f>
        <v>BARBARIAN#75</v>
      </c>
      <c r="AC74" s="41" t="str">
        <f>IF($C74="","",$B74&amp;"@"&amp;(COUNTIFS($B$4:$B$1463,$B74,$C$4:$C$1463,"&lt;"&amp;$C74)+COUNTIFS($B$4:$B74,$B74,$C$4:$C74,$C74)))</f>
        <v>RECKONING@6</v>
      </c>
      <c r="AD74" s="41">
        <f t="shared" si="9"/>
        <v>71</v>
      </c>
      <c r="AE74" s="41" t="s">
        <v>671</v>
      </c>
      <c r="AF74" s="73">
        <f t="shared" si="10"/>
        <v>62387</v>
      </c>
      <c r="AG74" s="74">
        <f t="shared" si="11"/>
        <v>4.5999999999999996</v>
      </c>
      <c r="AH74" s="41" t="str">
        <f>IF($C74="","",$B74&amp;"|"&amp;(COUNTIFS($B$4:$B$1463,$B74,$AF$4:$AF$1463,"&gt;"&amp;$AF74)+COUNTIFS($B$4:$B74,$B74,$AF$4:$AF74,"="&amp;$AF74)))</f>
        <v>RECKONING|63</v>
      </c>
      <c r="AI74" s="41" t="str">
        <f>IF($C74="","",$B74&amp;"|"&amp;(COUNTIFS($B$4:$B$1463,$B74,$AG$4:$AG$1463,"&gt;"&amp;$AG74)+COUNTIFS($B$4:$B74,$B74,$AG$4:$AG74,"="&amp;$AG74)))</f>
        <v>RECKONING|76</v>
      </c>
    </row>
    <row r="75" spans="1:35">
      <c r="A75" s="69" t="s">
        <v>104</v>
      </c>
      <c r="B75" s="69" t="s">
        <v>66</v>
      </c>
      <c r="C75" s="63" t="s">
        <v>2904</v>
      </c>
      <c r="D75" s="69" t="s">
        <v>1019</v>
      </c>
      <c r="E75" s="68" t="s">
        <v>71</v>
      </c>
      <c r="F75" s="15" t="str">
        <f>IF($C75="","",IF($E75="","-",IFERROR(INDEX(SETUP!$B$55:$B$64,MATCH($E75,SETUP!$A$55:$A$64,0)),"Other")))</f>
        <v>Frontline</v>
      </c>
      <c r="G75" s="70">
        <v>63895</v>
      </c>
      <c r="H75" s="15" t="str">
        <f>IF($C75="","",IF($G75="","-",INDEX(SETUP!$B$26:$B$32,MATCH($G75,SETUP!$A$26:$A$32,1))))</f>
        <v>63,000 - 63,999</v>
      </c>
      <c r="I75" s="70">
        <v>9600</v>
      </c>
      <c r="J75" s="15" t="str">
        <f>IF($C75="","",IF($I75="","-",INDEX(SETUP!$B$16:$B$22,MATCH($I75,SETUP!$A$16:$A$22,1))))</f>
        <v>ELITE</v>
      </c>
      <c r="K75" s="15" t="str">
        <f>IF($C75="","",IF($I75="","-",TEXT(INT($I75/1000)*1000,"#,##0")&amp;" - "&amp;TEXT(INT($I75/1000)*1000+999,"#,##0")))</f>
        <v>9,000 - 9,999</v>
      </c>
      <c r="L75" s="71">
        <v>6.1</v>
      </c>
      <c r="M75" s="15" t="str">
        <f>IF($C75="","",IF($L75="","-",INDEX(SETUP!$B$36:$B$42,MATCH($L75,SETUP!$A$36:$A$42,1))))</f>
        <v>6k - 8k</v>
      </c>
      <c r="N75" s="17">
        <f>IF($C75="","",IF(OR($G75="",$I75=""),"",ROUND(100*(SETUP!$B$4*MIN(1,$I75/SETUP!$B$9)+SETUP!$B$5*MAX(0,MIN(1,($G75-SETUP!$B$10)/(SETUP!$B$11-SETUP!$B$10)))+SETUP!$B$6*MIN(1,IF($L75="",0,$L75)/SETUP!$B$12)),1)))</f>
        <v>75.5</v>
      </c>
      <c r="O75" s="15" t="str">
        <f>IF($C75="","",IF($N75="","-",INDEX(SETUP!$B$46:$B$51,MATCH($N75,SETUP!$A$46:$A$51,1))))</f>
        <v>S</v>
      </c>
      <c r="P75" s="15">
        <f>IF($C75="","",IF($I75="","",RANK($I75,$I$4:$I$1463)+COUNTIF($I$4:$I75,$I75)-1))</f>
        <v>70</v>
      </c>
      <c r="Q75" s="15">
        <f>IF($C75="","",COUNTIFS($B$4:$B$1463,$B75,$X$4:$X$1463,"&gt;"&amp;$X75)+COUNTIFS($B$4:$B75,$B75,$X$4:$X75,"="&amp;$X75))</f>
        <v>7</v>
      </c>
      <c r="R75" s="72">
        <f>IF($C75="","",IF($I75="","",ROUND(COUNTIF($I$4:$I$1463,"&lt;"&amp;$I75)/COUNT($I$4:$I$1463),3)))</f>
        <v>0.94699999999999995</v>
      </c>
      <c r="S75" s="15" t="str">
        <f>IF($C75="","",IF($G75="","Name only",IF(OR($I75="",$L75=""),"Partial","Complete")))</f>
        <v>Complete</v>
      </c>
      <c r="T75" s="41" t="str">
        <f>IF($C75="","",TRIM(IF(COUNTIF($C$4:$C$1463,$C75)&gt;1,"Dup name; ","")&amp;IF(AND($G75&lt;&gt;"",$G75&lt;55000),"Low CR - verify; ","")&amp;IF(AND($L75&lt;&gt;"",$L75&gt;15),"Secondary - verify; ","")&amp;IF($E75="","No class; ","")))</f>
        <v/>
      </c>
      <c r="U75" s="68" t="s">
        <v>66</v>
      </c>
      <c r="V75" s="68" t="s">
        <v>105</v>
      </c>
      <c r="W75" s="68" t="s">
        <v>285</v>
      </c>
      <c r="X75" s="76">
        <f t="shared" si="7"/>
        <v>9600</v>
      </c>
      <c r="Y75" s="1" t="str">
        <f t="shared" si="8"/>
        <v>FUCT|7</v>
      </c>
      <c r="Z75" s="19">
        <f>IF($C75="","",IF($G75="","",RANK($G75,$G$4:$G$1463)+COUNTIF($G$4:$G75,$G75)-1))</f>
        <v>96</v>
      </c>
      <c r="AA75" s="19">
        <f>IF($C75="","",IF($N75="","",RANK($N75,$N$4:$N$1463)+COUNTIF($N$4:$N75,$N75)-1))</f>
        <v>85</v>
      </c>
      <c r="AB75" s="1" t="str">
        <f>IF($C75="","",IF($E75="","",$E75&amp;"#"&amp;(COUNTIFS($E$4:$E$1463,$E75,$X$4:$X$1463,"&gt;"&amp;$X75)+COUNTIFS($E$4:$E75,$E75,$X$4:$X75,"="&amp;$X75))))</f>
        <v>BARBARIAN#15</v>
      </c>
      <c r="AC75" s="1" t="str">
        <f>IF($C75="","",$B75&amp;"@"&amp;(COUNTIFS($B$4:$B$1463,$B75,$C$4:$C$1463,"&lt;"&amp;$C75)+COUNTIFS($B$4:$B75,$B75,$C$4:$C75,$C75)))</f>
        <v>FUCT@2</v>
      </c>
      <c r="AD75" s="1">
        <f t="shared" si="9"/>
        <v>72</v>
      </c>
      <c r="AE75" s="1" t="s">
        <v>673</v>
      </c>
      <c r="AF75" s="76">
        <f t="shared" si="10"/>
        <v>63895</v>
      </c>
      <c r="AG75" s="77">
        <f t="shared" si="11"/>
        <v>6.1</v>
      </c>
      <c r="AH75" s="1" t="str">
        <f>IF($C75="","",$B75&amp;"|"&amp;(COUNTIFS($B$4:$B$1463,$B75,$AF$4:$AF$1463,"&gt;"&amp;$AF75)+COUNTIFS($B$4:$B75,$B75,$AF$4:$AF75,"="&amp;$AF75)))</f>
        <v>FUCT|6</v>
      </c>
      <c r="AI75" s="1" t="str">
        <f>IF($C75="","",$B75&amp;"|"&amp;(COUNTIFS($B$4:$B$1463,$B75,$AG$4:$AG$1463,"&gt;"&amp;$AG75)+COUNTIFS($B$4:$B75,$B75,$AG$4:$AG75,"="&amp;$AG75)))</f>
        <v>FUCT|17</v>
      </c>
    </row>
    <row r="76" spans="1:35" hidden="1">
      <c r="A76" s="69" t="s">
        <v>109</v>
      </c>
      <c r="B76" s="69" t="s">
        <v>116</v>
      </c>
      <c r="C76" s="63" t="s">
        <v>674</v>
      </c>
      <c r="D76" s="69" t="s">
        <v>530</v>
      </c>
      <c r="E76" s="68" t="s">
        <v>79</v>
      </c>
      <c r="F76" s="15" t="str">
        <f>IF($C76="","",IF($E76="","-",IFERROR(INDEX(SETUP!$B$55:$B$64,MATCH($E76,SETUP!$A$55:$A$64,0)),"Other")))</f>
        <v>Control</v>
      </c>
      <c r="G76" s="70">
        <v>62547</v>
      </c>
      <c r="H76" s="15" t="str">
        <f>IF($C76="","",IF($G76="","-",INDEX(SETUP!$B$26:$B$32,MATCH($G76,SETUP!$A$26:$A$32,1))))</f>
        <v>62,000 - 62,999</v>
      </c>
      <c r="I76" s="70">
        <v>2707</v>
      </c>
      <c r="J76" s="15" t="str">
        <f>IF($C76="","",IF($I76="","-",INDEX(SETUP!$B$16:$B$22,MATCH($I76,SETUP!$A$16:$A$22,1))))</f>
        <v>DEVELOPING</v>
      </c>
      <c r="K76" s="15" t="str">
        <f>IF($C76="","",IF($I76="","-",TEXT(INT($I76/1000)*1000,"#,##0")&amp;" - "&amp;TEXT(INT($I76/1000)*1000+999,"#,##0")))</f>
        <v>2,000 - 2,999</v>
      </c>
      <c r="L76" s="71">
        <v>4.58</v>
      </c>
      <c r="M76" s="15" t="str">
        <f>IF($C76="","",IF($L76="","-",INDEX(SETUP!$B$36:$B$42,MATCH($L76,SETUP!$A$36:$A$42,1))))</f>
        <v>4k - 5k</v>
      </c>
      <c r="N76" s="17">
        <f>IF($C76="","",IF(OR($G76="",$I76=""),"",ROUND(100*(SETUP!$B$4*MIN(1,$I76/SETUP!$B$9)+SETUP!$B$5*MAX(0,MIN(1,($G76-SETUP!$B$10)/(SETUP!$B$11-SETUP!$B$10)))+SETUP!$B$6*MIN(1,IF($L76="",0,$L76)/SETUP!$B$12)),1)))</f>
        <v>39.299999999999997</v>
      </c>
      <c r="O76" s="15" t="str">
        <f>IF($C76="","",IF($N76="","-",INDEX(SETUP!$B$46:$B$51,MATCH($N76,SETUP!$A$46:$A$51,1))))</f>
        <v>B</v>
      </c>
      <c r="P76" s="15">
        <f>IF($C76="","",IF($I76="","",RANK($I76,$I$4:$I$1463)+COUNTIF($I$4:$I76,$I76)-1))</f>
        <v>952</v>
      </c>
      <c r="Q76" s="15">
        <f>IF($C76="","",COUNTIFS($B$4:$B$1463,$B76,$X$4:$X$1463,"&gt;"&amp;$X76)+COUNTIFS($B$4:$B76,$B76,$X$4:$X76,"="&amp;$X76))</f>
        <v>63</v>
      </c>
      <c r="R76" s="72">
        <f>IF($C76="","",IF($I76="","",ROUND(COUNTIF($I$4:$I$1463,"&lt;"&amp;$I76)/COUNT($I$4:$I$1463),3)))</f>
        <v>0.28199999999999997</v>
      </c>
      <c r="S76" s="15" t="str">
        <f>IF($C76="","",IF($G76="","Name only",IF(OR($I76="",$L76=""),"Partial","Complete")))</f>
        <v>Complete</v>
      </c>
      <c r="T76" s="41" t="str">
        <f>IF($C76="","",TRIM(IF(COUNTIF($C$4:$C$1463,$C76)&gt;1,"Dup name; ","")&amp;IF(AND($G76&lt;&gt;"",$G76&lt;55000),"Low CR - verify; ","")&amp;IF(AND($L76&lt;&gt;"",$L76&gt;15),"Secondary - verify; ","")&amp;IF($E76="","No class; ","")))</f>
        <v/>
      </c>
      <c r="U76" s="68"/>
      <c r="V76" s="68"/>
      <c r="W76" s="68"/>
      <c r="X76" s="73">
        <f t="shared" si="7"/>
        <v>2707</v>
      </c>
      <c r="Y76" s="41" t="str">
        <f t="shared" si="8"/>
        <v>VENGEANCE|63</v>
      </c>
      <c r="Z76" s="15">
        <f>IF($C76="","",IF($G76="","",RANK($G76,$G$4:$G$1463)+COUNTIF($G$4:$G76,$G76)-1))</f>
        <v>635</v>
      </c>
      <c r="AA76" s="15">
        <f>IF($C76="","",IF($N76="","",RANK($N76,$N$4:$N$1463)+COUNTIF($N$4:$N76,$N76)-1))</f>
        <v>848</v>
      </c>
      <c r="AB76" s="41" t="str">
        <f>IF($C76="","",IF($E76="","",$E76&amp;"#"&amp;(COUNTIFS($E$4:$E$1463,$E76,$X$4:$X$1463,"&gt;"&amp;$X76)+COUNTIFS($E$4:$E76,$E76,$X$4:$X76,"="&amp;$X76))))</f>
        <v>WARLOCK#236</v>
      </c>
      <c r="AC76" s="41" t="str">
        <f>IF($C76="","",$B76&amp;"@"&amp;(COUNTIFS($B$4:$B$1463,$B76,$C$4:$C$1463,"&lt;"&amp;$C76)+COUNTIFS($B$4:$B76,$B76,$C$4:$C76,$C76)))</f>
        <v>VENGEANCE@8</v>
      </c>
      <c r="AD76" s="41">
        <f t="shared" si="9"/>
        <v>73</v>
      </c>
      <c r="AE76" s="41" t="s">
        <v>675</v>
      </c>
      <c r="AF76" s="73">
        <f t="shared" si="10"/>
        <v>62547</v>
      </c>
      <c r="AG76" s="74">
        <f t="shared" si="11"/>
        <v>4.58</v>
      </c>
      <c r="AH76" s="41" t="str">
        <f>IF($C76="","",$B76&amp;"|"&amp;(COUNTIFS($B$4:$B$1463,$B76,$AF$4:$AF$1463,"&gt;"&amp;$AF76)+COUNTIFS($B$4:$B76,$B76,$AF$4:$AF76,"="&amp;$AF76)))</f>
        <v>VENGEANCE|38</v>
      </c>
      <c r="AI76" s="41" t="str">
        <f>IF($C76="","",$B76&amp;"|"&amp;(COUNTIFS($B$4:$B$1463,$B76,$AG$4:$AG$1463,"&gt;"&amp;$AG76)+COUNTIFS($B$4:$B76,$B76,$AG$4:$AG76,"="&amp;$AG76)))</f>
        <v>VENGEANCE|51</v>
      </c>
    </row>
    <row r="77" spans="1:35" hidden="1">
      <c r="A77" s="69" t="s">
        <v>109</v>
      </c>
      <c r="B77" s="69" t="s">
        <v>116</v>
      </c>
      <c r="C77" s="63" t="s">
        <v>676</v>
      </c>
      <c r="D77" s="69" t="s">
        <v>530</v>
      </c>
      <c r="E77" s="68" t="s">
        <v>78</v>
      </c>
      <c r="F77" s="19" t="str">
        <f>IF($C77="","",IF($E77="","-",IFERROR(INDEX(SETUP!$B$55:$B$64,MATCH($E77,SETUP!$A$55:$A$64,0)),"Other")))</f>
        <v>Melee DPS</v>
      </c>
      <c r="G77" s="70">
        <v>63051</v>
      </c>
      <c r="H77" s="19" t="str">
        <f>IF($C77="","",IF($G77="","-",INDEX(SETUP!$B$26:$B$32,MATCH($G77,SETUP!$A$26:$A$32,1))))</f>
        <v>63,000 - 63,999</v>
      </c>
      <c r="I77" s="70">
        <v>5185</v>
      </c>
      <c r="J77" s="19" t="str">
        <f>IF($C77="","",IF($I77="","-",INDEX(SETUP!$B$16:$B$22,MATCH($I77,SETUP!$A$16:$A$22,1))))</f>
        <v>CORE</v>
      </c>
      <c r="K77" s="19" t="str">
        <f>IF($C77="","",IF($I77="","-",TEXT(INT($I77/1000)*1000,"#,##0")&amp;" - "&amp;TEXT(INT($I77/1000)*1000+999,"#,##0")))</f>
        <v>5,000 - 5,999</v>
      </c>
      <c r="L77" s="71">
        <v>5</v>
      </c>
      <c r="M77" s="19" t="str">
        <f>IF($C77="","",IF($L77="","-",INDEX(SETUP!$B$36:$B$42,MATCH($L77,SETUP!$A$36:$A$42,1))))</f>
        <v>5k - 6k</v>
      </c>
      <c r="N77" s="21">
        <f>IF($C77="","",IF(OR($G77="",$I77=""),"",ROUND(100*(SETUP!$B$4*MIN(1,$I77/SETUP!$B$9)+SETUP!$B$5*MAX(0,MIN(1,($G77-SETUP!$B$10)/(SETUP!$B$11-SETUP!$B$10)))+SETUP!$B$6*MIN(1,IF($L77="",0,$L77)/SETUP!$B$12)),1)))</f>
        <v>52.2</v>
      </c>
      <c r="O77" s="19" t="str">
        <f>IF($C77="","",IF($N77="","-",INDEX(SETUP!$B$46:$B$51,MATCH($N77,SETUP!$A$46:$A$51,1))))</f>
        <v>A</v>
      </c>
      <c r="P77" s="19">
        <f>IF($C77="","",IF($I77="","",RANK($I77,$I$4:$I$1463)+COUNTIF($I$4:$I77,$I77)-1))</f>
        <v>381</v>
      </c>
      <c r="Q77" s="19">
        <f>IF($C77="","",COUNTIFS($B$4:$B$1463,$B77,$X$4:$X$1463,"&gt;"&amp;$X77)+COUNTIFS($B$4:$B77,$B77,$X$4:$X77,"="&amp;$X77))</f>
        <v>13</v>
      </c>
      <c r="R77" s="75">
        <f>IF($C77="","",IF($I77="","",ROUND(COUNTIF($I$4:$I$1463,"&lt;"&amp;$I77)/COUNT($I$4:$I$1463),3)))</f>
        <v>0.71199999999999997</v>
      </c>
      <c r="S77" s="19" t="str">
        <f>IF($C77="","",IF($G77="","Name only",IF(OR($I77="",$L77=""),"Partial","Complete")))</f>
        <v>Complete</v>
      </c>
      <c r="T77" s="1" t="str">
        <f>IF($C77="","",TRIM(IF(COUNTIF($C$4:$C$1463,$C77)&gt;1,"Dup name; ","")&amp;IF(AND($G77&lt;&gt;"",$G77&lt;55000),"Low CR - verify; ","")&amp;IF(AND($L77&lt;&gt;"",$L77&gt;15),"Secondary - verify; ","")&amp;IF($E77="","No class; ","")))</f>
        <v/>
      </c>
      <c r="U77" s="68"/>
      <c r="V77" s="68"/>
      <c r="W77" s="68"/>
      <c r="X77" s="76">
        <f t="shared" si="7"/>
        <v>5185</v>
      </c>
      <c r="Y77" s="1" t="str">
        <f t="shared" si="8"/>
        <v>VENGEANCE|13</v>
      </c>
      <c r="Z77" s="19">
        <f>IF($C77="","",IF($G77="","",RANK($G77,$G$4:$G$1463)+COUNTIF($G$4:$G77,$G77)-1))</f>
        <v>400</v>
      </c>
      <c r="AA77" s="19">
        <f>IF($C77="","",IF($N77="","",RANK($N77,$N$4:$N$1463)+COUNTIF($N$4:$N77,$N77)-1))</f>
        <v>382</v>
      </c>
      <c r="AB77" s="1" t="str">
        <f>IF($C77="","",IF($E77="","",$E77&amp;"#"&amp;(COUNTIFS($E$4:$E$1463,$E77,$X$4:$X$1463,"&gt;"&amp;$X77)+COUNTIFS($E$4:$E77,$E77,$X$4:$X77,"="&amp;$X77))))</f>
        <v>TEMPEST#12</v>
      </c>
      <c r="AC77" s="1" t="str">
        <f>IF($C77="","",$B77&amp;"@"&amp;(COUNTIFS($B$4:$B$1463,$B77,$C$4:$C$1463,"&lt;"&amp;$C77)+COUNTIFS($B$4:$B77,$B77,$C$4:$C77,$C77)))</f>
        <v>VENGEANCE@9</v>
      </c>
      <c r="AD77" s="1">
        <f t="shared" si="9"/>
        <v>74</v>
      </c>
      <c r="AE77" s="1" t="s">
        <v>541</v>
      </c>
      <c r="AF77" s="76">
        <f t="shared" si="10"/>
        <v>63051</v>
      </c>
      <c r="AG77" s="77">
        <f t="shared" si="11"/>
        <v>5</v>
      </c>
      <c r="AH77" s="1" t="str">
        <f>IF($C77="","",$B77&amp;"|"&amp;(COUNTIFS($B$4:$B$1463,$B77,$AF$4:$AF$1463,"&gt;"&amp;$AF77)+COUNTIFS($B$4:$B77,$B77,$AF$4:$AF77,"="&amp;$AF77)))</f>
        <v>VENGEANCE|19</v>
      </c>
      <c r="AI77" s="1" t="str">
        <f>IF($C77="","",$B77&amp;"|"&amp;(COUNTIFS($B$4:$B$1463,$B77,$AG$4:$AG$1463,"&gt;"&amp;$AG77)+COUNTIFS($B$4:$B77,$B77,$AG$4:$AG77,"="&amp;$AG77)))</f>
        <v>VENGEANCE|32</v>
      </c>
    </row>
    <row r="78" spans="1:35" hidden="1">
      <c r="A78" s="69" t="s">
        <v>109</v>
      </c>
      <c r="B78" s="69" t="s">
        <v>116</v>
      </c>
      <c r="C78" s="63" t="s">
        <v>677</v>
      </c>
      <c r="D78" s="69" t="s">
        <v>530</v>
      </c>
      <c r="E78" s="68" t="s">
        <v>71</v>
      </c>
      <c r="F78" s="15" t="str">
        <f>IF($C78="","",IF($E78="","-",IFERROR(INDEX(SETUP!$B$55:$B$64,MATCH($E78,SETUP!$A$55:$A$64,0)),"Other")))</f>
        <v>Frontline</v>
      </c>
      <c r="G78" s="70">
        <v>63251</v>
      </c>
      <c r="H78" s="15" t="str">
        <f>IF($C78="","",IF($G78="","-",INDEX(SETUP!$B$26:$B$32,MATCH($G78,SETUP!$A$26:$A$32,1))))</f>
        <v>63,000 - 63,999</v>
      </c>
      <c r="I78" s="70">
        <v>3918</v>
      </c>
      <c r="J78" s="15" t="str">
        <f>IF($C78="","",IF($I78="","-",INDEX(SETUP!$B$16:$B$22,MATCH($I78,SETUP!$A$16:$A$22,1))))</f>
        <v>DEVELOPING</v>
      </c>
      <c r="K78" s="15" t="str">
        <f>IF($C78="","",IF($I78="","-",TEXT(INT($I78/1000)*1000,"#,##0")&amp;" - "&amp;TEXT(INT($I78/1000)*1000+999,"#,##0")))</f>
        <v>3,000 - 3,999</v>
      </c>
      <c r="L78" s="71">
        <v>4.29</v>
      </c>
      <c r="M78" s="15" t="str">
        <f>IF($C78="","",IF($L78="","-",INDEX(SETUP!$B$36:$B$42,MATCH($L78,SETUP!$A$36:$A$42,1))))</f>
        <v>4k - 5k</v>
      </c>
      <c r="N78" s="17">
        <f>IF($C78="","",IF(OR($G78="",$I78=""),"",ROUND(100*(SETUP!$B$4*MIN(1,$I78/SETUP!$B$9)+SETUP!$B$5*MAX(0,MIN(1,($G78-SETUP!$B$10)/(SETUP!$B$11-SETUP!$B$10)))+SETUP!$B$6*MIN(1,IF($L78="",0,$L78)/SETUP!$B$12)),1)))</f>
        <v>46</v>
      </c>
      <c r="O78" s="15" t="str">
        <f>IF($C78="","",IF($N78="","-",INDEX(SETUP!$B$46:$B$51,MATCH($N78,SETUP!$A$46:$A$51,1))))</f>
        <v>B</v>
      </c>
      <c r="P78" s="15">
        <f>IF($C78="","",IF($I78="","",RANK($I78,$I$4:$I$1463)+COUNTIF($I$4:$I78,$I78)-1))</f>
        <v>619</v>
      </c>
      <c r="Q78" s="15">
        <f>IF($C78="","",COUNTIFS($B$4:$B$1463,$B78,$X$4:$X$1463,"&gt;"&amp;$X78)+COUNTIFS($B$4:$B78,$B78,$X$4:$X78,"="&amp;$X78))</f>
        <v>35</v>
      </c>
      <c r="R78" s="72">
        <f>IF($C78="","",IF($I78="","",ROUND(COUNTIF($I$4:$I$1463,"&lt;"&amp;$I78)/COUNT($I$4:$I$1463),3)))</f>
        <v>0.53200000000000003</v>
      </c>
      <c r="S78" s="15" t="str">
        <f>IF($C78="","",IF($G78="","Name only",IF(OR($I78="",$L78=""),"Partial","Complete")))</f>
        <v>Complete</v>
      </c>
      <c r="T78" s="41" t="str">
        <f>IF($C78="","",TRIM(IF(COUNTIF($C$4:$C$1463,$C78)&gt;1,"Dup name; ","")&amp;IF(AND($G78&lt;&gt;"",$G78&lt;55000),"Low CR - verify; ","")&amp;IF(AND($L78&lt;&gt;"",$L78&gt;15),"Secondary - verify; ","")&amp;IF($E78="","No class; ","")))</f>
        <v/>
      </c>
      <c r="U78" s="68"/>
      <c r="V78" s="68"/>
      <c r="W78" s="68"/>
      <c r="X78" s="73">
        <f t="shared" si="7"/>
        <v>3918</v>
      </c>
      <c r="Y78" s="41" t="str">
        <f t="shared" si="8"/>
        <v>VENGEANCE|35</v>
      </c>
      <c r="Z78" s="15">
        <f>IF($C78="","",IF($G78="","",RANK($G78,$G$4:$G$1463)+COUNTIF($G$4:$G78,$G78)-1))</f>
        <v>289</v>
      </c>
      <c r="AA78" s="15">
        <f>IF($C78="","",IF($N78="","",RANK($N78,$N$4:$N$1463)+COUNTIF($N$4:$N78,$N78)-1))</f>
        <v>590</v>
      </c>
      <c r="AB78" s="41" t="str">
        <f>IF($C78="","",IF($E78="","",$E78&amp;"#"&amp;(COUNTIFS($E$4:$E$1463,$E78,$X$4:$X$1463,"&gt;"&amp;$X78)+COUNTIFS($E$4:$E78,$E78,$X$4:$X78,"="&amp;$X78))))</f>
        <v>BARBARIAN#116</v>
      </c>
      <c r="AC78" s="41" t="str">
        <f>IF($C78="","",$B78&amp;"@"&amp;(COUNTIFS($B$4:$B$1463,$B78,$C$4:$C$1463,"&lt;"&amp;$C78)+COUNTIFS($B$4:$B78,$B78,$C$4:$C78,$C78)))</f>
        <v>VENGEANCE@10</v>
      </c>
      <c r="AD78" s="41">
        <f t="shared" si="9"/>
        <v>75</v>
      </c>
      <c r="AE78" s="41" t="s">
        <v>678</v>
      </c>
      <c r="AF78" s="73">
        <f t="shared" si="10"/>
        <v>63251</v>
      </c>
      <c r="AG78" s="74">
        <f t="shared" si="11"/>
        <v>4.29</v>
      </c>
      <c r="AH78" s="41" t="str">
        <f>IF($C78="","",$B78&amp;"|"&amp;(COUNTIFS($B$4:$B$1463,$B78,$AF$4:$AF$1463,"&gt;"&amp;$AF78)+COUNTIFS($B$4:$B78,$B78,$AF$4:$AF78,"="&amp;$AF78)))</f>
        <v>VENGEANCE|8</v>
      </c>
      <c r="AI78" s="41" t="str">
        <f>IF($C78="","",$B78&amp;"|"&amp;(COUNTIFS($B$4:$B$1463,$B78,$AG$4:$AG$1463,"&gt;"&amp;$AG78)+COUNTIFS($B$4:$B78,$B78,$AG$4:$AG78,"="&amp;$AG78)))</f>
        <v>VENGEANCE|59</v>
      </c>
    </row>
    <row r="79" spans="1:35" hidden="1">
      <c r="A79" s="69" t="s">
        <v>106</v>
      </c>
      <c r="B79" s="69" t="s">
        <v>107</v>
      </c>
      <c r="C79" s="63" t="s">
        <v>679</v>
      </c>
      <c r="D79" s="69"/>
      <c r="E79" s="68" t="s">
        <v>72</v>
      </c>
      <c r="F79" s="19" t="str">
        <f>IF($C79="","",IF($E79="","-",IFERROR(INDEX(SETUP!$B$55:$B$64,MATCH($E79,SETUP!$A$55:$A$64,0)),"Other")))</f>
        <v>Frontline</v>
      </c>
      <c r="G79" s="70">
        <v>62139</v>
      </c>
      <c r="H79" s="19" t="str">
        <f>IF($C79="","",IF($G79="","-",INDEX(SETUP!$B$26:$B$32,MATCH($G79,SETUP!$A$26:$A$32,1))))</f>
        <v>62,000 - 62,999</v>
      </c>
      <c r="I79" s="70">
        <v>5223</v>
      </c>
      <c r="J79" s="19" t="str">
        <f>IF($C79="","",IF($I79="","-",INDEX(SETUP!$B$16:$B$22,MATCH($I79,SETUP!$A$16:$A$22,1))))</f>
        <v>CORE</v>
      </c>
      <c r="K79" s="19" t="str">
        <f>IF($C79="","",IF($I79="","-",TEXT(INT($I79/1000)*1000,"#,##0")&amp;" - "&amp;TEXT(INT($I79/1000)*1000+999,"#,##0")))</f>
        <v>5,000 - 5,999</v>
      </c>
      <c r="L79" s="71">
        <v>7</v>
      </c>
      <c r="M79" s="19" t="str">
        <f>IF($C79="","",IF($L79="","-",INDEX(SETUP!$B$36:$B$42,MATCH($L79,SETUP!$A$36:$A$42,1))))</f>
        <v>6k - 8k</v>
      </c>
      <c r="N79" s="21">
        <f>IF($C79="","",IF(OR($G79="",$I79=""),"",ROUND(100*(SETUP!$B$4*MIN(1,$I79/SETUP!$B$9)+SETUP!$B$5*MAX(0,MIN(1,($G79-SETUP!$B$10)/(SETUP!$B$11-SETUP!$B$10)))+SETUP!$B$6*MIN(1,IF($L79="",0,$L79)/SETUP!$B$12)),1)))</f>
        <v>53.3</v>
      </c>
      <c r="O79" s="19" t="str">
        <f>IF($C79="","",IF($N79="","-",INDEX(SETUP!$B$46:$B$51,MATCH($N79,SETUP!$A$46:$A$51,1))))</f>
        <v>A</v>
      </c>
      <c r="P79" s="19">
        <f>IF($C79="","",IF($I79="","",RANK($I79,$I$4:$I$1463)+COUNTIF($I$4:$I79,$I79)-1))</f>
        <v>377</v>
      </c>
      <c r="Q79" s="19">
        <f>IF($C79="","",COUNTIFS($B$4:$B$1463,$B79,$X$4:$X$1463,"&gt;"&amp;$X79)+COUNTIFS($B$4:$B79,$B79,$X$4:$X79,"="&amp;$X79))</f>
        <v>26</v>
      </c>
      <c r="R79" s="75">
        <f>IF($C79="","",IF($I79="","",ROUND(COUNTIF($I$4:$I$1463,"&lt;"&amp;$I79)/COUNT($I$4:$I$1463),3)))</f>
        <v>0.71499999999999997</v>
      </c>
      <c r="S79" s="19" t="str">
        <f>IF($C79="","",IF($G79="","Name only",IF(OR($I79="",$L79=""),"Partial","Complete")))</f>
        <v>Complete</v>
      </c>
      <c r="T79" s="1" t="str">
        <f>IF($C79="","",TRIM(IF(COUNTIF($C$4:$C$1463,$C79)&gt;1,"Dup name; ","")&amp;IF(AND($G79&lt;&gt;"",$G79&lt;55000),"Low CR - verify; ","")&amp;IF(AND($L79&lt;&gt;"",$L79&gt;15),"Secondary - verify; ","")&amp;IF($E79="","No class; ","")))</f>
        <v/>
      </c>
      <c r="U79" s="68"/>
      <c r="V79" s="68"/>
      <c r="W79" s="68"/>
      <c r="X79" s="76">
        <f t="shared" si="7"/>
        <v>5223</v>
      </c>
      <c r="Y79" s="1" t="str">
        <f t="shared" si="8"/>
        <v>UNDYING|26</v>
      </c>
      <c r="Z79" s="19">
        <f>IF($C79="","",IF($G79="","",RANK($G79,$G$4:$G$1463)+COUNTIF($G$4:$G79,$G79)-1))</f>
        <v>782</v>
      </c>
      <c r="AA79" s="19">
        <f>IF($C79="","",IF($N79="","",RANK($N79,$N$4:$N$1463)+COUNTIF($N$4:$N79,$N79)-1))</f>
        <v>360</v>
      </c>
      <c r="AB79" s="1" t="str">
        <f>IF($C79="","",IF($E79="","",$E79&amp;"#"&amp;(COUNTIFS($E$4:$E$1463,$E79,$X$4:$X$1463,"&gt;"&amp;$X79)+COUNTIFS($E$4:$E79,$E79,$X$4:$X79,"="&amp;$X79))))</f>
        <v>BLOOD KNIGHT#25</v>
      </c>
      <c r="AC79" s="1" t="str">
        <f>IF($C79="","",$B79&amp;"@"&amp;(COUNTIFS($B$4:$B$1463,$B79,$C$4:$C$1463,"&lt;"&amp;$C79)+COUNTIFS($B$4:$B79,$B79,$C$4:$C79,$C79)))</f>
        <v>UNDYING@8</v>
      </c>
      <c r="AD79" s="1">
        <f t="shared" si="9"/>
        <v>76</v>
      </c>
      <c r="AE79" s="1" t="s">
        <v>590</v>
      </c>
      <c r="AF79" s="76">
        <f t="shared" si="10"/>
        <v>62139</v>
      </c>
      <c r="AG79" s="77">
        <f t="shared" si="11"/>
        <v>7</v>
      </c>
      <c r="AH79" s="1" t="str">
        <f>IF($C79="","",$B79&amp;"|"&amp;(COUNTIFS($B$4:$B$1463,$B79,$AF$4:$AF$1463,"&gt;"&amp;$AF79)+COUNTIFS($B$4:$B79,$B79,$AF$4:$AF79,"="&amp;$AF79)))</f>
        <v>UNDYING|75</v>
      </c>
      <c r="AI79" s="1" t="str">
        <f>IF($C79="","",$B79&amp;"|"&amp;(COUNTIFS($B$4:$B$1463,$B79,$AG$4:$AG$1463,"&gt;"&amp;$AG79)+COUNTIFS($B$4:$B79,$B79,$AG$4:$AG79,"="&amp;$AG79)))</f>
        <v>UNDYING|8</v>
      </c>
    </row>
    <row r="80" spans="1:35" hidden="1">
      <c r="A80" s="69" t="s">
        <v>109</v>
      </c>
      <c r="B80" s="69" t="s">
        <v>110</v>
      </c>
      <c r="C80" s="63" t="s">
        <v>680</v>
      </c>
      <c r="D80" s="69"/>
      <c r="E80" s="68" t="s">
        <v>74</v>
      </c>
      <c r="F80" s="15" t="str">
        <f>IF($C80="","",IF($E80="","-",IFERROR(INDEX(SETUP!$B$55:$B$64,MATCH($E80,SETUP!$A$55:$A$64,0)),"Other")))</f>
        <v>Ranged DPS</v>
      </c>
      <c r="G80" s="70">
        <v>62199</v>
      </c>
      <c r="H80" s="15" t="str">
        <f>IF($C80="","",IF($G80="","-",INDEX(SETUP!$B$26:$B$32,MATCH($G80,SETUP!$A$26:$A$32,1))))</f>
        <v>62,000 - 62,999</v>
      </c>
      <c r="I80" s="70">
        <v>6888</v>
      </c>
      <c r="J80" s="15" t="str">
        <f>IF($C80="","",IF($I80="","-",INDEX(SETUP!$B$16:$B$22,MATCH($I80,SETUP!$A$16:$A$22,1))))</f>
        <v>VETERAN</v>
      </c>
      <c r="K80" s="15" t="str">
        <f>IF($C80="","",IF($I80="","-",TEXT(INT($I80/1000)*1000,"#,##0")&amp;" - "&amp;TEXT(INT($I80/1000)*1000+999,"#,##0")))</f>
        <v>6,000 - 6,999</v>
      </c>
      <c r="L80" s="71">
        <v>7.9</v>
      </c>
      <c r="M80" s="15" t="str">
        <f>IF($C80="","",IF($L80="","-",INDEX(SETUP!$B$36:$B$42,MATCH($L80,SETUP!$A$36:$A$42,1))))</f>
        <v>6k - 8k</v>
      </c>
      <c r="N80" s="17">
        <f>IF($C80="","",IF(OR($G80="",$I80=""),"",ROUND(100*(SETUP!$B$4*MIN(1,$I80/SETUP!$B$9)+SETUP!$B$5*MAX(0,MIN(1,($G80-SETUP!$B$10)/(SETUP!$B$11-SETUP!$B$10)))+SETUP!$B$6*MIN(1,IF($L80="",0,$L80)/SETUP!$B$12)),1)))</f>
        <v>62.2</v>
      </c>
      <c r="O80" s="15" t="str">
        <f>IF($C80="","",IF($N80="","-",INDEX(SETUP!$B$46:$B$51,MATCH($N80,SETUP!$A$46:$A$51,1))))</f>
        <v>A</v>
      </c>
      <c r="P80" s="15">
        <f>IF($C80="","",IF($I80="","",RANK($I80,$I$4:$I$1463)+COUNTIF($I$4:$I80,$I80)-1))</f>
        <v>227</v>
      </c>
      <c r="Q80" s="15">
        <f>IF($C80="","",COUNTIFS($B$4:$B$1463,$B80,$X$4:$X$1463,"&gt;"&amp;$X80)+COUNTIFS($B$4:$B80,$B80,$X$4:$X80,"="&amp;$X80))</f>
        <v>29</v>
      </c>
      <c r="R80" s="72">
        <f>IF($C80="","",IF($I80="","",ROUND(COUNTIF($I$4:$I$1463,"&lt;"&amp;$I80)/COUNT($I$4:$I$1463),3)))</f>
        <v>0.82899999999999996</v>
      </c>
      <c r="S80" s="15" t="str">
        <f>IF($C80="","",IF($G80="","Name only",IF(OR($I80="",$L80=""),"Partial","Complete")))</f>
        <v>Complete</v>
      </c>
      <c r="T80" s="41" t="str">
        <f>IF($C80="","",TRIM(IF(COUNTIF($C$4:$C$1463,$C80)&gt;1,"Dup name; ","")&amp;IF(AND($G80&lt;&gt;"",$G80&lt;55000),"Low CR - verify; ","")&amp;IF(AND($L80&lt;&gt;"",$L80&gt;15),"Secondary - verify; ","")&amp;IF($E80="","No class; ","")))</f>
        <v/>
      </c>
      <c r="U80" s="68"/>
      <c r="V80" s="68"/>
      <c r="W80" s="68"/>
      <c r="X80" s="73">
        <f t="shared" si="7"/>
        <v>6888</v>
      </c>
      <c r="Y80" s="41" t="str">
        <f t="shared" si="8"/>
        <v>AZUKI|29</v>
      </c>
      <c r="Z80" s="15">
        <f>IF($C80="","",IF($G80="","",RANK($G80,$G$4:$G$1463)+COUNTIF($G$4:$G80,$G80)-1))</f>
        <v>759</v>
      </c>
      <c r="AA80" s="15">
        <f>IF($C80="","",IF($N80="","",RANK($N80,$N$4:$N$1463)+COUNTIF($N$4:$N80,$N80)-1))</f>
        <v>210</v>
      </c>
      <c r="AB80" s="41" t="str">
        <f>IF($C80="","",IF($E80="","",$E80&amp;"#"&amp;(COUNTIFS($E$4:$E$1463,$E80,$X$4:$X$1463,"&gt;"&amp;$X80)+COUNTIFS($E$4:$E80,$E80,$X$4:$X80,"="&amp;$X80))))</f>
        <v>DEMON HUNTER#38</v>
      </c>
      <c r="AC80" s="41" t="str">
        <f>IF($C80="","",$B80&amp;"@"&amp;(COUNTIFS($B$4:$B$1463,$B80,$C$4:$C$1463,"&lt;"&amp;$C80)+COUNTIFS($B$4:$B80,$B80,$C$4:$C80,$C80)))</f>
        <v>AZUKI@8</v>
      </c>
      <c r="AD80" s="41">
        <f t="shared" si="9"/>
        <v>77</v>
      </c>
      <c r="AE80" s="41" t="s">
        <v>681</v>
      </c>
      <c r="AF80" s="73">
        <f t="shared" si="10"/>
        <v>62199</v>
      </c>
      <c r="AG80" s="74">
        <f t="shared" si="11"/>
        <v>7.9</v>
      </c>
      <c r="AH80" s="41" t="str">
        <f>IF($C80="","",$B80&amp;"|"&amp;(COUNTIFS($B$4:$B$1463,$B80,$AF$4:$AF$1463,"&gt;"&amp;$AF80)+COUNTIFS($B$4:$B80,$B80,$AF$4:$AF80,"="&amp;$AF80)))</f>
        <v>AZUKI|66</v>
      </c>
      <c r="AI80" s="41" t="str">
        <f>IF($C80="","",$B80&amp;"|"&amp;(COUNTIFS($B$4:$B$1463,$B80,$AG$4:$AG$1463,"&gt;"&amp;$AG80)+COUNTIFS($B$4:$B80,$B80,$AG$4:$AG80,"="&amp;$AG80)))</f>
        <v>AZUKI|16</v>
      </c>
    </row>
    <row r="81" spans="1:35" hidden="1">
      <c r="A81" s="69" t="s">
        <v>109</v>
      </c>
      <c r="B81" s="69" t="s">
        <v>118</v>
      </c>
      <c r="C81" s="63" t="s">
        <v>682</v>
      </c>
      <c r="D81" s="69" t="s">
        <v>604</v>
      </c>
      <c r="E81" s="68" t="s">
        <v>74</v>
      </c>
      <c r="F81" s="19" t="str">
        <f>IF($C81="","",IF($E81="","-",IFERROR(INDEX(SETUP!$B$55:$B$64,MATCH($E81,SETUP!$A$55:$A$64,0)),"Other")))</f>
        <v>Ranged DPS</v>
      </c>
      <c r="G81" s="70">
        <v>61946</v>
      </c>
      <c r="H81" s="19" t="str">
        <f>IF($C81="","",IF($G81="","-",INDEX(SETUP!$B$26:$B$32,MATCH($G81,SETUP!$A$26:$A$32,1))))</f>
        <v>61,000 - 61,999</v>
      </c>
      <c r="I81" s="70">
        <v>3353</v>
      </c>
      <c r="J81" s="19" t="str">
        <f>IF($C81="","",IF($I81="","-",INDEX(SETUP!$B$16:$B$22,MATCH($I81,SETUP!$A$16:$A$22,1))))</f>
        <v>DEVELOPING</v>
      </c>
      <c r="K81" s="19" t="str">
        <f>IF($C81="","",IF($I81="","-",TEXT(INT($I81/1000)*1000,"#,##0")&amp;" - "&amp;TEXT(INT($I81/1000)*1000+999,"#,##0")))</f>
        <v>3,000 - 3,999</v>
      </c>
      <c r="L81" s="71">
        <v>4.5</v>
      </c>
      <c r="M81" s="19" t="str">
        <f>IF($C81="","",IF($L81="","-",INDEX(SETUP!$B$36:$B$42,MATCH($L81,SETUP!$A$36:$A$42,1))))</f>
        <v>4k - 5k</v>
      </c>
      <c r="N81" s="21">
        <f>IF($C81="","",IF(OR($G81="",$I81=""),"",ROUND(100*(SETUP!$B$4*MIN(1,$I81/SETUP!$B$9)+SETUP!$B$5*MAX(0,MIN(1,($G81-SETUP!$B$10)/(SETUP!$B$11-SETUP!$B$10)))+SETUP!$B$6*MIN(1,IF($L81="",0,$L81)/SETUP!$B$12)),1)))</f>
        <v>40.4</v>
      </c>
      <c r="O81" s="19" t="str">
        <f>IF($C81="","",IF($N81="","-",INDEX(SETUP!$B$46:$B$51,MATCH($N81,SETUP!$A$46:$A$51,1))))</f>
        <v>B</v>
      </c>
      <c r="P81" s="19">
        <f>IF($C81="","",IF($I81="","",RANK($I81,$I$4:$I$1463)+COUNTIF($I$4:$I81,$I81)-1))</f>
        <v>769</v>
      </c>
      <c r="Q81" s="19">
        <f>IF($C81="","",COUNTIFS($B$4:$B$1463,$B81,$X$4:$X$1463,"&gt;"&amp;$X81)+COUNTIFS($B$4:$B81,$B81,$X$4:$X81,"="&amp;$X81))</f>
        <v>12</v>
      </c>
      <c r="R81" s="75">
        <f>IF($C81="","",IF($I81="","",ROUND(COUNTIF($I$4:$I$1463,"&lt;"&amp;$I81)/COUNT($I$4:$I$1463),3)))</f>
        <v>0.41899999999999998</v>
      </c>
      <c r="S81" s="19" t="str">
        <f>IF($C81="","",IF($G81="","Name only",IF(OR($I81="",$L81=""),"Partial","Complete")))</f>
        <v>Complete</v>
      </c>
      <c r="T81" s="1" t="str">
        <f>IF($C81="","",TRIM(IF(COUNTIF($C$4:$C$1463,$C81)&gt;1,"Dup name; ","")&amp;IF(AND($G81&lt;&gt;"",$G81&lt;55000),"Low CR - verify; ","")&amp;IF(AND($L81&lt;&gt;"",$L81&gt;15),"Secondary - verify; ","")&amp;IF($E81="","No class; ","")))</f>
        <v/>
      </c>
      <c r="U81" s="68"/>
      <c r="V81" s="68"/>
      <c r="W81" s="68"/>
      <c r="X81" s="76">
        <f t="shared" si="7"/>
        <v>3353</v>
      </c>
      <c r="Y81" s="1" t="str">
        <f t="shared" si="8"/>
        <v>ZOMBIES|12</v>
      </c>
      <c r="Z81" s="19">
        <f>IF($C81="","",IF($G81="","",RANK($G81,$G$4:$G$1463)+COUNTIF($G$4:$G81,$G81)-1))</f>
        <v>849</v>
      </c>
      <c r="AA81" s="19">
        <f>IF($C81="","",IF($N81="","",RANK($N81,$N$4:$N$1463)+COUNTIF($N$4:$N81,$N81)-1))</f>
        <v>805</v>
      </c>
      <c r="AB81" s="1" t="str">
        <f>IF($C81="","",IF($E81="","",$E81&amp;"#"&amp;(COUNTIFS($E$4:$E$1463,$E81,$X$4:$X$1463,"&gt;"&amp;$X81)+COUNTIFS($E$4:$E81,$E81,$X$4:$X81,"="&amp;$X81))))</f>
        <v>DEMON HUNTER#123</v>
      </c>
      <c r="AC81" s="1" t="str">
        <f>IF($C81="","",$B81&amp;"@"&amp;(COUNTIFS($B$4:$B$1463,$B81,$C$4:$C$1463,"&lt;"&amp;$C81)+COUNTIFS($B$4:$B81,$B81,$C$4:$C81,$C81)))</f>
        <v>ZOMBIES@9</v>
      </c>
      <c r="AD81" s="1">
        <f t="shared" si="9"/>
        <v>78</v>
      </c>
      <c r="AE81" s="1" t="s">
        <v>683</v>
      </c>
      <c r="AF81" s="76">
        <f t="shared" si="10"/>
        <v>61946</v>
      </c>
      <c r="AG81" s="77">
        <f t="shared" si="11"/>
        <v>4.5</v>
      </c>
      <c r="AH81" s="1" t="str">
        <f>IF($C81="","",$B81&amp;"|"&amp;(COUNTIFS($B$4:$B$1463,$B81,$AF$4:$AF$1463,"&gt;"&amp;$AF81)+COUNTIFS($B$4:$B81,$B81,$AF$4:$AF81,"="&amp;$AF81)))</f>
        <v>ZOMBIES|28</v>
      </c>
      <c r="AI81" s="1" t="str">
        <f>IF($C81="","",$B81&amp;"|"&amp;(COUNTIFS($B$4:$B$1463,$B81,$AG$4:$AG$1463,"&gt;"&amp;$AG81)+COUNTIFS($B$4:$B81,$B81,$AG$4:$AG81,"="&amp;$AG81)))</f>
        <v>ZOMBIES|19</v>
      </c>
    </row>
    <row r="82" spans="1:35" hidden="1">
      <c r="A82" s="69" t="s">
        <v>109</v>
      </c>
      <c r="B82" s="69" t="s">
        <v>115</v>
      </c>
      <c r="C82" s="63" t="s">
        <v>684</v>
      </c>
      <c r="D82" s="69"/>
      <c r="E82" s="68" t="s">
        <v>71</v>
      </c>
      <c r="F82" s="15" t="str">
        <f>IF($C82="","",IF($E82="","-",IFERROR(INDEX(SETUP!$B$55:$B$64,MATCH($E82,SETUP!$A$55:$A$64,0)),"Other")))</f>
        <v>Frontline</v>
      </c>
      <c r="G82" s="70">
        <v>59943</v>
      </c>
      <c r="H82" s="15" t="str">
        <f>IF($C82="","",IF($G82="","-",INDEX(SETUP!$B$26:$B$32,MATCH($G82,SETUP!$A$26:$A$32,1))))</f>
        <v>58,000 - 59,999</v>
      </c>
      <c r="I82" s="70">
        <v>2308</v>
      </c>
      <c r="J82" s="15" t="str">
        <f>IF($C82="","",IF($I82="","-",INDEX(SETUP!$B$16:$B$22,MATCH($I82,SETUP!$A$16:$A$22,1))))</f>
        <v>DEVELOPING</v>
      </c>
      <c r="K82" s="15" t="str">
        <f>IF($C82="","",IF($I82="","-",TEXT(INT($I82/1000)*1000,"#,##0")&amp;" - "&amp;TEXT(INT($I82/1000)*1000+999,"#,##0")))</f>
        <v>2,000 - 2,999</v>
      </c>
      <c r="L82" s="71">
        <v>3.2</v>
      </c>
      <c r="M82" s="15" t="str">
        <f>IF($C82="","",IF($L82="","-",INDEX(SETUP!$B$36:$B$42,MATCH($L82,SETUP!$A$36:$A$42,1))))</f>
        <v>3k - 4k</v>
      </c>
      <c r="N82" s="17">
        <f>IF($C82="","",IF(OR($G82="",$I82=""),"",ROUND(100*(SETUP!$B$4*MIN(1,$I82/SETUP!$B$9)+SETUP!$B$5*MAX(0,MIN(1,($G82-SETUP!$B$10)/(SETUP!$B$11-SETUP!$B$10)))+SETUP!$B$6*MIN(1,IF($L82="",0,$L82)/SETUP!$B$12)),1)))</f>
        <v>28.4</v>
      </c>
      <c r="O82" s="15" t="str">
        <f>IF($C82="","",IF($N82="","-",INDEX(SETUP!$B$46:$B$51,MATCH($N82,SETUP!$A$46:$A$51,1))))</f>
        <v>C</v>
      </c>
      <c r="P82" s="15">
        <f>IF($C82="","",IF($I82="","",RANK($I82,$I$4:$I$1463)+COUNTIF($I$4:$I82,$I82)-1))</f>
        <v>1042</v>
      </c>
      <c r="Q82" s="15">
        <f>IF($C82="","",COUNTIFS($B$4:$B$1463,$B82,$X$4:$X$1463,"&gt;"&amp;$X82)+COUNTIFS($B$4:$B82,$B82,$X$4:$X82,"="&amp;$X82))</f>
        <v>37</v>
      </c>
      <c r="R82" s="72">
        <f>IF($C82="","",IF($I82="","",ROUND(COUNTIF($I$4:$I$1463,"&lt;"&amp;$I82)/COUNT($I$4:$I$1463),3)))</f>
        <v>0.21299999999999999</v>
      </c>
      <c r="S82" s="15" t="str">
        <f>IF($C82="","",IF($G82="","Name only",IF(OR($I82="",$L82=""),"Partial","Complete")))</f>
        <v>Complete</v>
      </c>
      <c r="T82" s="41" t="str">
        <f>IF($C82="","",TRIM(IF(COUNTIF($C$4:$C$1463,$C82)&gt;1,"Dup name; ","")&amp;IF(AND($G82&lt;&gt;"",$G82&lt;55000),"Low CR - verify; ","")&amp;IF(AND($L82&lt;&gt;"",$L82&gt;15),"Secondary - verify; ","")&amp;IF($E82="","No class; ","")))</f>
        <v/>
      </c>
      <c r="U82" s="68"/>
      <c r="V82" s="68"/>
      <c r="W82" s="68"/>
      <c r="X82" s="73">
        <f t="shared" si="7"/>
        <v>2308</v>
      </c>
      <c r="Y82" s="41" t="str">
        <f t="shared" si="8"/>
        <v>SUB ROSA|37</v>
      </c>
      <c r="Z82" s="15">
        <f>IF($C82="","",IF($G82="","",RANK($G82,$G$4:$G$1463)+COUNTIF($G$4:$G82,$G82)-1))</f>
        <v>1241</v>
      </c>
      <c r="AA82" s="15">
        <f>IF($C82="","",IF($N82="","",RANK($N82,$N$4:$N$1463)+COUNTIF($N$4:$N82,$N82)-1))</f>
        <v>1182</v>
      </c>
      <c r="AB82" s="41" t="str">
        <f>IF($C82="","",IF($E82="","",$E82&amp;"#"&amp;(COUNTIFS($E$4:$E$1463,$E82,$X$4:$X$1463,"&gt;"&amp;$X82)+COUNTIFS($E$4:$E82,$E82,$X$4:$X82,"="&amp;$X82))))</f>
        <v>BARBARIAN#176</v>
      </c>
      <c r="AC82" s="41" t="str">
        <f>IF($C82="","",$B82&amp;"@"&amp;(COUNTIFS($B$4:$B$1463,$B82,$C$4:$C$1463,"&lt;"&amp;$C82)+COUNTIFS($B$4:$B82,$B82,$C$4:$C82,$C82)))</f>
        <v>SUB ROSA@7</v>
      </c>
      <c r="AD82" s="41">
        <f t="shared" si="9"/>
        <v>79</v>
      </c>
      <c r="AE82" s="41" t="s">
        <v>685</v>
      </c>
      <c r="AF82" s="73">
        <f t="shared" si="10"/>
        <v>59943</v>
      </c>
      <c r="AG82" s="74">
        <f t="shared" si="11"/>
        <v>3.2</v>
      </c>
      <c r="AH82" s="41" t="str">
        <f>IF($C82="","",$B82&amp;"|"&amp;(COUNTIFS($B$4:$B$1463,$B82,$AF$4:$AF$1463,"&gt;"&amp;$AF82)+COUNTIFS($B$4:$B82,$B82,$AF$4:$AF82,"="&amp;$AF82)))</f>
        <v>SUB ROSA|57</v>
      </c>
      <c r="AI82" s="41" t="str">
        <f>IF($C82="","",$B82&amp;"|"&amp;(COUNTIFS($B$4:$B$1463,$B82,$AG$4:$AG$1463,"&gt;"&amp;$AG82)+COUNTIFS($B$4:$B82,$B82,$AG$4:$AG82,"="&amp;$AG82)))</f>
        <v>SUB ROSA|49</v>
      </c>
    </row>
    <row r="83" spans="1:35" hidden="1">
      <c r="A83" s="69" t="s">
        <v>109</v>
      </c>
      <c r="B83" s="69" t="s">
        <v>110</v>
      </c>
      <c r="C83" s="63" t="s">
        <v>686</v>
      </c>
      <c r="D83" s="69"/>
      <c r="E83" s="68" t="s">
        <v>80</v>
      </c>
      <c r="F83" s="19" t="str">
        <f>IF($C83="","",IF($E83="","-",IFERROR(INDEX(SETUP!$B$55:$B$64,MATCH($E83,SETUP!$A$55:$A$64,0)),"Other")))</f>
        <v>Ranged DPS</v>
      </c>
      <c r="G83" s="70">
        <v>61764</v>
      </c>
      <c r="H83" s="19" t="str">
        <f>IF($C83="","",IF($G83="","-",INDEX(SETUP!$B$26:$B$32,MATCH($G83,SETUP!$A$26:$A$32,1))))</f>
        <v>61,000 - 61,999</v>
      </c>
      <c r="I83" s="70">
        <v>2107</v>
      </c>
      <c r="J83" s="19" t="str">
        <f>IF($C83="","",IF($I83="","-",INDEX(SETUP!$B$16:$B$22,MATCH($I83,SETUP!$A$16:$A$22,1))))</f>
        <v>DEVELOPING</v>
      </c>
      <c r="K83" s="19" t="str">
        <f>IF($C83="","",IF($I83="","-",TEXT(INT($I83/1000)*1000,"#,##0")&amp;" - "&amp;TEXT(INT($I83/1000)*1000+999,"#,##0")))</f>
        <v>2,000 - 2,999</v>
      </c>
      <c r="L83" s="71">
        <v>4.25</v>
      </c>
      <c r="M83" s="19" t="str">
        <f>IF($C83="","",IF($L83="","-",INDEX(SETUP!$B$36:$B$42,MATCH($L83,SETUP!$A$36:$A$42,1))))</f>
        <v>4k - 5k</v>
      </c>
      <c r="N83" s="21">
        <f>IF($C83="","",IF(OR($G83="",$I83=""),"",ROUND(100*(SETUP!$B$4*MIN(1,$I83/SETUP!$B$9)+SETUP!$B$5*MAX(0,MIN(1,($G83-SETUP!$B$10)/(SETUP!$B$11-SETUP!$B$10)))+SETUP!$B$6*MIN(1,IF($L83="",0,$L83)/SETUP!$B$12)),1)))</f>
        <v>34.1</v>
      </c>
      <c r="O83" s="19" t="str">
        <f>IF($C83="","",IF($N83="","-",INDEX(SETUP!$B$46:$B$51,MATCH($N83,SETUP!$A$46:$A$51,1))))</f>
        <v>C</v>
      </c>
      <c r="P83" s="19">
        <f>IF($C83="","",IF($I83="","",RANK($I83,$I$4:$I$1463)+COUNTIF($I$4:$I83,$I83)-1))</f>
        <v>1086</v>
      </c>
      <c r="Q83" s="19">
        <f>IF($C83="","",COUNTIFS($B$4:$B$1463,$B83,$X$4:$X$1463,"&gt;"&amp;$X83)+COUNTIFS($B$4:$B83,$B83,$X$4:$X83,"="&amp;$X83))</f>
        <v>101</v>
      </c>
      <c r="R83" s="75">
        <f>IF($C83="","",IF($I83="","",ROUND(COUNTIF($I$4:$I$1463,"&lt;"&amp;$I83)/COUNT($I$4:$I$1463),3)))</f>
        <v>0.18</v>
      </c>
      <c r="S83" s="19" t="str">
        <f>IF($C83="","",IF($G83="","Name only",IF(OR($I83="",$L83=""),"Partial","Complete")))</f>
        <v>Complete</v>
      </c>
      <c r="T83" s="1" t="str">
        <f>IF($C83="","",TRIM(IF(COUNTIF($C$4:$C$1463,$C83)&gt;1,"Dup name; ","")&amp;IF(AND($G83&lt;&gt;"",$G83&lt;55000),"Low CR - verify; ","")&amp;IF(AND($L83&lt;&gt;"",$L83&gt;15),"Secondary - verify; ","")&amp;IF($E83="","No class; ","")))</f>
        <v/>
      </c>
      <c r="U83" s="68"/>
      <c r="V83" s="68"/>
      <c r="W83" s="68"/>
      <c r="X83" s="76">
        <f t="shared" si="7"/>
        <v>2107</v>
      </c>
      <c r="Y83" s="1" t="str">
        <f t="shared" si="8"/>
        <v>AZUKI|101</v>
      </c>
      <c r="Z83" s="19">
        <f>IF($C83="","",IF($G83="","",RANK($G83,$G$4:$G$1463)+COUNTIF($G$4:$G83,$G83)-1))</f>
        <v>920</v>
      </c>
      <c r="AA83" s="19">
        <f>IF($C83="","",IF($N83="","",RANK($N83,$N$4:$N$1463)+COUNTIF($N$4:$N83,$N83)-1))</f>
        <v>1041</v>
      </c>
      <c r="AB83" s="1" t="str">
        <f>IF($C83="","",IF($E83="","",$E83&amp;"#"&amp;(COUNTIFS($E$4:$E$1463,$E83,$X$4:$X$1463,"&gt;"&amp;$X83)+COUNTIFS($E$4:$E83,$E83,$X$4:$X83,"="&amp;$X83))))</f>
        <v>WIZARD#77</v>
      </c>
      <c r="AC83" s="1" t="str">
        <f>IF($C83="","",$B83&amp;"@"&amp;(COUNTIFS($B$4:$B$1463,$B83,$C$4:$C$1463,"&lt;"&amp;$C83)+COUNTIFS($B$4:$B83,$B83,$C$4:$C83,$C83)))</f>
        <v>AZUKI@9</v>
      </c>
      <c r="AD83" s="1">
        <f t="shared" si="9"/>
        <v>80</v>
      </c>
      <c r="AE83" s="1" t="s">
        <v>687</v>
      </c>
      <c r="AF83" s="76">
        <f t="shared" si="10"/>
        <v>61764</v>
      </c>
      <c r="AG83" s="77">
        <f t="shared" si="11"/>
        <v>4.25</v>
      </c>
      <c r="AH83" s="1" t="str">
        <f>IF($C83="","",$B83&amp;"|"&amp;(COUNTIFS($B$4:$B$1463,$B83,$AF$4:$AF$1463,"&gt;"&amp;$AF83)+COUNTIFS($B$4:$B83,$B83,$AF$4:$AF83,"="&amp;$AF83)))</f>
        <v>AZUKI|85</v>
      </c>
      <c r="AI83" s="1" t="str">
        <f>IF($C83="","",$B83&amp;"|"&amp;(COUNTIFS($B$4:$B$1463,$B83,$AG$4:$AG$1463,"&gt;"&amp;$AG83)+COUNTIFS($B$4:$B83,$B83,$AG$4:$AG83,"="&amp;$AG83)))</f>
        <v>AZUKI|85</v>
      </c>
    </row>
    <row r="84" spans="1:35" hidden="1">
      <c r="A84" s="69" t="s">
        <v>109</v>
      </c>
      <c r="B84" s="69" t="s">
        <v>115</v>
      </c>
      <c r="C84" s="63" t="s">
        <v>688</v>
      </c>
      <c r="D84" s="69"/>
      <c r="E84" s="68" t="s">
        <v>73</v>
      </c>
      <c r="F84" s="15" t="str">
        <f>IF($C84="","",IF($E84="","-",IFERROR(INDEX(SETUP!$B$55:$B$64,MATCH($E84,SETUP!$A$55:$A$64,0)),"Other")))</f>
        <v>Frontline</v>
      </c>
      <c r="G84" s="70">
        <v>61915</v>
      </c>
      <c r="H84" s="15" t="str">
        <f>IF($C84="","",IF($G84="","-",INDEX(SETUP!$B$26:$B$32,MATCH($G84,SETUP!$A$26:$A$32,1))))</f>
        <v>61,000 - 61,999</v>
      </c>
      <c r="I84" s="70">
        <v>1390</v>
      </c>
      <c r="J84" s="15" t="str">
        <f>IF($C84="","",IF($I84="","-",INDEX(SETUP!$B$16:$B$22,MATCH($I84,SETUP!$A$16:$A$22,1))))</f>
        <v>ROOKIE</v>
      </c>
      <c r="K84" s="15" t="str">
        <f>IF($C84="","",IF($I84="","-",TEXT(INT($I84/1000)*1000,"#,##0")&amp;" - "&amp;TEXT(INT($I84/1000)*1000+999,"#,##0")))</f>
        <v>1,000 - 1,999</v>
      </c>
      <c r="L84" s="71">
        <v>2.9</v>
      </c>
      <c r="M84" s="15" t="str">
        <f>IF($C84="","",IF($L84="","-",INDEX(SETUP!$B$36:$B$42,MATCH($L84,SETUP!$A$36:$A$42,1))))</f>
        <v>Under 3k</v>
      </c>
      <c r="N84" s="17">
        <f>IF($C84="","",IF(OR($G84="",$I84=""),"",ROUND(100*(SETUP!$B$4*MIN(1,$I84/SETUP!$B$9)+SETUP!$B$5*MAX(0,MIN(1,($G84-SETUP!$B$10)/(SETUP!$B$11-SETUP!$B$10)))+SETUP!$B$6*MIN(1,IF($L84="",0,$L84)/SETUP!$B$12)),1)))</f>
        <v>29.1</v>
      </c>
      <c r="O84" s="15" t="str">
        <f>IF($C84="","",IF($N84="","-",INDEX(SETUP!$B$46:$B$51,MATCH($N84,SETUP!$A$46:$A$51,1))))</f>
        <v>C</v>
      </c>
      <c r="P84" s="15">
        <f>IF($C84="","",IF($I84="","",RANK($I84,$I$4:$I$1463)+COUNTIF($I$4:$I84,$I84)-1))</f>
        <v>1217</v>
      </c>
      <c r="Q84" s="15">
        <f>IF($C84="","",COUNTIFS($B$4:$B$1463,$B84,$X$4:$X$1463,"&gt;"&amp;$X84)+COUNTIFS($B$4:$B84,$B84,$X$4:$X84,"="&amp;$X84))</f>
        <v>54</v>
      </c>
      <c r="R84" s="72">
        <f>IF($C84="","",IF($I84="","",ROUND(COUNTIF($I$4:$I$1463,"&lt;"&amp;$I84)/COUNT($I$4:$I$1463),3)))</f>
        <v>8.1000000000000003E-2</v>
      </c>
      <c r="S84" s="15" t="str">
        <f>IF($C84="","",IF($G84="","Name only",IF(OR($I84="",$L84=""),"Partial","Complete")))</f>
        <v>Complete</v>
      </c>
      <c r="T84" s="41" t="str">
        <f>IF($C84="","",TRIM(IF(COUNTIF($C$4:$C$1463,$C84)&gt;1,"Dup name; ","")&amp;IF(AND($G84&lt;&gt;"",$G84&lt;55000),"Low CR - verify; ","")&amp;IF(AND($L84&lt;&gt;"",$L84&gt;15),"Secondary - verify; ","")&amp;IF($E84="","No class; ","")))</f>
        <v/>
      </c>
      <c r="U84" s="68"/>
      <c r="V84" s="68"/>
      <c r="W84" s="68"/>
      <c r="X84" s="73">
        <f t="shared" si="7"/>
        <v>1390</v>
      </c>
      <c r="Y84" s="41" t="str">
        <f t="shared" si="8"/>
        <v>SUB ROSA|54</v>
      </c>
      <c r="Z84" s="15">
        <f>IF($C84="","",IF($G84="","",RANK($G84,$G$4:$G$1463)+COUNTIF($G$4:$G84,$G84)-1))</f>
        <v>867</v>
      </c>
      <c r="AA84" s="15">
        <f>IF($C84="","",IF($N84="","",RANK($N84,$N$4:$N$1463)+COUNTIF($N$4:$N84,$N84)-1))</f>
        <v>1166</v>
      </c>
      <c r="AB84" s="41" t="str">
        <f>IF($C84="","",IF($E84="","",$E84&amp;"#"&amp;(COUNTIFS($E$4:$E$1463,$E84,$X$4:$X$1463,"&gt;"&amp;$X84)+COUNTIFS($E$4:$E84,$E84,$X$4:$X84,"="&amp;$X84))))</f>
        <v>CRUSADER#117</v>
      </c>
      <c r="AC84" s="41" t="str">
        <f>IF($C84="","",$B84&amp;"@"&amp;(COUNTIFS($B$4:$B$1463,$B84,$C$4:$C$1463,"&lt;"&amp;$C84)+COUNTIFS($B$4:$B84,$B84,$C$4:$C84,$C84)))</f>
        <v>SUB ROSA@8</v>
      </c>
      <c r="AD84" s="41">
        <f t="shared" si="9"/>
        <v>81</v>
      </c>
      <c r="AE84" s="41" t="s">
        <v>689</v>
      </c>
      <c r="AF84" s="73">
        <f t="shared" si="10"/>
        <v>61915</v>
      </c>
      <c r="AG84" s="74">
        <f t="shared" si="11"/>
        <v>2.9</v>
      </c>
      <c r="AH84" s="41" t="str">
        <f>IF($C84="","",$B84&amp;"|"&amp;(COUNTIFS($B$4:$B$1463,$B84,$AF$4:$AF$1463,"&gt;"&amp;$AF84)+COUNTIFS($B$4:$B84,$B84,$AF$4:$AF84,"="&amp;$AF84)))</f>
        <v>SUB ROSA|34</v>
      </c>
      <c r="AI84" s="41" t="str">
        <f>IF($C84="","",$B84&amp;"|"&amp;(COUNTIFS($B$4:$B$1463,$B84,$AG$4:$AG$1463,"&gt;"&amp;$AG84)+COUNTIFS($B$4:$B84,$B84,$AG$4:$AG84,"="&amp;$AG84)))</f>
        <v>SUB ROSA|56</v>
      </c>
    </row>
    <row r="85" spans="1:35" hidden="1">
      <c r="A85" s="69" t="s">
        <v>106</v>
      </c>
      <c r="B85" s="69" t="s">
        <v>105</v>
      </c>
      <c r="C85" s="63" t="s">
        <v>690</v>
      </c>
      <c r="D85" s="69" t="s">
        <v>691</v>
      </c>
      <c r="E85" s="68" t="s">
        <v>74</v>
      </c>
      <c r="F85" s="19" t="str">
        <f>IF($C85="","",IF($E85="","-",IFERROR(INDEX(SETUP!$B$55:$B$64,MATCH($E85,SETUP!$A$55:$A$64,0)),"Other")))</f>
        <v>Ranged DPS</v>
      </c>
      <c r="G85" s="70">
        <v>62771</v>
      </c>
      <c r="H85" s="19" t="str">
        <f>IF($C85="","",IF($G85="","-",INDEX(SETUP!$B$26:$B$32,MATCH($G85,SETUP!$A$26:$A$32,1))))</f>
        <v>62,000 - 62,999</v>
      </c>
      <c r="I85" s="70">
        <v>8491</v>
      </c>
      <c r="J85" s="19" t="str">
        <f>IF($C85="","",IF($I85="","-",INDEX(SETUP!$B$16:$B$22,MATCH($I85,SETUP!$A$16:$A$22,1))))</f>
        <v>ELITE</v>
      </c>
      <c r="K85" s="19" t="str">
        <f>IF($C85="","",IF($I85="","-",TEXT(INT($I85/1000)*1000,"#,##0")&amp;" - "&amp;TEXT(INT($I85/1000)*1000+999,"#,##0")))</f>
        <v>8,000 - 8,999</v>
      </c>
      <c r="L85" s="71">
        <v>6.01</v>
      </c>
      <c r="M85" s="19" t="str">
        <f>IF($C85="","",IF($L85="","-",INDEX(SETUP!$B$36:$B$42,MATCH($L85,SETUP!$A$36:$A$42,1))))</f>
        <v>6k - 8k</v>
      </c>
      <c r="N85" s="21">
        <f>IF($C85="","",IF(OR($G85="",$I85=""),"",ROUND(100*(SETUP!$B$4*MIN(1,$I85/SETUP!$B$9)+SETUP!$B$5*MAX(0,MIN(1,($G85-SETUP!$B$10)/(SETUP!$B$11-SETUP!$B$10)))+SETUP!$B$6*MIN(1,IF($L85="",0,$L85)/SETUP!$B$12)),1)))</f>
        <v>67.5</v>
      </c>
      <c r="O85" s="19" t="str">
        <f>IF($C85="","",IF($N85="","-",INDEX(SETUP!$B$46:$B$51,MATCH($N85,SETUP!$A$46:$A$51,1))))</f>
        <v>S</v>
      </c>
      <c r="P85" s="19">
        <f>IF($C85="","",IF($I85="","",RANK($I85,$I$4:$I$1463)+COUNTIF($I$4:$I85,$I85)-1))</f>
        <v>121</v>
      </c>
      <c r="Q85" s="19">
        <f>IF($C85="","",COUNTIFS($B$4:$B$1463,$B85,$X$4:$X$1463,"&gt;"&amp;$X85)+COUNTIFS($B$4:$B85,$B85,$X$4:$X85,"="&amp;$X85))</f>
        <v>10</v>
      </c>
      <c r="R85" s="75">
        <f>IF($C85="","",IF($I85="","",ROUND(COUNTIF($I$4:$I$1463,"&lt;"&amp;$I85)/COUNT($I$4:$I$1463),3)))</f>
        <v>0.90900000000000003</v>
      </c>
      <c r="S85" s="19" t="str">
        <f>IF($C85="","",IF($G85="","Name only",IF(OR($I85="",$L85=""),"Partial","Complete")))</f>
        <v>Complete</v>
      </c>
      <c r="T85" s="1" t="str">
        <f>IF($C85="","",TRIM(IF(COUNTIF($C$4:$C$1463,$C85)&gt;1,"Dup name; ","")&amp;IF(AND($G85&lt;&gt;"",$G85&lt;55000),"Low CR - verify; ","")&amp;IF(AND($L85&lt;&gt;"",$L85&gt;15),"Secondary - verify; ","")&amp;IF($E85="","No class; ","")))</f>
        <v/>
      </c>
      <c r="U85" s="68"/>
      <c r="V85" s="68"/>
      <c r="W85" s="68"/>
      <c r="X85" s="76">
        <f t="shared" si="7"/>
        <v>8491</v>
      </c>
      <c r="Y85" s="1" t="str">
        <f t="shared" si="8"/>
        <v>LEGENDS|10</v>
      </c>
      <c r="Z85" s="19">
        <f>IF($C85="","",IF($G85="","",RANK($G85,$G$4:$G$1463)+COUNTIF($G$4:$G85,$G85)-1))</f>
        <v>530</v>
      </c>
      <c r="AA85" s="19">
        <f>IF($C85="","",IF($N85="","",RANK($N85,$N$4:$N$1463)+COUNTIF($N$4:$N85,$N85)-1))</f>
        <v>152</v>
      </c>
      <c r="AB85" s="1" t="str">
        <f>IF($C85="","",IF($E85="","",$E85&amp;"#"&amp;(COUNTIFS($E$4:$E$1463,$E85,$X$4:$X$1463,"&gt;"&amp;$X85)+COUNTIFS($E$4:$E85,$E85,$X$4:$X85,"="&amp;$X85))))</f>
        <v>DEMON HUNTER#23</v>
      </c>
      <c r="AC85" s="1" t="str">
        <f>IF($C85="","",$B85&amp;"@"&amp;(COUNTIFS($B$4:$B$1463,$B85,$C$4:$C$1463,"&lt;"&amp;$C85)+COUNTIFS($B$4:$B85,$B85,$C$4:$C85,$C85)))</f>
        <v>LEGENDS@6</v>
      </c>
      <c r="AD85" s="1">
        <f t="shared" si="9"/>
        <v>82</v>
      </c>
      <c r="AE85" s="1" t="s">
        <v>692</v>
      </c>
      <c r="AF85" s="76">
        <f t="shared" si="10"/>
        <v>62771</v>
      </c>
      <c r="AG85" s="77">
        <f t="shared" si="11"/>
        <v>6.01</v>
      </c>
      <c r="AH85" s="1" t="str">
        <f>IF($C85="","",$B85&amp;"|"&amp;(COUNTIFS($B$4:$B$1463,$B85,$AF$4:$AF$1463,"&gt;"&amp;$AF85)+COUNTIFS($B$4:$B85,$B85,$AF$4:$AF85,"="&amp;$AF85)))</f>
        <v>LEGENDS|60</v>
      </c>
      <c r="AI85" s="1" t="str">
        <f>IF($C85="","",$B85&amp;"|"&amp;(COUNTIFS($B$4:$B$1463,$B85,$AG$4:$AG$1463,"&gt;"&amp;$AG85)+COUNTIFS($B$4:$B85,$B85,$AG$4:$AG85,"="&amp;$AG85)))</f>
        <v>LEGENDS|21</v>
      </c>
    </row>
    <row r="86" spans="1:35" hidden="1">
      <c r="A86" s="69" t="s">
        <v>109</v>
      </c>
      <c r="B86" s="69" t="s">
        <v>112</v>
      </c>
      <c r="C86" s="63" t="s">
        <v>693</v>
      </c>
      <c r="D86" s="69" t="s">
        <v>567</v>
      </c>
      <c r="E86" s="68" t="s">
        <v>72</v>
      </c>
      <c r="F86" s="15" t="str">
        <f>IF($C86="","",IF($E86="","-",IFERROR(INDEX(SETUP!$B$55:$B$64,MATCH($E86,SETUP!$A$55:$A$64,0)),"Other")))</f>
        <v>Frontline</v>
      </c>
      <c r="G86" s="70">
        <v>63500</v>
      </c>
      <c r="H86" s="15" t="str">
        <f>IF($C86="","",IF($G86="","-",INDEX(SETUP!$B$26:$B$32,MATCH($G86,SETUP!$A$26:$A$32,1))))</f>
        <v>63,000 - 63,999</v>
      </c>
      <c r="I86" s="70">
        <v>4610</v>
      </c>
      <c r="J86" s="15" t="str">
        <f>IF($C86="","",IF($I86="","-",INDEX(SETUP!$B$16:$B$22,MATCH($I86,SETUP!$A$16:$A$22,1))))</f>
        <v>CORE</v>
      </c>
      <c r="K86" s="15" t="str">
        <f>IF($C86="","",IF($I86="","-",TEXT(INT($I86/1000)*1000,"#,##0")&amp;" - "&amp;TEXT(INT($I86/1000)*1000+999,"#,##0")))</f>
        <v>4,000 - 4,999</v>
      </c>
      <c r="L86" s="71">
        <v>5.55</v>
      </c>
      <c r="M86" s="15" t="str">
        <f>IF($C86="","",IF($L86="","-",INDEX(SETUP!$B$36:$B$42,MATCH($L86,SETUP!$A$36:$A$42,1))))</f>
        <v>5k - 6k</v>
      </c>
      <c r="N86" s="17">
        <f>IF($C86="","",IF(OR($G86="",$I86=""),"",ROUND(100*(SETUP!$B$4*MIN(1,$I86/SETUP!$B$9)+SETUP!$B$5*MAX(0,MIN(1,($G86-SETUP!$B$10)/(SETUP!$B$11-SETUP!$B$10)))+SETUP!$B$6*MIN(1,IF($L86="",0,$L86)/SETUP!$B$12)),1)))</f>
        <v>51.7</v>
      </c>
      <c r="O86" s="15" t="str">
        <f>IF($C86="","",IF($N86="","-",INDEX(SETUP!$B$46:$B$51,MATCH($N86,SETUP!$A$46:$A$51,1))))</f>
        <v>A</v>
      </c>
      <c r="P86" s="15">
        <f>IF($C86="","",IF($I86="","",RANK($I86,$I$4:$I$1463)+COUNTIF($I$4:$I86,$I86)-1))</f>
        <v>470</v>
      </c>
      <c r="Q86" s="15">
        <f>IF($C86="","",COUNTIFS($B$4:$B$1463,$B86,$X$4:$X$1463,"&gt;"&amp;$X86)+COUNTIFS($B$4:$B86,$B86,$X$4:$X86,"="&amp;$X86))</f>
        <v>33</v>
      </c>
      <c r="R86" s="72">
        <f>IF($C86="","",IF($I86="","",ROUND(COUNTIF($I$4:$I$1463,"&lt;"&amp;$I86)/COUNT($I$4:$I$1463),3)))</f>
        <v>0.64500000000000002</v>
      </c>
      <c r="S86" s="15" t="str">
        <f>IF($C86="","",IF($G86="","Name only",IF(OR($I86="",$L86=""),"Partial","Complete")))</f>
        <v>Complete</v>
      </c>
      <c r="T86" s="41" t="str">
        <f>IF($C86="","",TRIM(IF(COUNTIF($C$4:$C$1463,$C86)&gt;1,"Dup name; ","")&amp;IF(AND($G86&lt;&gt;"",$G86&lt;55000),"Low CR - verify; ","")&amp;IF(AND($L86&lt;&gt;"",$L86&gt;15),"Secondary - verify; ","")&amp;IF($E86="","No class; ","")))</f>
        <v/>
      </c>
      <c r="U86" s="68"/>
      <c r="V86" s="68"/>
      <c r="W86" s="68"/>
      <c r="X86" s="73">
        <f t="shared" si="7"/>
        <v>4610</v>
      </c>
      <c r="Y86" s="41" t="str">
        <f t="shared" si="8"/>
        <v>ACHERON|33</v>
      </c>
      <c r="Z86" s="15">
        <f>IF($C86="","",IF($G86="","",RANK($G86,$G$4:$G$1463)+COUNTIF($G$4:$G86,$G86)-1))</f>
        <v>193</v>
      </c>
      <c r="AA86" s="15">
        <f>IF($C86="","",IF($N86="","",RANK($N86,$N$4:$N$1463)+COUNTIF($N$4:$N86,$N86)-1))</f>
        <v>398</v>
      </c>
      <c r="AB86" s="41" t="str">
        <f>IF($C86="","",IF($E86="","",$E86&amp;"#"&amp;(COUNTIFS($E$4:$E$1463,$E86,$X$4:$X$1463,"&gt;"&amp;$X86)+COUNTIFS($E$4:$E86,$E86,$X$4:$X86,"="&amp;$X86))))</f>
        <v>BLOOD KNIGHT#29</v>
      </c>
      <c r="AC86" s="41" t="str">
        <f>IF($C86="","",$B86&amp;"@"&amp;(COUNTIFS($B$4:$B$1463,$B86,$C$4:$C$1463,"&lt;"&amp;$C86)+COUNTIFS($B$4:$B86,$B86,$C$4:$C86,$C86)))</f>
        <v>ACHERON@5</v>
      </c>
      <c r="AD86" s="41">
        <f t="shared" si="9"/>
        <v>83</v>
      </c>
      <c r="AE86" s="41" t="s">
        <v>694</v>
      </c>
      <c r="AF86" s="73">
        <f t="shared" si="10"/>
        <v>63500</v>
      </c>
      <c r="AG86" s="74">
        <f t="shared" si="11"/>
        <v>5.55</v>
      </c>
      <c r="AH86" s="41" t="str">
        <f>IF($C86="","",$B86&amp;"|"&amp;(COUNTIFS($B$4:$B$1463,$B86,$AF$4:$AF$1463,"&gt;"&amp;$AF86)+COUNTIFS($B$4:$B86,$B86,$AF$4:$AF86,"="&amp;$AF86)))</f>
        <v>ACHERON|8</v>
      </c>
      <c r="AI86" s="41" t="str">
        <f>IF($C86="","",$B86&amp;"|"&amp;(COUNTIFS($B$4:$B$1463,$B86,$AG$4:$AG$1463,"&gt;"&amp;$AG86)+COUNTIFS($B$4:$B86,$B86,$AG$4:$AG86,"="&amp;$AG86)))</f>
        <v>ACHERON|27</v>
      </c>
    </row>
    <row r="87" spans="1:35" hidden="1">
      <c r="A87" s="69" t="s">
        <v>109</v>
      </c>
      <c r="B87" s="69" t="s">
        <v>111</v>
      </c>
      <c r="C87" s="63" t="s">
        <v>695</v>
      </c>
      <c r="D87" s="69" t="s">
        <v>527</v>
      </c>
      <c r="E87" s="68" t="s">
        <v>72</v>
      </c>
      <c r="F87" s="19" t="str">
        <f>IF($C87="","",IF($E87="","-",IFERROR(INDEX(SETUP!$B$55:$B$64,MATCH($E87,SETUP!$A$55:$A$64,0)),"Other")))</f>
        <v>Frontline</v>
      </c>
      <c r="G87" s="70">
        <v>62250</v>
      </c>
      <c r="H87" s="19" t="str">
        <f>IF($C87="","",IF($G87="","-",INDEX(SETUP!$B$26:$B$32,MATCH($G87,SETUP!$A$26:$A$32,1))))</f>
        <v>62,000 - 62,999</v>
      </c>
      <c r="I87" s="70">
        <v>3094</v>
      </c>
      <c r="J87" s="19" t="str">
        <f>IF($C87="","",IF($I87="","-",INDEX(SETUP!$B$16:$B$22,MATCH($I87,SETUP!$A$16:$A$22,1))))</f>
        <v>DEVELOPING</v>
      </c>
      <c r="K87" s="19" t="str">
        <f>IF($C87="","",IF($I87="","-",TEXT(INT($I87/1000)*1000,"#,##0")&amp;" - "&amp;TEXT(INT($I87/1000)*1000+999,"#,##0")))</f>
        <v>3,000 - 3,999</v>
      </c>
      <c r="L87" s="71">
        <v>5.5</v>
      </c>
      <c r="M87" s="19" t="str">
        <f>IF($C87="","",IF($L87="","-",INDEX(SETUP!$B$36:$B$42,MATCH($L87,SETUP!$A$36:$A$42,1))))</f>
        <v>5k - 6k</v>
      </c>
      <c r="N87" s="21">
        <f>IF($C87="","",IF(OR($G87="",$I87=""),"",ROUND(100*(SETUP!$B$4*MIN(1,$I87/SETUP!$B$9)+SETUP!$B$5*MAX(0,MIN(1,($G87-SETUP!$B$10)/(SETUP!$B$11-SETUP!$B$10)))+SETUP!$B$6*MIN(1,IF($L87="",0,$L87)/SETUP!$B$12)),1)))</f>
        <v>41.8</v>
      </c>
      <c r="O87" s="19" t="str">
        <f>IF($C87="","",IF($N87="","-",INDEX(SETUP!$B$46:$B$51,MATCH($N87,SETUP!$A$46:$A$51,1))))</f>
        <v>B</v>
      </c>
      <c r="P87" s="19">
        <f>IF($C87="","",IF($I87="","",RANK($I87,$I$4:$I$1463)+COUNTIF($I$4:$I87,$I87)-1))</f>
        <v>855</v>
      </c>
      <c r="Q87" s="19">
        <f>IF($C87="","",COUNTIFS($B$4:$B$1463,$B87,$X$4:$X$1463,"&gt;"&amp;$X87)+COUNTIFS($B$4:$B87,$B87,$X$4:$X87,"="&amp;$X87))</f>
        <v>87</v>
      </c>
      <c r="R87" s="75">
        <f>IF($C87="","",IF($I87="","",ROUND(COUNTIF($I$4:$I$1463,"&lt;"&amp;$I87)/COUNT($I$4:$I$1463),3)))</f>
        <v>0.35499999999999998</v>
      </c>
      <c r="S87" s="19" t="str">
        <f>IF($C87="","",IF($G87="","Name only",IF(OR($I87="",$L87=""),"Partial","Complete")))</f>
        <v>Complete</v>
      </c>
      <c r="T87" s="1" t="str">
        <f>IF($C87="","",TRIM(IF(COUNTIF($C$4:$C$1463,$C87)&gt;1,"Dup name; ","")&amp;IF(AND($G87&lt;&gt;"",$G87&lt;55000),"Low CR - verify; ","")&amp;IF(AND($L87&lt;&gt;"",$L87&gt;15),"Secondary - verify; ","")&amp;IF($E87="","No class; ","")))</f>
        <v/>
      </c>
      <c r="U87" s="68"/>
      <c r="V87" s="68"/>
      <c r="W87" s="68"/>
      <c r="X87" s="76">
        <f t="shared" si="7"/>
        <v>3094</v>
      </c>
      <c r="Y87" s="1" t="str">
        <f t="shared" si="8"/>
        <v>RECKONING|87</v>
      </c>
      <c r="Z87" s="19">
        <f>IF($C87="","",IF($G87="","",RANK($G87,$G$4:$G$1463)+COUNTIF($G$4:$G87,$G87)-1))</f>
        <v>743</v>
      </c>
      <c r="AA87" s="19">
        <f>IF($C87="","",IF($N87="","",RANK($N87,$N$4:$N$1463)+COUNTIF($N$4:$N87,$N87)-1))</f>
        <v>744</v>
      </c>
      <c r="AB87" s="1" t="str">
        <f>IF($C87="","",IF($E87="","",$E87&amp;"#"&amp;(COUNTIFS($E$4:$E$1463,$E87,$X$4:$X$1463,"&gt;"&amp;$X87)+COUNTIFS($E$4:$E87,$E87,$X$4:$X87,"="&amp;$X87))))</f>
        <v>BLOOD KNIGHT#60</v>
      </c>
      <c r="AC87" s="1" t="str">
        <f>IF($C87="","",$B87&amp;"@"&amp;(COUNTIFS($B$4:$B$1463,$B87,$C$4:$C$1463,"&lt;"&amp;$C87)+COUNTIFS($B$4:$B87,$B87,$C$4:$C87,$C87)))</f>
        <v>RECKONING@7</v>
      </c>
      <c r="AD87" s="1">
        <f t="shared" si="9"/>
        <v>84</v>
      </c>
      <c r="AE87" s="1" t="s">
        <v>696</v>
      </c>
      <c r="AF87" s="76">
        <f t="shared" si="10"/>
        <v>62250</v>
      </c>
      <c r="AG87" s="77">
        <f t="shared" si="11"/>
        <v>5.5</v>
      </c>
      <c r="AH87" s="1" t="str">
        <f>IF($C87="","",$B87&amp;"|"&amp;(COUNTIFS($B$4:$B$1463,$B87,$AF$4:$AF$1463,"&gt;"&amp;$AF87)+COUNTIFS($B$4:$B87,$B87,$AF$4:$AF87,"="&amp;$AF87)))</f>
        <v>RECKONING|67</v>
      </c>
      <c r="AI87" s="1" t="str">
        <f>IF($C87="","",$B87&amp;"|"&amp;(COUNTIFS($B$4:$B$1463,$B87,$AG$4:$AG$1463,"&gt;"&amp;$AG87)+COUNTIFS($B$4:$B87,$B87,$AG$4:$AG87,"="&amp;$AG87)))</f>
        <v>RECKONING|47</v>
      </c>
    </row>
    <row r="88" spans="1:35" hidden="1">
      <c r="A88" s="69" t="s">
        <v>109</v>
      </c>
      <c r="B88" s="69" t="s">
        <v>112</v>
      </c>
      <c r="C88" s="63" t="s">
        <v>697</v>
      </c>
      <c r="D88" s="69" t="s">
        <v>567</v>
      </c>
      <c r="E88" s="68" t="s">
        <v>79</v>
      </c>
      <c r="F88" s="15" t="str">
        <f>IF($C88="","",IF($E88="","-",IFERROR(INDEX(SETUP!$B$55:$B$64,MATCH($E88,SETUP!$A$55:$A$64,0)),"Other")))</f>
        <v>Control</v>
      </c>
      <c r="G88" s="70">
        <v>61754</v>
      </c>
      <c r="H88" s="15" t="str">
        <f>IF($C88="","",IF($G88="","-",INDEX(SETUP!$B$26:$B$32,MATCH($G88,SETUP!$A$26:$A$32,1))))</f>
        <v>61,000 - 61,999</v>
      </c>
      <c r="I88" s="70">
        <v>2881</v>
      </c>
      <c r="J88" s="15" t="str">
        <f>IF($C88="","",IF($I88="","-",INDEX(SETUP!$B$16:$B$22,MATCH($I88,SETUP!$A$16:$A$22,1))))</f>
        <v>DEVELOPING</v>
      </c>
      <c r="K88" s="15" t="str">
        <f>IF($C88="","",IF($I88="","-",TEXT(INT($I88/1000)*1000,"#,##0")&amp;" - "&amp;TEXT(INT($I88/1000)*1000+999,"#,##0")))</f>
        <v>2,000 - 2,999</v>
      </c>
      <c r="L88" s="71">
        <v>3.25</v>
      </c>
      <c r="M88" s="15" t="str">
        <f>IF($C88="","",IF($L88="","-",INDEX(SETUP!$B$36:$B$42,MATCH($L88,SETUP!$A$36:$A$42,1))))</f>
        <v>3k - 4k</v>
      </c>
      <c r="N88" s="17">
        <f>IF($C88="","",IF(OR($G88="",$I88=""),"",ROUND(100*(SETUP!$B$4*MIN(1,$I88/SETUP!$B$9)+SETUP!$B$5*MAX(0,MIN(1,($G88-SETUP!$B$10)/(SETUP!$B$11-SETUP!$B$10)))+SETUP!$B$6*MIN(1,IF($L88="",0,$L88)/SETUP!$B$12)),1)))</f>
        <v>35.799999999999997</v>
      </c>
      <c r="O88" s="15" t="str">
        <f>IF($C88="","",IF($N88="","-",INDEX(SETUP!$B$46:$B$51,MATCH($N88,SETUP!$A$46:$A$51,1))))</f>
        <v>B</v>
      </c>
      <c r="P88" s="15">
        <f>IF($C88="","",IF($I88="","",RANK($I88,$I$4:$I$1463)+COUNTIF($I$4:$I88,$I88)-1))</f>
        <v>912</v>
      </c>
      <c r="Q88" s="15">
        <f>IF($C88="","",COUNTIFS($B$4:$B$1463,$B88,$X$4:$X$1463,"&gt;"&amp;$X88)+COUNTIFS($B$4:$B88,$B88,$X$4:$X88,"="&amp;$X88))</f>
        <v>69</v>
      </c>
      <c r="R88" s="72">
        <f>IF($C88="","",IF($I88="","",ROUND(COUNTIF($I$4:$I$1463,"&lt;"&amp;$I88)/COUNT($I$4:$I$1463),3)))</f>
        <v>0.312</v>
      </c>
      <c r="S88" s="15" t="str">
        <f>IF($C88="","",IF($G88="","Name only",IF(OR($I88="",$L88=""),"Partial","Complete")))</f>
        <v>Complete</v>
      </c>
      <c r="T88" s="41" t="str">
        <f>IF($C88="","",TRIM(IF(COUNTIF($C$4:$C$1463,$C88)&gt;1,"Dup name; ","")&amp;IF(AND($G88&lt;&gt;"",$G88&lt;55000),"Low CR - verify; ","")&amp;IF(AND($L88&lt;&gt;"",$L88&gt;15),"Secondary - verify; ","")&amp;IF($E88="","No class; ","")))</f>
        <v/>
      </c>
      <c r="U88" s="68"/>
      <c r="V88" s="68"/>
      <c r="W88" s="68"/>
      <c r="X88" s="73">
        <f t="shared" si="7"/>
        <v>2881</v>
      </c>
      <c r="Y88" s="41" t="str">
        <f t="shared" si="8"/>
        <v>ACHERON|69</v>
      </c>
      <c r="Z88" s="15">
        <f>IF($C88="","",IF($G88="","",RANK($G88,$G$4:$G$1463)+COUNTIF($G$4:$G88,$G88)-1))</f>
        <v>927</v>
      </c>
      <c r="AA88" s="15">
        <f>IF($C88="","",IF($N88="","",RANK($N88,$N$4:$N$1463)+COUNTIF($N$4:$N88,$N88)-1))</f>
        <v>977</v>
      </c>
      <c r="AB88" s="41" t="str">
        <f>IF($C88="","",IF($E88="","",$E88&amp;"#"&amp;(COUNTIFS($E$4:$E$1463,$E88,$X$4:$X$1463,"&gt;"&amp;$X88)+COUNTIFS($E$4:$E88,$E88,$X$4:$X88,"="&amp;$X88))))</f>
        <v>WARLOCK#226</v>
      </c>
      <c r="AC88" s="41" t="str">
        <f>IF($C88="","",$B88&amp;"@"&amp;(COUNTIFS($B$4:$B$1463,$B88,$C$4:$C$1463,"&lt;"&amp;$C88)+COUNTIFS($B$4:$B88,$B88,$C$4:$C88,$C88)))</f>
        <v>ACHERON@6</v>
      </c>
      <c r="AD88" s="41">
        <f t="shared" si="9"/>
        <v>85</v>
      </c>
      <c r="AE88" s="41" t="s">
        <v>698</v>
      </c>
      <c r="AF88" s="73">
        <f t="shared" si="10"/>
        <v>61754</v>
      </c>
      <c r="AG88" s="74">
        <f t="shared" si="11"/>
        <v>3.25</v>
      </c>
      <c r="AH88" s="41" t="str">
        <f>IF($C88="","",$B88&amp;"|"&amp;(COUNTIFS($B$4:$B$1463,$B88,$AF$4:$AF$1463,"&gt;"&amp;$AF88)+COUNTIFS($B$4:$B88,$B88,$AF$4:$AF88,"="&amp;$AF88)))</f>
        <v>ACHERON|73</v>
      </c>
      <c r="AI88" s="41" t="str">
        <f>IF($C88="","",$B88&amp;"|"&amp;(COUNTIFS($B$4:$B$1463,$B88,$AG$4:$AG$1463,"&gt;"&amp;$AG88)+COUNTIFS($B$4:$B88,$B88,$AG$4:$AG88,"="&amp;$AG88)))</f>
        <v>ACHERON|90</v>
      </c>
    </row>
    <row r="89" spans="1:35" hidden="1">
      <c r="A89" s="69" t="s">
        <v>106</v>
      </c>
      <c r="B89" s="69" t="s">
        <v>107</v>
      </c>
      <c r="C89" s="63" t="s">
        <v>699</v>
      </c>
      <c r="D89" s="69"/>
      <c r="E89" s="68" t="s">
        <v>72</v>
      </c>
      <c r="F89" s="19" t="str">
        <f>IF($C89="","",IF($E89="","-",IFERROR(INDEX(SETUP!$B$55:$B$64,MATCH($E89,SETUP!$A$55:$A$64,0)),"Other")))</f>
        <v>Frontline</v>
      </c>
      <c r="G89" s="70">
        <v>62820</v>
      </c>
      <c r="H89" s="19" t="str">
        <f>IF($C89="","",IF($G89="","-",INDEX(SETUP!$B$26:$B$32,MATCH($G89,SETUP!$A$26:$A$32,1))))</f>
        <v>62,000 - 62,999</v>
      </c>
      <c r="I89" s="70">
        <v>2133</v>
      </c>
      <c r="J89" s="19" t="str">
        <f>IF($C89="","",IF($I89="","-",INDEX(SETUP!$B$16:$B$22,MATCH($I89,SETUP!$A$16:$A$22,1))))</f>
        <v>DEVELOPING</v>
      </c>
      <c r="K89" s="19" t="str">
        <f>IF($C89="","",IF($I89="","-",TEXT(INT($I89/1000)*1000,"#,##0")&amp;" - "&amp;TEXT(INT($I89/1000)*1000+999,"#,##0")))</f>
        <v>2,000 - 2,999</v>
      </c>
      <c r="L89" s="71">
        <v>3.8</v>
      </c>
      <c r="M89" s="19" t="str">
        <f>IF($C89="","",IF($L89="","-",INDEX(SETUP!$B$36:$B$42,MATCH($L89,SETUP!$A$36:$A$42,1))))</f>
        <v>3k - 4k</v>
      </c>
      <c r="N89" s="21">
        <f>IF($C89="","",IF(OR($G89="",$I89=""),"",ROUND(100*(SETUP!$B$4*MIN(1,$I89/SETUP!$B$9)+SETUP!$B$5*MAX(0,MIN(1,($G89-SETUP!$B$10)/(SETUP!$B$11-SETUP!$B$10)))+SETUP!$B$6*MIN(1,IF($L89="",0,$L89)/SETUP!$B$12)),1)))</f>
        <v>36.200000000000003</v>
      </c>
      <c r="O89" s="19" t="str">
        <f>IF($C89="","",IF($N89="","-",INDEX(SETUP!$B$46:$B$51,MATCH($N89,SETUP!$A$46:$A$51,1))))</f>
        <v>B</v>
      </c>
      <c r="P89" s="19">
        <f>IF($C89="","",IF($I89="","",RANK($I89,$I$4:$I$1463)+COUNTIF($I$4:$I89,$I89)-1))</f>
        <v>1079</v>
      </c>
      <c r="Q89" s="19">
        <f>IF($C89="","",COUNTIFS($B$4:$B$1463,$B89,$X$4:$X$1463,"&gt;"&amp;$X89)+COUNTIFS($B$4:$B89,$B89,$X$4:$X89,"="&amp;$X89))</f>
        <v>95</v>
      </c>
      <c r="R89" s="75">
        <f>IF($C89="","",IF($I89="","",ROUND(COUNTIF($I$4:$I$1463,"&lt;"&amp;$I89)/COUNT($I$4:$I$1463),3)))</f>
        <v>0.186</v>
      </c>
      <c r="S89" s="19" t="str">
        <f>IF($C89="","",IF($G89="","Name only",IF(OR($I89="",$L89=""),"Partial","Complete")))</f>
        <v>Complete</v>
      </c>
      <c r="T89" s="1" t="str">
        <f>IF($C89="","",TRIM(IF(COUNTIF($C$4:$C$1463,$C89)&gt;1,"Dup name; ","")&amp;IF(AND($G89&lt;&gt;"",$G89&lt;55000),"Low CR - verify; ","")&amp;IF(AND($L89&lt;&gt;"",$L89&gt;15),"Secondary - verify; ","")&amp;IF($E89="","No class; ","")))</f>
        <v/>
      </c>
      <c r="U89" s="68"/>
      <c r="V89" s="68"/>
      <c r="W89" s="68"/>
      <c r="X89" s="76">
        <f t="shared" si="7"/>
        <v>2133</v>
      </c>
      <c r="Y89" s="1" t="str">
        <f t="shared" si="8"/>
        <v>UNDYING|95</v>
      </c>
      <c r="Z89" s="19">
        <f>IF($C89="","",IF($G89="","",RANK($G89,$G$4:$G$1463)+COUNTIF($G$4:$G89,$G89)-1))</f>
        <v>510</v>
      </c>
      <c r="AA89" s="19">
        <f>IF($C89="","",IF($N89="","",RANK($N89,$N$4:$N$1463)+COUNTIF($N$4:$N89,$N89)-1))</f>
        <v>957</v>
      </c>
      <c r="AB89" s="1" t="str">
        <f>IF($C89="","",IF($E89="","",$E89&amp;"#"&amp;(COUNTIFS($E$4:$E$1463,$E89,$X$4:$X$1463,"&gt;"&amp;$X89)+COUNTIFS($E$4:$E89,$E89,$X$4:$X89,"="&amp;$X89))))</f>
        <v>BLOOD KNIGHT#74</v>
      </c>
      <c r="AC89" s="1" t="str">
        <f>IF($C89="","",$B89&amp;"@"&amp;(COUNTIFS($B$4:$B$1463,$B89,$C$4:$C$1463,"&lt;"&amp;$C89)+COUNTIFS($B$4:$B89,$B89,$C$4:$C89,$C89)))</f>
        <v>UNDYING@9</v>
      </c>
      <c r="AD89" s="1">
        <f t="shared" si="9"/>
        <v>86</v>
      </c>
      <c r="AE89" s="1" t="s">
        <v>531</v>
      </c>
      <c r="AF89" s="76">
        <f t="shared" si="10"/>
        <v>62820</v>
      </c>
      <c r="AG89" s="77">
        <f t="shared" si="11"/>
        <v>3.8</v>
      </c>
      <c r="AH89" s="1" t="str">
        <f>IF($C89="","",$B89&amp;"|"&amp;(COUNTIFS($B$4:$B$1463,$B89,$AF$4:$AF$1463,"&gt;"&amp;$AF89)+COUNTIFS($B$4:$B89,$B89,$AF$4:$AF89,"="&amp;$AF89)))</f>
        <v>UNDYING|50</v>
      </c>
      <c r="AI89" s="1" t="str">
        <f>IF($C89="","",$B89&amp;"|"&amp;(COUNTIFS($B$4:$B$1463,$B89,$AG$4:$AG$1463,"&gt;"&amp;$AG89)+COUNTIFS($B$4:$B89,$B89,$AG$4:$AG89,"="&amp;$AG89)))</f>
        <v>UNDYING|86</v>
      </c>
    </row>
    <row r="90" spans="1:35" hidden="1">
      <c r="A90" s="69" t="s">
        <v>106</v>
      </c>
      <c r="B90" s="69" t="s">
        <v>86</v>
      </c>
      <c r="C90" s="63" t="s">
        <v>700</v>
      </c>
      <c r="D90" s="69"/>
      <c r="E90" s="68" t="s">
        <v>72</v>
      </c>
      <c r="F90" s="15" t="str">
        <f>IF($C90="","",IF($E90="","-",IFERROR(INDEX(SETUP!$B$55:$B$64,MATCH($E90,SETUP!$A$55:$A$64,0)),"Other")))</f>
        <v>Frontline</v>
      </c>
      <c r="G90" s="70">
        <v>63614</v>
      </c>
      <c r="H90" s="15" t="str">
        <f>IF($C90="","",IF($G90="","-",INDEX(SETUP!$B$26:$B$32,MATCH($G90,SETUP!$A$26:$A$32,1))))</f>
        <v>63,000 - 63,999</v>
      </c>
      <c r="I90" s="70">
        <v>6148</v>
      </c>
      <c r="J90" s="15" t="str">
        <f>IF($C90="","",IF($I90="","-",INDEX(SETUP!$B$16:$B$22,MATCH($I90,SETUP!$A$16:$A$22,1))))</f>
        <v>VETERAN</v>
      </c>
      <c r="K90" s="15" t="str">
        <f>IF($C90="","",IF($I90="","-",TEXT(INT($I90/1000)*1000,"#,##0")&amp;" - "&amp;TEXT(INT($I90/1000)*1000+999,"#,##0")))</f>
        <v>6,000 - 6,999</v>
      </c>
      <c r="L90" s="71">
        <v>6.38</v>
      </c>
      <c r="M90" s="15" t="str">
        <f>IF($C90="","",IF($L90="","-",INDEX(SETUP!$B$36:$B$42,MATCH($L90,SETUP!$A$36:$A$42,1))))</f>
        <v>6k - 8k</v>
      </c>
      <c r="N90" s="17">
        <f>IF($C90="","",IF(OR($G90="",$I90=""),"",ROUND(100*(SETUP!$B$4*MIN(1,$I90/SETUP!$B$9)+SETUP!$B$5*MAX(0,MIN(1,($G90-SETUP!$B$10)/(SETUP!$B$11-SETUP!$B$10)))+SETUP!$B$6*MIN(1,IF($L90="",0,$L90)/SETUP!$B$12)),1)))</f>
        <v>60.1</v>
      </c>
      <c r="O90" s="15" t="str">
        <f>IF($C90="","",IF($N90="","-",INDEX(SETUP!$B$46:$B$51,MATCH($N90,SETUP!$A$46:$A$51,1))))</f>
        <v>A</v>
      </c>
      <c r="P90" s="15">
        <f>IF($C90="","",IF($I90="","",RANK($I90,$I$4:$I$1463)+COUNTIF($I$4:$I90,$I90)-1))</f>
        <v>272</v>
      </c>
      <c r="Q90" s="15">
        <f>IF($C90="","",COUNTIFS($B$4:$B$1463,$B90,$X$4:$X$1463,"&gt;"&amp;$X90)+COUNTIFS($B$4:$B90,$B90,$X$4:$X90,"="&amp;$X90))</f>
        <v>56</v>
      </c>
      <c r="R90" s="72">
        <f>IF($C90="","",IF($I90="","",ROUND(COUNTIF($I$4:$I$1463,"&lt;"&amp;$I90)/COUNT($I$4:$I$1463),3)))</f>
        <v>0.79500000000000004</v>
      </c>
      <c r="S90" s="15" t="str">
        <f>IF($C90="","",IF($G90="","Name only",IF(OR($I90="",$L90=""),"Partial","Complete")))</f>
        <v>Complete</v>
      </c>
      <c r="T90" s="41" t="str">
        <f>IF($C90="","",TRIM(IF(COUNTIF($C$4:$C$1463,$C90)&gt;1,"Dup name; ","")&amp;IF(AND($G90&lt;&gt;"",$G90&lt;55000),"Low CR - verify; ","")&amp;IF(AND($L90&lt;&gt;"",$L90&gt;15),"Secondary - verify; ","")&amp;IF($E90="","No class; ","")))</f>
        <v/>
      </c>
      <c r="U90" s="68"/>
      <c r="V90" s="68"/>
      <c r="W90" s="68"/>
      <c r="X90" s="73">
        <f t="shared" si="7"/>
        <v>6148</v>
      </c>
      <c r="Y90" s="41" t="str">
        <f t="shared" si="8"/>
        <v>VANGUARD|56</v>
      </c>
      <c r="Z90" s="15">
        <f>IF($C90="","",IF($G90="","",RANK($G90,$G$4:$G$1463)+COUNTIF($G$4:$G90,$G90)-1))</f>
        <v>162</v>
      </c>
      <c r="AA90" s="15">
        <f>IF($C90="","",IF($N90="","",RANK($N90,$N$4:$N$1463)+COUNTIF($N$4:$N90,$N90)-1))</f>
        <v>234</v>
      </c>
      <c r="AB90" s="41" t="str">
        <f>IF($C90="","",IF($E90="","",$E90&amp;"#"&amp;(COUNTIFS($E$4:$E$1463,$E90,$X$4:$X$1463,"&gt;"&amp;$X90)+COUNTIFS($E$4:$E90,$E90,$X$4:$X90,"="&amp;$X90))))</f>
        <v>BLOOD KNIGHT#18</v>
      </c>
      <c r="AC90" s="41" t="str">
        <f>IF($C90="","",$B90&amp;"@"&amp;(COUNTIFS($B$4:$B$1463,$B90,$C$4:$C$1463,"&lt;"&amp;$C90)+COUNTIFS($B$4:$B90,$B90,$C$4:$C90,$C90)))</f>
        <v>VANGUARD@8</v>
      </c>
      <c r="AD90" s="41">
        <f t="shared" si="9"/>
        <v>87</v>
      </c>
      <c r="AE90" s="41" t="s">
        <v>701</v>
      </c>
      <c r="AF90" s="73">
        <f t="shared" si="10"/>
        <v>63614</v>
      </c>
      <c r="AG90" s="74">
        <f t="shared" si="11"/>
        <v>6.38</v>
      </c>
      <c r="AH90" s="41" t="str">
        <f>IF($C90="","",$B90&amp;"|"&amp;(COUNTIFS($B$4:$B$1463,$B90,$AF$4:$AF$1463,"&gt;"&amp;$AF90)+COUNTIFS($B$4:$B90,$B90,$AF$4:$AF90,"="&amp;$AF90)))</f>
        <v>VANGUARD|36</v>
      </c>
      <c r="AI90" s="41" t="str">
        <f>IF($C90="","",$B90&amp;"|"&amp;(COUNTIFS($B$4:$B$1463,$B90,$AG$4:$AG$1463,"&gt;"&amp;$AG90)+COUNTIFS($B$4:$B90,$B90,$AG$4:$AG90,"="&amp;$AG90)))</f>
        <v>VANGUARD|35</v>
      </c>
    </row>
    <row r="91" spans="1:35" hidden="1">
      <c r="A91" s="69" t="s">
        <v>109</v>
      </c>
      <c r="B91" s="69" t="s">
        <v>117</v>
      </c>
      <c r="C91" s="63" t="s">
        <v>702</v>
      </c>
      <c r="D91" s="69"/>
      <c r="E91" s="68" t="s">
        <v>79</v>
      </c>
      <c r="F91" s="19" t="str">
        <f>IF($C91="","",IF($E91="","-",IFERROR(INDEX(SETUP!$B$55:$B$64,MATCH($E91,SETUP!$A$55:$A$64,0)),"Other")))</f>
        <v>Control</v>
      </c>
      <c r="G91" s="70">
        <v>61375</v>
      </c>
      <c r="H91" s="19" t="str">
        <f>IF($C91="","",IF($G91="","-",INDEX(SETUP!$B$26:$B$32,MATCH($G91,SETUP!$A$26:$A$32,1))))</f>
        <v>61,000 - 61,999</v>
      </c>
      <c r="I91" s="70">
        <v>2328</v>
      </c>
      <c r="J91" s="19" t="str">
        <f>IF($C91="","",IF($I91="","-",INDEX(SETUP!$B$16:$B$22,MATCH($I91,SETUP!$A$16:$A$22,1))))</f>
        <v>DEVELOPING</v>
      </c>
      <c r="K91" s="19" t="str">
        <f>IF($C91="","",IF($I91="","-",TEXT(INT($I91/1000)*1000,"#,##0")&amp;" - "&amp;TEXT(INT($I91/1000)*1000+999,"#,##0")))</f>
        <v>2,000 - 2,999</v>
      </c>
      <c r="L91" s="71">
        <v>4.0999999999999996</v>
      </c>
      <c r="M91" s="19" t="str">
        <f>IF($C91="","",IF($L91="","-",INDEX(SETUP!$B$36:$B$42,MATCH($L91,SETUP!$A$36:$A$42,1))))</f>
        <v>4k - 5k</v>
      </c>
      <c r="N91" s="21">
        <f>IF($C91="","",IF(OR($G91="",$I91=""),"",ROUND(100*(SETUP!$B$4*MIN(1,$I91/SETUP!$B$9)+SETUP!$B$5*MAX(0,MIN(1,($G91-SETUP!$B$10)/(SETUP!$B$11-SETUP!$B$10)))+SETUP!$B$6*MIN(1,IF($L91="",0,$L91)/SETUP!$B$12)),1)))</f>
        <v>33.799999999999997</v>
      </c>
      <c r="O91" s="19" t="str">
        <f>IF($C91="","",IF($N91="","-",INDEX(SETUP!$B$46:$B$51,MATCH($N91,SETUP!$A$46:$A$51,1))))</f>
        <v>C</v>
      </c>
      <c r="P91" s="19">
        <f>IF($C91="","",IF($I91="","",RANK($I91,$I$4:$I$1463)+COUNTIF($I$4:$I91,$I91)-1))</f>
        <v>1037</v>
      </c>
      <c r="Q91" s="19">
        <f>IF($C91="","",COUNTIFS($B$4:$B$1463,$B91,$X$4:$X$1463,"&gt;"&amp;$X91)+COUNTIFS($B$4:$B91,$B91,$X$4:$X91,"="&amp;$X91))</f>
        <v>36</v>
      </c>
      <c r="R91" s="75">
        <f>IF($C91="","",IF($I91="","",ROUND(COUNTIF($I$4:$I$1463,"&lt;"&amp;$I91)/COUNT($I$4:$I$1463),3)))</f>
        <v>0.217</v>
      </c>
      <c r="S91" s="19" t="str">
        <f>IF($C91="","",IF($G91="","Name only",IF(OR($I91="",$L91=""),"Partial","Complete")))</f>
        <v>Complete</v>
      </c>
      <c r="T91" s="1" t="str">
        <f>IF($C91="","",TRIM(IF(COUNTIF($C$4:$C$1463,$C91)&gt;1,"Dup name; ","")&amp;IF(AND($G91&lt;&gt;"",$G91&lt;55000),"Low CR - verify; ","")&amp;IF(AND($L91&lt;&gt;"",$L91&gt;15),"Secondary - verify; ","")&amp;IF($E91="","No class; ","")))</f>
        <v/>
      </c>
      <c r="U91" s="68"/>
      <c r="V91" s="68"/>
      <c r="W91" s="68"/>
      <c r="X91" s="76">
        <f t="shared" si="7"/>
        <v>2328</v>
      </c>
      <c r="Y91" s="1" t="str">
        <f t="shared" si="8"/>
        <v>VENDETTA|36</v>
      </c>
      <c r="Z91" s="19">
        <f>IF($C91="","",IF($G91="","",RANK($G91,$G$4:$G$1463)+COUNTIF($G$4:$G91,$G91)-1))</f>
        <v>1040</v>
      </c>
      <c r="AA91" s="19">
        <f>IF($C91="","",IF($N91="","",RANK($N91,$N$4:$N$1463)+COUNTIF($N$4:$N91,$N91)-1))</f>
        <v>1047</v>
      </c>
      <c r="AB91" s="1" t="str">
        <f>IF($C91="","",IF($E91="","",$E91&amp;"#"&amp;(COUNTIFS($E$4:$E$1463,$E91,$X$4:$X$1463,"&gt;"&amp;$X91)+COUNTIFS($E$4:$E91,$E91,$X$4:$X91,"="&amp;$X91))))</f>
        <v>WARLOCK#261</v>
      </c>
      <c r="AC91" s="1" t="str">
        <f>IF($C91="","",$B91&amp;"@"&amp;(COUNTIFS($B$4:$B$1463,$B91,$C$4:$C$1463,"&lt;"&amp;$C91)+COUNTIFS($B$4:$B91,$B91,$C$4:$C91,$C91)))</f>
        <v>VENDETTA@10</v>
      </c>
      <c r="AD91" s="1">
        <f t="shared" si="9"/>
        <v>88</v>
      </c>
      <c r="AE91" s="1" t="s">
        <v>703</v>
      </c>
      <c r="AF91" s="76">
        <f t="shared" si="10"/>
        <v>61375</v>
      </c>
      <c r="AG91" s="77">
        <f t="shared" si="11"/>
        <v>4.0999999999999996</v>
      </c>
      <c r="AH91" s="1" t="str">
        <f>IF($C91="","",$B91&amp;"|"&amp;(COUNTIFS($B$4:$B$1463,$B91,$AF$4:$AF$1463,"&gt;"&amp;$AF91)+COUNTIFS($B$4:$B91,$B91,$AF$4:$AF91,"="&amp;$AF91)))</f>
        <v>VENDETTA|56</v>
      </c>
      <c r="AI91" s="1" t="str">
        <f>IF($C91="","",$B91&amp;"|"&amp;(COUNTIFS($B$4:$B$1463,$B91,$AG$4:$AG$1463,"&gt;"&amp;$AG91)+COUNTIFS($B$4:$B91,$B91,$AG$4:$AG91,"="&amp;$AG91)))</f>
        <v>VENDETTA|32</v>
      </c>
    </row>
    <row r="92" spans="1:35">
      <c r="A92" s="69" t="s">
        <v>104</v>
      </c>
      <c r="B92" s="69" t="s">
        <v>66</v>
      </c>
      <c r="C92" s="63" t="s">
        <v>672</v>
      </c>
      <c r="D92" s="69"/>
      <c r="E92" s="68" t="s">
        <v>80</v>
      </c>
      <c r="F92" s="19" t="str">
        <f>IF($C92="","",IF($E92="","-",IFERROR(INDEX(SETUP!$B$55:$B$64,MATCH($E92,SETUP!$A$55:$A$64,0)),"Other")))</f>
        <v>Ranged DPS</v>
      </c>
      <c r="G92" s="70">
        <v>63085</v>
      </c>
      <c r="H92" s="19" t="str">
        <f>IF($C92="","",IF($G92="","-",INDEX(SETUP!$B$26:$B$32,MATCH($G92,SETUP!$A$26:$A$32,1))))</f>
        <v>63,000 - 63,999</v>
      </c>
      <c r="I92" s="70">
        <v>3676</v>
      </c>
      <c r="J92" s="19" t="str">
        <f>IF($C92="","",IF($I92="","-",INDEX(SETUP!$B$16:$B$22,MATCH($I92,SETUP!$A$16:$A$22,1))))</f>
        <v>DEVELOPING</v>
      </c>
      <c r="K92" s="19" t="str">
        <f>IF($C92="","",IF($I92="","-",TEXT(INT($I92/1000)*1000,"#,##0")&amp;" - "&amp;TEXT(INT($I92/1000)*1000+999,"#,##0")))</f>
        <v>3,000 - 3,999</v>
      </c>
      <c r="L92" s="71">
        <v>4.3099999999999996</v>
      </c>
      <c r="M92" s="19" t="str">
        <f>IF($C92="","",IF($L92="","-",INDEX(SETUP!$B$36:$B$42,MATCH($L92,SETUP!$A$36:$A$42,1))))</f>
        <v>4k - 5k</v>
      </c>
      <c r="N92" s="21">
        <f>IF($C92="","",IF(OR($G92="",$I92=""),"",ROUND(100*(SETUP!$B$4*MIN(1,$I92/SETUP!$B$9)+SETUP!$B$5*MAX(0,MIN(1,($G92-SETUP!$B$10)/(SETUP!$B$11-SETUP!$B$10)))+SETUP!$B$6*MIN(1,IF($L92="",0,$L92)/SETUP!$B$12)),1)))</f>
        <v>44.5</v>
      </c>
      <c r="O92" s="19" t="str">
        <f>IF($C92="","",IF($N92="","-",INDEX(SETUP!$B$46:$B$51,MATCH($N92,SETUP!$A$46:$A$51,1))))</f>
        <v>B</v>
      </c>
      <c r="P92" s="19">
        <f>IF($C92="","",IF($I92="","",RANK($I92,$I$4:$I$1463)+COUNTIF($I$4:$I92,$I92)-1))</f>
        <v>682</v>
      </c>
      <c r="Q92" s="19">
        <f>IF($C92="","",COUNTIFS($B$4:$B$1463,$B92,$X$4:$X$1463,"&gt;"&amp;$X92)+COUNTIFS($B$4:$B92,$B92,$X$4:$X92,"="&amp;$X92))</f>
        <v>70</v>
      </c>
      <c r="R92" s="75">
        <f>IF($C92="","",IF($I92="","",ROUND(COUNTIF($I$4:$I$1463,"&lt;"&amp;$I92)/COUNT($I$4:$I$1463),3)))</f>
        <v>0.48499999999999999</v>
      </c>
      <c r="S92" s="19" t="str">
        <f>IF($C92="","",IF($G92="","Name only",IF(OR($I92="",$L92=""),"Partial","Complete")))</f>
        <v>Complete</v>
      </c>
      <c r="T92" s="1" t="str">
        <f>IF($C92="","",TRIM(IF(COUNTIF($C$4:$C$1463,$C92)&gt;1,"Dup name; ","")&amp;IF(AND($G92&lt;&gt;"",$G92&lt;55000),"Low CR - verify; ","")&amp;IF(AND($L92&lt;&gt;"",$L92&gt;15),"Secondary - verify; ","")&amp;IF($E92="","No class; ","")))</f>
        <v/>
      </c>
      <c r="U92" s="68"/>
      <c r="V92" s="68"/>
      <c r="W92" s="68"/>
      <c r="X92" s="73">
        <f t="shared" si="7"/>
        <v>3676</v>
      </c>
      <c r="Y92" s="41" t="str">
        <f t="shared" si="8"/>
        <v>FUCT|70</v>
      </c>
      <c r="Z92" s="15">
        <f>IF($C92="","",IF($G92="","",RANK($G92,$G$4:$G$1463)+COUNTIF($G$4:$G92,$G92)-1))</f>
        <v>386</v>
      </c>
      <c r="AA92" s="15">
        <f>IF($C92="","",IF($N92="","",RANK($N92,$N$4:$N$1463)+COUNTIF($N$4:$N92,$N92)-1))</f>
        <v>640</v>
      </c>
      <c r="AB92" s="41" t="str">
        <f>IF($C92="","",IF($E92="","",$E92&amp;"#"&amp;(COUNTIFS($E$4:$E$1463,$E92,$X$4:$X$1463,"&gt;"&amp;$X92)+COUNTIFS($E$4:$E92,$E92,$X$4:$X92,"="&amp;$X92))))</f>
        <v>WIZARD#49</v>
      </c>
      <c r="AC92" s="41" t="str">
        <f>IF($C92="","",$B92&amp;"@"&amp;(COUNTIFS($B$4:$B$1463,$B92,$C$4:$C$1463,"&lt;"&amp;$C92)+COUNTIFS($B$4:$B92,$B92,$C$4:$C92,$C92)))</f>
        <v>FUCT@3</v>
      </c>
      <c r="AD92" s="41">
        <f t="shared" si="9"/>
        <v>89</v>
      </c>
      <c r="AE92" s="41" t="s">
        <v>704</v>
      </c>
      <c r="AF92" s="73">
        <f t="shared" si="10"/>
        <v>63085</v>
      </c>
      <c r="AG92" s="74">
        <f t="shared" si="11"/>
        <v>4.3099999999999996</v>
      </c>
      <c r="AH92" s="41" t="str">
        <f>IF($C92="","",$B92&amp;"|"&amp;(COUNTIFS($B$4:$B$1463,$B92,$AF$4:$AF$1463,"&gt;"&amp;$AF92)+COUNTIFS($B$4:$B92,$B92,$AF$4:$AF92,"="&amp;$AF92)))</f>
        <v>FUCT|39</v>
      </c>
      <c r="AI92" s="41" t="str">
        <f>IF($C92="","",$B92&amp;"|"&amp;(COUNTIFS($B$4:$B$1463,$B92,$AG$4:$AG$1463,"&gt;"&amp;$AG92)+COUNTIFS($B$4:$B92,$B92,$AG$4:$AG92,"="&amp;$AG92)))</f>
        <v>FUCT|66</v>
      </c>
    </row>
    <row r="93" spans="1:35" hidden="1">
      <c r="A93" s="69" t="s">
        <v>106</v>
      </c>
      <c r="B93" s="69" t="s">
        <v>105</v>
      </c>
      <c r="C93" s="63" t="s">
        <v>705</v>
      </c>
      <c r="D93" s="69"/>
      <c r="E93" s="68" t="s">
        <v>71</v>
      </c>
      <c r="F93" s="19" t="str">
        <f>IF($C93="","",IF($E93="","-",IFERROR(INDEX(SETUP!$B$55:$B$64,MATCH($E93,SETUP!$A$55:$A$64,0)),"Other")))</f>
        <v>Frontline</v>
      </c>
      <c r="G93" s="70">
        <v>61541</v>
      </c>
      <c r="H93" s="19" t="str">
        <f>IF($C93="","",IF($G93="","-",INDEX(SETUP!$B$26:$B$32,MATCH($G93,SETUP!$A$26:$A$32,1))))</f>
        <v>61,000 - 61,999</v>
      </c>
      <c r="I93" s="70">
        <v>5148</v>
      </c>
      <c r="J93" s="19" t="str">
        <f>IF($C93="","",IF($I93="","-",INDEX(SETUP!$B$16:$B$22,MATCH($I93,SETUP!$A$16:$A$22,1))))</f>
        <v>CORE</v>
      </c>
      <c r="K93" s="19" t="str">
        <f>IF($C93="","",IF($I93="","-",TEXT(INT($I93/1000)*1000,"#,##0")&amp;" - "&amp;TEXT(INT($I93/1000)*1000+999,"#,##0")))</f>
        <v>5,000 - 5,999</v>
      </c>
      <c r="L93" s="71">
        <v>5.4</v>
      </c>
      <c r="M93" s="19" t="str">
        <f>IF($C93="","",IF($L93="","-",INDEX(SETUP!$B$36:$B$42,MATCH($L93,SETUP!$A$36:$A$42,1))))</f>
        <v>5k - 6k</v>
      </c>
      <c r="N93" s="21">
        <f>IF($C93="","",IF(OR($G93="",$I93=""),"",ROUND(100*(SETUP!$B$4*MIN(1,$I93/SETUP!$B$9)+SETUP!$B$5*MAX(0,MIN(1,($G93-SETUP!$B$10)/(SETUP!$B$11-SETUP!$B$10)))+SETUP!$B$6*MIN(1,IF($L93="",0,$L93)/SETUP!$B$12)),1)))</f>
        <v>48.7</v>
      </c>
      <c r="O93" s="19" t="str">
        <f>IF($C93="","",IF($N93="","-",INDEX(SETUP!$B$46:$B$51,MATCH($N93,SETUP!$A$46:$A$51,1))))</f>
        <v>B</v>
      </c>
      <c r="P93" s="19">
        <f>IF($C93="","",IF($I93="","",RANK($I93,$I$4:$I$1463)+COUNTIF($I$4:$I93,$I93)-1))</f>
        <v>385</v>
      </c>
      <c r="Q93" s="19">
        <f>IF($C93="","",COUNTIFS($B$4:$B$1463,$B93,$X$4:$X$1463,"&gt;"&amp;$X93)+COUNTIFS($B$4:$B93,$B93,$X$4:$X93,"="&amp;$X93))</f>
        <v>47</v>
      </c>
      <c r="R93" s="75">
        <f>IF($C93="","",IF($I93="","",ROUND(COUNTIF($I$4:$I$1463,"&lt;"&amp;$I93)/COUNT($I$4:$I$1463),3)))</f>
        <v>0.70899999999999996</v>
      </c>
      <c r="S93" s="19" t="str">
        <f>IF($C93="","",IF($G93="","Name only",IF(OR($I93="",$L93=""),"Partial","Complete")))</f>
        <v>Complete</v>
      </c>
      <c r="T93" s="1" t="str">
        <f>IF($C93="","",TRIM(IF(COUNTIF($C$4:$C$1463,$C93)&gt;1,"Dup name; ","")&amp;IF(AND($G93&lt;&gt;"",$G93&lt;55000),"Low CR - verify; ","")&amp;IF(AND($L93&lt;&gt;"",$L93&gt;15),"Secondary - verify; ","")&amp;IF($E93="","No class; ","")))</f>
        <v/>
      </c>
      <c r="U93" s="68"/>
      <c r="V93" s="68"/>
      <c r="W93" s="68"/>
      <c r="X93" s="76">
        <f t="shared" si="7"/>
        <v>5148</v>
      </c>
      <c r="Y93" s="1" t="str">
        <f t="shared" si="8"/>
        <v>LEGENDS|47</v>
      </c>
      <c r="Z93" s="19">
        <f>IF($C93="","",IF($G93="","",RANK($G93,$G$4:$G$1463)+COUNTIF($G$4:$G93,$G93)-1))</f>
        <v>994</v>
      </c>
      <c r="AA93" s="19">
        <f>IF($C93="","",IF($N93="","",RANK($N93,$N$4:$N$1463)+COUNTIF($N$4:$N93,$N93)-1))</f>
        <v>492</v>
      </c>
      <c r="AB93" s="1" t="str">
        <f>IF($C93="","",IF($E93="","",$E93&amp;"#"&amp;(COUNTIFS($E$4:$E$1463,$E93,$X$4:$X$1463,"&gt;"&amp;$X93)+COUNTIFS($E$4:$E93,$E93,$X$4:$X93,"="&amp;$X93))))</f>
        <v>BARBARIAN#77</v>
      </c>
      <c r="AC93" s="1" t="str">
        <f>IF($C93="","",$B93&amp;"@"&amp;(COUNTIFS($B$4:$B$1463,$B93,$C$4:$C$1463,"&lt;"&amp;$C93)+COUNTIFS($B$4:$B93,$B93,$C$4:$C93,$C93)))</f>
        <v>LEGENDS@7</v>
      </c>
      <c r="AD93" s="1">
        <f t="shared" si="9"/>
        <v>90</v>
      </c>
      <c r="AE93" s="1" t="s">
        <v>706</v>
      </c>
      <c r="AF93" s="76">
        <f t="shared" si="10"/>
        <v>61541</v>
      </c>
      <c r="AG93" s="77">
        <f t="shared" si="11"/>
        <v>5.4</v>
      </c>
      <c r="AH93" s="1" t="str">
        <f>IF($C93="","",$B93&amp;"|"&amp;(COUNTIFS($B$4:$B$1463,$B93,$AF$4:$AF$1463,"&gt;"&amp;$AF93)+COUNTIFS($B$4:$B93,$B93,$AF$4:$AF93,"="&amp;$AF93)))</f>
        <v>LEGENDS|90</v>
      </c>
      <c r="AI93" s="1" t="str">
        <f>IF($C93="","",$B93&amp;"|"&amp;(COUNTIFS($B$4:$B$1463,$B93,$AG$4:$AG$1463,"&gt;"&amp;$AG93)+COUNTIFS($B$4:$B93,$B93,$AG$4:$AG93,"="&amp;$AG93)))</f>
        <v>LEGENDS|43</v>
      </c>
    </row>
    <row r="94" spans="1:35" hidden="1">
      <c r="A94" s="69" t="s">
        <v>109</v>
      </c>
      <c r="B94" s="69" t="s">
        <v>111</v>
      </c>
      <c r="C94" s="63" t="s">
        <v>707</v>
      </c>
      <c r="D94" s="69" t="s">
        <v>527</v>
      </c>
      <c r="E94" s="68" t="s">
        <v>79</v>
      </c>
      <c r="F94" s="15" t="str">
        <f>IF($C94="","",IF($E94="","-",IFERROR(INDEX(SETUP!$B$55:$B$64,MATCH($E94,SETUP!$A$55:$A$64,0)),"Other")))</f>
        <v>Control</v>
      </c>
      <c r="G94" s="70">
        <v>61872</v>
      </c>
      <c r="H94" s="15" t="str">
        <f>IF($C94="","",IF($G94="","-",INDEX(SETUP!$B$26:$B$32,MATCH($G94,SETUP!$A$26:$A$32,1))))</f>
        <v>61,000 - 61,999</v>
      </c>
      <c r="I94" s="70">
        <v>2560</v>
      </c>
      <c r="J94" s="15" t="str">
        <f>IF($C94="","",IF($I94="","-",INDEX(SETUP!$B$16:$B$22,MATCH($I94,SETUP!$A$16:$A$22,1))))</f>
        <v>DEVELOPING</v>
      </c>
      <c r="K94" s="15" t="str">
        <f>IF($C94="","",IF($I94="","-",TEXT(INT($I94/1000)*1000,"#,##0")&amp;" - "&amp;TEXT(INT($I94/1000)*1000+999,"#,##0")))</f>
        <v>2,000 - 2,999</v>
      </c>
      <c r="L94" s="71">
        <v>4.25</v>
      </c>
      <c r="M94" s="15" t="str">
        <f>IF($C94="","",IF($L94="","-",INDEX(SETUP!$B$36:$B$42,MATCH($L94,SETUP!$A$36:$A$42,1))))</f>
        <v>4k - 5k</v>
      </c>
      <c r="N94" s="17">
        <f>IF($C94="","",IF(OR($G94="",$I94=""),"",ROUND(100*(SETUP!$B$4*MIN(1,$I94/SETUP!$B$9)+SETUP!$B$5*MAX(0,MIN(1,($G94-SETUP!$B$10)/(SETUP!$B$11-SETUP!$B$10)))+SETUP!$B$6*MIN(1,IF($L94="",0,$L94)/SETUP!$B$12)),1)))</f>
        <v>36.299999999999997</v>
      </c>
      <c r="O94" s="15" t="str">
        <f>IF($C94="","",IF($N94="","-",INDEX(SETUP!$B$46:$B$51,MATCH($N94,SETUP!$A$46:$A$51,1))))</f>
        <v>B</v>
      </c>
      <c r="P94" s="15">
        <f>IF($C94="","",IF($I94="","",RANK($I94,$I$4:$I$1463)+COUNTIF($I$4:$I94,$I94)-1))</f>
        <v>991</v>
      </c>
      <c r="Q94" s="15">
        <f>IF($C94="","",COUNTIFS($B$4:$B$1463,$B94,$X$4:$X$1463,"&gt;"&amp;$X94)+COUNTIFS($B$4:$B94,$B94,$X$4:$X94,"="&amp;$X94))</f>
        <v>91</v>
      </c>
      <c r="R94" s="72">
        <f>IF($C94="","",IF($I94="","",ROUND(COUNTIF($I$4:$I$1463,"&lt;"&amp;$I94)/COUNT($I$4:$I$1463),3)))</f>
        <v>0.251</v>
      </c>
      <c r="S94" s="15" t="str">
        <f>IF($C94="","",IF($G94="","Name only",IF(OR($I94="",$L94=""),"Partial","Complete")))</f>
        <v>Complete</v>
      </c>
      <c r="T94" s="41" t="str">
        <f>IF($C94="","",TRIM(IF(COUNTIF($C$4:$C$1463,$C94)&gt;1,"Dup name; ","")&amp;IF(AND($G94&lt;&gt;"",$G94&lt;55000),"Low CR - verify; ","")&amp;IF(AND($L94&lt;&gt;"",$L94&gt;15),"Secondary - verify; ","")&amp;IF($E94="","No class; ","")))</f>
        <v/>
      </c>
      <c r="U94" s="68"/>
      <c r="V94" s="68"/>
      <c r="W94" s="68"/>
      <c r="X94" s="73">
        <f t="shared" si="7"/>
        <v>2560</v>
      </c>
      <c r="Y94" s="41" t="str">
        <f t="shared" si="8"/>
        <v>RECKONING|91</v>
      </c>
      <c r="Z94" s="15">
        <f>IF($C94="","",IF($G94="","",RANK($G94,$G$4:$G$1463)+COUNTIF($G$4:$G94,$G94)-1))</f>
        <v>888</v>
      </c>
      <c r="AA94" s="15">
        <f>IF($C94="","",IF($N94="","",RANK($N94,$N$4:$N$1463)+COUNTIF($N$4:$N94,$N94)-1))</f>
        <v>955</v>
      </c>
      <c r="AB94" s="41" t="str">
        <f>IF($C94="","",IF($E94="","",$E94&amp;"#"&amp;(COUNTIFS($E$4:$E$1463,$E94,$X$4:$X$1463,"&gt;"&amp;$X94)+COUNTIFS($E$4:$E94,$E94,$X$4:$X94,"="&amp;$X94))))</f>
        <v>WARLOCK#245</v>
      </c>
      <c r="AC94" s="41" t="str">
        <f>IF($C94="","",$B94&amp;"@"&amp;(COUNTIFS($B$4:$B$1463,$B94,$C$4:$C$1463,"&lt;"&amp;$C94)+COUNTIFS($B$4:$B94,$B94,$C$4:$C94,$C94)))</f>
        <v>RECKONING@8</v>
      </c>
      <c r="AD94" s="41">
        <f t="shared" si="9"/>
        <v>91</v>
      </c>
      <c r="AE94" s="41" t="s">
        <v>708</v>
      </c>
      <c r="AF94" s="73">
        <f t="shared" si="10"/>
        <v>61872</v>
      </c>
      <c r="AG94" s="74">
        <f t="shared" si="11"/>
        <v>4.25</v>
      </c>
      <c r="AH94" s="41" t="str">
        <f>IF($C94="","",$B94&amp;"|"&amp;(COUNTIFS($B$4:$B$1463,$B94,$AF$4:$AF$1463,"&gt;"&amp;$AF94)+COUNTIFS($B$4:$B94,$B94,$AF$4:$AF94,"="&amp;$AF94)))</f>
        <v>RECKONING|77</v>
      </c>
      <c r="AI94" s="41" t="str">
        <f>IF($C94="","",$B94&amp;"|"&amp;(COUNTIFS($B$4:$B$1463,$B94,$AG$4:$AG$1463,"&gt;"&amp;$AG94)+COUNTIFS($B$4:$B94,$B94,$AG$4:$AG94,"="&amp;$AG94)))</f>
        <v>RECKONING|87</v>
      </c>
    </row>
    <row r="95" spans="1:35" hidden="1">
      <c r="A95" s="69" t="s">
        <v>109</v>
      </c>
      <c r="B95" s="69" t="s">
        <v>111</v>
      </c>
      <c r="C95" s="63" t="s">
        <v>709</v>
      </c>
      <c r="D95" s="69" t="s">
        <v>527</v>
      </c>
      <c r="E95" s="68" t="s">
        <v>74</v>
      </c>
      <c r="F95" s="19" t="str">
        <f>IF($C95="","",IF($E95="","-",IFERROR(INDEX(SETUP!$B$55:$B$64,MATCH($E95,SETUP!$A$55:$A$64,0)),"Other")))</f>
        <v>Ranged DPS</v>
      </c>
      <c r="G95" s="70">
        <v>61423</v>
      </c>
      <c r="H95" s="19" t="str">
        <f>IF($C95="","",IF($G95="","-",INDEX(SETUP!$B$26:$B$32,MATCH($G95,SETUP!$A$26:$A$32,1))))</f>
        <v>61,000 - 61,999</v>
      </c>
      <c r="I95" s="70">
        <v>5067</v>
      </c>
      <c r="J95" s="19" t="str">
        <f>IF($C95="","",IF($I95="","-",INDEX(SETUP!$B$16:$B$22,MATCH($I95,SETUP!$A$16:$A$22,1))))</f>
        <v>CORE</v>
      </c>
      <c r="K95" s="19" t="str">
        <f>IF($C95="","",IF($I95="","-",TEXT(INT($I95/1000)*1000,"#,##0")&amp;" - "&amp;TEXT(INT($I95/1000)*1000+999,"#,##0")))</f>
        <v>5,000 - 5,999</v>
      </c>
      <c r="L95" s="71">
        <v>5.6</v>
      </c>
      <c r="M95" s="19" t="str">
        <f>IF($C95="","",IF($L95="","-",INDEX(SETUP!$B$36:$B$42,MATCH($L95,SETUP!$A$36:$A$42,1))))</f>
        <v>5k - 6k</v>
      </c>
      <c r="N95" s="21">
        <f>IF($C95="","",IF(OR($G95="",$I95=""),"",ROUND(100*(SETUP!$B$4*MIN(1,$I95/SETUP!$B$9)+SETUP!$B$5*MAX(0,MIN(1,($G95-SETUP!$B$10)/(SETUP!$B$11-SETUP!$B$10)))+SETUP!$B$6*MIN(1,IF($L95="",0,$L95)/SETUP!$B$12)),1)))</f>
        <v>48.4</v>
      </c>
      <c r="O95" s="19" t="str">
        <f>IF($C95="","",IF($N95="","-",INDEX(SETUP!$B$46:$B$51,MATCH($N95,SETUP!$A$46:$A$51,1))))</f>
        <v>B</v>
      </c>
      <c r="P95" s="19">
        <f>IF($C95="","",IF($I95="","",RANK($I95,$I$4:$I$1463)+COUNTIF($I$4:$I95,$I95)-1))</f>
        <v>403</v>
      </c>
      <c r="Q95" s="19">
        <f>IF($C95="","",COUNTIFS($B$4:$B$1463,$B95,$X$4:$X$1463,"&gt;"&amp;$X95)+COUNTIFS($B$4:$B95,$B95,$X$4:$X95,"="&amp;$X95))</f>
        <v>46</v>
      </c>
      <c r="R95" s="75">
        <f>IF($C95="","",IF($I95="","",ROUND(COUNTIF($I$4:$I$1463,"&lt;"&amp;$I95)/COUNT($I$4:$I$1463),3)))</f>
        <v>0.69599999999999995</v>
      </c>
      <c r="S95" s="19" t="str">
        <f>IF($C95="","",IF($G95="","Name only",IF(OR($I95="",$L95=""),"Partial","Complete")))</f>
        <v>Complete</v>
      </c>
      <c r="T95" s="1" t="str">
        <f>IF($C95="","",TRIM(IF(COUNTIF($C$4:$C$1463,$C95)&gt;1,"Dup name; ","")&amp;IF(AND($G95&lt;&gt;"",$G95&lt;55000),"Low CR - verify; ","")&amp;IF(AND($L95&lt;&gt;"",$L95&gt;15),"Secondary - verify; ","")&amp;IF($E95="","No class; ","")))</f>
        <v/>
      </c>
      <c r="U95" s="68"/>
      <c r="V95" s="68"/>
      <c r="W95" s="68"/>
      <c r="X95" s="76">
        <f t="shared" si="7"/>
        <v>5067</v>
      </c>
      <c r="Y95" s="1" t="str">
        <f t="shared" si="8"/>
        <v>RECKONING|46</v>
      </c>
      <c r="Z95" s="19">
        <f>IF($C95="","",IF($G95="","",RANK($G95,$G$4:$G$1463)+COUNTIF($G$4:$G95,$G95)-1))</f>
        <v>1024</v>
      </c>
      <c r="AA95" s="19">
        <f>IF($C95="","",IF($N95="","",RANK($N95,$N$4:$N$1463)+COUNTIF($N$4:$N95,$N95)-1))</f>
        <v>503</v>
      </c>
      <c r="AB95" s="1" t="str">
        <f>IF($C95="","",IF($E95="","",$E95&amp;"#"&amp;(COUNTIFS($E$4:$E$1463,$E95,$X$4:$X$1463,"&gt;"&amp;$X95)+COUNTIFS($E$4:$E95,$E95,$X$4:$X95,"="&amp;$X95))))</f>
        <v>DEMON HUNTER#64</v>
      </c>
      <c r="AC95" s="1" t="str">
        <f>IF($C95="","",$B95&amp;"@"&amp;(COUNTIFS($B$4:$B$1463,$B95,$C$4:$C$1463,"&lt;"&amp;$C95)+COUNTIFS($B$4:$B95,$B95,$C$4:$C95,$C95)))</f>
        <v>RECKONING@4</v>
      </c>
      <c r="AD95" s="1">
        <f t="shared" si="9"/>
        <v>92</v>
      </c>
      <c r="AE95" s="1" t="s">
        <v>710</v>
      </c>
      <c r="AF95" s="76">
        <f t="shared" si="10"/>
        <v>61423</v>
      </c>
      <c r="AG95" s="77">
        <f t="shared" si="11"/>
        <v>5.6</v>
      </c>
      <c r="AH95" s="1" t="str">
        <f>IF($C95="","",$B95&amp;"|"&amp;(COUNTIFS($B$4:$B$1463,$B95,$AF$4:$AF$1463,"&gt;"&amp;$AF95)+COUNTIFS($B$4:$B95,$B95,$AF$4:$AF95,"="&amp;$AF95)))</f>
        <v>RECKONING|84</v>
      </c>
      <c r="AI95" s="1" t="str">
        <f>IF($C95="","",$B95&amp;"|"&amp;(COUNTIFS($B$4:$B$1463,$B95,$AG$4:$AG$1463,"&gt;"&amp;$AG95)+COUNTIFS($B$4:$B95,$B95,$AG$4:$AG95,"="&amp;$AG95)))</f>
        <v>RECKONING|45</v>
      </c>
    </row>
    <row r="96" spans="1:35" hidden="1">
      <c r="A96" s="69" t="s">
        <v>109</v>
      </c>
      <c r="B96" s="69" t="s">
        <v>113</v>
      </c>
      <c r="C96" s="63" t="s">
        <v>711</v>
      </c>
      <c r="D96" s="69" t="s">
        <v>548</v>
      </c>
      <c r="E96" s="68" t="s">
        <v>79</v>
      </c>
      <c r="F96" s="15" t="str">
        <f>IF($C96="","",IF($E96="","-",IFERROR(INDEX(SETUP!$B$55:$B$64,MATCH($E96,SETUP!$A$55:$A$64,0)),"Other")))</f>
        <v>Control</v>
      </c>
      <c r="G96" s="70">
        <v>61948</v>
      </c>
      <c r="H96" s="15" t="str">
        <f>IF($C96="","",IF($G96="","-",INDEX(SETUP!$B$26:$B$32,MATCH($G96,SETUP!$A$26:$A$32,1))))</f>
        <v>61,000 - 61,999</v>
      </c>
      <c r="I96" s="70">
        <v>2017</v>
      </c>
      <c r="J96" s="15" t="str">
        <f>IF($C96="","",IF($I96="","-",INDEX(SETUP!$B$16:$B$22,MATCH($I96,SETUP!$A$16:$A$22,1))))</f>
        <v>DEVELOPING</v>
      </c>
      <c r="K96" s="15" t="str">
        <f>IF($C96="","",IF($I96="","-",TEXT(INT($I96/1000)*1000,"#,##0")&amp;" - "&amp;TEXT(INT($I96/1000)*1000+999,"#,##0")))</f>
        <v>2,000 - 2,999</v>
      </c>
      <c r="L96" s="71">
        <v>3.3</v>
      </c>
      <c r="M96" s="15" t="str">
        <f>IF($C96="","",IF($L96="","-",INDEX(SETUP!$B$36:$B$42,MATCH($L96,SETUP!$A$36:$A$42,1))))</f>
        <v>3k - 4k</v>
      </c>
      <c r="N96" s="17">
        <f>IF($C96="","",IF(OR($G96="",$I96=""),"",ROUND(100*(SETUP!$B$4*MIN(1,$I96/SETUP!$B$9)+SETUP!$B$5*MAX(0,MIN(1,($G96-SETUP!$B$10)/(SETUP!$B$11-SETUP!$B$10)))+SETUP!$B$6*MIN(1,IF($L96="",0,$L96)/SETUP!$B$12)),1)))</f>
        <v>32.6</v>
      </c>
      <c r="O96" s="15" t="str">
        <f>IF($C96="","",IF($N96="","-",INDEX(SETUP!$B$46:$B$51,MATCH($N96,SETUP!$A$46:$A$51,1))))</f>
        <v>C</v>
      </c>
      <c r="P96" s="15">
        <f>IF($C96="","",IF($I96="","",RANK($I96,$I$4:$I$1463)+COUNTIF($I$4:$I96,$I96)-1))</f>
        <v>1113</v>
      </c>
      <c r="Q96" s="15">
        <f>IF($C96="","",COUNTIFS($B$4:$B$1463,$B96,$X$4:$X$1463,"&gt;"&amp;$X96)+COUNTIFS($B$4:$B96,$B96,$X$4:$X96,"="&amp;$X96))</f>
        <v>82</v>
      </c>
      <c r="R96" s="72">
        <f>IF($C96="","",IF($I96="","",ROUND(COUNTIF($I$4:$I$1463,"&lt;"&amp;$I96)/COUNT($I$4:$I$1463),3)))</f>
        <v>0.16</v>
      </c>
      <c r="S96" s="15" t="str">
        <f>IF($C96="","",IF($G96="","Name only",IF(OR($I96="",$L96=""),"Partial","Complete")))</f>
        <v>Complete</v>
      </c>
      <c r="T96" s="41" t="str">
        <f>IF($C96="","",TRIM(IF(COUNTIF($C$4:$C$1463,$C96)&gt;1,"Dup name; ","")&amp;IF(AND($G96&lt;&gt;"",$G96&lt;55000),"Low CR - verify; ","")&amp;IF(AND($L96&lt;&gt;"",$L96&gt;15),"Secondary - verify; ","")&amp;IF($E96="","No class; ","")))</f>
        <v/>
      </c>
      <c r="U96" s="68"/>
      <c r="V96" s="68"/>
      <c r="W96" s="68"/>
      <c r="X96" s="73">
        <f t="shared" si="7"/>
        <v>2017</v>
      </c>
      <c r="Y96" s="41" t="str">
        <f t="shared" si="8"/>
        <v>INVICTUS|82</v>
      </c>
      <c r="Z96" s="15">
        <f>IF($C96="","",IF($G96="","",RANK($G96,$G$4:$G$1463)+COUNTIF($G$4:$G96,$G96)-1))</f>
        <v>848</v>
      </c>
      <c r="AA96" s="15">
        <f>IF($C96="","",IF($N96="","",RANK($N96,$N$4:$N$1463)+COUNTIF($N$4:$N96,$N96)-1))</f>
        <v>1078</v>
      </c>
      <c r="AB96" s="41" t="str">
        <f>IF($C96="","",IF($E96="","",$E96&amp;"#"&amp;(COUNTIFS($E$4:$E$1463,$E96,$X$4:$X$1463,"&gt;"&amp;$X96)+COUNTIFS($E$4:$E96,$E96,$X$4:$X96,"="&amp;$X96))))</f>
        <v>WARLOCK#279</v>
      </c>
      <c r="AC96" s="41" t="str">
        <f>IF($C96="","",$B96&amp;"@"&amp;(COUNTIFS($B$4:$B$1463,$B96,$C$4:$C$1463,"&lt;"&amp;$C96)+COUNTIFS($B$4:$B96,$B96,$C$4:$C96,$C96)))</f>
        <v>INVICTUS@8</v>
      </c>
      <c r="AD96" s="41">
        <f t="shared" si="9"/>
        <v>93</v>
      </c>
      <c r="AE96" s="41" t="s">
        <v>712</v>
      </c>
      <c r="AF96" s="73">
        <f t="shared" si="10"/>
        <v>61948</v>
      </c>
      <c r="AG96" s="74">
        <f t="shared" si="11"/>
        <v>3.3</v>
      </c>
      <c r="AH96" s="41" t="str">
        <f>IF($C96="","",$B96&amp;"|"&amp;(COUNTIFS($B$4:$B$1463,$B96,$AF$4:$AF$1463,"&gt;"&amp;$AF96)+COUNTIFS($B$4:$B96,$B96,$AF$4:$AF96,"="&amp;$AF96)))</f>
        <v>INVICTUS|56</v>
      </c>
      <c r="AI96" s="41" t="str">
        <f>IF($C96="","",$B96&amp;"|"&amp;(COUNTIFS($B$4:$B$1463,$B96,$AG$4:$AG$1463,"&gt;"&amp;$AG96)+COUNTIFS($B$4:$B96,$B96,$AG$4:$AG96,"="&amp;$AG96)))</f>
        <v>INVICTUS|84</v>
      </c>
    </row>
    <row r="97" spans="1:35">
      <c r="A97" s="69" t="s">
        <v>104</v>
      </c>
      <c r="B97" s="69" t="s">
        <v>66</v>
      </c>
      <c r="C97" s="63" t="s">
        <v>298</v>
      </c>
      <c r="D97" s="69"/>
      <c r="E97" s="68" t="s">
        <v>74</v>
      </c>
      <c r="F97" s="15" t="str">
        <f>IF($C97="","",IF($E97="","-",IFERROR(INDEX(SETUP!$B$55:$B$64,MATCH($E97,SETUP!$A$55:$A$64,0)),"Other")))</f>
        <v>Ranged DPS</v>
      </c>
      <c r="G97" s="70">
        <v>63760</v>
      </c>
      <c r="H97" s="15" t="str">
        <f>IF($C97="","",IF($G97="","-",INDEX(SETUP!$B$26:$B$32,MATCH($G97,SETUP!$A$26:$A$32,1))))</f>
        <v>63,000 - 63,999</v>
      </c>
      <c r="I97" s="70">
        <v>7300</v>
      </c>
      <c r="J97" s="15" t="str">
        <f>IF($C97="","",IF($I97="","-",INDEX(SETUP!$B$16:$B$22,MATCH($I97,SETUP!$A$16:$A$22,1))))</f>
        <v>VETERAN</v>
      </c>
      <c r="K97" s="15" t="str">
        <f>IF($C97="","",IF($I97="","-",TEXT(INT($I97/1000)*1000,"#,##0")&amp;" - "&amp;TEXT(INT($I97/1000)*1000+999,"#,##0")))</f>
        <v>7,000 - 7,999</v>
      </c>
      <c r="L97" s="71">
        <v>5.12</v>
      </c>
      <c r="M97" s="15" t="str">
        <f>IF($C97="","",IF($L97="","-",INDEX(SETUP!$B$36:$B$42,MATCH($L97,SETUP!$A$36:$A$42,1))))</f>
        <v>5k - 6k</v>
      </c>
      <c r="N97" s="17">
        <f>IF($C97="","",IF(OR($G97="",$I97=""),"",ROUND(100*(SETUP!$B$4*MIN(1,$I97/SETUP!$B$9)+SETUP!$B$5*MAX(0,MIN(1,($G97-SETUP!$B$10)/(SETUP!$B$11-SETUP!$B$10)))+SETUP!$B$6*MIN(1,IF($L97="",0,$L97)/SETUP!$B$12)),1)))</f>
        <v>63.5</v>
      </c>
      <c r="O97" s="15" t="str">
        <f>IF($C97="","",IF($N97="","-",INDEX(SETUP!$B$46:$B$51,MATCH($N97,SETUP!$A$46:$A$51,1))))</f>
        <v>A</v>
      </c>
      <c r="P97" s="15">
        <f>IF($C97="","",IF($I97="","",RANK($I97,$I$4:$I$1463)+COUNTIF($I$4:$I97,$I97)-1))</f>
        <v>193</v>
      </c>
      <c r="Q97" s="15">
        <f>IF($C97="","",COUNTIFS($B$4:$B$1463,$B97,$X$4:$X$1463,"&gt;"&amp;$X97)+COUNTIFS($B$4:$B97,$B97,$X$4:$X97,"="&amp;$X97))</f>
        <v>22</v>
      </c>
      <c r="R97" s="72">
        <f>IF($C97="","",IF($I97="","",ROUND(COUNTIF($I$4:$I$1463,"&lt;"&amp;$I97)/COUNT($I$4:$I$1463),3)))</f>
        <v>0.85399999999999998</v>
      </c>
      <c r="S97" s="15" t="str">
        <f>IF($C97="","",IF($G97="","Name only",IF(OR($I97="",$L97=""),"Partial","Complete")))</f>
        <v>Complete</v>
      </c>
      <c r="T97" s="41" t="str">
        <f>IF($C97="","",TRIM(IF(COUNTIF($C$4:$C$1463,$C97)&gt;1,"Dup name; ","")&amp;IF(AND($G97&lt;&gt;"",$G97&lt;55000),"Low CR - verify; ","")&amp;IF(AND($L97&lt;&gt;"",$L97&gt;15),"Secondary - verify; ","")&amp;IF($E97="","No class; ","")))</f>
        <v/>
      </c>
      <c r="U97" s="68"/>
      <c r="V97" s="68"/>
      <c r="W97" s="68" t="s">
        <v>286</v>
      </c>
      <c r="X97" s="76">
        <f t="shared" si="7"/>
        <v>7300</v>
      </c>
      <c r="Y97" s="1" t="str">
        <f t="shared" si="8"/>
        <v>FUCT|22</v>
      </c>
      <c r="Z97" s="19">
        <f>IF($C97="","",IF($G97="","",RANK($G97,$G$4:$G$1463)+COUNTIF($G$4:$G97,$G97)-1))</f>
        <v>122</v>
      </c>
      <c r="AA97" s="19">
        <f>IF($C97="","",IF($N97="","",RANK($N97,$N$4:$N$1463)+COUNTIF($N$4:$N97,$N97)-1))</f>
        <v>195</v>
      </c>
      <c r="AB97" s="1" t="str">
        <f>IF($C97="","",IF($E97="","",$E97&amp;"#"&amp;(COUNTIFS($E$4:$E$1463,$E97,$X$4:$X$1463,"&gt;"&amp;$X97)+COUNTIFS($E$4:$E97,$E97,$X$4:$X97,"="&amp;$X97))))</f>
        <v>DEMON HUNTER#36</v>
      </c>
      <c r="AC97" s="1" t="str">
        <f>IF($C97="","",$B97&amp;"@"&amp;(COUNTIFS($B$4:$B$1463,$B97,$C$4:$C$1463,"&lt;"&amp;$C97)+COUNTIFS($B$4:$B97,$B97,$C$4:$C97,$C97)))</f>
        <v>FUCT@4</v>
      </c>
      <c r="AD97" s="1">
        <f t="shared" si="9"/>
        <v>94</v>
      </c>
      <c r="AE97" s="1" t="s">
        <v>713</v>
      </c>
      <c r="AF97" s="76">
        <f t="shared" si="10"/>
        <v>63760</v>
      </c>
      <c r="AG97" s="77">
        <f t="shared" si="11"/>
        <v>5.12</v>
      </c>
      <c r="AH97" s="1" t="str">
        <f>IF($C97="","",$B97&amp;"|"&amp;(COUNTIFS($B$4:$B$1463,$B97,$AF$4:$AF$1463,"&gt;"&amp;$AF97)+COUNTIFS($B$4:$B97,$B97,$AF$4:$AF97,"="&amp;$AF97)))</f>
        <v>FUCT|14</v>
      </c>
      <c r="AI97" s="1" t="str">
        <f>IF($C97="","",$B97&amp;"|"&amp;(COUNTIFS($B$4:$B$1463,$B97,$AG$4:$AG$1463,"&gt;"&amp;$AG97)+COUNTIFS($B$4:$B97,$B97,$AG$4:$AG97,"="&amp;$AG97)))</f>
        <v>FUCT|42</v>
      </c>
    </row>
    <row r="98" spans="1:35" hidden="1">
      <c r="A98" s="69" t="s">
        <v>109</v>
      </c>
      <c r="B98" s="69" t="s">
        <v>108</v>
      </c>
      <c r="C98" s="63" t="s">
        <v>714</v>
      </c>
      <c r="D98" s="69"/>
      <c r="E98" s="68" t="s">
        <v>79</v>
      </c>
      <c r="F98" s="15" t="str">
        <f>IF($C98="","",IF($E98="","-",IFERROR(INDEX(SETUP!$B$55:$B$64,MATCH($E98,SETUP!$A$55:$A$64,0)),"Other")))</f>
        <v>Control</v>
      </c>
      <c r="G98" s="70">
        <v>62030</v>
      </c>
      <c r="H98" s="15" t="str">
        <f>IF($C98="","",IF($G98="","-",INDEX(SETUP!$B$26:$B$32,MATCH($G98,SETUP!$A$26:$A$32,1))))</f>
        <v>62,000 - 62,999</v>
      </c>
      <c r="I98" s="70">
        <v>4024</v>
      </c>
      <c r="J98" s="15" t="str">
        <f>IF($C98="","",IF($I98="","-",INDEX(SETUP!$B$16:$B$22,MATCH($I98,SETUP!$A$16:$A$22,1))))</f>
        <v>CORE</v>
      </c>
      <c r="K98" s="15" t="str">
        <f>IF($C98="","",IF($I98="","-",TEXT(INT($I98/1000)*1000,"#,##0")&amp;" - "&amp;TEXT(INT($I98/1000)*1000+999,"#,##0")))</f>
        <v>4,000 - 4,999</v>
      </c>
      <c r="L98" s="71">
        <v>6</v>
      </c>
      <c r="M98" s="15" t="str">
        <f>IF($C98="","",IF($L98="","-",INDEX(SETUP!$B$36:$B$42,MATCH($L98,SETUP!$A$36:$A$42,1))))</f>
        <v>6k - 8k</v>
      </c>
      <c r="N98" s="17">
        <f>IF($C98="","",IF(OR($G98="",$I98=""),"",ROUND(100*(SETUP!$B$4*MIN(1,$I98/SETUP!$B$9)+SETUP!$B$5*MAX(0,MIN(1,($G98-SETUP!$B$10)/(SETUP!$B$11-SETUP!$B$10)))+SETUP!$B$6*MIN(1,IF($L98="",0,$L98)/SETUP!$B$12)),1)))</f>
        <v>46.1</v>
      </c>
      <c r="O98" s="15" t="str">
        <f>IF($C98="","",IF($N98="","-",INDEX(SETUP!$B$46:$B$51,MATCH($N98,SETUP!$A$46:$A$51,1))))</f>
        <v>B</v>
      </c>
      <c r="P98" s="15">
        <f>IF($C98="","",IF($I98="","",RANK($I98,$I$4:$I$1463)+COUNTIF($I$4:$I98,$I98)-1))</f>
        <v>597</v>
      </c>
      <c r="Q98" s="15">
        <f>IF($C98="","",COUNTIFS($B$4:$B$1463,$B98,$X$4:$X$1463,"&gt;"&amp;$X98)+COUNTIFS($B$4:$B98,$B98,$X$4:$X98,"="&amp;$X98))</f>
        <v>72</v>
      </c>
      <c r="R98" s="72">
        <f>IF($C98="","",IF($I98="","",ROUND(COUNTIF($I$4:$I$1463,"&lt;"&amp;$I98)/COUNT($I$4:$I$1463),3)))</f>
        <v>0.54900000000000004</v>
      </c>
      <c r="S98" s="15" t="str">
        <f>IF($C98="","",IF($G98="","Name only",IF(OR($I98="",$L98=""),"Partial","Complete")))</f>
        <v>Complete</v>
      </c>
      <c r="T98" s="41" t="str">
        <f>IF($C98="","",TRIM(IF(COUNTIF($C$4:$C$1463,$C98)&gt;1,"Dup name; ","")&amp;IF(AND($G98&lt;&gt;"",$G98&lt;55000),"Low CR - verify; ","")&amp;IF(AND($L98&lt;&gt;"",$L98&gt;15),"Secondary - verify; ","")&amp;IF($E98="","No class; ","")))</f>
        <v/>
      </c>
      <c r="U98" s="68"/>
      <c r="V98" s="68"/>
      <c r="W98" s="68"/>
      <c r="X98" s="73">
        <f t="shared" si="7"/>
        <v>4024</v>
      </c>
      <c r="Y98" s="41" t="str">
        <f t="shared" si="8"/>
        <v>SBG|72</v>
      </c>
      <c r="Z98" s="15">
        <f>IF($C98="","",IF($G98="","",RANK($G98,$G$4:$G$1463)+COUNTIF($G$4:$G98,$G98)-1))</f>
        <v>824</v>
      </c>
      <c r="AA98" s="15">
        <f>IF($C98="","",IF($N98="","",RANK($N98,$N$4:$N$1463)+COUNTIF($N$4:$N98,$N98)-1))</f>
        <v>586</v>
      </c>
      <c r="AB98" s="41" t="str">
        <f>IF($C98="","",IF($E98="","",$E98&amp;"#"&amp;(COUNTIFS($E$4:$E$1463,$E98,$X$4:$X$1463,"&gt;"&amp;$X98)+COUNTIFS($E$4:$E98,$E98,$X$4:$X98,"="&amp;$X98))))</f>
        <v>WARLOCK#139</v>
      </c>
      <c r="AC98" s="41" t="str">
        <f>IF($C98="","",$B98&amp;"@"&amp;(COUNTIFS($B$4:$B$1463,$B98,$C$4:$C$1463,"&lt;"&amp;$C98)+COUNTIFS($B$4:$B98,$B98,$C$4:$C98,$C98)))</f>
        <v>SBG@4</v>
      </c>
      <c r="AD98" s="41">
        <f t="shared" si="9"/>
        <v>95</v>
      </c>
      <c r="AE98" s="41" t="s">
        <v>715</v>
      </c>
      <c r="AF98" s="73">
        <f t="shared" si="10"/>
        <v>62030</v>
      </c>
      <c r="AG98" s="74">
        <f t="shared" si="11"/>
        <v>6</v>
      </c>
      <c r="AH98" s="41" t="str">
        <f>IF($C98="","",$B98&amp;"|"&amp;(COUNTIFS($B$4:$B$1463,$B98,$AF$4:$AF$1463,"&gt;"&amp;$AF98)+COUNTIFS($B$4:$B98,$B98,$AF$4:$AF98,"="&amp;$AF98)))</f>
        <v>SBG|71</v>
      </c>
      <c r="AI98" s="41" t="str">
        <f>IF($C98="","",$B98&amp;"|"&amp;(COUNTIFS($B$4:$B$1463,$B98,$AG$4:$AG$1463,"&gt;"&amp;$AG98)+COUNTIFS($B$4:$B98,$B98,$AG$4:$AG98,"="&amp;$AG98)))</f>
        <v>SBG|40</v>
      </c>
    </row>
    <row r="99" spans="1:35" hidden="1">
      <c r="A99" s="69" t="s">
        <v>109</v>
      </c>
      <c r="B99" s="69" t="s">
        <v>115</v>
      </c>
      <c r="C99" s="63" t="s">
        <v>716</v>
      </c>
      <c r="D99" s="69"/>
      <c r="E99" s="68" t="s">
        <v>79</v>
      </c>
      <c r="F99" s="19" t="str">
        <f>IF($C99="","",IF($E99="","-",IFERROR(INDEX(SETUP!$B$55:$B$64,MATCH($E99,SETUP!$A$55:$A$64,0)),"Other")))</f>
        <v>Control</v>
      </c>
      <c r="G99" s="70">
        <v>61173</v>
      </c>
      <c r="H99" s="19" t="str">
        <f>IF($C99="","",IF($G99="","-",INDEX(SETUP!$B$26:$B$32,MATCH($G99,SETUP!$A$26:$A$32,1))))</f>
        <v>61,000 - 61,999</v>
      </c>
      <c r="I99" s="70">
        <v>2554</v>
      </c>
      <c r="J99" s="19" t="str">
        <f>IF($C99="","",IF($I99="","-",INDEX(SETUP!$B$16:$B$22,MATCH($I99,SETUP!$A$16:$A$22,1))))</f>
        <v>DEVELOPING</v>
      </c>
      <c r="K99" s="19" t="str">
        <f>IF($C99="","",IF($I99="","-",TEXT(INT($I99/1000)*1000,"#,##0")&amp;" - "&amp;TEXT(INT($I99/1000)*1000+999,"#,##0")))</f>
        <v>2,000 - 2,999</v>
      </c>
      <c r="L99" s="71">
        <v>3.8</v>
      </c>
      <c r="M99" s="19" t="str">
        <f>IF($C99="","",IF($L99="","-",INDEX(SETUP!$B$36:$B$42,MATCH($L99,SETUP!$A$36:$A$42,1))))</f>
        <v>3k - 4k</v>
      </c>
      <c r="N99" s="21">
        <f>IF($C99="","",IF(OR($G99="",$I99=""),"",ROUND(100*(SETUP!$B$4*MIN(1,$I99/SETUP!$B$9)+SETUP!$B$5*MAX(0,MIN(1,($G99-SETUP!$B$10)/(SETUP!$B$11-SETUP!$B$10)))+SETUP!$B$6*MIN(1,IF($L99="",0,$L99)/SETUP!$B$12)),1)))</f>
        <v>33.700000000000003</v>
      </c>
      <c r="O99" s="19" t="str">
        <f>IF($C99="","",IF($N99="","-",INDEX(SETUP!$B$46:$B$51,MATCH($N99,SETUP!$A$46:$A$51,1))))</f>
        <v>C</v>
      </c>
      <c r="P99" s="19">
        <f>IF($C99="","",IF($I99="","",RANK($I99,$I$4:$I$1463)+COUNTIF($I$4:$I99,$I99)-1))</f>
        <v>993</v>
      </c>
      <c r="Q99" s="19">
        <f>IF($C99="","",COUNTIFS($B$4:$B$1463,$B99,$X$4:$X$1463,"&gt;"&amp;$X99)+COUNTIFS($B$4:$B99,$B99,$X$4:$X99,"="&amp;$X99))</f>
        <v>34</v>
      </c>
      <c r="R99" s="75">
        <f>IF($C99="","",IF($I99="","",ROUND(COUNTIF($I$4:$I$1463,"&lt;"&amp;$I99)/COUNT($I$4:$I$1463),3)))</f>
        <v>0.251</v>
      </c>
      <c r="S99" s="19" t="str">
        <f>IF($C99="","",IF($G99="","Name only",IF(OR($I99="",$L99=""),"Partial","Complete")))</f>
        <v>Complete</v>
      </c>
      <c r="T99" s="1" t="str">
        <f>IF($C99="","",TRIM(IF(COUNTIF($C$4:$C$1463,$C99)&gt;1,"Dup name; ","")&amp;IF(AND($G99&lt;&gt;"",$G99&lt;55000),"Low CR - verify; ","")&amp;IF(AND($L99&lt;&gt;"",$L99&gt;15),"Secondary - verify; ","")&amp;IF($E99="","No class; ","")))</f>
        <v/>
      </c>
      <c r="U99" s="68"/>
      <c r="V99" s="68"/>
      <c r="W99" s="68"/>
      <c r="X99" s="76">
        <f t="shared" si="7"/>
        <v>2554</v>
      </c>
      <c r="Y99" s="1" t="str">
        <f t="shared" si="8"/>
        <v>SUB ROSA|34</v>
      </c>
      <c r="Z99" s="19">
        <f>IF($C99="","",IF($G99="","",RANK($G99,$G$4:$G$1463)+COUNTIF($G$4:$G99,$G99)-1))</f>
        <v>1100</v>
      </c>
      <c r="AA99" s="19">
        <f>IF($C99="","",IF($N99="","",RANK($N99,$N$4:$N$1463)+COUNTIF($N$4:$N99,$N99)-1))</f>
        <v>1050</v>
      </c>
      <c r="AB99" s="1" t="str">
        <f>IF($C99="","",IF($E99="","",$E99&amp;"#"&amp;(COUNTIFS($E$4:$E$1463,$E99,$X$4:$X$1463,"&gt;"&amp;$X99)+COUNTIFS($E$4:$E99,$E99,$X$4:$X99,"="&amp;$X99))))</f>
        <v>WARLOCK#246</v>
      </c>
      <c r="AC99" s="1" t="str">
        <f>IF($C99="","",$B99&amp;"@"&amp;(COUNTIFS($B$4:$B$1463,$B99,$C$4:$C$1463,"&lt;"&amp;$C99)+COUNTIFS($B$4:$B99,$B99,$C$4:$C99,$C99)))</f>
        <v>SUB ROSA@9</v>
      </c>
      <c r="AD99" s="1">
        <f t="shared" si="9"/>
        <v>96</v>
      </c>
      <c r="AE99" s="1" t="s">
        <v>531</v>
      </c>
      <c r="AF99" s="76">
        <f t="shared" si="10"/>
        <v>61173</v>
      </c>
      <c r="AG99" s="77">
        <f t="shared" si="11"/>
        <v>3.8</v>
      </c>
      <c r="AH99" s="1" t="str">
        <f>IF($C99="","",$B99&amp;"|"&amp;(COUNTIFS($B$4:$B$1463,$B99,$AF$4:$AF$1463,"&gt;"&amp;$AF99)+COUNTIFS($B$4:$B99,$B99,$AF$4:$AF99,"="&amp;$AF99)))</f>
        <v>SUB ROSA|52</v>
      </c>
      <c r="AI99" s="1" t="str">
        <f>IF($C99="","",$B99&amp;"|"&amp;(COUNTIFS($B$4:$B$1463,$B99,$AG$4:$AG$1463,"&gt;"&amp;$AG99)+COUNTIFS($B$4:$B99,$B99,$AG$4:$AG99,"="&amp;$AG99)))</f>
        <v>SUB ROSA|31</v>
      </c>
    </row>
    <row r="100" spans="1:35" hidden="1">
      <c r="A100" s="69" t="s">
        <v>106</v>
      </c>
      <c r="B100" s="69" t="s">
        <v>86</v>
      </c>
      <c r="C100" s="63" t="s">
        <v>717</v>
      </c>
      <c r="D100" s="69"/>
      <c r="E100" s="68" t="s">
        <v>80</v>
      </c>
      <c r="F100" s="15" t="str">
        <f>IF($C100="","",IF($E100="","-",IFERROR(INDEX(SETUP!$B$55:$B$64,MATCH($E100,SETUP!$A$55:$A$64,0)),"Other")))</f>
        <v>Ranged DPS</v>
      </c>
      <c r="G100" s="70">
        <v>64202</v>
      </c>
      <c r="H100" s="15" t="str">
        <f>IF($C100="","",IF($G100="","-",INDEX(SETUP!$B$26:$B$32,MATCH($G100,SETUP!$A$26:$A$32,1))))</f>
        <v>64,000 +</v>
      </c>
      <c r="I100" s="70">
        <v>8923</v>
      </c>
      <c r="J100" s="15" t="str">
        <f>IF($C100="","",IF($I100="","-",INDEX(SETUP!$B$16:$B$22,MATCH($I100,SETUP!$A$16:$A$22,1))))</f>
        <v>ELITE</v>
      </c>
      <c r="K100" s="15" t="str">
        <f>IF($C100="","",IF($I100="","-",TEXT(INT($I100/1000)*1000,"#,##0")&amp;" - "&amp;TEXT(INT($I100/1000)*1000+999,"#,##0")))</f>
        <v>8,000 - 8,999</v>
      </c>
      <c r="L100" s="71">
        <v>9.6999999999999993</v>
      </c>
      <c r="M100" s="15" t="str">
        <f>IF($C100="","",IF($L100="","-",INDEX(SETUP!$B$36:$B$42,MATCH($L100,SETUP!$A$36:$A$42,1))))</f>
        <v>8k - 10k</v>
      </c>
      <c r="N100" s="17">
        <f>IF($C100="","",IF(OR($G100="",$I100=""),"",ROUND(100*(SETUP!$B$4*MIN(1,$I100/SETUP!$B$9)+SETUP!$B$5*MAX(0,MIN(1,($G100-SETUP!$B$10)/(SETUP!$B$11-SETUP!$B$10)))+SETUP!$B$6*MIN(1,IF($L100="",0,$L100)/SETUP!$B$12)),1)))</f>
        <v>79.3</v>
      </c>
      <c r="O100" s="15" t="str">
        <f>IF($C100="","",IF($N100="","-",INDEX(SETUP!$B$46:$B$51,MATCH($N100,SETUP!$A$46:$A$51,1))))</f>
        <v>S</v>
      </c>
      <c r="P100" s="15">
        <f>IF($C100="","",IF($I100="","",RANK($I100,$I$4:$I$1463)+COUNTIF($I$4:$I100,$I100)-1))</f>
        <v>99</v>
      </c>
      <c r="Q100" s="15">
        <f>IF($C100="","",COUNTIFS($B$4:$B$1463,$B100,$X$4:$X$1463,"&gt;"&amp;$X100)+COUNTIFS($B$4:$B100,$B100,$X$4:$X100,"="&amp;$X100))</f>
        <v>24</v>
      </c>
      <c r="R100" s="72">
        <f>IF($C100="","",IF($I100="","",ROUND(COUNTIF($I$4:$I$1463,"&lt;"&amp;$I100)/COUNT($I$4:$I$1463),3)))</f>
        <v>0.92500000000000004</v>
      </c>
      <c r="S100" s="15" t="str">
        <f>IF($C100="","",IF($G100="","Name only",IF(OR($I100="",$L100=""),"Partial","Complete")))</f>
        <v>Complete</v>
      </c>
      <c r="T100" s="41" t="str">
        <f>IF($C100="","",TRIM(IF(COUNTIF($C$4:$C$1463,$C100)&gt;1,"Dup name; ","")&amp;IF(AND($G100&lt;&gt;"",$G100&lt;55000),"Low CR - verify; ","")&amp;IF(AND($L100&lt;&gt;"",$L100&gt;15),"Secondary - verify; ","")&amp;IF($E100="","No class; ","")))</f>
        <v/>
      </c>
      <c r="U100" s="68"/>
      <c r="V100" s="68"/>
      <c r="W100" s="68"/>
      <c r="X100" s="73">
        <f t="shared" si="7"/>
        <v>8923</v>
      </c>
      <c r="Y100" s="41" t="str">
        <f t="shared" si="8"/>
        <v>VANGUARD|24</v>
      </c>
      <c r="Z100" s="15">
        <f>IF($C100="","",IF($G100="","",RANK($G100,$G$4:$G$1463)+COUNTIF($G$4:$G100,$G100)-1))</f>
        <v>41</v>
      </c>
      <c r="AA100" s="15">
        <f>IF($C100="","",IF($N100="","",RANK($N100,$N$4:$N$1463)+COUNTIF($N$4:$N100,$N100)-1))</f>
        <v>57</v>
      </c>
      <c r="AB100" s="41" t="str">
        <f>IF($C100="","",IF($E100="","",$E100&amp;"#"&amp;(COUNTIFS($E$4:$E$1463,$E100,$X$4:$X$1463,"&gt;"&amp;$X100)+COUNTIFS($E$4:$E100,$E100,$X$4:$X100,"="&amp;$X100))))</f>
        <v>WIZARD#5</v>
      </c>
      <c r="AC100" s="41" t="str">
        <f>IF($C100="","",$B100&amp;"@"&amp;(COUNTIFS($B$4:$B$1463,$B100,$C$4:$C$1463,"&lt;"&amp;$C100)+COUNTIFS($B$4:$B100,$B100,$C$4:$C100,$C100)))</f>
        <v>VANGUARD@9</v>
      </c>
      <c r="AD100" s="41">
        <f t="shared" si="9"/>
        <v>97</v>
      </c>
      <c r="AE100" s="41" t="s">
        <v>718</v>
      </c>
      <c r="AF100" s="73">
        <f t="shared" si="10"/>
        <v>64202</v>
      </c>
      <c r="AG100" s="74">
        <f t="shared" si="11"/>
        <v>9.6999999999999993</v>
      </c>
      <c r="AH100" s="41" t="str">
        <f>IF($C100="","",$B100&amp;"|"&amp;(COUNTIFS($B$4:$B$1463,$B100,$AF$4:$AF$1463,"&gt;"&amp;$AF100)+COUNTIFS($B$4:$B100,$B100,$AF$4:$AF100,"="&amp;$AF100)))</f>
        <v>VANGUARD|10</v>
      </c>
      <c r="AI100" s="41" t="str">
        <f>IF($C100="","",$B100&amp;"|"&amp;(COUNTIFS($B$4:$B$1463,$B100,$AG$4:$AG$1463,"&gt;"&amp;$AG100)+COUNTIFS($B$4:$B100,$B100,$AG$4:$AG100,"="&amp;$AG100)))</f>
        <v>VANGUARD|5</v>
      </c>
    </row>
    <row r="101" spans="1:35" hidden="1">
      <c r="A101" s="69" t="s">
        <v>109</v>
      </c>
      <c r="B101" s="69" t="s">
        <v>111</v>
      </c>
      <c r="C101" s="63" t="s">
        <v>719</v>
      </c>
      <c r="D101" s="69" t="s">
        <v>527</v>
      </c>
      <c r="E101" s="68" t="s">
        <v>71</v>
      </c>
      <c r="F101" s="19" t="str">
        <f>IF($C101="","",IF($E101="","-",IFERROR(INDEX(SETUP!$B$55:$B$64,MATCH($E101,SETUP!$A$55:$A$64,0)),"Other")))</f>
        <v>Frontline</v>
      </c>
      <c r="G101" s="70">
        <v>61695</v>
      </c>
      <c r="H101" s="19" t="str">
        <f>IF($C101="","",IF($G101="","-",INDEX(SETUP!$B$26:$B$32,MATCH($G101,SETUP!$A$26:$A$32,1))))</f>
        <v>61,000 - 61,999</v>
      </c>
      <c r="I101" s="70">
        <v>5933</v>
      </c>
      <c r="J101" s="19" t="str">
        <f>IF($C101="","",IF($I101="","-",INDEX(SETUP!$B$16:$B$22,MATCH($I101,SETUP!$A$16:$A$22,1))))</f>
        <v>CORE</v>
      </c>
      <c r="K101" s="19" t="str">
        <f>IF($C101="","",IF($I101="","-",TEXT(INT($I101/1000)*1000,"#,##0")&amp;" - "&amp;TEXT(INT($I101/1000)*1000+999,"#,##0")))</f>
        <v>5,000 - 5,999</v>
      </c>
      <c r="L101" s="71">
        <v>4.5999999999999996</v>
      </c>
      <c r="M101" s="19" t="str">
        <f>IF($C101="","",IF($L101="","-",INDEX(SETUP!$B$36:$B$42,MATCH($L101,SETUP!$A$36:$A$42,1))))</f>
        <v>4k - 5k</v>
      </c>
      <c r="N101" s="21">
        <f>IF($C101="","",IF(OR($G101="",$I101=""),"",ROUND(100*(SETUP!$B$4*MIN(1,$I101/SETUP!$B$9)+SETUP!$B$5*MAX(0,MIN(1,($G101-SETUP!$B$10)/(SETUP!$B$11-SETUP!$B$10)))+SETUP!$B$6*MIN(1,IF($L101="",0,$L101)/SETUP!$B$12)),1)))</f>
        <v>51.2</v>
      </c>
      <c r="O101" s="19" t="str">
        <f>IF($C101="","",IF($N101="","-",INDEX(SETUP!$B$46:$B$51,MATCH($N101,SETUP!$A$46:$A$51,1))))</f>
        <v>A</v>
      </c>
      <c r="P101" s="19">
        <f>IF($C101="","",IF($I101="","",RANK($I101,$I$4:$I$1463)+COUNTIF($I$4:$I101,$I101)-1))</f>
        <v>292</v>
      </c>
      <c r="Q101" s="19">
        <f>IF($C101="","",COUNTIFS($B$4:$B$1463,$B101,$X$4:$X$1463,"&gt;"&amp;$X101)+COUNTIFS($B$4:$B101,$B101,$X$4:$X101,"="&amp;$X101))</f>
        <v>33</v>
      </c>
      <c r="R101" s="75">
        <f>IF($C101="","",IF($I101="","",ROUND(COUNTIF($I$4:$I$1463,"&lt;"&amp;$I101)/COUNT($I$4:$I$1463),3)))</f>
        <v>0.77900000000000003</v>
      </c>
      <c r="S101" s="19" t="str">
        <f>IF($C101="","",IF($G101="","Name only",IF(OR($I101="",$L101=""),"Partial","Complete")))</f>
        <v>Complete</v>
      </c>
      <c r="T101" s="1" t="str">
        <f>IF($C101="","",TRIM(IF(COUNTIF($C$4:$C$1463,$C101)&gt;1,"Dup name; ","")&amp;IF(AND($G101&lt;&gt;"",$G101&lt;55000),"Low CR - verify; ","")&amp;IF(AND($L101&lt;&gt;"",$L101&gt;15),"Secondary - verify; ","")&amp;IF($E101="","No class; ","")))</f>
        <v/>
      </c>
      <c r="U101" s="68"/>
      <c r="V101" s="68"/>
      <c r="W101" s="68"/>
      <c r="X101" s="76">
        <f t="shared" si="7"/>
        <v>5933</v>
      </c>
      <c r="Y101" s="1" t="str">
        <f t="shared" si="8"/>
        <v>RECKONING|33</v>
      </c>
      <c r="Z101" s="19">
        <f>IF($C101="","",IF($G101="","",RANK($G101,$G$4:$G$1463)+COUNTIF($G$4:$G101,$G101)-1))</f>
        <v>947</v>
      </c>
      <c r="AA101" s="19">
        <f>IF($C101="","",IF($N101="","",RANK($N101,$N$4:$N$1463)+COUNTIF($N$4:$N101,$N101)-1))</f>
        <v>414</v>
      </c>
      <c r="AB101" s="1" t="str">
        <f>IF($C101="","",IF($E101="","",$E101&amp;"#"&amp;(COUNTIFS($E$4:$E$1463,$E101,$X$4:$X$1463,"&gt;"&amp;$X101)+COUNTIFS($E$4:$E101,$E101,$X$4:$X101,"="&amp;$X101))))</f>
        <v>BARBARIAN#59</v>
      </c>
      <c r="AC101" s="1" t="str">
        <f>IF($C101="","",$B101&amp;"@"&amp;(COUNTIFS($B$4:$B$1463,$B101,$C$4:$C$1463,"&lt;"&amp;$C101)+COUNTIFS($B$4:$B101,$B101,$C$4:$C101,$C101)))</f>
        <v>RECKONING@9</v>
      </c>
      <c r="AD101" s="1">
        <f t="shared" si="9"/>
        <v>98</v>
      </c>
      <c r="AE101" s="1" t="s">
        <v>720</v>
      </c>
      <c r="AF101" s="76">
        <f t="shared" si="10"/>
        <v>61695</v>
      </c>
      <c r="AG101" s="77">
        <f t="shared" si="11"/>
        <v>4.5999999999999996</v>
      </c>
      <c r="AH101" s="1" t="str">
        <f>IF($C101="","",$B101&amp;"|"&amp;(COUNTIFS($B$4:$B$1463,$B101,$AF$4:$AF$1463,"&gt;"&amp;$AF101)+COUNTIFS($B$4:$B101,$B101,$AF$4:$AF101,"="&amp;$AF101)))</f>
        <v>RECKONING|81</v>
      </c>
      <c r="AI101" s="1" t="str">
        <f>IF($C101="","",$B101&amp;"|"&amp;(COUNTIFS($B$4:$B$1463,$B101,$AG$4:$AG$1463,"&gt;"&amp;$AG101)+COUNTIFS($B$4:$B101,$B101,$AG$4:$AG101,"="&amp;$AG101)))</f>
        <v>RECKONING|77</v>
      </c>
    </row>
    <row r="102" spans="1:35" hidden="1">
      <c r="A102" s="69" t="s">
        <v>109</v>
      </c>
      <c r="B102" s="69" t="s">
        <v>117</v>
      </c>
      <c r="C102" s="63" t="s">
        <v>721</v>
      </c>
      <c r="D102" s="69"/>
      <c r="E102" s="68" t="s">
        <v>78</v>
      </c>
      <c r="F102" s="15" t="str">
        <f>IF($C102="","",IF($E102="","-",IFERROR(INDEX(SETUP!$B$55:$B$64,MATCH($E102,SETUP!$A$55:$A$64,0)),"Other")))</f>
        <v>Melee DPS</v>
      </c>
      <c r="G102" s="70">
        <v>62912</v>
      </c>
      <c r="H102" s="15" t="str">
        <f>IF($C102="","",IF($G102="","-",INDEX(SETUP!$B$26:$B$32,MATCH($G102,SETUP!$A$26:$A$32,1))))</f>
        <v>62,000 - 62,999</v>
      </c>
      <c r="I102" s="70">
        <v>2872</v>
      </c>
      <c r="J102" s="15" t="str">
        <f>IF($C102="","",IF($I102="","-",INDEX(SETUP!$B$16:$B$22,MATCH($I102,SETUP!$A$16:$A$22,1))))</f>
        <v>DEVELOPING</v>
      </c>
      <c r="K102" s="15" t="str">
        <f>IF($C102="","",IF($I102="","-",TEXT(INT($I102/1000)*1000,"#,##0")&amp;" - "&amp;TEXT(INT($I102/1000)*1000+999,"#,##0")))</f>
        <v>2,000 - 2,999</v>
      </c>
      <c r="L102" s="71">
        <v>3.5</v>
      </c>
      <c r="M102" s="15" t="str">
        <f>IF($C102="","",IF($L102="","-",INDEX(SETUP!$B$36:$B$42,MATCH($L102,SETUP!$A$36:$A$42,1))))</f>
        <v>3k - 4k</v>
      </c>
      <c r="N102" s="17">
        <f>IF($C102="","",IF(OR($G102="",$I102=""),"",ROUND(100*(SETUP!$B$4*MIN(1,$I102/SETUP!$B$9)+SETUP!$B$5*MAX(0,MIN(1,($G102-SETUP!$B$10)/(SETUP!$B$11-SETUP!$B$10)))+SETUP!$B$6*MIN(1,IF($L102="",0,$L102)/SETUP!$B$12)),1)))</f>
        <v>39.200000000000003</v>
      </c>
      <c r="O102" s="15" t="str">
        <f>IF($C102="","",IF($N102="","-",INDEX(SETUP!$B$46:$B$51,MATCH($N102,SETUP!$A$46:$A$51,1))))</f>
        <v>B</v>
      </c>
      <c r="P102" s="15">
        <f>IF($C102="","",IF($I102="","",RANK($I102,$I$4:$I$1463)+COUNTIF($I$4:$I102,$I102)-1))</f>
        <v>918</v>
      </c>
      <c r="Q102" s="15">
        <f>IF($C102="","",COUNTIFS($B$4:$B$1463,$B102,$X$4:$X$1463,"&gt;"&amp;$X102)+COUNTIFS($B$4:$B102,$B102,$X$4:$X102,"="&amp;$X102))</f>
        <v>20</v>
      </c>
      <c r="R102" s="72">
        <f>IF($C102="","",IF($I102="","",ROUND(COUNTIF($I$4:$I$1463,"&lt;"&amp;$I102)/COUNT($I$4:$I$1463),3)))</f>
        <v>0.307</v>
      </c>
      <c r="S102" s="15" t="str">
        <f>IF($C102="","",IF($G102="","Name only",IF(OR($I102="",$L102=""),"Partial","Complete")))</f>
        <v>Complete</v>
      </c>
      <c r="T102" s="41" t="str">
        <f>IF($C102="","",TRIM(IF(COUNTIF($C$4:$C$1463,$C102)&gt;1,"Dup name; ","")&amp;IF(AND($G102&lt;&gt;"",$G102&lt;55000),"Low CR - verify; ","")&amp;IF(AND($L102&lt;&gt;"",$L102&gt;15),"Secondary - verify; ","")&amp;IF($E102="","No class; ","")))</f>
        <v/>
      </c>
      <c r="U102" s="68"/>
      <c r="V102" s="68"/>
      <c r="W102" s="68"/>
      <c r="X102" s="73">
        <f t="shared" si="7"/>
        <v>2872</v>
      </c>
      <c r="Y102" s="41" t="str">
        <f t="shared" si="8"/>
        <v>VENDETTA|20</v>
      </c>
      <c r="Z102" s="15">
        <f>IF($C102="","",IF($G102="","",RANK($G102,$G$4:$G$1463)+COUNTIF($G$4:$G102,$G102)-1))</f>
        <v>471</v>
      </c>
      <c r="AA102" s="15">
        <f>IF($C102="","",IF($N102="","",RANK($N102,$N$4:$N$1463)+COUNTIF($N$4:$N102,$N102)-1))</f>
        <v>853</v>
      </c>
      <c r="AB102" s="41" t="str">
        <f>IF($C102="","",IF($E102="","",$E102&amp;"#"&amp;(COUNTIFS($E$4:$E$1463,$E102,$X$4:$X$1463,"&gt;"&amp;$X102)+COUNTIFS($E$4:$E102,$E102,$X$4:$X102,"="&amp;$X102))))</f>
        <v>TEMPEST#39</v>
      </c>
      <c r="AC102" s="41" t="str">
        <f>IF($C102="","",$B102&amp;"@"&amp;(COUNTIFS($B$4:$B$1463,$B102,$C$4:$C$1463,"&lt;"&amp;$C102)+COUNTIFS($B$4:$B102,$B102,$C$4:$C102,$C102)))</f>
        <v>VENDETTA@11</v>
      </c>
      <c r="AD102" s="41">
        <f t="shared" si="9"/>
        <v>99</v>
      </c>
      <c r="AE102" s="41" t="s">
        <v>568</v>
      </c>
      <c r="AF102" s="73">
        <f t="shared" si="10"/>
        <v>62912</v>
      </c>
      <c r="AG102" s="74">
        <f t="shared" si="11"/>
        <v>3.5</v>
      </c>
      <c r="AH102" s="41" t="str">
        <f>IF($C102="","",$B102&amp;"|"&amp;(COUNTIFS($B$4:$B$1463,$B102,$AF$4:$AF$1463,"&gt;"&amp;$AF102)+COUNTIFS($B$4:$B102,$B102,$AF$4:$AF102,"="&amp;$AF102)))</f>
        <v>VENDETTA|7</v>
      </c>
      <c r="AI102" s="41" t="str">
        <f>IF($C102="","",$B102&amp;"|"&amp;(COUNTIFS($B$4:$B$1463,$B102,$AG$4:$AG$1463,"&gt;"&amp;$AG102)+COUNTIFS($B$4:$B102,$B102,$AG$4:$AG102,"="&amp;$AG102)))</f>
        <v>VENDETTA|52</v>
      </c>
    </row>
    <row r="103" spans="1:35">
      <c r="A103" s="69" t="s">
        <v>104</v>
      </c>
      <c r="B103" s="69" t="s">
        <v>66</v>
      </c>
      <c r="C103" s="63" t="s">
        <v>300</v>
      </c>
      <c r="D103" s="69"/>
      <c r="E103" s="68" t="s">
        <v>71</v>
      </c>
      <c r="F103" s="19" t="str">
        <f>IF($C103="","",IF($E103="","-",IFERROR(INDEX(SETUP!$B$55:$B$64,MATCH($E103,SETUP!$A$55:$A$64,0)),"Other")))</f>
        <v>Frontline</v>
      </c>
      <c r="G103" s="70">
        <v>62754</v>
      </c>
      <c r="H103" s="19" t="str">
        <f>IF($C103="","",IF($G103="","-",INDEX(SETUP!$B$26:$B$32,MATCH($G103,SETUP!$A$26:$A$32,1))))</f>
        <v>62,000 - 62,999</v>
      </c>
      <c r="I103" s="70">
        <v>7500</v>
      </c>
      <c r="J103" s="19" t="str">
        <f>IF($C103="","",IF($I103="","-",INDEX(SETUP!$B$16:$B$22,MATCH($I103,SETUP!$A$16:$A$22,1))))</f>
        <v>VETERAN</v>
      </c>
      <c r="K103" s="19" t="str">
        <f>IF($C103="","",IF($I103="","-",TEXT(INT($I103/1000)*1000,"#,##0")&amp;" - "&amp;TEXT(INT($I103/1000)*1000+999,"#,##0")))</f>
        <v>7,000 - 7,999</v>
      </c>
      <c r="L103" s="71">
        <v>6.29</v>
      </c>
      <c r="M103" s="19" t="str">
        <f>IF($C103="","",IF($L103="","-",INDEX(SETUP!$B$36:$B$42,MATCH($L103,SETUP!$A$36:$A$42,1))))</f>
        <v>6k - 8k</v>
      </c>
      <c r="N103" s="21">
        <f>IF($C103="","",IF(OR($G103="",$I103=""),"",ROUND(100*(SETUP!$B$4*MIN(1,$I103/SETUP!$B$9)+SETUP!$B$5*MAX(0,MIN(1,($G103-SETUP!$B$10)/(SETUP!$B$11-SETUP!$B$10)))+SETUP!$B$6*MIN(1,IF($L103="",0,$L103)/SETUP!$B$12)),1)))</f>
        <v>63.6</v>
      </c>
      <c r="O103" s="19" t="str">
        <f>IF($C103="","",IF($N103="","-",INDEX(SETUP!$B$46:$B$51,MATCH($N103,SETUP!$A$46:$A$51,1))))</f>
        <v>A</v>
      </c>
      <c r="P103" s="19">
        <f>IF($C103="","",IF($I103="","",RANK($I103,$I$4:$I$1463)+COUNTIF($I$4:$I103,$I103)-1))</f>
        <v>169</v>
      </c>
      <c r="Q103" s="19">
        <f>IF($C103="","",COUNTIFS($B$4:$B$1463,$B103,$X$4:$X$1463,"&gt;"&amp;$X103)+COUNTIFS($B$4:$B103,$B103,$X$4:$X103,"="&amp;$X103))</f>
        <v>17</v>
      </c>
      <c r="R103" s="75">
        <f>IF($C103="","",IF($I103="","",ROUND(COUNTIF($I$4:$I$1463,"&lt;"&amp;$I103)/COUNT($I$4:$I$1463),3)))</f>
        <v>0.872</v>
      </c>
      <c r="S103" s="19" t="str">
        <f>IF($C103="","",IF($G103="","Name only",IF(OR($I103="",$L103=""),"Partial","Complete")))</f>
        <v>Complete</v>
      </c>
      <c r="T103" s="1" t="str">
        <f>IF($C103="","",TRIM(IF(COUNTIF($C$4:$C$1463,$C103)&gt;1,"Dup name; ","")&amp;IF(AND($G103&lt;&gt;"",$G103&lt;55000),"Low CR - verify; ","")&amp;IF(AND($L103&lt;&gt;"",$L103&gt;15),"Secondary - verify; ","")&amp;IF($E103="","No class; ","")))</f>
        <v/>
      </c>
      <c r="U103" s="68" t="s">
        <v>265</v>
      </c>
      <c r="V103" s="68" t="s">
        <v>66</v>
      </c>
      <c r="W103" s="68" t="s">
        <v>285</v>
      </c>
      <c r="X103" s="76">
        <f t="shared" si="7"/>
        <v>7500</v>
      </c>
      <c r="Y103" s="1" t="str">
        <f t="shared" si="8"/>
        <v>FUCT|17</v>
      </c>
      <c r="Z103" s="19">
        <f>IF($C103="","",IF($G103="","",RANK($G103,$G$4:$G$1463)+COUNTIF($G$4:$G103,$G103)-1))</f>
        <v>541</v>
      </c>
      <c r="AA103" s="19">
        <f>IF($C103="","",IF($N103="","",RANK($N103,$N$4:$N$1463)+COUNTIF($N$4:$N103,$N103)-1))</f>
        <v>194</v>
      </c>
      <c r="AB103" s="1" t="str">
        <f>IF($C103="","",IF($E103="","",$E103&amp;"#"&amp;(COUNTIFS($E$4:$E$1463,$E103,$X$4:$X$1463,"&gt;"&amp;$X103)+COUNTIFS($E$4:$E103,$E103,$X$4:$X103,"="&amp;$X103))))</f>
        <v>BARBARIAN#38</v>
      </c>
      <c r="AC103" s="1" t="str">
        <f>IF($C103="","",$B103&amp;"@"&amp;(COUNTIFS($B$4:$B$1463,$B103,$C$4:$C$1463,"&lt;"&amp;$C103)+COUNTIFS($B$4:$B103,$B103,$C$4:$C103,$C103)))</f>
        <v>FUCT@5</v>
      </c>
      <c r="AD103" s="1">
        <f t="shared" si="9"/>
        <v>100</v>
      </c>
      <c r="AE103" s="1" t="s">
        <v>723</v>
      </c>
      <c r="AF103" s="76">
        <f t="shared" si="10"/>
        <v>62754</v>
      </c>
      <c r="AG103" s="77">
        <f t="shared" si="11"/>
        <v>6.29</v>
      </c>
      <c r="AH103" s="1" t="str">
        <f>IF($C103="","",$B103&amp;"|"&amp;(COUNTIFS($B$4:$B$1463,$B103,$AF$4:$AF$1463,"&gt;"&amp;$AF103)+COUNTIFS($B$4:$B103,$B103,$AF$4:$AF103,"="&amp;$AF103)))</f>
        <v>FUCT|58</v>
      </c>
      <c r="AI103" s="1" t="str">
        <f>IF($C103="","",$B103&amp;"|"&amp;(COUNTIFS($B$4:$B$1463,$B103,$AG$4:$AG$1463,"&gt;"&amp;$AG103)+COUNTIFS($B$4:$B103,$B103,$AG$4:$AG103,"="&amp;$AG103)))</f>
        <v>FUCT|14</v>
      </c>
    </row>
    <row r="104" spans="1:35" hidden="1">
      <c r="A104" s="69" t="s">
        <v>109</v>
      </c>
      <c r="B104" s="69" t="s">
        <v>110</v>
      </c>
      <c r="C104" s="63" t="s">
        <v>724</v>
      </c>
      <c r="D104" s="69"/>
      <c r="E104" s="68" t="s">
        <v>79</v>
      </c>
      <c r="F104" s="15" t="str">
        <f>IF($C104="","",IF($E104="","-",IFERROR(INDEX(SETUP!$B$55:$B$64,MATCH($E104,SETUP!$A$55:$A$64,0)),"Other")))</f>
        <v>Control</v>
      </c>
      <c r="G104" s="70">
        <v>61660</v>
      </c>
      <c r="H104" s="15" t="str">
        <f>IF($C104="","",IF($G104="","-",INDEX(SETUP!$B$26:$B$32,MATCH($G104,SETUP!$A$26:$A$32,1))))</f>
        <v>61,000 - 61,999</v>
      </c>
      <c r="I104" s="70">
        <v>3400</v>
      </c>
      <c r="J104" s="15" t="str">
        <f>IF($C104="","",IF($I104="","-",INDEX(SETUP!$B$16:$B$22,MATCH($I104,SETUP!$A$16:$A$22,1))))</f>
        <v>DEVELOPING</v>
      </c>
      <c r="K104" s="15" t="str">
        <f>IF($C104="","",IF($I104="","-",TEXT(INT($I104/1000)*1000,"#,##0")&amp;" - "&amp;TEXT(INT($I104/1000)*1000+999,"#,##0")))</f>
        <v>3,000 - 3,999</v>
      </c>
      <c r="L104" s="71">
        <v>5.55</v>
      </c>
      <c r="M104" s="15" t="str">
        <f>IF($C104="","",IF($L104="","-",INDEX(SETUP!$B$36:$B$42,MATCH($L104,SETUP!$A$36:$A$42,1))))</f>
        <v>5k - 6k</v>
      </c>
      <c r="N104" s="17">
        <f>IF($C104="","",IF(OR($G104="",$I104=""),"",ROUND(100*(SETUP!$B$4*MIN(1,$I104/SETUP!$B$9)+SETUP!$B$5*MAX(0,MIN(1,($G104-SETUP!$B$10)/(SETUP!$B$11-SETUP!$B$10)))+SETUP!$B$6*MIN(1,IF($L104="",0,$L104)/SETUP!$B$12)),1)))</f>
        <v>41.6</v>
      </c>
      <c r="O104" s="15" t="str">
        <f>IF($C104="","",IF($N104="","-",INDEX(SETUP!$B$46:$B$51,MATCH($N104,SETUP!$A$46:$A$51,1))))</f>
        <v>B</v>
      </c>
      <c r="P104" s="15">
        <f>IF($C104="","",IF($I104="","",RANK($I104,$I$4:$I$1463)+COUNTIF($I$4:$I104,$I104)-1))</f>
        <v>758</v>
      </c>
      <c r="Q104" s="15">
        <f>IF($C104="","",COUNTIFS($B$4:$B$1463,$B104,$X$4:$X$1463,"&gt;"&amp;$X104)+COUNTIFS($B$4:$B104,$B104,$X$4:$X104,"="&amp;$X104))</f>
        <v>78</v>
      </c>
      <c r="R104" s="72">
        <f>IF($C104="","",IF($I104="","",ROUND(COUNTIF($I$4:$I$1463,"&lt;"&amp;$I104)/COUNT($I$4:$I$1463),3)))</f>
        <v>0.42699999999999999</v>
      </c>
      <c r="S104" s="15" t="str">
        <f>IF($C104="","",IF($G104="","Name only",IF(OR($I104="",$L104=""),"Partial","Complete")))</f>
        <v>Complete</v>
      </c>
      <c r="T104" s="41" t="str">
        <f>IF($C104="","",TRIM(IF(COUNTIF($C$4:$C$1463,$C104)&gt;1,"Dup name; ","")&amp;IF(AND($G104&lt;&gt;"",$G104&lt;55000),"Low CR - verify; ","")&amp;IF(AND($L104&lt;&gt;"",$L104&gt;15),"Secondary - verify; ","")&amp;IF($E104="","No class; ","")))</f>
        <v/>
      </c>
      <c r="U104" s="68"/>
      <c r="V104" s="68"/>
      <c r="W104" s="68"/>
      <c r="X104" s="73">
        <f t="shared" si="7"/>
        <v>3400</v>
      </c>
      <c r="Y104" s="41" t="str">
        <f t="shared" si="8"/>
        <v>AZUKI|78</v>
      </c>
      <c r="Z104" s="15">
        <f>IF($C104="","",IF($G104="","",RANK($G104,$G$4:$G$1463)+COUNTIF($G$4:$G104,$G104)-1))</f>
        <v>957</v>
      </c>
      <c r="AA104" s="15">
        <f>IF($C104="","",IF($N104="","",RANK($N104,$N$4:$N$1463)+COUNTIF($N$4:$N104,$N104)-1))</f>
        <v>753</v>
      </c>
      <c r="AB104" s="41" t="str">
        <f>IF($C104="","",IF($E104="","",$E104&amp;"#"&amp;(COUNTIFS($E$4:$E$1463,$E104,$X$4:$X$1463,"&gt;"&amp;$X104)+COUNTIFS($E$4:$E104,$E104,$X$4:$X104,"="&amp;$X104))))</f>
        <v>WARLOCK#184</v>
      </c>
      <c r="AC104" s="41" t="str">
        <f>IF($C104="","",$B104&amp;"@"&amp;(COUNTIFS($B$4:$B$1463,$B104,$C$4:$C$1463,"&lt;"&amp;$C104)+COUNTIFS($B$4:$B104,$B104,$C$4:$C104,$C104)))</f>
        <v>AZUKI@10</v>
      </c>
      <c r="AD104" s="41">
        <f t="shared" si="9"/>
        <v>101</v>
      </c>
      <c r="AE104" s="41" t="s">
        <v>725</v>
      </c>
      <c r="AF104" s="73">
        <f t="shared" si="10"/>
        <v>61660</v>
      </c>
      <c r="AG104" s="74">
        <f t="shared" si="11"/>
        <v>5.55</v>
      </c>
      <c r="AH104" s="41" t="str">
        <f>IF($C104="","",$B104&amp;"|"&amp;(COUNTIFS($B$4:$B$1463,$B104,$AF$4:$AF$1463,"&gt;"&amp;$AF104)+COUNTIFS($B$4:$B104,$B104,$AF$4:$AF104,"="&amp;$AF104)))</f>
        <v>AZUKI|89</v>
      </c>
      <c r="AI104" s="41" t="str">
        <f>IF($C104="","",$B104&amp;"|"&amp;(COUNTIFS($B$4:$B$1463,$B104,$AG$4:$AG$1463,"&gt;"&amp;$AG104)+COUNTIFS($B$4:$B104,$B104,$AG$4:$AG104,"="&amp;$AG104)))</f>
        <v>AZUKI|57</v>
      </c>
    </row>
    <row r="105" spans="1:35" hidden="1">
      <c r="A105" s="69" t="s">
        <v>109</v>
      </c>
      <c r="B105" s="69" t="s">
        <v>108</v>
      </c>
      <c r="C105" s="63" t="s">
        <v>726</v>
      </c>
      <c r="D105" s="69"/>
      <c r="E105" s="68" t="s">
        <v>73</v>
      </c>
      <c r="F105" s="19" t="str">
        <f>IF($C105="","",IF($E105="","-",IFERROR(INDEX(SETUP!$B$55:$B$64,MATCH($E105,SETUP!$A$55:$A$64,0)),"Other")))</f>
        <v>Frontline</v>
      </c>
      <c r="G105" s="70">
        <v>63961</v>
      </c>
      <c r="H105" s="19" t="str">
        <f>IF($C105="","",IF($G105="","-",INDEX(SETUP!$B$26:$B$32,MATCH($G105,SETUP!$A$26:$A$32,1))))</f>
        <v>63,000 - 63,999</v>
      </c>
      <c r="I105" s="70">
        <v>6875</v>
      </c>
      <c r="J105" s="19" t="str">
        <f>IF($C105="","",IF($I105="","-",INDEX(SETUP!$B$16:$B$22,MATCH($I105,SETUP!$A$16:$A$22,1))))</f>
        <v>VETERAN</v>
      </c>
      <c r="K105" s="19" t="str">
        <f>IF($C105="","",IF($I105="","-",TEXT(INT($I105/1000)*1000,"#,##0")&amp;" - "&amp;TEXT(INT($I105/1000)*1000+999,"#,##0")))</f>
        <v>6,000 - 6,999</v>
      </c>
      <c r="L105" s="71">
        <v>5.2</v>
      </c>
      <c r="M105" s="19" t="str">
        <f>IF($C105="","",IF($L105="","-",INDEX(SETUP!$B$36:$B$42,MATCH($L105,SETUP!$A$36:$A$42,1))))</f>
        <v>5k - 6k</v>
      </c>
      <c r="N105" s="21">
        <f>IF($C105="","",IF(OR($G105="",$I105=""),"",ROUND(100*(SETUP!$B$4*MIN(1,$I105/SETUP!$B$9)+SETUP!$B$5*MAX(0,MIN(1,($G105-SETUP!$B$10)/(SETUP!$B$11-SETUP!$B$10)))+SETUP!$B$6*MIN(1,IF($L105="",0,$L105)/SETUP!$B$12)),1)))</f>
        <v>62.3</v>
      </c>
      <c r="O105" s="19" t="str">
        <f>IF($C105="","",IF($N105="","-",INDEX(SETUP!$B$46:$B$51,MATCH($N105,SETUP!$A$46:$A$51,1))))</f>
        <v>A</v>
      </c>
      <c r="P105" s="19">
        <f>IF($C105="","",IF($I105="","",RANK($I105,$I$4:$I$1463)+COUNTIF($I$4:$I105,$I105)-1))</f>
        <v>229</v>
      </c>
      <c r="Q105" s="19">
        <f>IF($C105="","",COUNTIFS($B$4:$B$1463,$B105,$X$4:$X$1463,"&gt;"&amp;$X105)+COUNTIFS($B$4:$B105,$B105,$X$4:$X105,"="&amp;$X105))</f>
        <v>38</v>
      </c>
      <c r="R105" s="75">
        <f>IF($C105="","",IF($I105="","",ROUND(COUNTIF($I$4:$I$1463,"&lt;"&amp;$I105)/COUNT($I$4:$I$1463),3)))</f>
        <v>0.82699999999999996</v>
      </c>
      <c r="S105" s="19" t="str">
        <f>IF($C105="","",IF($G105="","Name only",IF(OR($I105="",$L105=""),"Partial","Complete")))</f>
        <v>Complete</v>
      </c>
      <c r="T105" s="1" t="str">
        <f>IF($C105="","",TRIM(IF(COUNTIF($C$4:$C$1463,$C105)&gt;1,"Dup name; ","")&amp;IF(AND($G105&lt;&gt;"",$G105&lt;55000),"Low CR - verify; ","")&amp;IF(AND($L105&lt;&gt;"",$L105&gt;15),"Secondary - verify; ","")&amp;IF($E105="","No class; ","")))</f>
        <v/>
      </c>
      <c r="U105" s="68"/>
      <c r="V105" s="68"/>
      <c r="W105" s="68"/>
      <c r="X105" s="76">
        <f t="shared" si="7"/>
        <v>6875</v>
      </c>
      <c r="Y105" s="1" t="str">
        <f t="shared" si="8"/>
        <v>SBG|38</v>
      </c>
      <c r="Z105" s="19">
        <f>IF($C105="","",IF($G105="","",RANK($G105,$G$4:$G$1463)+COUNTIF($G$4:$G105,$G105)-1))</f>
        <v>79</v>
      </c>
      <c r="AA105" s="19">
        <f>IF($C105="","",IF($N105="","",RANK($N105,$N$4:$N$1463)+COUNTIF($N$4:$N105,$N105)-1))</f>
        <v>209</v>
      </c>
      <c r="AB105" s="1" t="str">
        <f>IF($C105="","",IF($E105="","",$E105&amp;"#"&amp;(COUNTIFS($E$4:$E$1463,$E105,$X$4:$X$1463,"&gt;"&amp;$X105)+COUNTIFS($E$4:$E105,$E105,$X$4:$X105,"="&amp;$X105))))</f>
        <v>CRUSADER#36</v>
      </c>
      <c r="AC105" s="1" t="str">
        <f>IF($C105="","",$B105&amp;"@"&amp;(COUNTIFS($B$4:$B$1463,$B105,$C$4:$C$1463,"&lt;"&amp;$C105)+COUNTIFS($B$4:$B105,$B105,$C$4:$C105,$C105)))</f>
        <v>SBG@5</v>
      </c>
      <c r="AD105" s="1">
        <f t="shared" si="9"/>
        <v>102</v>
      </c>
      <c r="AE105" s="1" t="s">
        <v>727</v>
      </c>
      <c r="AF105" s="76">
        <f t="shared" si="10"/>
        <v>63961</v>
      </c>
      <c r="AG105" s="77">
        <f t="shared" si="11"/>
        <v>5.2</v>
      </c>
      <c r="AH105" s="1" t="str">
        <f>IF($C105="","",$B105&amp;"|"&amp;(COUNTIFS($B$4:$B$1463,$B105,$AF$4:$AF$1463,"&gt;"&amp;$AF105)+COUNTIFS($B$4:$B105,$B105,$AF$4:$AF105,"="&amp;$AF105)))</f>
        <v>SBG|16</v>
      </c>
      <c r="AI105" s="1" t="str">
        <f>IF($C105="","",$B105&amp;"|"&amp;(COUNTIFS($B$4:$B$1463,$B105,$AG$4:$AG$1463,"&gt;"&amp;$AG105)+COUNTIFS($B$4:$B105,$B105,$AG$4:$AG105,"="&amp;$AG105)))</f>
        <v>SBG|67</v>
      </c>
    </row>
    <row r="106" spans="1:35" hidden="1">
      <c r="A106" s="69" t="s">
        <v>109</v>
      </c>
      <c r="B106" s="69" t="s">
        <v>111</v>
      </c>
      <c r="C106" s="63" t="s">
        <v>728</v>
      </c>
      <c r="D106" s="69" t="s">
        <v>527</v>
      </c>
      <c r="E106" s="68" t="s">
        <v>73</v>
      </c>
      <c r="F106" s="15" t="str">
        <f>IF($C106="","",IF($E106="","-",IFERROR(INDEX(SETUP!$B$55:$B$64,MATCH($E106,SETUP!$A$55:$A$64,0)),"Other")))</f>
        <v>Frontline</v>
      </c>
      <c r="G106" s="70">
        <v>61529</v>
      </c>
      <c r="H106" s="15" t="str">
        <f>IF($C106="","",IF($G106="","-",INDEX(SETUP!$B$26:$B$32,MATCH($G106,SETUP!$A$26:$A$32,1))))</f>
        <v>61,000 - 61,999</v>
      </c>
      <c r="I106" s="70">
        <v>7032</v>
      </c>
      <c r="J106" s="15" t="str">
        <f>IF($C106="","",IF($I106="","-",INDEX(SETUP!$B$16:$B$22,MATCH($I106,SETUP!$A$16:$A$22,1))))</f>
        <v>VETERAN</v>
      </c>
      <c r="K106" s="15" t="str">
        <f>IF($C106="","",IF($I106="","-",TEXT(INT($I106/1000)*1000,"#,##0")&amp;" - "&amp;TEXT(INT($I106/1000)*1000+999,"#,##0")))</f>
        <v>7,000 - 7,999</v>
      </c>
      <c r="L106" s="71">
        <v>6.5</v>
      </c>
      <c r="M106" s="15" t="str">
        <f>IF($C106="","",IF($L106="","-",INDEX(SETUP!$B$36:$B$42,MATCH($L106,SETUP!$A$36:$A$42,1))))</f>
        <v>6k - 8k</v>
      </c>
      <c r="N106" s="17">
        <f>IF($C106="","",IF(OR($G106="",$I106=""),"",ROUND(100*(SETUP!$B$4*MIN(1,$I106/SETUP!$B$9)+SETUP!$B$5*MAX(0,MIN(1,($G106-SETUP!$B$10)/(SETUP!$B$11-SETUP!$B$10)))+SETUP!$B$6*MIN(1,IF($L106="",0,$L106)/SETUP!$B$12)),1)))</f>
        <v>58.7</v>
      </c>
      <c r="O106" s="15" t="str">
        <f>IF($C106="","",IF($N106="","-",INDEX(SETUP!$B$46:$B$51,MATCH($N106,SETUP!$A$46:$A$51,1))))</f>
        <v>A</v>
      </c>
      <c r="P106" s="15">
        <f>IF($C106="","",IF($I106="","",RANK($I106,$I$4:$I$1463)+COUNTIF($I$4:$I106,$I106)-1))</f>
        <v>222</v>
      </c>
      <c r="Q106" s="15">
        <f>IF($C106="","",COUNTIFS($B$4:$B$1463,$B106,$X$4:$X$1463,"&gt;"&amp;$X106)+COUNTIFS($B$4:$B106,$B106,$X$4:$X106,"="&amp;$X106))</f>
        <v>26</v>
      </c>
      <c r="R106" s="72">
        <f>IF($C106="","",IF($I106="","",ROUND(COUNTIF($I$4:$I$1463,"&lt;"&amp;$I106)/COUNT($I$4:$I$1463),3)))</f>
        <v>0.83199999999999996</v>
      </c>
      <c r="S106" s="15" t="str">
        <f>IF($C106="","",IF($G106="","Name only",IF(OR($I106="",$L106=""),"Partial","Complete")))</f>
        <v>Complete</v>
      </c>
      <c r="T106" s="41" t="str">
        <f>IF($C106="","",TRIM(IF(COUNTIF($C$4:$C$1463,$C106)&gt;1,"Dup name; ","")&amp;IF(AND($G106&lt;&gt;"",$G106&lt;55000),"Low CR - verify; ","")&amp;IF(AND($L106&lt;&gt;"",$L106&gt;15),"Secondary - verify; ","")&amp;IF($E106="","No class; ","")))</f>
        <v/>
      </c>
      <c r="U106" s="68"/>
      <c r="V106" s="68"/>
      <c r="W106" s="68"/>
      <c r="X106" s="73">
        <f t="shared" si="7"/>
        <v>7032</v>
      </c>
      <c r="Y106" s="41" t="str">
        <f t="shared" si="8"/>
        <v>RECKONING|26</v>
      </c>
      <c r="Z106" s="15">
        <f>IF($C106="","",IF($G106="","",RANK($G106,$G$4:$G$1463)+COUNTIF($G$4:$G106,$G106)-1))</f>
        <v>997</v>
      </c>
      <c r="AA106" s="15">
        <f>IF($C106="","",IF($N106="","",RANK($N106,$N$4:$N$1463)+COUNTIF($N$4:$N106,$N106)-1))</f>
        <v>251</v>
      </c>
      <c r="AB106" s="41" t="str">
        <f>IF($C106="","",IF($E106="","",$E106&amp;"#"&amp;(COUNTIFS($E$4:$E$1463,$E106,$X$4:$X$1463,"&gt;"&amp;$X106)+COUNTIFS($E$4:$E106,$E106,$X$4:$X106,"="&amp;$X106))))</f>
        <v>CRUSADER#35</v>
      </c>
      <c r="AC106" s="41" t="str">
        <f>IF($C106="","",$B106&amp;"@"&amp;(COUNTIFS($B$4:$B$1463,$B106,$C$4:$C$1463,"&lt;"&amp;$C106)+COUNTIFS($B$4:$B106,$B106,$C$4:$C106,$C106)))</f>
        <v>RECKONING@10</v>
      </c>
      <c r="AD106" s="41">
        <f t="shared" si="9"/>
        <v>103</v>
      </c>
      <c r="AE106" s="41" t="s">
        <v>729</v>
      </c>
      <c r="AF106" s="73">
        <f t="shared" si="10"/>
        <v>61529</v>
      </c>
      <c r="AG106" s="74">
        <f t="shared" si="11"/>
        <v>6.5</v>
      </c>
      <c r="AH106" s="41" t="str">
        <f>IF($C106="","",$B106&amp;"|"&amp;(COUNTIFS($B$4:$B$1463,$B106,$AF$4:$AF$1463,"&gt;"&amp;$AF106)+COUNTIFS($B$4:$B106,$B106,$AF$4:$AF106,"="&amp;$AF106)))</f>
        <v>RECKONING|82</v>
      </c>
      <c r="AI106" s="41" t="str">
        <f>IF($C106="","",$B106&amp;"|"&amp;(COUNTIFS($B$4:$B$1463,$B106,$AG$4:$AG$1463,"&gt;"&amp;$AG106)+COUNTIFS($B$4:$B106,$B106,$AG$4:$AG106,"="&amp;$AG106)))</f>
        <v>RECKONING|29</v>
      </c>
    </row>
    <row r="107" spans="1:35" hidden="1">
      <c r="A107" s="69" t="s">
        <v>109</v>
      </c>
      <c r="B107" s="69" t="s">
        <v>113</v>
      </c>
      <c r="C107" s="63" t="s">
        <v>730</v>
      </c>
      <c r="D107" s="69" t="s">
        <v>548</v>
      </c>
      <c r="E107" s="68" t="s">
        <v>71</v>
      </c>
      <c r="F107" s="19" t="str">
        <f>IF($C107="","",IF($E107="","-",IFERROR(INDEX(SETUP!$B$55:$B$64,MATCH($E107,SETUP!$A$55:$A$64,0)),"Other")))</f>
        <v>Frontline</v>
      </c>
      <c r="G107" s="70">
        <v>60826</v>
      </c>
      <c r="H107" s="19" t="str">
        <f>IF($C107="","",IF($G107="","-",INDEX(SETUP!$B$26:$B$32,MATCH($G107,SETUP!$A$26:$A$32,1))))</f>
        <v>60,000 - 60,999</v>
      </c>
      <c r="I107" s="70">
        <v>2284</v>
      </c>
      <c r="J107" s="19" t="str">
        <f>IF($C107="","",IF($I107="","-",INDEX(SETUP!$B$16:$B$22,MATCH($I107,SETUP!$A$16:$A$22,1))))</f>
        <v>DEVELOPING</v>
      </c>
      <c r="K107" s="19" t="str">
        <f>IF($C107="","",IF($I107="","-",TEXT(INT($I107/1000)*1000,"#,##0")&amp;" - "&amp;TEXT(INT($I107/1000)*1000+999,"#,##0")))</f>
        <v>2,000 - 2,999</v>
      </c>
      <c r="L107" s="71">
        <v>4.05</v>
      </c>
      <c r="M107" s="19" t="str">
        <f>IF($C107="","",IF($L107="","-",INDEX(SETUP!$B$36:$B$42,MATCH($L107,SETUP!$A$36:$A$42,1))))</f>
        <v>4k - 5k</v>
      </c>
      <c r="N107" s="21">
        <f>IF($C107="","",IF(OR($G107="",$I107=""),"",ROUND(100*(SETUP!$B$4*MIN(1,$I107/SETUP!$B$9)+SETUP!$B$5*MAX(0,MIN(1,($G107-SETUP!$B$10)/(SETUP!$B$11-SETUP!$B$10)))+SETUP!$B$6*MIN(1,IF($L107="",0,$L107)/SETUP!$B$12)),1)))</f>
        <v>32.1</v>
      </c>
      <c r="O107" s="19" t="str">
        <f>IF($C107="","",IF($N107="","-",INDEX(SETUP!$B$46:$B$51,MATCH($N107,SETUP!$A$46:$A$51,1))))</f>
        <v>C</v>
      </c>
      <c r="P107" s="19">
        <f>IF($C107="","",IF($I107="","",RANK($I107,$I$4:$I$1463)+COUNTIF($I$4:$I107,$I107)-1))</f>
        <v>1049</v>
      </c>
      <c r="Q107" s="19">
        <f>IF($C107="","",COUNTIFS($B$4:$B$1463,$B107,$X$4:$X$1463,"&gt;"&amp;$X107)+COUNTIFS($B$4:$B107,$B107,$X$4:$X107,"="&amp;$X107))</f>
        <v>73</v>
      </c>
      <c r="R107" s="75">
        <f>IF($C107="","",IF($I107="","",ROUND(COUNTIF($I$4:$I$1463,"&lt;"&amp;$I107)/COUNT($I$4:$I$1463),3)))</f>
        <v>0.20799999999999999</v>
      </c>
      <c r="S107" s="19" t="str">
        <f>IF($C107="","",IF($G107="","Name only",IF(OR($I107="",$L107=""),"Partial","Complete")))</f>
        <v>Complete</v>
      </c>
      <c r="T107" s="1" t="str">
        <f>IF($C107="","",TRIM(IF(COUNTIF($C$4:$C$1463,$C107)&gt;1,"Dup name; ","")&amp;IF(AND($G107&lt;&gt;"",$G107&lt;55000),"Low CR - verify; ","")&amp;IF(AND($L107&lt;&gt;"",$L107&gt;15),"Secondary - verify; ","")&amp;IF($E107="","No class; ","")))</f>
        <v/>
      </c>
      <c r="U107" s="68"/>
      <c r="V107" s="68"/>
      <c r="W107" s="68"/>
      <c r="X107" s="76">
        <f t="shared" si="7"/>
        <v>2284</v>
      </c>
      <c r="Y107" s="1" t="str">
        <f t="shared" si="8"/>
        <v>INVICTUS|73</v>
      </c>
      <c r="Z107" s="19">
        <f>IF($C107="","",IF($G107="","",RANK($G107,$G$4:$G$1463)+COUNTIF($G$4:$G107,$G107)-1))</f>
        <v>1167</v>
      </c>
      <c r="AA107" s="19">
        <f>IF($C107="","",IF($N107="","",RANK($N107,$N$4:$N$1463)+COUNTIF($N$4:$N107,$N107)-1))</f>
        <v>1094</v>
      </c>
      <c r="AB107" s="1" t="str">
        <f>IF($C107="","",IF($E107="","",$E107&amp;"#"&amp;(COUNTIFS($E$4:$E$1463,$E107,$X$4:$X$1463,"&gt;"&amp;$X107)+COUNTIFS($E$4:$E107,$E107,$X$4:$X107,"="&amp;$X107))))</f>
        <v>BARBARIAN#179</v>
      </c>
      <c r="AC107" s="1" t="str">
        <f>IF($C107="","",$B107&amp;"@"&amp;(COUNTIFS($B$4:$B$1463,$B107,$C$4:$C$1463,"&lt;"&amp;$C107)+COUNTIFS($B$4:$B107,$B107,$C$4:$C107,$C107)))</f>
        <v>INVICTUS@9</v>
      </c>
      <c r="AD107" s="1">
        <f t="shared" si="9"/>
        <v>104</v>
      </c>
      <c r="AE107" s="1" t="s">
        <v>731</v>
      </c>
      <c r="AF107" s="76">
        <f t="shared" si="10"/>
        <v>60826</v>
      </c>
      <c r="AG107" s="77">
        <f t="shared" si="11"/>
        <v>4.05</v>
      </c>
      <c r="AH107" s="1" t="str">
        <f>IF($C107="","",$B107&amp;"|"&amp;(COUNTIFS($B$4:$B$1463,$B107,$AF$4:$AF$1463,"&gt;"&amp;$AF107)+COUNTIFS($B$4:$B107,$B107,$AF$4:$AF107,"="&amp;$AF107)))</f>
        <v>INVICTUS|88</v>
      </c>
      <c r="AI107" s="1" t="str">
        <f>IF($C107="","",$B107&amp;"|"&amp;(COUNTIFS($B$4:$B$1463,$B107,$AG$4:$AG$1463,"&gt;"&amp;$AG107)+COUNTIFS($B$4:$B107,$B107,$AG$4:$AG107,"="&amp;$AG107)))</f>
        <v>INVICTUS|56</v>
      </c>
    </row>
    <row r="108" spans="1:35" hidden="1">
      <c r="A108" s="69" t="s">
        <v>106</v>
      </c>
      <c r="B108" s="69" t="s">
        <v>107</v>
      </c>
      <c r="C108" s="63" t="s">
        <v>732</v>
      </c>
      <c r="D108" s="69"/>
      <c r="E108" s="68" t="s">
        <v>71</v>
      </c>
      <c r="F108" s="15" t="str">
        <f>IF($C108="","",IF($E108="","-",IFERROR(INDEX(SETUP!$B$55:$B$64,MATCH($E108,SETUP!$A$55:$A$64,0)),"Other")))</f>
        <v>Frontline</v>
      </c>
      <c r="G108" s="70">
        <v>63239</v>
      </c>
      <c r="H108" s="15" t="str">
        <f>IF($C108="","",IF($G108="","-",INDEX(SETUP!$B$26:$B$32,MATCH($G108,SETUP!$A$26:$A$32,1))))</f>
        <v>63,000 - 63,999</v>
      </c>
      <c r="I108" s="70">
        <v>4680</v>
      </c>
      <c r="J108" s="15" t="str">
        <f>IF($C108="","",IF($I108="","-",INDEX(SETUP!$B$16:$B$22,MATCH($I108,SETUP!$A$16:$A$22,1))))</f>
        <v>CORE</v>
      </c>
      <c r="K108" s="15" t="str">
        <f>IF($C108="","",IF($I108="","-",TEXT(INT($I108/1000)*1000,"#,##0")&amp;" - "&amp;TEXT(INT($I108/1000)*1000+999,"#,##0")))</f>
        <v>4,000 - 4,999</v>
      </c>
      <c r="L108" s="71">
        <v>4.9000000000000004</v>
      </c>
      <c r="M108" s="15" t="str">
        <f>IF($C108="","",IF($L108="","-",INDEX(SETUP!$B$36:$B$42,MATCH($L108,SETUP!$A$36:$A$42,1))))</f>
        <v>4k - 5k</v>
      </c>
      <c r="N108" s="17">
        <f>IF($C108="","",IF(OR($G108="",$I108=""),"",ROUND(100*(SETUP!$B$4*MIN(1,$I108/SETUP!$B$9)+SETUP!$B$5*MAX(0,MIN(1,($G108-SETUP!$B$10)/(SETUP!$B$11-SETUP!$B$10)))+SETUP!$B$6*MIN(1,IF($L108="",0,$L108)/SETUP!$B$12)),1)))</f>
        <v>50.3</v>
      </c>
      <c r="O108" s="15" t="str">
        <f>IF($C108="","",IF($N108="","-",INDEX(SETUP!$B$46:$B$51,MATCH($N108,SETUP!$A$46:$A$51,1))))</f>
        <v>A</v>
      </c>
      <c r="P108" s="15">
        <f>IF($C108="","",IF($I108="","",RANK($I108,$I$4:$I$1463)+COUNTIF($I$4:$I108,$I108)-1))</f>
        <v>459</v>
      </c>
      <c r="Q108" s="15">
        <f>IF($C108="","",COUNTIFS($B$4:$B$1463,$B108,$X$4:$X$1463,"&gt;"&amp;$X108)+COUNTIFS($B$4:$B108,$B108,$X$4:$X108,"="&amp;$X108))</f>
        <v>31</v>
      </c>
      <c r="R108" s="72">
        <f>IF($C108="","",IF($I108="","",ROUND(COUNTIF($I$4:$I$1463,"&lt;"&amp;$I108)/COUNT($I$4:$I$1463),3)))</f>
        <v>0.65300000000000002</v>
      </c>
      <c r="S108" s="15" t="str">
        <f>IF($C108="","",IF($G108="","Name only",IF(OR($I108="",$L108=""),"Partial","Complete")))</f>
        <v>Complete</v>
      </c>
      <c r="T108" s="41" t="str">
        <f>IF($C108="","",TRIM(IF(COUNTIF($C$4:$C$1463,$C108)&gt;1,"Dup name; ","")&amp;IF(AND($G108&lt;&gt;"",$G108&lt;55000),"Low CR - verify; ","")&amp;IF(AND($L108&lt;&gt;"",$L108&gt;15),"Secondary - verify; ","")&amp;IF($E108="","No class; ","")))</f>
        <v/>
      </c>
      <c r="U108" s="68"/>
      <c r="V108" s="68"/>
      <c r="W108" s="68"/>
      <c r="X108" s="73">
        <f t="shared" si="7"/>
        <v>4680</v>
      </c>
      <c r="Y108" s="41" t="str">
        <f t="shared" si="8"/>
        <v>UNDYING|31</v>
      </c>
      <c r="Z108" s="15">
        <f>IF($C108="","",IF($G108="","",RANK($G108,$G$4:$G$1463)+COUNTIF($G$4:$G108,$G108)-1))</f>
        <v>295</v>
      </c>
      <c r="AA108" s="15">
        <f>IF($C108="","",IF($N108="","",RANK($N108,$N$4:$N$1463)+COUNTIF($N$4:$N108,$N108)-1))</f>
        <v>448</v>
      </c>
      <c r="AB108" s="41" t="str">
        <f>IF($C108="","",IF($E108="","",$E108&amp;"#"&amp;(COUNTIFS($E$4:$E$1463,$E108,$X$4:$X$1463,"&gt;"&amp;$X108)+COUNTIFS($E$4:$E108,$E108,$X$4:$X108,"="&amp;$X108))))</f>
        <v>BARBARIAN#91</v>
      </c>
      <c r="AC108" s="41" t="str">
        <f>IF($C108="","",$B108&amp;"@"&amp;(COUNTIFS($B$4:$B$1463,$B108,$C$4:$C$1463,"&lt;"&amp;$C108)+COUNTIFS($B$4:$B108,$B108,$C$4:$C108,$C108)))</f>
        <v>UNDYING@10</v>
      </c>
      <c r="AD108" s="41">
        <f t="shared" si="9"/>
        <v>105</v>
      </c>
      <c r="AE108" s="41" t="s">
        <v>733</v>
      </c>
      <c r="AF108" s="73">
        <f t="shared" si="10"/>
        <v>63239</v>
      </c>
      <c r="AG108" s="74">
        <f t="shared" si="11"/>
        <v>4.9000000000000004</v>
      </c>
      <c r="AH108" s="41" t="str">
        <f>IF($C108="","",$B108&amp;"|"&amp;(COUNTIFS($B$4:$B$1463,$B108,$AF$4:$AF$1463,"&gt;"&amp;$AF108)+COUNTIFS($B$4:$B108,$B108,$AF$4:$AF108,"="&amp;$AF108)))</f>
        <v>UNDYING|29</v>
      </c>
      <c r="AI108" s="41" t="str">
        <f>IF($C108="","",$B108&amp;"|"&amp;(COUNTIFS($B$4:$B$1463,$B108,$AG$4:$AG$1463,"&gt;"&amp;$AG108)+COUNTIFS($B$4:$B108,$B108,$AG$4:$AG108,"="&amp;$AG108)))</f>
        <v>UNDYING|55</v>
      </c>
    </row>
    <row r="109" spans="1:35" hidden="1">
      <c r="A109" s="69" t="s">
        <v>109</v>
      </c>
      <c r="B109" s="69" t="s">
        <v>117</v>
      </c>
      <c r="C109" s="63" t="s">
        <v>734</v>
      </c>
      <c r="D109" s="69"/>
      <c r="E109" s="68" t="s">
        <v>71</v>
      </c>
      <c r="F109" s="19" t="str">
        <f>IF($C109="","",IF($E109="","-",IFERROR(INDEX(SETUP!$B$55:$B$64,MATCH($E109,SETUP!$A$55:$A$64,0)),"Other")))</f>
        <v>Frontline</v>
      </c>
      <c r="G109" s="70">
        <v>60914</v>
      </c>
      <c r="H109" s="19" t="str">
        <f>IF($C109="","",IF($G109="","-",INDEX(SETUP!$B$26:$B$32,MATCH($G109,SETUP!$A$26:$A$32,1))))</f>
        <v>60,000 - 60,999</v>
      </c>
      <c r="I109" s="70">
        <v>1526</v>
      </c>
      <c r="J109" s="19" t="str">
        <f>IF($C109="","",IF($I109="","-",INDEX(SETUP!$B$16:$B$22,MATCH($I109,SETUP!$A$16:$A$22,1))))</f>
        <v>ROOKIE</v>
      </c>
      <c r="K109" s="19" t="str">
        <f>IF($C109="","",IF($I109="","-",TEXT(INT($I109/1000)*1000,"#,##0")&amp;" - "&amp;TEXT(INT($I109/1000)*1000+999,"#,##0")))</f>
        <v>1,000 - 1,999</v>
      </c>
      <c r="L109" s="71">
        <v>3.7</v>
      </c>
      <c r="M109" s="19" t="str">
        <f>IF($C109="","",IF($L109="","-",INDEX(SETUP!$B$36:$B$42,MATCH($L109,SETUP!$A$36:$A$42,1))))</f>
        <v>3k - 4k</v>
      </c>
      <c r="N109" s="21">
        <f>IF($C109="","",IF(OR($G109="",$I109=""),"",ROUND(100*(SETUP!$B$4*MIN(1,$I109/SETUP!$B$9)+SETUP!$B$5*MAX(0,MIN(1,($G109-SETUP!$B$10)/(SETUP!$B$11-SETUP!$B$10)))+SETUP!$B$6*MIN(1,IF($L109="",0,$L109)/SETUP!$B$12)),1)))</f>
        <v>28.4</v>
      </c>
      <c r="O109" s="19" t="str">
        <f>IF($C109="","",IF($N109="","-",INDEX(SETUP!$B$46:$B$51,MATCH($N109,SETUP!$A$46:$A$51,1))))</f>
        <v>C</v>
      </c>
      <c r="P109" s="19">
        <f>IF($C109="","",IF($I109="","",RANK($I109,$I$4:$I$1463)+COUNTIF($I$4:$I109,$I109)-1))</f>
        <v>1184</v>
      </c>
      <c r="Q109" s="19">
        <f>IF($C109="","",COUNTIFS($B$4:$B$1463,$B109,$X$4:$X$1463,"&gt;"&amp;$X109)+COUNTIFS($B$4:$B109,$B109,$X$4:$X109,"="&amp;$X109))</f>
        <v>63</v>
      </c>
      <c r="R109" s="75">
        <f>IF($C109="","",IF($I109="","",ROUND(COUNTIF($I$4:$I$1463,"&lt;"&amp;$I109)/COUNT($I$4:$I$1463),3)))</f>
        <v>0.106</v>
      </c>
      <c r="S109" s="19" t="str">
        <f>IF($C109="","",IF($G109="","Name only",IF(OR($I109="",$L109=""),"Partial","Complete")))</f>
        <v>Complete</v>
      </c>
      <c r="T109" s="1" t="str">
        <f>IF($C109="","",TRIM(IF(COUNTIF($C$4:$C$1463,$C109)&gt;1,"Dup name; ","")&amp;IF(AND($G109&lt;&gt;"",$G109&lt;55000),"Low CR - verify; ","")&amp;IF(AND($L109&lt;&gt;"",$L109&gt;15),"Secondary - verify; ","")&amp;IF($E109="","No class; ","")))</f>
        <v/>
      </c>
      <c r="U109" s="68"/>
      <c r="V109" s="68"/>
      <c r="W109" s="68"/>
      <c r="X109" s="76">
        <f t="shared" si="7"/>
        <v>1526</v>
      </c>
      <c r="Y109" s="1" t="str">
        <f t="shared" si="8"/>
        <v>VENDETTA|63</v>
      </c>
      <c r="Z109" s="19">
        <f>IF($C109="","",IF($G109="","",RANK($G109,$G$4:$G$1463)+COUNTIF($G$4:$G109,$G109)-1))</f>
        <v>1149</v>
      </c>
      <c r="AA109" s="19">
        <f>IF($C109="","",IF($N109="","",RANK($N109,$N$4:$N$1463)+COUNTIF($N$4:$N109,$N109)-1))</f>
        <v>1183</v>
      </c>
      <c r="AB109" s="1" t="str">
        <f>IF($C109="","",IF($E109="","",$E109&amp;"#"&amp;(COUNTIFS($E$4:$E$1463,$E109,$X$4:$X$1463,"&gt;"&amp;$X109)+COUNTIFS($E$4:$E109,$E109,$X$4:$X109,"="&amp;$X109))))</f>
        <v>BARBARIAN#200</v>
      </c>
      <c r="AC109" s="1" t="str">
        <f>IF($C109="","",$B109&amp;"@"&amp;(COUNTIFS($B$4:$B$1463,$B109,$C$4:$C$1463,"&lt;"&amp;$C109)+COUNTIFS($B$4:$B109,$B109,$C$4:$C109,$C109)))</f>
        <v>VENDETTA@12</v>
      </c>
      <c r="AD109" s="1">
        <f t="shared" si="9"/>
        <v>106</v>
      </c>
      <c r="AE109" s="1" t="s">
        <v>735</v>
      </c>
      <c r="AF109" s="76">
        <f t="shared" si="10"/>
        <v>60914</v>
      </c>
      <c r="AG109" s="77">
        <f t="shared" si="11"/>
        <v>3.7</v>
      </c>
      <c r="AH109" s="1" t="str">
        <f>IF($C109="","",$B109&amp;"|"&amp;(COUNTIFS($B$4:$B$1463,$B109,$AF$4:$AF$1463,"&gt;"&amp;$AF109)+COUNTIFS($B$4:$B109,$B109,$AF$4:$AF109,"="&amp;$AF109)))</f>
        <v>VENDETTA|68</v>
      </c>
      <c r="AI109" s="1" t="str">
        <f>IF($C109="","",$B109&amp;"|"&amp;(COUNTIFS($B$4:$B$1463,$B109,$AG$4:$AG$1463,"&gt;"&amp;$AG109)+COUNTIFS($B$4:$B109,$B109,$AG$4:$AG109,"="&amp;$AG109)))</f>
        <v>VENDETTA|47</v>
      </c>
    </row>
    <row r="110" spans="1:35" hidden="1">
      <c r="A110" s="69" t="s">
        <v>109</v>
      </c>
      <c r="B110" s="69" t="s">
        <v>111</v>
      </c>
      <c r="C110" s="63" t="s">
        <v>736</v>
      </c>
      <c r="D110" s="69" t="s">
        <v>527</v>
      </c>
      <c r="E110" s="68" t="s">
        <v>73</v>
      </c>
      <c r="F110" s="15" t="str">
        <f>IF($C110="","",IF($E110="","-",IFERROR(INDEX(SETUP!$B$55:$B$64,MATCH($E110,SETUP!$A$55:$A$64,0)),"Other")))</f>
        <v>Frontline</v>
      </c>
      <c r="G110" s="70">
        <v>62955</v>
      </c>
      <c r="H110" s="15" t="str">
        <f>IF($C110="","",IF($G110="","-",INDEX(SETUP!$B$26:$B$32,MATCH($G110,SETUP!$A$26:$A$32,1))))</f>
        <v>62,000 - 62,999</v>
      </c>
      <c r="I110" s="70">
        <v>9033</v>
      </c>
      <c r="J110" s="15" t="str">
        <f>IF($C110="","",IF($I110="","-",INDEX(SETUP!$B$16:$B$22,MATCH($I110,SETUP!$A$16:$A$22,1))))</f>
        <v>ELITE</v>
      </c>
      <c r="K110" s="15" t="str">
        <f>IF($C110="","",IF($I110="","-",TEXT(INT($I110/1000)*1000,"#,##0")&amp;" - "&amp;TEXT(INT($I110/1000)*1000+999,"#,##0")))</f>
        <v>9,000 - 9,999</v>
      </c>
      <c r="L110" s="71">
        <v>7.7</v>
      </c>
      <c r="M110" s="15" t="str">
        <f>IF($C110="","",IF($L110="","-",INDEX(SETUP!$B$36:$B$42,MATCH($L110,SETUP!$A$36:$A$42,1))))</f>
        <v>6k - 8k</v>
      </c>
      <c r="N110" s="17">
        <f>IF($C110="","",IF(OR($G110="",$I110=""),"",ROUND(100*(SETUP!$B$4*MIN(1,$I110/SETUP!$B$9)+SETUP!$B$5*MAX(0,MIN(1,($G110-SETUP!$B$10)/(SETUP!$B$11-SETUP!$B$10)))+SETUP!$B$6*MIN(1,IF($L110="",0,$L110)/SETUP!$B$12)),1)))</f>
        <v>73.2</v>
      </c>
      <c r="O110" s="15" t="str">
        <f>IF($C110="","",IF($N110="","-",INDEX(SETUP!$B$46:$B$51,MATCH($N110,SETUP!$A$46:$A$51,1))))</f>
        <v>S</v>
      </c>
      <c r="P110" s="15">
        <f>IF($C110="","",IF($I110="","",RANK($I110,$I$4:$I$1463)+COUNTIF($I$4:$I110,$I110)-1))</f>
        <v>92</v>
      </c>
      <c r="Q110" s="15">
        <f>IF($C110="","",COUNTIFS($B$4:$B$1463,$B110,$X$4:$X$1463,"&gt;"&amp;$X110)+COUNTIFS($B$4:$B110,$B110,$X$4:$X110,"="&amp;$X110))</f>
        <v>14</v>
      </c>
      <c r="R110" s="72">
        <f>IF($C110="","",IF($I110="","",ROUND(COUNTIF($I$4:$I$1463,"&lt;"&amp;$I110)/COUNT($I$4:$I$1463),3)))</f>
        <v>0.93100000000000005</v>
      </c>
      <c r="S110" s="15" t="str">
        <f>IF($C110="","",IF($G110="","Name only",IF(OR($I110="",$L110=""),"Partial","Complete")))</f>
        <v>Complete</v>
      </c>
      <c r="T110" s="41" t="str">
        <f>IF($C110="","",TRIM(IF(COUNTIF($C$4:$C$1463,$C110)&gt;1,"Dup name; ","")&amp;IF(AND($G110&lt;&gt;"",$G110&lt;55000),"Low CR - verify; ","")&amp;IF(AND($L110&lt;&gt;"",$L110&gt;15),"Secondary - verify; ","")&amp;IF($E110="","No class; ","")))</f>
        <v/>
      </c>
      <c r="U110" s="68"/>
      <c r="V110" s="68"/>
      <c r="W110" s="68"/>
      <c r="X110" s="73">
        <f t="shared" si="7"/>
        <v>9033</v>
      </c>
      <c r="Y110" s="41" t="str">
        <f t="shared" si="8"/>
        <v>RECKONING|14</v>
      </c>
      <c r="Z110" s="15">
        <f>IF($C110="","",IF($G110="","",RANK($G110,$G$4:$G$1463)+COUNTIF($G$4:$G110,$G110)-1))</f>
        <v>448</v>
      </c>
      <c r="AA110" s="15">
        <f>IF($C110="","",IF($N110="","",RANK($N110,$N$4:$N$1463)+COUNTIF($N$4:$N110,$N110)-1))</f>
        <v>105</v>
      </c>
      <c r="AB110" s="41" t="str">
        <f>IF($C110="","",IF($E110="","",$E110&amp;"#"&amp;(COUNTIFS($E$4:$E$1463,$E110,$X$4:$X$1463,"&gt;"&amp;$X110)+COUNTIFS($E$4:$E110,$E110,$X$4:$X110,"="&amp;$X110))))</f>
        <v>CRUSADER#17</v>
      </c>
      <c r="AC110" s="41" t="str">
        <f>IF($C110="","",$B110&amp;"@"&amp;(COUNTIFS($B$4:$B$1463,$B110,$C$4:$C$1463,"&lt;"&amp;$C110)+COUNTIFS($B$4:$B110,$B110,$C$4:$C110,$C110)))</f>
        <v>RECKONING@11</v>
      </c>
      <c r="AD110" s="41">
        <f t="shared" si="9"/>
        <v>107</v>
      </c>
      <c r="AE110" s="41" t="s">
        <v>737</v>
      </c>
      <c r="AF110" s="73">
        <f t="shared" si="10"/>
        <v>62955</v>
      </c>
      <c r="AG110" s="74">
        <f t="shared" si="11"/>
        <v>7.7</v>
      </c>
      <c r="AH110" s="41" t="str">
        <f>IF($C110="","",$B110&amp;"|"&amp;(COUNTIFS($B$4:$B$1463,$B110,$AF$4:$AF$1463,"&gt;"&amp;$AF110)+COUNTIFS($B$4:$B110,$B110,$AF$4:$AF110,"="&amp;$AF110)))</f>
        <v>RECKONING|45</v>
      </c>
      <c r="AI110" s="41" t="str">
        <f>IF($C110="","",$B110&amp;"|"&amp;(COUNTIFS($B$4:$B$1463,$B110,$AG$4:$AG$1463,"&gt;"&amp;$AG110)+COUNTIFS($B$4:$B110,$B110,$AG$4:$AG110,"="&amp;$AG110)))</f>
        <v>RECKONING|16</v>
      </c>
    </row>
    <row r="111" spans="1:35" hidden="1">
      <c r="A111" s="69" t="s">
        <v>109</v>
      </c>
      <c r="B111" s="69" t="s">
        <v>114</v>
      </c>
      <c r="C111" s="63" t="s">
        <v>738</v>
      </c>
      <c r="D111" s="69"/>
      <c r="E111" s="68" t="s">
        <v>79</v>
      </c>
      <c r="F111" s="19" t="str">
        <f>IF($C111="","",IF($E111="","-",IFERROR(INDEX(SETUP!$B$55:$B$64,MATCH($E111,SETUP!$A$55:$A$64,0)),"Other")))</f>
        <v>Control</v>
      </c>
      <c r="G111" s="70">
        <v>60751</v>
      </c>
      <c r="H111" s="19" t="str">
        <f>IF($C111="","",IF($G111="","-",INDEX(SETUP!$B$26:$B$32,MATCH($G111,SETUP!$A$26:$A$32,1))))</f>
        <v>60,000 - 60,999</v>
      </c>
      <c r="I111" s="70">
        <v>840</v>
      </c>
      <c r="J111" s="19" t="str">
        <f>IF($C111="","",IF($I111="","-",INDEX(SETUP!$B$16:$B$22,MATCH($I111,SETUP!$A$16:$A$22,1))))</f>
        <v>ROOKIE</v>
      </c>
      <c r="K111" s="19" t="str">
        <f>IF($C111="","",IF($I111="","-",TEXT(INT($I111/1000)*1000,"#,##0")&amp;" - "&amp;TEXT(INT($I111/1000)*1000+999,"#,##0")))</f>
        <v>0 - 999</v>
      </c>
      <c r="L111" s="71">
        <v>3.3</v>
      </c>
      <c r="M111" s="19" t="str">
        <f>IF($C111="","",IF($L111="","-",INDEX(SETUP!$B$36:$B$42,MATCH($L111,SETUP!$A$36:$A$42,1))))</f>
        <v>3k - 4k</v>
      </c>
      <c r="N111" s="21">
        <f>IF($C111="","",IF(OR($G111="",$I111=""),"",ROUND(100*(SETUP!$B$4*MIN(1,$I111/SETUP!$B$9)+SETUP!$B$5*MAX(0,MIN(1,($G111-SETUP!$B$10)/(SETUP!$B$11-SETUP!$B$10)))+SETUP!$B$6*MIN(1,IF($L111="",0,$L111)/SETUP!$B$12)),1)))</f>
        <v>24.3</v>
      </c>
      <c r="O111" s="19" t="str">
        <f>IF($C111="","",IF($N111="","-",INDEX(SETUP!$B$46:$B$51,MATCH($N111,SETUP!$A$46:$A$51,1))))</f>
        <v>C</v>
      </c>
      <c r="P111" s="19">
        <f>IF($C111="","",IF($I111="","",RANK($I111,$I$4:$I$1463)+COUNTIF($I$4:$I111,$I111)-1))</f>
        <v>1292</v>
      </c>
      <c r="Q111" s="19">
        <f>IF($C111="","",COUNTIFS($B$4:$B$1463,$B111,$X$4:$X$1463,"&gt;"&amp;$X111)+COUNTIFS($B$4:$B111,$B111,$X$4:$X111,"="&amp;$X111))</f>
        <v>88</v>
      </c>
      <c r="R111" s="75">
        <f>IF($C111="","",IF($I111="","",ROUND(COUNTIF($I$4:$I$1463,"&lt;"&amp;$I111)/COUNT($I$4:$I$1463),3)))</f>
        <v>2.5000000000000001E-2</v>
      </c>
      <c r="S111" s="19" t="str">
        <f>IF($C111="","",IF($G111="","Name only",IF(OR($I111="",$L111=""),"Partial","Complete")))</f>
        <v>Complete</v>
      </c>
      <c r="T111" s="1" t="str">
        <f>IF($C111="","",TRIM(IF(COUNTIF($C$4:$C$1463,$C111)&gt;1,"Dup name; ","")&amp;IF(AND($G111&lt;&gt;"",$G111&lt;55000),"Low CR - verify; ","")&amp;IF(AND($L111&lt;&gt;"",$L111&gt;15),"Secondary - verify; ","")&amp;IF($E111="","No class; ","")))</f>
        <v/>
      </c>
      <c r="U111" s="68"/>
      <c r="V111" s="68"/>
      <c r="W111" s="68"/>
      <c r="X111" s="76">
        <f t="shared" si="7"/>
        <v>840</v>
      </c>
      <c r="Y111" s="1" t="str">
        <f t="shared" si="8"/>
        <v>EMERALD LEAF TRIBE|88</v>
      </c>
      <c r="Z111" s="19">
        <f>IF($C111="","",IF($G111="","",RANK($G111,$G$4:$G$1463)+COUNTIF($G$4:$G111,$G111)-1))</f>
        <v>1177</v>
      </c>
      <c r="AA111" s="19">
        <f>IF($C111="","",IF($N111="","",RANK($N111,$N$4:$N$1463)+COUNTIF($N$4:$N111,$N111)-1))</f>
        <v>1253</v>
      </c>
      <c r="AB111" s="1" t="str">
        <f>IF($C111="","",IF($E111="","",$E111&amp;"#"&amp;(COUNTIFS($E$4:$E$1463,$E111,$X$4:$X$1463,"&gt;"&amp;$X111)+COUNTIFS($E$4:$E111,$E111,$X$4:$X111,"="&amp;$X111))))</f>
        <v>WARLOCK#318</v>
      </c>
      <c r="AC111" s="1" t="str">
        <f>IF($C111="","",$B111&amp;"@"&amp;(COUNTIFS($B$4:$B$1463,$B111,$C$4:$C$1463,"&lt;"&amp;$C111)+COUNTIFS($B$4:$B111,$B111,$C$4:$C111,$C111)))</f>
        <v>EMERALD LEAF TRIBE@4</v>
      </c>
      <c r="AD111" s="1">
        <f t="shared" si="9"/>
        <v>108</v>
      </c>
      <c r="AE111" s="1" t="s">
        <v>739</v>
      </c>
      <c r="AF111" s="76">
        <f t="shared" si="10"/>
        <v>60751</v>
      </c>
      <c r="AG111" s="77">
        <f t="shared" si="11"/>
        <v>3.3</v>
      </c>
      <c r="AH111" s="1" t="str">
        <f>IF($C111="","",$B111&amp;"|"&amp;(COUNTIFS($B$4:$B$1463,$B111,$AF$4:$AF$1463,"&gt;"&amp;$AF111)+COUNTIFS($B$4:$B111,$B111,$AF$4:$AF111,"="&amp;$AF111)))</f>
        <v>EMERALD LEAF TRIBE|64</v>
      </c>
      <c r="AI111" s="1" t="str">
        <f>IF($C111="","",$B111&amp;"|"&amp;(COUNTIFS($B$4:$B$1463,$B111,$AG$4:$AG$1463,"&gt;"&amp;$AG111)+COUNTIFS($B$4:$B111,$B111,$AG$4:$AG111,"="&amp;$AG111)))</f>
        <v>EMERALD LEAF TRIBE|63</v>
      </c>
    </row>
    <row r="112" spans="1:35" hidden="1">
      <c r="A112" s="69" t="s">
        <v>106</v>
      </c>
      <c r="B112" s="69" t="s">
        <v>107</v>
      </c>
      <c r="C112" s="63" t="s">
        <v>740</v>
      </c>
      <c r="D112" s="69"/>
      <c r="E112" s="68" t="s">
        <v>74</v>
      </c>
      <c r="F112" s="15" t="str">
        <f>IF($C112="","",IF($E112="","-",IFERROR(INDEX(SETUP!$B$55:$B$64,MATCH($E112,SETUP!$A$55:$A$64,0)),"Other")))</f>
        <v>Ranged DPS</v>
      </c>
      <c r="G112" s="70">
        <v>63151</v>
      </c>
      <c r="H112" s="15" t="str">
        <f>IF($C112="","",IF($G112="","-",INDEX(SETUP!$B$26:$B$32,MATCH($G112,SETUP!$A$26:$A$32,1))))</f>
        <v>63,000 - 63,999</v>
      </c>
      <c r="I112" s="70">
        <v>3309</v>
      </c>
      <c r="J112" s="15" t="str">
        <f>IF($C112="","",IF($I112="","-",INDEX(SETUP!$B$16:$B$22,MATCH($I112,SETUP!$A$16:$A$22,1))))</f>
        <v>DEVELOPING</v>
      </c>
      <c r="K112" s="15" t="str">
        <f>IF($C112="","",IF($I112="","-",TEXT(INT($I112/1000)*1000,"#,##0")&amp;" - "&amp;TEXT(INT($I112/1000)*1000+999,"#,##0")))</f>
        <v>3,000 - 3,999</v>
      </c>
      <c r="L112" s="71">
        <v>6.7</v>
      </c>
      <c r="M112" s="15" t="str">
        <f>IF($C112="","",IF($L112="","-",INDEX(SETUP!$B$36:$B$42,MATCH($L112,SETUP!$A$36:$A$42,1))))</f>
        <v>6k - 8k</v>
      </c>
      <c r="N112" s="17">
        <f>IF($C112="","",IF(OR($G112="",$I112=""),"",ROUND(100*(SETUP!$B$4*MIN(1,$I112/SETUP!$B$9)+SETUP!$B$5*MAX(0,MIN(1,($G112-SETUP!$B$10)/(SETUP!$B$11-SETUP!$B$10)))+SETUP!$B$6*MIN(1,IF($L112="",0,$L112)/SETUP!$B$12)),1)))</f>
        <v>47.1</v>
      </c>
      <c r="O112" s="15" t="str">
        <f>IF($C112="","",IF($N112="","-",INDEX(SETUP!$B$46:$B$51,MATCH($N112,SETUP!$A$46:$A$51,1))))</f>
        <v>B</v>
      </c>
      <c r="P112" s="15">
        <f>IF($C112="","",IF($I112="","",RANK($I112,$I$4:$I$1463)+COUNTIF($I$4:$I112,$I112)-1))</f>
        <v>786</v>
      </c>
      <c r="Q112" s="15">
        <f>IF($C112="","",COUNTIFS($B$4:$B$1463,$B112,$X$4:$X$1463,"&gt;"&amp;$X112)+COUNTIFS($B$4:$B112,$B112,$X$4:$X112,"="&amp;$X112))</f>
        <v>75</v>
      </c>
      <c r="R112" s="72">
        <f>IF($C112="","",IF($I112="","",ROUND(COUNTIF($I$4:$I$1463,"&lt;"&amp;$I112)/COUNT($I$4:$I$1463),3)))</f>
        <v>0.40699999999999997</v>
      </c>
      <c r="S112" s="15" t="str">
        <f>IF($C112="","",IF($G112="","Name only",IF(OR($I112="",$L112=""),"Partial","Complete")))</f>
        <v>Complete</v>
      </c>
      <c r="T112" s="41" t="str">
        <f>IF($C112="","",TRIM(IF(COUNTIF($C$4:$C$1463,$C112)&gt;1,"Dup name; ","")&amp;IF(AND($G112&lt;&gt;"",$G112&lt;55000),"Low CR - verify; ","")&amp;IF(AND($L112&lt;&gt;"",$L112&gt;15),"Secondary - verify; ","")&amp;IF($E112="","No class; ","")))</f>
        <v/>
      </c>
      <c r="U112" s="68"/>
      <c r="V112" s="68"/>
      <c r="W112" s="68"/>
      <c r="X112" s="73">
        <f t="shared" si="7"/>
        <v>3309</v>
      </c>
      <c r="Y112" s="41" t="str">
        <f t="shared" si="8"/>
        <v>UNDYING|75</v>
      </c>
      <c r="Z112" s="15">
        <f>IF($C112="","",IF($G112="","",RANK($G112,$G$4:$G$1463)+COUNTIF($G$4:$G112,$G112)-1))</f>
        <v>344</v>
      </c>
      <c r="AA112" s="15">
        <f>IF($C112="","",IF($N112="","",RANK($N112,$N$4:$N$1463)+COUNTIF($N$4:$N112,$N112)-1))</f>
        <v>549</v>
      </c>
      <c r="AB112" s="41" t="str">
        <f>IF($C112="","",IF($E112="","",$E112&amp;"#"&amp;(COUNTIFS($E$4:$E$1463,$E112,$X$4:$X$1463,"&gt;"&amp;$X112)+COUNTIFS($E$4:$E112,$E112,$X$4:$X112,"="&amp;$X112))))</f>
        <v>DEMON HUNTER#126</v>
      </c>
      <c r="AC112" s="41" t="str">
        <f>IF($C112="","",$B112&amp;"@"&amp;(COUNTIFS($B$4:$B$1463,$B112,$C$4:$C$1463,"&lt;"&amp;$C112)+COUNTIFS($B$4:$B112,$B112,$C$4:$C112,$C112)))</f>
        <v>UNDYING@11</v>
      </c>
      <c r="AD112" s="41">
        <f t="shared" si="9"/>
        <v>109</v>
      </c>
      <c r="AE112" s="41" t="s">
        <v>741</v>
      </c>
      <c r="AF112" s="73">
        <f t="shared" si="10"/>
        <v>63151</v>
      </c>
      <c r="AG112" s="74">
        <f t="shared" si="11"/>
        <v>6.7</v>
      </c>
      <c r="AH112" s="41" t="str">
        <f>IF($C112="","",$B112&amp;"|"&amp;(COUNTIFS($B$4:$B$1463,$B112,$AF$4:$AF$1463,"&gt;"&amp;$AF112)+COUNTIFS($B$4:$B112,$B112,$AF$4:$AF112,"="&amp;$AF112)))</f>
        <v>UNDYING|35</v>
      </c>
      <c r="AI112" s="41" t="str">
        <f>IF($C112="","",$B112&amp;"|"&amp;(COUNTIFS($B$4:$B$1463,$B112,$AG$4:$AG$1463,"&gt;"&amp;$AG112)+COUNTIFS($B$4:$B112,$B112,$AG$4:$AG112,"="&amp;$AG112)))</f>
        <v>UNDYING|10</v>
      </c>
    </row>
    <row r="113" spans="1:35" hidden="1">
      <c r="A113" s="69" t="s">
        <v>109</v>
      </c>
      <c r="B113" s="69" t="s">
        <v>117</v>
      </c>
      <c r="C113" s="63" t="s">
        <v>742</v>
      </c>
      <c r="D113" s="69"/>
      <c r="E113" s="68" t="s">
        <v>71</v>
      </c>
      <c r="F113" s="19" t="str">
        <f>IF($C113="","",IF($E113="","-",IFERROR(INDEX(SETUP!$B$55:$B$64,MATCH($E113,SETUP!$A$55:$A$64,0)),"Other")))</f>
        <v>Frontline</v>
      </c>
      <c r="G113" s="70">
        <v>61998</v>
      </c>
      <c r="H113" s="19" t="str">
        <f>IF($C113="","",IF($G113="","-",INDEX(SETUP!$B$26:$B$32,MATCH($G113,SETUP!$A$26:$A$32,1))))</f>
        <v>61,000 - 61,999</v>
      </c>
      <c r="I113" s="70">
        <v>3219</v>
      </c>
      <c r="J113" s="19" t="str">
        <f>IF($C113="","",IF($I113="","-",INDEX(SETUP!$B$16:$B$22,MATCH($I113,SETUP!$A$16:$A$22,1))))</f>
        <v>DEVELOPING</v>
      </c>
      <c r="K113" s="19" t="str">
        <f>IF($C113="","",IF($I113="","-",TEXT(INT($I113/1000)*1000,"#,##0")&amp;" - "&amp;TEXT(INT($I113/1000)*1000+999,"#,##0")))</f>
        <v>3,000 - 3,999</v>
      </c>
      <c r="L113" s="71">
        <v>5.0999999999999996</v>
      </c>
      <c r="M113" s="19" t="str">
        <f>IF($C113="","",IF($L113="","-",INDEX(SETUP!$B$36:$B$42,MATCH($L113,SETUP!$A$36:$A$42,1))))</f>
        <v>5k - 6k</v>
      </c>
      <c r="N113" s="21">
        <f>IF($C113="","",IF(OR($G113="",$I113=""),"",ROUND(100*(SETUP!$B$4*MIN(1,$I113/SETUP!$B$9)+SETUP!$B$5*MAX(0,MIN(1,($G113-SETUP!$B$10)/(SETUP!$B$11-SETUP!$B$10)))+SETUP!$B$6*MIN(1,IF($L113="",0,$L113)/SETUP!$B$12)),1)))</f>
        <v>41</v>
      </c>
      <c r="O113" s="19" t="str">
        <f>IF($C113="","",IF($N113="","-",INDEX(SETUP!$B$46:$B$51,MATCH($N113,SETUP!$A$46:$A$51,1))))</f>
        <v>B</v>
      </c>
      <c r="P113" s="19">
        <f>IF($C113="","",IF($I113="","",RANK($I113,$I$4:$I$1463)+COUNTIF($I$4:$I113,$I113)-1))</f>
        <v>817</v>
      </c>
      <c r="Q113" s="19">
        <f>IF($C113="","",COUNTIFS($B$4:$B$1463,$B113,$X$4:$X$1463,"&gt;"&amp;$X113)+COUNTIFS($B$4:$B113,$B113,$X$4:$X113,"="&amp;$X113))</f>
        <v>11</v>
      </c>
      <c r="R113" s="75">
        <f>IF($C113="","",IF($I113="","",ROUND(COUNTIF($I$4:$I$1463,"&lt;"&amp;$I113)/COUNT($I$4:$I$1463),3)))</f>
        <v>0.38300000000000001</v>
      </c>
      <c r="S113" s="19" t="str">
        <f>IF($C113="","",IF($G113="","Name only",IF(OR($I113="",$L113=""),"Partial","Complete")))</f>
        <v>Complete</v>
      </c>
      <c r="T113" s="1" t="str">
        <f>IF($C113="","",TRIM(IF(COUNTIF($C$4:$C$1463,$C113)&gt;1,"Dup name; ","")&amp;IF(AND($G113&lt;&gt;"",$G113&lt;55000),"Low CR - verify; ","")&amp;IF(AND($L113&lt;&gt;"",$L113&gt;15),"Secondary - verify; ","")&amp;IF($E113="","No class; ","")))</f>
        <v/>
      </c>
      <c r="U113" s="68"/>
      <c r="V113" s="68"/>
      <c r="W113" s="68"/>
      <c r="X113" s="76">
        <f t="shared" si="7"/>
        <v>3219</v>
      </c>
      <c r="Y113" s="1" t="str">
        <f t="shared" si="8"/>
        <v>VENDETTA|11</v>
      </c>
      <c r="Z113" s="19">
        <f>IF($C113="","",IF($G113="","",RANK($G113,$G$4:$G$1463)+COUNTIF($G$4:$G113,$G113)-1))</f>
        <v>839</v>
      </c>
      <c r="AA113" s="19">
        <f>IF($C113="","",IF($N113="","",RANK($N113,$N$4:$N$1463)+COUNTIF($N$4:$N113,$N113)-1))</f>
        <v>775</v>
      </c>
      <c r="AB113" s="1" t="str">
        <f>IF($C113="","",IF($E113="","",$E113&amp;"#"&amp;(COUNTIFS($E$4:$E$1463,$E113,$X$4:$X$1463,"&gt;"&amp;$X113)+COUNTIFS($E$4:$E113,$E113,$X$4:$X113,"="&amp;$X113))))</f>
        <v>BARBARIAN#146</v>
      </c>
      <c r="AC113" s="1" t="str">
        <f>IF($C113="","",$B113&amp;"@"&amp;(COUNTIFS($B$4:$B$1463,$B113,$C$4:$C$1463,"&lt;"&amp;$C113)+COUNTIFS($B$4:$B113,$B113,$C$4:$C113,$C113)))</f>
        <v>VENDETTA@13</v>
      </c>
      <c r="AD113" s="1">
        <f t="shared" si="9"/>
        <v>110</v>
      </c>
      <c r="AE113" s="1" t="s">
        <v>743</v>
      </c>
      <c r="AF113" s="76">
        <f t="shared" si="10"/>
        <v>61998</v>
      </c>
      <c r="AG113" s="77">
        <f t="shared" si="11"/>
        <v>5.0999999999999996</v>
      </c>
      <c r="AH113" s="1" t="str">
        <f>IF($C113="","",$B113&amp;"|"&amp;(COUNTIFS($B$4:$B$1463,$B113,$AF$4:$AF$1463,"&gt;"&amp;$AF113)+COUNTIFS($B$4:$B113,$B113,$AF$4:$AF113,"="&amp;$AF113)))</f>
        <v>VENDETTA|39</v>
      </c>
      <c r="AI113" s="1" t="str">
        <f>IF($C113="","",$B113&amp;"|"&amp;(COUNTIFS($B$4:$B$1463,$B113,$AG$4:$AG$1463,"&gt;"&amp;$AG113)+COUNTIFS($B$4:$B113,$B113,$AG$4:$AG113,"="&amp;$AG113)))</f>
        <v>VENDETTA|8</v>
      </c>
    </row>
    <row r="114" spans="1:35">
      <c r="A114" s="69" t="s">
        <v>104</v>
      </c>
      <c r="B114" s="69" t="s">
        <v>66</v>
      </c>
      <c r="C114" s="63" t="s">
        <v>722</v>
      </c>
      <c r="D114" s="69"/>
      <c r="E114" s="68" t="s">
        <v>71</v>
      </c>
      <c r="F114" s="19" t="str">
        <f>IF($C114="","",IF($E114="","-",IFERROR(INDEX(SETUP!$B$55:$B$64,MATCH($E114,SETUP!$A$55:$A$64,0)),"Other")))</f>
        <v>Frontline</v>
      </c>
      <c r="G114" s="70">
        <v>63395</v>
      </c>
      <c r="H114" s="19" t="str">
        <f>IF($C114="","",IF($G114="","-",INDEX(SETUP!$B$26:$B$32,MATCH($G114,SETUP!$A$26:$A$32,1))))</f>
        <v>63,000 - 63,999</v>
      </c>
      <c r="I114" s="70">
        <v>4306</v>
      </c>
      <c r="J114" s="19" t="str">
        <f>IF($C114="","",IF($I114="","-",INDEX(SETUP!$B$16:$B$22,MATCH($I114,SETUP!$A$16:$A$22,1))))</f>
        <v>CORE</v>
      </c>
      <c r="K114" s="19" t="str">
        <f>IF($C114="","",IF($I114="","-",TEXT(INT($I114/1000)*1000,"#,##0")&amp;" - "&amp;TEXT(INT($I114/1000)*1000+999,"#,##0")))</f>
        <v>4,000 - 4,999</v>
      </c>
      <c r="L114" s="71">
        <v>5.09</v>
      </c>
      <c r="M114" s="19" t="str">
        <f>IF($C114="","",IF($L114="","-",INDEX(SETUP!$B$36:$B$42,MATCH($L114,SETUP!$A$36:$A$42,1))))</f>
        <v>5k - 6k</v>
      </c>
      <c r="N114" s="21">
        <f>IF($C114="","",IF(OR($G114="",$I114=""),"",ROUND(100*(SETUP!$B$4*MIN(1,$I114/SETUP!$B$9)+SETUP!$B$5*MAX(0,MIN(1,($G114-SETUP!$B$10)/(SETUP!$B$11-SETUP!$B$10)))+SETUP!$B$6*MIN(1,IF($L114="",0,$L114)/SETUP!$B$12)),1)))</f>
        <v>49.4</v>
      </c>
      <c r="O114" s="19" t="str">
        <f>IF($C114="","",IF($N114="","-",INDEX(SETUP!$B$46:$B$51,MATCH($N114,SETUP!$A$46:$A$51,1))))</f>
        <v>B</v>
      </c>
      <c r="P114" s="19">
        <f>IF($C114="","",IF($I114="","",RANK($I114,$I$4:$I$1463)+COUNTIF($I$4:$I114,$I114)-1))</f>
        <v>531</v>
      </c>
      <c r="Q114" s="19">
        <f>IF($C114="","",COUNTIFS($B$4:$B$1463,$B114,$X$4:$X$1463,"&gt;"&amp;$X114)+COUNTIFS($B$4:$B114,$B114,$X$4:$X114,"="&amp;$X114))</f>
        <v>53</v>
      </c>
      <c r="R114" s="75">
        <f>IF($C114="","",IF($I114="","",ROUND(COUNTIF($I$4:$I$1463,"&lt;"&amp;$I114)/COUNT($I$4:$I$1463),3)))</f>
        <v>0.59799999999999998</v>
      </c>
      <c r="S114" s="19" t="str">
        <f>IF($C114="","",IF($G114="","Name only",IF(OR($I114="",$L114=""),"Partial","Complete")))</f>
        <v>Complete</v>
      </c>
      <c r="T114" s="1" t="str">
        <f>IF($C114="","",TRIM(IF(COUNTIF($C$4:$C$1463,$C114)&gt;1,"Dup name; ","")&amp;IF(AND($G114&lt;&gt;"",$G114&lt;55000),"Low CR - verify; ","")&amp;IF(AND($L114&lt;&gt;"",$L114&gt;15),"Secondary - verify; ","")&amp;IF($E114="","No class; ","")))</f>
        <v/>
      </c>
      <c r="U114" s="68" t="s">
        <v>66</v>
      </c>
      <c r="V114" s="68" t="s">
        <v>66</v>
      </c>
      <c r="W114" s="68" t="s">
        <v>285</v>
      </c>
      <c r="X114" s="73">
        <f t="shared" si="7"/>
        <v>4306</v>
      </c>
      <c r="Y114" s="41" t="str">
        <f t="shared" si="8"/>
        <v>FUCT|53</v>
      </c>
      <c r="Z114" s="15">
        <f>IF($C114="","",IF($G114="","",RANK($G114,$G$4:$G$1463)+COUNTIF($G$4:$G114,$G114)-1))</f>
        <v>224</v>
      </c>
      <c r="AA114" s="15">
        <f>IF($C114="","",IF($N114="","",RANK($N114,$N$4:$N$1463)+COUNTIF($N$4:$N114,$N114)-1))</f>
        <v>471</v>
      </c>
      <c r="AB114" s="41" t="str">
        <f>IF($C114="","",IF($E114="","",$E114&amp;"#"&amp;(COUNTIFS($E$4:$E$1463,$E114,$X$4:$X$1463,"&gt;"&amp;$X114)+COUNTIFS($E$4:$E114,$E114,$X$4:$X114,"="&amp;$X114))))</f>
        <v>BARBARIAN#102</v>
      </c>
      <c r="AC114" s="41" t="str">
        <f>IF($C114="","",$B114&amp;"@"&amp;(COUNTIFS($B$4:$B$1463,$B114,$C$4:$C$1463,"&lt;"&amp;$C114)+COUNTIFS($B$4:$B114,$B114,$C$4:$C114,$C114)))</f>
        <v>FUCT@6</v>
      </c>
      <c r="AD114" s="41">
        <f t="shared" si="9"/>
        <v>111</v>
      </c>
      <c r="AE114" s="41" t="s">
        <v>745</v>
      </c>
      <c r="AF114" s="73">
        <f t="shared" si="10"/>
        <v>63395</v>
      </c>
      <c r="AG114" s="74">
        <f t="shared" si="11"/>
        <v>5.09</v>
      </c>
      <c r="AH114" s="41" t="str">
        <f>IF($C114="","",$B114&amp;"|"&amp;(COUNTIFS($B$4:$B$1463,$B114,$AF$4:$AF$1463,"&gt;"&amp;$AF114)+COUNTIFS($B$4:$B114,$B114,$AF$4:$AF114,"="&amp;$AF114)))</f>
        <v>FUCT|23</v>
      </c>
      <c r="AI114" s="41" t="str">
        <f>IF($C114="","",$B114&amp;"|"&amp;(COUNTIFS($B$4:$B$1463,$B114,$AG$4:$AG$1463,"&gt;"&amp;$AG114)+COUNTIFS($B$4:$B114,$B114,$AG$4:$AG114,"="&amp;$AG114)))</f>
        <v>FUCT|43</v>
      </c>
    </row>
    <row r="115" spans="1:35" hidden="1">
      <c r="A115" s="69" t="s">
        <v>109</v>
      </c>
      <c r="B115" s="69" t="s">
        <v>110</v>
      </c>
      <c r="C115" s="63" t="s">
        <v>746</v>
      </c>
      <c r="D115" s="69"/>
      <c r="E115" s="68" t="s">
        <v>74</v>
      </c>
      <c r="F115" s="19" t="str">
        <f>IF($C115="","",IF($E115="","-",IFERROR(INDEX(SETUP!$B$55:$B$64,MATCH($E115,SETUP!$A$55:$A$64,0)),"Other")))</f>
        <v>Ranged DPS</v>
      </c>
      <c r="G115" s="70">
        <v>63641</v>
      </c>
      <c r="H115" s="19" t="str">
        <f>IF($C115="","",IF($G115="","-",INDEX(SETUP!$B$26:$B$32,MATCH($G115,SETUP!$A$26:$A$32,1))))</f>
        <v>63,000 - 63,999</v>
      </c>
      <c r="I115" s="70">
        <v>5348</v>
      </c>
      <c r="J115" s="19" t="str">
        <f>IF($C115="","",IF($I115="","-",INDEX(SETUP!$B$16:$B$22,MATCH($I115,SETUP!$A$16:$A$22,1))))</f>
        <v>CORE</v>
      </c>
      <c r="K115" s="19" t="str">
        <f>IF($C115="","",IF($I115="","-",TEXT(INT($I115/1000)*1000,"#,##0")&amp;" - "&amp;TEXT(INT($I115/1000)*1000+999,"#,##0")))</f>
        <v>5,000 - 5,999</v>
      </c>
      <c r="L115" s="71">
        <v>5.2</v>
      </c>
      <c r="M115" s="19" t="str">
        <f>IF($C115="","",IF($L115="","-",INDEX(SETUP!$B$36:$B$42,MATCH($L115,SETUP!$A$36:$A$42,1))))</f>
        <v>5k - 6k</v>
      </c>
      <c r="N115" s="21">
        <f>IF($C115="","",IF(OR($G115="",$I115=""),"",ROUND(100*(SETUP!$B$4*MIN(1,$I115/SETUP!$B$9)+SETUP!$B$5*MAX(0,MIN(1,($G115-SETUP!$B$10)/(SETUP!$B$11-SETUP!$B$10)))+SETUP!$B$6*MIN(1,IF($L115="",0,$L115)/SETUP!$B$12)),1)))</f>
        <v>54.8</v>
      </c>
      <c r="O115" s="19" t="str">
        <f>IF($C115="","",IF($N115="","-",INDEX(SETUP!$B$46:$B$51,MATCH($N115,SETUP!$A$46:$A$51,1))))</f>
        <v>A</v>
      </c>
      <c r="P115" s="19">
        <f>IF($C115="","",IF($I115="","",RANK($I115,$I$4:$I$1463)+COUNTIF($I$4:$I115,$I115)-1))</f>
        <v>354</v>
      </c>
      <c r="Q115" s="19">
        <f>IF($C115="","",COUNTIFS($B$4:$B$1463,$B115,$X$4:$X$1463,"&gt;"&amp;$X115)+COUNTIFS($B$4:$B115,$B115,$X$4:$X115,"="&amp;$X115))</f>
        <v>43</v>
      </c>
      <c r="R115" s="75">
        <f>IF($C115="","",IF($I115="","",ROUND(COUNTIF($I$4:$I$1463,"&lt;"&amp;$I115)/COUNT($I$4:$I$1463),3)))</f>
        <v>0.73299999999999998</v>
      </c>
      <c r="S115" s="19" t="str">
        <f>IF($C115="","",IF($G115="","Name only",IF(OR($I115="",$L115=""),"Partial","Complete")))</f>
        <v>Complete</v>
      </c>
      <c r="T115" s="1" t="str">
        <f>IF($C115="","",TRIM(IF(COUNTIF($C$4:$C$1463,$C115)&gt;1,"Dup name; ","")&amp;IF(AND($G115&lt;&gt;"",$G115&lt;55000),"Low CR - verify; ","")&amp;IF(AND($L115&lt;&gt;"",$L115&gt;15),"Secondary - verify; ","")&amp;IF($E115="","No class; ","")))</f>
        <v/>
      </c>
      <c r="U115" s="68"/>
      <c r="V115" s="68"/>
      <c r="W115" s="68"/>
      <c r="X115" s="76">
        <f t="shared" si="7"/>
        <v>5348</v>
      </c>
      <c r="Y115" s="1" t="str">
        <f t="shared" si="8"/>
        <v>AZUKI|43</v>
      </c>
      <c r="Z115" s="19">
        <f>IF($C115="","",IF($G115="","",RANK($G115,$G$4:$G$1463)+COUNTIF($G$4:$G115,$G115)-1))</f>
        <v>155</v>
      </c>
      <c r="AA115" s="19">
        <f>IF($C115="","",IF($N115="","",RANK($N115,$N$4:$N$1463)+COUNTIF($N$4:$N115,$N115)-1))</f>
        <v>319</v>
      </c>
      <c r="AB115" s="1" t="str">
        <f>IF($C115="","",IF($E115="","",$E115&amp;"#"&amp;(COUNTIFS($E$4:$E$1463,$E115,$X$4:$X$1463,"&gt;"&amp;$X115)+COUNTIFS($E$4:$E115,$E115,$X$4:$X115,"="&amp;$X115))))</f>
        <v>DEMON HUNTER#57</v>
      </c>
      <c r="AC115" s="1" t="str">
        <f>IF($C115="","",$B115&amp;"@"&amp;(COUNTIFS($B$4:$B$1463,$B115,$C$4:$C$1463,"&lt;"&amp;$C115)+COUNTIFS($B$4:$B115,$B115,$C$4:$C115,$C115)))</f>
        <v>AZUKI@11</v>
      </c>
      <c r="AD115" s="1">
        <f t="shared" si="9"/>
        <v>112</v>
      </c>
      <c r="AE115" s="1" t="s">
        <v>747</v>
      </c>
      <c r="AF115" s="76">
        <f t="shared" si="10"/>
        <v>63641</v>
      </c>
      <c r="AG115" s="77">
        <f t="shared" si="11"/>
        <v>5.2</v>
      </c>
      <c r="AH115" s="1" t="str">
        <f>IF($C115="","",$B115&amp;"|"&amp;(COUNTIFS($B$4:$B$1463,$B115,$AF$4:$AF$1463,"&gt;"&amp;$AF115)+COUNTIFS($B$4:$B115,$B115,$AF$4:$AF115,"="&amp;$AF115)))</f>
        <v>AZUKI|25</v>
      </c>
      <c r="AI115" s="1" t="str">
        <f>IF($C115="","",$B115&amp;"|"&amp;(COUNTIFS($B$4:$B$1463,$B115,$AG$4:$AG$1463,"&gt;"&amp;$AG115)+COUNTIFS($B$4:$B115,$B115,$AG$4:$AG115,"="&amp;$AG115)))</f>
        <v>AZUKI|64</v>
      </c>
    </row>
    <row r="116" spans="1:35" hidden="1">
      <c r="A116" s="69" t="s">
        <v>109</v>
      </c>
      <c r="B116" s="69" t="s">
        <v>110</v>
      </c>
      <c r="C116" s="63" t="s">
        <v>748</v>
      </c>
      <c r="D116" s="69"/>
      <c r="E116" s="68" t="s">
        <v>71</v>
      </c>
      <c r="F116" s="15" t="str">
        <f>IF($C116="","",IF($E116="","-",IFERROR(INDEX(SETUP!$B$55:$B$64,MATCH($E116,SETUP!$A$55:$A$64,0)),"Other")))</f>
        <v>Frontline</v>
      </c>
      <c r="G116" s="70">
        <v>61712</v>
      </c>
      <c r="H116" s="15" t="str">
        <f>IF($C116="","",IF($G116="","-",INDEX(SETUP!$B$26:$B$32,MATCH($G116,SETUP!$A$26:$A$32,1))))</f>
        <v>61,000 - 61,999</v>
      </c>
      <c r="I116" s="70">
        <v>4309</v>
      </c>
      <c r="J116" s="15" t="str">
        <f>IF($C116="","",IF($I116="","-",INDEX(SETUP!$B$16:$B$22,MATCH($I116,SETUP!$A$16:$A$22,1))))</f>
        <v>CORE</v>
      </c>
      <c r="K116" s="15" t="str">
        <f>IF($C116="","",IF($I116="","-",TEXT(INT($I116/1000)*1000,"#,##0")&amp;" - "&amp;TEXT(INT($I116/1000)*1000+999,"#,##0")))</f>
        <v>4,000 - 4,999</v>
      </c>
      <c r="L116" s="71">
        <v>5.6</v>
      </c>
      <c r="M116" s="15" t="str">
        <f>IF($C116="","",IF($L116="","-",INDEX(SETUP!$B$36:$B$42,MATCH($L116,SETUP!$A$36:$A$42,1))))</f>
        <v>5k - 6k</v>
      </c>
      <c r="N116" s="17">
        <f>IF($C116="","",IF(OR($G116="",$I116=""),"",ROUND(100*(SETUP!$B$4*MIN(1,$I116/SETUP!$B$9)+SETUP!$B$5*MAX(0,MIN(1,($G116-SETUP!$B$10)/(SETUP!$B$11-SETUP!$B$10)))+SETUP!$B$6*MIN(1,IF($L116="",0,$L116)/SETUP!$B$12)),1)))</f>
        <v>45.8</v>
      </c>
      <c r="O116" s="15" t="str">
        <f>IF($C116="","",IF($N116="","-",INDEX(SETUP!$B$46:$B$51,MATCH($N116,SETUP!$A$46:$A$51,1))))</f>
        <v>B</v>
      </c>
      <c r="P116" s="15">
        <f>IF($C116="","",IF($I116="","",RANK($I116,$I$4:$I$1463)+COUNTIF($I$4:$I116,$I116)-1))</f>
        <v>530</v>
      </c>
      <c r="Q116" s="15">
        <f>IF($C116="","",COUNTIFS($B$4:$B$1463,$B116,$X$4:$X$1463,"&gt;"&amp;$X116)+COUNTIFS($B$4:$B116,$B116,$X$4:$X116,"="&amp;$X116))</f>
        <v>57</v>
      </c>
      <c r="R116" s="72">
        <f>IF($C116="","",IF($I116="","",ROUND(COUNTIF($I$4:$I$1463,"&lt;"&amp;$I116)/COUNT($I$4:$I$1463),3)))</f>
        <v>0.6</v>
      </c>
      <c r="S116" s="15" t="str">
        <f>IF($C116="","",IF($G116="","Name only",IF(OR($I116="",$L116=""),"Partial","Complete")))</f>
        <v>Complete</v>
      </c>
      <c r="T116" s="41" t="str">
        <f>IF($C116="","",TRIM(IF(COUNTIF($C$4:$C$1463,$C116)&gt;1,"Dup name; ","")&amp;IF(AND($G116&lt;&gt;"",$G116&lt;55000),"Low CR - verify; ","")&amp;IF(AND($L116&lt;&gt;"",$L116&gt;15),"Secondary - verify; ","")&amp;IF($E116="","No class; ","")))</f>
        <v/>
      </c>
      <c r="U116" s="68"/>
      <c r="V116" s="68"/>
      <c r="W116" s="68"/>
      <c r="X116" s="73">
        <f t="shared" si="7"/>
        <v>4309</v>
      </c>
      <c r="Y116" s="41" t="str">
        <f t="shared" si="8"/>
        <v>AZUKI|57</v>
      </c>
      <c r="Z116" s="15">
        <f>IF($C116="","",IF($G116="","",RANK($G116,$G$4:$G$1463)+COUNTIF($G$4:$G116,$G116)-1))</f>
        <v>940</v>
      </c>
      <c r="AA116" s="15">
        <f>IF($C116="","",IF($N116="","",RANK($N116,$N$4:$N$1463)+COUNTIF($N$4:$N116,$N116)-1))</f>
        <v>595</v>
      </c>
      <c r="AB116" s="41" t="str">
        <f>IF($C116="","",IF($E116="","",$E116&amp;"#"&amp;(COUNTIFS($E$4:$E$1463,$E116,$X$4:$X$1463,"&gt;"&amp;$X116)+COUNTIFS($E$4:$E116,$E116,$X$4:$X116,"="&amp;$X116))))</f>
        <v>BARBARIAN#101</v>
      </c>
      <c r="AC116" s="41" t="str">
        <f>IF($C116="","",$B116&amp;"@"&amp;(COUNTIFS($B$4:$B$1463,$B116,$C$4:$C$1463,"&lt;"&amp;$C116)+COUNTIFS($B$4:$B116,$B116,$C$4:$C116,$C116)))</f>
        <v>AZUKI@12</v>
      </c>
      <c r="AD116" s="41">
        <f t="shared" si="9"/>
        <v>113</v>
      </c>
      <c r="AE116" s="41" t="s">
        <v>749</v>
      </c>
      <c r="AF116" s="73">
        <f t="shared" si="10"/>
        <v>61712</v>
      </c>
      <c r="AG116" s="74">
        <f t="shared" si="11"/>
        <v>5.6</v>
      </c>
      <c r="AH116" s="41" t="str">
        <f>IF($C116="","",$B116&amp;"|"&amp;(COUNTIFS($B$4:$B$1463,$B116,$AF$4:$AF$1463,"&gt;"&amp;$AF116)+COUNTIFS($B$4:$B116,$B116,$AF$4:$AF116,"="&amp;$AF116)))</f>
        <v>AZUKI|88</v>
      </c>
      <c r="AI116" s="41" t="str">
        <f>IF($C116="","",$B116&amp;"|"&amp;(COUNTIFS($B$4:$B$1463,$B116,$AG$4:$AG$1463,"&gt;"&amp;$AG116)+COUNTIFS($B$4:$B116,$B116,$AG$4:$AG116,"="&amp;$AG116)))</f>
        <v>AZUKI|56</v>
      </c>
    </row>
    <row r="117" spans="1:35" hidden="1">
      <c r="A117" s="69" t="s">
        <v>109</v>
      </c>
      <c r="B117" s="69" t="s">
        <v>114</v>
      </c>
      <c r="C117" s="63" t="s">
        <v>750</v>
      </c>
      <c r="D117" s="69"/>
      <c r="E117" s="68" t="s">
        <v>78</v>
      </c>
      <c r="F117" s="19" t="str">
        <f>IF($C117="","",IF($E117="","-",IFERROR(INDEX(SETUP!$B$55:$B$64,MATCH($E117,SETUP!$A$55:$A$64,0)),"Other")))</f>
        <v>Melee DPS</v>
      </c>
      <c r="G117" s="70">
        <v>57643</v>
      </c>
      <c r="H117" s="19" t="str">
        <f>IF($C117="","",IF($G117="","-",INDEX(SETUP!$B$26:$B$32,MATCH($G117,SETUP!$A$26:$A$32,1))))</f>
        <v>Under 58,000</v>
      </c>
      <c r="I117" s="70">
        <v>562</v>
      </c>
      <c r="J117" s="19" t="str">
        <f>IF($C117="","",IF($I117="","-",INDEX(SETUP!$B$16:$B$22,MATCH($I117,SETUP!$A$16:$A$22,1))))</f>
        <v>ROOKIE</v>
      </c>
      <c r="K117" s="19" t="str">
        <f>IF($C117="","",IF($I117="","-",TEXT(INT($I117/1000)*1000,"#,##0")&amp;" - "&amp;TEXT(INT($I117/1000)*1000+999,"#,##0")))</f>
        <v>0 - 999</v>
      </c>
      <c r="L117" s="71">
        <v>2.1</v>
      </c>
      <c r="M117" s="19" t="str">
        <f>IF($C117="","",IF($L117="","-",INDEX(SETUP!$B$36:$B$42,MATCH($L117,SETUP!$A$36:$A$42,1))))</f>
        <v>Under 3k</v>
      </c>
      <c r="N117" s="21">
        <f>IF($C117="","",IF(OR($G117="",$I117=""),"",ROUND(100*(SETUP!$B$4*MIN(1,$I117/SETUP!$B$9)+SETUP!$B$5*MAX(0,MIN(1,($G117-SETUP!$B$10)/(SETUP!$B$11-SETUP!$B$10)))+SETUP!$B$6*MIN(1,IF($L117="",0,$L117)/SETUP!$B$12)),1)))</f>
        <v>12.9</v>
      </c>
      <c r="O117" s="19" t="str">
        <f>IF($C117="","",IF($N117="","-",INDEX(SETUP!$B$46:$B$51,MATCH($N117,SETUP!$A$46:$A$51,1))))</f>
        <v>D</v>
      </c>
      <c r="P117" s="19">
        <f>IF($C117="","",IF($I117="","",RANK($I117,$I$4:$I$1463)+COUNTIF($I$4:$I117,$I117)-1))</f>
        <v>1312</v>
      </c>
      <c r="Q117" s="19">
        <f>IF($C117="","",COUNTIFS($B$4:$B$1463,$B117,$X$4:$X$1463,"&gt;"&amp;$X117)+COUNTIFS($B$4:$B117,$B117,$X$4:$X117,"="&amp;$X117))</f>
        <v>94</v>
      </c>
      <c r="R117" s="75">
        <f>IF($C117="","",IF($I117="","",ROUND(COUNTIF($I$4:$I$1463,"&lt;"&amp;$I117)/COUNT($I$4:$I$1463),3)))</f>
        <v>0.01</v>
      </c>
      <c r="S117" s="19" t="str">
        <f>IF($C117="","",IF($G117="","Name only",IF(OR($I117="",$L117=""),"Partial","Complete")))</f>
        <v>Complete</v>
      </c>
      <c r="T117" s="1" t="str">
        <f>IF($C117="","",TRIM(IF(COUNTIF($C$4:$C$1463,$C117)&gt;1,"Dup name; ","")&amp;IF(AND($G117&lt;&gt;"",$G117&lt;55000),"Low CR - verify; ","")&amp;IF(AND($L117&lt;&gt;"",$L117&gt;15),"Secondary - verify; ","")&amp;IF($E117="","No class; ","")))</f>
        <v/>
      </c>
      <c r="U117" s="68"/>
      <c r="V117" s="68"/>
      <c r="W117" s="68"/>
      <c r="X117" s="76">
        <f t="shared" si="7"/>
        <v>562</v>
      </c>
      <c r="Y117" s="1" t="str">
        <f t="shared" si="8"/>
        <v>EMERALD LEAF TRIBE|94</v>
      </c>
      <c r="Z117" s="19">
        <f>IF($C117="","",IF($G117="","",RANK($G117,$G$4:$G$1463)+COUNTIF($G$4:$G117,$G117)-1))</f>
        <v>1303</v>
      </c>
      <c r="AA117" s="19">
        <f>IF($C117="","",IF($N117="","",RANK($N117,$N$4:$N$1463)+COUNTIF($N$4:$N117,$N117)-1))</f>
        <v>1315</v>
      </c>
      <c r="AB117" s="1" t="str">
        <f>IF($C117="","",IF($E117="","",$E117&amp;"#"&amp;(COUNTIFS($E$4:$E$1463,$E117,$X$4:$X$1463,"&gt;"&amp;$X117)+COUNTIFS($E$4:$E117,$E117,$X$4:$X117,"="&amp;$X117))))</f>
        <v>TEMPEST#65</v>
      </c>
      <c r="AC117" s="1" t="str">
        <f>IF($C117="","",$B117&amp;"@"&amp;(COUNTIFS($B$4:$B$1463,$B117,$C$4:$C$1463,"&lt;"&amp;$C117)+COUNTIFS($B$4:$B117,$B117,$C$4:$C117,$C117)))</f>
        <v>EMERALD LEAF TRIBE@6</v>
      </c>
      <c r="AD117" s="1">
        <f t="shared" si="9"/>
        <v>114</v>
      </c>
      <c r="AE117" s="1" t="s">
        <v>751</v>
      </c>
      <c r="AF117" s="76">
        <f t="shared" si="10"/>
        <v>57643</v>
      </c>
      <c r="AG117" s="77">
        <f t="shared" si="11"/>
        <v>2.1</v>
      </c>
      <c r="AH117" s="1" t="str">
        <f>IF($C117="","",$B117&amp;"|"&amp;(COUNTIFS($B$4:$B$1463,$B117,$AF$4:$AF$1463,"&gt;"&amp;$AF117)+COUNTIFS($B$4:$B117,$B117,$AF$4:$AF117,"="&amp;$AF117)))</f>
        <v>EMERALD LEAF TRIBE|91</v>
      </c>
      <c r="AI117" s="1" t="str">
        <f>IF($C117="","",$B117&amp;"|"&amp;(COUNTIFS($B$4:$B$1463,$B117,$AG$4:$AG$1463,"&gt;"&amp;$AG117)+COUNTIFS($B$4:$B117,$B117,$AG$4:$AG117,"="&amp;$AG117)))</f>
        <v>EMERALD LEAF TRIBE|96</v>
      </c>
    </row>
    <row r="118" spans="1:35" hidden="1">
      <c r="A118" s="69" t="s">
        <v>109</v>
      </c>
      <c r="B118" s="69" t="s">
        <v>118</v>
      </c>
      <c r="C118" s="63" t="s">
        <v>752</v>
      </c>
      <c r="D118" s="69"/>
      <c r="E118" s="68" t="s">
        <v>79</v>
      </c>
      <c r="F118" s="15" t="str">
        <f>IF($C118="","",IF($E118="","-",IFERROR(INDEX(SETUP!$B$55:$B$64,MATCH($E118,SETUP!$A$55:$A$64,0)),"Other")))</f>
        <v>Control</v>
      </c>
      <c r="G118" s="70">
        <v>59854</v>
      </c>
      <c r="H118" s="15" t="str">
        <f>IF($C118="","",IF($G118="","-",INDEX(SETUP!$B$26:$B$32,MATCH($G118,SETUP!$A$26:$A$32,1))))</f>
        <v>58,000 - 59,999</v>
      </c>
      <c r="I118" s="70">
        <v>3172</v>
      </c>
      <c r="J118" s="15" t="str">
        <f>IF($C118="","",IF($I118="","-",INDEX(SETUP!$B$16:$B$22,MATCH($I118,SETUP!$A$16:$A$22,1))))</f>
        <v>DEVELOPING</v>
      </c>
      <c r="K118" s="15" t="str">
        <f>IF($C118="","",IF($I118="","-",TEXT(INT($I118/1000)*1000,"#,##0")&amp;" - "&amp;TEXT(INT($I118/1000)*1000+999,"#,##0")))</f>
        <v>3,000 - 3,999</v>
      </c>
      <c r="L118" s="71">
        <v>3.9</v>
      </c>
      <c r="M118" s="15" t="str">
        <f>IF($C118="","",IF($L118="","-",INDEX(SETUP!$B$36:$B$42,MATCH($L118,SETUP!$A$36:$A$42,1))))</f>
        <v>3k - 4k</v>
      </c>
      <c r="N118" s="17">
        <f>IF($C118="","",IF(OR($G118="",$I118=""),"",ROUND(100*(SETUP!$B$4*MIN(1,$I118/SETUP!$B$9)+SETUP!$B$5*MAX(0,MIN(1,($G118-SETUP!$B$10)/(SETUP!$B$11-SETUP!$B$10)))+SETUP!$B$6*MIN(1,IF($L118="",0,$L118)/SETUP!$B$12)),1)))</f>
        <v>33.1</v>
      </c>
      <c r="O118" s="15" t="str">
        <f>IF($C118="","",IF($N118="","-",INDEX(SETUP!$B$46:$B$51,MATCH($N118,SETUP!$A$46:$A$51,1))))</f>
        <v>C</v>
      </c>
      <c r="P118" s="15">
        <f>IF($C118="","",IF($I118="","",RANK($I118,$I$4:$I$1463)+COUNTIF($I$4:$I118,$I118)-1))</f>
        <v>829</v>
      </c>
      <c r="Q118" s="15">
        <f>IF($C118="","",COUNTIFS($B$4:$B$1463,$B118,$X$4:$X$1463,"&gt;"&amp;$X118)+COUNTIFS($B$4:$B118,$B118,$X$4:$X118,"="&amp;$X118))</f>
        <v>15</v>
      </c>
      <c r="R118" s="72">
        <f>IF($C118="","",IF($I118="","",ROUND(COUNTIF($I$4:$I$1463,"&lt;"&amp;$I118)/COUNT($I$4:$I$1463),3)))</f>
        <v>0.373</v>
      </c>
      <c r="S118" s="15" t="str">
        <f>IF($C118="","",IF($G118="","Name only",IF(OR($I118="",$L118=""),"Partial","Complete")))</f>
        <v>Complete</v>
      </c>
      <c r="T118" s="41" t="str">
        <f>IF($C118="","",TRIM(IF(COUNTIF($C$4:$C$1463,$C118)&gt;1,"Dup name; ","")&amp;IF(AND($G118&lt;&gt;"",$G118&lt;55000),"Low CR - verify; ","")&amp;IF(AND($L118&lt;&gt;"",$L118&gt;15),"Secondary - verify; ","")&amp;IF($E118="","No class; ","")))</f>
        <v/>
      </c>
      <c r="U118" s="68"/>
      <c r="V118" s="68"/>
      <c r="W118" s="68"/>
      <c r="X118" s="73">
        <f t="shared" si="7"/>
        <v>3172</v>
      </c>
      <c r="Y118" s="41" t="str">
        <f t="shared" si="8"/>
        <v>ZOMBIES|15</v>
      </c>
      <c r="Z118" s="15">
        <f>IF($C118="","",IF($G118="","",RANK($G118,$G$4:$G$1463)+COUNTIF($G$4:$G118,$G118)-1))</f>
        <v>1247</v>
      </c>
      <c r="AA118" s="15">
        <f>IF($C118="","",IF($N118="","",RANK($N118,$N$4:$N$1463)+COUNTIF($N$4:$N118,$N118)-1))</f>
        <v>1063</v>
      </c>
      <c r="AB118" s="41" t="str">
        <f>IF($C118="","",IF($E118="","",$E118&amp;"#"&amp;(COUNTIFS($E$4:$E$1463,$E118,$X$4:$X$1463,"&gt;"&amp;$X118)+COUNTIFS($E$4:$E118,$E118,$X$4:$X118,"="&amp;$X118))))</f>
        <v>WARLOCK#203</v>
      </c>
      <c r="AC118" s="41" t="str">
        <f>IF($C118="","",$B118&amp;"@"&amp;(COUNTIFS($B$4:$B$1463,$B118,$C$4:$C$1463,"&lt;"&amp;$C118)+COUNTIFS($B$4:$B118,$B118,$C$4:$C118,$C118)))</f>
        <v>ZOMBIES@10</v>
      </c>
      <c r="AD118" s="41">
        <f t="shared" si="9"/>
        <v>115</v>
      </c>
      <c r="AE118" s="41" t="s">
        <v>753</v>
      </c>
      <c r="AF118" s="73">
        <f t="shared" si="10"/>
        <v>59854</v>
      </c>
      <c r="AG118" s="74">
        <f t="shared" si="11"/>
        <v>3.9</v>
      </c>
      <c r="AH118" s="41" t="str">
        <f>IF($C118="","",$B118&amp;"|"&amp;(COUNTIFS($B$4:$B$1463,$B118,$AF$4:$AF$1463,"&gt;"&amp;$AF118)+COUNTIFS($B$4:$B118,$B118,$AF$4:$AF118,"="&amp;$AF118)))</f>
        <v>ZOMBIES|83</v>
      </c>
      <c r="AI118" s="41" t="str">
        <f>IF($C118="","",$B118&amp;"|"&amp;(COUNTIFS($B$4:$B$1463,$B118,$AG$4:$AG$1463,"&gt;"&amp;$AG118)+COUNTIFS($B$4:$B118,$B118,$AG$4:$AG118,"="&amp;$AG118)))</f>
        <v>ZOMBIES|33</v>
      </c>
    </row>
    <row r="119" spans="1:35" hidden="1">
      <c r="A119" s="69" t="s">
        <v>106</v>
      </c>
      <c r="B119" s="69" t="s">
        <v>86</v>
      </c>
      <c r="C119" s="63" t="s">
        <v>754</v>
      </c>
      <c r="D119" s="69"/>
      <c r="E119" s="68" t="s">
        <v>74</v>
      </c>
      <c r="F119" s="19" t="str">
        <f>IF($C119="","",IF($E119="","-",IFERROR(INDEX(SETUP!$B$55:$B$64,MATCH($E119,SETUP!$A$55:$A$64,0)),"Other")))</f>
        <v>Ranged DPS</v>
      </c>
      <c r="G119" s="70">
        <v>63273</v>
      </c>
      <c r="H119" s="19" t="str">
        <f>IF($C119="","",IF($G119="","-",INDEX(SETUP!$B$26:$B$32,MATCH($G119,SETUP!$A$26:$A$32,1))))</f>
        <v>63,000 - 63,999</v>
      </c>
      <c r="I119" s="70">
        <v>4075</v>
      </c>
      <c r="J119" s="19" t="str">
        <f>IF($C119="","",IF($I119="","-",INDEX(SETUP!$B$16:$B$22,MATCH($I119,SETUP!$A$16:$A$22,1))))</f>
        <v>CORE</v>
      </c>
      <c r="K119" s="19" t="str">
        <f>IF($C119="","",IF($I119="","-",TEXT(INT($I119/1000)*1000,"#,##0")&amp;" - "&amp;TEXT(INT($I119/1000)*1000+999,"#,##0")))</f>
        <v>4,000 - 4,999</v>
      </c>
      <c r="L119" s="71">
        <v>5.7</v>
      </c>
      <c r="M119" s="19" t="str">
        <f>IF($C119="","",IF($L119="","-",INDEX(SETUP!$B$36:$B$42,MATCH($L119,SETUP!$A$36:$A$42,1))))</f>
        <v>5k - 6k</v>
      </c>
      <c r="N119" s="21">
        <f>IF($C119="","",IF(OR($G119="",$I119=""),"",ROUND(100*(SETUP!$B$4*MIN(1,$I119/SETUP!$B$9)+SETUP!$B$5*MAX(0,MIN(1,($G119-SETUP!$B$10)/(SETUP!$B$11-SETUP!$B$10)))+SETUP!$B$6*MIN(1,IF($L119="",0,$L119)/SETUP!$B$12)),1)))</f>
        <v>49.1</v>
      </c>
      <c r="O119" s="19" t="str">
        <f>IF($C119="","",IF($N119="","-",INDEX(SETUP!$B$46:$B$51,MATCH($N119,SETUP!$A$46:$A$51,1))))</f>
        <v>B</v>
      </c>
      <c r="P119" s="19">
        <f>IF($C119="","",IF($I119="","",RANK($I119,$I$4:$I$1463)+COUNTIF($I$4:$I119,$I119)-1))</f>
        <v>580</v>
      </c>
      <c r="Q119" s="19">
        <f>IF($C119="","",COUNTIFS($B$4:$B$1463,$B119,$X$4:$X$1463,"&gt;"&amp;$X119)+COUNTIFS($B$4:$B119,$B119,$X$4:$X119,"="&amp;$X119))</f>
        <v>78</v>
      </c>
      <c r="R119" s="75">
        <f>IF($C119="","",IF($I119="","",ROUND(COUNTIF($I$4:$I$1463,"&lt;"&amp;$I119)/COUNT($I$4:$I$1463),3)))</f>
        <v>0.56100000000000005</v>
      </c>
      <c r="S119" s="19" t="str">
        <f>IF($C119="","",IF($G119="","Name only",IF(OR($I119="",$L119=""),"Partial","Complete")))</f>
        <v>Complete</v>
      </c>
      <c r="T119" s="1" t="str">
        <f>IF($C119="","",TRIM(IF(COUNTIF($C$4:$C$1463,$C119)&gt;1,"Dup name; ","")&amp;IF(AND($G119&lt;&gt;"",$G119&lt;55000),"Low CR - verify; ","")&amp;IF(AND($L119&lt;&gt;"",$L119&gt;15),"Secondary - verify; ","")&amp;IF($E119="","No class; ","")))</f>
        <v/>
      </c>
      <c r="U119" s="68"/>
      <c r="V119" s="68"/>
      <c r="W119" s="68"/>
      <c r="X119" s="76">
        <f t="shared" si="7"/>
        <v>4075</v>
      </c>
      <c r="Y119" s="1" t="str">
        <f t="shared" si="8"/>
        <v>VANGUARD|78</v>
      </c>
      <c r="Z119" s="19">
        <f>IF($C119="","",IF($G119="","",RANK($G119,$G$4:$G$1463)+COUNTIF($G$4:$G119,$G119)-1))</f>
        <v>276</v>
      </c>
      <c r="AA119" s="19">
        <f>IF($C119="","",IF($N119="","",RANK($N119,$N$4:$N$1463)+COUNTIF($N$4:$N119,$N119)-1))</f>
        <v>478</v>
      </c>
      <c r="AB119" s="1" t="str">
        <f>IF($C119="","",IF($E119="","",$E119&amp;"#"&amp;(COUNTIFS($E$4:$E$1463,$E119,$X$4:$X$1463,"&gt;"&amp;$X119)+COUNTIFS($E$4:$E119,$E119,$X$4:$X119,"="&amp;$X119))))</f>
        <v>DEMON HUNTER#92</v>
      </c>
      <c r="AC119" s="1" t="str">
        <f>IF($C119="","",$B119&amp;"@"&amp;(COUNTIFS($B$4:$B$1463,$B119,$C$4:$C$1463,"&lt;"&amp;$C119)+COUNTIFS($B$4:$B119,$B119,$C$4:$C119,$C119)))</f>
        <v>VANGUARD@10</v>
      </c>
      <c r="AD119" s="1">
        <f t="shared" si="9"/>
        <v>116</v>
      </c>
      <c r="AE119" s="1" t="s">
        <v>755</v>
      </c>
      <c r="AF119" s="76">
        <f t="shared" si="10"/>
        <v>63273</v>
      </c>
      <c r="AG119" s="77">
        <f t="shared" si="11"/>
        <v>5.7</v>
      </c>
      <c r="AH119" s="1" t="str">
        <f>IF($C119="","",$B119&amp;"|"&amp;(COUNTIFS($B$4:$B$1463,$B119,$AF$4:$AF$1463,"&gt;"&amp;$AF119)+COUNTIFS($B$4:$B119,$B119,$AF$4:$AF119,"="&amp;$AF119)))</f>
        <v>VANGUARD|49</v>
      </c>
      <c r="AI119" s="1" t="str">
        <f>IF($C119="","",$B119&amp;"|"&amp;(COUNTIFS($B$4:$B$1463,$B119,$AG$4:$AG$1463,"&gt;"&amp;$AG119)+COUNTIFS($B$4:$B119,$B119,$AG$4:$AG119,"="&amp;$AG119)))</f>
        <v>VANGUARD|48</v>
      </c>
    </row>
    <row r="120" spans="1:35" hidden="1">
      <c r="A120" s="69" t="s">
        <v>109</v>
      </c>
      <c r="B120" s="69" t="s">
        <v>118</v>
      </c>
      <c r="C120" s="63" t="s">
        <v>756</v>
      </c>
      <c r="D120" s="69"/>
      <c r="E120" s="68" t="s">
        <v>71</v>
      </c>
      <c r="F120" s="15" t="str">
        <f>IF($C120="","",IF($E120="","-",IFERROR(INDEX(SETUP!$B$55:$B$64,MATCH($E120,SETUP!$A$55:$A$64,0)),"Other")))</f>
        <v>Frontline</v>
      </c>
      <c r="G120" s="70">
        <v>62949</v>
      </c>
      <c r="H120" s="15" t="str">
        <f>IF($C120="","",IF($G120="","-",INDEX(SETUP!$B$26:$B$32,MATCH($G120,SETUP!$A$26:$A$32,1))))</f>
        <v>62,000 - 62,999</v>
      </c>
      <c r="I120" s="70">
        <v>3473</v>
      </c>
      <c r="J120" s="15" t="str">
        <f>IF($C120="","",IF($I120="","-",INDEX(SETUP!$B$16:$B$22,MATCH($I120,SETUP!$A$16:$A$22,1))))</f>
        <v>DEVELOPING</v>
      </c>
      <c r="K120" s="15" t="str">
        <f>IF($C120="","",IF($I120="","-",TEXT(INT($I120/1000)*1000,"#,##0")&amp;" - "&amp;TEXT(INT($I120/1000)*1000+999,"#,##0")))</f>
        <v>3,000 - 3,999</v>
      </c>
      <c r="L120" s="71">
        <v>5.2</v>
      </c>
      <c r="M120" s="15" t="str">
        <f>IF($C120="","",IF($L120="","-",INDEX(SETUP!$B$36:$B$42,MATCH($L120,SETUP!$A$36:$A$42,1))))</f>
        <v>5k - 6k</v>
      </c>
      <c r="N120" s="17">
        <f>IF($C120="","",IF(OR($G120="",$I120=""),"",ROUND(100*(SETUP!$B$4*MIN(1,$I120/SETUP!$B$9)+SETUP!$B$5*MAX(0,MIN(1,($G120-SETUP!$B$10)/(SETUP!$B$11-SETUP!$B$10)))+SETUP!$B$6*MIN(1,IF($L120="",0,$L120)/SETUP!$B$12)),1)))</f>
        <v>44.7</v>
      </c>
      <c r="O120" s="15" t="str">
        <f>IF($C120="","",IF($N120="","-",INDEX(SETUP!$B$46:$B$51,MATCH($N120,SETUP!$A$46:$A$51,1))))</f>
        <v>B</v>
      </c>
      <c r="P120" s="15">
        <f>IF($C120="","",IF($I120="","",RANK($I120,$I$4:$I$1463)+COUNTIF($I$4:$I120,$I120)-1))</f>
        <v>738</v>
      </c>
      <c r="Q120" s="15">
        <f>IF($C120="","",COUNTIFS($B$4:$B$1463,$B120,$X$4:$X$1463,"&gt;"&amp;$X120)+COUNTIFS($B$4:$B120,$B120,$X$4:$X120,"="&amp;$X120))</f>
        <v>10</v>
      </c>
      <c r="R120" s="72">
        <f>IF($C120="","",IF($I120="","",ROUND(COUNTIF($I$4:$I$1463,"&lt;"&amp;$I120)/COUNT($I$4:$I$1463),3)))</f>
        <v>0.442</v>
      </c>
      <c r="S120" s="15" t="str">
        <f>IF($C120="","",IF($G120="","Name only",IF(OR($I120="",$L120=""),"Partial","Complete")))</f>
        <v>Complete</v>
      </c>
      <c r="T120" s="41" t="str">
        <f>IF($C120="","",TRIM(IF(COUNTIF($C$4:$C$1463,$C120)&gt;1,"Dup name; ","")&amp;IF(AND($G120&lt;&gt;"",$G120&lt;55000),"Low CR - verify; ","")&amp;IF(AND($L120&lt;&gt;"",$L120&gt;15),"Secondary - verify; ","")&amp;IF($E120="","No class; ","")))</f>
        <v/>
      </c>
      <c r="U120" s="68"/>
      <c r="V120" s="68"/>
      <c r="W120" s="68"/>
      <c r="X120" s="73">
        <f t="shared" si="7"/>
        <v>3473</v>
      </c>
      <c r="Y120" s="41" t="str">
        <f t="shared" si="8"/>
        <v>ZOMBIES|10</v>
      </c>
      <c r="Z120" s="15">
        <f>IF($C120="","",IF($G120="","",RANK($G120,$G$4:$G$1463)+COUNTIF($G$4:$G120,$G120)-1))</f>
        <v>450</v>
      </c>
      <c r="AA120" s="15">
        <f>IF($C120="","",IF($N120="","",RANK($N120,$N$4:$N$1463)+COUNTIF($N$4:$N120,$N120)-1))</f>
        <v>633</v>
      </c>
      <c r="AB120" s="41" t="str">
        <f>IF($C120="","",IF($E120="","",$E120&amp;"#"&amp;(COUNTIFS($E$4:$E$1463,$E120,$X$4:$X$1463,"&gt;"&amp;$X120)+COUNTIFS($E$4:$E120,$E120,$X$4:$X120,"="&amp;$X120))))</f>
        <v>BARBARIAN#128</v>
      </c>
      <c r="AC120" s="41" t="str">
        <f>IF($C120="","",$B120&amp;"@"&amp;(COUNTIFS($B$4:$B$1463,$B120,$C$4:$C$1463,"&lt;"&amp;$C120)+COUNTIFS($B$4:$B120,$B120,$C$4:$C120,$C120)))</f>
        <v>ZOMBIES@11</v>
      </c>
      <c r="AD120" s="41">
        <f t="shared" si="9"/>
        <v>117</v>
      </c>
      <c r="AE120" s="41" t="s">
        <v>757</v>
      </c>
      <c r="AF120" s="73">
        <f t="shared" si="10"/>
        <v>62949</v>
      </c>
      <c r="AG120" s="74">
        <f t="shared" si="11"/>
        <v>5.2</v>
      </c>
      <c r="AH120" s="41" t="str">
        <f>IF($C120="","",$B120&amp;"|"&amp;(COUNTIFS($B$4:$B$1463,$B120,$AF$4:$AF$1463,"&gt;"&amp;$AF120)+COUNTIFS($B$4:$B120,$B120,$AF$4:$AF120,"="&amp;$AF120)))</f>
        <v>ZOMBIES|4</v>
      </c>
      <c r="AI120" s="41" t="str">
        <f>IF($C120="","",$B120&amp;"|"&amp;(COUNTIFS($B$4:$B$1463,$B120,$AG$4:$AG$1463,"&gt;"&amp;$AG120)+COUNTIFS($B$4:$B120,$B120,$AG$4:$AG120,"="&amp;$AG120)))</f>
        <v>ZOMBIES|8</v>
      </c>
    </row>
    <row r="121" spans="1:35" hidden="1">
      <c r="A121" s="69" t="s">
        <v>106</v>
      </c>
      <c r="B121" s="69" t="s">
        <v>86</v>
      </c>
      <c r="C121" s="63" t="s">
        <v>758</v>
      </c>
      <c r="D121" s="69"/>
      <c r="E121" s="68" t="s">
        <v>79</v>
      </c>
      <c r="F121" s="19" t="str">
        <f>IF($C121="","",IF($E121="","-",IFERROR(INDEX(SETUP!$B$55:$B$64,MATCH($E121,SETUP!$A$55:$A$64,0)),"Other")))</f>
        <v>Control</v>
      </c>
      <c r="G121" s="70">
        <v>63148</v>
      </c>
      <c r="H121" s="19" t="str">
        <f>IF($C121="","",IF($G121="","-",INDEX(SETUP!$B$26:$B$32,MATCH($G121,SETUP!$A$26:$A$32,1))))</f>
        <v>63,000 - 63,999</v>
      </c>
      <c r="I121" s="70">
        <v>4755</v>
      </c>
      <c r="J121" s="19" t="str">
        <f>IF($C121="","",IF($I121="","-",INDEX(SETUP!$B$16:$B$22,MATCH($I121,SETUP!$A$16:$A$22,1))))</f>
        <v>CORE</v>
      </c>
      <c r="K121" s="19" t="str">
        <f>IF($C121="","",IF($I121="","-",TEXT(INT($I121/1000)*1000,"#,##0")&amp;" - "&amp;TEXT(INT($I121/1000)*1000+999,"#,##0")))</f>
        <v>4,000 - 4,999</v>
      </c>
      <c r="L121" s="71">
        <v>5.8</v>
      </c>
      <c r="M121" s="19" t="str">
        <f>IF($C121="","",IF($L121="","-",INDEX(SETUP!$B$36:$B$42,MATCH($L121,SETUP!$A$36:$A$42,1))))</f>
        <v>5k - 6k</v>
      </c>
      <c r="N121" s="21">
        <f>IF($C121="","",IF(OR($G121="",$I121=""),"",ROUND(100*(SETUP!$B$4*MIN(1,$I121/SETUP!$B$9)+SETUP!$B$5*MAX(0,MIN(1,($G121-SETUP!$B$10)/(SETUP!$B$11-SETUP!$B$10)))+SETUP!$B$6*MIN(1,IF($L121="",0,$L121)/SETUP!$B$12)),1)))</f>
        <v>51.9</v>
      </c>
      <c r="O121" s="19" t="str">
        <f>IF($C121="","",IF($N121="","-",INDEX(SETUP!$B$46:$B$51,MATCH($N121,SETUP!$A$46:$A$51,1))))</f>
        <v>A</v>
      </c>
      <c r="P121" s="19">
        <f>IF($C121="","",IF($I121="","",RANK($I121,$I$4:$I$1463)+COUNTIF($I$4:$I121,$I121)-1))</f>
        <v>446</v>
      </c>
      <c r="Q121" s="19">
        <f>IF($C121="","",COUNTIFS($B$4:$B$1463,$B121,$X$4:$X$1463,"&gt;"&amp;$X121)+COUNTIFS($B$4:$B121,$B121,$X$4:$X121,"="&amp;$X121))</f>
        <v>68</v>
      </c>
      <c r="R121" s="75">
        <f>IF($C121="","",IF($I121="","",ROUND(COUNTIF($I$4:$I$1463,"&lt;"&amp;$I121)/COUNT($I$4:$I$1463),3)))</f>
        <v>0.66300000000000003</v>
      </c>
      <c r="S121" s="19" t="str">
        <f>IF($C121="","",IF($G121="","Name only",IF(OR($I121="",$L121=""),"Partial","Complete")))</f>
        <v>Complete</v>
      </c>
      <c r="T121" s="1" t="str">
        <f>IF($C121="","",TRIM(IF(COUNTIF($C$4:$C$1463,$C121)&gt;1,"Dup name; ","")&amp;IF(AND($G121&lt;&gt;"",$G121&lt;55000),"Low CR - verify; ","")&amp;IF(AND($L121&lt;&gt;"",$L121&gt;15),"Secondary - verify; ","")&amp;IF($E121="","No class; ","")))</f>
        <v/>
      </c>
      <c r="U121" s="68"/>
      <c r="V121" s="68"/>
      <c r="W121" s="68"/>
      <c r="X121" s="76">
        <f t="shared" si="7"/>
        <v>4755</v>
      </c>
      <c r="Y121" s="1" t="str">
        <f t="shared" si="8"/>
        <v>VANGUARD|68</v>
      </c>
      <c r="Z121" s="19">
        <f>IF($C121="","",IF($G121="","",RANK($G121,$G$4:$G$1463)+COUNTIF($G$4:$G121,$G121)-1))</f>
        <v>346</v>
      </c>
      <c r="AA121" s="19">
        <f>IF($C121="","",IF($N121="","",RANK($N121,$N$4:$N$1463)+COUNTIF($N$4:$N121,$N121)-1))</f>
        <v>394</v>
      </c>
      <c r="AB121" s="1" t="str">
        <f>IF($C121="","",IF($E121="","",$E121&amp;"#"&amp;(COUNTIFS($E$4:$E$1463,$E121,$X$4:$X$1463,"&gt;"&amp;$X121)+COUNTIFS($E$4:$E121,$E121,$X$4:$X121,"="&amp;$X121))))</f>
        <v>WARLOCK#103</v>
      </c>
      <c r="AC121" s="1" t="str">
        <f>IF($C121="","",$B121&amp;"@"&amp;(COUNTIFS($B$4:$B$1463,$B121,$C$4:$C$1463,"&lt;"&amp;$C121)+COUNTIFS($B$4:$B121,$B121,$C$4:$C121,$C121)))</f>
        <v>VANGUARD@11</v>
      </c>
      <c r="AD121" s="1">
        <f t="shared" si="9"/>
        <v>118</v>
      </c>
      <c r="AE121" s="1" t="s">
        <v>759</v>
      </c>
      <c r="AF121" s="76">
        <f t="shared" si="10"/>
        <v>63148</v>
      </c>
      <c r="AG121" s="77">
        <f t="shared" si="11"/>
        <v>5.8</v>
      </c>
      <c r="AH121" s="1" t="str">
        <f>IF($C121="","",$B121&amp;"|"&amp;(COUNTIFS($B$4:$B$1463,$B121,$AF$4:$AF$1463,"&gt;"&amp;$AF121)+COUNTIFS($B$4:$B121,$B121,$AF$4:$AF121,"="&amp;$AF121)))</f>
        <v>VANGUARD|55</v>
      </c>
      <c r="AI121" s="1" t="str">
        <f>IF($C121="","",$B121&amp;"|"&amp;(COUNTIFS($B$4:$B$1463,$B121,$AG$4:$AG$1463,"&gt;"&amp;$AG121)+COUNTIFS($B$4:$B121,$B121,$AG$4:$AG121,"="&amp;$AG121)))</f>
        <v>VANGUARD|45</v>
      </c>
    </row>
    <row r="122" spans="1:35" hidden="1">
      <c r="A122" s="69" t="s">
        <v>109</v>
      </c>
      <c r="B122" s="69" t="s">
        <v>112</v>
      </c>
      <c r="C122" s="63" t="s">
        <v>760</v>
      </c>
      <c r="D122" s="69" t="s">
        <v>567</v>
      </c>
      <c r="E122" s="68" t="s">
        <v>78</v>
      </c>
      <c r="F122" s="15" t="str">
        <f>IF($C122="","",IF($E122="","-",IFERROR(INDEX(SETUP!$B$55:$B$64,MATCH($E122,SETUP!$A$55:$A$64,0)),"Other")))</f>
        <v>Melee DPS</v>
      </c>
      <c r="G122" s="70">
        <v>61221</v>
      </c>
      <c r="H122" s="15" t="str">
        <f>IF($C122="","",IF($G122="","-",INDEX(SETUP!$B$26:$B$32,MATCH($G122,SETUP!$A$26:$A$32,1))))</f>
        <v>61,000 - 61,999</v>
      </c>
      <c r="I122" s="70">
        <v>782</v>
      </c>
      <c r="J122" s="15" t="str">
        <f>IF($C122="","",IF($I122="","-",INDEX(SETUP!$B$16:$B$22,MATCH($I122,SETUP!$A$16:$A$22,1))))</f>
        <v>ROOKIE</v>
      </c>
      <c r="K122" s="15" t="str">
        <f>IF($C122="","",IF($I122="","-",TEXT(INT($I122/1000)*1000,"#,##0")&amp;" - "&amp;TEXT(INT($I122/1000)*1000+999,"#,##0")))</f>
        <v>0 - 999</v>
      </c>
      <c r="L122" s="71">
        <v>2.85</v>
      </c>
      <c r="M122" s="15" t="str">
        <f>IF($C122="","",IF($L122="","-",INDEX(SETUP!$B$36:$B$42,MATCH($L122,SETUP!$A$36:$A$42,1))))</f>
        <v>Under 3k</v>
      </c>
      <c r="N122" s="17">
        <f>IF($C122="","",IF(OR($G122="",$I122=""),"",ROUND(100*(SETUP!$B$4*MIN(1,$I122/SETUP!$B$9)+SETUP!$B$5*MAX(0,MIN(1,($G122-SETUP!$B$10)/(SETUP!$B$11-SETUP!$B$10)))+SETUP!$B$6*MIN(1,IF($L122="",0,$L122)/SETUP!$B$12)),1)))</f>
        <v>24.5</v>
      </c>
      <c r="O122" s="15" t="str">
        <f>IF($C122="","",IF($N122="","-",INDEX(SETUP!$B$46:$B$51,MATCH($N122,SETUP!$A$46:$A$51,1))))</f>
        <v>C</v>
      </c>
      <c r="P122" s="15">
        <f>IF($C122="","",IF($I122="","",RANK($I122,$I$4:$I$1463)+COUNTIF($I$4:$I122,$I122)-1))</f>
        <v>1297</v>
      </c>
      <c r="Q122" s="15">
        <f>IF($C122="","",COUNTIFS($B$4:$B$1463,$B122,$X$4:$X$1463,"&gt;"&amp;$X122)+COUNTIFS($B$4:$B122,$B122,$X$4:$X122,"="&amp;$X122))</f>
        <v>93</v>
      </c>
      <c r="R122" s="72">
        <f>IF($C122="","",IF($I122="","",ROUND(COUNTIF($I$4:$I$1463,"&lt;"&amp;$I122)/COUNT($I$4:$I$1463),3)))</f>
        <v>2.1000000000000001E-2</v>
      </c>
      <c r="S122" s="15" t="str">
        <f>IF($C122="","",IF($G122="","Name only",IF(OR($I122="",$L122=""),"Partial","Complete")))</f>
        <v>Complete</v>
      </c>
      <c r="T122" s="41" t="str">
        <f>IF($C122="","",TRIM(IF(COUNTIF($C$4:$C$1463,$C122)&gt;1,"Dup name; ","")&amp;IF(AND($G122&lt;&gt;"",$G122&lt;55000),"Low CR - verify; ","")&amp;IF(AND($L122&lt;&gt;"",$L122&gt;15),"Secondary - verify; ","")&amp;IF($E122="","No class; ","")))</f>
        <v/>
      </c>
      <c r="U122" s="68"/>
      <c r="V122" s="68"/>
      <c r="W122" s="68"/>
      <c r="X122" s="73">
        <f t="shared" si="7"/>
        <v>782</v>
      </c>
      <c r="Y122" s="41" t="str">
        <f t="shared" si="8"/>
        <v>ACHERON|93</v>
      </c>
      <c r="Z122" s="15">
        <f>IF($C122="","",IF($G122="","",RANK($G122,$G$4:$G$1463)+COUNTIF($G$4:$G122,$G122)-1))</f>
        <v>1079</v>
      </c>
      <c r="AA122" s="15">
        <f>IF($C122="","",IF($N122="","",RANK($N122,$N$4:$N$1463)+COUNTIF($N$4:$N122,$N122)-1))</f>
        <v>1252</v>
      </c>
      <c r="AB122" s="41" t="str">
        <f>IF($C122="","",IF($E122="","",$E122&amp;"#"&amp;(COUNTIFS($E$4:$E$1463,$E122,$X$4:$X$1463,"&gt;"&amp;$X122)+COUNTIFS($E$4:$E122,$E122,$X$4:$X122,"="&amp;$X122))))</f>
        <v>TEMPEST#63</v>
      </c>
      <c r="AC122" s="41" t="str">
        <f>IF($C122="","",$B122&amp;"@"&amp;(COUNTIFS($B$4:$B$1463,$B122,$C$4:$C$1463,"&lt;"&amp;$C122)+COUNTIFS($B$4:$B122,$B122,$C$4:$C122,$C122)))</f>
        <v>ACHERON@7</v>
      </c>
      <c r="AD122" s="41">
        <f t="shared" si="9"/>
        <v>119</v>
      </c>
      <c r="AE122" s="41" t="s">
        <v>761</v>
      </c>
      <c r="AF122" s="73">
        <f t="shared" si="10"/>
        <v>61221</v>
      </c>
      <c r="AG122" s="74">
        <f t="shared" si="11"/>
        <v>2.85</v>
      </c>
      <c r="AH122" s="41" t="str">
        <f>IF($C122="","",$B122&amp;"|"&amp;(COUNTIFS($B$4:$B$1463,$B122,$AF$4:$AF$1463,"&gt;"&amp;$AF122)+COUNTIFS($B$4:$B122,$B122,$AF$4:$AF122,"="&amp;$AF122)))</f>
        <v>ACHERON|86</v>
      </c>
      <c r="AI122" s="41" t="str">
        <f>IF($C122="","",$B122&amp;"|"&amp;(COUNTIFS($B$4:$B$1463,$B122,$AG$4:$AG$1463,"&gt;"&amp;$AG122)+COUNTIFS($B$4:$B122,$B122,$AG$4:$AG122,"="&amp;$AG122)))</f>
        <v>ACHERON|93</v>
      </c>
    </row>
    <row r="123" spans="1:35" hidden="1">
      <c r="A123" s="69" t="s">
        <v>109</v>
      </c>
      <c r="B123" s="69" t="s">
        <v>111</v>
      </c>
      <c r="C123" s="63" t="s">
        <v>762</v>
      </c>
      <c r="D123" s="69" t="s">
        <v>527</v>
      </c>
      <c r="E123" s="68" t="s">
        <v>79</v>
      </c>
      <c r="F123" s="19" t="str">
        <f>IF($C123="","",IF($E123="","-",IFERROR(INDEX(SETUP!$B$55:$B$64,MATCH($E123,SETUP!$A$55:$A$64,0)),"Other")))</f>
        <v>Control</v>
      </c>
      <c r="G123" s="70">
        <v>63168</v>
      </c>
      <c r="H123" s="19" t="str">
        <f>IF($C123="","",IF($G123="","-",INDEX(SETUP!$B$26:$B$32,MATCH($G123,SETUP!$A$26:$A$32,1))))</f>
        <v>63,000 - 63,999</v>
      </c>
      <c r="I123" s="70">
        <v>4000</v>
      </c>
      <c r="J123" s="19" t="str">
        <f>IF($C123="","",IF($I123="","-",INDEX(SETUP!$B$16:$B$22,MATCH($I123,SETUP!$A$16:$A$22,1))))</f>
        <v>CORE</v>
      </c>
      <c r="K123" s="19" t="str">
        <f>IF($C123="","",IF($I123="","-",TEXT(INT($I123/1000)*1000,"#,##0")&amp;" - "&amp;TEXT(INT($I123/1000)*1000+999,"#,##0")))</f>
        <v>4,000 - 4,999</v>
      </c>
      <c r="L123" s="71">
        <v>4.5</v>
      </c>
      <c r="M123" s="19" t="str">
        <f>IF($C123="","",IF($L123="","-",INDEX(SETUP!$B$36:$B$42,MATCH($L123,SETUP!$A$36:$A$42,1))))</f>
        <v>4k - 5k</v>
      </c>
      <c r="N123" s="21">
        <f>IF($C123="","",IF(OR($G123="",$I123=""),"",ROUND(100*(SETUP!$B$4*MIN(1,$I123/SETUP!$B$9)+SETUP!$B$5*MAX(0,MIN(1,($G123-SETUP!$B$10)/(SETUP!$B$11-SETUP!$B$10)))+SETUP!$B$6*MIN(1,IF($L123="",0,$L123)/SETUP!$B$12)),1)))</f>
        <v>46.5</v>
      </c>
      <c r="O123" s="19" t="str">
        <f>IF($C123="","",IF($N123="","-",INDEX(SETUP!$B$46:$B$51,MATCH($N123,SETUP!$A$46:$A$51,1))))</f>
        <v>B</v>
      </c>
      <c r="P123" s="19">
        <f>IF($C123="","",IF($I123="","",RANK($I123,$I$4:$I$1463)+COUNTIF($I$4:$I123,$I123)-1))</f>
        <v>605</v>
      </c>
      <c r="Q123" s="19">
        <f>IF($C123="","",COUNTIFS($B$4:$B$1463,$B123,$X$4:$X$1463,"&gt;"&amp;$X123)+COUNTIFS($B$4:$B123,$B123,$X$4:$X123,"="&amp;$X123))</f>
        <v>63</v>
      </c>
      <c r="R123" s="75">
        <f>IF($C123="","",IF($I123="","",ROUND(COUNTIF($I$4:$I$1463,"&lt;"&amp;$I123)/COUNT($I$4:$I$1463),3)))</f>
        <v>0.54300000000000004</v>
      </c>
      <c r="S123" s="19" t="str">
        <f>IF($C123="","",IF($G123="","Name only",IF(OR($I123="",$L123=""),"Partial","Complete")))</f>
        <v>Complete</v>
      </c>
      <c r="T123" s="1" t="str">
        <f>IF($C123="","",TRIM(IF(COUNTIF($C$4:$C$1463,$C123)&gt;1,"Dup name; ","")&amp;IF(AND($G123&lt;&gt;"",$G123&lt;55000),"Low CR - verify; ","")&amp;IF(AND($L123&lt;&gt;"",$L123&gt;15),"Secondary - verify; ","")&amp;IF($E123="","No class; ","")))</f>
        <v/>
      </c>
      <c r="U123" s="68"/>
      <c r="V123" s="68"/>
      <c r="W123" s="68"/>
      <c r="X123" s="76">
        <f t="shared" si="7"/>
        <v>4000</v>
      </c>
      <c r="Y123" s="1" t="str">
        <f t="shared" si="8"/>
        <v>RECKONING|63</v>
      </c>
      <c r="Z123" s="19">
        <f>IF($C123="","",IF($G123="","",RANK($G123,$G$4:$G$1463)+COUNTIF($G$4:$G123,$G123)-1))</f>
        <v>333</v>
      </c>
      <c r="AA123" s="19">
        <f>IF($C123="","",IF($N123="","",RANK($N123,$N$4:$N$1463)+COUNTIF($N$4:$N123,$N123)-1))</f>
        <v>567</v>
      </c>
      <c r="AB123" s="1" t="str">
        <f>IF($C123="","",IF($E123="","",$E123&amp;"#"&amp;(COUNTIFS($E$4:$E$1463,$E123,$X$4:$X$1463,"&gt;"&amp;$X123)+COUNTIFS($E$4:$E123,$E123,$X$4:$X123,"="&amp;$X123))))</f>
        <v>WARLOCK#141</v>
      </c>
      <c r="AC123" s="1" t="str">
        <f>IF($C123="","",$B123&amp;"@"&amp;(COUNTIFS($B$4:$B$1463,$B123,$C$4:$C$1463,"&lt;"&amp;$C123)+COUNTIFS($B$4:$B123,$B123,$C$4:$C123,$C123)))</f>
        <v>RECKONING@12</v>
      </c>
      <c r="AD123" s="1">
        <f t="shared" si="9"/>
        <v>120</v>
      </c>
      <c r="AE123" s="1" t="s">
        <v>763</v>
      </c>
      <c r="AF123" s="76">
        <f t="shared" si="10"/>
        <v>63168</v>
      </c>
      <c r="AG123" s="77">
        <f t="shared" si="11"/>
        <v>4.5</v>
      </c>
      <c r="AH123" s="1" t="str">
        <f>IF($C123="","",$B123&amp;"|"&amp;(COUNTIFS($B$4:$B$1463,$B123,$AF$4:$AF$1463,"&gt;"&amp;$AF123)+COUNTIFS($B$4:$B123,$B123,$AF$4:$AF123,"="&amp;$AF123)))</f>
        <v>RECKONING|35</v>
      </c>
      <c r="AI123" s="1" t="str">
        <f>IF($C123="","",$B123&amp;"|"&amp;(COUNTIFS($B$4:$B$1463,$B123,$AG$4:$AG$1463,"&gt;"&amp;$AG123)+COUNTIFS($B$4:$B123,$B123,$AG$4:$AG123,"="&amp;$AG123)))</f>
        <v>RECKONING|82</v>
      </c>
    </row>
    <row r="124" spans="1:35" hidden="1">
      <c r="A124" s="69" t="s">
        <v>106</v>
      </c>
      <c r="B124" s="69" t="s">
        <v>105</v>
      </c>
      <c r="C124" s="63" t="s">
        <v>764</v>
      </c>
      <c r="D124" s="69" t="s">
        <v>691</v>
      </c>
      <c r="E124" s="68" t="s">
        <v>79</v>
      </c>
      <c r="F124" s="15" t="str">
        <f>IF($C124="","",IF($E124="","-",IFERROR(INDEX(SETUP!$B$55:$B$64,MATCH($E124,SETUP!$A$55:$A$64,0)),"Other")))</f>
        <v>Control</v>
      </c>
      <c r="G124" s="70">
        <v>63750</v>
      </c>
      <c r="H124" s="15" t="str">
        <f>IF($C124="","",IF($G124="","-",INDEX(SETUP!$B$26:$B$32,MATCH($G124,SETUP!$A$26:$A$32,1))))</f>
        <v>63,000 - 63,999</v>
      </c>
      <c r="I124" s="70">
        <v>6058</v>
      </c>
      <c r="J124" s="15" t="str">
        <f>IF($C124="","",IF($I124="","-",INDEX(SETUP!$B$16:$B$22,MATCH($I124,SETUP!$A$16:$A$22,1))))</f>
        <v>VETERAN</v>
      </c>
      <c r="K124" s="15" t="str">
        <f>IF($C124="","",IF($I124="","-",TEXT(INT($I124/1000)*1000,"#,##0")&amp;" - "&amp;TEXT(INT($I124/1000)*1000+999,"#,##0")))</f>
        <v>6,000 - 6,999</v>
      </c>
      <c r="L124" s="71">
        <v>6.08</v>
      </c>
      <c r="M124" s="15" t="str">
        <f>IF($C124="","",IF($L124="","-",INDEX(SETUP!$B$36:$B$42,MATCH($L124,SETUP!$A$36:$A$42,1))))</f>
        <v>6k - 8k</v>
      </c>
      <c r="N124" s="17">
        <f>IF($C124="","",IF(OR($G124="",$I124=""),"",ROUND(100*(SETUP!$B$4*MIN(1,$I124/SETUP!$B$9)+SETUP!$B$5*MAX(0,MIN(1,($G124-SETUP!$B$10)/(SETUP!$B$11-SETUP!$B$10)))+SETUP!$B$6*MIN(1,IF($L124="",0,$L124)/SETUP!$B$12)),1)))</f>
        <v>59.6</v>
      </c>
      <c r="O124" s="15" t="str">
        <f>IF($C124="","",IF($N124="","-",INDEX(SETUP!$B$46:$B$51,MATCH($N124,SETUP!$A$46:$A$51,1))))</f>
        <v>A</v>
      </c>
      <c r="P124" s="15">
        <f>IF($C124="","",IF($I124="","",RANK($I124,$I$4:$I$1463)+COUNTIF($I$4:$I124,$I124)-1))</f>
        <v>281</v>
      </c>
      <c r="Q124" s="15">
        <f>IF($C124="","",COUNTIFS($B$4:$B$1463,$B124,$X$4:$X$1463,"&gt;"&amp;$X124)+COUNTIFS($B$4:$B124,$B124,$X$4:$X124,"="&amp;$X124))</f>
        <v>29</v>
      </c>
      <c r="R124" s="72">
        <f>IF($C124="","",IF($I124="","",ROUND(COUNTIF($I$4:$I$1463,"&lt;"&amp;$I124)/COUNT($I$4:$I$1463),3)))</f>
        <v>0.78800000000000003</v>
      </c>
      <c r="S124" s="15" t="str">
        <f>IF($C124="","",IF($G124="","Name only",IF(OR($I124="",$L124=""),"Partial","Complete")))</f>
        <v>Complete</v>
      </c>
      <c r="T124" s="41" t="str">
        <f>IF($C124="","",TRIM(IF(COUNTIF($C$4:$C$1463,$C124)&gt;1,"Dup name; ","")&amp;IF(AND($G124&lt;&gt;"",$G124&lt;55000),"Low CR - verify; ","")&amp;IF(AND($L124&lt;&gt;"",$L124&gt;15),"Secondary - verify; ","")&amp;IF($E124="","No class; ","")))</f>
        <v/>
      </c>
      <c r="U124" s="68"/>
      <c r="V124" s="68"/>
      <c r="W124" s="68"/>
      <c r="X124" s="73">
        <f t="shared" si="7"/>
        <v>6058</v>
      </c>
      <c r="Y124" s="41" t="str">
        <f t="shared" si="8"/>
        <v>LEGENDS|29</v>
      </c>
      <c r="Z124" s="15">
        <f>IF($C124="","",IF($G124="","",RANK($G124,$G$4:$G$1463)+COUNTIF($G$4:$G124,$G124)-1))</f>
        <v>124</v>
      </c>
      <c r="AA124" s="15">
        <f>IF($C124="","",IF($N124="","",RANK($N124,$N$4:$N$1463)+COUNTIF($N$4:$N124,$N124)-1))</f>
        <v>240</v>
      </c>
      <c r="AB124" s="41" t="str">
        <f>IF($C124="","",IF($E124="","",$E124&amp;"#"&amp;(COUNTIFS($E$4:$E$1463,$E124,$X$4:$X$1463,"&gt;"&amp;$X124)+COUNTIFS($E$4:$E124,$E124,$X$4:$X124,"="&amp;$X124))))</f>
        <v>WARLOCK#60</v>
      </c>
      <c r="AC124" s="41" t="str">
        <f>IF($C124="","",$B124&amp;"@"&amp;(COUNTIFS($B$4:$B$1463,$B124,$C$4:$C$1463,"&lt;"&amp;$C124)+COUNTIFS($B$4:$B124,$B124,$C$4:$C124,$C124)))</f>
        <v>LEGENDS@8</v>
      </c>
      <c r="AD124" s="41">
        <f t="shared" si="9"/>
        <v>121</v>
      </c>
      <c r="AE124" s="41" t="s">
        <v>765</v>
      </c>
      <c r="AF124" s="73">
        <f t="shared" si="10"/>
        <v>63750</v>
      </c>
      <c r="AG124" s="74">
        <f t="shared" si="11"/>
        <v>6.08</v>
      </c>
      <c r="AH124" s="41" t="str">
        <f>IF($C124="","",$B124&amp;"|"&amp;(COUNTIFS($B$4:$B$1463,$B124,$AF$4:$AF$1463,"&gt;"&amp;$AF124)+COUNTIFS($B$4:$B124,$B124,$AF$4:$AF124,"="&amp;$AF124)))</f>
        <v>LEGENDS|9</v>
      </c>
      <c r="AI124" s="41" t="str">
        <f>IF($C124="","",$B124&amp;"|"&amp;(COUNTIFS($B$4:$B$1463,$B124,$AG$4:$AG$1463,"&gt;"&amp;$AG124)+COUNTIFS($B$4:$B124,$B124,$AG$4:$AG124,"="&amp;$AG124)))</f>
        <v>LEGENDS|19</v>
      </c>
    </row>
    <row r="125" spans="1:35" hidden="1">
      <c r="A125" s="69" t="s">
        <v>109</v>
      </c>
      <c r="B125" s="69" t="s">
        <v>110</v>
      </c>
      <c r="C125" s="63" t="s">
        <v>766</v>
      </c>
      <c r="D125" s="69"/>
      <c r="E125" s="68" t="s">
        <v>71</v>
      </c>
      <c r="F125" s="19" t="str">
        <f>IF($C125="","",IF($E125="","-",IFERROR(INDEX(SETUP!$B$55:$B$64,MATCH($E125,SETUP!$A$55:$A$64,0)),"Other")))</f>
        <v>Frontline</v>
      </c>
      <c r="G125" s="70">
        <v>63949</v>
      </c>
      <c r="H125" s="19" t="str">
        <f>IF($C125="","",IF($G125="","-",INDEX(SETUP!$B$26:$B$32,MATCH($G125,SETUP!$A$26:$A$32,1))))</f>
        <v>63,000 - 63,999</v>
      </c>
      <c r="I125" s="70">
        <v>8160</v>
      </c>
      <c r="J125" s="19" t="str">
        <f>IF($C125="","",IF($I125="","-",INDEX(SETUP!$B$16:$B$22,MATCH($I125,SETUP!$A$16:$A$22,1))))</f>
        <v>ELITE</v>
      </c>
      <c r="K125" s="19" t="str">
        <f>IF($C125="","",IF($I125="","-",TEXT(INT($I125/1000)*1000,"#,##0")&amp;" - "&amp;TEXT(INT($I125/1000)*1000+999,"#,##0")))</f>
        <v>8,000 - 8,999</v>
      </c>
      <c r="L125" s="71">
        <v>7.1</v>
      </c>
      <c r="M125" s="19" t="str">
        <f>IF($C125="","",IF($L125="","-",INDEX(SETUP!$B$36:$B$42,MATCH($L125,SETUP!$A$36:$A$42,1))))</f>
        <v>6k - 8k</v>
      </c>
      <c r="N125" s="21">
        <f>IF($C125="","",IF(OR($G125="",$I125=""),"",ROUND(100*(SETUP!$B$4*MIN(1,$I125/SETUP!$B$9)+SETUP!$B$5*MAX(0,MIN(1,($G125-SETUP!$B$10)/(SETUP!$B$11-SETUP!$B$10)))+SETUP!$B$6*MIN(1,IF($L125="",0,$L125)/SETUP!$B$12)),1)))</f>
        <v>71</v>
      </c>
      <c r="O125" s="19" t="str">
        <f>IF($C125="","",IF($N125="","-",INDEX(SETUP!$B$46:$B$51,MATCH($N125,SETUP!$A$46:$A$51,1))))</f>
        <v>S</v>
      </c>
      <c r="P125" s="19">
        <f>IF($C125="","",IF($I125="","",RANK($I125,$I$4:$I$1463)+COUNTIF($I$4:$I125,$I125)-1))</f>
        <v>139</v>
      </c>
      <c r="Q125" s="19">
        <f>IF($C125="","",COUNTIFS($B$4:$B$1463,$B125,$X$4:$X$1463,"&gt;"&amp;$X125)+COUNTIFS($B$4:$B125,$B125,$X$4:$X125,"="&amp;$X125))</f>
        <v>23</v>
      </c>
      <c r="R125" s="75">
        <f>IF($C125="","",IF($I125="","",ROUND(COUNTIF($I$4:$I$1463,"&lt;"&amp;$I125)/COUNT($I$4:$I$1463),3)))</f>
        <v>0.89500000000000002</v>
      </c>
      <c r="S125" s="19" t="str">
        <f>IF($C125="","",IF($G125="","Name only",IF(OR($I125="",$L125=""),"Partial","Complete")))</f>
        <v>Complete</v>
      </c>
      <c r="T125" s="1" t="str">
        <f>IF($C125="","",TRIM(IF(COUNTIF($C$4:$C$1463,$C125)&gt;1,"Dup name; ","")&amp;IF(AND($G125&lt;&gt;"",$G125&lt;55000),"Low CR - verify; ","")&amp;IF(AND($L125&lt;&gt;"",$L125&gt;15),"Secondary - verify; ","")&amp;IF($E125="","No class; ","")))</f>
        <v/>
      </c>
      <c r="U125" s="68"/>
      <c r="V125" s="68"/>
      <c r="W125" s="68"/>
      <c r="X125" s="76">
        <f t="shared" si="7"/>
        <v>8160</v>
      </c>
      <c r="Y125" s="1" t="str">
        <f t="shared" si="8"/>
        <v>AZUKI|23</v>
      </c>
      <c r="Z125" s="19">
        <f>IF($C125="","",IF($G125="","",RANK($G125,$G$4:$G$1463)+COUNTIF($G$4:$G125,$G125)-1))</f>
        <v>81</v>
      </c>
      <c r="AA125" s="19">
        <f>IF($C125="","",IF($N125="","",RANK($N125,$N$4:$N$1463)+COUNTIF($N$4:$N125,$N125)-1))</f>
        <v>121</v>
      </c>
      <c r="AB125" s="1" t="str">
        <f>IF($C125="","",IF($E125="","",$E125&amp;"#"&amp;(COUNTIFS($E$4:$E$1463,$E125,$X$4:$X$1463,"&gt;"&amp;$X125)+COUNTIFS($E$4:$E125,$E125,$X$4:$X125,"="&amp;$X125))))</f>
        <v>BARBARIAN#30</v>
      </c>
      <c r="AC125" s="1" t="str">
        <f>IF($C125="","",$B125&amp;"@"&amp;(COUNTIFS($B$4:$B$1463,$B125,$C$4:$C$1463,"&lt;"&amp;$C125)+COUNTIFS($B$4:$B125,$B125,$C$4:$C125,$C125)))</f>
        <v>AZUKI@13</v>
      </c>
      <c r="AD125" s="1">
        <f t="shared" si="9"/>
        <v>122</v>
      </c>
      <c r="AE125" s="1" t="s">
        <v>767</v>
      </c>
      <c r="AF125" s="76">
        <f t="shared" si="10"/>
        <v>63949</v>
      </c>
      <c r="AG125" s="77">
        <f t="shared" si="11"/>
        <v>7.1</v>
      </c>
      <c r="AH125" s="1" t="str">
        <f>IF($C125="","",$B125&amp;"|"&amp;(COUNTIFS($B$4:$B$1463,$B125,$AF$4:$AF$1463,"&gt;"&amp;$AF125)+COUNTIFS($B$4:$B125,$B125,$AF$4:$AF125,"="&amp;$AF125)))</f>
        <v>AZUKI|17</v>
      </c>
      <c r="AI125" s="1" t="str">
        <f>IF($C125="","",$B125&amp;"|"&amp;(COUNTIFS($B$4:$B$1463,$B125,$AG$4:$AG$1463,"&gt;"&amp;$AG125)+COUNTIFS($B$4:$B125,$B125,$AG$4:$AG125,"="&amp;$AG125)))</f>
        <v>AZUKI|27</v>
      </c>
    </row>
    <row r="126" spans="1:35" hidden="1">
      <c r="A126" s="69" t="s">
        <v>109</v>
      </c>
      <c r="B126" s="69" t="s">
        <v>118</v>
      </c>
      <c r="C126" s="63" t="s">
        <v>768</v>
      </c>
      <c r="D126" s="69"/>
      <c r="E126" s="68" t="s">
        <v>74</v>
      </c>
      <c r="F126" s="15" t="str">
        <f>IF($C126="","",IF($E126="","-",IFERROR(INDEX(SETUP!$B$55:$B$64,MATCH($E126,SETUP!$A$55:$A$64,0)),"Other")))</f>
        <v>Ranged DPS</v>
      </c>
      <c r="G126" s="70">
        <v>62887</v>
      </c>
      <c r="H126" s="15" t="str">
        <f>IF($C126="","",IF($G126="","-",INDEX(SETUP!$B$26:$B$32,MATCH($G126,SETUP!$A$26:$A$32,1))))</f>
        <v>62,000 - 62,999</v>
      </c>
      <c r="I126" s="70">
        <v>2687</v>
      </c>
      <c r="J126" s="15" t="str">
        <f>IF($C126="","",IF($I126="","-",INDEX(SETUP!$B$16:$B$22,MATCH($I126,SETUP!$A$16:$A$22,1))))</f>
        <v>DEVELOPING</v>
      </c>
      <c r="K126" s="15" t="str">
        <f>IF($C126="","",IF($I126="","-",TEXT(INT($I126/1000)*1000,"#,##0")&amp;" - "&amp;TEXT(INT($I126/1000)*1000+999,"#,##0")))</f>
        <v>2,000 - 2,999</v>
      </c>
      <c r="L126" s="71">
        <v>4.0999999999999996</v>
      </c>
      <c r="M126" s="15" t="str">
        <f>IF($C126="","",IF($L126="","-",INDEX(SETUP!$B$36:$B$42,MATCH($L126,SETUP!$A$36:$A$42,1))))</f>
        <v>4k - 5k</v>
      </c>
      <c r="N126" s="17">
        <f>IF($C126="","",IF(OR($G126="",$I126=""),"",ROUND(100*(SETUP!$B$4*MIN(1,$I126/SETUP!$B$9)+SETUP!$B$5*MAX(0,MIN(1,($G126-SETUP!$B$10)/(SETUP!$B$11-SETUP!$B$10)))+SETUP!$B$6*MIN(1,IF($L126="",0,$L126)/SETUP!$B$12)),1)))</f>
        <v>39.299999999999997</v>
      </c>
      <c r="O126" s="15" t="str">
        <f>IF($C126="","",IF($N126="","-",INDEX(SETUP!$B$46:$B$51,MATCH($N126,SETUP!$A$46:$A$51,1))))</f>
        <v>B</v>
      </c>
      <c r="P126" s="15">
        <f>IF($C126="","",IF($I126="","",RANK($I126,$I$4:$I$1463)+COUNTIF($I$4:$I126,$I126)-1))</f>
        <v>956</v>
      </c>
      <c r="Q126" s="15">
        <f>IF($C126="","",COUNTIFS($B$4:$B$1463,$B126,$X$4:$X$1463,"&gt;"&amp;$X126)+COUNTIFS($B$4:$B126,$B126,$X$4:$X126,"="&amp;$X126))</f>
        <v>20</v>
      </c>
      <c r="R126" s="72">
        <f>IF($C126="","",IF($I126="","",ROUND(COUNTIF($I$4:$I$1463,"&lt;"&amp;$I126)/COUNT($I$4:$I$1463),3)))</f>
        <v>0.27800000000000002</v>
      </c>
      <c r="S126" s="15" t="str">
        <f>IF($C126="","",IF($G126="","Name only",IF(OR($I126="",$L126=""),"Partial","Complete")))</f>
        <v>Complete</v>
      </c>
      <c r="T126" s="41" t="str">
        <f>IF($C126="","",TRIM(IF(COUNTIF($C$4:$C$1463,$C126)&gt;1,"Dup name; ","")&amp;IF(AND($G126&lt;&gt;"",$G126&lt;55000),"Low CR - verify; ","")&amp;IF(AND($L126&lt;&gt;"",$L126&gt;15),"Secondary - verify; ","")&amp;IF($E126="","No class; ","")))</f>
        <v/>
      </c>
      <c r="U126" s="68"/>
      <c r="V126" s="68"/>
      <c r="W126" s="68"/>
      <c r="X126" s="73">
        <f t="shared" si="7"/>
        <v>2687</v>
      </c>
      <c r="Y126" s="41" t="str">
        <f t="shared" si="8"/>
        <v>ZOMBIES|20</v>
      </c>
      <c r="Z126" s="15">
        <f>IF($C126="","",IF($G126="","",RANK($G126,$G$4:$G$1463)+COUNTIF($G$4:$G126,$G126)-1))</f>
        <v>479</v>
      </c>
      <c r="AA126" s="15">
        <f>IF($C126="","",IF($N126="","",RANK($N126,$N$4:$N$1463)+COUNTIF($N$4:$N126,$N126)-1))</f>
        <v>849</v>
      </c>
      <c r="AB126" s="41" t="str">
        <f>IF($C126="","",IF($E126="","",$E126&amp;"#"&amp;(COUNTIFS($E$4:$E$1463,$E126,$X$4:$X$1463,"&gt;"&amp;$X126)+COUNTIFS($E$4:$E126,$E126,$X$4:$X126,"="&amp;$X126))))</f>
        <v>DEMON HUNTER#154</v>
      </c>
      <c r="AC126" s="41" t="str">
        <f>IF($C126="","",$B126&amp;"@"&amp;(COUNTIFS($B$4:$B$1463,$B126,$C$4:$C$1463,"&lt;"&amp;$C126)+COUNTIFS($B$4:$B126,$B126,$C$4:$C126,$C126)))</f>
        <v>ZOMBIES@12</v>
      </c>
      <c r="AD126" s="41">
        <f t="shared" si="9"/>
        <v>123</v>
      </c>
      <c r="AE126" s="41" t="s">
        <v>769</v>
      </c>
      <c r="AF126" s="73">
        <f t="shared" si="10"/>
        <v>62887</v>
      </c>
      <c r="AG126" s="74">
        <f t="shared" si="11"/>
        <v>4.0999999999999996</v>
      </c>
      <c r="AH126" s="41" t="str">
        <f>IF($C126="","",$B126&amp;"|"&amp;(COUNTIFS($B$4:$B$1463,$B126,$AF$4:$AF$1463,"&gt;"&amp;$AF126)+COUNTIFS($B$4:$B126,$B126,$AF$4:$AF126,"="&amp;$AF126)))</f>
        <v>ZOMBIES|6</v>
      </c>
      <c r="AI126" s="41" t="str">
        <f>IF($C126="","",$B126&amp;"|"&amp;(COUNTIFS($B$4:$B$1463,$B126,$AG$4:$AG$1463,"&gt;"&amp;$AG126)+COUNTIFS($B$4:$B126,$B126,$AG$4:$AG126,"="&amp;$AG126)))</f>
        <v>ZOMBIES|23</v>
      </c>
    </row>
    <row r="127" spans="1:35" hidden="1">
      <c r="A127" s="69" t="s">
        <v>109</v>
      </c>
      <c r="B127" s="69" t="s">
        <v>116</v>
      </c>
      <c r="C127" s="63" t="s">
        <v>770</v>
      </c>
      <c r="D127" s="69" t="s">
        <v>530</v>
      </c>
      <c r="E127" s="68" t="s">
        <v>71</v>
      </c>
      <c r="F127" s="19" t="str">
        <f>IF($C127="","",IF($E127="","-",IFERROR(INDEX(SETUP!$B$55:$B$64,MATCH($E127,SETUP!$A$55:$A$64,0)),"Other")))</f>
        <v>Frontline</v>
      </c>
      <c r="G127" s="70">
        <v>63469</v>
      </c>
      <c r="H127" s="19" t="str">
        <f>IF($C127="","",IF($G127="","-",INDEX(SETUP!$B$26:$B$32,MATCH($G127,SETUP!$A$26:$A$32,1))))</f>
        <v>63,000 - 63,999</v>
      </c>
      <c r="I127" s="70">
        <v>7513</v>
      </c>
      <c r="J127" s="19" t="str">
        <f>IF($C127="","",IF($I127="","-",INDEX(SETUP!$B$16:$B$22,MATCH($I127,SETUP!$A$16:$A$22,1))))</f>
        <v>VETERAN</v>
      </c>
      <c r="K127" s="19" t="str">
        <f>IF($C127="","",IF($I127="","-",TEXT(INT($I127/1000)*1000,"#,##0")&amp;" - "&amp;TEXT(INT($I127/1000)*1000+999,"#,##0")))</f>
        <v>7,000 - 7,999</v>
      </c>
      <c r="L127" s="71">
        <v>6.36</v>
      </c>
      <c r="M127" s="19" t="str">
        <f>IF($C127="","",IF($L127="","-",INDEX(SETUP!$B$36:$B$42,MATCH($L127,SETUP!$A$36:$A$42,1))))</f>
        <v>6k - 8k</v>
      </c>
      <c r="N127" s="21">
        <f>IF($C127="","",IF(OR($G127="",$I127=""),"",ROUND(100*(SETUP!$B$4*MIN(1,$I127/SETUP!$B$9)+SETUP!$B$5*MAX(0,MIN(1,($G127-SETUP!$B$10)/(SETUP!$B$11-SETUP!$B$10)))+SETUP!$B$6*MIN(1,IF($L127="",0,$L127)/SETUP!$B$12)),1)))</f>
        <v>65.7</v>
      </c>
      <c r="O127" s="19" t="str">
        <f>IF($C127="","",IF($N127="","-",INDEX(SETUP!$B$46:$B$51,MATCH($N127,SETUP!$A$46:$A$51,1))))</f>
        <v>S</v>
      </c>
      <c r="P127" s="19">
        <f>IF($C127="","",IF($I127="","",RANK($I127,$I$4:$I$1463)+COUNTIF($I$4:$I127,$I127)-1))</f>
        <v>168</v>
      </c>
      <c r="Q127" s="19">
        <f>IF($C127="","",COUNTIFS($B$4:$B$1463,$B127,$X$4:$X$1463,"&gt;"&amp;$X127)+COUNTIFS($B$4:$B127,$B127,$X$4:$X127,"="&amp;$X127))</f>
        <v>4</v>
      </c>
      <c r="R127" s="75">
        <f>IF($C127="","",IF($I127="","",ROUND(COUNTIF($I$4:$I$1463,"&lt;"&amp;$I127)/COUNT($I$4:$I$1463),3)))</f>
        <v>0.873</v>
      </c>
      <c r="S127" s="19" t="str">
        <f>IF($C127="","",IF($G127="","Name only",IF(OR($I127="",$L127=""),"Partial","Complete")))</f>
        <v>Complete</v>
      </c>
      <c r="T127" s="1" t="str">
        <f>IF($C127="","",TRIM(IF(COUNTIF($C$4:$C$1463,$C127)&gt;1,"Dup name; ","")&amp;IF(AND($G127&lt;&gt;"",$G127&lt;55000),"Low CR - verify; ","")&amp;IF(AND($L127&lt;&gt;"",$L127&gt;15),"Secondary - verify; ","")&amp;IF($E127="","No class; ","")))</f>
        <v/>
      </c>
      <c r="U127" s="68"/>
      <c r="V127" s="68"/>
      <c r="W127" s="68"/>
      <c r="X127" s="76">
        <f t="shared" si="7"/>
        <v>7513</v>
      </c>
      <c r="Y127" s="1" t="str">
        <f t="shared" si="8"/>
        <v>VENGEANCE|4</v>
      </c>
      <c r="Z127" s="19">
        <f>IF($C127="","",IF($G127="","",RANK($G127,$G$4:$G$1463)+COUNTIF($G$4:$G127,$G127)-1))</f>
        <v>200</v>
      </c>
      <c r="AA127" s="19">
        <f>IF($C127="","",IF($N127="","",RANK($N127,$N$4:$N$1463)+COUNTIF($N$4:$N127,$N127)-1))</f>
        <v>166</v>
      </c>
      <c r="AB127" s="1" t="str">
        <f>IF($C127="","",IF($E127="","",$E127&amp;"#"&amp;(COUNTIFS($E$4:$E$1463,$E127,$X$4:$X$1463,"&gt;"&amp;$X127)+COUNTIFS($E$4:$E127,$E127,$X$4:$X127,"="&amp;$X127))))</f>
        <v>BARBARIAN#37</v>
      </c>
      <c r="AC127" s="1" t="str">
        <f>IF($C127="","",$B127&amp;"@"&amp;(COUNTIFS($B$4:$B$1463,$B127,$C$4:$C$1463,"&lt;"&amp;$C127)+COUNTIFS($B$4:$B127,$B127,$C$4:$C127,$C127)))</f>
        <v>VENGEANCE@11</v>
      </c>
      <c r="AD127" s="1">
        <f t="shared" si="9"/>
        <v>124</v>
      </c>
      <c r="AE127" s="1" t="s">
        <v>771</v>
      </c>
      <c r="AF127" s="76">
        <f t="shared" si="10"/>
        <v>63469</v>
      </c>
      <c r="AG127" s="77">
        <f t="shared" si="11"/>
        <v>6.36</v>
      </c>
      <c r="AH127" s="1" t="str">
        <f>IF($C127="","",$B127&amp;"|"&amp;(COUNTIFS($B$4:$B$1463,$B127,$AF$4:$AF$1463,"&gt;"&amp;$AF127)+COUNTIFS($B$4:$B127,$B127,$AF$4:$AF127,"="&amp;$AF127)))</f>
        <v>VENGEANCE|4</v>
      </c>
      <c r="AI127" s="1" t="str">
        <f>IF($C127="","",$B127&amp;"|"&amp;(COUNTIFS($B$4:$B$1463,$B127,$AG$4:$AG$1463,"&gt;"&amp;$AG127)+COUNTIFS($B$4:$B127,$B127,$AG$4:$AG127,"="&amp;$AG127)))</f>
        <v>VENGEANCE|10</v>
      </c>
    </row>
    <row r="128" spans="1:35" hidden="1">
      <c r="A128" s="69" t="s">
        <v>109</v>
      </c>
      <c r="B128" s="69" t="s">
        <v>110</v>
      </c>
      <c r="C128" s="63" t="s">
        <v>772</v>
      </c>
      <c r="D128" s="69"/>
      <c r="E128" s="68" t="s">
        <v>71</v>
      </c>
      <c r="F128" s="15" t="str">
        <f>IF($C128="","",IF($E128="","-",IFERROR(INDEX(SETUP!$B$55:$B$64,MATCH($E128,SETUP!$A$55:$A$64,0)),"Other")))</f>
        <v>Frontline</v>
      </c>
      <c r="G128" s="70">
        <v>63132</v>
      </c>
      <c r="H128" s="15" t="str">
        <f>IF($C128="","",IF($G128="","-",INDEX(SETUP!$B$26:$B$32,MATCH($G128,SETUP!$A$26:$A$32,1))))</f>
        <v>63,000 - 63,999</v>
      </c>
      <c r="I128" s="70">
        <v>4155</v>
      </c>
      <c r="J128" s="15" t="str">
        <f>IF($C128="","",IF($I128="","-",INDEX(SETUP!$B$16:$B$22,MATCH($I128,SETUP!$A$16:$A$22,1))))</f>
        <v>CORE</v>
      </c>
      <c r="K128" s="15" t="str">
        <f>IF($C128="","",IF($I128="","-",TEXT(INT($I128/1000)*1000,"#,##0")&amp;" - "&amp;TEXT(INT($I128/1000)*1000+999,"#,##0")))</f>
        <v>4,000 - 4,999</v>
      </c>
      <c r="L128" s="71">
        <v>6.85</v>
      </c>
      <c r="M128" s="15" t="str">
        <f>IF($C128="","",IF($L128="","-",INDEX(SETUP!$B$36:$B$42,MATCH($L128,SETUP!$A$36:$A$42,1))))</f>
        <v>6k - 8k</v>
      </c>
      <c r="N128" s="17">
        <f>IF($C128="","",IF(OR($G128="",$I128=""),"",ROUND(100*(SETUP!$B$4*MIN(1,$I128/SETUP!$B$9)+SETUP!$B$5*MAX(0,MIN(1,($G128-SETUP!$B$10)/(SETUP!$B$11-SETUP!$B$10)))+SETUP!$B$6*MIN(1,IF($L128="",0,$L128)/SETUP!$B$12)),1)))</f>
        <v>51</v>
      </c>
      <c r="O128" s="15" t="str">
        <f>IF($C128="","",IF($N128="","-",INDEX(SETUP!$B$46:$B$51,MATCH($N128,SETUP!$A$46:$A$51,1))))</f>
        <v>A</v>
      </c>
      <c r="P128" s="15">
        <f>IF($C128="","",IF($I128="","",RANK($I128,$I$4:$I$1463)+COUNTIF($I$4:$I128,$I128)-1))</f>
        <v>568</v>
      </c>
      <c r="Q128" s="15">
        <f>IF($C128="","",COUNTIFS($B$4:$B$1463,$B128,$X$4:$X$1463,"&gt;"&amp;$X128)+COUNTIFS($B$4:$B128,$B128,$X$4:$X128,"="&amp;$X128))</f>
        <v>61</v>
      </c>
      <c r="R128" s="72">
        <f>IF($C128="","",IF($I128="","",ROUND(COUNTIF($I$4:$I$1463,"&lt;"&amp;$I128)/COUNT($I$4:$I$1463),3)))</f>
        <v>0.57099999999999995</v>
      </c>
      <c r="S128" s="15" t="str">
        <f>IF($C128="","",IF($G128="","Name only",IF(OR($I128="",$L128=""),"Partial","Complete")))</f>
        <v>Complete</v>
      </c>
      <c r="T128" s="41" t="str">
        <f>IF($C128="","",TRIM(IF(COUNTIF($C$4:$C$1463,$C128)&gt;1,"Dup name; ","")&amp;IF(AND($G128&lt;&gt;"",$G128&lt;55000),"Low CR - verify; ","")&amp;IF(AND($L128&lt;&gt;"",$L128&gt;15),"Secondary - verify; ","")&amp;IF($E128="","No class; ","")))</f>
        <v/>
      </c>
      <c r="U128" s="68"/>
      <c r="V128" s="68"/>
      <c r="W128" s="68"/>
      <c r="X128" s="73">
        <f t="shared" si="7"/>
        <v>4155</v>
      </c>
      <c r="Y128" s="41" t="str">
        <f t="shared" si="8"/>
        <v>AZUKI|61</v>
      </c>
      <c r="Z128" s="15">
        <f>IF($C128="","",IF($G128="","",RANK($G128,$G$4:$G$1463)+COUNTIF($G$4:$G128,$G128)-1))</f>
        <v>356</v>
      </c>
      <c r="AA128" s="15">
        <f>IF($C128="","",IF($N128="","",RANK($N128,$N$4:$N$1463)+COUNTIF($N$4:$N128,$N128)-1))</f>
        <v>425</v>
      </c>
      <c r="AB128" s="41" t="str">
        <f>IF($C128="","",IF($E128="","",$E128&amp;"#"&amp;(COUNTIFS($E$4:$E$1463,$E128,$X$4:$X$1463,"&gt;"&amp;$X128)+COUNTIFS($E$4:$E128,$E128,$X$4:$X128,"="&amp;$X128))))</f>
        <v>BARBARIAN#110</v>
      </c>
      <c r="AC128" s="41" t="str">
        <f>IF($C128="","",$B128&amp;"@"&amp;(COUNTIFS($B$4:$B$1463,$B128,$C$4:$C$1463,"&lt;"&amp;$C128)+COUNTIFS($B$4:$B128,$B128,$C$4:$C128,$C128)))</f>
        <v>AZUKI@14</v>
      </c>
      <c r="AD128" s="41">
        <f t="shared" si="9"/>
        <v>125</v>
      </c>
      <c r="AE128" s="41" t="s">
        <v>773</v>
      </c>
      <c r="AF128" s="73">
        <f t="shared" si="10"/>
        <v>63132</v>
      </c>
      <c r="AG128" s="74">
        <f t="shared" si="11"/>
        <v>6.85</v>
      </c>
      <c r="AH128" s="41" t="str">
        <f>IF($C128="","",$B128&amp;"|"&amp;(COUNTIFS($B$4:$B$1463,$B128,$AF$4:$AF$1463,"&gt;"&amp;$AF128)+COUNTIFS($B$4:$B128,$B128,$AF$4:$AF128,"="&amp;$AF128)))</f>
        <v>AZUKI|35</v>
      </c>
      <c r="AI128" s="41" t="str">
        <f>IF($C128="","",$B128&amp;"|"&amp;(COUNTIFS($B$4:$B$1463,$B128,$AG$4:$AG$1463,"&gt;"&amp;$AG128)+COUNTIFS($B$4:$B128,$B128,$AG$4:$AG128,"="&amp;$AG128)))</f>
        <v>AZUKI|30</v>
      </c>
    </row>
    <row r="129" spans="1:35" hidden="1">
      <c r="A129" s="69" t="s">
        <v>106</v>
      </c>
      <c r="B129" s="69" t="s">
        <v>105</v>
      </c>
      <c r="C129" s="63" t="s">
        <v>774</v>
      </c>
      <c r="D129" s="69"/>
      <c r="E129" s="68" t="s">
        <v>79</v>
      </c>
      <c r="F129" s="19" t="str">
        <f>IF($C129="","",IF($E129="","-",IFERROR(INDEX(SETUP!$B$55:$B$64,MATCH($E129,SETUP!$A$55:$A$64,0)),"Other")))</f>
        <v>Control</v>
      </c>
      <c r="G129" s="70">
        <v>61859</v>
      </c>
      <c r="H129" s="19" t="str">
        <f>IF($C129="","",IF($G129="","-",INDEX(SETUP!$B$26:$B$32,MATCH($G129,SETUP!$A$26:$A$32,1))))</f>
        <v>61,000 - 61,999</v>
      </c>
      <c r="I129" s="70">
        <v>3012</v>
      </c>
      <c r="J129" s="19" t="str">
        <f>IF($C129="","",IF($I129="","-",INDEX(SETUP!$B$16:$B$22,MATCH($I129,SETUP!$A$16:$A$22,1))))</f>
        <v>DEVELOPING</v>
      </c>
      <c r="K129" s="19" t="str">
        <f>IF($C129="","",IF($I129="","-",TEXT(INT($I129/1000)*1000,"#,##0")&amp;" - "&amp;TEXT(INT($I129/1000)*1000+999,"#,##0")))</f>
        <v>3,000 - 3,999</v>
      </c>
      <c r="L129" s="71">
        <v>3.82</v>
      </c>
      <c r="M129" s="19" t="str">
        <f>IF($C129="","",IF($L129="","-",INDEX(SETUP!$B$36:$B$42,MATCH($L129,SETUP!$A$36:$A$42,1))))</f>
        <v>3k - 4k</v>
      </c>
      <c r="N129" s="21">
        <f>IF($C129="","",IF(OR($G129="",$I129=""),"",ROUND(100*(SETUP!$B$4*MIN(1,$I129/SETUP!$B$9)+SETUP!$B$5*MAX(0,MIN(1,($G129-SETUP!$B$10)/(SETUP!$B$11-SETUP!$B$10)))+SETUP!$B$6*MIN(1,IF($L129="",0,$L129)/SETUP!$B$12)),1)))</f>
        <v>37.6</v>
      </c>
      <c r="O129" s="19" t="str">
        <f>IF($C129="","",IF($N129="","-",INDEX(SETUP!$B$46:$B$51,MATCH($N129,SETUP!$A$46:$A$51,1))))</f>
        <v>B</v>
      </c>
      <c r="P129" s="19">
        <f>IF($C129="","",IF($I129="","",RANK($I129,$I$4:$I$1463)+COUNTIF($I$4:$I129,$I129)-1))</f>
        <v>878</v>
      </c>
      <c r="Q129" s="19">
        <f>IF($C129="","",COUNTIFS($B$4:$B$1463,$B129,$X$4:$X$1463,"&gt;"&amp;$X129)+COUNTIFS($B$4:$B129,$B129,$X$4:$X129,"="&amp;$X129))</f>
        <v>94</v>
      </c>
      <c r="R129" s="75">
        <f>IF($C129="","",IF($I129="","",ROUND(COUNTIF($I$4:$I$1463,"&lt;"&amp;$I129)/COUNT($I$4:$I$1463),3)))</f>
        <v>0.33600000000000002</v>
      </c>
      <c r="S129" s="19" t="str">
        <f>IF($C129="","",IF($G129="","Name only",IF(OR($I129="",$L129=""),"Partial","Complete")))</f>
        <v>Complete</v>
      </c>
      <c r="T129" s="1" t="str">
        <f>IF($C129="","",TRIM(IF(COUNTIF($C$4:$C$1463,$C129)&gt;1,"Dup name; ","")&amp;IF(AND($G129&lt;&gt;"",$G129&lt;55000),"Low CR - verify; ","")&amp;IF(AND($L129&lt;&gt;"",$L129&gt;15),"Secondary - verify; ","")&amp;IF($E129="","No class; ","")))</f>
        <v/>
      </c>
      <c r="U129" s="68"/>
      <c r="V129" s="68"/>
      <c r="W129" s="68"/>
      <c r="X129" s="76">
        <f t="shared" si="7"/>
        <v>3012</v>
      </c>
      <c r="Y129" s="1" t="str">
        <f t="shared" si="8"/>
        <v>LEGENDS|94</v>
      </c>
      <c r="Z129" s="19">
        <f>IF($C129="","",IF($G129="","",RANK($G129,$G$4:$G$1463)+COUNTIF($G$4:$G129,$G129)-1))</f>
        <v>895</v>
      </c>
      <c r="AA129" s="19">
        <f>IF($C129="","",IF($N129="","",RANK($N129,$N$4:$N$1463)+COUNTIF($N$4:$N129,$N129)-1))</f>
        <v>910</v>
      </c>
      <c r="AB129" s="1" t="str">
        <f>IF($C129="","",IF($E129="","",$E129&amp;"#"&amp;(COUNTIFS($E$4:$E$1463,$E129,$X$4:$X$1463,"&gt;"&amp;$X129)+COUNTIFS($E$4:$E129,$E129,$X$4:$X129,"="&amp;$X129))))</f>
        <v>WARLOCK#216</v>
      </c>
      <c r="AC129" s="1" t="str">
        <f>IF($C129="","",$B129&amp;"@"&amp;(COUNTIFS($B$4:$B$1463,$B129,$C$4:$C$1463,"&lt;"&amp;$C129)+COUNTIFS($B$4:$B129,$B129,$C$4:$C129,$C129)))</f>
        <v>LEGENDS@9</v>
      </c>
      <c r="AD129" s="1">
        <f t="shared" si="9"/>
        <v>126</v>
      </c>
      <c r="AE129" s="1" t="s">
        <v>775</v>
      </c>
      <c r="AF129" s="76">
        <f t="shared" si="10"/>
        <v>61859</v>
      </c>
      <c r="AG129" s="77">
        <f t="shared" si="11"/>
        <v>3.82</v>
      </c>
      <c r="AH129" s="1" t="str">
        <f>IF($C129="","",$B129&amp;"|"&amp;(COUNTIFS($B$4:$B$1463,$B129,$AF$4:$AF$1463,"&gt;"&amp;$AF129)+COUNTIFS($B$4:$B129,$B129,$AF$4:$AF129,"="&amp;$AF129)))</f>
        <v>LEGENDS|87</v>
      </c>
      <c r="AI129" s="1" t="str">
        <f>IF($C129="","",$B129&amp;"|"&amp;(COUNTIFS($B$4:$B$1463,$B129,$AG$4:$AG$1463,"&gt;"&amp;$AG129)+COUNTIFS($B$4:$B129,$B129,$AG$4:$AG129,"="&amp;$AG129)))</f>
        <v>LEGENDS|92</v>
      </c>
    </row>
    <row r="130" spans="1:35" hidden="1">
      <c r="A130" s="69" t="s">
        <v>106</v>
      </c>
      <c r="B130" s="69" t="s">
        <v>105</v>
      </c>
      <c r="C130" s="63" t="s">
        <v>776</v>
      </c>
      <c r="D130" s="69"/>
      <c r="E130" s="68" t="s">
        <v>79</v>
      </c>
      <c r="F130" s="15" t="str">
        <f>IF($C130="","",IF($E130="","-",IFERROR(INDEX(SETUP!$B$55:$B$64,MATCH($E130,SETUP!$A$55:$A$64,0)),"Other")))</f>
        <v>Control</v>
      </c>
      <c r="G130" s="70">
        <v>61918</v>
      </c>
      <c r="H130" s="15" t="str">
        <f>IF($C130="","",IF($G130="","-",INDEX(SETUP!$B$26:$B$32,MATCH($G130,SETUP!$A$26:$A$32,1))))</f>
        <v>61,000 - 61,999</v>
      </c>
      <c r="I130" s="70">
        <v>4469</v>
      </c>
      <c r="J130" s="15" t="str">
        <f>IF($C130="","",IF($I130="","-",INDEX(SETUP!$B$16:$B$22,MATCH($I130,SETUP!$A$16:$A$22,1))))</f>
        <v>CORE</v>
      </c>
      <c r="K130" s="15" t="str">
        <f>IF($C130="","",IF($I130="","-",TEXT(INT($I130/1000)*1000,"#,##0")&amp;" - "&amp;TEXT(INT($I130/1000)*1000+999,"#,##0")))</f>
        <v>4,000 - 4,999</v>
      </c>
      <c r="L130" s="71">
        <v>5.03</v>
      </c>
      <c r="M130" s="15" t="str">
        <f>IF($C130="","",IF($L130="","-",INDEX(SETUP!$B$36:$B$42,MATCH($L130,SETUP!$A$36:$A$42,1))))</f>
        <v>5k - 6k</v>
      </c>
      <c r="N130" s="17">
        <f>IF($C130="","",IF(OR($G130="",$I130=""),"",ROUND(100*(SETUP!$B$4*MIN(1,$I130/SETUP!$B$9)+SETUP!$B$5*MAX(0,MIN(1,($G130-SETUP!$B$10)/(SETUP!$B$11-SETUP!$B$10)))+SETUP!$B$6*MIN(1,IF($L130="",0,$L130)/SETUP!$B$12)),1)))</f>
        <v>46.1</v>
      </c>
      <c r="O130" s="15" t="str">
        <f>IF($C130="","",IF($N130="","-",INDEX(SETUP!$B$46:$B$51,MATCH($N130,SETUP!$A$46:$A$51,1))))</f>
        <v>B</v>
      </c>
      <c r="P130" s="15">
        <f>IF($C130="","",IF($I130="","",RANK($I130,$I$4:$I$1463)+COUNTIF($I$4:$I130,$I130)-1))</f>
        <v>501</v>
      </c>
      <c r="Q130" s="15">
        <f>IF($C130="","",COUNTIFS($B$4:$B$1463,$B130,$X$4:$X$1463,"&gt;"&amp;$X130)+COUNTIFS($B$4:$B130,$B130,$X$4:$X130,"="&amp;$X130))</f>
        <v>65</v>
      </c>
      <c r="R130" s="72">
        <f>IF($C130="","",IF($I130="","",ROUND(COUNTIF($I$4:$I$1463,"&lt;"&amp;$I130)/COUNT($I$4:$I$1463),3)))</f>
        <v>0.622</v>
      </c>
      <c r="S130" s="15" t="str">
        <f>IF($C130="","",IF($G130="","Name only",IF(OR($I130="",$L130=""),"Partial","Complete")))</f>
        <v>Complete</v>
      </c>
      <c r="T130" s="41" t="str">
        <f>IF($C130="","",TRIM(IF(COUNTIF($C$4:$C$1463,$C130)&gt;1,"Dup name; ","")&amp;IF(AND($G130&lt;&gt;"",$G130&lt;55000),"Low CR - verify; ","")&amp;IF(AND($L130&lt;&gt;"",$L130&gt;15),"Secondary - verify; ","")&amp;IF($E130="","No class; ","")))</f>
        <v/>
      </c>
      <c r="U130" s="68"/>
      <c r="V130" s="68"/>
      <c r="W130" s="68"/>
      <c r="X130" s="73">
        <f t="shared" si="7"/>
        <v>4469</v>
      </c>
      <c r="Y130" s="41" t="str">
        <f t="shared" si="8"/>
        <v>LEGENDS|65</v>
      </c>
      <c r="Z130" s="15">
        <f>IF($C130="","",IF($G130="","",RANK($G130,$G$4:$G$1463)+COUNTIF($G$4:$G130,$G130)-1))</f>
        <v>866</v>
      </c>
      <c r="AA130" s="15">
        <f>IF($C130="","",IF($N130="","",RANK($N130,$N$4:$N$1463)+COUNTIF($N$4:$N130,$N130)-1))</f>
        <v>587</v>
      </c>
      <c r="AB130" s="41" t="str">
        <f>IF($C130="","",IF($E130="","",$E130&amp;"#"&amp;(COUNTIFS($E$4:$E$1463,$E130,$X$4:$X$1463,"&gt;"&amp;$X130)+COUNTIFS($E$4:$E130,$E130,$X$4:$X130,"="&amp;$X130))))</f>
        <v>WARLOCK#116</v>
      </c>
      <c r="AC130" s="41" t="str">
        <f>IF($C130="","",$B130&amp;"@"&amp;(COUNTIFS($B$4:$B$1463,$B130,$C$4:$C$1463,"&lt;"&amp;$C130)+COUNTIFS($B$4:$B130,$B130,$C$4:$C130,$C130)))</f>
        <v>LEGENDS@10</v>
      </c>
      <c r="AD130" s="41">
        <f t="shared" si="9"/>
        <v>127</v>
      </c>
      <c r="AE130" s="41" t="s">
        <v>777</v>
      </c>
      <c r="AF130" s="73">
        <f t="shared" si="10"/>
        <v>61918</v>
      </c>
      <c r="AG130" s="74">
        <f t="shared" si="11"/>
        <v>5.03</v>
      </c>
      <c r="AH130" s="41" t="str">
        <f>IF($C130="","",$B130&amp;"|"&amp;(COUNTIFS($B$4:$B$1463,$B130,$AF$4:$AF$1463,"&gt;"&amp;$AF130)+COUNTIFS($B$4:$B130,$B130,$AF$4:$AF130,"="&amp;$AF130)))</f>
        <v>LEGENDS|85</v>
      </c>
      <c r="AI130" s="41" t="str">
        <f>IF($C130="","",$B130&amp;"|"&amp;(COUNTIFS($B$4:$B$1463,$B130,$AG$4:$AG$1463,"&gt;"&amp;$AG130)+COUNTIFS($B$4:$B130,$B130,$AG$4:$AG130,"="&amp;$AG130)))</f>
        <v>LEGENDS|63</v>
      </c>
    </row>
    <row r="131" spans="1:35" hidden="1">
      <c r="A131" s="69" t="s">
        <v>106</v>
      </c>
      <c r="B131" s="69" t="s">
        <v>107</v>
      </c>
      <c r="C131" s="63" t="s">
        <v>778</v>
      </c>
      <c r="D131" s="69"/>
      <c r="E131" s="68" t="s">
        <v>79</v>
      </c>
      <c r="F131" s="19" t="str">
        <f>IF($C131="","",IF($E131="","-",IFERROR(INDEX(SETUP!$B$55:$B$64,MATCH($E131,SETUP!$A$55:$A$64,0)),"Other")))</f>
        <v>Control</v>
      </c>
      <c r="G131" s="70">
        <v>61489</v>
      </c>
      <c r="H131" s="19" t="str">
        <f>IF($C131="","",IF($G131="","-",INDEX(SETUP!$B$26:$B$32,MATCH($G131,SETUP!$A$26:$A$32,1))))</f>
        <v>61,000 - 61,999</v>
      </c>
      <c r="I131" s="70">
        <v>4259</v>
      </c>
      <c r="J131" s="19" t="str">
        <f>IF($C131="","",IF($I131="","-",INDEX(SETUP!$B$16:$B$22,MATCH($I131,SETUP!$A$16:$A$22,1))))</f>
        <v>CORE</v>
      </c>
      <c r="K131" s="19" t="str">
        <f>IF($C131="","",IF($I131="","-",TEXT(INT($I131/1000)*1000,"#,##0")&amp;" - "&amp;TEXT(INT($I131/1000)*1000+999,"#,##0")))</f>
        <v>4,000 - 4,999</v>
      </c>
      <c r="L131" s="71">
        <v>4.5999999999999996</v>
      </c>
      <c r="M131" s="19" t="str">
        <f>IF($C131="","",IF($L131="","-",INDEX(SETUP!$B$36:$B$42,MATCH($L131,SETUP!$A$36:$A$42,1))))</f>
        <v>4k - 5k</v>
      </c>
      <c r="N131" s="21">
        <f>IF($C131="","",IF(OR($G131="",$I131=""),"",ROUND(100*(SETUP!$B$4*MIN(1,$I131/SETUP!$B$9)+SETUP!$B$5*MAX(0,MIN(1,($G131-SETUP!$B$10)/(SETUP!$B$11-SETUP!$B$10)))+SETUP!$B$6*MIN(1,IF($L131="",0,$L131)/SETUP!$B$12)),1)))</f>
        <v>43.3</v>
      </c>
      <c r="O131" s="19" t="str">
        <f>IF($C131="","",IF($N131="","-",INDEX(SETUP!$B$46:$B$51,MATCH($N131,SETUP!$A$46:$A$51,1))))</f>
        <v>B</v>
      </c>
      <c r="P131" s="19">
        <f>IF($C131="","",IF($I131="","",RANK($I131,$I$4:$I$1463)+COUNTIF($I$4:$I131,$I131)-1))</f>
        <v>543</v>
      </c>
      <c r="Q131" s="19">
        <f>IF($C131="","",COUNTIFS($B$4:$B$1463,$B131,$X$4:$X$1463,"&gt;"&amp;$X131)+COUNTIFS($B$4:$B131,$B131,$X$4:$X131,"="&amp;$X131))</f>
        <v>45</v>
      </c>
      <c r="R131" s="75">
        <f>IF($C131="","",IF($I131="","",ROUND(COUNTIF($I$4:$I$1463,"&lt;"&amp;$I131)/COUNT($I$4:$I$1463),3)))</f>
        <v>0.58899999999999997</v>
      </c>
      <c r="S131" s="19" t="str">
        <f>IF($C131="","",IF($G131="","Name only",IF(OR($I131="",$L131=""),"Partial","Complete")))</f>
        <v>Complete</v>
      </c>
      <c r="T131" s="1" t="str">
        <f>IF($C131="","",TRIM(IF(COUNTIF($C$4:$C$1463,$C131)&gt;1,"Dup name; ","")&amp;IF(AND($G131&lt;&gt;"",$G131&lt;55000),"Low CR - verify; ","")&amp;IF(AND($L131&lt;&gt;"",$L131&gt;15),"Secondary - verify; ","")&amp;IF($E131="","No class; ","")))</f>
        <v/>
      </c>
      <c r="U131" s="68"/>
      <c r="V131" s="68"/>
      <c r="W131" s="68"/>
      <c r="X131" s="76">
        <f t="shared" si="7"/>
        <v>4259</v>
      </c>
      <c r="Y131" s="1" t="str">
        <f t="shared" si="8"/>
        <v>UNDYING|45</v>
      </c>
      <c r="Z131" s="19">
        <f>IF($C131="","",IF($G131="","",RANK($G131,$G$4:$G$1463)+COUNTIF($G$4:$G131,$G131)-1))</f>
        <v>1006</v>
      </c>
      <c r="AA131" s="19">
        <f>IF($C131="","",IF($N131="","",RANK($N131,$N$4:$N$1463)+COUNTIF($N$4:$N131,$N131)-1))</f>
        <v>689</v>
      </c>
      <c r="AB131" s="1" t="str">
        <f>IF($C131="","",IF($E131="","",$E131&amp;"#"&amp;(COUNTIFS($E$4:$E$1463,$E131,$X$4:$X$1463,"&gt;"&amp;$X131)+COUNTIFS($E$4:$E131,$E131,$X$4:$X131,"="&amp;$X131))))</f>
        <v>WARLOCK#127</v>
      </c>
      <c r="AC131" s="1" t="str">
        <f>IF($C131="","",$B131&amp;"@"&amp;(COUNTIFS($B$4:$B$1463,$B131,$C$4:$C$1463,"&lt;"&amp;$C131)+COUNTIFS($B$4:$B131,$B131,$C$4:$C131,$C131)))</f>
        <v>UNDYING@12</v>
      </c>
      <c r="AD131" s="1">
        <f t="shared" si="9"/>
        <v>128</v>
      </c>
      <c r="AE131" s="1" t="s">
        <v>553</v>
      </c>
      <c r="AF131" s="76">
        <f t="shared" si="10"/>
        <v>61489</v>
      </c>
      <c r="AG131" s="77">
        <f t="shared" si="11"/>
        <v>4.5999999999999996</v>
      </c>
      <c r="AH131" s="1" t="str">
        <f>IF($C131="","",$B131&amp;"|"&amp;(COUNTIFS($B$4:$B$1463,$B131,$AF$4:$AF$1463,"&gt;"&amp;$AF131)+COUNTIFS($B$4:$B131,$B131,$AF$4:$AF131,"="&amp;$AF131)))</f>
        <v>UNDYING|88</v>
      </c>
      <c r="AI131" s="1" t="str">
        <f>IF($C131="","",$B131&amp;"|"&amp;(COUNTIFS($B$4:$B$1463,$B131,$AG$4:$AG$1463,"&gt;"&amp;$AG131)+COUNTIFS($B$4:$B131,$B131,$AG$4:$AG131,"="&amp;$AG131)))</f>
        <v>UNDYING|65</v>
      </c>
    </row>
    <row r="132" spans="1:35" hidden="1">
      <c r="A132" s="69" t="s">
        <v>106</v>
      </c>
      <c r="B132" s="69" t="s">
        <v>105</v>
      </c>
      <c r="C132" s="63" t="s">
        <v>779</v>
      </c>
      <c r="D132" s="69"/>
      <c r="E132" s="68" t="s">
        <v>75</v>
      </c>
      <c r="F132" s="15" t="str">
        <f>IF($C132="","",IF($E132="","-",IFERROR(INDEX(SETUP!$B$55:$B$64,MATCH($E132,SETUP!$A$55:$A$64,0)),"Other")))</f>
        <v>Support</v>
      </c>
      <c r="G132" s="70">
        <v>62513</v>
      </c>
      <c r="H132" s="15" t="str">
        <f>IF($C132="","",IF($G132="","-",INDEX(SETUP!$B$26:$B$32,MATCH($G132,SETUP!$A$26:$A$32,1))))</f>
        <v>62,000 - 62,999</v>
      </c>
      <c r="I132" s="70">
        <v>6614</v>
      </c>
      <c r="J132" s="15" t="str">
        <f>IF($C132="","",IF($I132="","-",INDEX(SETUP!$B$16:$B$22,MATCH($I132,SETUP!$A$16:$A$22,1))))</f>
        <v>VETERAN</v>
      </c>
      <c r="K132" s="15" t="str">
        <f>IF($C132="","",IF($I132="","-",TEXT(INT($I132/1000)*1000,"#,##0")&amp;" - "&amp;TEXT(INT($I132/1000)*1000+999,"#,##0")))</f>
        <v>6,000 - 6,999</v>
      </c>
      <c r="L132" s="71">
        <v>5.57</v>
      </c>
      <c r="M132" s="15" t="str">
        <f>IF($C132="","",IF($L132="","-",INDEX(SETUP!$B$36:$B$42,MATCH($L132,SETUP!$A$36:$A$42,1))))</f>
        <v>5k - 6k</v>
      </c>
      <c r="N132" s="17">
        <f>IF($C132="","",IF(OR($G132="",$I132=""),"",ROUND(100*(SETUP!$B$4*MIN(1,$I132/SETUP!$B$9)+SETUP!$B$5*MAX(0,MIN(1,($G132-SETUP!$B$10)/(SETUP!$B$11-SETUP!$B$10)))+SETUP!$B$6*MIN(1,IF($L132="",0,$L132)/SETUP!$B$12)),1)))</f>
        <v>57.9</v>
      </c>
      <c r="O132" s="15" t="str">
        <f>IF($C132="","",IF($N132="","-",INDEX(SETUP!$B$46:$B$51,MATCH($N132,SETUP!$A$46:$A$51,1))))</f>
        <v>A</v>
      </c>
      <c r="P132" s="15">
        <f>IF($C132="","",IF($I132="","",RANK($I132,$I$4:$I$1463)+COUNTIF($I$4:$I132,$I132)-1))</f>
        <v>243</v>
      </c>
      <c r="Q132" s="15">
        <f>IF($C132="","",COUNTIFS($B$4:$B$1463,$B132,$X$4:$X$1463,"&gt;"&amp;$X132)+COUNTIFS($B$4:$B132,$B132,$X$4:$X132,"="&amp;$X132))</f>
        <v>26</v>
      </c>
      <c r="R132" s="72">
        <f>IF($C132="","",IF($I132="","",ROUND(COUNTIF($I$4:$I$1463,"&lt;"&amp;$I132)/COUNT($I$4:$I$1463),3)))</f>
        <v>0.81699999999999995</v>
      </c>
      <c r="S132" s="15" t="str">
        <f>IF($C132="","",IF($G132="","Name only",IF(OR($I132="",$L132=""),"Partial","Complete")))</f>
        <v>Complete</v>
      </c>
      <c r="T132" s="41" t="str">
        <f>IF($C132="","",TRIM(IF(COUNTIF($C$4:$C$1463,$C132)&gt;1,"Dup name; ","")&amp;IF(AND($G132&lt;&gt;"",$G132&lt;55000),"Low CR - verify; ","")&amp;IF(AND($L132&lt;&gt;"",$L132&gt;15),"Secondary - verify; ","")&amp;IF($E132="","No class; ","")))</f>
        <v/>
      </c>
      <c r="U132" s="68"/>
      <c r="V132" s="68"/>
      <c r="W132" s="68"/>
      <c r="X132" s="73">
        <f t="shared" ref="X132:X195" si="12">IF($C132="","",IF($I132="",-1,$I132))</f>
        <v>6614</v>
      </c>
      <c r="Y132" s="41" t="str">
        <f t="shared" ref="Y132:Y195" si="13">IF($C132="","",$B132&amp;"|"&amp;$Q132)</f>
        <v>LEGENDS|26</v>
      </c>
      <c r="Z132" s="15">
        <f>IF($C132="","",IF($G132="","",RANK($G132,$G$4:$G$1463)+COUNTIF($G$4:$G132,$G132)-1))</f>
        <v>647</v>
      </c>
      <c r="AA132" s="15">
        <f>IF($C132="","",IF($N132="","",RANK($N132,$N$4:$N$1463)+COUNTIF($N$4:$N132,$N132)-1))</f>
        <v>266</v>
      </c>
      <c r="AB132" s="41" t="str">
        <f>IF($C132="","",IF($E132="","",$E132&amp;"#"&amp;(COUNTIFS($E$4:$E$1463,$E132,$X$4:$X$1463,"&gt;"&amp;$X132)+COUNTIFS($E$4:$E132,$E132,$X$4:$X132,"="&amp;$X132))))</f>
        <v>DRUID#12</v>
      </c>
      <c r="AC132" s="41" t="str">
        <f>IF($C132="","",$B132&amp;"@"&amp;(COUNTIFS($B$4:$B$1463,$B132,$C$4:$C$1463,"&lt;"&amp;$C132)+COUNTIFS($B$4:$B132,$B132,$C$4:$C132,$C132)))</f>
        <v>LEGENDS@11</v>
      </c>
      <c r="AD132" s="41">
        <f t="shared" ref="AD132:AD195" si="14">IF($C132="","",ROW()-4+1)</f>
        <v>129</v>
      </c>
      <c r="AE132" s="41" t="s">
        <v>780</v>
      </c>
      <c r="AF132" s="73">
        <f t="shared" ref="AF132:AF195" si="15">IF($C132="","",IF($G132="",-1,$G132))</f>
        <v>62513</v>
      </c>
      <c r="AG132" s="74">
        <f t="shared" ref="AG132:AG195" si="16">IF($C132="","",IF($L132="",-1,$L132))</f>
        <v>5.57</v>
      </c>
      <c r="AH132" s="41" t="str">
        <f>IF($C132="","",$B132&amp;"|"&amp;(COUNTIFS($B$4:$B$1463,$B132,$AF$4:$AF$1463,"&gt;"&amp;$AF132)+COUNTIFS($B$4:$B132,$B132,$AF$4:$AF132,"="&amp;$AF132)))</f>
        <v>LEGENDS|70</v>
      </c>
      <c r="AI132" s="41" t="str">
        <f>IF($C132="","",$B132&amp;"|"&amp;(COUNTIFS($B$4:$B$1463,$B132,$AG$4:$AG$1463,"&gt;"&amp;$AG132)+COUNTIFS($B$4:$B132,$B132,$AG$4:$AG132,"="&amp;$AG132)))</f>
        <v>LEGENDS|35</v>
      </c>
    </row>
    <row r="133" spans="1:35" hidden="1">
      <c r="A133" s="69" t="s">
        <v>109</v>
      </c>
      <c r="B133" s="69" t="s">
        <v>114</v>
      </c>
      <c r="C133" s="63" t="s">
        <v>781</v>
      </c>
      <c r="D133" s="69"/>
      <c r="E133" s="68" t="s">
        <v>77</v>
      </c>
      <c r="F133" s="19" t="str">
        <f>IF($C133="","",IF($E133="","-",IFERROR(INDEX(SETUP!$B$55:$B$64,MATCH($E133,SETUP!$A$55:$A$64,0)),"Other")))</f>
        <v>Control</v>
      </c>
      <c r="G133" s="70">
        <v>61515</v>
      </c>
      <c r="H133" s="19" t="str">
        <f>IF($C133="","",IF($G133="","-",INDEX(SETUP!$B$26:$B$32,MATCH($G133,SETUP!$A$26:$A$32,1))))</f>
        <v>61,000 - 61,999</v>
      </c>
      <c r="I133" s="70">
        <v>1251</v>
      </c>
      <c r="J133" s="19" t="str">
        <f>IF($C133="","",IF($I133="","-",INDEX(SETUP!$B$16:$B$22,MATCH($I133,SETUP!$A$16:$A$22,1))))</f>
        <v>ROOKIE</v>
      </c>
      <c r="K133" s="19" t="str">
        <f>IF($C133="","",IF($I133="","-",TEXT(INT($I133/1000)*1000,"#,##0")&amp;" - "&amp;TEXT(INT($I133/1000)*1000+999,"#,##0")))</f>
        <v>1,000 - 1,999</v>
      </c>
      <c r="L133" s="71">
        <v>3.43</v>
      </c>
      <c r="M133" s="19" t="str">
        <f>IF($C133="","",IF($L133="","-",INDEX(SETUP!$B$36:$B$42,MATCH($L133,SETUP!$A$36:$A$42,1))))</f>
        <v>3k - 4k</v>
      </c>
      <c r="N133" s="21">
        <f>IF($C133="","",IF(OR($G133="",$I133=""),"",ROUND(100*(SETUP!$B$4*MIN(1,$I133/SETUP!$B$9)+SETUP!$B$5*MAX(0,MIN(1,($G133-SETUP!$B$10)/(SETUP!$B$11-SETUP!$B$10)))+SETUP!$B$6*MIN(1,IF($L133="",0,$L133)/SETUP!$B$12)),1)))</f>
        <v>28.3</v>
      </c>
      <c r="O133" s="19" t="str">
        <f>IF($C133="","",IF($N133="","-",INDEX(SETUP!$B$46:$B$51,MATCH($N133,SETUP!$A$46:$A$51,1))))</f>
        <v>C</v>
      </c>
      <c r="P133" s="19">
        <f>IF($C133="","",IF($I133="","",RANK($I133,$I$4:$I$1463)+COUNTIF($I$4:$I133,$I133)-1))</f>
        <v>1235</v>
      </c>
      <c r="Q133" s="19">
        <f>IF($C133="","",COUNTIFS($B$4:$B$1463,$B133,$X$4:$X$1463,"&gt;"&amp;$X133)+COUNTIFS($B$4:$B133,$B133,$X$4:$X133,"="&amp;$X133))</f>
        <v>77</v>
      </c>
      <c r="R133" s="75">
        <f>IF($C133="","",IF($I133="","",ROUND(COUNTIF($I$4:$I$1463,"&lt;"&amp;$I133)/COUNT($I$4:$I$1463),3)))</f>
        <v>6.8000000000000005E-2</v>
      </c>
      <c r="S133" s="19" t="str">
        <f>IF($C133="","",IF($G133="","Name only",IF(OR($I133="",$L133=""),"Partial","Complete")))</f>
        <v>Complete</v>
      </c>
      <c r="T133" s="1" t="str">
        <f>IF($C133="","",TRIM(IF(COUNTIF($C$4:$C$1463,$C133)&gt;1,"Dup name; ","")&amp;IF(AND($G133&lt;&gt;"",$G133&lt;55000),"Low CR - verify; ","")&amp;IF(AND($L133&lt;&gt;"",$L133&gt;15),"Secondary - verify; ","")&amp;IF($E133="","No class; ","")))</f>
        <v/>
      </c>
      <c r="U133" s="68"/>
      <c r="V133" s="68"/>
      <c r="W133" s="68"/>
      <c r="X133" s="76">
        <f t="shared" si="12"/>
        <v>1251</v>
      </c>
      <c r="Y133" s="1" t="str">
        <f t="shared" si="13"/>
        <v>EMERALD LEAF TRIBE|77</v>
      </c>
      <c r="Z133" s="19">
        <f>IF($C133="","",IF($G133="","",RANK($G133,$G$4:$G$1463)+COUNTIF($G$4:$G133,$G133)-1))</f>
        <v>1000</v>
      </c>
      <c r="AA133" s="19">
        <f>IF($C133="","",IF($N133="","",RANK($N133,$N$4:$N$1463)+COUNTIF($N$4:$N133,$N133)-1))</f>
        <v>1185</v>
      </c>
      <c r="AB133" s="1" t="str">
        <f>IF($C133="","",IF($E133="","",$E133&amp;"#"&amp;(COUNTIFS($E$4:$E$1463,$E133,$X$4:$X$1463,"&gt;"&amp;$X133)+COUNTIFS($E$4:$E133,$E133,$X$4:$X133,"="&amp;$X133))))</f>
        <v>NECROMANCER#95</v>
      </c>
      <c r="AC133" s="1" t="str">
        <f>IF($C133="","",$B133&amp;"@"&amp;(COUNTIFS($B$4:$B$1463,$B133,$C$4:$C$1463,"&lt;"&amp;$C133)+COUNTIFS($B$4:$B133,$B133,$C$4:$C133,$C133)))</f>
        <v>EMERALD LEAF TRIBE@7</v>
      </c>
      <c r="AD133" s="1">
        <f t="shared" si="14"/>
        <v>130</v>
      </c>
      <c r="AE133" s="1" t="s">
        <v>782</v>
      </c>
      <c r="AF133" s="76">
        <f t="shared" si="15"/>
        <v>61515</v>
      </c>
      <c r="AG133" s="77">
        <f t="shared" si="16"/>
        <v>3.43</v>
      </c>
      <c r="AH133" s="1" t="str">
        <f>IF($C133="","",$B133&amp;"|"&amp;(COUNTIFS($B$4:$B$1463,$B133,$AF$4:$AF$1463,"&gt;"&amp;$AF133)+COUNTIFS($B$4:$B133,$B133,$AF$4:$AF133,"="&amp;$AF133)))</f>
        <v>EMERALD LEAF TRIBE|41</v>
      </c>
      <c r="AI133" s="1" t="str">
        <f>IF($C133="","",$B133&amp;"|"&amp;(COUNTIFS($B$4:$B$1463,$B133,$AG$4:$AG$1463,"&gt;"&amp;$AG133)+COUNTIFS($B$4:$B133,$B133,$AG$4:$AG133,"="&amp;$AG133)))</f>
        <v>EMERALD LEAF TRIBE|57</v>
      </c>
    </row>
    <row r="134" spans="1:35" hidden="1">
      <c r="A134" s="69" t="s">
        <v>109</v>
      </c>
      <c r="B134" s="69" t="s">
        <v>110</v>
      </c>
      <c r="C134" s="63" t="s">
        <v>783</v>
      </c>
      <c r="D134" s="69"/>
      <c r="E134" s="68" t="s">
        <v>73</v>
      </c>
      <c r="F134" s="15" t="str">
        <f>IF($C134="","",IF($E134="","-",IFERROR(INDEX(SETUP!$B$55:$B$64,MATCH($E134,SETUP!$A$55:$A$64,0)),"Other")))</f>
        <v>Frontline</v>
      </c>
      <c r="G134" s="70">
        <v>63260</v>
      </c>
      <c r="H134" s="15" t="str">
        <f>IF($C134="","",IF($G134="","-",INDEX(SETUP!$B$26:$B$32,MATCH($G134,SETUP!$A$26:$A$32,1))))</f>
        <v>63,000 - 63,999</v>
      </c>
      <c r="I134" s="70">
        <v>7523</v>
      </c>
      <c r="J134" s="15" t="str">
        <f>IF($C134="","",IF($I134="","-",INDEX(SETUP!$B$16:$B$22,MATCH($I134,SETUP!$A$16:$A$22,1))))</f>
        <v>VETERAN</v>
      </c>
      <c r="K134" s="15" t="str">
        <f>IF($C134="","",IF($I134="","-",TEXT(INT($I134/1000)*1000,"#,##0")&amp;" - "&amp;TEXT(INT($I134/1000)*1000+999,"#,##0")))</f>
        <v>7,000 - 7,999</v>
      </c>
      <c r="L134" s="71">
        <v>5.7</v>
      </c>
      <c r="M134" s="15" t="str">
        <f>IF($C134="","",IF($L134="","-",INDEX(SETUP!$B$36:$B$42,MATCH($L134,SETUP!$A$36:$A$42,1))))</f>
        <v>5k - 6k</v>
      </c>
      <c r="N134" s="17">
        <f>IF($C134="","",IF(OR($G134="",$I134=""),"",ROUND(100*(SETUP!$B$4*MIN(1,$I134/SETUP!$B$9)+SETUP!$B$5*MAX(0,MIN(1,($G134-SETUP!$B$10)/(SETUP!$B$11-SETUP!$B$10)))+SETUP!$B$6*MIN(1,IF($L134="",0,$L134)/SETUP!$B$12)),1)))</f>
        <v>64.099999999999994</v>
      </c>
      <c r="O134" s="15" t="str">
        <f>IF($C134="","",IF($N134="","-",INDEX(SETUP!$B$46:$B$51,MATCH($N134,SETUP!$A$46:$A$51,1))))</f>
        <v>A</v>
      </c>
      <c r="P134" s="15">
        <f>IF($C134="","",IF($I134="","",RANK($I134,$I$4:$I$1463)+COUNTIF($I$4:$I134,$I134)-1))</f>
        <v>167</v>
      </c>
      <c r="Q134" s="15">
        <f>IF($C134="","",COUNTIFS($B$4:$B$1463,$B134,$X$4:$X$1463,"&gt;"&amp;$X134)+COUNTIFS($B$4:$B134,$B134,$X$4:$X134,"="&amp;$X134))</f>
        <v>26</v>
      </c>
      <c r="R134" s="72">
        <f>IF($C134="","",IF($I134="","",ROUND(COUNTIF($I$4:$I$1463,"&lt;"&amp;$I134)/COUNT($I$4:$I$1463),3)))</f>
        <v>0.874</v>
      </c>
      <c r="S134" s="15" t="str">
        <f>IF($C134="","",IF($G134="","Name only",IF(OR($I134="",$L134=""),"Partial","Complete")))</f>
        <v>Complete</v>
      </c>
      <c r="T134" s="41" t="str">
        <f>IF($C134="","",TRIM(IF(COUNTIF($C$4:$C$1463,$C134)&gt;1,"Dup name; ","")&amp;IF(AND($G134&lt;&gt;"",$G134&lt;55000),"Low CR - verify; ","")&amp;IF(AND($L134&lt;&gt;"",$L134&gt;15),"Secondary - verify; ","")&amp;IF($E134="","No class; ","")))</f>
        <v/>
      </c>
      <c r="U134" s="68"/>
      <c r="V134" s="68"/>
      <c r="W134" s="68"/>
      <c r="X134" s="73">
        <f t="shared" si="12"/>
        <v>7523</v>
      </c>
      <c r="Y134" s="41" t="str">
        <f t="shared" si="13"/>
        <v>AZUKI|26</v>
      </c>
      <c r="Z134" s="15">
        <f>IF($C134="","",IF($G134="","",RANK($G134,$G$4:$G$1463)+COUNTIF($G$4:$G134,$G134)-1))</f>
        <v>283</v>
      </c>
      <c r="AA134" s="15">
        <f>IF($C134="","",IF($N134="","",RANK($N134,$N$4:$N$1463)+COUNTIF($N$4:$N134,$N134)-1))</f>
        <v>185</v>
      </c>
      <c r="AB134" s="41" t="str">
        <f>IF($C134="","",IF($E134="","",$E134&amp;"#"&amp;(COUNTIFS($E$4:$E$1463,$E134,$X$4:$X$1463,"&gt;"&amp;$X134)+COUNTIFS($E$4:$E134,$E134,$X$4:$X134,"="&amp;$X134))))</f>
        <v>CRUSADER#26</v>
      </c>
      <c r="AC134" s="41" t="str">
        <f>IF($C134="","",$B134&amp;"@"&amp;(COUNTIFS($B$4:$B$1463,$B134,$C$4:$C$1463,"&lt;"&amp;$C134)+COUNTIFS($B$4:$B134,$B134,$C$4:$C134,$C134)))</f>
        <v>AZUKI@15</v>
      </c>
      <c r="AD134" s="41">
        <f t="shared" si="14"/>
        <v>131</v>
      </c>
      <c r="AE134" s="41" t="s">
        <v>784</v>
      </c>
      <c r="AF134" s="73">
        <f t="shared" si="15"/>
        <v>63260</v>
      </c>
      <c r="AG134" s="74">
        <f t="shared" si="16"/>
        <v>5.7</v>
      </c>
      <c r="AH134" s="41" t="str">
        <f>IF($C134="","",$B134&amp;"|"&amp;(COUNTIFS($B$4:$B$1463,$B134,$AF$4:$AF$1463,"&gt;"&amp;$AF134)+COUNTIFS($B$4:$B134,$B134,$AF$4:$AF134,"="&amp;$AF134)))</f>
        <v>AZUKI|31</v>
      </c>
      <c r="AI134" s="41" t="str">
        <f>IF($C134="","",$B134&amp;"|"&amp;(COUNTIFS($B$4:$B$1463,$B134,$AG$4:$AG$1463,"&gt;"&amp;$AG134)+COUNTIFS($B$4:$B134,$B134,$AG$4:$AG134,"="&amp;$AG134)))</f>
        <v>AZUKI|51</v>
      </c>
    </row>
    <row r="135" spans="1:35" hidden="1">
      <c r="A135" s="69" t="s">
        <v>106</v>
      </c>
      <c r="B135" s="69" t="s">
        <v>105</v>
      </c>
      <c r="C135" s="63" t="s">
        <v>785</v>
      </c>
      <c r="D135" s="69" t="s">
        <v>691</v>
      </c>
      <c r="E135" s="68" t="s">
        <v>71</v>
      </c>
      <c r="F135" s="19" t="str">
        <f>IF($C135="","",IF($E135="","-",IFERROR(INDEX(SETUP!$B$55:$B$64,MATCH($E135,SETUP!$A$55:$A$64,0)),"Other")))</f>
        <v>Frontline</v>
      </c>
      <c r="G135" s="70">
        <v>62756</v>
      </c>
      <c r="H135" s="19" t="str">
        <f>IF($C135="","",IF($G135="","-",INDEX(SETUP!$B$26:$B$32,MATCH($G135,SETUP!$A$26:$A$32,1))))</f>
        <v>62,000 - 62,999</v>
      </c>
      <c r="I135" s="70">
        <v>3306</v>
      </c>
      <c r="J135" s="19" t="str">
        <f>IF($C135="","",IF($I135="","-",INDEX(SETUP!$B$16:$B$22,MATCH($I135,SETUP!$A$16:$A$22,1))))</f>
        <v>DEVELOPING</v>
      </c>
      <c r="K135" s="19" t="str">
        <f>IF($C135="","",IF($I135="","-",TEXT(INT($I135/1000)*1000,"#,##0")&amp;" - "&amp;TEXT(INT($I135/1000)*1000+999,"#,##0")))</f>
        <v>3,000 - 3,999</v>
      </c>
      <c r="L135" s="71">
        <v>3.71</v>
      </c>
      <c r="M135" s="19" t="str">
        <f>IF($C135="","",IF($L135="","-",INDEX(SETUP!$B$36:$B$42,MATCH($L135,SETUP!$A$36:$A$42,1))))</f>
        <v>3k - 4k</v>
      </c>
      <c r="N135" s="21">
        <f>IF($C135="","",IF(OR($G135="",$I135=""),"",ROUND(100*(SETUP!$B$4*MIN(1,$I135/SETUP!$B$9)+SETUP!$B$5*MAX(0,MIN(1,($G135-SETUP!$B$10)/(SETUP!$B$11-SETUP!$B$10)))+SETUP!$B$6*MIN(1,IF($L135="",0,$L135)/SETUP!$B$12)),1)))</f>
        <v>41</v>
      </c>
      <c r="O135" s="19" t="str">
        <f>IF($C135="","",IF($N135="","-",INDEX(SETUP!$B$46:$B$51,MATCH($N135,SETUP!$A$46:$A$51,1))))</f>
        <v>B</v>
      </c>
      <c r="P135" s="19">
        <f>IF($C135="","",IF($I135="","",RANK($I135,$I$4:$I$1463)+COUNTIF($I$4:$I135,$I135)-1))</f>
        <v>788</v>
      </c>
      <c r="Q135" s="19">
        <f>IF($C135="","",COUNTIFS($B$4:$B$1463,$B135,$X$4:$X$1463,"&gt;"&amp;$X135)+COUNTIFS($B$4:$B135,$B135,$X$4:$X135,"="&amp;$X135))</f>
        <v>87</v>
      </c>
      <c r="R135" s="75">
        <f>IF($C135="","",IF($I135="","",ROUND(COUNTIF($I$4:$I$1463,"&lt;"&amp;$I135)/COUNT($I$4:$I$1463),3)))</f>
        <v>0.40500000000000003</v>
      </c>
      <c r="S135" s="19" t="str">
        <f>IF($C135="","",IF($G135="","Name only",IF(OR($I135="",$L135=""),"Partial","Complete")))</f>
        <v>Complete</v>
      </c>
      <c r="T135" s="1" t="str">
        <f>IF($C135="","",TRIM(IF(COUNTIF($C$4:$C$1463,$C135)&gt;1,"Dup name; ","")&amp;IF(AND($G135&lt;&gt;"",$G135&lt;55000),"Low CR - verify; ","")&amp;IF(AND($L135&lt;&gt;"",$L135&gt;15),"Secondary - verify; ","")&amp;IF($E135="","No class; ","")))</f>
        <v/>
      </c>
      <c r="U135" s="68"/>
      <c r="V135" s="68"/>
      <c r="W135" s="68"/>
      <c r="X135" s="76">
        <f t="shared" si="12"/>
        <v>3306</v>
      </c>
      <c r="Y135" s="1" t="str">
        <f t="shared" si="13"/>
        <v>LEGENDS|87</v>
      </c>
      <c r="Z135" s="19">
        <f>IF($C135="","",IF($G135="","",RANK($G135,$G$4:$G$1463)+COUNTIF($G$4:$G135,$G135)-1))</f>
        <v>540</v>
      </c>
      <c r="AA135" s="19">
        <f>IF($C135="","",IF($N135="","",RANK($N135,$N$4:$N$1463)+COUNTIF($N$4:$N135,$N135)-1))</f>
        <v>776</v>
      </c>
      <c r="AB135" s="1" t="str">
        <f>IF($C135="","",IF($E135="","",$E135&amp;"#"&amp;(COUNTIFS($E$4:$E$1463,$E135,$X$4:$X$1463,"&gt;"&amp;$X135)+COUNTIFS($E$4:$E135,$E135,$X$4:$X135,"="&amp;$X135))))</f>
        <v>BARBARIAN#139</v>
      </c>
      <c r="AC135" s="1" t="str">
        <f>IF($C135="","",$B135&amp;"@"&amp;(COUNTIFS($B$4:$B$1463,$B135,$C$4:$C$1463,"&lt;"&amp;$C135)+COUNTIFS($B$4:$B135,$B135,$C$4:$C135,$C135)))</f>
        <v>LEGENDS@12</v>
      </c>
      <c r="AD135" s="1">
        <f t="shared" si="14"/>
        <v>132</v>
      </c>
      <c r="AE135" s="1" t="s">
        <v>786</v>
      </c>
      <c r="AF135" s="76">
        <f t="shared" si="15"/>
        <v>62756</v>
      </c>
      <c r="AG135" s="77">
        <f t="shared" si="16"/>
        <v>3.71</v>
      </c>
      <c r="AH135" s="1" t="str">
        <f>IF($C135="","",$B135&amp;"|"&amp;(COUNTIFS($B$4:$B$1463,$B135,$AF$4:$AF$1463,"&gt;"&amp;$AF135)+COUNTIFS($B$4:$B135,$B135,$AF$4:$AF135,"="&amp;$AF135)))</f>
        <v>LEGENDS|61</v>
      </c>
      <c r="AI135" s="1" t="str">
        <f>IF($C135="","",$B135&amp;"|"&amp;(COUNTIFS($B$4:$B$1463,$B135,$AG$4:$AG$1463,"&gt;"&amp;$AG135)+COUNTIFS($B$4:$B135,$B135,$AG$4:$AG135,"="&amp;$AG135)))</f>
        <v>LEGENDS|93</v>
      </c>
    </row>
    <row r="136" spans="1:35" hidden="1">
      <c r="A136" s="69" t="s">
        <v>106</v>
      </c>
      <c r="B136" s="69" t="s">
        <v>105</v>
      </c>
      <c r="C136" s="63" t="s">
        <v>787</v>
      </c>
      <c r="D136" s="69"/>
      <c r="E136" s="68" t="s">
        <v>75</v>
      </c>
      <c r="F136" s="15" t="str">
        <f>IF($C136="","",IF($E136="","-",IFERROR(INDEX(SETUP!$B$55:$B$64,MATCH($E136,SETUP!$A$55:$A$64,0)),"Other")))</f>
        <v>Support</v>
      </c>
      <c r="G136" s="70">
        <v>61660</v>
      </c>
      <c r="H136" s="15" t="str">
        <f>IF($C136="","",IF($G136="","-",INDEX(SETUP!$B$26:$B$32,MATCH($G136,SETUP!$A$26:$A$32,1))))</f>
        <v>61,000 - 61,999</v>
      </c>
      <c r="I136" s="70">
        <v>7080</v>
      </c>
      <c r="J136" s="15" t="str">
        <f>IF($C136="","",IF($I136="","-",INDEX(SETUP!$B$16:$B$22,MATCH($I136,SETUP!$A$16:$A$22,1))))</f>
        <v>VETERAN</v>
      </c>
      <c r="K136" s="15" t="str">
        <f>IF($C136="","",IF($I136="","-",TEXT(INT($I136/1000)*1000,"#,##0")&amp;" - "&amp;TEXT(INT($I136/1000)*1000+999,"#,##0")))</f>
        <v>7,000 - 7,999</v>
      </c>
      <c r="L136" s="71">
        <v>5.21</v>
      </c>
      <c r="M136" s="15" t="str">
        <f>IF($C136="","",IF($L136="","-",INDEX(SETUP!$B$36:$B$42,MATCH($L136,SETUP!$A$36:$A$42,1))))</f>
        <v>5k - 6k</v>
      </c>
      <c r="N136" s="17">
        <f>IF($C136="","",IF(OR($G136="",$I136=""),"",ROUND(100*(SETUP!$B$4*MIN(1,$I136/SETUP!$B$9)+SETUP!$B$5*MAX(0,MIN(1,($G136-SETUP!$B$10)/(SETUP!$B$11-SETUP!$B$10)))+SETUP!$B$6*MIN(1,IF($L136="",0,$L136)/SETUP!$B$12)),1)))</f>
        <v>57.1</v>
      </c>
      <c r="O136" s="15" t="str">
        <f>IF($C136="","",IF($N136="","-",INDEX(SETUP!$B$46:$B$51,MATCH($N136,SETUP!$A$46:$A$51,1))))</f>
        <v>A</v>
      </c>
      <c r="P136" s="15">
        <f>IF($C136="","",IF($I136="","",RANK($I136,$I$4:$I$1463)+COUNTIF($I$4:$I136,$I136)-1))</f>
        <v>219</v>
      </c>
      <c r="Q136" s="15">
        <f>IF($C136="","",COUNTIFS($B$4:$B$1463,$B136,$X$4:$X$1463,"&gt;"&amp;$X136)+COUNTIFS($B$4:$B136,$B136,$X$4:$X136,"="&amp;$X136))</f>
        <v>21</v>
      </c>
      <c r="R136" s="72">
        <f>IF($C136="","",IF($I136="","",ROUND(COUNTIF($I$4:$I$1463,"&lt;"&amp;$I136)/COUNT($I$4:$I$1463),3)))</f>
        <v>0.83499999999999996</v>
      </c>
      <c r="S136" s="15" t="str">
        <f>IF($C136="","",IF($G136="","Name only",IF(OR($I136="",$L136=""),"Partial","Complete")))</f>
        <v>Complete</v>
      </c>
      <c r="T136" s="41" t="str">
        <f>IF($C136="","",TRIM(IF(COUNTIF($C$4:$C$1463,$C136)&gt;1,"Dup name; ","")&amp;IF(AND($G136&lt;&gt;"",$G136&lt;55000),"Low CR - verify; ","")&amp;IF(AND($L136&lt;&gt;"",$L136&gt;15),"Secondary - verify; ","")&amp;IF($E136="","No class; ","")))</f>
        <v/>
      </c>
      <c r="U136" s="68"/>
      <c r="V136" s="68"/>
      <c r="W136" s="68"/>
      <c r="X136" s="73">
        <f t="shared" si="12"/>
        <v>7080</v>
      </c>
      <c r="Y136" s="41" t="str">
        <f t="shared" si="13"/>
        <v>LEGENDS|21</v>
      </c>
      <c r="Z136" s="15">
        <f>IF($C136="","",IF($G136="","",RANK($G136,$G$4:$G$1463)+COUNTIF($G$4:$G136,$G136)-1))</f>
        <v>958</v>
      </c>
      <c r="AA136" s="15">
        <f>IF($C136="","",IF($N136="","",RANK($N136,$N$4:$N$1463)+COUNTIF($N$4:$N136,$N136)-1))</f>
        <v>277</v>
      </c>
      <c r="AB136" s="41" t="str">
        <f>IF($C136="","",IF($E136="","",$E136&amp;"#"&amp;(COUNTIFS($E$4:$E$1463,$E136,$X$4:$X$1463,"&gt;"&amp;$X136)+COUNTIFS($E$4:$E136,$E136,$X$4:$X136,"="&amp;$X136))))</f>
        <v>DRUID#10</v>
      </c>
      <c r="AC136" s="41" t="str">
        <f>IF($C136="","",$B136&amp;"@"&amp;(COUNTIFS($B$4:$B$1463,$B136,$C$4:$C$1463,"&lt;"&amp;$C136)+COUNTIFS($B$4:$B136,$B136,$C$4:$C136,$C136)))</f>
        <v>LEGENDS@13</v>
      </c>
      <c r="AD136" s="41">
        <f t="shared" si="14"/>
        <v>133</v>
      </c>
      <c r="AE136" s="41" t="s">
        <v>788</v>
      </c>
      <c r="AF136" s="73">
        <f t="shared" si="15"/>
        <v>61660</v>
      </c>
      <c r="AG136" s="74">
        <f t="shared" si="16"/>
        <v>5.21</v>
      </c>
      <c r="AH136" s="41" t="str">
        <f>IF($C136="","",$B136&amp;"|"&amp;(COUNTIFS($B$4:$B$1463,$B136,$AF$4:$AF$1463,"&gt;"&amp;$AF136)+COUNTIFS($B$4:$B136,$B136,$AF$4:$AF136,"="&amp;$AF136)))</f>
        <v>LEGENDS|89</v>
      </c>
      <c r="AI136" s="41" t="str">
        <f>IF($C136="","",$B136&amp;"|"&amp;(COUNTIFS($B$4:$B$1463,$B136,$AG$4:$AG$1463,"&gt;"&amp;$AG136)+COUNTIFS($B$4:$B136,$B136,$AG$4:$AG136,"="&amp;$AG136)))</f>
        <v>LEGENDS|54</v>
      </c>
    </row>
    <row r="137" spans="1:35" hidden="1">
      <c r="A137" s="69" t="s">
        <v>109</v>
      </c>
      <c r="B137" s="69" t="s">
        <v>110</v>
      </c>
      <c r="C137" s="63" t="s">
        <v>789</v>
      </c>
      <c r="D137" s="69"/>
      <c r="E137" s="68" t="s">
        <v>73</v>
      </c>
      <c r="F137" s="19" t="str">
        <f>IF($C137="","",IF($E137="","-",IFERROR(INDEX(SETUP!$B$55:$B$64,MATCH($E137,SETUP!$A$55:$A$64,0)),"Other")))</f>
        <v>Frontline</v>
      </c>
      <c r="G137" s="70">
        <v>61501</v>
      </c>
      <c r="H137" s="19" t="str">
        <f>IF($C137="","",IF($G137="","-",INDEX(SETUP!$B$26:$B$32,MATCH($G137,SETUP!$A$26:$A$32,1))))</f>
        <v>61,000 - 61,999</v>
      </c>
      <c r="I137" s="70">
        <v>3478</v>
      </c>
      <c r="J137" s="19" t="str">
        <f>IF($C137="","",IF($I137="","-",INDEX(SETUP!$B$16:$B$22,MATCH($I137,SETUP!$A$16:$A$22,1))))</f>
        <v>DEVELOPING</v>
      </c>
      <c r="K137" s="19" t="str">
        <f>IF($C137="","",IF($I137="","-",TEXT(INT($I137/1000)*1000,"#,##0")&amp;" - "&amp;TEXT(INT($I137/1000)*1000+999,"#,##0")))</f>
        <v>3,000 - 3,999</v>
      </c>
      <c r="L137" s="71">
        <v>5</v>
      </c>
      <c r="M137" s="19" t="str">
        <f>IF($C137="","",IF($L137="","-",INDEX(SETUP!$B$36:$B$42,MATCH($L137,SETUP!$A$36:$A$42,1))))</f>
        <v>5k - 6k</v>
      </c>
      <c r="N137" s="21">
        <f>IF($C137="","",IF(OR($G137="",$I137=""),"",ROUND(100*(SETUP!$B$4*MIN(1,$I137/SETUP!$B$9)+SETUP!$B$5*MAX(0,MIN(1,($G137-SETUP!$B$10)/(SETUP!$B$11-SETUP!$B$10)))+SETUP!$B$6*MIN(1,IF($L137="",0,$L137)/SETUP!$B$12)),1)))</f>
        <v>40.6</v>
      </c>
      <c r="O137" s="19" t="str">
        <f>IF($C137="","",IF($N137="","-",INDEX(SETUP!$B$46:$B$51,MATCH($N137,SETUP!$A$46:$A$51,1))))</f>
        <v>B</v>
      </c>
      <c r="P137" s="19">
        <f>IF($C137="","",IF($I137="","",RANK($I137,$I$4:$I$1463)+COUNTIF($I$4:$I137,$I137)-1))</f>
        <v>736</v>
      </c>
      <c r="Q137" s="19">
        <f>IF($C137="","",COUNTIFS($B$4:$B$1463,$B137,$X$4:$X$1463,"&gt;"&amp;$X137)+COUNTIFS($B$4:$B137,$B137,$X$4:$X137,"="&amp;$X137))</f>
        <v>76</v>
      </c>
      <c r="R137" s="75">
        <f>IF($C137="","",IF($I137="","",ROUND(COUNTIF($I$4:$I$1463,"&lt;"&amp;$I137)/COUNT($I$4:$I$1463),3)))</f>
        <v>0.44500000000000001</v>
      </c>
      <c r="S137" s="19" t="str">
        <f>IF($C137="","",IF($G137="","Name only",IF(OR($I137="",$L137=""),"Partial","Complete")))</f>
        <v>Complete</v>
      </c>
      <c r="T137" s="1" t="str">
        <f>IF($C137="","",TRIM(IF(COUNTIF($C$4:$C$1463,$C137)&gt;1,"Dup name; ","")&amp;IF(AND($G137&lt;&gt;"",$G137&lt;55000),"Low CR - verify; ","")&amp;IF(AND($L137&lt;&gt;"",$L137&gt;15),"Secondary - verify; ","")&amp;IF($E137="","No class; ","")))</f>
        <v/>
      </c>
      <c r="U137" s="68"/>
      <c r="V137" s="68"/>
      <c r="W137" s="68"/>
      <c r="X137" s="76">
        <f t="shared" si="12"/>
        <v>3478</v>
      </c>
      <c r="Y137" s="1" t="str">
        <f t="shared" si="13"/>
        <v>AZUKI|76</v>
      </c>
      <c r="Z137" s="19">
        <f>IF($C137="","",IF($G137="","",RANK($G137,$G$4:$G$1463)+COUNTIF($G$4:$G137,$G137)-1))</f>
        <v>1003</v>
      </c>
      <c r="AA137" s="19">
        <f>IF($C137="","",IF($N137="","",RANK($N137,$N$4:$N$1463)+COUNTIF($N$4:$N137,$N137)-1))</f>
        <v>794</v>
      </c>
      <c r="AB137" s="1" t="str">
        <f>IF($C137="","",IF($E137="","",$E137&amp;"#"&amp;(COUNTIFS($E$4:$E$1463,$E137,$X$4:$X$1463,"&gt;"&amp;$X137)+COUNTIFS($E$4:$E137,$E137,$X$4:$X137,"="&amp;$X137))))</f>
        <v>CRUSADER#83</v>
      </c>
      <c r="AC137" s="1" t="str">
        <f>IF($C137="","",$B137&amp;"@"&amp;(COUNTIFS($B$4:$B$1463,$B137,$C$4:$C$1463,"&lt;"&amp;$C137)+COUNTIFS($B$4:$B137,$B137,$C$4:$C137,$C137)))</f>
        <v>AZUKI@16</v>
      </c>
      <c r="AD137" s="1">
        <f t="shared" si="14"/>
        <v>134</v>
      </c>
      <c r="AE137" s="1" t="s">
        <v>790</v>
      </c>
      <c r="AF137" s="76">
        <f t="shared" si="15"/>
        <v>61501</v>
      </c>
      <c r="AG137" s="77">
        <f t="shared" si="16"/>
        <v>5</v>
      </c>
      <c r="AH137" s="1" t="str">
        <f>IF($C137="","",$B137&amp;"|"&amp;(COUNTIFS($B$4:$B$1463,$B137,$AF$4:$AF$1463,"&gt;"&amp;$AF137)+COUNTIFS($B$4:$B137,$B137,$AF$4:$AF137,"="&amp;$AF137)))</f>
        <v>AZUKI|92</v>
      </c>
      <c r="AI137" s="1" t="str">
        <f>IF($C137="","",$B137&amp;"|"&amp;(COUNTIFS($B$4:$B$1463,$B137,$AG$4:$AG$1463,"&gt;"&amp;$AG137)+COUNTIFS($B$4:$B137,$B137,$AG$4:$AG137,"="&amp;$AG137)))</f>
        <v>AZUKI|67</v>
      </c>
    </row>
    <row r="138" spans="1:35" hidden="1">
      <c r="A138" s="69" t="s">
        <v>106</v>
      </c>
      <c r="B138" s="69" t="s">
        <v>86</v>
      </c>
      <c r="C138" s="63" t="s">
        <v>791</v>
      </c>
      <c r="D138" s="69"/>
      <c r="E138" s="68" t="s">
        <v>74</v>
      </c>
      <c r="F138" s="15" t="str">
        <f>IF($C138="","",IF($E138="","-",IFERROR(INDEX(SETUP!$B$55:$B$64,MATCH($E138,SETUP!$A$55:$A$64,0)),"Other")))</f>
        <v>Ranged DPS</v>
      </c>
      <c r="G138" s="70">
        <v>63632</v>
      </c>
      <c r="H138" s="15" t="str">
        <f>IF($C138="","",IF($G138="","-",INDEX(SETUP!$B$26:$B$32,MATCH($G138,SETUP!$A$26:$A$32,1))))</f>
        <v>63,000 - 63,999</v>
      </c>
      <c r="I138" s="70">
        <v>7894</v>
      </c>
      <c r="J138" s="15" t="str">
        <f>IF($C138="","",IF($I138="","-",INDEX(SETUP!$B$16:$B$22,MATCH($I138,SETUP!$A$16:$A$22,1))))</f>
        <v>VETERAN</v>
      </c>
      <c r="K138" s="15" t="str">
        <f>IF($C138="","",IF($I138="","-",TEXT(INT($I138/1000)*1000,"#,##0")&amp;" - "&amp;TEXT(INT($I138/1000)*1000+999,"#,##0")))</f>
        <v>7,000 - 7,999</v>
      </c>
      <c r="L138" s="71">
        <v>10.1</v>
      </c>
      <c r="M138" s="15" t="str">
        <f>IF($C138="","",IF($L138="","-",INDEX(SETUP!$B$36:$B$42,MATCH($L138,SETUP!$A$36:$A$42,1))))</f>
        <v>10k +</v>
      </c>
      <c r="N138" s="17">
        <f>IF($C138="","",IF(OR($G138="",$I138=""),"",ROUND(100*(SETUP!$B$4*MIN(1,$I138/SETUP!$B$9)+SETUP!$B$5*MAX(0,MIN(1,($G138-SETUP!$B$10)/(SETUP!$B$11-SETUP!$B$10)))+SETUP!$B$6*MIN(1,IF($L138="",0,$L138)/SETUP!$B$12)),1)))</f>
        <v>74</v>
      </c>
      <c r="O138" s="15" t="str">
        <f>IF($C138="","",IF($N138="","-",INDEX(SETUP!$B$46:$B$51,MATCH($N138,SETUP!$A$46:$A$51,1))))</f>
        <v>S</v>
      </c>
      <c r="P138" s="15">
        <f>IF($C138="","",IF($I138="","",RANK($I138,$I$4:$I$1463)+COUNTIF($I$4:$I138,$I138)-1))</f>
        <v>154</v>
      </c>
      <c r="Q138" s="15">
        <f>IF($C138="","",COUNTIFS($B$4:$B$1463,$B138,$X$4:$X$1463,"&gt;"&amp;$X138)+COUNTIFS($B$4:$B138,$B138,$X$4:$X138,"="&amp;$X138))</f>
        <v>35</v>
      </c>
      <c r="R138" s="72">
        <f>IF($C138="","",IF($I138="","",ROUND(COUNTIF($I$4:$I$1463,"&lt;"&amp;$I138)/COUNT($I$4:$I$1463),3)))</f>
        <v>0.88400000000000001</v>
      </c>
      <c r="S138" s="15" t="str">
        <f>IF($C138="","",IF($G138="","Name only",IF(OR($I138="",$L138=""),"Partial","Complete")))</f>
        <v>Complete</v>
      </c>
      <c r="T138" s="41" t="str">
        <f>IF($C138="","",TRIM(IF(COUNTIF($C$4:$C$1463,$C138)&gt;1,"Dup name; ","")&amp;IF(AND($G138&lt;&gt;"",$G138&lt;55000),"Low CR - verify; ","")&amp;IF(AND($L138&lt;&gt;"",$L138&gt;15),"Secondary - verify; ","")&amp;IF($E138="","No class; ","")))</f>
        <v/>
      </c>
      <c r="U138" s="68"/>
      <c r="V138" s="68"/>
      <c r="W138" s="68"/>
      <c r="X138" s="73">
        <f t="shared" si="12"/>
        <v>7894</v>
      </c>
      <c r="Y138" s="41" t="str">
        <f t="shared" si="13"/>
        <v>VANGUARD|35</v>
      </c>
      <c r="Z138" s="15">
        <f>IF($C138="","",IF($G138="","",RANK($G138,$G$4:$G$1463)+COUNTIF($G$4:$G138,$G138)-1))</f>
        <v>158</v>
      </c>
      <c r="AA138" s="15">
        <f>IF($C138="","",IF($N138="","",RANK($N138,$N$4:$N$1463)+COUNTIF($N$4:$N138,$N138)-1))</f>
        <v>94</v>
      </c>
      <c r="AB138" s="41" t="str">
        <f>IF($C138="","",IF($E138="","",$E138&amp;"#"&amp;(COUNTIFS($E$4:$E$1463,$E138,$X$4:$X$1463,"&gt;"&amp;$X138)+COUNTIFS($E$4:$E138,$E138,$X$4:$X138,"="&amp;$X138))))</f>
        <v>DEMON HUNTER#27</v>
      </c>
      <c r="AC138" s="41" t="str">
        <f>IF($C138="","",$B138&amp;"@"&amp;(COUNTIFS($B$4:$B$1463,$B138,$C$4:$C$1463,"&lt;"&amp;$C138)+COUNTIFS($B$4:$B138,$B138,$C$4:$C138,$C138)))</f>
        <v>VANGUARD@12</v>
      </c>
      <c r="AD138" s="41">
        <f t="shared" si="14"/>
        <v>135</v>
      </c>
      <c r="AE138" s="41" t="s">
        <v>792</v>
      </c>
      <c r="AF138" s="73">
        <f t="shared" si="15"/>
        <v>63632</v>
      </c>
      <c r="AG138" s="74">
        <f t="shared" si="16"/>
        <v>10.1</v>
      </c>
      <c r="AH138" s="41" t="str">
        <f>IF($C138="","",$B138&amp;"|"&amp;(COUNTIFS($B$4:$B$1463,$B138,$AF$4:$AF$1463,"&gt;"&amp;$AF138)+COUNTIFS($B$4:$B138,$B138,$AF$4:$AF138,"="&amp;$AF138)))</f>
        <v>VANGUARD|34</v>
      </c>
      <c r="AI138" s="41" t="str">
        <f>IF($C138="","",$B138&amp;"|"&amp;(COUNTIFS($B$4:$B$1463,$B138,$AG$4:$AG$1463,"&gt;"&amp;$AG138)+COUNTIFS($B$4:$B138,$B138,$AG$4:$AG138,"="&amp;$AG138)))</f>
        <v>VANGUARD|3</v>
      </c>
    </row>
    <row r="139" spans="1:35" hidden="1">
      <c r="A139" s="69" t="s">
        <v>106</v>
      </c>
      <c r="B139" s="69" t="s">
        <v>107</v>
      </c>
      <c r="C139" s="63" t="s">
        <v>793</v>
      </c>
      <c r="D139" s="69"/>
      <c r="E139" s="68" t="s">
        <v>71</v>
      </c>
      <c r="F139" s="19" t="str">
        <f>IF($C139="","",IF($E139="","-",IFERROR(INDEX(SETUP!$B$55:$B$64,MATCH($E139,SETUP!$A$55:$A$64,0)),"Other")))</f>
        <v>Frontline</v>
      </c>
      <c r="G139" s="70">
        <v>64079</v>
      </c>
      <c r="H139" s="19" t="str">
        <f>IF($C139="","",IF($G139="","-",INDEX(SETUP!$B$26:$B$32,MATCH($G139,SETUP!$A$26:$A$32,1))))</f>
        <v>64,000 +</v>
      </c>
      <c r="I139" s="70">
        <v>9637</v>
      </c>
      <c r="J139" s="19" t="str">
        <f>IF($C139="","",IF($I139="","-",INDEX(SETUP!$B$16:$B$22,MATCH($I139,SETUP!$A$16:$A$22,1))))</f>
        <v>ELITE</v>
      </c>
      <c r="K139" s="19" t="str">
        <f>IF($C139="","",IF($I139="","-",TEXT(INT($I139/1000)*1000,"#,##0")&amp;" - "&amp;TEXT(INT($I139/1000)*1000+999,"#,##0")))</f>
        <v>9,000 - 9,999</v>
      </c>
      <c r="L139" s="71">
        <v>6.5</v>
      </c>
      <c r="M139" s="19" t="str">
        <f>IF($C139="","",IF($L139="","-",INDEX(SETUP!$B$36:$B$42,MATCH($L139,SETUP!$A$36:$A$42,1))))</f>
        <v>6k - 8k</v>
      </c>
      <c r="N139" s="21">
        <f>IF($C139="","",IF(OR($G139="",$I139=""),"",ROUND(100*(SETUP!$B$4*MIN(1,$I139/SETUP!$B$9)+SETUP!$B$5*MAX(0,MIN(1,($G139-SETUP!$B$10)/(SETUP!$B$11-SETUP!$B$10)))+SETUP!$B$6*MIN(1,IF($L139="",0,$L139)/SETUP!$B$12)),1)))</f>
        <v>76.8</v>
      </c>
      <c r="O139" s="19" t="str">
        <f>IF($C139="","",IF($N139="","-",INDEX(SETUP!$B$46:$B$51,MATCH($N139,SETUP!$A$46:$A$51,1))))</f>
        <v>S</v>
      </c>
      <c r="P139" s="19">
        <f>IF($C139="","",IF($I139="","",RANK($I139,$I$4:$I$1463)+COUNTIF($I$4:$I139,$I139)-1))</f>
        <v>68</v>
      </c>
      <c r="Q139" s="19">
        <f>IF($C139="","",COUNTIFS($B$4:$B$1463,$B139,$X$4:$X$1463,"&gt;"&amp;$X139)+COUNTIFS($B$4:$B139,$B139,$X$4:$X139,"="&amp;$X139))</f>
        <v>2</v>
      </c>
      <c r="R139" s="75">
        <f>IF($C139="","",IF($I139="","",ROUND(COUNTIF($I$4:$I$1463,"&lt;"&amp;$I139)/COUNT($I$4:$I$1463),3)))</f>
        <v>0.94899999999999995</v>
      </c>
      <c r="S139" s="19" t="str">
        <f>IF($C139="","",IF($G139="","Name only",IF(OR($I139="",$L139=""),"Partial","Complete")))</f>
        <v>Complete</v>
      </c>
      <c r="T139" s="1" t="str">
        <f>IF($C139="","",TRIM(IF(COUNTIF($C$4:$C$1463,$C139)&gt;1,"Dup name; ","")&amp;IF(AND($G139&lt;&gt;"",$G139&lt;55000),"Low CR - verify; ","")&amp;IF(AND($L139&lt;&gt;"",$L139&gt;15),"Secondary - verify; ","")&amp;IF($E139="","No class; ","")))</f>
        <v/>
      </c>
      <c r="U139" s="68"/>
      <c r="V139" s="68"/>
      <c r="W139" s="68"/>
      <c r="X139" s="76">
        <f t="shared" si="12"/>
        <v>9637</v>
      </c>
      <c r="Y139" s="1" t="str">
        <f t="shared" si="13"/>
        <v>UNDYING|2</v>
      </c>
      <c r="Z139" s="19">
        <f>IF($C139="","",IF($G139="","",RANK($G139,$G$4:$G$1463)+COUNTIF($G$4:$G139,$G139)-1))</f>
        <v>59</v>
      </c>
      <c r="AA139" s="19">
        <f>IF($C139="","",IF($N139="","",RANK($N139,$N$4:$N$1463)+COUNTIF($N$4:$N139,$N139)-1))</f>
        <v>77</v>
      </c>
      <c r="AB139" s="1" t="str">
        <f>IF($C139="","",IF($E139="","",$E139&amp;"#"&amp;(COUNTIFS($E$4:$E$1463,$E139,$X$4:$X$1463,"&gt;"&amp;$X139)+COUNTIFS($E$4:$E139,$E139,$X$4:$X139,"="&amp;$X139))))</f>
        <v>BARBARIAN#14</v>
      </c>
      <c r="AC139" s="1" t="str">
        <f>IF($C139="","",$B139&amp;"@"&amp;(COUNTIFS($B$4:$B$1463,$B139,$C$4:$C$1463,"&lt;"&amp;$C139)+COUNTIFS($B$4:$B139,$B139,$C$4:$C139,$C139)))</f>
        <v>UNDYING@13</v>
      </c>
      <c r="AD139" s="1">
        <f t="shared" si="14"/>
        <v>136</v>
      </c>
      <c r="AE139" s="1" t="s">
        <v>634</v>
      </c>
      <c r="AF139" s="76">
        <f t="shared" si="15"/>
        <v>64079</v>
      </c>
      <c r="AG139" s="77">
        <f t="shared" si="16"/>
        <v>6.5</v>
      </c>
      <c r="AH139" s="1" t="str">
        <f>IF($C139="","",$B139&amp;"|"&amp;(COUNTIFS($B$4:$B$1463,$B139,$AF$4:$AF$1463,"&gt;"&amp;$AF139)+COUNTIFS($B$4:$B139,$B139,$AF$4:$AF139,"="&amp;$AF139)))</f>
        <v>UNDYING|2</v>
      </c>
      <c r="AI139" s="1" t="str">
        <f>IF($C139="","",$B139&amp;"|"&amp;(COUNTIFS($B$4:$B$1463,$B139,$AG$4:$AG$1463,"&gt;"&amp;$AG139)+COUNTIFS($B$4:$B139,$B139,$AG$4:$AG139,"="&amp;$AG139)))</f>
        <v>UNDYING|13</v>
      </c>
    </row>
    <row r="140" spans="1:35" hidden="1">
      <c r="A140" s="69" t="s">
        <v>109</v>
      </c>
      <c r="B140" s="69" t="s">
        <v>114</v>
      </c>
      <c r="C140" s="63" t="s">
        <v>794</v>
      </c>
      <c r="D140" s="69"/>
      <c r="E140" s="68" t="s">
        <v>75</v>
      </c>
      <c r="F140" s="15" t="str">
        <f>IF($C140="","",IF($E140="","-",IFERROR(INDEX(SETUP!$B$55:$B$64,MATCH($E140,SETUP!$A$55:$A$64,0)),"Other")))</f>
        <v>Support</v>
      </c>
      <c r="G140" s="70">
        <v>61089</v>
      </c>
      <c r="H140" s="15" t="str">
        <f>IF($C140="","",IF($G140="","-",INDEX(SETUP!$B$26:$B$32,MATCH($G140,SETUP!$A$26:$A$32,1))))</f>
        <v>61,000 - 61,999</v>
      </c>
      <c r="I140" s="70">
        <v>2172</v>
      </c>
      <c r="J140" s="15" t="str">
        <f>IF($C140="","",IF($I140="","-",INDEX(SETUP!$B$16:$B$22,MATCH($I140,SETUP!$A$16:$A$22,1))))</f>
        <v>DEVELOPING</v>
      </c>
      <c r="K140" s="15" t="str">
        <f>IF($C140="","",IF($I140="","-",TEXT(INT($I140/1000)*1000,"#,##0")&amp;" - "&amp;TEXT(INT($I140/1000)*1000+999,"#,##0")))</f>
        <v>2,000 - 2,999</v>
      </c>
      <c r="L140" s="71">
        <v>3.5</v>
      </c>
      <c r="M140" s="15" t="str">
        <f>IF($C140="","",IF($L140="","-",INDEX(SETUP!$B$36:$B$42,MATCH($L140,SETUP!$A$36:$A$42,1))))</f>
        <v>3k - 4k</v>
      </c>
      <c r="N140" s="17">
        <f>IF($C140="","",IF(OR($G140="",$I140=""),"",ROUND(100*(SETUP!$B$4*MIN(1,$I140/SETUP!$B$9)+SETUP!$B$5*MAX(0,MIN(1,($G140-SETUP!$B$10)/(SETUP!$B$11-SETUP!$B$10)))+SETUP!$B$6*MIN(1,IF($L140="",0,$L140)/SETUP!$B$12)),1)))</f>
        <v>31.3</v>
      </c>
      <c r="O140" s="15" t="str">
        <f>IF($C140="","",IF($N140="","-",INDEX(SETUP!$B$46:$B$51,MATCH($N140,SETUP!$A$46:$A$51,1))))</f>
        <v>C</v>
      </c>
      <c r="P140" s="15">
        <f>IF($C140="","",IF($I140="","",RANK($I140,$I$4:$I$1463)+COUNTIF($I$4:$I140,$I140)-1))</f>
        <v>1072</v>
      </c>
      <c r="Q140" s="15">
        <f>IF($C140="","",COUNTIFS($B$4:$B$1463,$B140,$X$4:$X$1463,"&gt;"&amp;$X140)+COUNTIFS($B$4:$B140,$B140,$X$4:$X140,"="&amp;$X140))</f>
        <v>50</v>
      </c>
      <c r="R140" s="72">
        <f>IF($C140="","",IF($I140="","",ROUND(COUNTIF($I$4:$I$1463,"&lt;"&amp;$I140)/COUNT($I$4:$I$1463),3)))</f>
        <v>0.191</v>
      </c>
      <c r="S140" s="15" t="str">
        <f>IF($C140="","",IF($G140="","Name only",IF(OR($I140="",$L140=""),"Partial","Complete")))</f>
        <v>Complete</v>
      </c>
      <c r="T140" s="41" t="str">
        <f>IF($C140="","",TRIM(IF(COUNTIF($C$4:$C$1463,$C140)&gt;1,"Dup name; ","")&amp;IF(AND($G140&lt;&gt;"",$G140&lt;55000),"Low CR - verify; ","")&amp;IF(AND($L140&lt;&gt;"",$L140&gt;15),"Secondary - verify; ","")&amp;IF($E140="","No class; ","")))</f>
        <v/>
      </c>
      <c r="U140" s="68"/>
      <c r="V140" s="68"/>
      <c r="W140" s="68"/>
      <c r="X140" s="73">
        <f t="shared" si="12"/>
        <v>2172</v>
      </c>
      <c r="Y140" s="41" t="str">
        <f t="shared" si="13"/>
        <v>EMERALD LEAF TRIBE|50</v>
      </c>
      <c r="Z140" s="15">
        <f>IF($C140="","",IF($G140="","",RANK($G140,$G$4:$G$1463)+COUNTIF($G$4:$G140,$G140)-1))</f>
        <v>1118</v>
      </c>
      <c r="AA140" s="15">
        <f>IF($C140="","",IF($N140="","",RANK($N140,$N$4:$N$1463)+COUNTIF($N$4:$N140,$N140)-1))</f>
        <v>1114</v>
      </c>
      <c r="AB140" s="41" t="str">
        <f>IF($C140="","",IF($E140="","",$E140&amp;"#"&amp;(COUNTIFS($E$4:$E$1463,$E140,$X$4:$X$1463,"&gt;"&amp;$X140)+COUNTIFS($E$4:$E140,$E140,$X$4:$X140,"="&amp;$X140))))</f>
        <v>DRUID#50</v>
      </c>
      <c r="AC140" s="41" t="str">
        <f>IF($C140="","",$B140&amp;"@"&amp;(COUNTIFS($B$4:$B$1463,$B140,$C$4:$C$1463,"&lt;"&amp;$C140)+COUNTIFS($B$4:$B140,$B140,$C$4:$C140,$C140)))</f>
        <v>EMERALD LEAF TRIBE@8</v>
      </c>
      <c r="AD140" s="41">
        <f t="shared" si="14"/>
        <v>137</v>
      </c>
      <c r="AE140" s="41" t="s">
        <v>795</v>
      </c>
      <c r="AF140" s="73">
        <f t="shared" si="15"/>
        <v>61089</v>
      </c>
      <c r="AG140" s="74">
        <f t="shared" si="16"/>
        <v>3.5</v>
      </c>
      <c r="AH140" s="41" t="str">
        <f>IF($C140="","",$B140&amp;"|"&amp;(COUNTIFS($B$4:$B$1463,$B140,$AF$4:$AF$1463,"&gt;"&amp;$AF140)+COUNTIFS($B$4:$B140,$B140,$AF$4:$AF140,"="&amp;$AF140)))</f>
        <v>EMERALD LEAF TRIBE|56</v>
      </c>
      <c r="AI140" s="41" t="str">
        <f>IF($C140="","",$B140&amp;"|"&amp;(COUNTIFS($B$4:$B$1463,$B140,$AG$4:$AG$1463,"&gt;"&amp;$AG140)+COUNTIFS($B$4:$B140,$B140,$AG$4:$AG140,"="&amp;$AG140)))</f>
        <v>EMERALD LEAF TRIBE|52</v>
      </c>
    </row>
    <row r="141" spans="1:35" hidden="1">
      <c r="A141" s="69" t="s">
        <v>106</v>
      </c>
      <c r="B141" s="69" t="s">
        <v>105</v>
      </c>
      <c r="C141" s="63" t="s">
        <v>796</v>
      </c>
      <c r="D141" s="69" t="s">
        <v>691</v>
      </c>
      <c r="E141" s="68" t="s">
        <v>71</v>
      </c>
      <c r="F141" s="19" t="str">
        <f>IF($C141="","",IF($E141="","-",IFERROR(INDEX(SETUP!$B$55:$B$64,MATCH($E141,SETUP!$A$55:$A$64,0)),"Other")))</f>
        <v>Frontline</v>
      </c>
      <c r="G141" s="70">
        <v>62537</v>
      </c>
      <c r="H141" s="19" t="str">
        <f>IF($C141="","",IF($G141="","-",INDEX(SETUP!$B$26:$B$32,MATCH($G141,SETUP!$A$26:$A$32,1))))</f>
        <v>62,000 - 62,999</v>
      </c>
      <c r="I141" s="70">
        <v>5222</v>
      </c>
      <c r="J141" s="19" t="str">
        <f>IF($C141="","",IF($I141="","-",INDEX(SETUP!$B$16:$B$22,MATCH($I141,SETUP!$A$16:$A$22,1))))</f>
        <v>CORE</v>
      </c>
      <c r="K141" s="19" t="str">
        <f>IF($C141="","",IF($I141="","-",TEXT(INT($I141/1000)*1000,"#,##0")&amp;" - "&amp;TEXT(INT($I141/1000)*1000+999,"#,##0")))</f>
        <v>5,000 - 5,999</v>
      </c>
      <c r="L141" s="71">
        <v>5.3</v>
      </c>
      <c r="M141" s="19" t="str">
        <f>IF($C141="","",IF($L141="","-",INDEX(SETUP!$B$36:$B$42,MATCH($L141,SETUP!$A$36:$A$42,1))))</f>
        <v>5k - 6k</v>
      </c>
      <c r="N141" s="21">
        <f>IF($C141="","",IF(OR($G141="",$I141=""),"",ROUND(100*(SETUP!$B$4*MIN(1,$I141/SETUP!$B$9)+SETUP!$B$5*MAX(0,MIN(1,($G141-SETUP!$B$10)/(SETUP!$B$11-SETUP!$B$10)))+SETUP!$B$6*MIN(1,IF($L141="",0,$L141)/SETUP!$B$12)),1)))</f>
        <v>51.5</v>
      </c>
      <c r="O141" s="19" t="str">
        <f>IF($C141="","",IF($N141="","-",INDEX(SETUP!$B$46:$B$51,MATCH($N141,SETUP!$A$46:$A$51,1))))</f>
        <v>A</v>
      </c>
      <c r="P141" s="19">
        <f>IF($C141="","",IF($I141="","",RANK($I141,$I$4:$I$1463)+COUNTIF($I$4:$I141,$I141)-1))</f>
        <v>378</v>
      </c>
      <c r="Q141" s="19">
        <f>IF($C141="","",COUNTIFS($B$4:$B$1463,$B141,$X$4:$X$1463,"&gt;"&amp;$X141)+COUNTIFS($B$4:$B141,$B141,$X$4:$X141,"="&amp;$X141))</f>
        <v>46</v>
      </c>
      <c r="R141" s="75">
        <f>IF($C141="","",IF($I141="","",ROUND(COUNTIF($I$4:$I$1463,"&lt;"&amp;$I141)/COUNT($I$4:$I$1463),3)))</f>
        <v>0.71499999999999997</v>
      </c>
      <c r="S141" s="19" t="str">
        <f>IF($C141="","",IF($G141="","Name only",IF(OR($I141="",$L141=""),"Partial","Complete")))</f>
        <v>Complete</v>
      </c>
      <c r="T141" s="1" t="str">
        <f>IF($C141="","",TRIM(IF(COUNTIF($C$4:$C$1463,$C141)&gt;1,"Dup name; ","")&amp;IF(AND($G141&lt;&gt;"",$G141&lt;55000),"Low CR - verify; ","")&amp;IF(AND($L141&lt;&gt;"",$L141&gt;15),"Secondary - verify; ","")&amp;IF($E141="","No class; ","")))</f>
        <v/>
      </c>
      <c r="U141" s="68"/>
      <c r="V141" s="68"/>
      <c r="W141" s="68"/>
      <c r="X141" s="76">
        <f t="shared" si="12"/>
        <v>5222</v>
      </c>
      <c r="Y141" s="1" t="str">
        <f t="shared" si="13"/>
        <v>LEGENDS|46</v>
      </c>
      <c r="Z141" s="19">
        <f>IF($C141="","",IF($G141="","",RANK($G141,$G$4:$G$1463)+COUNTIF($G$4:$G141,$G141)-1))</f>
        <v>639</v>
      </c>
      <c r="AA141" s="19">
        <f>IF($C141="","",IF($N141="","",RANK($N141,$N$4:$N$1463)+COUNTIF($N$4:$N141,$N141)-1))</f>
        <v>404</v>
      </c>
      <c r="AB141" s="1" t="str">
        <f>IF($C141="","",IF($E141="","",$E141&amp;"#"&amp;(COUNTIFS($E$4:$E$1463,$E141,$X$4:$X$1463,"&gt;"&amp;$X141)+COUNTIFS($E$4:$E141,$E141,$X$4:$X141,"="&amp;$X141))))</f>
        <v>BARBARIAN#76</v>
      </c>
      <c r="AC141" s="1" t="str">
        <f>IF($C141="","",$B141&amp;"@"&amp;(COUNTIFS($B$4:$B$1463,$B141,$C$4:$C$1463,"&lt;"&amp;$C141)+COUNTIFS($B$4:$B141,$B141,$C$4:$C141,$C141)))</f>
        <v>LEGENDS@14</v>
      </c>
      <c r="AD141" s="1">
        <f t="shared" si="14"/>
        <v>138</v>
      </c>
      <c r="AE141" s="1" t="s">
        <v>797</v>
      </c>
      <c r="AF141" s="76">
        <f t="shared" si="15"/>
        <v>62537</v>
      </c>
      <c r="AG141" s="77">
        <f t="shared" si="16"/>
        <v>5.3</v>
      </c>
      <c r="AH141" s="1" t="str">
        <f>IF($C141="","",$B141&amp;"|"&amp;(COUNTIFS($B$4:$B$1463,$B141,$AF$4:$AF$1463,"&gt;"&amp;$AF141)+COUNTIFS($B$4:$B141,$B141,$AF$4:$AF141,"="&amp;$AF141)))</f>
        <v>LEGENDS|67</v>
      </c>
      <c r="AI141" s="1" t="str">
        <f>IF($C141="","",$B141&amp;"|"&amp;(COUNTIFS($B$4:$B$1463,$B141,$AG$4:$AG$1463,"&gt;"&amp;$AG141)+COUNTIFS($B$4:$B141,$B141,$AG$4:$AG141,"="&amp;$AG141)))</f>
        <v>LEGENDS|49</v>
      </c>
    </row>
    <row r="142" spans="1:35" hidden="1">
      <c r="A142" s="69" t="s">
        <v>106</v>
      </c>
      <c r="B142" s="69" t="s">
        <v>107</v>
      </c>
      <c r="C142" s="63" t="s">
        <v>798</v>
      </c>
      <c r="D142" s="69"/>
      <c r="E142" s="68" t="s">
        <v>80</v>
      </c>
      <c r="F142" s="15" t="str">
        <f>IF($C142="","",IF($E142="","-",IFERROR(INDEX(SETUP!$B$55:$B$64,MATCH($E142,SETUP!$A$55:$A$64,0)),"Other")))</f>
        <v>Ranged DPS</v>
      </c>
      <c r="G142" s="70">
        <v>63565</v>
      </c>
      <c r="H142" s="15" t="str">
        <f>IF($C142="","",IF($G142="","-",INDEX(SETUP!$B$26:$B$32,MATCH($G142,SETUP!$A$26:$A$32,1))))</f>
        <v>63,000 - 63,999</v>
      </c>
      <c r="I142" s="70">
        <v>7171</v>
      </c>
      <c r="J142" s="15" t="str">
        <f>IF($C142="","",IF($I142="","-",INDEX(SETUP!$B$16:$B$22,MATCH($I142,SETUP!$A$16:$A$22,1))))</f>
        <v>VETERAN</v>
      </c>
      <c r="K142" s="15" t="str">
        <f>IF($C142="","",IF($I142="","-",TEXT(INT($I142/1000)*1000,"#,##0")&amp;" - "&amp;TEXT(INT($I142/1000)*1000+999,"#,##0")))</f>
        <v>7,000 - 7,999</v>
      </c>
      <c r="L142" s="71">
        <v>5.4</v>
      </c>
      <c r="M142" s="15" t="str">
        <f>IF($C142="","",IF($L142="","-",INDEX(SETUP!$B$36:$B$42,MATCH($L142,SETUP!$A$36:$A$42,1))))</f>
        <v>5k - 6k</v>
      </c>
      <c r="N142" s="17">
        <f>IF($C142="","",IF(OR($G142="",$I142=""),"",ROUND(100*(SETUP!$B$4*MIN(1,$I142/SETUP!$B$9)+SETUP!$B$5*MAX(0,MIN(1,($G142-SETUP!$B$10)/(SETUP!$B$11-SETUP!$B$10)))+SETUP!$B$6*MIN(1,IF($L142="",0,$L142)/SETUP!$B$12)),1)))</f>
        <v>62.8</v>
      </c>
      <c r="O142" s="15" t="str">
        <f>IF($C142="","",IF($N142="","-",INDEX(SETUP!$B$46:$B$51,MATCH($N142,SETUP!$A$46:$A$51,1))))</f>
        <v>A</v>
      </c>
      <c r="P142" s="15">
        <f>IF($C142="","",IF($I142="","",RANK($I142,$I$4:$I$1463)+COUNTIF($I$4:$I142,$I142)-1))</f>
        <v>207</v>
      </c>
      <c r="Q142" s="15">
        <f>IF($C142="","",COUNTIFS($B$4:$B$1463,$B142,$X$4:$X$1463,"&gt;"&amp;$X142)+COUNTIFS($B$4:$B142,$B142,$X$4:$X142,"="&amp;$X142))</f>
        <v>13</v>
      </c>
      <c r="R142" s="72">
        <f>IF($C142="","",IF($I142="","",ROUND(COUNTIF($I$4:$I$1463,"&lt;"&amp;$I142)/COUNT($I$4:$I$1463),3)))</f>
        <v>0.84399999999999997</v>
      </c>
      <c r="S142" s="15" t="str">
        <f>IF($C142="","",IF($G142="","Name only",IF(OR($I142="",$L142=""),"Partial","Complete")))</f>
        <v>Complete</v>
      </c>
      <c r="T142" s="41" t="str">
        <f>IF($C142="","",TRIM(IF(COUNTIF($C$4:$C$1463,$C142)&gt;1,"Dup name; ","")&amp;IF(AND($G142&lt;&gt;"",$G142&lt;55000),"Low CR - verify; ","")&amp;IF(AND($L142&lt;&gt;"",$L142&gt;15),"Secondary - verify; ","")&amp;IF($E142="","No class; ","")))</f>
        <v/>
      </c>
      <c r="U142" s="68"/>
      <c r="V142" s="68"/>
      <c r="W142" s="68"/>
      <c r="X142" s="73">
        <f t="shared" si="12"/>
        <v>7171</v>
      </c>
      <c r="Y142" s="41" t="str">
        <f t="shared" si="13"/>
        <v>UNDYING|13</v>
      </c>
      <c r="Z142" s="15">
        <f>IF($C142="","",IF($G142="","",RANK($G142,$G$4:$G$1463)+COUNTIF($G$4:$G142,$G142)-1))</f>
        <v>175</v>
      </c>
      <c r="AA142" s="15">
        <f>IF($C142="","",IF($N142="","",RANK($N142,$N$4:$N$1463)+COUNTIF($N$4:$N142,$N142)-1))</f>
        <v>205</v>
      </c>
      <c r="AB142" s="41" t="str">
        <f>IF($C142="","",IF($E142="","",$E142&amp;"#"&amp;(COUNTIFS($E$4:$E$1463,$E142,$X$4:$X$1463,"&gt;"&amp;$X142)+COUNTIFS($E$4:$E142,$E142,$X$4:$X142,"="&amp;$X142))))</f>
        <v>WIZARD#12</v>
      </c>
      <c r="AC142" s="41" t="str">
        <f>IF($C142="","",$B142&amp;"@"&amp;(COUNTIFS($B$4:$B$1463,$B142,$C$4:$C$1463,"&lt;"&amp;$C142)+COUNTIFS($B$4:$B142,$B142,$C$4:$C142,$C142)))</f>
        <v>UNDYING@14</v>
      </c>
      <c r="AD142" s="41">
        <f t="shared" si="14"/>
        <v>139</v>
      </c>
      <c r="AE142" s="41" t="s">
        <v>799</v>
      </c>
      <c r="AF142" s="73">
        <f t="shared" si="15"/>
        <v>63565</v>
      </c>
      <c r="AG142" s="74">
        <f t="shared" si="16"/>
        <v>5.4</v>
      </c>
      <c r="AH142" s="41" t="str">
        <f>IF($C142="","",$B142&amp;"|"&amp;(COUNTIFS($B$4:$B$1463,$B142,$AF$4:$AF$1463,"&gt;"&amp;$AF142)+COUNTIFS($B$4:$B142,$B142,$AF$4:$AF142,"="&amp;$AF142)))</f>
        <v>UNDYING|8</v>
      </c>
      <c r="AI142" s="41" t="str">
        <f>IF($C142="","",$B142&amp;"|"&amp;(COUNTIFS($B$4:$B$1463,$B142,$AG$4:$AG$1463,"&gt;"&amp;$AG142)+COUNTIFS($B$4:$B142,$B142,$AG$4:$AG142,"="&amp;$AG142)))</f>
        <v>UNDYING|41</v>
      </c>
    </row>
    <row r="143" spans="1:35" hidden="1">
      <c r="A143" s="69" t="s">
        <v>109</v>
      </c>
      <c r="B143" s="69" t="s">
        <v>115</v>
      </c>
      <c r="C143" s="63" t="s">
        <v>800</v>
      </c>
      <c r="D143" s="69"/>
      <c r="E143" s="68" t="s">
        <v>80</v>
      </c>
      <c r="F143" s="19" t="str">
        <f>IF($C143="","",IF($E143="","-",IFERROR(INDEX(SETUP!$B$55:$B$64,MATCH($E143,SETUP!$A$55:$A$64,0)),"Other")))</f>
        <v>Ranged DPS</v>
      </c>
      <c r="G143" s="70">
        <v>59091</v>
      </c>
      <c r="H143" s="19" t="str">
        <f>IF($C143="","",IF($G143="","-",INDEX(SETUP!$B$26:$B$32,MATCH($G143,SETUP!$A$26:$A$32,1))))</f>
        <v>58,000 - 59,999</v>
      </c>
      <c r="I143" s="70">
        <v>620</v>
      </c>
      <c r="J143" s="19" t="str">
        <f>IF($C143="","",IF($I143="","-",INDEX(SETUP!$B$16:$B$22,MATCH($I143,SETUP!$A$16:$A$22,1))))</f>
        <v>ROOKIE</v>
      </c>
      <c r="K143" s="19" t="str">
        <f>IF($C143="","",IF($I143="","-",TEXT(INT($I143/1000)*1000,"#,##0")&amp;" - "&amp;TEXT(INT($I143/1000)*1000+999,"#,##0")))</f>
        <v>0 - 999</v>
      </c>
      <c r="L143" s="71">
        <v>2.6</v>
      </c>
      <c r="M143" s="19" t="str">
        <f>IF($C143="","",IF($L143="","-",INDEX(SETUP!$B$36:$B$42,MATCH($L143,SETUP!$A$36:$A$42,1))))</f>
        <v>Under 3k</v>
      </c>
      <c r="N143" s="21">
        <f>IF($C143="","",IF(OR($G143="",$I143=""),"",ROUND(100*(SETUP!$B$4*MIN(1,$I143/SETUP!$B$9)+SETUP!$B$5*MAX(0,MIN(1,($G143-SETUP!$B$10)/(SETUP!$B$11-SETUP!$B$10)))+SETUP!$B$6*MIN(1,IF($L143="",0,$L143)/SETUP!$B$12)),1)))</f>
        <v>17.8</v>
      </c>
      <c r="O143" s="19" t="str">
        <f>IF($C143="","",IF($N143="","-",INDEX(SETUP!$B$46:$B$51,MATCH($N143,SETUP!$A$46:$A$51,1))))</f>
        <v>D</v>
      </c>
      <c r="P143" s="19">
        <f>IF($C143="","",IF($I143="","",RANK($I143,$I$4:$I$1463)+COUNTIF($I$4:$I143,$I143)-1))</f>
        <v>1310</v>
      </c>
      <c r="Q143" s="19">
        <f>IF($C143="","",COUNTIFS($B$4:$B$1463,$B143,$X$4:$X$1463,"&gt;"&amp;$X143)+COUNTIFS($B$4:$B143,$B143,$X$4:$X143,"="&amp;$X143))</f>
        <v>66</v>
      </c>
      <c r="R143" s="75">
        <f>IF($C143="","",IF($I143="","",ROUND(COUNTIF($I$4:$I$1463,"&lt;"&amp;$I143)/COUNT($I$4:$I$1463),3)))</f>
        <v>1.0999999999999999E-2</v>
      </c>
      <c r="S143" s="19" t="str">
        <f>IF($C143="","",IF($G143="","Name only",IF(OR($I143="",$L143=""),"Partial","Complete")))</f>
        <v>Complete</v>
      </c>
      <c r="T143" s="1" t="str">
        <f>IF($C143="","",TRIM(IF(COUNTIF($C$4:$C$1463,$C143)&gt;1,"Dup name; ","")&amp;IF(AND($G143&lt;&gt;"",$G143&lt;55000),"Low CR - verify; ","")&amp;IF(AND($L143&lt;&gt;"",$L143&gt;15),"Secondary - verify; ","")&amp;IF($E143="","No class; ","")))</f>
        <v/>
      </c>
      <c r="U143" s="68"/>
      <c r="V143" s="68"/>
      <c r="W143" s="68"/>
      <c r="X143" s="76">
        <f t="shared" si="12"/>
        <v>620</v>
      </c>
      <c r="Y143" s="1" t="str">
        <f t="shared" si="13"/>
        <v>SUB ROSA|66</v>
      </c>
      <c r="Z143" s="19">
        <f>IF($C143="","",IF($G143="","",RANK($G143,$G$4:$G$1463)+COUNTIF($G$4:$G143,$G143)-1))</f>
        <v>1276</v>
      </c>
      <c r="AA143" s="19">
        <f>IF($C143="","",IF($N143="","",RANK($N143,$N$4:$N$1463)+COUNTIF($N$4:$N143,$N143)-1))</f>
        <v>1301</v>
      </c>
      <c r="AB143" s="1" t="str">
        <f>IF($C143="","",IF($E143="","",$E143&amp;"#"&amp;(COUNTIFS($E$4:$E$1463,$E143,$X$4:$X$1463,"&gt;"&amp;$X143)+COUNTIFS($E$4:$E143,$E143,$X$4:$X143,"="&amp;$X143))))</f>
        <v>WIZARD#92</v>
      </c>
      <c r="AC143" s="1" t="str">
        <f>IF($C143="","",$B143&amp;"@"&amp;(COUNTIFS($B$4:$B$1463,$B143,$C$4:$C$1463,"&lt;"&amp;$C143)+COUNTIFS($B$4:$B143,$B143,$C$4:$C143,$C143)))</f>
        <v>SUB ROSA@10</v>
      </c>
      <c r="AD143" s="1">
        <f t="shared" si="14"/>
        <v>140</v>
      </c>
      <c r="AE143" s="1" t="s">
        <v>801</v>
      </c>
      <c r="AF143" s="76">
        <f t="shared" si="15"/>
        <v>59091</v>
      </c>
      <c r="AG143" s="77">
        <f t="shared" si="16"/>
        <v>2.6</v>
      </c>
      <c r="AH143" s="1" t="str">
        <f>IF($C143="","",$B143&amp;"|"&amp;(COUNTIFS($B$4:$B$1463,$B143,$AF$4:$AF$1463,"&gt;"&amp;$AF143)+COUNTIFS($B$4:$B143,$B143,$AF$4:$AF143,"="&amp;$AF143)))</f>
        <v>SUB ROSA|63</v>
      </c>
      <c r="AI143" s="1" t="str">
        <f>IF($C143="","",$B143&amp;"|"&amp;(COUNTIFS($B$4:$B$1463,$B143,$AG$4:$AG$1463,"&gt;"&amp;$AG143)+COUNTIFS($B$4:$B143,$B143,$AG$4:$AG143,"="&amp;$AG143)))</f>
        <v>SUB ROSA|62</v>
      </c>
    </row>
    <row r="144" spans="1:35" hidden="1">
      <c r="A144" s="69" t="s">
        <v>109</v>
      </c>
      <c r="B144" s="69" t="s">
        <v>118</v>
      </c>
      <c r="C144" s="63" t="s">
        <v>802</v>
      </c>
      <c r="D144" s="69"/>
      <c r="E144" s="68" t="s">
        <v>71</v>
      </c>
      <c r="F144" s="15" t="str">
        <f>IF($C144="","",IF($E144="","-",IFERROR(INDEX(SETUP!$B$55:$B$64,MATCH($E144,SETUP!$A$55:$A$64,0)),"Other")))</f>
        <v>Frontline</v>
      </c>
      <c r="G144" s="70">
        <v>61634</v>
      </c>
      <c r="H144" s="15" t="str">
        <f>IF($C144="","",IF($G144="","-",INDEX(SETUP!$B$26:$B$32,MATCH($G144,SETUP!$A$26:$A$32,1))))</f>
        <v>61,000 - 61,999</v>
      </c>
      <c r="I144" s="70">
        <v>1874</v>
      </c>
      <c r="J144" s="15" t="str">
        <f>IF($C144="","",IF($I144="","-",INDEX(SETUP!$B$16:$B$22,MATCH($I144,SETUP!$A$16:$A$22,1))))</f>
        <v>ROOKIE</v>
      </c>
      <c r="K144" s="15" t="str">
        <f>IF($C144="","",IF($I144="","-",TEXT(INT($I144/1000)*1000,"#,##0")&amp;" - "&amp;TEXT(INT($I144/1000)*1000+999,"#,##0")))</f>
        <v>1,000 - 1,999</v>
      </c>
      <c r="L144" s="71">
        <v>3.3</v>
      </c>
      <c r="M144" s="15" t="str">
        <f>IF($C144="","",IF($L144="","-",INDEX(SETUP!$B$36:$B$42,MATCH($L144,SETUP!$A$36:$A$42,1))))</f>
        <v>3k - 4k</v>
      </c>
      <c r="N144" s="17">
        <f>IF($C144="","",IF(OR($G144="",$I144=""),"",ROUND(100*(SETUP!$B$4*MIN(1,$I144/SETUP!$B$9)+SETUP!$B$5*MAX(0,MIN(1,($G144-SETUP!$B$10)/(SETUP!$B$11-SETUP!$B$10)))+SETUP!$B$6*MIN(1,IF($L144="",0,$L144)/SETUP!$B$12)),1)))</f>
        <v>31.1</v>
      </c>
      <c r="O144" s="15" t="str">
        <f>IF($C144="","",IF($N144="","-",INDEX(SETUP!$B$46:$B$51,MATCH($N144,SETUP!$A$46:$A$51,1))))</f>
        <v>C</v>
      </c>
      <c r="P144" s="15">
        <f>IF($C144="","",IF($I144="","",RANK($I144,$I$4:$I$1463)+COUNTIF($I$4:$I144,$I144)-1))</f>
        <v>1135</v>
      </c>
      <c r="Q144" s="15">
        <f>IF($C144="","",COUNTIFS($B$4:$B$1463,$B144,$X$4:$X$1463,"&gt;"&amp;$X144)+COUNTIFS($B$4:$B144,$B144,$X$4:$X144,"="&amp;$X144))</f>
        <v>44</v>
      </c>
      <c r="R144" s="72">
        <f>IF($C144="","",IF($I144="","",ROUND(COUNTIF($I$4:$I$1463,"&lt;"&amp;$I144)/COUNT($I$4:$I$1463),3)))</f>
        <v>0.14299999999999999</v>
      </c>
      <c r="S144" s="15" t="str">
        <f>IF($C144="","",IF($G144="","Name only",IF(OR($I144="",$L144=""),"Partial","Complete")))</f>
        <v>Complete</v>
      </c>
      <c r="T144" s="41" t="str">
        <f>IF($C144="","",TRIM(IF(COUNTIF($C$4:$C$1463,$C144)&gt;1,"Dup name; ","")&amp;IF(AND($G144&lt;&gt;"",$G144&lt;55000),"Low CR - verify; ","")&amp;IF(AND($L144&lt;&gt;"",$L144&gt;15),"Secondary - verify; ","")&amp;IF($E144="","No class; ","")))</f>
        <v/>
      </c>
      <c r="U144" s="68"/>
      <c r="V144" s="68"/>
      <c r="W144" s="68"/>
      <c r="X144" s="73">
        <f t="shared" si="12"/>
        <v>1874</v>
      </c>
      <c r="Y144" s="41" t="str">
        <f t="shared" si="13"/>
        <v>ZOMBIES|44</v>
      </c>
      <c r="Z144" s="15">
        <f>IF($C144="","",IF($G144="","",RANK($G144,$G$4:$G$1463)+COUNTIF($G$4:$G144,$G144)-1))</f>
        <v>966</v>
      </c>
      <c r="AA144" s="15">
        <f>IF($C144="","",IF($N144="","",RANK($N144,$N$4:$N$1463)+COUNTIF($N$4:$N144,$N144)-1))</f>
        <v>1120</v>
      </c>
      <c r="AB144" s="41" t="str">
        <f>IF($C144="","",IF($E144="","",$E144&amp;"#"&amp;(COUNTIFS($E$4:$E$1463,$E144,$X$4:$X$1463,"&gt;"&amp;$X144)+COUNTIFS($E$4:$E144,$E144,$X$4:$X144,"="&amp;$X144))))</f>
        <v>BARBARIAN#193</v>
      </c>
      <c r="AC144" s="41" t="str">
        <f>IF($C144="","",$B144&amp;"@"&amp;(COUNTIFS($B$4:$B$1463,$B144,$C$4:$C$1463,"&lt;"&amp;$C144)+COUNTIFS($B$4:$B144,$B144,$C$4:$C144,$C144)))</f>
        <v>ZOMBIES@13</v>
      </c>
      <c r="AD144" s="41">
        <f t="shared" si="14"/>
        <v>141</v>
      </c>
      <c r="AE144" s="41" t="s">
        <v>624</v>
      </c>
      <c r="AF144" s="73">
        <f t="shared" si="15"/>
        <v>61634</v>
      </c>
      <c r="AG144" s="74">
        <f t="shared" si="16"/>
        <v>3.3</v>
      </c>
      <c r="AH144" s="41" t="str">
        <f>IF($C144="","",$B144&amp;"|"&amp;(COUNTIFS($B$4:$B$1463,$B144,$AF$4:$AF$1463,"&gt;"&amp;$AF144)+COUNTIFS($B$4:$B144,$B144,$AF$4:$AF144,"="&amp;$AF144)))</f>
        <v>ZOMBIES|37</v>
      </c>
      <c r="AI144" s="41" t="str">
        <f>IF($C144="","",$B144&amp;"|"&amp;(COUNTIFS($B$4:$B$1463,$B144,$AG$4:$AG$1463,"&gt;"&amp;$AG144)+COUNTIFS($B$4:$B144,$B144,$AG$4:$AG144,"="&amp;$AG144)))</f>
        <v>ZOMBIES|55</v>
      </c>
    </row>
    <row r="145" spans="1:35" hidden="1">
      <c r="A145" s="69" t="s">
        <v>106</v>
      </c>
      <c r="B145" s="69" t="s">
        <v>86</v>
      </c>
      <c r="C145" s="63" t="s">
        <v>803</v>
      </c>
      <c r="D145" s="69"/>
      <c r="E145" s="68" t="s">
        <v>78</v>
      </c>
      <c r="F145" s="19" t="str">
        <f>IF($C145="","",IF($E145="","-",IFERROR(INDEX(SETUP!$B$55:$B$64,MATCH($E145,SETUP!$A$55:$A$64,0)),"Other")))</f>
        <v>Melee DPS</v>
      </c>
      <c r="G145" s="70">
        <v>62873</v>
      </c>
      <c r="H145" s="19" t="str">
        <f>IF($C145="","",IF($G145="","-",INDEX(SETUP!$B$26:$B$32,MATCH($G145,SETUP!$A$26:$A$32,1))))</f>
        <v>62,000 - 62,999</v>
      </c>
      <c r="I145" s="70">
        <v>7184</v>
      </c>
      <c r="J145" s="19" t="str">
        <f>IF($C145="","",IF($I145="","-",INDEX(SETUP!$B$16:$B$22,MATCH($I145,SETUP!$A$16:$A$22,1))))</f>
        <v>VETERAN</v>
      </c>
      <c r="K145" s="19" t="str">
        <f>IF($C145="","",IF($I145="","-",TEXT(INT($I145/1000)*1000,"#,##0")&amp;" - "&amp;TEXT(INT($I145/1000)*1000+999,"#,##0")))</f>
        <v>7,000 - 7,999</v>
      </c>
      <c r="L145" s="71">
        <v>6.59</v>
      </c>
      <c r="M145" s="19" t="str">
        <f>IF($C145="","",IF($L145="","-",INDEX(SETUP!$B$36:$B$42,MATCH($L145,SETUP!$A$36:$A$42,1))))</f>
        <v>6k - 8k</v>
      </c>
      <c r="N145" s="21">
        <f>IF($C145="","",IF(OR($G145="",$I145=""),"",ROUND(100*(SETUP!$B$4*MIN(1,$I145/SETUP!$B$9)+SETUP!$B$5*MAX(0,MIN(1,($G145-SETUP!$B$10)/(SETUP!$B$11-SETUP!$B$10)))+SETUP!$B$6*MIN(1,IF($L145="",0,$L145)/SETUP!$B$12)),1)))</f>
        <v>63.1</v>
      </c>
      <c r="O145" s="19" t="str">
        <f>IF($C145="","",IF($N145="","-",INDEX(SETUP!$B$46:$B$51,MATCH($N145,SETUP!$A$46:$A$51,1))))</f>
        <v>A</v>
      </c>
      <c r="P145" s="19">
        <f>IF($C145="","",IF($I145="","",RANK($I145,$I$4:$I$1463)+COUNTIF($I$4:$I145,$I145)-1))</f>
        <v>204</v>
      </c>
      <c r="Q145" s="19">
        <f>IF($C145="","",COUNTIFS($B$4:$B$1463,$B145,$X$4:$X$1463,"&gt;"&amp;$X145)+COUNTIFS($B$4:$B145,$B145,$X$4:$X145,"="&amp;$X145))</f>
        <v>44</v>
      </c>
      <c r="R145" s="75">
        <f>IF($C145="","",IF($I145="","",ROUND(COUNTIF($I$4:$I$1463,"&lt;"&amp;$I145)/COUNT($I$4:$I$1463),3)))</f>
        <v>0.84599999999999997</v>
      </c>
      <c r="S145" s="19" t="str">
        <f>IF($C145="","",IF($G145="","Name only",IF(OR($I145="",$L145=""),"Partial","Complete")))</f>
        <v>Complete</v>
      </c>
      <c r="T145" s="1" t="str">
        <f>IF($C145="","",TRIM(IF(COUNTIF($C$4:$C$1463,$C145)&gt;1,"Dup name; ","")&amp;IF(AND($G145&lt;&gt;"",$G145&lt;55000),"Low CR - verify; ","")&amp;IF(AND($L145&lt;&gt;"",$L145&gt;15),"Secondary - verify; ","")&amp;IF($E145="","No class; ","")))</f>
        <v/>
      </c>
      <c r="U145" s="68"/>
      <c r="V145" s="68"/>
      <c r="W145" s="68"/>
      <c r="X145" s="76">
        <f t="shared" si="12"/>
        <v>7184</v>
      </c>
      <c r="Y145" s="1" t="str">
        <f t="shared" si="13"/>
        <v>VANGUARD|44</v>
      </c>
      <c r="Z145" s="19">
        <f>IF($C145="","",IF($G145="","",RANK($G145,$G$4:$G$1463)+COUNTIF($G$4:$G145,$G145)-1))</f>
        <v>484</v>
      </c>
      <c r="AA145" s="19">
        <f>IF($C145="","",IF($N145="","",RANK($N145,$N$4:$N$1463)+COUNTIF($N$4:$N145,$N145)-1))</f>
        <v>202</v>
      </c>
      <c r="AB145" s="1" t="str">
        <f>IF($C145="","",IF($E145="","",$E145&amp;"#"&amp;(COUNTIFS($E$4:$E$1463,$E145,$X$4:$X$1463,"&gt;"&amp;$X145)+COUNTIFS($E$4:$E145,$E145,$X$4:$X145,"="&amp;$X145))))</f>
        <v>TEMPEST#7</v>
      </c>
      <c r="AC145" s="1" t="str">
        <f>IF($C145="","",$B145&amp;"@"&amp;(COUNTIFS($B$4:$B$1463,$B145,$C$4:$C$1463,"&lt;"&amp;$C145)+COUNTIFS($B$4:$B145,$B145,$C$4:$C145,$C145)))</f>
        <v>VANGUARD@14</v>
      </c>
      <c r="AD145" s="1">
        <f t="shared" si="14"/>
        <v>142</v>
      </c>
      <c r="AE145" s="1" t="s">
        <v>804</v>
      </c>
      <c r="AF145" s="76">
        <f t="shared" si="15"/>
        <v>62873</v>
      </c>
      <c r="AG145" s="77">
        <f t="shared" si="16"/>
        <v>6.59</v>
      </c>
      <c r="AH145" s="1" t="str">
        <f>IF($C145="","",$B145&amp;"|"&amp;(COUNTIFS($B$4:$B$1463,$B145,$AF$4:$AF$1463,"&gt;"&amp;$AF145)+COUNTIFS($B$4:$B145,$B145,$AF$4:$AF145,"="&amp;$AF145)))</f>
        <v>VANGUARD|70</v>
      </c>
      <c r="AI145" s="1" t="str">
        <f>IF($C145="","",$B145&amp;"|"&amp;(COUNTIFS($B$4:$B$1463,$B145,$AG$4:$AG$1463,"&gt;"&amp;$AG145)+COUNTIFS($B$4:$B145,$B145,$AG$4:$AG145,"="&amp;$AG145)))</f>
        <v>VANGUARD|27</v>
      </c>
    </row>
    <row r="146" spans="1:35" hidden="1">
      <c r="A146" s="69" t="s">
        <v>109</v>
      </c>
      <c r="B146" s="69" t="s">
        <v>116</v>
      </c>
      <c r="C146" s="63" t="s">
        <v>805</v>
      </c>
      <c r="D146" s="69" t="s">
        <v>530</v>
      </c>
      <c r="E146" s="68" t="s">
        <v>75</v>
      </c>
      <c r="F146" s="15" t="str">
        <f>IF($C146="","",IF($E146="","-",IFERROR(INDEX(SETUP!$B$55:$B$64,MATCH($E146,SETUP!$A$55:$A$64,0)),"Other")))</f>
        <v>Support</v>
      </c>
      <c r="G146" s="70">
        <v>63245</v>
      </c>
      <c r="H146" s="15" t="str">
        <f>IF($C146="","",IF($G146="","-",INDEX(SETUP!$B$26:$B$32,MATCH($G146,SETUP!$A$26:$A$32,1))))</f>
        <v>63,000 - 63,999</v>
      </c>
      <c r="I146" s="70">
        <v>3490</v>
      </c>
      <c r="J146" s="15" t="str">
        <f>IF($C146="","",IF($I146="","-",INDEX(SETUP!$B$16:$B$22,MATCH($I146,SETUP!$A$16:$A$22,1))))</f>
        <v>DEVELOPING</v>
      </c>
      <c r="K146" s="15" t="str">
        <f>IF($C146="","",IF($I146="","-",TEXT(INT($I146/1000)*1000,"#,##0")&amp;" - "&amp;TEXT(INT($I146/1000)*1000+999,"#,##0")))</f>
        <v>3,000 - 3,999</v>
      </c>
      <c r="L146" s="71">
        <v>4.5</v>
      </c>
      <c r="M146" s="15" t="str">
        <f>IF($C146="","",IF($L146="","-",INDEX(SETUP!$B$36:$B$42,MATCH($L146,SETUP!$A$36:$A$42,1))))</f>
        <v>4k - 5k</v>
      </c>
      <c r="N146" s="17">
        <f>IF($C146="","",IF(OR($G146="",$I146=""),"",ROUND(100*(SETUP!$B$4*MIN(1,$I146/SETUP!$B$9)+SETUP!$B$5*MAX(0,MIN(1,($G146-SETUP!$B$10)/(SETUP!$B$11-SETUP!$B$10)))+SETUP!$B$6*MIN(1,IF($L146="",0,$L146)/SETUP!$B$12)),1)))</f>
        <v>44.4</v>
      </c>
      <c r="O146" s="15" t="str">
        <f>IF($C146="","",IF($N146="","-",INDEX(SETUP!$B$46:$B$51,MATCH($N146,SETUP!$A$46:$A$51,1))))</f>
        <v>B</v>
      </c>
      <c r="P146" s="15">
        <f>IF($C146="","",IF($I146="","",RANK($I146,$I$4:$I$1463)+COUNTIF($I$4:$I146,$I146)-1))</f>
        <v>735</v>
      </c>
      <c r="Q146" s="15">
        <f>IF($C146="","",COUNTIFS($B$4:$B$1463,$B146,$X$4:$X$1463,"&gt;"&amp;$X146)+COUNTIFS($B$4:$B146,$B146,$X$4:$X146,"="&amp;$X146))</f>
        <v>45</v>
      </c>
      <c r="R146" s="72">
        <f>IF($C146="","",IF($I146="","",ROUND(COUNTIF($I$4:$I$1463,"&lt;"&amp;$I146)/COUNT($I$4:$I$1463),3)))</f>
        <v>0.44500000000000001</v>
      </c>
      <c r="S146" s="15" t="str">
        <f>IF($C146="","",IF($G146="","Name only",IF(OR($I146="",$L146=""),"Partial","Complete")))</f>
        <v>Complete</v>
      </c>
      <c r="T146" s="41" t="str">
        <f>IF($C146="","",TRIM(IF(COUNTIF($C$4:$C$1463,$C146)&gt;1,"Dup name; ","")&amp;IF(AND($G146&lt;&gt;"",$G146&lt;55000),"Low CR - verify; ","")&amp;IF(AND($L146&lt;&gt;"",$L146&gt;15),"Secondary - verify; ","")&amp;IF($E146="","No class; ","")))</f>
        <v/>
      </c>
      <c r="U146" s="68"/>
      <c r="V146" s="68"/>
      <c r="W146" s="68"/>
      <c r="X146" s="73">
        <f t="shared" si="12"/>
        <v>3490</v>
      </c>
      <c r="Y146" s="41" t="str">
        <f t="shared" si="13"/>
        <v>VENGEANCE|45</v>
      </c>
      <c r="Z146" s="15">
        <f>IF($C146="","",IF($G146="","",RANK($G146,$G$4:$G$1463)+COUNTIF($G$4:$G146,$G146)-1))</f>
        <v>292</v>
      </c>
      <c r="AA146" s="15">
        <f>IF($C146="","",IF($N146="","",RANK($N146,$N$4:$N$1463)+COUNTIF($N$4:$N146,$N146)-1))</f>
        <v>645</v>
      </c>
      <c r="AB146" s="41" t="str">
        <f>IF($C146="","",IF($E146="","",$E146&amp;"#"&amp;(COUNTIFS($E$4:$E$1463,$E146,$X$4:$X$1463,"&gt;"&amp;$X146)+COUNTIFS($E$4:$E146,$E146,$X$4:$X146,"="&amp;$X146))))</f>
        <v>DRUID#35</v>
      </c>
      <c r="AC146" s="41" t="str">
        <f>IF($C146="","",$B146&amp;"@"&amp;(COUNTIFS($B$4:$B$1463,$B146,$C$4:$C$1463,"&lt;"&amp;$C146)+COUNTIFS($B$4:$B146,$B146,$C$4:$C146,$C146)))</f>
        <v>VENGEANCE@12</v>
      </c>
      <c r="AD146" s="41">
        <f t="shared" si="14"/>
        <v>143</v>
      </c>
      <c r="AE146" s="41" t="s">
        <v>630</v>
      </c>
      <c r="AF146" s="73">
        <f t="shared" si="15"/>
        <v>63245</v>
      </c>
      <c r="AG146" s="74">
        <f t="shared" si="16"/>
        <v>4.5</v>
      </c>
      <c r="AH146" s="41" t="str">
        <f>IF($C146="","",$B146&amp;"|"&amp;(COUNTIFS($B$4:$B$1463,$B146,$AF$4:$AF$1463,"&gt;"&amp;$AF146)+COUNTIFS($B$4:$B146,$B146,$AF$4:$AF146,"="&amp;$AF146)))</f>
        <v>VENGEANCE|9</v>
      </c>
      <c r="AI146" s="41" t="str">
        <f>IF($C146="","",$B146&amp;"|"&amp;(COUNTIFS($B$4:$B$1463,$B146,$AG$4:$AG$1463,"&gt;"&amp;$AG146)+COUNTIFS($B$4:$B146,$B146,$AG$4:$AG146,"="&amp;$AG146)))</f>
        <v>VENGEANCE|52</v>
      </c>
    </row>
    <row r="147" spans="1:35" hidden="1">
      <c r="A147" s="69" t="s">
        <v>109</v>
      </c>
      <c r="B147" s="69" t="s">
        <v>110</v>
      </c>
      <c r="C147" s="63" t="s">
        <v>806</v>
      </c>
      <c r="D147" s="69"/>
      <c r="E147" s="68" t="s">
        <v>76</v>
      </c>
      <c r="F147" s="19" t="str">
        <f>IF($C147="","",IF($E147="","-",IFERROR(INDEX(SETUP!$B$55:$B$64,MATCH($E147,SETUP!$A$55:$A$64,0)),"Other")))</f>
        <v>Support</v>
      </c>
      <c r="G147" s="70">
        <v>62774</v>
      </c>
      <c r="H147" s="19" t="str">
        <f>IF($C147="","",IF($G147="","-",INDEX(SETUP!$B$26:$B$32,MATCH($G147,SETUP!$A$26:$A$32,1))))</f>
        <v>62,000 - 62,999</v>
      </c>
      <c r="I147" s="70">
        <v>2988</v>
      </c>
      <c r="J147" s="19" t="str">
        <f>IF($C147="","",IF($I147="","-",INDEX(SETUP!$B$16:$B$22,MATCH($I147,SETUP!$A$16:$A$22,1))))</f>
        <v>DEVELOPING</v>
      </c>
      <c r="K147" s="19" t="str">
        <f>IF($C147="","",IF($I147="","-",TEXT(INT($I147/1000)*1000,"#,##0")&amp;" - "&amp;TEXT(INT($I147/1000)*1000+999,"#,##0")))</f>
        <v>2,000 - 2,999</v>
      </c>
      <c r="L147" s="71">
        <v>3.75</v>
      </c>
      <c r="M147" s="19" t="str">
        <f>IF($C147="","",IF($L147="","-",INDEX(SETUP!$B$36:$B$42,MATCH($L147,SETUP!$A$36:$A$42,1))))</f>
        <v>3k - 4k</v>
      </c>
      <c r="N147" s="21">
        <f>IF($C147="","",IF(OR($G147="",$I147=""),"",ROUND(100*(SETUP!$B$4*MIN(1,$I147/SETUP!$B$9)+SETUP!$B$5*MAX(0,MIN(1,($G147-SETUP!$B$10)/(SETUP!$B$11-SETUP!$B$10)))+SETUP!$B$6*MIN(1,IF($L147="",0,$L147)/SETUP!$B$12)),1)))</f>
        <v>39.799999999999997</v>
      </c>
      <c r="O147" s="19" t="str">
        <f>IF($C147="","",IF($N147="","-",INDEX(SETUP!$B$46:$B$51,MATCH($N147,SETUP!$A$46:$A$51,1))))</f>
        <v>B</v>
      </c>
      <c r="P147" s="19">
        <f>IF($C147="","",IF($I147="","",RANK($I147,$I$4:$I$1463)+COUNTIF($I$4:$I147,$I147)-1))</f>
        <v>888</v>
      </c>
      <c r="Q147" s="19">
        <f>IF($C147="","",COUNTIFS($B$4:$B$1463,$B147,$X$4:$X$1463,"&gt;"&amp;$X147)+COUNTIFS($B$4:$B147,$B147,$X$4:$X147,"="&amp;$X147))</f>
        <v>94</v>
      </c>
      <c r="R147" s="75">
        <f>IF($C147="","",IF($I147="","",ROUND(COUNTIF($I$4:$I$1463,"&lt;"&amp;$I147)/COUNT($I$4:$I$1463),3)))</f>
        <v>0.33</v>
      </c>
      <c r="S147" s="19" t="str">
        <f>IF($C147="","",IF($G147="","Name only",IF(OR($I147="",$L147=""),"Partial","Complete")))</f>
        <v>Complete</v>
      </c>
      <c r="T147" s="1" t="str">
        <f>IF($C147="","",TRIM(IF(COUNTIF($C$4:$C$1463,$C147)&gt;1,"Dup name; ","")&amp;IF(AND($G147&lt;&gt;"",$G147&lt;55000),"Low CR - verify; ","")&amp;IF(AND($L147&lt;&gt;"",$L147&gt;15),"Secondary - verify; ","")&amp;IF($E147="","No class; ","")))</f>
        <v/>
      </c>
      <c r="U147" s="68"/>
      <c r="V147" s="68"/>
      <c r="W147" s="68"/>
      <c r="X147" s="76">
        <f t="shared" si="12"/>
        <v>2988</v>
      </c>
      <c r="Y147" s="1" t="str">
        <f t="shared" si="13"/>
        <v>AZUKI|94</v>
      </c>
      <c r="Z147" s="19">
        <f>IF($C147="","",IF($G147="","",RANK($G147,$G$4:$G$1463)+COUNTIF($G$4:$G147,$G147)-1))</f>
        <v>529</v>
      </c>
      <c r="AA147" s="19">
        <f>IF($C147="","",IF($N147="","",RANK($N147,$N$4:$N$1463)+COUNTIF($N$4:$N147,$N147)-1))</f>
        <v>828</v>
      </c>
      <c r="AB147" s="1" t="str">
        <f>IF($C147="","",IF($E147="","",$E147&amp;"#"&amp;(COUNTIFS($E$4:$E$1463,$E147,$X$4:$X$1463,"&gt;"&amp;$X147)+COUNTIFS($E$4:$E147,$E147,$X$4:$X147,"="&amp;$X147))))</f>
        <v>MONK#31</v>
      </c>
      <c r="AC147" s="1" t="str">
        <f>IF($C147="","",$B147&amp;"@"&amp;(COUNTIFS($B$4:$B$1463,$B147,$C$4:$C$1463,"&lt;"&amp;$C147)+COUNTIFS($B$4:$B147,$B147,$C$4:$C147,$C147)))</f>
        <v>AZUKI@17</v>
      </c>
      <c r="AD147" s="1">
        <f t="shared" si="14"/>
        <v>144</v>
      </c>
      <c r="AE147" s="1" t="s">
        <v>807</v>
      </c>
      <c r="AF147" s="76">
        <f t="shared" si="15"/>
        <v>62774</v>
      </c>
      <c r="AG147" s="77">
        <f t="shared" si="16"/>
        <v>3.75</v>
      </c>
      <c r="AH147" s="1" t="str">
        <f>IF($C147="","",$B147&amp;"|"&amp;(COUNTIFS($B$4:$B$1463,$B147,$AF$4:$AF$1463,"&gt;"&amp;$AF147)+COUNTIFS($B$4:$B147,$B147,$AF$4:$AF147,"="&amp;$AF147)))</f>
        <v>AZUKI|50</v>
      </c>
      <c r="AI147" s="1" t="str">
        <f>IF($C147="","",$B147&amp;"|"&amp;(COUNTIFS($B$4:$B$1463,$B147,$AG$4:$AG$1463,"&gt;"&amp;$AG147)+COUNTIFS($B$4:$B147,$B147,$AG$4:$AG147,"="&amp;$AG147)))</f>
        <v>AZUKI|99</v>
      </c>
    </row>
    <row r="148" spans="1:35" hidden="1">
      <c r="A148" s="69" t="s">
        <v>109</v>
      </c>
      <c r="B148" s="69" t="s">
        <v>112</v>
      </c>
      <c r="C148" s="63" t="s">
        <v>808</v>
      </c>
      <c r="D148" s="69" t="s">
        <v>567</v>
      </c>
      <c r="E148" s="68" t="s">
        <v>72</v>
      </c>
      <c r="F148" s="15" t="str">
        <f>IF($C148="","",IF($E148="","-",IFERROR(INDEX(SETUP!$B$55:$B$64,MATCH($E148,SETUP!$A$55:$A$64,0)),"Other")))</f>
        <v>Frontline</v>
      </c>
      <c r="G148" s="70">
        <v>63190</v>
      </c>
      <c r="H148" s="15" t="str">
        <f>IF($C148="","",IF($G148="","-",INDEX(SETUP!$B$26:$B$32,MATCH($G148,SETUP!$A$26:$A$32,1))))</f>
        <v>63,000 - 63,999</v>
      </c>
      <c r="I148" s="70">
        <v>3435</v>
      </c>
      <c r="J148" s="15" t="str">
        <f>IF($C148="","",IF($I148="","-",INDEX(SETUP!$B$16:$B$22,MATCH($I148,SETUP!$A$16:$A$22,1))))</f>
        <v>DEVELOPING</v>
      </c>
      <c r="K148" s="15" t="str">
        <f>IF($C148="","",IF($I148="","-",TEXT(INT($I148/1000)*1000,"#,##0")&amp;" - "&amp;TEXT(INT($I148/1000)*1000+999,"#,##0")))</f>
        <v>3,000 - 3,999</v>
      </c>
      <c r="L148" s="71">
        <v>4</v>
      </c>
      <c r="M148" s="15" t="str">
        <f>IF($C148="","",IF($L148="","-",INDEX(SETUP!$B$36:$B$42,MATCH($L148,SETUP!$A$36:$A$42,1))))</f>
        <v>4k - 5k</v>
      </c>
      <c r="N148" s="17">
        <f>IF($C148="","",IF(OR($G148="",$I148=""),"",ROUND(100*(SETUP!$B$4*MIN(1,$I148/SETUP!$B$9)+SETUP!$B$5*MAX(0,MIN(1,($G148-SETUP!$B$10)/(SETUP!$B$11-SETUP!$B$10)))+SETUP!$B$6*MIN(1,IF($L148="",0,$L148)/SETUP!$B$12)),1)))</f>
        <v>43.2</v>
      </c>
      <c r="O148" s="15" t="str">
        <f>IF($C148="","",IF($N148="","-",INDEX(SETUP!$B$46:$B$51,MATCH($N148,SETUP!$A$46:$A$51,1))))</f>
        <v>B</v>
      </c>
      <c r="P148" s="15">
        <f>IF($C148="","",IF($I148="","",RANK($I148,$I$4:$I$1463)+COUNTIF($I$4:$I148,$I148)-1))</f>
        <v>748</v>
      </c>
      <c r="Q148" s="15">
        <f>IF($C148="","",COUNTIFS($B$4:$B$1463,$B148,$X$4:$X$1463,"&gt;"&amp;$X148)+COUNTIFS($B$4:$B148,$B148,$X$4:$X148,"="&amp;$X148))</f>
        <v>54</v>
      </c>
      <c r="R148" s="72">
        <f>IF($C148="","",IF($I148="","",ROUND(COUNTIF($I$4:$I$1463,"&lt;"&amp;$I148)/COUNT($I$4:$I$1463),3)))</f>
        <v>0.435</v>
      </c>
      <c r="S148" s="15" t="str">
        <f>IF($C148="","",IF($G148="","Name only",IF(OR($I148="",$L148=""),"Partial","Complete")))</f>
        <v>Complete</v>
      </c>
      <c r="T148" s="41" t="str">
        <f>IF($C148="","",TRIM(IF(COUNTIF($C$4:$C$1463,$C148)&gt;1,"Dup name; ","")&amp;IF(AND($G148&lt;&gt;"",$G148&lt;55000),"Low CR - verify; ","")&amp;IF(AND($L148&lt;&gt;"",$L148&gt;15),"Secondary - verify; ","")&amp;IF($E148="","No class; ","")))</f>
        <v/>
      </c>
      <c r="U148" s="68"/>
      <c r="V148" s="68"/>
      <c r="W148" s="68"/>
      <c r="X148" s="73">
        <f t="shared" si="12"/>
        <v>3435</v>
      </c>
      <c r="Y148" s="41" t="str">
        <f t="shared" si="13"/>
        <v>ACHERON|54</v>
      </c>
      <c r="Z148" s="15">
        <f>IF($C148="","",IF($G148="","",RANK($G148,$G$4:$G$1463)+COUNTIF($G$4:$G148,$G148)-1))</f>
        <v>321</v>
      </c>
      <c r="AA148" s="15">
        <f>IF($C148="","",IF($N148="","",RANK($N148,$N$4:$N$1463)+COUNTIF($N$4:$N148,$N148)-1))</f>
        <v>694</v>
      </c>
      <c r="AB148" s="41" t="str">
        <f>IF($C148="","",IF($E148="","",$E148&amp;"#"&amp;(COUNTIFS($E$4:$E$1463,$E148,$X$4:$X$1463,"&gt;"&amp;$X148)+COUNTIFS($E$4:$E148,$E148,$X$4:$X148,"="&amp;$X148))))</f>
        <v>BLOOD KNIGHT#51</v>
      </c>
      <c r="AC148" s="41" t="str">
        <f>IF($C148="","",$B148&amp;"@"&amp;(COUNTIFS($B$4:$B$1463,$B148,$C$4:$C$1463,"&lt;"&amp;$C148)+COUNTIFS($B$4:$B148,$B148,$C$4:$C148,$C148)))</f>
        <v>ACHERON@8</v>
      </c>
      <c r="AD148" s="41">
        <f t="shared" si="14"/>
        <v>145</v>
      </c>
      <c r="AE148" s="41" t="s">
        <v>809</v>
      </c>
      <c r="AF148" s="73">
        <f t="shared" si="15"/>
        <v>63190</v>
      </c>
      <c r="AG148" s="74">
        <f t="shared" si="16"/>
        <v>4</v>
      </c>
      <c r="AH148" s="41" t="str">
        <f>IF($C148="","",$B148&amp;"|"&amp;(COUNTIFS($B$4:$B$1463,$B148,$AF$4:$AF$1463,"&gt;"&amp;$AF148)+COUNTIFS($B$4:$B148,$B148,$AF$4:$AF148,"="&amp;$AF148)))</f>
        <v>ACHERON|23</v>
      </c>
      <c r="AI148" s="41" t="str">
        <f>IF($C148="","",$B148&amp;"|"&amp;(COUNTIFS($B$4:$B$1463,$B148,$AG$4:$AG$1463,"&gt;"&amp;$AG148)+COUNTIFS($B$4:$B148,$B148,$AG$4:$AG148,"="&amp;$AG148)))</f>
        <v>ACHERON|74</v>
      </c>
    </row>
    <row r="149" spans="1:35" hidden="1">
      <c r="A149" s="69" t="s">
        <v>109</v>
      </c>
      <c r="B149" s="69" t="s">
        <v>118</v>
      </c>
      <c r="C149" s="63" t="s">
        <v>810</v>
      </c>
      <c r="D149" s="69"/>
      <c r="E149" s="68" t="s">
        <v>78</v>
      </c>
      <c r="F149" s="19" t="str">
        <f>IF($C149="","",IF($E149="","-",IFERROR(INDEX(SETUP!$B$55:$B$64,MATCH($E149,SETUP!$A$55:$A$64,0)),"Other")))</f>
        <v>Melee DPS</v>
      </c>
      <c r="G149" s="70">
        <v>62733</v>
      </c>
      <c r="H149" s="19" t="str">
        <f>IF($C149="","",IF($G149="","-",INDEX(SETUP!$B$26:$B$32,MATCH($G149,SETUP!$A$26:$A$32,1))))</f>
        <v>62,000 - 62,999</v>
      </c>
      <c r="I149" s="70">
        <v>1468</v>
      </c>
      <c r="J149" s="19" t="str">
        <f>IF($C149="","",IF($I149="","-",INDEX(SETUP!$B$16:$B$22,MATCH($I149,SETUP!$A$16:$A$22,1))))</f>
        <v>ROOKIE</v>
      </c>
      <c r="K149" s="19" t="str">
        <f>IF($C149="","",IF($I149="","-",TEXT(INT($I149/1000)*1000,"#,##0")&amp;" - "&amp;TEXT(INT($I149/1000)*1000+999,"#,##0")))</f>
        <v>1,000 - 1,999</v>
      </c>
      <c r="L149" s="71">
        <v>3.8</v>
      </c>
      <c r="M149" s="19" t="str">
        <f>IF($C149="","",IF($L149="","-",INDEX(SETUP!$B$36:$B$42,MATCH($L149,SETUP!$A$36:$A$42,1))))</f>
        <v>3k - 4k</v>
      </c>
      <c r="N149" s="21">
        <f>IF($C149="","",IF(OR($G149="",$I149=""),"",ROUND(100*(SETUP!$B$4*MIN(1,$I149/SETUP!$B$9)+SETUP!$B$5*MAX(0,MIN(1,($G149-SETUP!$B$10)/(SETUP!$B$11-SETUP!$B$10)))+SETUP!$B$6*MIN(1,IF($L149="",0,$L149)/SETUP!$B$12)),1)))</f>
        <v>33.1</v>
      </c>
      <c r="O149" s="19" t="str">
        <f>IF($C149="","",IF($N149="","-",INDEX(SETUP!$B$46:$B$51,MATCH($N149,SETUP!$A$46:$A$51,1))))</f>
        <v>C</v>
      </c>
      <c r="P149" s="19">
        <f>IF($C149="","",IF($I149="","",RANK($I149,$I$4:$I$1463)+COUNTIF($I$4:$I149,$I149)-1))</f>
        <v>1201</v>
      </c>
      <c r="Q149" s="19">
        <f>IF($C149="","",COUNTIFS($B$4:$B$1463,$B149,$X$4:$X$1463,"&gt;"&amp;$X149)+COUNTIFS($B$4:$B149,$B149,$X$4:$X149,"="&amp;$X149))</f>
        <v>60</v>
      </c>
      <c r="R149" s="75">
        <f>IF($C149="","",IF($I149="","",ROUND(COUNTIF($I$4:$I$1463,"&lt;"&amp;$I149)/COUNT($I$4:$I$1463),3)))</f>
        <v>9.4E-2</v>
      </c>
      <c r="S149" s="19" t="str">
        <f>IF($C149="","",IF($G149="","Name only",IF(OR($I149="",$L149=""),"Partial","Complete")))</f>
        <v>Complete</v>
      </c>
      <c r="T149" s="1" t="str">
        <f>IF($C149="","",TRIM(IF(COUNTIF($C$4:$C$1463,$C149)&gt;1,"Dup name; ","")&amp;IF(AND($G149&lt;&gt;"",$G149&lt;55000),"Low CR - verify; ","")&amp;IF(AND($L149&lt;&gt;"",$L149&gt;15),"Secondary - verify; ","")&amp;IF($E149="","No class; ","")))</f>
        <v/>
      </c>
      <c r="U149" s="68"/>
      <c r="V149" s="68"/>
      <c r="W149" s="68"/>
      <c r="X149" s="76">
        <f t="shared" si="12"/>
        <v>1468</v>
      </c>
      <c r="Y149" s="1" t="str">
        <f t="shared" si="13"/>
        <v>ZOMBIES|60</v>
      </c>
      <c r="Z149" s="19">
        <f>IF($C149="","",IF($G149="","",RANK($G149,$G$4:$G$1463)+COUNTIF($G$4:$G149,$G149)-1))</f>
        <v>554</v>
      </c>
      <c r="AA149" s="19">
        <f>IF($C149="","",IF($N149="","",RANK($N149,$N$4:$N$1463)+COUNTIF($N$4:$N149,$N149)-1))</f>
        <v>1064</v>
      </c>
      <c r="AB149" s="1" t="str">
        <f>IF($C149="","",IF($E149="","",$E149&amp;"#"&amp;(COUNTIFS($E$4:$E$1463,$E149,$X$4:$X$1463,"&gt;"&amp;$X149)+COUNTIFS($E$4:$E149,$E149,$X$4:$X149,"="&amp;$X149))))</f>
        <v>TEMPEST#56</v>
      </c>
      <c r="AC149" s="1" t="str">
        <f>IF($C149="","",$B149&amp;"@"&amp;(COUNTIFS($B$4:$B$1463,$B149,$C$4:$C$1463,"&lt;"&amp;$C149)+COUNTIFS($B$4:$B149,$B149,$C$4:$C149,$C149)))</f>
        <v>ZOMBIES@14</v>
      </c>
      <c r="AD149" s="1">
        <f t="shared" si="14"/>
        <v>146</v>
      </c>
      <c r="AE149" s="1" t="s">
        <v>811</v>
      </c>
      <c r="AF149" s="76">
        <f t="shared" si="15"/>
        <v>62733</v>
      </c>
      <c r="AG149" s="77">
        <f t="shared" si="16"/>
        <v>3.8</v>
      </c>
      <c r="AH149" s="1" t="str">
        <f>IF($C149="","",$B149&amp;"|"&amp;(COUNTIFS($B$4:$B$1463,$B149,$AF$4:$AF$1463,"&gt;"&amp;$AF149)+COUNTIFS($B$4:$B149,$B149,$AF$4:$AF149,"="&amp;$AF149)))</f>
        <v>ZOMBIES|10</v>
      </c>
      <c r="AI149" s="1" t="str">
        <f>IF($C149="","",$B149&amp;"|"&amp;(COUNTIFS($B$4:$B$1463,$B149,$AG$4:$AG$1463,"&gt;"&amp;$AG149)+COUNTIFS($B$4:$B149,$B149,$AG$4:$AG149,"="&amp;$AG149)))</f>
        <v>ZOMBIES|35</v>
      </c>
    </row>
    <row r="150" spans="1:35" hidden="1">
      <c r="A150" s="69" t="s">
        <v>106</v>
      </c>
      <c r="B150" s="69" t="s">
        <v>105</v>
      </c>
      <c r="C150" s="63" t="s">
        <v>812</v>
      </c>
      <c r="D150" s="69" t="s">
        <v>691</v>
      </c>
      <c r="E150" s="68" t="s">
        <v>71</v>
      </c>
      <c r="F150" s="15" t="str">
        <f>IF($C150="","",IF($E150="","-",IFERROR(INDEX(SETUP!$B$55:$B$64,MATCH($E150,SETUP!$A$55:$A$64,0)),"Other")))</f>
        <v>Frontline</v>
      </c>
      <c r="G150" s="70">
        <v>62269</v>
      </c>
      <c r="H150" s="15" t="str">
        <f>IF($C150="","",IF($G150="","-",INDEX(SETUP!$B$26:$B$32,MATCH($G150,SETUP!$A$26:$A$32,1))))</f>
        <v>62,000 - 62,999</v>
      </c>
      <c r="I150" s="70">
        <v>7917</v>
      </c>
      <c r="J150" s="15" t="str">
        <f>IF($C150="","",IF($I150="","-",INDEX(SETUP!$B$16:$B$22,MATCH($I150,SETUP!$A$16:$A$22,1))))</f>
        <v>VETERAN</v>
      </c>
      <c r="K150" s="15" t="str">
        <f>IF($C150="","",IF($I150="","-",TEXT(INT($I150/1000)*1000,"#,##0")&amp;" - "&amp;TEXT(INT($I150/1000)*1000+999,"#,##0")))</f>
        <v>7,000 - 7,999</v>
      </c>
      <c r="L150" s="71">
        <v>5.82</v>
      </c>
      <c r="M150" s="15" t="str">
        <f>IF($C150="","",IF($L150="","-",INDEX(SETUP!$B$36:$B$42,MATCH($L150,SETUP!$A$36:$A$42,1))))</f>
        <v>5k - 6k</v>
      </c>
      <c r="N150" s="17">
        <f>IF($C150="","",IF(OR($G150="",$I150=""),"",ROUND(100*(SETUP!$B$4*MIN(1,$I150/SETUP!$B$9)+SETUP!$B$5*MAX(0,MIN(1,($G150-SETUP!$B$10)/(SETUP!$B$11-SETUP!$B$10)))+SETUP!$B$6*MIN(1,IF($L150="",0,$L150)/SETUP!$B$12)),1)))</f>
        <v>63.4</v>
      </c>
      <c r="O150" s="15" t="str">
        <f>IF($C150="","",IF($N150="","-",INDEX(SETUP!$B$46:$B$51,MATCH($N150,SETUP!$A$46:$A$51,1))))</f>
        <v>A</v>
      </c>
      <c r="P150" s="15">
        <f>IF($C150="","",IF($I150="","",RANK($I150,$I$4:$I$1463)+COUNTIF($I$4:$I150,$I150)-1))</f>
        <v>152</v>
      </c>
      <c r="Q150" s="15">
        <f>IF($C150="","",COUNTIFS($B$4:$B$1463,$B150,$X$4:$X$1463,"&gt;"&amp;$X150)+COUNTIFS($B$4:$B150,$B150,$X$4:$X150,"="&amp;$X150))</f>
        <v>13</v>
      </c>
      <c r="R150" s="72">
        <f>IF($C150="","",IF($I150="","",ROUND(COUNTIF($I$4:$I$1463,"&lt;"&amp;$I150)/COUNT($I$4:$I$1463),3)))</f>
        <v>0.88500000000000001</v>
      </c>
      <c r="S150" s="15" t="str">
        <f>IF($C150="","",IF($G150="","Name only",IF(OR($I150="",$L150=""),"Partial","Complete")))</f>
        <v>Complete</v>
      </c>
      <c r="T150" s="41" t="str">
        <f>IF($C150="","",TRIM(IF(COUNTIF($C$4:$C$1463,$C150)&gt;1,"Dup name; ","")&amp;IF(AND($G150&lt;&gt;"",$G150&lt;55000),"Low CR - verify; ","")&amp;IF(AND($L150&lt;&gt;"",$L150&gt;15),"Secondary - verify; ","")&amp;IF($E150="","No class; ","")))</f>
        <v/>
      </c>
      <c r="U150" s="68"/>
      <c r="V150" s="68"/>
      <c r="W150" s="68"/>
      <c r="X150" s="73">
        <f t="shared" si="12"/>
        <v>7917</v>
      </c>
      <c r="Y150" s="41" t="str">
        <f t="shared" si="13"/>
        <v>LEGENDS|13</v>
      </c>
      <c r="Z150" s="15">
        <f>IF($C150="","",IF($G150="","",RANK($G150,$G$4:$G$1463)+COUNTIF($G$4:$G150,$G150)-1))</f>
        <v>733</v>
      </c>
      <c r="AA150" s="15">
        <f>IF($C150="","",IF($N150="","",RANK($N150,$N$4:$N$1463)+COUNTIF($N$4:$N150,$N150)-1))</f>
        <v>197</v>
      </c>
      <c r="AB150" s="41" t="str">
        <f>IF($C150="","",IF($E150="","",$E150&amp;"#"&amp;(COUNTIFS($E$4:$E$1463,$E150,$X$4:$X$1463,"&gt;"&amp;$X150)+COUNTIFS($E$4:$E150,$E150,$X$4:$X150,"="&amp;$X150))))</f>
        <v>BARBARIAN#33</v>
      </c>
      <c r="AC150" s="41" t="str">
        <f>IF($C150="","",$B150&amp;"@"&amp;(COUNTIFS($B$4:$B$1463,$B150,$C$4:$C$1463,"&lt;"&amp;$C150)+COUNTIFS($B$4:$B150,$B150,$C$4:$C150,$C150)))</f>
        <v>LEGENDS@15</v>
      </c>
      <c r="AD150" s="41">
        <f t="shared" si="14"/>
        <v>147</v>
      </c>
      <c r="AE150" s="41" t="s">
        <v>813</v>
      </c>
      <c r="AF150" s="73">
        <f t="shared" si="15"/>
        <v>62269</v>
      </c>
      <c r="AG150" s="74">
        <f t="shared" si="16"/>
        <v>5.82</v>
      </c>
      <c r="AH150" s="41" t="str">
        <f>IF($C150="","",$B150&amp;"|"&amp;(COUNTIFS($B$4:$B$1463,$B150,$AF$4:$AF$1463,"&gt;"&amp;$AF150)+COUNTIFS($B$4:$B150,$B150,$AF$4:$AF150,"="&amp;$AF150)))</f>
        <v>LEGENDS|74</v>
      </c>
      <c r="AI150" s="41" t="str">
        <f>IF($C150="","",$B150&amp;"|"&amp;(COUNTIFS($B$4:$B$1463,$B150,$AG$4:$AG$1463,"&gt;"&amp;$AG150)+COUNTIFS($B$4:$B150,$B150,$AG$4:$AG150,"="&amp;$AG150)))</f>
        <v>LEGENDS|24</v>
      </c>
    </row>
    <row r="151" spans="1:35" hidden="1">
      <c r="A151" s="69" t="s">
        <v>106</v>
      </c>
      <c r="B151" s="69" t="s">
        <v>107</v>
      </c>
      <c r="C151" s="63" t="s">
        <v>814</v>
      </c>
      <c r="D151" s="69"/>
      <c r="E151" s="68" t="s">
        <v>74</v>
      </c>
      <c r="F151" s="19" t="str">
        <f>IF($C151="","",IF($E151="","-",IFERROR(INDEX(SETUP!$B$55:$B$64,MATCH($E151,SETUP!$A$55:$A$64,0)),"Other")))</f>
        <v>Ranged DPS</v>
      </c>
      <c r="G151" s="70">
        <v>62110</v>
      </c>
      <c r="H151" s="19" t="str">
        <f>IF($C151="","",IF($G151="","-",INDEX(SETUP!$B$26:$B$32,MATCH($G151,SETUP!$A$26:$A$32,1))))</f>
        <v>62,000 - 62,999</v>
      </c>
      <c r="I151" s="70">
        <v>4950</v>
      </c>
      <c r="J151" s="19" t="str">
        <f>IF($C151="","",IF($I151="","-",INDEX(SETUP!$B$16:$B$22,MATCH($I151,SETUP!$A$16:$A$22,1))))</f>
        <v>CORE</v>
      </c>
      <c r="K151" s="19" t="str">
        <f>IF($C151="","",IF($I151="","-",TEXT(INT($I151/1000)*1000,"#,##0")&amp;" - "&amp;TEXT(INT($I151/1000)*1000+999,"#,##0")))</f>
        <v>4,000 - 4,999</v>
      </c>
      <c r="L151" s="71">
        <v>6.3</v>
      </c>
      <c r="M151" s="19" t="str">
        <f>IF($C151="","",IF($L151="","-",INDEX(SETUP!$B$36:$B$42,MATCH($L151,SETUP!$A$36:$A$42,1))))</f>
        <v>6k - 8k</v>
      </c>
      <c r="N151" s="21">
        <f>IF($C151="","",IF(OR($G151="",$I151=""),"",ROUND(100*(SETUP!$B$4*MIN(1,$I151/SETUP!$B$9)+SETUP!$B$5*MAX(0,MIN(1,($G151-SETUP!$B$10)/(SETUP!$B$11-SETUP!$B$10)))+SETUP!$B$6*MIN(1,IF($L151="",0,$L151)/SETUP!$B$12)),1)))</f>
        <v>50.8</v>
      </c>
      <c r="O151" s="19" t="str">
        <f>IF($C151="","",IF($N151="","-",INDEX(SETUP!$B$46:$B$51,MATCH($N151,SETUP!$A$46:$A$51,1))))</f>
        <v>A</v>
      </c>
      <c r="P151" s="19">
        <f>IF($C151="","",IF($I151="","",RANK($I151,$I$4:$I$1463)+COUNTIF($I$4:$I151,$I151)-1))</f>
        <v>422</v>
      </c>
      <c r="Q151" s="19">
        <f>IF($C151="","",COUNTIFS($B$4:$B$1463,$B151,$X$4:$X$1463,"&gt;"&amp;$X151)+COUNTIFS($B$4:$B151,$B151,$X$4:$X151,"="&amp;$X151))</f>
        <v>29</v>
      </c>
      <c r="R151" s="75">
        <f>IF($C151="","",IF($I151="","",ROUND(COUNTIF($I$4:$I$1463,"&lt;"&amp;$I151)/COUNT($I$4:$I$1463),3)))</f>
        <v>0.68100000000000005</v>
      </c>
      <c r="S151" s="19" t="str">
        <f>IF($C151="","",IF($G151="","Name only",IF(OR($I151="",$L151=""),"Partial","Complete")))</f>
        <v>Complete</v>
      </c>
      <c r="T151" s="1" t="str">
        <f>IF($C151="","",TRIM(IF(COUNTIF($C$4:$C$1463,$C151)&gt;1,"Dup name; ","")&amp;IF(AND($G151&lt;&gt;"",$G151&lt;55000),"Low CR - verify; ","")&amp;IF(AND($L151&lt;&gt;"",$L151&gt;15),"Secondary - verify; ","")&amp;IF($E151="","No class; ","")))</f>
        <v/>
      </c>
      <c r="U151" s="68"/>
      <c r="V151" s="68"/>
      <c r="W151" s="68"/>
      <c r="X151" s="76">
        <f t="shared" si="12"/>
        <v>4950</v>
      </c>
      <c r="Y151" s="1" t="str">
        <f t="shared" si="13"/>
        <v>UNDYING|29</v>
      </c>
      <c r="Z151" s="19">
        <f>IF($C151="","",IF($G151="","",RANK($G151,$G$4:$G$1463)+COUNTIF($G$4:$G151,$G151)-1))</f>
        <v>795</v>
      </c>
      <c r="AA151" s="19">
        <f>IF($C151="","",IF($N151="","",RANK($N151,$N$4:$N$1463)+COUNTIF($N$4:$N151,$N151)-1))</f>
        <v>432</v>
      </c>
      <c r="AB151" s="1" t="str">
        <f>IF($C151="","",IF($E151="","",$E151&amp;"#"&amp;(COUNTIFS($E$4:$E$1463,$E151,$X$4:$X$1463,"&gt;"&amp;$X151)+COUNTIFS($E$4:$E151,$E151,$X$4:$X151,"="&amp;$X151))))</f>
        <v>DEMON HUNTER#69</v>
      </c>
      <c r="AC151" s="1" t="str">
        <f>IF($C151="","",$B151&amp;"@"&amp;(COUNTIFS($B$4:$B$1463,$B151,$C$4:$C$1463,"&lt;"&amp;$C151)+COUNTIFS($B$4:$B151,$B151,$C$4:$C151,$C151)))</f>
        <v>UNDYING@15</v>
      </c>
      <c r="AD151" s="1">
        <f t="shared" si="14"/>
        <v>148</v>
      </c>
      <c r="AE151" s="1" t="s">
        <v>815</v>
      </c>
      <c r="AF151" s="76">
        <f t="shared" si="15"/>
        <v>62110</v>
      </c>
      <c r="AG151" s="77">
        <f t="shared" si="16"/>
        <v>6.3</v>
      </c>
      <c r="AH151" s="1" t="str">
        <f>IF($C151="","",$B151&amp;"|"&amp;(COUNTIFS($B$4:$B$1463,$B151,$AF$4:$AF$1463,"&gt;"&amp;$AF151)+COUNTIFS($B$4:$B151,$B151,$AF$4:$AF151,"="&amp;$AF151)))</f>
        <v>UNDYING|76</v>
      </c>
      <c r="AI151" s="1" t="str">
        <f>IF($C151="","",$B151&amp;"|"&amp;(COUNTIFS($B$4:$B$1463,$B151,$AG$4:$AG$1463,"&gt;"&amp;$AG151)+COUNTIFS($B$4:$B151,$B151,$AG$4:$AG151,"="&amp;$AG151)))</f>
        <v>UNDYING|16</v>
      </c>
    </row>
    <row r="152" spans="1:35" hidden="1">
      <c r="A152" s="69" t="s">
        <v>109</v>
      </c>
      <c r="B152" s="69" t="s">
        <v>118</v>
      </c>
      <c r="C152" s="63" t="s">
        <v>816</v>
      </c>
      <c r="D152" s="69"/>
      <c r="E152" s="68" t="s">
        <v>78</v>
      </c>
      <c r="F152" s="15" t="str">
        <f>IF($C152="","",IF($E152="","-",IFERROR(INDEX(SETUP!$B$55:$B$64,MATCH($E152,SETUP!$A$55:$A$64,0)),"Other")))</f>
        <v>Melee DPS</v>
      </c>
      <c r="G152" s="70">
        <v>62648</v>
      </c>
      <c r="H152" s="15" t="str">
        <f>IF($C152="","",IF($G152="","-",INDEX(SETUP!$B$26:$B$32,MATCH($G152,SETUP!$A$26:$A$32,1))))</f>
        <v>62,000 - 62,999</v>
      </c>
      <c r="I152" s="70">
        <v>2040</v>
      </c>
      <c r="J152" s="15" t="str">
        <f>IF($C152="","",IF($I152="","-",INDEX(SETUP!$B$16:$B$22,MATCH($I152,SETUP!$A$16:$A$22,1))))</f>
        <v>DEVELOPING</v>
      </c>
      <c r="K152" s="15" t="str">
        <f>IF($C152="","",IF($I152="","-",TEXT(INT($I152/1000)*1000,"#,##0")&amp;" - "&amp;TEXT(INT($I152/1000)*1000+999,"#,##0")))</f>
        <v>2,000 - 2,999</v>
      </c>
      <c r="L152" s="71">
        <v>3.95</v>
      </c>
      <c r="M152" s="15" t="str">
        <f>IF($C152="","",IF($L152="","-",INDEX(SETUP!$B$36:$B$42,MATCH($L152,SETUP!$A$36:$A$42,1))))</f>
        <v>3k - 4k</v>
      </c>
      <c r="N152" s="17">
        <f>IF($C152="","",IF(OR($G152="",$I152=""),"",ROUND(100*(SETUP!$B$4*MIN(1,$I152/SETUP!$B$9)+SETUP!$B$5*MAX(0,MIN(1,($G152-SETUP!$B$10)/(SETUP!$B$11-SETUP!$B$10)))+SETUP!$B$6*MIN(1,IF($L152="",0,$L152)/SETUP!$B$12)),1)))</f>
        <v>35.6</v>
      </c>
      <c r="O152" s="15" t="str">
        <f>IF($C152="","",IF($N152="","-",INDEX(SETUP!$B$46:$B$51,MATCH($N152,SETUP!$A$46:$A$51,1))))</f>
        <v>B</v>
      </c>
      <c r="P152" s="15">
        <f>IF($C152="","",IF($I152="","",RANK($I152,$I$4:$I$1463)+COUNTIF($I$4:$I152,$I152)-1))</f>
        <v>1102</v>
      </c>
      <c r="Q152" s="15">
        <f>IF($C152="","",COUNTIFS($B$4:$B$1463,$B152,$X$4:$X$1463,"&gt;"&amp;$X152)+COUNTIFS($B$4:$B152,$B152,$X$4:$X152,"="&amp;$X152))</f>
        <v>39</v>
      </c>
      <c r="R152" s="72">
        <f>IF($C152="","",IF($I152="","",ROUND(COUNTIF($I$4:$I$1463,"&lt;"&amp;$I152)/COUNT($I$4:$I$1463),3)))</f>
        <v>0.16800000000000001</v>
      </c>
      <c r="S152" s="15" t="str">
        <f>IF($C152="","",IF($G152="","Name only",IF(OR($I152="",$L152=""),"Partial","Complete")))</f>
        <v>Complete</v>
      </c>
      <c r="T152" s="41" t="str">
        <f>IF($C152="","",TRIM(IF(COUNTIF($C$4:$C$1463,$C152)&gt;1,"Dup name; ","")&amp;IF(AND($G152&lt;&gt;"",$G152&lt;55000),"Low CR - verify; ","")&amp;IF(AND($L152&lt;&gt;"",$L152&gt;15),"Secondary - verify; ","")&amp;IF($E152="","No class; ","")))</f>
        <v/>
      </c>
      <c r="U152" s="68"/>
      <c r="V152" s="68"/>
      <c r="W152" s="68"/>
      <c r="X152" s="73">
        <f t="shared" si="12"/>
        <v>2040</v>
      </c>
      <c r="Y152" s="41" t="str">
        <f t="shared" si="13"/>
        <v>ZOMBIES|39</v>
      </c>
      <c r="Z152" s="15">
        <f>IF($C152="","",IF($G152="","",RANK($G152,$G$4:$G$1463)+COUNTIF($G$4:$G152,$G152)-1))</f>
        <v>588</v>
      </c>
      <c r="AA152" s="15">
        <f>IF($C152="","",IF($N152="","",RANK($N152,$N$4:$N$1463)+COUNTIF($N$4:$N152,$N152)-1))</f>
        <v>983</v>
      </c>
      <c r="AB152" s="41" t="str">
        <f>IF($C152="","",IF($E152="","",$E152&amp;"#"&amp;(COUNTIFS($E$4:$E$1463,$E152,$X$4:$X$1463,"&gt;"&amp;$X152)+COUNTIFS($E$4:$E152,$E152,$X$4:$X152,"="&amp;$X152))))</f>
        <v>TEMPEST#50</v>
      </c>
      <c r="AC152" s="41" t="str">
        <f>IF($C152="","",$B152&amp;"@"&amp;(COUNTIFS($B$4:$B$1463,$B152,$C$4:$C$1463,"&lt;"&amp;$C152)+COUNTIFS($B$4:$B152,$B152,$C$4:$C152,$C152)))</f>
        <v>ZOMBIES@15</v>
      </c>
      <c r="AD152" s="41">
        <f t="shared" si="14"/>
        <v>149</v>
      </c>
      <c r="AE152" s="41" t="s">
        <v>817</v>
      </c>
      <c r="AF152" s="73">
        <f t="shared" si="15"/>
        <v>62648</v>
      </c>
      <c r="AG152" s="74">
        <f t="shared" si="16"/>
        <v>3.95</v>
      </c>
      <c r="AH152" s="41" t="str">
        <f>IF($C152="","",$B152&amp;"|"&amp;(COUNTIFS($B$4:$B$1463,$B152,$AF$4:$AF$1463,"&gt;"&amp;$AF152)+COUNTIFS($B$4:$B152,$B152,$AF$4:$AF152,"="&amp;$AF152)))</f>
        <v>ZOMBIES|11</v>
      </c>
      <c r="AI152" s="41" t="str">
        <f>IF($C152="","",$B152&amp;"|"&amp;(COUNTIFS($B$4:$B$1463,$B152,$AG$4:$AG$1463,"&gt;"&amp;$AG152)+COUNTIFS($B$4:$B152,$B152,$AG$4:$AG152,"="&amp;$AG152)))</f>
        <v>ZOMBIES|32</v>
      </c>
    </row>
    <row r="153" spans="1:35" hidden="1">
      <c r="A153" s="69" t="s">
        <v>109</v>
      </c>
      <c r="B153" s="69" t="s">
        <v>113</v>
      </c>
      <c r="C153" s="63" t="s">
        <v>818</v>
      </c>
      <c r="D153" s="69" t="s">
        <v>548</v>
      </c>
      <c r="E153" s="68" t="s">
        <v>71</v>
      </c>
      <c r="F153" s="19" t="str">
        <f>IF($C153="","",IF($E153="","-",IFERROR(INDEX(SETUP!$B$55:$B$64,MATCH($E153,SETUP!$A$55:$A$64,0)),"Other")))</f>
        <v>Frontline</v>
      </c>
      <c r="G153" s="70">
        <v>62960</v>
      </c>
      <c r="H153" s="19" t="str">
        <f>IF($C153="","",IF($G153="","-",INDEX(SETUP!$B$26:$B$32,MATCH($G153,SETUP!$A$26:$A$32,1))))</f>
        <v>62,000 - 62,999</v>
      </c>
      <c r="I153" s="70">
        <v>4290</v>
      </c>
      <c r="J153" s="19" t="str">
        <f>IF($C153="","",IF($I153="","-",INDEX(SETUP!$B$16:$B$22,MATCH($I153,SETUP!$A$16:$A$22,1))))</f>
        <v>CORE</v>
      </c>
      <c r="K153" s="19" t="str">
        <f>IF($C153="","",IF($I153="","-",TEXT(INT($I153/1000)*1000,"#,##0")&amp;" - "&amp;TEXT(INT($I153/1000)*1000+999,"#,##0")))</f>
        <v>4,000 - 4,999</v>
      </c>
      <c r="L153" s="71">
        <v>5.85</v>
      </c>
      <c r="M153" s="19" t="str">
        <f>IF($C153="","",IF($L153="","-",INDEX(SETUP!$B$36:$B$42,MATCH($L153,SETUP!$A$36:$A$42,1))))</f>
        <v>5k - 6k</v>
      </c>
      <c r="N153" s="21">
        <f>IF($C153="","",IF(OR($G153="",$I153=""),"",ROUND(100*(SETUP!$B$4*MIN(1,$I153/SETUP!$B$9)+SETUP!$B$5*MAX(0,MIN(1,($G153-SETUP!$B$10)/(SETUP!$B$11-SETUP!$B$10)))+SETUP!$B$6*MIN(1,IF($L153="",0,$L153)/SETUP!$B$12)),1)))</f>
        <v>49.4</v>
      </c>
      <c r="O153" s="19" t="str">
        <f>IF($C153="","",IF($N153="","-",INDEX(SETUP!$B$46:$B$51,MATCH($N153,SETUP!$A$46:$A$51,1))))</f>
        <v>B</v>
      </c>
      <c r="P153" s="19">
        <f>IF($C153="","",IF($I153="","",RANK($I153,$I$4:$I$1463)+COUNTIF($I$4:$I153,$I153)-1))</f>
        <v>536</v>
      </c>
      <c r="Q153" s="19">
        <f>IF($C153="","",COUNTIFS($B$4:$B$1463,$B153,$X$4:$X$1463,"&gt;"&amp;$X153)+COUNTIFS($B$4:$B153,$B153,$X$4:$X153,"="&amp;$X153))</f>
        <v>24</v>
      </c>
      <c r="R153" s="75">
        <f>IF($C153="","",IF($I153="","",ROUND(COUNTIF($I$4:$I$1463,"&lt;"&amp;$I153)/COUNT($I$4:$I$1463),3)))</f>
        <v>0.59499999999999997</v>
      </c>
      <c r="S153" s="19" t="str">
        <f>IF($C153="","",IF($G153="","Name only",IF(OR($I153="",$L153=""),"Partial","Complete")))</f>
        <v>Complete</v>
      </c>
      <c r="T153" s="1" t="str">
        <f>IF($C153="","",TRIM(IF(COUNTIF($C$4:$C$1463,$C153)&gt;1,"Dup name; ","")&amp;IF(AND($G153&lt;&gt;"",$G153&lt;55000),"Low CR - verify; ","")&amp;IF(AND($L153&lt;&gt;"",$L153&gt;15),"Secondary - verify; ","")&amp;IF($E153="","No class; ","")))</f>
        <v/>
      </c>
      <c r="U153" s="68"/>
      <c r="V153" s="68"/>
      <c r="W153" s="68"/>
      <c r="X153" s="76">
        <f t="shared" si="12"/>
        <v>4290</v>
      </c>
      <c r="Y153" s="1" t="str">
        <f t="shared" si="13"/>
        <v>INVICTUS|24</v>
      </c>
      <c r="Z153" s="19">
        <f>IF($C153="","",IF($G153="","",RANK($G153,$G$4:$G$1463)+COUNTIF($G$4:$G153,$G153)-1))</f>
        <v>444</v>
      </c>
      <c r="AA153" s="19">
        <f>IF($C153="","",IF($N153="","",RANK($N153,$N$4:$N$1463)+COUNTIF($N$4:$N153,$N153)-1))</f>
        <v>472</v>
      </c>
      <c r="AB153" s="1" t="str">
        <f>IF($C153="","",IF($E153="","",$E153&amp;"#"&amp;(COUNTIFS($E$4:$E$1463,$E153,$X$4:$X$1463,"&gt;"&amp;$X153)+COUNTIFS($E$4:$E153,$E153,$X$4:$X153,"="&amp;$X153))))</f>
        <v>BARBARIAN#103</v>
      </c>
      <c r="AC153" s="1" t="str">
        <f>IF($C153="","",$B153&amp;"@"&amp;(COUNTIFS($B$4:$B$1463,$B153,$C$4:$C$1463,"&lt;"&amp;$C153)+COUNTIFS($B$4:$B153,$B153,$C$4:$C153,$C153)))</f>
        <v>INVICTUS@10</v>
      </c>
      <c r="AD153" s="1">
        <f t="shared" si="14"/>
        <v>150</v>
      </c>
      <c r="AE153" s="1" t="s">
        <v>819</v>
      </c>
      <c r="AF153" s="76">
        <f t="shared" si="15"/>
        <v>62960</v>
      </c>
      <c r="AG153" s="77">
        <f t="shared" si="16"/>
        <v>5.85</v>
      </c>
      <c r="AH153" s="1" t="str">
        <f>IF($C153="","",$B153&amp;"|"&amp;(COUNTIFS($B$4:$B$1463,$B153,$AF$4:$AF$1463,"&gt;"&amp;$AF153)+COUNTIFS($B$4:$B153,$B153,$AF$4:$AF153,"="&amp;$AF153)))</f>
        <v>INVICTUS|24</v>
      </c>
      <c r="AI153" s="1" t="str">
        <f>IF($C153="","",$B153&amp;"|"&amp;(COUNTIFS($B$4:$B$1463,$B153,$AG$4:$AG$1463,"&gt;"&amp;$AG153)+COUNTIFS($B$4:$B153,$B153,$AG$4:$AG153,"="&amp;$AG153)))</f>
        <v>INVICTUS|15</v>
      </c>
    </row>
    <row r="154" spans="1:35" hidden="1">
      <c r="A154" s="69" t="s">
        <v>109</v>
      </c>
      <c r="B154" s="69" t="s">
        <v>113</v>
      </c>
      <c r="C154" s="63" t="s">
        <v>820</v>
      </c>
      <c r="D154" s="69" t="s">
        <v>548</v>
      </c>
      <c r="E154" s="68" t="s">
        <v>77</v>
      </c>
      <c r="F154" s="15" t="str">
        <f>IF($C154="","",IF($E154="","-",IFERROR(INDEX(SETUP!$B$55:$B$64,MATCH($E154,SETUP!$A$55:$A$64,0)),"Other")))</f>
        <v>Control</v>
      </c>
      <c r="G154" s="70">
        <v>62830</v>
      </c>
      <c r="H154" s="15" t="str">
        <f>IF($C154="","",IF($G154="","-",INDEX(SETUP!$B$26:$B$32,MATCH($G154,SETUP!$A$26:$A$32,1))))</f>
        <v>62,000 - 62,999</v>
      </c>
      <c r="I154" s="70">
        <v>3014</v>
      </c>
      <c r="J154" s="15" t="str">
        <f>IF($C154="","",IF($I154="","-",INDEX(SETUP!$B$16:$B$22,MATCH($I154,SETUP!$A$16:$A$22,1))))</f>
        <v>DEVELOPING</v>
      </c>
      <c r="K154" s="15" t="str">
        <f>IF($C154="","",IF($I154="","-",TEXT(INT($I154/1000)*1000,"#,##0")&amp;" - "&amp;TEXT(INT($I154/1000)*1000+999,"#,##0")))</f>
        <v>3,000 - 3,999</v>
      </c>
      <c r="L154" s="71">
        <v>5.25</v>
      </c>
      <c r="M154" s="15" t="str">
        <f>IF($C154="","",IF($L154="","-",INDEX(SETUP!$B$36:$B$42,MATCH($L154,SETUP!$A$36:$A$42,1))))</f>
        <v>5k - 6k</v>
      </c>
      <c r="N154" s="17">
        <f>IF($C154="","",IF(OR($G154="",$I154=""),"",ROUND(100*(SETUP!$B$4*MIN(1,$I154/SETUP!$B$9)+SETUP!$B$5*MAX(0,MIN(1,($G154-SETUP!$B$10)/(SETUP!$B$11-SETUP!$B$10)))+SETUP!$B$6*MIN(1,IF($L154="",0,$L154)/SETUP!$B$12)),1)))</f>
        <v>42.5</v>
      </c>
      <c r="O154" s="15" t="str">
        <f>IF($C154="","",IF($N154="","-",INDEX(SETUP!$B$46:$B$51,MATCH($N154,SETUP!$A$46:$A$51,1))))</f>
        <v>B</v>
      </c>
      <c r="P154" s="15">
        <f>IF($C154="","",IF($I154="","",RANK($I154,$I$4:$I$1463)+COUNTIF($I$4:$I154,$I154)-1))</f>
        <v>877</v>
      </c>
      <c r="Q154" s="15">
        <f>IF($C154="","",COUNTIFS($B$4:$B$1463,$B154,$X$4:$X$1463,"&gt;"&amp;$X154)+COUNTIFS($B$4:$B154,$B154,$X$4:$X154,"="&amp;$X154))</f>
        <v>52</v>
      </c>
      <c r="R154" s="72">
        <f>IF($C154="","",IF($I154="","",ROUND(COUNTIF($I$4:$I$1463,"&lt;"&amp;$I154)/COUNT($I$4:$I$1463),3)))</f>
        <v>0.33800000000000002</v>
      </c>
      <c r="S154" s="15" t="str">
        <f>IF($C154="","",IF($G154="","Name only",IF(OR($I154="",$L154=""),"Partial","Complete")))</f>
        <v>Complete</v>
      </c>
      <c r="T154" s="41" t="str">
        <f>IF($C154="","",TRIM(IF(COUNTIF($C$4:$C$1463,$C154)&gt;1,"Dup name; ","")&amp;IF(AND($G154&lt;&gt;"",$G154&lt;55000),"Low CR - verify; ","")&amp;IF(AND($L154&lt;&gt;"",$L154&gt;15),"Secondary - verify; ","")&amp;IF($E154="","No class; ","")))</f>
        <v/>
      </c>
      <c r="U154" s="68"/>
      <c r="V154" s="68"/>
      <c r="W154" s="68"/>
      <c r="X154" s="73">
        <f t="shared" si="12"/>
        <v>3014</v>
      </c>
      <c r="Y154" s="41" t="str">
        <f t="shared" si="13"/>
        <v>INVICTUS|52</v>
      </c>
      <c r="Z154" s="15">
        <f>IF($C154="","",IF($G154="","",RANK($G154,$G$4:$G$1463)+COUNTIF($G$4:$G154,$G154)-1))</f>
        <v>507</v>
      </c>
      <c r="AA154" s="15">
        <f>IF($C154="","",IF($N154="","",RANK($N154,$N$4:$N$1463)+COUNTIF($N$4:$N154,$N154)-1))</f>
        <v>724</v>
      </c>
      <c r="AB154" s="41" t="str">
        <f>IF($C154="","",IF($E154="","",$E154&amp;"#"&amp;(COUNTIFS($E$4:$E$1463,$E154,$X$4:$X$1463,"&gt;"&amp;$X154)+COUNTIFS($E$4:$E154,$E154,$X$4:$X154,"="&amp;$X154))))</f>
        <v>NECROMANCER#50</v>
      </c>
      <c r="AC154" s="41" t="str">
        <f>IF($C154="","",$B154&amp;"@"&amp;(COUNTIFS($B$4:$B$1463,$B154,$C$4:$C$1463,"&lt;"&amp;$C154)+COUNTIFS($B$4:$B154,$B154,$C$4:$C154,$C154)))</f>
        <v>INVICTUS@11</v>
      </c>
      <c r="AD154" s="41">
        <f t="shared" si="14"/>
        <v>151</v>
      </c>
      <c r="AE154" s="41" t="s">
        <v>821</v>
      </c>
      <c r="AF154" s="73">
        <f t="shared" si="15"/>
        <v>62830</v>
      </c>
      <c r="AG154" s="74">
        <f t="shared" si="16"/>
        <v>5.25</v>
      </c>
      <c r="AH154" s="41" t="str">
        <f>IF($C154="","",$B154&amp;"|"&amp;(COUNTIFS($B$4:$B$1463,$B154,$AF$4:$AF$1463,"&gt;"&amp;$AF154)+COUNTIFS($B$4:$B154,$B154,$AF$4:$AF154,"="&amp;$AF154)))</f>
        <v>INVICTUS|27</v>
      </c>
      <c r="AI154" s="41" t="str">
        <f>IF($C154="","",$B154&amp;"|"&amp;(COUNTIFS($B$4:$B$1463,$B154,$AG$4:$AG$1463,"&gt;"&amp;$AG154)+COUNTIFS($B$4:$B154,$B154,$AG$4:$AG154,"="&amp;$AG154)))</f>
        <v>INVICTUS|23</v>
      </c>
    </row>
    <row r="155" spans="1:35" hidden="1">
      <c r="A155" s="69" t="s">
        <v>106</v>
      </c>
      <c r="B155" s="69" t="s">
        <v>86</v>
      </c>
      <c r="C155" s="63" t="s">
        <v>822</v>
      </c>
      <c r="D155" s="69"/>
      <c r="E155" s="68" t="s">
        <v>78</v>
      </c>
      <c r="F155" s="19" t="str">
        <f>IF($C155="","",IF($E155="","-",IFERROR(INDEX(SETUP!$B$55:$B$64,MATCH($E155,SETUP!$A$55:$A$64,0)),"Other")))</f>
        <v>Melee DPS</v>
      </c>
      <c r="G155" s="70">
        <v>62761</v>
      </c>
      <c r="H155" s="19" t="str">
        <f>IF($C155="","",IF($G155="","-",INDEX(SETUP!$B$26:$B$32,MATCH($G155,SETUP!$A$26:$A$32,1))))</f>
        <v>62,000 - 62,999</v>
      </c>
      <c r="I155" s="70">
        <v>6299</v>
      </c>
      <c r="J155" s="19" t="str">
        <f>IF($C155="","",IF($I155="","-",INDEX(SETUP!$B$16:$B$22,MATCH($I155,SETUP!$A$16:$A$22,1))))</f>
        <v>VETERAN</v>
      </c>
      <c r="K155" s="19" t="str">
        <f>IF($C155="","",IF($I155="","-",TEXT(INT($I155/1000)*1000,"#,##0")&amp;" - "&amp;TEXT(INT($I155/1000)*1000+999,"#,##0")))</f>
        <v>6,000 - 6,999</v>
      </c>
      <c r="L155" s="71">
        <v>4.79</v>
      </c>
      <c r="M155" s="19" t="str">
        <f>IF($C155="","",IF($L155="","-",INDEX(SETUP!$B$36:$B$42,MATCH($L155,SETUP!$A$36:$A$42,1))))</f>
        <v>4k - 5k</v>
      </c>
      <c r="N155" s="21">
        <f>IF($C155="","",IF(OR($G155="",$I155=""),"",ROUND(100*(SETUP!$B$4*MIN(1,$I155/SETUP!$B$9)+SETUP!$B$5*MAX(0,MIN(1,($G155-SETUP!$B$10)/(SETUP!$B$11-SETUP!$B$10)))+SETUP!$B$6*MIN(1,IF($L155="",0,$L155)/SETUP!$B$12)),1)))</f>
        <v>55.9</v>
      </c>
      <c r="O155" s="19" t="str">
        <f>IF($C155="","",IF($N155="","-",INDEX(SETUP!$B$46:$B$51,MATCH($N155,SETUP!$A$46:$A$51,1))))</f>
        <v>A</v>
      </c>
      <c r="P155" s="19">
        <f>IF($C155="","",IF($I155="","",RANK($I155,$I$4:$I$1463)+COUNTIF($I$4:$I155,$I155)-1))</f>
        <v>257</v>
      </c>
      <c r="Q155" s="19">
        <f>IF($C155="","",COUNTIFS($B$4:$B$1463,$B155,$X$4:$X$1463,"&gt;"&amp;$X155)+COUNTIFS($B$4:$B155,$B155,$X$4:$X155,"="&amp;$X155))</f>
        <v>52</v>
      </c>
      <c r="R155" s="75">
        <f>IF($C155="","",IF($I155="","",ROUND(COUNTIF($I$4:$I$1463,"&lt;"&amp;$I155)/COUNT($I$4:$I$1463),3)))</f>
        <v>0.80600000000000005</v>
      </c>
      <c r="S155" s="19" t="str">
        <f>IF($C155="","",IF($G155="","Name only",IF(OR($I155="",$L155=""),"Partial","Complete")))</f>
        <v>Complete</v>
      </c>
      <c r="T155" s="1" t="str">
        <f>IF($C155="","",TRIM(IF(COUNTIF($C$4:$C$1463,$C155)&gt;1,"Dup name; ","")&amp;IF(AND($G155&lt;&gt;"",$G155&lt;55000),"Low CR - verify; ","")&amp;IF(AND($L155&lt;&gt;"",$L155&gt;15),"Secondary - verify; ","")&amp;IF($E155="","No class; ","")))</f>
        <v/>
      </c>
      <c r="U155" s="68"/>
      <c r="V155" s="68"/>
      <c r="W155" s="68"/>
      <c r="X155" s="76">
        <f t="shared" si="12"/>
        <v>6299</v>
      </c>
      <c r="Y155" s="1" t="str">
        <f t="shared" si="13"/>
        <v>VANGUARD|52</v>
      </c>
      <c r="Z155" s="19">
        <f>IF($C155="","",IF($G155="","",RANK($G155,$G$4:$G$1463)+COUNTIF($G$4:$G155,$G155)-1))</f>
        <v>538</v>
      </c>
      <c r="AA155" s="19">
        <f>IF($C155="","",IF($N155="","",RANK($N155,$N$4:$N$1463)+COUNTIF($N$4:$N155,$N155)-1))</f>
        <v>293</v>
      </c>
      <c r="AB155" s="1" t="str">
        <f>IF($C155="","",IF($E155="","",$E155&amp;"#"&amp;(COUNTIFS($E$4:$E$1463,$E155,$X$4:$X$1463,"&gt;"&amp;$X155)+COUNTIFS($E$4:$E155,$E155,$X$4:$X155,"="&amp;$X155))))</f>
        <v>TEMPEST#9</v>
      </c>
      <c r="AC155" s="1" t="str">
        <f>IF($C155="","",$B155&amp;"@"&amp;(COUNTIFS($B$4:$B$1463,$B155,$C$4:$C$1463,"&lt;"&amp;$C155)+COUNTIFS($B$4:$B155,$B155,$C$4:$C155,$C155)))</f>
        <v>VANGUARD@15</v>
      </c>
      <c r="AD155" s="1">
        <f t="shared" si="14"/>
        <v>152</v>
      </c>
      <c r="AE155" s="1" t="s">
        <v>823</v>
      </c>
      <c r="AF155" s="76">
        <f t="shared" si="15"/>
        <v>62761</v>
      </c>
      <c r="AG155" s="77">
        <f t="shared" si="16"/>
        <v>4.79</v>
      </c>
      <c r="AH155" s="1" t="str">
        <f>IF($C155="","",$B155&amp;"|"&amp;(COUNTIFS($B$4:$B$1463,$B155,$AF$4:$AF$1463,"&gt;"&amp;$AF155)+COUNTIFS($B$4:$B155,$B155,$AF$4:$AF155,"="&amp;$AF155)))</f>
        <v>VANGUARD|75</v>
      </c>
      <c r="AI155" s="1" t="str">
        <f>IF($C155="","",$B155&amp;"|"&amp;(COUNTIFS($B$4:$B$1463,$B155,$AG$4:$AG$1463,"&gt;"&amp;$AG155)+COUNTIFS($B$4:$B155,$B155,$AG$4:$AG155,"="&amp;$AG155)))</f>
        <v>VANGUARD|75</v>
      </c>
    </row>
    <row r="156" spans="1:35" hidden="1">
      <c r="A156" s="69" t="s">
        <v>109</v>
      </c>
      <c r="B156" s="69" t="s">
        <v>116</v>
      </c>
      <c r="C156" s="63" t="s">
        <v>824</v>
      </c>
      <c r="D156" s="69" t="s">
        <v>530</v>
      </c>
      <c r="E156" s="68" t="s">
        <v>75</v>
      </c>
      <c r="F156" s="15" t="str">
        <f>IF($C156="","",IF($E156="","-",IFERROR(INDEX(SETUP!$B$55:$B$64,MATCH($E156,SETUP!$A$55:$A$64,0)),"Other")))</f>
        <v>Support</v>
      </c>
      <c r="G156" s="70">
        <v>62575</v>
      </c>
      <c r="H156" s="15" t="str">
        <f>IF($C156="","",IF($G156="","-",INDEX(SETUP!$B$26:$B$32,MATCH($G156,SETUP!$A$26:$A$32,1))))</f>
        <v>62,000 - 62,999</v>
      </c>
      <c r="I156" s="70">
        <v>2580</v>
      </c>
      <c r="J156" s="15" t="str">
        <f>IF($C156="","",IF($I156="","-",INDEX(SETUP!$B$16:$B$22,MATCH($I156,SETUP!$A$16:$A$22,1))))</f>
        <v>DEVELOPING</v>
      </c>
      <c r="K156" s="15" t="str">
        <f>IF($C156="","",IF($I156="","-",TEXT(INT($I156/1000)*1000,"#,##0")&amp;" - "&amp;TEXT(INT($I156/1000)*1000+999,"#,##0")))</f>
        <v>2,000 - 2,999</v>
      </c>
      <c r="L156" s="71">
        <v>3.95</v>
      </c>
      <c r="M156" s="15" t="str">
        <f>IF($C156="","",IF($L156="","-",INDEX(SETUP!$B$36:$B$42,MATCH($L156,SETUP!$A$36:$A$42,1))))</f>
        <v>3k - 4k</v>
      </c>
      <c r="N156" s="17">
        <f>IF($C156="","",IF(OR($G156="",$I156=""),"",ROUND(100*(SETUP!$B$4*MIN(1,$I156/SETUP!$B$9)+SETUP!$B$5*MAX(0,MIN(1,($G156-SETUP!$B$10)/(SETUP!$B$11-SETUP!$B$10)))+SETUP!$B$6*MIN(1,IF($L156="",0,$L156)/SETUP!$B$12)),1)))</f>
        <v>37.799999999999997</v>
      </c>
      <c r="O156" s="15" t="str">
        <f>IF($C156="","",IF($N156="","-",INDEX(SETUP!$B$46:$B$51,MATCH($N156,SETUP!$A$46:$A$51,1))))</f>
        <v>B</v>
      </c>
      <c r="P156" s="15">
        <f>IF($C156="","",IF($I156="","",RANK($I156,$I$4:$I$1463)+COUNTIF($I$4:$I156,$I156)-1))</f>
        <v>983</v>
      </c>
      <c r="Q156" s="15">
        <f>IF($C156="","",COUNTIFS($B$4:$B$1463,$B156,$X$4:$X$1463,"&gt;"&amp;$X156)+COUNTIFS($B$4:$B156,$B156,$X$4:$X156,"="&amp;$X156))</f>
        <v>69</v>
      </c>
      <c r="R156" s="72">
        <f>IF($C156="","",IF($I156="","",ROUND(COUNTIF($I$4:$I$1463,"&lt;"&amp;$I156)/COUNT($I$4:$I$1463),3)))</f>
        <v>0.25600000000000001</v>
      </c>
      <c r="S156" s="15" t="str">
        <f>IF($C156="","",IF($G156="","Name only",IF(OR($I156="",$L156=""),"Partial","Complete")))</f>
        <v>Complete</v>
      </c>
      <c r="T156" s="41" t="str">
        <f>IF($C156="","",TRIM(IF(COUNTIF($C$4:$C$1463,$C156)&gt;1,"Dup name; ","")&amp;IF(AND($G156&lt;&gt;"",$G156&lt;55000),"Low CR - verify; ","")&amp;IF(AND($L156&lt;&gt;"",$L156&gt;15),"Secondary - verify; ","")&amp;IF($E156="","No class; ","")))</f>
        <v/>
      </c>
      <c r="U156" s="68"/>
      <c r="V156" s="68"/>
      <c r="W156" s="68"/>
      <c r="X156" s="73">
        <f t="shared" si="12"/>
        <v>2580</v>
      </c>
      <c r="Y156" s="41" t="str">
        <f t="shared" si="13"/>
        <v>VENGEANCE|69</v>
      </c>
      <c r="Z156" s="15">
        <f>IF($C156="","",IF($G156="","",RANK($G156,$G$4:$G$1463)+COUNTIF($G$4:$G156,$G156)-1))</f>
        <v>623</v>
      </c>
      <c r="AA156" s="15">
        <f>IF($C156="","",IF($N156="","",RANK($N156,$N$4:$N$1463)+COUNTIF($N$4:$N156,$N156)-1))</f>
        <v>904</v>
      </c>
      <c r="AB156" s="41" t="str">
        <f>IF($C156="","",IF($E156="","",$E156&amp;"#"&amp;(COUNTIFS($E$4:$E$1463,$E156,$X$4:$X$1463,"&gt;"&amp;$X156)+COUNTIFS($E$4:$E156,$E156,$X$4:$X156,"="&amp;$X156))))</f>
        <v>DRUID#46</v>
      </c>
      <c r="AC156" s="41" t="str">
        <f>IF($C156="","",$B156&amp;"@"&amp;(COUNTIFS($B$4:$B$1463,$B156,$C$4:$C$1463,"&lt;"&amp;$C156)+COUNTIFS($B$4:$B156,$B156,$C$4:$C156,$C156)))</f>
        <v>VENGEANCE@13</v>
      </c>
      <c r="AD156" s="41">
        <f t="shared" si="14"/>
        <v>153</v>
      </c>
      <c r="AE156" s="41" t="s">
        <v>825</v>
      </c>
      <c r="AF156" s="73">
        <f t="shared" si="15"/>
        <v>62575</v>
      </c>
      <c r="AG156" s="74">
        <f t="shared" si="16"/>
        <v>3.95</v>
      </c>
      <c r="AH156" s="41" t="str">
        <f>IF($C156="","",$B156&amp;"|"&amp;(COUNTIFS($B$4:$B$1463,$B156,$AF$4:$AF$1463,"&gt;"&amp;$AF156)+COUNTIFS($B$4:$B156,$B156,$AF$4:$AF156,"="&amp;$AF156)))</f>
        <v>VENGEANCE|37</v>
      </c>
      <c r="AI156" s="41" t="str">
        <f>IF($C156="","",$B156&amp;"|"&amp;(COUNTIFS($B$4:$B$1463,$B156,$AG$4:$AG$1463,"&gt;"&amp;$AG156)+COUNTIFS($B$4:$B156,$B156,$AG$4:$AG156,"="&amp;$AG156)))</f>
        <v>VENGEANCE|66</v>
      </c>
    </row>
    <row r="157" spans="1:35" hidden="1">
      <c r="A157" s="69" t="s">
        <v>109</v>
      </c>
      <c r="B157" s="69" t="s">
        <v>118</v>
      </c>
      <c r="C157" s="63" t="s">
        <v>826</v>
      </c>
      <c r="D157" s="69"/>
      <c r="E157" s="68" t="s">
        <v>79</v>
      </c>
      <c r="F157" s="19" t="str">
        <f>IF($C157="","",IF($E157="","-",IFERROR(INDEX(SETUP!$B$55:$B$64,MATCH($E157,SETUP!$A$55:$A$64,0)),"Other")))</f>
        <v>Control</v>
      </c>
      <c r="G157" s="70">
        <v>60890</v>
      </c>
      <c r="H157" s="19" t="str">
        <f>IF($C157="","",IF($G157="","-",INDEX(SETUP!$B$26:$B$32,MATCH($G157,SETUP!$A$26:$A$32,1))))</f>
        <v>60,000 - 60,999</v>
      </c>
      <c r="I157" s="70">
        <v>833</v>
      </c>
      <c r="J157" s="19" t="str">
        <f>IF($C157="","",IF($I157="","-",INDEX(SETUP!$B$16:$B$22,MATCH($I157,SETUP!$A$16:$A$22,1))))</f>
        <v>ROOKIE</v>
      </c>
      <c r="K157" s="19" t="str">
        <f>IF($C157="","",IF($I157="","-",TEXT(INT($I157/1000)*1000,"#,##0")&amp;" - "&amp;TEXT(INT($I157/1000)*1000+999,"#,##0")))</f>
        <v>0 - 999</v>
      </c>
      <c r="L157" s="71">
        <v>3</v>
      </c>
      <c r="M157" s="19" t="str">
        <f>IF($C157="","",IF($L157="","-",INDEX(SETUP!$B$36:$B$42,MATCH($L157,SETUP!$A$36:$A$42,1))))</f>
        <v>3k - 4k</v>
      </c>
      <c r="N157" s="21">
        <f>IF($C157="","",IF(OR($G157="",$I157=""),"",ROUND(100*(SETUP!$B$4*MIN(1,$I157/SETUP!$B$9)+SETUP!$B$5*MAX(0,MIN(1,($G157-SETUP!$B$10)/(SETUP!$B$11-SETUP!$B$10)))+SETUP!$B$6*MIN(1,IF($L157="",0,$L157)/SETUP!$B$12)),1)))</f>
        <v>24.1</v>
      </c>
      <c r="O157" s="19" t="str">
        <f>IF($C157="","",IF($N157="","-",INDEX(SETUP!$B$46:$B$51,MATCH($N157,SETUP!$A$46:$A$51,1))))</f>
        <v>C</v>
      </c>
      <c r="P157" s="19">
        <f>IF($C157="","",IF($I157="","",RANK($I157,$I$4:$I$1463)+COUNTIF($I$4:$I157,$I157)-1))</f>
        <v>1293</v>
      </c>
      <c r="Q157" s="19">
        <f>IF($C157="","",COUNTIFS($B$4:$B$1463,$B157,$X$4:$X$1463,"&gt;"&amp;$X157)+COUNTIFS($B$4:$B157,$B157,$X$4:$X157,"="&amp;$X157))</f>
        <v>88</v>
      </c>
      <c r="R157" s="75">
        <f>IF($C157="","",IF($I157="","",ROUND(COUNTIF($I$4:$I$1463,"&lt;"&amp;$I157)/COUNT($I$4:$I$1463),3)))</f>
        <v>2.4E-2</v>
      </c>
      <c r="S157" s="19" t="str">
        <f>IF($C157="","",IF($G157="","Name only",IF(OR($I157="",$L157=""),"Partial","Complete")))</f>
        <v>Complete</v>
      </c>
      <c r="T157" s="1" t="str">
        <f>IF($C157="","",TRIM(IF(COUNTIF($C$4:$C$1463,$C157)&gt;1,"Dup name; ","")&amp;IF(AND($G157&lt;&gt;"",$G157&lt;55000),"Low CR - verify; ","")&amp;IF(AND($L157&lt;&gt;"",$L157&gt;15),"Secondary - verify; ","")&amp;IF($E157="","No class; ","")))</f>
        <v/>
      </c>
      <c r="U157" s="68"/>
      <c r="V157" s="68"/>
      <c r="W157" s="68"/>
      <c r="X157" s="76">
        <f t="shared" si="12"/>
        <v>833</v>
      </c>
      <c r="Y157" s="1" t="str">
        <f t="shared" si="13"/>
        <v>ZOMBIES|88</v>
      </c>
      <c r="Z157" s="19">
        <f>IF($C157="","",IF($G157="","",RANK($G157,$G$4:$G$1463)+COUNTIF($G$4:$G157,$G157)-1))</f>
        <v>1154</v>
      </c>
      <c r="AA157" s="19">
        <f>IF($C157="","",IF($N157="","",RANK($N157,$N$4:$N$1463)+COUNTIF($N$4:$N157,$N157)-1))</f>
        <v>1257</v>
      </c>
      <c r="AB157" s="1" t="str">
        <f>IF($C157="","",IF($E157="","",$E157&amp;"#"&amp;(COUNTIFS($E$4:$E$1463,$E157,$X$4:$X$1463,"&gt;"&amp;$X157)+COUNTIFS($E$4:$E157,$E157,$X$4:$X157,"="&amp;$X157))))</f>
        <v>WARLOCK#319</v>
      </c>
      <c r="AC157" s="1" t="str">
        <f>IF($C157="","",$B157&amp;"@"&amp;(COUNTIFS($B$4:$B$1463,$B157,$C$4:$C$1463,"&lt;"&amp;$C157)+COUNTIFS($B$4:$B157,$B157,$C$4:$C157,$C157)))</f>
        <v>ZOMBIES@16</v>
      </c>
      <c r="AD157" s="1">
        <f t="shared" si="14"/>
        <v>154</v>
      </c>
      <c r="AE157" s="1" t="s">
        <v>611</v>
      </c>
      <c r="AF157" s="76">
        <f t="shared" si="15"/>
        <v>60890</v>
      </c>
      <c r="AG157" s="77">
        <f t="shared" si="16"/>
        <v>3</v>
      </c>
      <c r="AH157" s="1" t="str">
        <f>IF($C157="","",$B157&amp;"|"&amp;(COUNTIFS($B$4:$B$1463,$B157,$AF$4:$AF$1463,"&gt;"&amp;$AF157)+COUNTIFS($B$4:$B157,$B157,$AF$4:$AF157,"="&amp;$AF157)))</f>
        <v>ZOMBIES|60</v>
      </c>
      <c r="AI157" s="1" t="str">
        <f>IF($C157="","",$B157&amp;"|"&amp;(COUNTIFS($B$4:$B$1463,$B157,$AG$4:$AG$1463,"&gt;"&amp;$AG157)+COUNTIFS($B$4:$B157,$B157,$AG$4:$AG157,"="&amp;$AG157)))</f>
        <v>ZOMBIES|70</v>
      </c>
    </row>
    <row r="158" spans="1:35" hidden="1">
      <c r="A158" s="69" t="s">
        <v>109</v>
      </c>
      <c r="B158" s="69" t="s">
        <v>112</v>
      </c>
      <c r="C158" s="63" t="s">
        <v>827</v>
      </c>
      <c r="D158" s="69"/>
      <c r="E158" s="68" t="s">
        <v>80</v>
      </c>
      <c r="F158" s="15" t="str">
        <f>IF($C158="","",IF($E158="","-",IFERROR(INDEX(SETUP!$B$55:$B$64,MATCH($E158,SETUP!$A$55:$A$64,0)),"Other")))</f>
        <v>Ranged DPS</v>
      </c>
      <c r="G158" s="70">
        <v>62966</v>
      </c>
      <c r="H158" s="15" t="str">
        <f>IF($C158="","",IF($G158="","-",INDEX(SETUP!$B$26:$B$32,MATCH($G158,SETUP!$A$26:$A$32,1))))</f>
        <v>62,000 - 62,999</v>
      </c>
      <c r="I158" s="70">
        <v>4956</v>
      </c>
      <c r="J158" s="15" t="str">
        <f>IF($C158="","",IF($I158="","-",INDEX(SETUP!$B$16:$B$22,MATCH($I158,SETUP!$A$16:$A$22,1))))</f>
        <v>CORE</v>
      </c>
      <c r="K158" s="15" t="str">
        <f>IF($C158="","",IF($I158="","-",TEXT(INT($I158/1000)*1000,"#,##0")&amp;" - "&amp;TEXT(INT($I158/1000)*1000+999,"#,##0")))</f>
        <v>4,000 - 4,999</v>
      </c>
      <c r="L158" s="71">
        <v>7.25</v>
      </c>
      <c r="M158" s="15" t="str">
        <f>IF($C158="","",IF($L158="","-",INDEX(SETUP!$B$36:$B$42,MATCH($L158,SETUP!$A$36:$A$42,1))))</f>
        <v>6k - 8k</v>
      </c>
      <c r="N158" s="17">
        <f>IF($C158="","",IF(OR($G158="",$I158=""),"",ROUND(100*(SETUP!$B$4*MIN(1,$I158/SETUP!$B$9)+SETUP!$B$5*MAX(0,MIN(1,($G158-SETUP!$B$10)/(SETUP!$B$11-SETUP!$B$10)))+SETUP!$B$6*MIN(1,IF($L158="",0,$L158)/SETUP!$B$12)),1)))</f>
        <v>54.7</v>
      </c>
      <c r="O158" s="15" t="str">
        <f>IF($C158="","",IF($N158="","-",INDEX(SETUP!$B$46:$B$51,MATCH($N158,SETUP!$A$46:$A$51,1))))</f>
        <v>A</v>
      </c>
      <c r="P158" s="15">
        <f>IF($C158="","",IF($I158="","",RANK($I158,$I$4:$I$1463)+COUNTIF($I$4:$I158,$I158)-1))</f>
        <v>420</v>
      </c>
      <c r="Q158" s="15">
        <f>IF($C158="","",COUNTIFS($B$4:$B$1463,$B158,$X$4:$X$1463,"&gt;"&amp;$X158)+COUNTIFS($B$4:$B158,$B158,$X$4:$X158,"="&amp;$X158))</f>
        <v>27</v>
      </c>
      <c r="R158" s="72">
        <f>IF($C158="","",IF($I158="","",ROUND(COUNTIF($I$4:$I$1463,"&lt;"&amp;$I158)/COUNT($I$4:$I$1463),3)))</f>
        <v>0.68200000000000005</v>
      </c>
      <c r="S158" s="15" t="str">
        <f>IF($C158="","",IF($G158="","Name only",IF(OR($I158="",$L158=""),"Partial","Complete")))</f>
        <v>Complete</v>
      </c>
      <c r="T158" s="41" t="str">
        <f>IF($C158="","",TRIM(IF(COUNTIF($C$4:$C$1463,$C158)&gt;1,"Dup name; ","")&amp;IF(AND($G158&lt;&gt;"",$G158&lt;55000),"Low CR - verify; ","")&amp;IF(AND($L158&lt;&gt;"",$L158&gt;15),"Secondary - verify; ","")&amp;IF($E158="","No class; ","")))</f>
        <v/>
      </c>
      <c r="U158" s="68"/>
      <c r="V158" s="68"/>
      <c r="W158" s="68"/>
      <c r="X158" s="73">
        <f t="shared" si="12"/>
        <v>4956</v>
      </c>
      <c r="Y158" s="41" t="str">
        <f t="shared" si="13"/>
        <v>ACHERON|27</v>
      </c>
      <c r="Z158" s="15">
        <f>IF($C158="","",IF($G158="","",RANK($G158,$G$4:$G$1463)+COUNTIF($G$4:$G158,$G158)-1))</f>
        <v>440</v>
      </c>
      <c r="AA158" s="15">
        <f>IF($C158="","",IF($N158="","",RANK($N158,$N$4:$N$1463)+COUNTIF($N$4:$N158,$N158)-1))</f>
        <v>323</v>
      </c>
      <c r="AB158" s="41" t="str">
        <f>IF($C158="","",IF($E158="","",$E158&amp;"#"&amp;(COUNTIFS($E$4:$E$1463,$E158,$X$4:$X$1463,"&gt;"&amp;$X158)+COUNTIFS($E$4:$E158,$E158,$X$4:$X158,"="&amp;$X158))))</f>
        <v>WIZARD#28</v>
      </c>
      <c r="AC158" s="41" t="str">
        <f>IF($C158="","",$B158&amp;"@"&amp;(COUNTIFS($B$4:$B$1463,$B158,$C$4:$C$1463,"&lt;"&amp;$C158)+COUNTIFS($B$4:$B158,$B158,$C$4:$C158,$C158)))</f>
        <v>ACHERON@9</v>
      </c>
      <c r="AD158" s="41">
        <f t="shared" si="14"/>
        <v>155</v>
      </c>
      <c r="AE158" s="41" t="s">
        <v>828</v>
      </c>
      <c r="AF158" s="73">
        <f t="shared" si="15"/>
        <v>62966</v>
      </c>
      <c r="AG158" s="74">
        <f t="shared" si="16"/>
        <v>7.25</v>
      </c>
      <c r="AH158" s="41" t="str">
        <f>IF($C158="","",$B158&amp;"|"&amp;(COUNTIFS($B$4:$B$1463,$B158,$AF$4:$AF$1463,"&gt;"&amp;$AF158)+COUNTIFS($B$4:$B158,$B158,$AF$4:$AF158,"="&amp;$AF158)))</f>
        <v>ACHERON|35</v>
      </c>
      <c r="AI158" s="41" t="str">
        <f>IF($C158="","",$B158&amp;"|"&amp;(COUNTIFS($B$4:$B$1463,$B158,$AG$4:$AG$1463,"&gt;"&amp;$AG158)+COUNTIFS($B$4:$B158,$B158,$AG$4:$AG158,"="&amp;$AG158)))</f>
        <v>ACHERON|8</v>
      </c>
    </row>
    <row r="159" spans="1:35" hidden="1">
      <c r="A159" s="69" t="s">
        <v>109</v>
      </c>
      <c r="B159" s="69" t="s">
        <v>115</v>
      </c>
      <c r="C159" s="63" t="s">
        <v>829</v>
      </c>
      <c r="D159" s="69"/>
      <c r="E159" s="68" t="s">
        <v>79</v>
      </c>
      <c r="F159" s="19" t="str">
        <f>IF($C159="","",IF($E159="","-",IFERROR(INDEX(SETUP!$B$55:$B$64,MATCH($E159,SETUP!$A$55:$A$64,0)),"Other")))</f>
        <v>Control</v>
      </c>
      <c r="G159" s="70">
        <v>59616</v>
      </c>
      <c r="H159" s="19" t="str">
        <f>IF($C159="","",IF($G159="","-",INDEX(SETUP!$B$26:$B$32,MATCH($G159,SETUP!$A$26:$A$32,1))))</f>
        <v>58,000 - 59,999</v>
      </c>
      <c r="I159" s="70">
        <v>1060</v>
      </c>
      <c r="J159" s="19" t="str">
        <f>IF($C159="","",IF($I159="","-",INDEX(SETUP!$B$16:$B$22,MATCH($I159,SETUP!$A$16:$A$22,1))))</f>
        <v>ROOKIE</v>
      </c>
      <c r="K159" s="19" t="str">
        <f>IF($C159="","",IF($I159="","-",TEXT(INT($I159/1000)*1000,"#,##0")&amp;" - "&amp;TEXT(INT($I159/1000)*1000+999,"#,##0")))</f>
        <v>1,000 - 1,999</v>
      </c>
      <c r="L159" s="71">
        <v>2.5</v>
      </c>
      <c r="M159" s="19" t="str">
        <f>IF($C159="","",IF($L159="","-",INDEX(SETUP!$B$36:$B$42,MATCH($L159,SETUP!$A$36:$A$42,1))))</f>
        <v>Under 3k</v>
      </c>
      <c r="N159" s="21">
        <f>IF($C159="","",IF(OR($G159="",$I159=""),"",ROUND(100*(SETUP!$B$4*MIN(1,$I159/SETUP!$B$9)+SETUP!$B$5*MAX(0,MIN(1,($G159-SETUP!$B$10)/(SETUP!$B$11-SETUP!$B$10)))+SETUP!$B$6*MIN(1,IF($L159="",0,$L159)/SETUP!$B$12)),1)))</f>
        <v>20.9</v>
      </c>
      <c r="O159" s="19" t="str">
        <f>IF($C159="","",IF($N159="","-",INDEX(SETUP!$B$46:$B$51,MATCH($N159,SETUP!$A$46:$A$51,1))))</f>
        <v>C</v>
      </c>
      <c r="P159" s="19">
        <f>IF($C159="","",IF($I159="","",RANK($I159,$I$4:$I$1463)+COUNTIF($I$4:$I159,$I159)-1))</f>
        <v>1263</v>
      </c>
      <c r="Q159" s="19">
        <f>IF($C159="","",COUNTIFS($B$4:$B$1463,$B159,$X$4:$X$1463,"&gt;"&amp;$X159)+COUNTIFS($B$4:$B159,$B159,$X$4:$X159,"="&amp;$X159))</f>
        <v>60</v>
      </c>
      <c r="R159" s="75">
        <f>IF($C159="","",IF($I159="","",ROUND(COUNTIF($I$4:$I$1463,"&lt;"&amp;$I159)/COUNT($I$4:$I$1463),3)))</f>
        <v>4.5999999999999999E-2</v>
      </c>
      <c r="S159" s="19" t="str">
        <f>IF($C159="","",IF($G159="","Name only",IF(OR($I159="",$L159=""),"Partial","Complete")))</f>
        <v>Complete</v>
      </c>
      <c r="T159" s="1" t="str">
        <f>IF($C159="","",TRIM(IF(COUNTIF($C$4:$C$1463,$C159)&gt;1,"Dup name; ","")&amp;IF(AND($G159&lt;&gt;"",$G159&lt;55000),"Low CR - verify; ","")&amp;IF(AND($L159&lt;&gt;"",$L159&gt;15),"Secondary - verify; ","")&amp;IF($E159="","No class; ","")))</f>
        <v/>
      </c>
      <c r="U159" s="68"/>
      <c r="V159" s="68"/>
      <c r="W159" s="68"/>
      <c r="X159" s="76">
        <f t="shared" si="12"/>
        <v>1060</v>
      </c>
      <c r="Y159" s="1" t="str">
        <f t="shared" si="13"/>
        <v>SUB ROSA|60</v>
      </c>
      <c r="Z159" s="19">
        <f>IF($C159="","",IF($G159="","",RANK($G159,$G$4:$G$1463)+COUNTIF($G$4:$G159,$G159)-1))</f>
        <v>1258</v>
      </c>
      <c r="AA159" s="19">
        <f>IF($C159="","",IF($N159="","",RANK($N159,$N$4:$N$1463)+COUNTIF($N$4:$N159,$N159)-1))</f>
        <v>1287</v>
      </c>
      <c r="AB159" s="1" t="str">
        <f>IF($C159="","",IF($E159="","",$E159&amp;"#"&amp;(COUNTIFS($E$4:$E$1463,$E159,$X$4:$X$1463,"&gt;"&amp;$X159)+COUNTIFS($E$4:$E159,$E159,$X$4:$X159,"="&amp;$X159))))</f>
        <v>WARLOCK#311</v>
      </c>
      <c r="AC159" s="1" t="str">
        <f>IF($C159="","",$B159&amp;"@"&amp;(COUNTIFS($B$4:$B$1463,$B159,$C$4:$C$1463,"&lt;"&amp;$C159)+COUNTIFS($B$4:$B159,$B159,$C$4:$C159,$C159)))</f>
        <v>SUB ROSA@11</v>
      </c>
      <c r="AD159" s="1">
        <f t="shared" si="14"/>
        <v>156</v>
      </c>
      <c r="AE159" s="1" t="s">
        <v>830</v>
      </c>
      <c r="AF159" s="76">
        <f t="shared" si="15"/>
        <v>59616</v>
      </c>
      <c r="AG159" s="77">
        <f t="shared" si="16"/>
        <v>2.5</v>
      </c>
      <c r="AH159" s="1" t="str">
        <f>IF($C159="","",$B159&amp;"|"&amp;(COUNTIFS($B$4:$B$1463,$B159,$AF$4:$AF$1463,"&gt;"&amp;$AF159)+COUNTIFS($B$4:$B159,$B159,$AF$4:$AF159,"="&amp;$AF159)))</f>
        <v>SUB ROSA|60</v>
      </c>
      <c r="AI159" s="1" t="str">
        <f>IF($C159="","",$B159&amp;"|"&amp;(COUNTIFS($B$4:$B$1463,$B159,$AG$4:$AG$1463,"&gt;"&amp;$AG159)+COUNTIFS($B$4:$B159,$B159,$AG$4:$AG159,"="&amp;$AG159)))</f>
        <v>SUB ROSA|64</v>
      </c>
    </row>
    <row r="160" spans="1:35" hidden="1">
      <c r="A160" s="69" t="s">
        <v>106</v>
      </c>
      <c r="B160" s="69" t="s">
        <v>86</v>
      </c>
      <c r="C160" s="63" t="s">
        <v>831</v>
      </c>
      <c r="D160" s="69"/>
      <c r="E160" s="68" t="s">
        <v>75</v>
      </c>
      <c r="F160" s="15" t="str">
        <f>IF($C160="","",IF($E160="","-",IFERROR(INDEX(SETUP!$B$55:$B$64,MATCH($E160,SETUP!$A$55:$A$64,0)),"Other")))</f>
        <v>Support</v>
      </c>
      <c r="G160" s="70">
        <v>63120</v>
      </c>
      <c r="H160" s="15" t="str">
        <f>IF($C160="","",IF($G160="","-",INDEX(SETUP!$B$26:$B$32,MATCH($G160,SETUP!$A$26:$A$32,1))))</f>
        <v>63,000 - 63,999</v>
      </c>
      <c r="I160" s="70">
        <v>4507</v>
      </c>
      <c r="J160" s="15" t="str">
        <f>IF($C160="","",IF($I160="","-",INDEX(SETUP!$B$16:$B$22,MATCH($I160,SETUP!$A$16:$A$22,1))))</f>
        <v>CORE</v>
      </c>
      <c r="K160" s="15" t="str">
        <f>IF($C160="","",IF($I160="","-",TEXT(INT($I160/1000)*1000,"#,##0")&amp;" - "&amp;TEXT(INT($I160/1000)*1000+999,"#,##0")))</f>
        <v>4,000 - 4,999</v>
      </c>
      <c r="L160" s="71">
        <v>6.07</v>
      </c>
      <c r="M160" s="15" t="str">
        <f>IF($C160="","",IF($L160="","-",INDEX(SETUP!$B$36:$B$42,MATCH($L160,SETUP!$A$36:$A$42,1))))</f>
        <v>6k - 8k</v>
      </c>
      <c r="N160" s="17">
        <f>IF($C160="","",IF(OR($G160="",$I160=""),"",ROUND(100*(SETUP!$B$4*MIN(1,$I160/SETUP!$B$9)+SETUP!$B$5*MAX(0,MIN(1,($G160-SETUP!$B$10)/(SETUP!$B$11-SETUP!$B$10)))+SETUP!$B$6*MIN(1,IF($L160="",0,$L160)/SETUP!$B$12)),1)))</f>
        <v>51.2</v>
      </c>
      <c r="O160" s="15" t="str">
        <f>IF($C160="","",IF($N160="","-",INDEX(SETUP!$B$46:$B$51,MATCH($N160,SETUP!$A$46:$A$51,1))))</f>
        <v>A</v>
      </c>
      <c r="P160" s="15">
        <f>IF($C160="","",IF($I160="","",RANK($I160,$I$4:$I$1463)+COUNTIF($I$4:$I160,$I160)-1))</f>
        <v>495</v>
      </c>
      <c r="Q160" s="15">
        <f>IF($C160="","",COUNTIFS($B$4:$B$1463,$B160,$X$4:$X$1463,"&gt;"&amp;$X160)+COUNTIFS($B$4:$B160,$B160,$X$4:$X160,"="&amp;$X160))</f>
        <v>74</v>
      </c>
      <c r="R160" s="72">
        <f>IF($C160="","",IF($I160="","",ROUND(COUNTIF($I$4:$I$1463,"&lt;"&amp;$I160)/COUNT($I$4:$I$1463),3)))</f>
        <v>0.626</v>
      </c>
      <c r="S160" s="15" t="str">
        <f>IF($C160="","",IF($G160="","Name only",IF(OR($I160="",$L160=""),"Partial","Complete")))</f>
        <v>Complete</v>
      </c>
      <c r="T160" s="41" t="str">
        <f>IF($C160="","",TRIM(IF(COUNTIF($C$4:$C$1463,$C160)&gt;1,"Dup name; ","")&amp;IF(AND($G160&lt;&gt;"",$G160&lt;55000),"Low CR - verify; ","")&amp;IF(AND($L160&lt;&gt;"",$L160&gt;15),"Secondary - verify; ","")&amp;IF($E160="","No class; ","")))</f>
        <v/>
      </c>
      <c r="U160" s="68"/>
      <c r="V160" s="68"/>
      <c r="W160" s="68"/>
      <c r="X160" s="73">
        <f t="shared" si="12"/>
        <v>4507</v>
      </c>
      <c r="Y160" s="41" t="str">
        <f t="shared" si="13"/>
        <v>VANGUARD|74</v>
      </c>
      <c r="Z160" s="15">
        <f>IF($C160="","",IF($G160="","",RANK($G160,$G$4:$G$1463)+COUNTIF($G$4:$G160,$G160)-1))</f>
        <v>362</v>
      </c>
      <c r="AA160" s="15">
        <f>IF($C160="","",IF($N160="","",RANK($N160,$N$4:$N$1463)+COUNTIF($N$4:$N160,$N160)-1))</f>
        <v>415</v>
      </c>
      <c r="AB160" s="41" t="str">
        <f>IF($C160="","",IF($E160="","",$E160&amp;"#"&amp;(COUNTIFS($E$4:$E$1463,$E160,$X$4:$X$1463,"&gt;"&amp;$X160)+COUNTIFS($E$4:$E160,$E160,$X$4:$X160,"="&amp;$X160))))</f>
        <v>DRUID#25</v>
      </c>
      <c r="AC160" s="41" t="str">
        <f>IF($C160="","",$B160&amp;"@"&amp;(COUNTIFS($B$4:$B$1463,$B160,$C$4:$C$1463,"&lt;"&amp;$C160)+COUNTIFS($B$4:$B160,$B160,$C$4:$C160,$C160)))</f>
        <v>VANGUARD@16</v>
      </c>
      <c r="AD160" s="41">
        <f t="shared" si="14"/>
        <v>157</v>
      </c>
      <c r="AE160" s="41" t="s">
        <v>832</v>
      </c>
      <c r="AF160" s="73">
        <f t="shared" si="15"/>
        <v>63120</v>
      </c>
      <c r="AG160" s="74">
        <f t="shared" si="16"/>
        <v>6.07</v>
      </c>
      <c r="AH160" s="41" t="str">
        <f>IF($C160="","",$B160&amp;"|"&amp;(COUNTIFS($B$4:$B$1463,$B160,$AF$4:$AF$1463,"&gt;"&amp;$AF160)+COUNTIFS($B$4:$B160,$B160,$AF$4:$AF160,"="&amp;$AF160)))</f>
        <v>VANGUARD|59</v>
      </c>
      <c r="AI160" s="41" t="str">
        <f>IF($C160="","",$B160&amp;"|"&amp;(COUNTIFS($B$4:$B$1463,$B160,$AG$4:$AG$1463,"&gt;"&amp;$AG160)+COUNTIFS($B$4:$B160,$B160,$AG$4:$AG160,"="&amp;$AG160)))</f>
        <v>VANGUARD|42</v>
      </c>
    </row>
    <row r="161" spans="1:35" hidden="1">
      <c r="A161" s="69" t="s">
        <v>109</v>
      </c>
      <c r="B161" s="69" t="s">
        <v>108</v>
      </c>
      <c r="C161" s="63" t="s">
        <v>833</v>
      </c>
      <c r="D161" s="69"/>
      <c r="E161" s="68" t="s">
        <v>74</v>
      </c>
      <c r="F161" s="19" t="str">
        <f>IF($C161="","",IF($E161="","-",IFERROR(INDEX(SETUP!$B$55:$B$64,MATCH($E161,SETUP!$A$55:$A$64,0)),"Other")))</f>
        <v>Ranged DPS</v>
      </c>
      <c r="G161" s="70">
        <v>63783</v>
      </c>
      <c r="H161" s="19" t="str">
        <f>IF($C161="","",IF($G161="","-",INDEX(SETUP!$B$26:$B$32,MATCH($G161,SETUP!$A$26:$A$32,1))))</f>
        <v>63,000 - 63,999</v>
      </c>
      <c r="I161" s="70">
        <v>8618</v>
      </c>
      <c r="J161" s="19" t="str">
        <f>IF($C161="","",IF($I161="","-",INDEX(SETUP!$B$16:$B$22,MATCH($I161,SETUP!$A$16:$A$22,1))))</f>
        <v>ELITE</v>
      </c>
      <c r="K161" s="19" t="str">
        <f>IF($C161="","",IF($I161="","-",TEXT(INT($I161/1000)*1000,"#,##0")&amp;" - "&amp;TEXT(INT($I161/1000)*1000+999,"#,##0")))</f>
        <v>8,000 - 8,999</v>
      </c>
      <c r="L161" s="71">
        <v>7.75</v>
      </c>
      <c r="M161" s="19" t="str">
        <f>IF($C161="","",IF($L161="","-",INDEX(SETUP!$B$36:$B$42,MATCH($L161,SETUP!$A$36:$A$42,1))))</f>
        <v>6k - 8k</v>
      </c>
      <c r="N161" s="21">
        <f>IF($C161="","",IF(OR($G161="",$I161=""),"",ROUND(100*(SETUP!$B$4*MIN(1,$I161/SETUP!$B$9)+SETUP!$B$5*MAX(0,MIN(1,($G161-SETUP!$B$10)/(SETUP!$B$11-SETUP!$B$10)))+SETUP!$B$6*MIN(1,IF($L161="",0,$L161)/SETUP!$B$12)),1)))</f>
        <v>73.599999999999994</v>
      </c>
      <c r="O161" s="19" t="str">
        <f>IF($C161="","",IF($N161="","-",INDEX(SETUP!$B$46:$B$51,MATCH($N161,SETUP!$A$46:$A$51,1))))</f>
        <v>S</v>
      </c>
      <c r="P161" s="19">
        <f>IF($C161="","",IF($I161="","",RANK($I161,$I$4:$I$1463)+COUNTIF($I$4:$I161,$I161)-1))</f>
        <v>115</v>
      </c>
      <c r="Q161" s="19">
        <f>IF($C161="","",COUNTIFS($B$4:$B$1463,$B161,$X$4:$X$1463,"&gt;"&amp;$X161)+COUNTIFS($B$4:$B161,$B161,$X$4:$X161,"="&amp;$X161))</f>
        <v>18</v>
      </c>
      <c r="R161" s="75">
        <f>IF($C161="","",IF($I161="","",ROUND(COUNTIF($I$4:$I$1463,"&lt;"&amp;$I161)/COUNT($I$4:$I$1463),3)))</f>
        <v>0.91300000000000003</v>
      </c>
      <c r="S161" s="19" t="str">
        <f>IF($C161="","",IF($G161="","Name only",IF(OR($I161="",$L161=""),"Partial","Complete")))</f>
        <v>Complete</v>
      </c>
      <c r="T161" s="1" t="str">
        <f>IF($C161="","",TRIM(IF(COUNTIF($C$4:$C$1463,$C161)&gt;1,"Dup name; ","")&amp;IF(AND($G161&lt;&gt;"",$G161&lt;55000),"Low CR - verify; ","")&amp;IF(AND($L161&lt;&gt;"",$L161&gt;15),"Secondary - verify; ","")&amp;IF($E161="","No class; ","")))</f>
        <v/>
      </c>
      <c r="U161" s="68"/>
      <c r="V161" s="68"/>
      <c r="W161" s="68"/>
      <c r="X161" s="76">
        <f t="shared" si="12"/>
        <v>8618</v>
      </c>
      <c r="Y161" s="1" t="str">
        <f t="shared" si="13"/>
        <v>SBG|18</v>
      </c>
      <c r="Z161" s="19">
        <f>IF($C161="","",IF($G161="","",RANK($G161,$G$4:$G$1463)+COUNTIF($G$4:$G161,$G161)-1))</f>
        <v>119</v>
      </c>
      <c r="AA161" s="19">
        <f>IF($C161="","",IF($N161="","",RANK($N161,$N$4:$N$1463)+COUNTIF($N$4:$N161,$N161)-1))</f>
        <v>98</v>
      </c>
      <c r="AB161" s="1" t="str">
        <f>IF($C161="","",IF($E161="","",$E161&amp;"#"&amp;(COUNTIFS($E$4:$E$1463,$E161,$X$4:$X$1463,"&gt;"&amp;$X161)+COUNTIFS($E$4:$E161,$E161,$X$4:$X161,"="&amp;$X161))))</f>
        <v>DEMON HUNTER#22</v>
      </c>
      <c r="AC161" s="1" t="str">
        <f>IF($C161="","",$B161&amp;"@"&amp;(COUNTIFS($B$4:$B$1463,$B161,$C$4:$C$1463,"&lt;"&amp;$C161)+COUNTIFS($B$4:$B161,$B161,$C$4:$C161,$C161)))</f>
        <v>SBG@6</v>
      </c>
      <c r="AD161" s="1">
        <f t="shared" si="14"/>
        <v>158</v>
      </c>
      <c r="AE161" s="1" t="s">
        <v>834</v>
      </c>
      <c r="AF161" s="76">
        <f t="shared" si="15"/>
        <v>63783</v>
      </c>
      <c r="AG161" s="77">
        <f t="shared" si="16"/>
        <v>7.75</v>
      </c>
      <c r="AH161" s="1" t="str">
        <f>IF($C161="","",$B161&amp;"|"&amp;(COUNTIFS($B$4:$B$1463,$B161,$AF$4:$AF$1463,"&gt;"&amp;$AF161)+COUNTIFS($B$4:$B161,$B161,$AF$4:$AF161,"="&amp;$AF161)))</f>
        <v>SBG|20</v>
      </c>
      <c r="AI161" s="1" t="str">
        <f>IF($C161="","",$B161&amp;"|"&amp;(COUNTIFS($B$4:$B$1463,$B161,$AG$4:$AG$1463,"&gt;"&amp;$AG161)+COUNTIFS($B$4:$B161,$B161,$AG$4:$AG161,"="&amp;$AG161)))</f>
        <v>SBG|16</v>
      </c>
    </row>
    <row r="162" spans="1:35" hidden="1">
      <c r="A162" s="69" t="s">
        <v>109</v>
      </c>
      <c r="B162" s="69" t="s">
        <v>114</v>
      </c>
      <c r="C162" s="63" t="s">
        <v>835</v>
      </c>
      <c r="D162" s="69"/>
      <c r="E162" s="68" t="s">
        <v>79</v>
      </c>
      <c r="F162" s="15" t="str">
        <f>IF($C162="","",IF($E162="","-",IFERROR(INDEX(SETUP!$B$55:$B$64,MATCH($E162,SETUP!$A$55:$A$64,0)),"Other")))</f>
        <v>Control</v>
      </c>
      <c r="G162" s="70">
        <v>62822</v>
      </c>
      <c r="H162" s="15" t="str">
        <f>IF($C162="","",IF($G162="","-",INDEX(SETUP!$B$26:$B$32,MATCH($G162,SETUP!$A$26:$A$32,1))))</f>
        <v>62,000 - 62,999</v>
      </c>
      <c r="I162" s="70">
        <v>2180</v>
      </c>
      <c r="J162" s="15" t="str">
        <f>IF($C162="","",IF($I162="","-",INDEX(SETUP!$B$16:$B$22,MATCH($I162,SETUP!$A$16:$A$22,1))))</f>
        <v>DEVELOPING</v>
      </c>
      <c r="K162" s="15" t="str">
        <f>IF($C162="","",IF($I162="","-",TEXT(INT($I162/1000)*1000,"#,##0")&amp;" - "&amp;TEXT(INT($I162/1000)*1000+999,"#,##0")))</f>
        <v>2,000 - 2,999</v>
      </c>
      <c r="L162" s="71">
        <v>5.0999999999999996</v>
      </c>
      <c r="M162" s="15" t="str">
        <f>IF($C162="","",IF($L162="","-",INDEX(SETUP!$B$36:$B$42,MATCH($L162,SETUP!$A$36:$A$42,1))))</f>
        <v>5k - 6k</v>
      </c>
      <c r="N162" s="17">
        <f>IF($C162="","",IF(OR($G162="",$I162=""),"",ROUND(100*(SETUP!$B$4*MIN(1,$I162/SETUP!$B$9)+SETUP!$B$5*MAX(0,MIN(1,($G162-SETUP!$B$10)/(SETUP!$B$11-SETUP!$B$10)))+SETUP!$B$6*MIN(1,IF($L162="",0,$L162)/SETUP!$B$12)),1)))</f>
        <v>38.6</v>
      </c>
      <c r="O162" s="15" t="str">
        <f>IF($C162="","",IF($N162="","-",INDEX(SETUP!$B$46:$B$51,MATCH($N162,SETUP!$A$46:$A$51,1))))</f>
        <v>B</v>
      </c>
      <c r="P162" s="15">
        <f>IF($C162="","",IF($I162="","",RANK($I162,$I$4:$I$1463)+COUNTIF($I$4:$I162,$I162)-1))</f>
        <v>1071</v>
      </c>
      <c r="Q162" s="15">
        <f>IF($C162="","",COUNTIFS($B$4:$B$1463,$B162,$X$4:$X$1463,"&gt;"&amp;$X162)+COUNTIFS($B$4:$B162,$B162,$X$4:$X162,"="&amp;$X162))</f>
        <v>49</v>
      </c>
      <c r="R162" s="72">
        <f>IF($C162="","",IF($I162="","",ROUND(COUNTIF($I$4:$I$1463,"&lt;"&amp;$I162)/COUNT($I$4:$I$1463),3)))</f>
        <v>0.192</v>
      </c>
      <c r="S162" s="15" t="str">
        <f>IF($C162="","",IF($G162="","Name only",IF(OR($I162="",$L162=""),"Partial","Complete")))</f>
        <v>Complete</v>
      </c>
      <c r="T162" s="41" t="str">
        <f>IF($C162="","",TRIM(IF(COUNTIF($C$4:$C$1463,$C162)&gt;1,"Dup name; ","")&amp;IF(AND($G162&lt;&gt;"",$G162&lt;55000),"Low CR - verify; ","")&amp;IF(AND($L162&lt;&gt;"",$L162&gt;15),"Secondary - verify; ","")&amp;IF($E162="","No class; ","")))</f>
        <v/>
      </c>
      <c r="U162" s="68"/>
      <c r="V162" s="68"/>
      <c r="W162" s="68"/>
      <c r="X162" s="73">
        <f t="shared" si="12"/>
        <v>2180</v>
      </c>
      <c r="Y162" s="41" t="str">
        <f t="shared" si="13"/>
        <v>EMERALD LEAF TRIBE|49</v>
      </c>
      <c r="Z162" s="15">
        <f>IF($C162="","",IF($G162="","",RANK($G162,$G$4:$G$1463)+COUNTIF($G$4:$G162,$G162)-1))</f>
        <v>509</v>
      </c>
      <c r="AA162" s="15">
        <f>IF($C162="","",IF($N162="","",RANK($N162,$N$4:$N$1463)+COUNTIF($N$4:$N162,$N162)-1))</f>
        <v>873</v>
      </c>
      <c r="AB162" s="41" t="str">
        <f>IF($C162="","",IF($E162="","",$E162&amp;"#"&amp;(COUNTIFS($E$4:$E$1463,$E162,$X$4:$X$1463,"&gt;"&amp;$X162)+COUNTIFS($E$4:$E162,$E162,$X$4:$X162,"="&amp;$X162))))</f>
        <v>WARLOCK#267</v>
      </c>
      <c r="AC162" s="41" t="str">
        <f>IF($C162="","",$B162&amp;"@"&amp;(COUNTIFS($B$4:$B$1463,$B162,$C$4:$C$1463,"&lt;"&amp;$C162)+COUNTIFS($B$4:$B162,$B162,$C$4:$C162,$C162)))</f>
        <v>EMERALD LEAF TRIBE@9</v>
      </c>
      <c r="AD162" s="41">
        <f t="shared" si="14"/>
        <v>159</v>
      </c>
      <c r="AE162" s="41" t="s">
        <v>836</v>
      </c>
      <c r="AF162" s="73">
        <f t="shared" si="15"/>
        <v>62822</v>
      </c>
      <c r="AG162" s="74">
        <f t="shared" si="16"/>
        <v>5.0999999999999996</v>
      </c>
      <c r="AH162" s="41" t="str">
        <f>IF($C162="","",$B162&amp;"|"&amp;(COUNTIFS($B$4:$B$1463,$B162,$AF$4:$AF$1463,"&gt;"&amp;$AF162)+COUNTIFS($B$4:$B162,$B162,$AF$4:$AF162,"="&amp;$AF162)))</f>
        <v>EMERALD LEAF TRIBE|12</v>
      </c>
      <c r="AI162" s="41" t="str">
        <f>IF($C162="","",$B162&amp;"|"&amp;(COUNTIFS($B$4:$B$1463,$B162,$AG$4:$AG$1463,"&gt;"&amp;$AG162)+COUNTIFS($B$4:$B162,$B162,$AG$4:$AG162,"="&amp;$AG162)))</f>
        <v>EMERALD LEAF TRIBE|5</v>
      </c>
    </row>
    <row r="163" spans="1:35" hidden="1">
      <c r="A163" s="69" t="s">
        <v>109</v>
      </c>
      <c r="B163" s="69" t="s">
        <v>113</v>
      </c>
      <c r="C163" s="63" t="s">
        <v>837</v>
      </c>
      <c r="D163" s="69" t="s">
        <v>548</v>
      </c>
      <c r="E163" s="68" t="s">
        <v>71</v>
      </c>
      <c r="F163" s="19" t="str">
        <f>IF($C163="","",IF($E163="","-",IFERROR(INDEX(SETUP!$B$55:$B$64,MATCH($E163,SETUP!$A$55:$A$64,0)),"Other")))</f>
        <v>Frontline</v>
      </c>
      <c r="G163" s="70">
        <v>63371</v>
      </c>
      <c r="H163" s="19" t="str">
        <f>IF($C163="","",IF($G163="","-",INDEX(SETUP!$B$26:$B$32,MATCH($G163,SETUP!$A$26:$A$32,1))))</f>
        <v>63,000 - 63,999</v>
      </c>
      <c r="I163" s="70">
        <v>4802</v>
      </c>
      <c r="J163" s="19" t="str">
        <f>IF($C163="","",IF($I163="","-",INDEX(SETUP!$B$16:$B$22,MATCH($I163,SETUP!$A$16:$A$22,1))))</f>
        <v>CORE</v>
      </c>
      <c r="K163" s="19" t="str">
        <f>IF($C163="","",IF($I163="","-",TEXT(INT($I163/1000)*1000,"#,##0")&amp;" - "&amp;TEXT(INT($I163/1000)*1000+999,"#,##0")))</f>
        <v>4,000 - 4,999</v>
      </c>
      <c r="L163" s="71">
        <v>6.4</v>
      </c>
      <c r="M163" s="19" t="str">
        <f>IF($C163="","",IF($L163="","-",INDEX(SETUP!$B$36:$B$42,MATCH($L163,SETUP!$A$36:$A$42,1))))</f>
        <v>6k - 8k</v>
      </c>
      <c r="N163" s="21">
        <f>IF($C163="","",IF(OR($G163="",$I163=""),"",ROUND(100*(SETUP!$B$4*MIN(1,$I163/SETUP!$B$9)+SETUP!$B$5*MAX(0,MIN(1,($G163-SETUP!$B$10)/(SETUP!$B$11-SETUP!$B$10)))+SETUP!$B$6*MIN(1,IF($L163="",0,$L163)/SETUP!$B$12)),1)))</f>
        <v>53.7</v>
      </c>
      <c r="O163" s="19" t="str">
        <f>IF($C163="","",IF($N163="","-",INDEX(SETUP!$B$46:$B$51,MATCH($N163,SETUP!$A$46:$A$51,1))))</f>
        <v>A</v>
      </c>
      <c r="P163" s="19">
        <f>IF($C163="","",IF($I163="","",RANK($I163,$I$4:$I$1463)+COUNTIF($I$4:$I163,$I163)-1))</f>
        <v>439</v>
      </c>
      <c r="Q163" s="19">
        <f>IF($C163="","",COUNTIFS($B$4:$B$1463,$B163,$X$4:$X$1463,"&gt;"&amp;$X163)+COUNTIFS($B$4:$B163,$B163,$X$4:$X163,"="&amp;$X163))</f>
        <v>19</v>
      </c>
      <c r="R163" s="75">
        <f>IF($C163="","",IF($I163="","",ROUND(COUNTIF($I$4:$I$1463,"&lt;"&amp;$I163)/COUNT($I$4:$I$1463),3)))</f>
        <v>0.66900000000000004</v>
      </c>
      <c r="S163" s="19" t="str">
        <f>IF($C163="","",IF($G163="","Name only",IF(OR($I163="",$L163=""),"Partial","Complete")))</f>
        <v>Complete</v>
      </c>
      <c r="T163" s="1" t="str">
        <f>IF($C163="","",TRIM(IF(COUNTIF($C$4:$C$1463,$C163)&gt;1,"Dup name; ","")&amp;IF(AND($G163&lt;&gt;"",$G163&lt;55000),"Low CR - verify; ","")&amp;IF(AND($L163&lt;&gt;"",$L163&gt;15),"Secondary - verify; ","")&amp;IF($E163="","No class; ","")))</f>
        <v/>
      </c>
      <c r="U163" s="68"/>
      <c r="V163" s="68"/>
      <c r="W163" s="68"/>
      <c r="X163" s="76">
        <f t="shared" si="12"/>
        <v>4802</v>
      </c>
      <c r="Y163" s="1" t="str">
        <f t="shared" si="13"/>
        <v>INVICTUS|19</v>
      </c>
      <c r="Z163" s="19">
        <f>IF($C163="","",IF($G163="","",RANK($G163,$G$4:$G$1463)+COUNTIF($G$4:$G163,$G163)-1))</f>
        <v>233</v>
      </c>
      <c r="AA163" s="19">
        <f>IF($C163="","",IF($N163="","",RANK($N163,$N$4:$N$1463)+COUNTIF($N$4:$N163,$N163)-1))</f>
        <v>343</v>
      </c>
      <c r="AB163" s="1" t="str">
        <f>IF($C163="","",IF($E163="","",$E163&amp;"#"&amp;(COUNTIFS($E$4:$E$1463,$E163,$X$4:$X$1463,"&gt;"&amp;$X163)+COUNTIFS($E$4:$E163,$E163,$X$4:$X163,"="&amp;$X163))))</f>
        <v>BARBARIAN#85</v>
      </c>
      <c r="AC163" s="1" t="str">
        <f>IF($C163="","",$B163&amp;"@"&amp;(COUNTIFS($B$4:$B$1463,$B163,$C$4:$C$1463,"&lt;"&amp;$C163)+COUNTIFS($B$4:$B163,$B163,$C$4:$C163,$C163)))</f>
        <v>INVICTUS@12</v>
      </c>
      <c r="AD163" s="1">
        <f t="shared" si="14"/>
        <v>160</v>
      </c>
      <c r="AE163" s="1" t="s">
        <v>838</v>
      </c>
      <c r="AF163" s="76">
        <f t="shared" si="15"/>
        <v>63371</v>
      </c>
      <c r="AG163" s="77">
        <f t="shared" si="16"/>
        <v>6.4</v>
      </c>
      <c r="AH163" s="1" t="str">
        <f>IF($C163="","",$B163&amp;"|"&amp;(COUNTIFS($B$4:$B$1463,$B163,$AF$4:$AF$1463,"&gt;"&amp;$AF163)+COUNTIFS($B$4:$B163,$B163,$AF$4:$AF163,"="&amp;$AF163)))</f>
        <v>INVICTUS|8</v>
      </c>
      <c r="AI163" s="1" t="str">
        <f>IF($C163="","",$B163&amp;"|"&amp;(COUNTIFS($B$4:$B$1463,$B163,$AG$4:$AG$1463,"&gt;"&amp;$AG163)+COUNTIFS($B$4:$B163,$B163,$AG$4:$AG163,"="&amp;$AG163)))</f>
        <v>INVICTUS|6</v>
      </c>
    </row>
    <row r="164" spans="1:35" hidden="1">
      <c r="A164" s="69" t="s">
        <v>109</v>
      </c>
      <c r="B164" s="69" t="s">
        <v>108</v>
      </c>
      <c r="C164" s="63" t="s">
        <v>839</v>
      </c>
      <c r="D164" s="69"/>
      <c r="E164" s="68" t="s">
        <v>73</v>
      </c>
      <c r="F164" s="15" t="str">
        <f>IF($C164="","",IF($E164="","-",IFERROR(INDEX(SETUP!$B$55:$B$64,MATCH($E164,SETUP!$A$55:$A$64,0)),"Other")))</f>
        <v>Frontline</v>
      </c>
      <c r="G164" s="70">
        <v>64284</v>
      </c>
      <c r="H164" s="15" t="str">
        <f>IF($C164="","",IF($G164="","-",INDEX(SETUP!$B$26:$B$32,MATCH($G164,SETUP!$A$26:$A$32,1))))</f>
        <v>64,000 +</v>
      </c>
      <c r="I164" s="70">
        <v>11256</v>
      </c>
      <c r="J164" s="15" t="str">
        <f>IF($C164="","",IF($I164="","-",INDEX(SETUP!$B$16:$B$22,MATCH($I164,SETUP!$A$16:$A$22,1))))</f>
        <v>APEX</v>
      </c>
      <c r="K164" s="15" t="str">
        <f>IF($C164="","",IF($I164="","-",TEXT(INT($I164/1000)*1000,"#,##0")&amp;" - "&amp;TEXT(INT($I164/1000)*1000+999,"#,##0")))</f>
        <v>11,000 - 11,999</v>
      </c>
      <c r="L164" s="71">
        <v>11.1</v>
      </c>
      <c r="M164" s="15" t="str">
        <f>IF($C164="","",IF($L164="","-",INDEX(SETUP!$B$36:$B$42,MATCH($L164,SETUP!$A$36:$A$42,1))))</f>
        <v>10k +</v>
      </c>
      <c r="N164" s="17">
        <f>IF($C164="","",IF(OR($G164="",$I164=""),"",ROUND(100*(SETUP!$B$4*MIN(1,$I164/SETUP!$B$9)+SETUP!$B$5*MAX(0,MIN(1,($G164-SETUP!$B$10)/(SETUP!$B$11-SETUP!$B$10)))+SETUP!$B$6*MIN(1,IF($L164="",0,$L164)/SETUP!$B$12)),1)))</f>
        <v>92.1</v>
      </c>
      <c r="O164" s="15" t="str">
        <f>IF($C164="","",IF($N164="","-",INDEX(SETUP!$B$46:$B$51,MATCH($N164,SETUP!$A$46:$A$51,1))))</f>
        <v>S+</v>
      </c>
      <c r="P164" s="15">
        <f>IF($C164="","",IF($I164="","",RANK($I164,$I$4:$I$1463)+COUNTIF($I$4:$I164,$I164)-1))</f>
        <v>10</v>
      </c>
      <c r="Q164" s="15">
        <f>IF($C164="","",COUNTIFS($B$4:$B$1463,$B164,$X$4:$X$1463,"&gt;"&amp;$X164)+COUNTIFS($B$4:$B164,$B164,$X$4:$X164,"="&amp;$X164))</f>
        <v>3</v>
      </c>
      <c r="R164" s="72">
        <f>IF($C164="","",IF($I164="","",ROUND(COUNTIF($I$4:$I$1463,"&lt;"&amp;$I164)/COUNT($I$4:$I$1463),3)))</f>
        <v>0.99199999999999999</v>
      </c>
      <c r="S164" s="15" t="str">
        <f>IF($C164="","",IF($G164="","Name only",IF(OR($I164="",$L164=""),"Partial","Complete")))</f>
        <v>Complete</v>
      </c>
      <c r="T164" s="41" t="str">
        <f>IF($C164="","",TRIM(IF(COUNTIF($C$4:$C$1463,$C164)&gt;1,"Dup name; ","")&amp;IF(AND($G164&lt;&gt;"",$G164&lt;55000),"Low CR - verify; ","")&amp;IF(AND($L164&lt;&gt;"",$L164&gt;15),"Secondary - verify; ","")&amp;IF($E164="","No class; ","")))</f>
        <v/>
      </c>
      <c r="U164" s="68"/>
      <c r="V164" s="68"/>
      <c r="W164" s="68"/>
      <c r="X164" s="73">
        <f t="shared" si="12"/>
        <v>11256</v>
      </c>
      <c r="Y164" s="41" t="str">
        <f t="shared" si="13"/>
        <v>SBG|3</v>
      </c>
      <c r="Z164" s="15">
        <f>IF($C164="","",IF($G164="","",RANK($G164,$G$4:$G$1463)+COUNTIF($G$4:$G164,$G164)-1))</f>
        <v>25</v>
      </c>
      <c r="AA164" s="15">
        <f>IF($C164="","",IF($N164="","",RANK($N164,$N$4:$N$1463)+COUNTIF($N$4:$N164,$N164)-1))</f>
        <v>6</v>
      </c>
      <c r="AB164" s="41" t="str">
        <f>IF($C164="","",IF($E164="","",$E164&amp;"#"&amp;(COUNTIFS($E$4:$E$1463,$E164,$X$4:$X$1463,"&gt;"&amp;$X164)+COUNTIFS($E$4:$E164,$E164,$X$4:$X164,"="&amp;$X164))))</f>
        <v>CRUSADER#3</v>
      </c>
      <c r="AC164" s="41" t="str">
        <f>IF($C164="","",$B164&amp;"@"&amp;(COUNTIFS($B$4:$B$1463,$B164,$C$4:$C$1463,"&lt;"&amp;$C164)+COUNTIFS($B$4:$B164,$B164,$C$4:$C164,$C164)))</f>
        <v>SBG@7</v>
      </c>
      <c r="AD164" s="41">
        <f t="shared" si="14"/>
        <v>161</v>
      </c>
      <c r="AE164" s="41" t="s">
        <v>840</v>
      </c>
      <c r="AF164" s="73">
        <f t="shared" si="15"/>
        <v>64284</v>
      </c>
      <c r="AG164" s="74">
        <f t="shared" si="16"/>
        <v>11.1</v>
      </c>
      <c r="AH164" s="41" t="str">
        <f>IF($C164="","",$B164&amp;"|"&amp;(COUNTIFS($B$4:$B$1463,$B164,$AF$4:$AF$1463,"&gt;"&amp;$AF164)+COUNTIFS($B$4:$B164,$B164,$AF$4:$AF164,"="&amp;$AF164)))</f>
        <v>SBG|8</v>
      </c>
      <c r="AI164" s="41" t="str">
        <f>IF($C164="","",$B164&amp;"|"&amp;(COUNTIFS($B$4:$B$1463,$B164,$AG$4:$AG$1463,"&gt;"&amp;$AG164)+COUNTIFS($B$4:$B164,$B164,$AG$4:$AG164,"="&amp;$AG164)))</f>
        <v>SBG|2</v>
      </c>
    </row>
    <row r="165" spans="1:35" hidden="1">
      <c r="A165" s="69" t="s">
        <v>109</v>
      </c>
      <c r="B165" s="69" t="s">
        <v>113</v>
      </c>
      <c r="C165" s="63" t="s">
        <v>841</v>
      </c>
      <c r="D165" s="69" t="s">
        <v>548</v>
      </c>
      <c r="E165" s="68" t="s">
        <v>71</v>
      </c>
      <c r="F165" s="19" t="str">
        <f>IF($C165="","",IF($E165="","-",IFERROR(INDEX(SETUP!$B$55:$B$64,MATCH($E165,SETUP!$A$55:$A$64,0)),"Other")))</f>
        <v>Frontline</v>
      </c>
      <c r="G165" s="70">
        <v>59659</v>
      </c>
      <c r="H165" s="19" t="str">
        <f>IF($C165="","",IF($G165="","-",INDEX(SETUP!$B$26:$B$32,MATCH($G165,SETUP!$A$26:$A$32,1))))</f>
        <v>58,000 - 59,999</v>
      </c>
      <c r="I165" s="70">
        <v>1780</v>
      </c>
      <c r="J165" s="19" t="str">
        <f>IF($C165="","",IF($I165="","-",INDEX(SETUP!$B$16:$B$22,MATCH($I165,SETUP!$A$16:$A$22,1))))</f>
        <v>ROOKIE</v>
      </c>
      <c r="K165" s="19" t="str">
        <f>IF($C165="","",IF($I165="","-",TEXT(INT($I165/1000)*1000,"#,##0")&amp;" - "&amp;TEXT(INT($I165/1000)*1000+999,"#,##0")))</f>
        <v>1,000 - 1,999</v>
      </c>
      <c r="L165" s="71">
        <v>2.5</v>
      </c>
      <c r="M165" s="19" t="str">
        <f>IF($C165="","",IF($L165="","-",INDEX(SETUP!$B$36:$B$42,MATCH($L165,SETUP!$A$36:$A$42,1))))</f>
        <v>Under 3k</v>
      </c>
      <c r="N165" s="21">
        <f>IF($C165="","",IF(OR($G165="",$I165=""),"",ROUND(100*(SETUP!$B$4*MIN(1,$I165/SETUP!$B$9)+SETUP!$B$5*MAX(0,MIN(1,($G165-SETUP!$B$10)/(SETUP!$B$11-SETUP!$B$10)))+SETUP!$B$6*MIN(1,IF($L165="",0,$L165)/SETUP!$B$12)),1)))</f>
        <v>24.2</v>
      </c>
      <c r="O165" s="19" t="str">
        <f>IF($C165="","",IF($N165="","-",INDEX(SETUP!$B$46:$B$51,MATCH($N165,SETUP!$A$46:$A$51,1))))</f>
        <v>C</v>
      </c>
      <c r="P165" s="19">
        <f>IF($C165="","",IF($I165="","",RANK($I165,$I$4:$I$1463)+COUNTIF($I$4:$I165,$I165)-1))</f>
        <v>1147</v>
      </c>
      <c r="Q165" s="19">
        <f>IF($C165="","",COUNTIFS($B$4:$B$1463,$B165,$X$4:$X$1463,"&gt;"&amp;$X165)+COUNTIFS($B$4:$B165,$B165,$X$4:$X165,"="&amp;$X165))</f>
        <v>86</v>
      </c>
      <c r="R165" s="75">
        <f>IF($C165="","",IF($I165="","",ROUND(COUNTIF($I$4:$I$1463,"&lt;"&amp;$I165)/COUNT($I$4:$I$1463),3)))</f>
        <v>0.13200000000000001</v>
      </c>
      <c r="S165" s="19" t="str">
        <f>IF($C165="","",IF($G165="","Name only",IF(OR($I165="",$L165=""),"Partial","Complete")))</f>
        <v>Complete</v>
      </c>
      <c r="T165" s="1" t="str">
        <f>IF($C165="","",TRIM(IF(COUNTIF($C$4:$C$1463,$C165)&gt;1,"Dup name; ","")&amp;IF(AND($G165&lt;&gt;"",$G165&lt;55000),"Low CR - verify; ","")&amp;IF(AND($L165&lt;&gt;"",$L165&gt;15),"Secondary - verify; ","")&amp;IF($E165="","No class; ","")))</f>
        <v/>
      </c>
      <c r="U165" s="68"/>
      <c r="V165" s="68"/>
      <c r="W165" s="68"/>
      <c r="X165" s="76">
        <f t="shared" si="12"/>
        <v>1780</v>
      </c>
      <c r="Y165" s="1" t="str">
        <f t="shared" si="13"/>
        <v>INVICTUS|86</v>
      </c>
      <c r="Z165" s="19">
        <f>IF($C165="","",IF($G165="","",RANK($G165,$G$4:$G$1463)+COUNTIF($G$4:$G165,$G165)-1))</f>
        <v>1256</v>
      </c>
      <c r="AA165" s="19">
        <f>IF($C165="","",IF($N165="","",RANK($N165,$N$4:$N$1463)+COUNTIF($N$4:$N165,$N165)-1))</f>
        <v>1255</v>
      </c>
      <c r="AB165" s="1" t="str">
        <f>IF($C165="","",IF($E165="","",$E165&amp;"#"&amp;(COUNTIFS($E$4:$E$1463,$E165,$X$4:$X$1463,"&gt;"&amp;$X165)+COUNTIFS($E$4:$E165,$E165,$X$4:$X165,"="&amp;$X165))))</f>
        <v>BARBARIAN#197</v>
      </c>
      <c r="AC165" s="1" t="str">
        <f>IF($C165="","",$B165&amp;"@"&amp;(COUNTIFS($B$4:$B$1463,$B165,$C$4:$C$1463,"&lt;"&amp;$C165)+COUNTIFS($B$4:$B165,$B165,$C$4:$C165,$C165)))</f>
        <v>INVICTUS@13</v>
      </c>
      <c r="AD165" s="1">
        <f t="shared" si="14"/>
        <v>162</v>
      </c>
      <c r="AE165" s="1" t="s">
        <v>842</v>
      </c>
      <c r="AF165" s="76">
        <f t="shared" si="15"/>
        <v>59659</v>
      </c>
      <c r="AG165" s="77">
        <f t="shared" si="16"/>
        <v>2.5</v>
      </c>
      <c r="AH165" s="1" t="str">
        <f>IF($C165="","",$B165&amp;"|"&amp;(COUNTIFS($B$4:$B$1463,$B165,$AF$4:$AF$1463,"&gt;"&amp;$AF165)+COUNTIFS($B$4:$B165,$B165,$AF$4:$AF165,"="&amp;$AF165)))</f>
        <v>INVICTUS|94</v>
      </c>
      <c r="AI165" s="1" t="str">
        <f>IF($C165="","",$B165&amp;"|"&amp;(COUNTIFS($B$4:$B$1463,$B165,$AG$4:$AG$1463,"&gt;"&amp;$AG165)+COUNTIFS($B$4:$B165,$B165,$AG$4:$AG165,"="&amp;$AG165)))</f>
        <v>INVICTUS|98</v>
      </c>
    </row>
    <row r="166" spans="1:35" hidden="1">
      <c r="A166" s="69" t="s">
        <v>109</v>
      </c>
      <c r="B166" s="69" t="s">
        <v>117</v>
      </c>
      <c r="C166" s="63" t="s">
        <v>843</v>
      </c>
      <c r="D166" s="69"/>
      <c r="E166" s="68" t="s">
        <v>80</v>
      </c>
      <c r="F166" s="15" t="str">
        <f>IF($C166="","",IF($E166="","-",IFERROR(INDEX(SETUP!$B$55:$B$64,MATCH($E166,SETUP!$A$55:$A$64,0)),"Other")))</f>
        <v>Ranged DPS</v>
      </c>
      <c r="G166" s="70">
        <v>62554</v>
      </c>
      <c r="H166" s="15" t="str">
        <f>IF($C166="","",IF($G166="","-",INDEX(SETUP!$B$26:$B$32,MATCH($G166,SETUP!$A$26:$A$32,1))))</f>
        <v>62,000 - 62,999</v>
      </c>
      <c r="I166" s="70">
        <v>1322</v>
      </c>
      <c r="J166" s="15" t="str">
        <f>IF($C166="","",IF($I166="","-",INDEX(SETUP!$B$16:$B$22,MATCH($I166,SETUP!$A$16:$A$22,1))))</f>
        <v>ROOKIE</v>
      </c>
      <c r="K166" s="15" t="str">
        <f>IF($C166="","",IF($I166="","-",TEXT(INT($I166/1000)*1000,"#,##0")&amp;" - "&amp;TEXT(INT($I166/1000)*1000+999,"#,##0")))</f>
        <v>1,000 - 1,999</v>
      </c>
      <c r="L166" s="71">
        <v>3.8</v>
      </c>
      <c r="M166" s="15" t="str">
        <f>IF($C166="","",IF($L166="","-",INDEX(SETUP!$B$36:$B$42,MATCH($L166,SETUP!$A$36:$A$42,1))))</f>
        <v>3k - 4k</v>
      </c>
      <c r="N166" s="17">
        <f>IF($C166="","",IF(OR($G166="",$I166=""),"",ROUND(100*(SETUP!$B$4*MIN(1,$I166/SETUP!$B$9)+SETUP!$B$5*MAX(0,MIN(1,($G166-SETUP!$B$10)/(SETUP!$B$11-SETUP!$B$10)))+SETUP!$B$6*MIN(1,IF($L166="",0,$L166)/SETUP!$B$12)),1)))</f>
        <v>32</v>
      </c>
      <c r="O166" s="15" t="str">
        <f>IF($C166="","",IF($N166="","-",INDEX(SETUP!$B$46:$B$51,MATCH($N166,SETUP!$A$46:$A$51,1))))</f>
        <v>C</v>
      </c>
      <c r="P166" s="15">
        <f>IF($C166="","",IF($I166="","",RANK($I166,$I$4:$I$1463)+COUNTIF($I$4:$I166,$I166)-1))</f>
        <v>1225</v>
      </c>
      <c r="Q166" s="15">
        <f>IF($C166="","",COUNTIFS($B$4:$B$1463,$B166,$X$4:$X$1463,"&gt;"&amp;$X166)+COUNTIFS($B$4:$B166,$B166,$X$4:$X166,"="&amp;$X166))</f>
        <v>76</v>
      </c>
      <c r="R166" s="72">
        <f>IF($C166="","",IF($I166="","",ROUND(COUNTIF($I$4:$I$1463,"&lt;"&amp;$I166)/COUNT($I$4:$I$1463),3)))</f>
        <v>7.4999999999999997E-2</v>
      </c>
      <c r="S166" s="15" t="str">
        <f>IF($C166="","",IF($G166="","Name only",IF(OR($I166="",$L166=""),"Partial","Complete")))</f>
        <v>Complete</v>
      </c>
      <c r="T166" s="41" t="str">
        <f>IF($C166="","",TRIM(IF(COUNTIF($C$4:$C$1463,$C166)&gt;1,"Dup name; ","")&amp;IF(AND($G166&lt;&gt;"",$G166&lt;55000),"Low CR - verify; ","")&amp;IF(AND($L166&lt;&gt;"",$L166&gt;15),"Secondary - verify; ","")&amp;IF($E166="","No class; ","")))</f>
        <v/>
      </c>
      <c r="U166" s="68"/>
      <c r="V166" s="68"/>
      <c r="W166" s="68"/>
      <c r="X166" s="73">
        <f t="shared" si="12"/>
        <v>1322</v>
      </c>
      <c r="Y166" s="41" t="str">
        <f t="shared" si="13"/>
        <v>VENDETTA|76</v>
      </c>
      <c r="Z166" s="15">
        <f>IF($C166="","",IF($G166="","",RANK($G166,$G$4:$G$1463)+COUNTIF($G$4:$G166,$G166)-1))</f>
        <v>631</v>
      </c>
      <c r="AA166" s="15">
        <f>IF($C166="","",IF($N166="","",RANK($N166,$N$4:$N$1463)+COUNTIF($N$4:$N166,$N166)-1))</f>
        <v>1099</v>
      </c>
      <c r="AB166" s="41" t="str">
        <f>IF($C166="","",IF($E166="","",$E166&amp;"#"&amp;(COUNTIFS($E$4:$E$1463,$E166,$X$4:$X$1463,"&gt;"&amp;$X166)+COUNTIFS($E$4:$E166,$E166,$X$4:$X166,"="&amp;$X166))))</f>
        <v>WIZARD#87</v>
      </c>
      <c r="AC166" s="41" t="str">
        <f>IF($C166="","",$B166&amp;"@"&amp;(COUNTIFS($B$4:$B$1463,$B166,$C$4:$C$1463,"&lt;"&amp;$C166)+COUNTIFS($B$4:$B166,$B166,$C$4:$C166,$C166)))</f>
        <v>VENDETTA@14</v>
      </c>
      <c r="AD166" s="41">
        <f t="shared" si="14"/>
        <v>163</v>
      </c>
      <c r="AE166" s="41" t="s">
        <v>844</v>
      </c>
      <c r="AF166" s="73">
        <f t="shared" si="15"/>
        <v>62554</v>
      </c>
      <c r="AG166" s="74">
        <f t="shared" si="16"/>
        <v>3.8</v>
      </c>
      <c r="AH166" s="41" t="str">
        <f>IF($C166="","",$B166&amp;"|"&amp;(COUNTIFS($B$4:$B$1463,$B166,$AF$4:$AF$1463,"&gt;"&amp;$AF166)+COUNTIFS($B$4:$B166,$B166,$AF$4:$AF166,"="&amp;$AF166)))</f>
        <v>VENDETTA|16</v>
      </c>
      <c r="AI166" s="41" t="str">
        <f>IF($C166="","",$B166&amp;"|"&amp;(COUNTIFS($B$4:$B$1463,$B166,$AG$4:$AG$1463,"&gt;"&amp;$AG166)+COUNTIFS($B$4:$B166,$B166,$AG$4:$AG166,"="&amp;$AG166)))</f>
        <v>VENDETTA|45</v>
      </c>
    </row>
    <row r="167" spans="1:35" hidden="1">
      <c r="A167" s="69" t="s">
        <v>109</v>
      </c>
      <c r="B167" s="69" t="s">
        <v>118</v>
      </c>
      <c r="C167" s="63" t="s">
        <v>845</v>
      </c>
      <c r="D167" s="69"/>
      <c r="E167" s="68" t="s">
        <v>71</v>
      </c>
      <c r="F167" s="19" t="str">
        <f>IF($C167="","",IF($E167="","-",IFERROR(INDEX(SETUP!$B$55:$B$64,MATCH($E167,SETUP!$A$55:$A$64,0)),"Other")))</f>
        <v>Frontline</v>
      </c>
      <c r="G167" s="70">
        <v>57935</v>
      </c>
      <c r="H167" s="19" t="str">
        <f>IF($C167="","",IF($G167="","-",INDEX(SETUP!$B$26:$B$32,MATCH($G167,SETUP!$A$26:$A$32,1))))</f>
        <v>Under 58,000</v>
      </c>
      <c r="I167" s="70">
        <v>730</v>
      </c>
      <c r="J167" s="19" t="str">
        <f>IF($C167="","",IF($I167="","-",INDEX(SETUP!$B$16:$B$22,MATCH($I167,SETUP!$A$16:$A$22,1))))</f>
        <v>ROOKIE</v>
      </c>
      <c r="K167" s="19" t="str">
        <f>IF($C167="","",IF($I167="","-",TEXT(INT($I167/1000)*1000,"#,##0")&amp;" - "&amp;TEXT(INT($I167/1000)*1000+999,"#,##0")))</f>
        <v>0 - 999</v>
      </c>
      <c r="L167" s="71">
        <v>2.7</v>
      </c>
      <c r="M167" s="19" t="str">
        <f>IF($C167="","",IF($L167="","-",INDEX(SETUP!$B$36:$B$42,MATCH($L167,SETUP!$A$36:$A$42,1))))</f>
        <v>Under 3k</v>
      </c>
      <c r="N167" s="21">
        <f>IF($C167="","",IF(OR($G167="",$I167=""),"",ROUND(100*(SETUP!$B$4*MIN(1,$I167/SETUP!$B$9)+SETUP!$B$5*MAX(0,MIN(1,($G167-SETUP!$B$10)/(SETUP!$B$11-SETUP!$B$10)))+SETUP!$B$6*MIN(1,IF($L167="",0,$L167)/SETUP!$B$12)),1)))</f>
        <v>15.4</v>
      </c>
      <c r="O167" s="19" t="str">
        <f>IF($C167="","",IF($N167="","-",INDEX(SETUP!$B$46:$B$51,MATCH($N167,SETUP!$A$46:$A$51,1))))</f>
        <v>D</v>
      </c>
      <c r="P167" s="19">
        <f>IF($C167="","",IF($I167="","",RANK($I167,$I$4:$I$1463)+COUNTIF($I$4:$I167,$I167)-1))</f>
        <v>1303</v>
      </c>
      <c r="Q167" s="19">
        <f>IF($C167="","",COUNTIFS($B$4:$B$1463,$B167,$X$4:$X$1463,"&gt;"&amp;$X167)+COUNTIFS($B$4:$B167,$B167,$X$4:$X167,"="&amp;$X167))</f>
        <v>92</v>
      </c>
      <c r="R167" s="75">
        <f>IF($C167="","",IF($I167="","",ROUND(COUNTIF($I$4:$I$1463,"&lt;"&amp;$I167)/COUNT($I$4:$I$1463),3)))</f>
        <v>1.7000000000000001E-2</v>
      </c>
      <c r="S167" s="19" t="str">
        <f>IF($C167="","",IF($G167="","Name only",IF(OR($I167="",$L167=""),"Partial","Complete")))</f>
        <v>Complete</v>
      </c>
      <c r="T167" s="1" t="str">
        <f>IF($C167="","",TRIM(IF(COUNTIF($C$4:$C$1463,$C167)&gt;1,"Dup name; ","")&amp;IF(AND($G167&lt;&gt;"",$G167&lt;55000),"Low CR - verify; ","")&amp;IF(AND($L167&lt;&gt;"",$L167&gt;15),"Secondary - verify; ","")&amp;IF($E167="","No class; ","")))</f>
        <v/>
      </c>
      <c r="U167" s="68"/>
      <c r="V167" s="68"/>
      <c r="W167" s="68"/>
      <c r="X167" s="76">
        <f t="shared" si="12"/>
        <v>730</v>
      </c>
      <c r="Y167" s="1" t="str">
        <f t="shared" si="13"/>
        <v>ZOMBIES|92</v>
      </c>
      <c r="Z167" s="19">
        <f>IF($C167="","",IF($G167="","",RANK($G167,$G$4:$G$1463)+COUNTIF($G$4:$G167,$G167)-1))</f>
        <v>1300</v>
      </c>
      <c r="AA167" s="19">
        <f>IF($C167="","",IF($N167="","",RANK($N167,$N$4:$N$1463)+COUNTIF($N$4:$N167,$N167)-1))</f>
        <v>1306</v>
      </c>
      <c r="AB167" s="1" t="str">
        <f>IF($C167="","",IF($E167="","",$E167&amp;"#"&amp;(COUNTIFS($E$4:$E$1463,$E167,$X$4:$X$1463,"&gt;"&amp;$X167)+COUNTIFS($E$4:$E167,$E167,$X$4:$X167,"="&amp;$X167))))</f>
        <v>BARBARIAN#214</v>
      </c>
      <c r="AC167" s="1" t="str">
        <f>IF($C167="","",$B167&amp;"@"&amp;(COUNTIFS($B$4:$B$1463,$B167,$C$4:$C$1463,"&lt;"&amp;$C167)+COUNTIFS($B$4:$B167,$B167,$C$4:$C167,$C167)))</f>
        <v>ZOMBIES@17</v>
      </c>
      <c r="AD167" s="1">
        <f t="shared" si="14"/>
        <v>164</v>
      </c>
      <c r="AE167" s="1" t="s">
        <v>570</v>
      </c>
      <c r="AF167" s="76">
        <f t="shared" si="15"/>
        <v>57935</v>
      </c>
      <c r="AG167" s="77">
        <f t="shared" si="16"/>
        <v>2.7</v>
      </c>
      <c r="AH167" s="1" t="str">
        <f>IF($C167="","",$B167&amp;"|"&amp;(COUNTIFS($B$4:$B$1463,$B167,$AF$4:$AF$1463,"&gt;"&amp;$AF167)+COUNTIFS($B$4:$B167,$B167,$AF$4:$AF167,"="&amp;$AF167)))</f>
        <v>ZOMBIES|93</v>
      </c>
      <c r="AI167" s="1" t="str">
        <f>IF($C167="","",$B167&amp;"|"&amp;(COUNTIFS($B$4:$B$1463,$B167,$AG$4:$AG$1463,"&gt;"&amp;$AG167)+COUNTIFS($B$4:$B167,$B167,$AG$4:$AG167,"="&amp;$AG167)))</f>
        <v>ZOMBIES|85</v>
      </c>
    </row>
    <row r="168" spans="1:35" hidden="1">
      <c r="A168" s="69" t="s">
        <v>109</v>
      </c>
      <c r="B168" s="69" t="s">
        <v>118</v>
      </c>
      <c r="C168" s="63" t="s">
        <v>846</v>
      </c>
      <c r="D168" s="69"/>
      <c r="E168" s="68" t="s">
        <v>71</v>
      </c>
      <c r="F168" s="15" t="str">
        <f>IF($C168="","",IF($E168="","-",IFERROR(INDEX(SETUP!$B$55:$B$64,MATCH($E168,SETUP!$A$55:$A$64,0)),"Other")))</f>
        <v>Frontline</v>
      </c>
      <c r="G168" s="70">
        <v>60483</v>
      </c>
      <c r="H168" s="15" t="str">
        <f>IF($C168="","",IF($G168="","-",INDEX(SETUP!$B$26:$B$32,MATCH($G168,SETUP!$A$26:$A$32,1))))</f>
        <v>60,000 - 60,999</v>
      </c>
      <c r="I168" s="70">
        <v>1031</v>
      </c>
      <c r="J168" s="15" t="str">
        <f>IF($C168="","",IF($I168="","-",INDEX(SETUP!$B$16:$B$22,MATCH($I168,SETUP!$A$16:$A$22,1))))</f>
        <v>ROOKIE</v>
      </c>
      <c r="K168" s="15" t="str">
        <f>IF($C168="","",IF($I168="","-",TEXT(INT($I168/1000)*1000,"#,##0")&amp;" - "&amp;TEXT(INT($I168/1000)*1000+999,"#,##0")))</f>
        <v>1,000 - 1,999</v>
      </c>
      <c r="L168" s="71">
        <v>2.4</v>
      </c>
      <c r="M168" s="15" t="str">
        <f>IF($C168="","",IF($L168="","-",INDEX(SETUP!$B$36:$B$42,MATCH($L168,SETUP!$A$36:$A$42,1))))</f>
        <v>Under 3k</v>
      </c>
      <c r="N168" s="17">
        <f>IF($C168="","",IF(OR($G168="",$I168=""),"",ROUND(100*(SETUP!$B$4*MIN(1,$I168/SETUP!$B$9)+SETUP!$B$5*MAX(0,MIN(1,($G168-SETUP!$B$10)/(SETUP!$B$11-SETUP!$B$10)))+SETUP!$B$6*MIN(1,IF($L168="",0,$L168)/SETUP!$B$12)),1)))</f>
        <v>22.9</v>
      </c>
      <c r="O168" s="15" t="str">
        <f>IF($C168="","",IF($N168="","-",INDEX(SETUP!$B$46:$B$51,MATCH($N168,SETUP!$A$46:$A$51,1))))</f>
        <v>C</v>
      </c>
      <c r="P168" s="15">
        <f>IF($C168="","",IF($I168="","",RANK($I168,$I$4:$I$1463)+COUNTIF($I$4:$I168,$I168)-1))</f>
        <v>1268</v>
      </c>
      <c r="Q168" s="15">
        <f>IF($C168="","",COUNTIFS($B$4:$B$1463,$B168,$X$4:$X$1463,"&gt;"&amp;$X168)+COUNTIFS($B$4:$B168,$B168,$X$4:$X168,"="&amp;$X168))</f>
        <v>83</v>
      </c>
      <c r="R168" s="72">
        <f>IF($C168="","",IF($I168="","",ROUND(COUNTIF($I$4:$I$1463,"&lt;"&amp;$I168)/COUNT($I$4:$I$1463),3)))</f>
        <v>4.2999999999999997E-2</v>
      </c>
      <c r="S168" s="15" t="str">
        <f>IF($C168="","",IF($G168="","Name only",IF(OR($I168="",$L168=""),"Partial","Complete")))</f>
        <v>Complete</v>
      </c>
      <c r="T168" s="41" t="str">
        <f>IF($C168="","",TRIM(IF(COUNTIF($C$4:$C$1463,$C168)&gt;1,"Dup name; ","")&amp;IF(AND($G168&lt;&gt;"",$G168&lt;55000),"Low CR - verify; ","")&amp;IF(AND($L168&lt;&gt;"",$L168&gt;15),"Secondary - verify; ","")&amp;IF($E168="","No class; ","")))</f>
        <v/>
      </c>
      <c r="U168" s="68"/>
      <c r="V168" s="68"/>
      <c r="W168" s="68"/>
      <c r="X168" s="73">
        <f t="shared" si="12"/>
        <v>1031</v>
      </c>
      <c r="Y168" s="41" t="str">
        <f t="shared" si="13"/>
        <v>ZOMBIES|83</v>
      </c>
      <c r="Z168" s="15">
        <f>IF($C168="","",IF($G168="","",RANK($G168,$G$4:$G$1463)+COUNTIF($G$4:$G168,$G168)-1))</f>
        <v>1208</v>
      </c>
      <c r="AA168" s="15">
        <f>IF($C168="","",IF($N168="","",RANK($N168,$N$4:$N$1463)+COUNTIF($N$4:$N168,$N168)-1))</f>
        <v>1270</v>
      </c>
      <c r="AB168" s="41" t="str">
        <f>IF($C168="","",IF($E168="","",$E168&amp;"#"&amp;(COUNTIFS($E$4:$E$1463,$E168,$X$4:$X$1463,"&gt;"&amp;$X168)+COUNTIFS($E$4:$E168,$E168,$X$4:$X168,"="&amp;$X168))))</f>
        <v>BARBARIAN#211</v>
      </c>
      <c r="AC168" s="41" t="str">
        <f>IF($C168="","",$B168&amp;"@"&amp;(COUNTIFS($B$4:$B$1463,$B168,$C$4:$C$1463,"&lt;"&amp;$C168)+COUNTIFS($B$4:$B168,$B168,$C$4:$C168,$C168)))</f>
        <v>ZOMBIES@18</v>
      </c>
      <c r="AD168" s="41">
        <f t="shared" si="14"/>
        <v>165</v>
      </c>
      <c r="AE168" s="41" t="s">
        <v>847</v>
      </c>
      <c r="AF168" s="73">
        <f t="shared" si="15"/>
        <v>60483</v>
      </c>
      <c r="AG168" s="74">
        <f t="shared" si="16"/>
        <v>2.4</v>
      </c>
      <c r="AH168" s="41" t="str">
        <f>IF($C168="","",$B168&amp;"|"&amp;(COUNTIFS($B$4:$B$1463,$B168,$AF$4:$AF$1463,"&gt;"&amp;$AF168)+COUNTIFS($B$4:$B168,$B168,$AF$4:$AF168,"="&amp;$AF168)))</f>
        <v>ZOMBIES|69</v>
      </c>
      <c r="AI168" s="41" t="str">
        <f>IF($C168="","",$B168&amp;"|"&amp;(COUNTIFS($B$4:$B$1463,$B168,$AG$4:$AG$1463,"&gt;"&amp;$AG168)+COUNTIFS($B$4:$B168,$B168,$AG$4:$AG168,"="&amp;$AG168)))</f>
        <v>ZOMBIES|96</v>
      </c>
    </row>
    <row r="169" spans="1:35" hidden="1">
      <c r="A169" s="69" t="s">
        <v>106</v>
      </c>
      <c r="B169" s="69" t="s">
        <v>107</v>
      </c>
      <c r="C169" s="63" t="s">
        <v>848</v>
      </c>
      <c r="D169" s="69"/>
      <c r="E169" s="68" t="s">
        <v>74</v>
      </c>
      <c r="F169" s="19" t="str">
        <f>IF($C169="","",IF($E169="","-",IFERROR(INDEX(SETUP!$B$55:$B$64,MATCH($E169,SETUP!$A$55:$A$64,0)),"Other")))</f>
        <v>Ranged DPS</v>
      </c>
      <c r="G169" s="70">
        <v>63383</v>
      </c>
      <c r="H169" s="19" t="str">
        <f>IF($C169="","",IF($G169="","-",INDEX(SETUP!$B$26:$B$32,MATCH($G169,SETUP!$A$26:$A$32,1))))</f>
        <v>63,000 - 63,999</v>
      </c>
      <c r="I169" s="70">
        <v>10023</v>
      </c>
      <c r="J169" s="19" t="str">
        <f>IF($C169="","",IF($I169="","-",INDEX(SETUP!$B$16:$B$22,MATCH($I169,SETUP!$A$16:$A$22,1))))</f>
        <v>APEX</v>
      </c>
      <c r="K169" s="19" t="str">
        <f>IF($C169="","",IF($I169="","-",TEXT(INT($I169/1000)*1000,"#,##0")&amp;" - "&amp;TEXT(INT($I169/1000)*1000+999,"#,##0")))</f>
        <v>10,000 - 10,999</v>
      </c>
      <c r="L169" s="71">
        <v>9.15</v>
      </c>
      <c r="M169" s="19" t="str">
        <f>IF($C169="","",IF($L169="","-",INDEX(SETUP!$B$36:$B$42,MATCH($L169,SETUP!$A$36:$A$42,1))))</f>
        <v>8k - 10k</v>
      </c>
      <c r="N169" s="21">
        <f>IF($C169="","",IF(OR($G169="",$I169=""),"",ROUND(100*(SETUP!$B$4*MIN(1,$I169/SETUP!$B$9)+SETUP!$B$5*MAX(0,MIN(1,($G169-SETUP!$B$10)/(SETUP!$B$11-SETUP!$B$10)))+SETUP!$B$6*MIN(1,IF($L169="",0,$L169)/SETUP!$B$12)),1)))</f>
        <v>81.099999999999994</v>
      </c>
      <c r="O169" s="19" t="str">
        <f>IF($C169="","",IF($N169="","-",INDEX(SETUP!$B$46:$B$51,MATCH($N169,SETUP!$A$46:$A$51,1))))</f>
        <v>S+</v>
      </c>
      <c r="P169" s="19">
        <f>IF($C169="","",IF($I169="","",RANK($I169,$I$4:$I$1463)+COUNTIF($I$4:$I169,$I169)-1))</f>
        <v>52</v>
      </c>
      <c r="Q169" s="19">
        <f>IF($C169="","",COUNTIFS($B$4:$B$1463,$B169,$X$4:$X$1463,"&gt;"&amp;$X169)+COUNTIFS($B$4:$B169,$B169,$X$4:$X169,"="&amp;$X169))</f>
        <v>1</v>
      </c>
      <c r="R169" s="75">
        <f>IF($C169="","",IF($I169="","",ROUND(COUNTIF($I$4:$I$1463,"&lt;"&amp;$I169)/COUNT($I$4:$I$1463),3)))</f>
        <v>0.95899999999999996</v>
      </c>
      <c r="S169" s="19" t="str">
        <f>IF($C169="","",IF($G169="","Name only",IF(OR($I169="",$L169=""),"Partial","Complete")))</f>
        <v>Complete</v>
      </c>
      <c r="T169" s="1" t="str">
        <f>IF($C169="","",TRIM(IF(COUNTIF($C$4:$C$1463,$C169)&gt;1,"Dup name; ","")&amp;IF(AND($G169&lt;&gt;"",$G169&lt;55000),"Low CR - verify; ","")&amp;IF(AND($L169&lt;&gt;"",$L169&gt;15),"Secondary - verify; ","")&amp;IF($E169="","No class; ","")))</f>
        <v/>
      </c>
      <c r="U169" s="68"/>
      <c r="V169" s="68"/>
      <c r="W169" s="68"/>
      <c r="X169" s="76">
        <f t="shared" si="12"/>
        <v>10023</v>
      </c>
      <c r="Y169" s="1" t="str">
        <f t="shared" si="13"/>
        <v>UNDYING|1</v>
      </c>
      <c r="Z169" s="19">
        <f>IF($C169="","",IF($G169="","",RANK($G169,$G$4:$G$1463)+COUNTIF($G$4:$G169,$G169)-1))</f>
        <v>228</v>
      </c>
      <c r="AA169" s="19">
        <f>IF($C169="","",IF($N169="","",RANK($N169,$N$4:$N$1463)+COUNTIF($N$4:$N169,$N169)-1))</f>
        <v>40</v>
      </c>
      <c r="AB169" s="1" t="str">
        <f>IF($C169="","",IF($E169="","",$E169&amp;"#"&amp;(COUNTIFS($E$4:$E$1463,$E169,$X$4:$X$1463,"&gt;"&amp;$X169)+COUNTIFS($E$4:$E169,$E169,$X$4:$X169,"="&amp;$X169))))</f>
        <v>DEMON HUNTER#10</v>
      </c>
      <c r="AC169" s="1" t="str">
        <f>IF($C169="","",$B169&amp;"@"&amp;(COUNTIFS($B$4:$B$1463,$B169,$C$4:$C$1463,"&lt;"&amp;$C169)+COUNTIFS($B$4:$B169,$B169,$C$4:$C169,$C169)))</f>
        <v>UNDYING@16</v>
      </c>
      <c r="AD169" s="1">
        <f t="shared" si="14"/>
        <v>166</v>
      </c>
      <c r="AE169" s="1" t="s">
        <v>849</v>
      </c>
      <c r="AF169" s="76">
        <f t="shared" si="15"/>
        <v>63383</v>
      </c>
      <c r="AG169" s="77">
        <f t="shared" si="16"/>
        <v>9.15</v>
      </c>
      <c r="AH169" s="1" t="str">
        <f>IF($C169="","",$B169&amp;"|"&amp;(COUNTIFS($B$4:$B$1463,$B169,$AF$4:$AF$1463,"&gt;"&amp;$AF169)+COUNTIFS($B$4:$B169,$B169,$AF$4:$AF169,"="&amp;$AF169)))</f>
        <v>UNDYING|15</v>
      </c>
      <c r="AI169" s="1" t="str">
        <f>IF($C169="","",$B169&amp;"|"&amp;(COUNTIFS($B$4:$B$1463,$B169,$AG$4:$AG$1463,"&gt;"&amp;$AG169)+COUNTIFS($B$4:$B169,$B169,$AG$4:$AG169,"="&amp;$AG169)))</f>
        <v>UNDYING|2</v>
      </c>
    </row>
    <row r="170" spans="1:35" hidden="1">
      <c r="A170" s="69" t="s">
        <v>109</v>
      </c>
      <c r="B170" s="69" t="s">
        <v>110</v>
      </c>
      <c r="C170" s="63" t="s">
        <v>850</v>
      </c>
      <c r="D170" s="69"/>
      <c r="E170" s="68" t="s">
        <v>79</v>
      </c>
      <c r="F170" s="15" t="str">
        <f>IF($C170="","",IF($E170="","-",IFERROR(INDEX(SETUP!$B$55:$B$64,MATCH($E170,SETUP!$A$55:$A$64,0)),"Other")))</f>
        <v>Control</v>
      </c>
      <c r="G170" s="70">
        <v>61999</v>
      </c>
      <c r="H170" s="15" t="str">
        <f>IF($C170="","",IF($G170="","-",INDEX(SETUP!$B$26:$B$32,MATCH($G170,SETUP!$A$26:$A$32,1))))</f>
        <v>61,000 - 61,999</v>
      </c>
      <c r="I170" s="70">
        <v>4177</v>
      </c>
      <c r="J170" s="15" t="str">
        <f>IF($C170="","",IF($I170="","-",INDEX(SETUP!$B$16:$B$22,MATCH($I170,SETUP!$A$16:$A$22,1))))</f>
        <v>CORE</v>
      </c>
      <c r="K170" s="15" t="str">
        <f>IF($C170="","",IF($I170="","-",TEXT(INT($I170/1000)*1000,"#,##0")&amp;" - "&amp;TEXT(INT($I170/1000)*1000+999,"#,##0")))</f>
        <v>4,000 - 4,999</v>
      </c>
      <c r="L170" s="71">
        <v>4</v>
      </c>
      <c r="M170" s="15" t="str">
        <f>IF($C170="","",IF($L170="","-",INDEX(SETUP!$B$36:$B$42,MATCH($L170,SETUP!$A$36:$A$42,1))))</f>
        <v>4k - 5k</v>
      </c>
      <c r="N170" s="17">
        <f>IF($C170="","",IF(OR($G170="",$I170=""),"",ROUND(100*(SETUP!$B$4*MIN(1,$I170/SETUP!$B$9)+SETUP!$B$5*MAX(0,MIN(1,($G170-SETUP!$B$10)/(SETUP!$B$11-SETUP!$B$10)))+SETUP!$B$6*MIN(1,IF($L170="",0,$L170)/SETUP!$B$12)),1)))</f>
        <v>43.3</v>
      </c>
      <c r="O170" s="15" t="str">
        <f>IF($C170="","",IF($N170="","-",INDEX(SETUP!$B$46:$B$51,MATCH($N170,SETUP!$A$46:$A$51,1))))</f>
        <v>B</v>
      </c>
      <c r="P170" s="15">
        <f>IF($C170="","",IF($I170="","",RANK($I170,$I$4:$I$1463)+COUNTIF($I$4:$I170,$I170)-1))</f>
        <v>562</v>
      </c>
      <c r="Q170" s="15">
        <f>IF($C170="","",COUNTIFS($B$4:$B$1463,$B170,$X$4:$X$1463,"&gt;"&amp;$X170)+COUNTIFS($B$4:$B170,$B170,$X$4:$X170,"="&amp;$X170))</f>
        <v>59</v>
      </c>
      <c r="R170" s="72">
        <f>IF($C170="","",IF($I170="","",ROUND(COUNTIF($I$4:$I$1463,"&lt;"&amp;$I170)/COUNT($I$4:$I$1463),3)))</f>
        <v>0.57599999999999996</v>
      </c>
      <c r="S170" s="15" t="str">
        <f>IF($C170="","",IF($G170="","Name only",IF(OR($I170="",$L170=""),"Partial","Complete")))</f>
        <v>Complete</v>
      </c>
      <c r="T170" s="41" t="str">
        <f>IF($C170="","",TRIM(IF(COUNTIF($C$4:$C$1463,$C170)&gt;1,"Dup name; ","")&amp;IF(AND($G170&lt;&gt;"",$G170&lt;55000),"Low CR - verify; ","")&amp;IF(AND($L170&lt;&gt;"",$L170&gt;15),"Secondary - verify; ","")&amp;IF($E170="","No class; ","")))</f>
        <v/>
      </c>
      <c r="U170" s="68"/>
      <c r="V170" s="68"/>
      <c r="W170" s="68"/>
      <c r="X170" s="73">
        <f t="shared" si="12"/>
        <v>4177</v>
      </c>
      <c r="Y170" s="41" t="str">
        <f t="shared" si="13"/>
        <v>AZUKI|59</v>
      </c>
      <c r="Z170" s="15">
        <f>IF($C170="","",IF($G170="","",RANK($G170,$G$4:$G$1463)+COUNTIF($G$4:$G170,$G170)-1))</f>
        <v>838</v>
      </c>
      <c r="AA170" s="15">
        <f>IF($C170="","",IF($N170="","",RANK($N170,$N$4:$N$1463)+COUNTIF($N$4:$N170,$N170)-1))</f>
        <v>690</v>
      </c>
      <c r="AB170" s="41" t="str">
        <f>IF($C170="","",IF($E170="","",$E170&amp;"#"&amp;(COUNTIFS($E$4:$E$1463,$E170,$X$4:$X$1463,"&gt;"&amp;$X170)+COUNTIFS($E$4:$E170,$E170,$X$4:$X170,"="&amp;$X170))))</f>
        <v>WARLOCK#132</v>
      </c>
      <c r="AC170" s="41" t="str">
        <f>IF($C170="","",$B170&amp;"@"&amp;(COUNTIFS($B$4:$B$1463,$B170,$C$4:$C$1463,"&lt;"&amp;$C170)+COUNTIFS($B$4:$B170,$B170,$C$4:$C170,$C170)))</f>
        <v>AZUKI@18</v>
      </c>
      <c r="AD170" s="41">
        <f t="shared" si="14"/>
        <v>167</v>
      </c>
      <c r="AE170" s="41" t="s">
        <v>851</v>
      </c>
      <c r="AF170" s="73">
        <f t="shared" si="15"/>
        <v>61999</v>
      </c>
      <c r="AG170" s="74">
        <f t="shared" si="16"/>
        <v>4</v>
      </c>
      <c r="AH170" s="41" t="str">
        <f>IF($C170="","",$B170&amp;"|"&amp;(COUNTIFS($B$4:$B$1463,$B170,$AF$4:$AF$1463,"&gt;"&amp;$AF170)+COUNTIFS($B$4:$B170,$B170,$AF$4:$AF170,"="&amp;$AF170)))</f>
        <v>AZUKI|77</v>
      </c>
      <c r="AI170" s="41" t="str">
        <f>IF($C170="","",$B170&amp;"|"&amp;(COUNTIFS($B$4:$B$1463,$B170,$AG$4:$AG$1463,"&gt;"&amp;$AG170)+COUNTIFS($B$4:$B170,$B170,$AG$4:$AG170,"="&amp;$AG170)))</f>
        <v>AZUKI|92</v>
      </c>
    </row>
    <row r="171" spans="1:35" hidden="1">
      <c r="A171" s="69" t="s">
        <v>109</v>
      </c>
      <c r="B171" s="69" t="s">
        <v>114</v>
      </c>
      <c r="C171" s="63" t="s">
        <v>852</v>
      </c>
      <c r="D171" s="69"/>
      <c r="E171" s="68" t="s">
        <v>71</v>
      </c>
      <c r="F171" s="19" t="str">
        <f>IF($C171="","",IF($E171="","-",IFERROR(INDEX(SETUP!$B$55:$B$64,MATCH($E171,SETUP!$A$55:$A$64,0)),"Other")))</f>
        <v>Frontline</v>
      </c>
      <c r="G171" s="70">
        <v>61231</v>
      </c>
      <c r="H171" s="19" t="str">
        <f>IF($C171="","",IF($G171="","-",INDEX(SETUP!$B$26:$B$32,MATCH($G171,SETUP!$A$26:$A$32,1))))</f>
        <v>61,000 - 61,999</v>
      </c>
      <c r="I171" s="70">
        <v>1859</v>
      </c>
      <c r="J171" s="19" t="str">
        <f>IF($C171="","",IF($I171="","-",INDEX(SETUP!$B$16:$B$22,MATCH($I171,SETUP!$A$16:$A$22,1))))</f>
        <v>ROOKIE</v>
      </c>
      <c r="K171" s="19" t="str">
        <f>IF($C171="","",IF($I171="","-",TEXT(INT($I171/1000)*1000,"#,##0")&amp;" - "&amp;TEXT(INT($I171/1000)*1000+999,"#,##0")))</f>
        <v>1,000 - 1,999</v>
      </c>
      <c r="L171" s="71">
        <v>3.7</v>
      </c>
      <c r="M171" s="19" t="str">
        <f>IF($C171="","",IF($L171="","-",INDEX(SETUP!$B$36:$B$42,MATCH($L171,SETUP!$A$36:$A$42,1))))</f>
        <v>3k - 4k</v>
      </c>
      <c r="N171" s="21">
        <f>IF($C171="","",IF(OR($G171="",$I171=""),"",ROUND(100*(SETUP!$B$4*MIN(1,$I171/SETUP!$B$9)+SETUP!$B$5*MAX(0,MIN(1,($G171-SETUP!$B$10)/(SETUP!$B$11-SETUP!$B$10)))+SETUP!$B$6*MIN(1,IF($L171="",0,$L171)/SETUP!$B$12)),1)))</f>
        <v>30.7</v>
      </c>
      <c r="O171" s="19" t="str">
        <f>IF($C171="","",IF($N171="","-",INDEX(SETUP!$B$46:$B$51,MATCH($N171,SETUP!$A$46:$A$51,1))))</f>
        <v>C</v>
      </c>
      <c r="P171" s="19">
        <f>IF($C171="","",IF($I171="","",RANK($I171,$I$4:$I$1463)+COUNTIF($I$4:$I171,$I171)-1))</f>
        <v>1137</v>
      </c>
      <c r="Q171" s="19">
        <f>IF($C171="","",COUNTIFS($B$4:$B$1463,$B171,$X$4:$X$1463,"&gt;"&amp;$X171)+COUNTIFS($B$4:$B171,$B171,$X$4:$X171,"="&amp;$X171))</f>
        <v>59</v>
      </c>
      <c r="R171" s="75">
        <f>IF($C171="","",IF($I171="","",ROUND(COUNTIF($I$4:$I$1463,"&lt;"&amp;$I171)/COUNT($I$4:$I$1463),3)))</f>
        <v>0.14199999999999999</v>
      </c>
      <c r="S171" s="19" t="str">
        <f>IF($C171="","",IF($G171="","Name only",IF(OR($I171="",$L171=""),"Partial","Complete")))</f>
        <v>Complete</v>
      </c>
      <c r="T171" s="1" t="str">
        <f>IF($C171="","",TRIM(IF(COUNTIF($C$4:$C$1463,$C171)&gt;1,"Dup name; ","")&amp;IF(AND($G171&lt;&gt;"",$G171&lt;55000),"Low CR - verify; ","")&amp;IF(AND($L171&lt;&gt;"",$L171&gt;15),"Secondary - verify; ","")&amp;IF($E171="","No class; ","")))</f>
        <v/>
      </c>
      <c r="U171" s="68"/>
      <c r="V171" s="68"/>
      <c r="W171" s="68"/>
      <c r="X171" s="76">
        <f t="shared" si="12"/>
        <v>1859</v>
      </c>
      <c r="Y171" s="1" t="str">
        <f t="shared" si="13"/>
        <v>EMERALD LEAF TRIBE|59</v>
      </c>
      <c r="Z171" s="19">
        <f>IF($C171="","",IF($G171="","",RANK($G171,$G$4:$G$1463)+COUNTIF($G$4:$G171,$G171)-1))</f>
        <v>1078</v>
      </c>
      <c r="AA171" s="19">
        <f>IF($C171="","",IF($N171="","",RANK($N171,$N$4:$N$1463)+COUNTIF($N$4:$N171,$N171)-1))</f>
        <v>1128</v>
      </c>
      <c r="AB171" s="1" t="str">
        <f>IF($C171="","",IF($E171="","",$E171&amp;"#"&amp;(COUNTIFS($E$4:$E$1463,$E171,$X$4:$X$1463,"&gt;"&amp;$X171)+COUNTIFS($E$4:$E171,$E171,$X$4:$X171,"="&amp;$X171))))</f>
        <v>BARBARIAN#194</v>
      </c>
      <c r="AC171" s="1" t="str">
        <f>IF($C171="","",$B171&amp;"@"&amp;(COUNTIFS($B$4:$B$1463,$B171,$C$4:$C$1463,"&lt;"&amp;$C171)+COUNTIFS($B$4:$B171,$B171,$C$4:$C171,$C171)))</f>
        <v>EMERALD LEAF TRIBE@10</v>
      </c>
      <c r="AD171" s="1">
        <f t="shared" si="14"/>
        <v>168</v>
      </c>
      <c r="AE171" s="1" t="s">
        <v>853</v>
      </c>
      <c r="AF171" s="76">
        <f t="shared" si="15"/>
        <v>61231</v>
      </c>
      <c r="AG171" s="77">
        <f t="shared" si="16"/>
        <v>3.7</v>
      </c>
      <c r="AH171" s="1" t="str">
        <f>IF($C171="","",$B171&amp;"|"&amp;(COUNTIFS($B$4:$B$1463,$B171,$AF$4:$AF$1463,"&gt;"&amp;$AF171)+COUNTIFS($B$4:$B171,$B171,$AF$4:$AF171,"="&amp;$AF171)))</f>
        <v>EMERALD LEAF TRIBE|48</v>
      </c>
      <c r="AI171" s="1" t="str">
        <f>IF($C171="","",$B171&amp;"|"&amp;(COUNTIFS($B$4:$B$1463,$B171,$AG$4:$AG$1463,"&gt;"&amp;$AG171)+COUNTIFS($B$4:$B171,$B171,$AG$4:$AG171,"="&amp;$AG171)))</f>
        <v>EMERALD LEAF TRIBE|47</v>
      </c>
    </row>
    <row r="172" spans="1:35" hidden="1">
      <c r="A172" s="69" t="s">
        <v>109</v>
      </c>
      <c r="B172" s="69" t="s">
        <v>117</v>
      </c>
      <c r="C172" s="63" t="s">
        <v>854</v>
      </c>
      <c r="D172" s="69"/>
      <c r="E172" s="68" t="s">
        <v>80</v>
      </c>
      <c r="F172" s="15" t="str">
        <f>IF($C172="","",IF($E172="","-",IFERROR(INDEX(SETUP!$B$55:$B$64,MATCH($E172,SETUP!$A$55:$A$64,0)),"Other")))</f>
        <v>Ranged DPS</v>
      </c>
      <c r="G172" s="70">
        <v>62127</v>
      </c>
      <c r="H172" s="15" t="str">
        <f>IF($C172="","",IF($G172="","-",INDEX(SETUP!$B$26:$B$32,MATCH($G172,SETUP!$A$26:$A$32,1))))</f>
        <v>62,000 - 62,999</v>
      </c>
      <c r="I172" s="70">
        <v>1435</v>
      </c>
      <c r="J172" s="15" t="str">
        <f>IF($C172="","",IF($I172="","-",INDEX(SETUP!$B$16:$B$22,MATCH($I172,SETUP!$A$16:$A$22,1))))</f>
        <v>ROOKIE</v>
      </c>
      <c r="K172" s="15" t="str">
        <f>IF($C172="","",IF($I172="","-",TEXT(INT($I172/1000)*1000,"#,##0")&amp;" - "&amp;TEXT(INT($I172/1000)*1000+999,"#,##0")))</f>
        <v>1,000 - 1,999</v>
      </c>
      <c r="L172" s="71">
        <v>4</v>
      </c>
      <c r="M172" s="15" t="str">
        <f>IF($C172="","",IF($L172="","-",INDEX(SETUP!$B$36:$B$42,MATCH($L172,SETUP!$A$36:$A$42,1))))</f>
        <v>4k - 5k</v>
      </c>
      <c r="N172" s="17">
        <f>IF($C172="","",IF(OR($G172="",$I172=""),"",ROUND(100*(SETUP!$B$4*MIN(1,$I172/SETUP!$B$9)+SETUP!$B$5*MAX(0,MIN(1,($G172-SETUP!$B$10)/(SETUP!$B$11-SETUP!$B$10)))+SETUP!$B$6*MIN(1,IF($L172="",0,$L172)/SETUP!$B$12)),1)))</f>
        <v>31.7</v>
      </c>
      <c r="O172" s="15" t="str">
        <f>IF($C172="","",IF($N172="","-",INDEX(SETUP!$B$46:$B$51,MATCH($N172,SETUP!$A$46:$A$51,1))))</f>
        <v>C</v>
      </c>
      <c r="P172" s="15">
        <f>IF($C172="","",IF($I172="","",RANK($I172,$I$4:$I$1463)+COUNTIF($I$4:$I172,$I172)-1))</f>
        <v>1203</v>
      </c>
      <c r="Q172" s="15">
        <f>IF($C172="","",COUNTIFS($B$4:$B$1463,$B172,$X$4:$X$1463,"&gt;"&amp;$X172)+COUNTIFS($B$4:$B172,$B172,$X$4:$X172,"="&amp;$X172))</f>
        <v>68</v>
      </c>
      <c r="R172" s="72">
        <f>IF($C172="","",IF($I172="","",ROUND(COUNTIF($I$4:$I$1463,"&lt;"&amp;$I172)/COUNT($I$4:$I$1463),3)))</f>
        <v>9.1999999999999998E-2</v>
      </c>
      <c r="S172" s="15" t="str">
        <f>IF($C172="","",IF($G172="","Name only",IF(OR($I172="",$L172=""),"Partial","Complete")))</f>
        <v>Complete</v>
      </c>
      <c r="T172" s="41" t="str">
        <f>IF($C172="","",TRIM(IF(COUNTIF($C$4:$C$1463,$C172)&gt;1,"Dup name; ","")&amp;IF(AND($G172&lt;&gt;"",$G172&lt;55000),"Low CR - verify; ","")&amp;IF(AND($L172&lt;&gt;"",$L172&gt;15),"Secondary - verify; ","")&amp;IF($E172="","No class; ","")))</f>
        <v/>
      </c>
      <c r="U172" s="68"/>
      <c r="V172" s="68"/>
      <c r="W172" s="68"/>
      <c r="X172" s="73">
        <f t="shared" si="12"/>
        <v>1435</v>
      </c>
      <c r="Y172" s="41" t="str">
        <f t="shared" si="13"/>
        <v>VENDETTA|68</v>
      </c>
      <c r="Z172" s="15">
        <f>IF($C172="","",IF($G172="","",RANK($G172,$G$4:$G$1463)+COUNTIF($G$4:$G172,$G172)-1))</f>
        <v>787</v>
      </c>
      <c r="AA172" s="15">
        <f>IF($C172="","",IF($N172="","",RANK($N172,$N$4:$N$1463)+COUNTIF($N$4:$N172,$N172)-1))</f>
        <v>1106</v>
      </c>
      <c r="AB172" s="41" t="str">
        <f>IF($C172="","",IF($E172="","",$E172&amp;"#"&amp;(COUNTIFS($E$4:$E$1463,$E172,$X$4:$X$1463,"&gt;"&amp;$X172)+COUNTIFS($E$4:$E172,$E172,$X$4:$X172,"="&amp;$X172))))</f>
        <v>WIZARD#86</v>
      </c>
      <c r="AC172" s="41" t="str">
        <f>IF($C172="","",$B172&amp;"@"&amp;(COUNTIFS($B$4:$B$1463,$B172,$C$4:$C$1463,"&lt;"&amp;$C172)+COUNTIFS($B$4:$B172,$B172,$C$4:$C172,$C172)))</f>
        <v>VENDETTA@15</v>
      </c>
      <c r="AD172" s="41">
        <f t="shared" si="14"/>
        <v>169</v>
      </c>
      <c r="AE172" s="41" t="s">
        <v>851</v>
      </c>
      <c r="AF172" s="73">
        <f t="shared" si="15"/>
        <v>62127</v>
      </c>
      <c r="AG172" s="74">
        <f t="shared" si="16"/>
        <v>4</v>
      </c>
      <c r="AH172" s="41" t="str">
        <f>IF($C172="","",$B172&amp;"|"&amp;(COUNTIFS($B$4:$B$1463,$B172,$AF$4:$AF$1463,"&gt;"&amp;$AF172)+COUNTIFS($B$4:$B172,$B172,$AF$4:$AF172,"="&amp;$AF172)))</f>
        <v>VENDETTA|33</v>
      </c>
      <c r="AI172" s="41" t="str">
        <f>IF($C172="","",$B172&amp;"|"&amp;(COUNTIFS($B$4:$B$1463,$B172,$AG$4:$AG$1463,"&gt;"&amp;$AG172)+COUNTIFS($B$4:$B172,$B172,$AG$4:$AG172,"="&amp;$AG172)))</f>
        <v>VENDETTA|36</v>
      </c>
    </row>
    <row r="173" spans="1:35">
      <c r="A173" s="69" t="s">
        <v>104</v>
      </c>
      <c r="B173" s="69" t="s">
        <v>66</v>
      </c>
      <c r="C173" s="63" t="s">
        <v>744</v>
      </c>
      <c r="D173" s="69"/>
      <c r="E173" s="68" t="s">
        <v>78</v>
      </c>
      <c r="F173" s="15" t="str">
        <f>IF($C173="","",IF($E173="","-",IFERROR(INDEX(SETUP!$B$55:$B$64,MATCH($E173,SETUP!$A$55:$A$64,0)),"Other")))</f>
        <v>Melee DPS</v>
      </c>
      <c r="G173" s="70">
        <v>63878</v>
      </c>
      <c r="H173" s="15" t="str">
        <f>IF($C173="","",IF($G173="","-",INDEX(SETUP!$B$26:$B$32,MATCH($G173,SETUP!$A$26:$A$32,1))))</f>
        <v>63,000 - 63,999</v>
      </c>
      <c r="I173" s="70">
        <v>7946</v>
      </c>
      <c r="J173" s="15" t="str">
        <f>IF($C173="","",IF($I173="","-",INDEX(SETUP!$B$16:$B$22,MATCH($I173,SETUP!$A$16:$A$22,1))))</f>
        <v>VETERAN</v>
      </c>
      <c r="K173" s="15" t="str">
        <f>IF($C173="","",IF($I173="","-",TEXT(INT($I173/1000)*1000,"#,##0")&amp;" - "&amp;TEXT(INT($I173/1000)*1000+999,"#,##0")))</f>
        <v>7,000 - 7,999</v>
      </c>
      <c r="L173" s="71">
        <v>6.32</v>
      </c>
      <c r="M173" s="15" t="str">
        <f>IF($C173="","",IF($L173="","-",INDEX(SETUP!$B$36:$B$42,MATCH($L173,SETUP!$A$36:$A$42,1))))</f>
        <v>6k - 8k</v>
      </c>
      <c r="N173" s="17">
        <f>IF($C173="","",IF(OR($G173="",$I173=""),"",ROUND(100*(SETUP!$B$4*MIN(1,$I173/SETUP!$B$9)+SETUP!$B$5*MAX(0,MIN(1,($G173-SETUP!$B$10)/(SETUP!$B$11-SETUP!$B$10)))+SETUP!$B$6*MIN(1,IF($L173="",0,$L173)/SETUP!$B$12)),1)))</f>
        <v>68.599999999999994</v>
      </c>
      <c r="O173" s="15" t="str">
        <f>IF($C173="","",IF($N173="","-",INDEX(SETUP!$B$46:$B$51,MATCH($N173,SETUP!$A$46:$A$51,1))))</f>
        <v>S</v>
      </c>
      <c r="P173" s="15">
        <f>IF($C173="","",IF($I173="","",RANK($I173,$I$4:$I$1463)+COUNTIF($I$4:$I173,$I173)-1))</f>
        <v>150</v>
      </c>
      <c r="Q173" s="15">
        <f>IF($C173="","",COUNTIFS($B$4:$B$1463,$B173,$X$4:$X$1463,"&gt;"&amp;$X173)+COUNTIFS($B$4:$B173,$B173,$X$4:$X173,"="&amp;$X173))</f>
        <v>15</v>
      </c>
      <c r="R173" s="72">
        <f>IF($C173="","",IF($I173="","",ROUND(COUNTIF($I$4:$I$1463,"&lt;"&amp;$I173)/COUNT($I$4:$I$1463),3)))</f>
        <v>0.88700000000000001</v>
      </c>
      <c r="S173" s="15" t="str">
        <f>IF($C173="","",IF($G173="","Name only",IF(OR($I173="",$L173=""),"Partial","Complete")))</f>
        <v>Complete</v>
      </c>
      <c r="T173" s="41" t="str">
        <f>IF($C173="","",TRIM(IF(COUNTIF($C$4:$C$1463,$C173)&gt;1,"Dup name; ","")&amp;IF(AND($G173&lt;&gt;"",$G173&lt;55000),"Low CR - verify; ","")&amp;IF(AND($L173&lt;&gt;"",$L173&gt;15),"Secondary - verify; ","")&amp;IF($E173="","No class; ","")))</f>
        <v/>
      </c>
      <c r="U173" s="68"/>
      <c r="V173" s="68"/>
      <c r="W173" s="68"/>
      <c r="X173" s="76">
        <f t="shared" si="12"/>
        <v>7946</v>
      </c>
      <c r="Y173" s="1" t="str">
        <f t="shared" si="13"/>
        <v>FUCT|15</v>
      </c>
      <c r="Z173" s="19">
        <f>IF($C173="","",IF($G173="","",RANK($G173,$G$4:$G$1463)+COUNTIF($G$4:$G173,$G173)-1))</f>
        <v>103</v>
      </c>
      <c r="AA173" s="19">
        <f>IF($C173="","",IF($N173="","",RANK($N173,$N$4:$N$1463)+COUNTIF($N$4:$N173,$N173)-1))</f>
        <v>141</v>
      </c>
      <c r="AB173" s="1" t="str">
        <f>IF($C173="","",IF($E173="","",$E173&amp;"#"&amp;(COUNTIFS($E$4:$E$1463,$E173,$X$4:$X$1463,"&gt;"&amp;$X173)+COUNTIFS($E$4:$E173,$E173,$X$4:$X173,"="&amp;$X173))))</f>
        <v>TEMPEST#5</v>
      </c>
      <c r="AC173" s="1" t="str">
        <f>IF($C173="","",$B173&amp;"@"&amp;(COUNTIFS($B$4:$B$1463,$B173,$C$4:$C$1463,"&lt;"&amp;$C173)+COUNTIFS($B$4:$B173,$B173,$C$4:$C173,$C173)))</f>
        <v>FUCT@7</v>
      </c>
      <c r="AD173" s="1">
        <f t="shared" si="14"/>
        <v>170</v>
      </c>
      <c r="AE173" s="1" t="s">
        <v>856</v>
      </c>
      <c r="AF173" s="76">
        <f t="shared" si="15"/>
        <v>63878</v>
      </c>
      <c r="AG173" s="77">
        <f t="shared" si="16"/>
        <v>6.32</v>
      </c>
      <c r="AH173" s="1" t="str">
        <f>IF($C173="","",$B173&amp;"|"&amp;(COUNTIFS($B$4:$B$1463,$B173,$AF$4:$AF$1463,"&gt;"&amp;$AF173)+COUNTIFS($B$4:$B173,$B173,$AF$4:$AF173,"="&amp;$AF173)))</f>
        <v>FUCT|7</v>
      </c>
      <c r="AI173" s="1" t="str">
        <f>IF($C173="","",$B173&amp;"|"&amp;(COUNTIFS($B$4:$B$1463,$B173,$AG$4:$AG$1463,"&gt;"&amp;$AG173)+COUNTIFS($B$4:$B173,$B173,$AG$4:$AG173,"="&amp;$AG173)))</f>
        <v>FUCT|13</v>
      </c>
    </row>
    <row r="174" spans="1:35" hidden="1">
      <c r="A174" s="69" t="s">
        <v>109</v>
      </c>
      <c r="B174" s="69" t="s">
        <v>115</v>
      </c>
      <c r="C174" s="63" t="s">
        <v>857</v>
      </c>
      <c r="D174" s="69"/>
      <c r="E174" s="68" t="s">
        <v>71</v>
      </c>
      <c r="F174" s="15" t="str">
        <f>IF($C174="","",IF($E174="","-",IFERROR(INDEX(SETUP!$B$55:$B$64,MATCH($E174,SETUP!$A$55:$A$64,0)),"Other")))</f>
        <v>Frontline</v>
      </c>
      <c r="G174" s="70">
        <v>60381</v>
      </c>
      <c r="H174" s="15" t="str">
        <f>IF($C174="","",IF($G174="","-",INDEX(SETUP!$B$26:$B$32,MATCH($G174,SETUP!$A$26:$A$32,1))))</f>
        <v>60,000 - 60,999</v>
      </c>
      <c r="I174" s="70">
        <v>2296</v>
      </c>
      <c r="J174" s="15" t="str">
        <f>IF($C174="","",IF($I174="","-",INDEX(SETUP!$B$16:$B$22,MATCH($I174,SETUP!$A$16:$A$22,1))))</f>
        <v>DEVELOPING</v>
      </c>
      <c r="K174" s="15" t="str">
        <f>IF($C174="","",IF($I174="","-",TEXT(INT($I174/1000)*1000,"#,##0")&amp;" - "&amp;TEXT(INT($I174/1000)*1000+999,"#,##0")))</f>
        <v>2,000 - 2,999</v>
      </c>
      <c r="L174" s="71">
        <v>3.3</v>
      </c>
      <c r="M174" s="15" t="str">
        <f>IF($C174="","",IF($L174="","-",INDEX(SETUP!$B$36:$B$42,MATCH($L174,SETUP!$A$36:$A$42,1))))</f>
        <v>3k - 4k</v>
      </c>
      <c r="N174" s="17">
        <f>IF($C174="","",IF(OR($G174="",$I174=""),"",ROUND(100*(SETUP!$B$4*MIN(1,$I174/SETUP!$B$9)+SETUP!$B$5*MAX(0,MIN(1,($G174-SETUP!$B$10)/(SETUP!$B$11-SETUP!$B$10)))+SETUP!$B$6*MIN(1,IF($L174="",0,$L174)/SETUP!$B$12)),1)))</f>
        <v>29.7</v>
      </c>
      <c r="O174" s="15" t="str">
        <f>IF($C174="","",IF($N174="","-",INDEX(SETUP!$B$46:$B$51,MATCH($N174,SETUP!$A$46:$A$51,1))))</f>
        <v>C</v>
      </c>
      <c r="P174" s="15">
        <f>IF($C174="","",IF($I174="","",RANK($I174,$I$4:$I$1463)+COUNTIF($I$4:$I174,$I174)-1))</f>
        <v>1045</v>
      </c>
      <c r="Q174" s="15">
        <f>IF($C174="","",COUNTIFS($B$4:$B$1463,$B174,$X$4:$X$1463,"&gt;"&amp;$X174)+COUNTIFS($B$4:$B174,$B174,$X$4:$X174,"="&amp;$X174))</f>
        <v>38</v>
      </c>
      <c r="R174" s="72">
        <f>IF($C174="","",IF($I174="","",ROUND(COUNTIF($I$4:$I$1463,"&lt;"&amp;$I174)/COUNT($I$4:$I$1463),3)))</f>
        <v>0.21099999999999999</v>
      </c>
      <c r="S174" s="15" t="str">
        <f>IF($C174="","",IF($G174="","Name only",IF(OR($I174="",$L174=""),"Partial","Complete")))</f>
        <v>Complete</v>
      </c>
      <c r="T174" s="41" t="str">
        <f>IF($C174="","",TRIM(IF(COUNTIF($C$4:$C$1463,$C174)&gt;1,"Dup name; ","")&amp;IF(AND($G174&lt;&gt;"",$G174&lt;55000),"Low CR - verify; ","")&amp;IF(AND($L174&lt;&gt;"",$L174&gt;15),"Secondary - verify; ","")&amp;IF($E174="","No class; ","")))</f>
        <v/>
      </c>
      <c r="U174" s="68"/>
      <c r="V174" s="68"/>
      <c r="W174" s="68"/>
      <c r="X174" s="73">
        <f t="shared" si="12"/>
        <v>2296</v>
      </c>
      <c r="Y174" s="41" t="str">
        <f t="shared" si="13"/>
        <v>SUB ROSA|38</v>
      </c>
      <c r="Z174" s="15">
        <f>IF($C174="","",IF($G174="","",RANK($G174,$G$4:$G$1463)+COUNTIF($G$4:$G174,$G174)-1))</f>
        <v>1220</v>
      </c>
      <c r="AA174" s="15">
        <f>IF($C174="","",IF($N174="","",RANK($N174,$N$4:$N$1463)+COUNTIF($N$4:$N174,$N174)-1))</f>
        <v>1153</v>
      </c>
      <c r="AB174" s="41" t="str">
        <f>IF($C174="","",IF($E174="","",$E174&amp;"#"&amp;(COUNTIFS($E$4:$E$1463,$E174,$X$4:$X$1463,"&gt;"&amp;$X174)+COUNTIFS($E$4:$E174,$E174,$X$4:$X174,"="&amp;$X174))))</f>
        <v>BARBARIAN#178</v>
      </c>
      <c r="AC174" s="41" t="str">
        <f>IF($C174="","",$B174&amp;"@"&amp;(COUNTIFS($B$4:$B$1463,$B174,$C$4:$C$1463,"&lt;"&amp;$C174)+COUNTIFS($B$4:$B174,$B174,$C$4:$C174,$C174)))</f>
        <v>SUB ROSA@12</v>
      </c>
      <c r="AD174" s="41">
        <f t="shared" si="14"/>
        <v>171</v>
      </c>
      <c r="AE174" s="41" t="s">
        <v>858</v>
      </c>
      <c r="AF174" s="73">
        <f t="shared" si="15"/>
        <v>60381</v>
      </c>
      <c r="AG174" s="74">
        <f t="shared" si="16"/>
        <v>3.3</v>
      </c>
      <c r="AH174" s="41" t="str">
        <f>IF($C174="","",$B174&amp;"|"&amp;(COUNTIFS($B$4:$B$1463,$B174,$AF$4:$AF$1463,"&gt;"&amp;$AF174)+COUNTIFS($B$4:$B174,$B174,$AF$4:$AF174,"="&amp;$AF174)))</f>
        <v>SUB ROSA|56</v>
      </c>
      <c r="AI174" s="41" t="str">
        <f>IF($C174="","",$B174&amp;"|"&amp;(COUNTIFS($B$4:$B$1463,$B174,$AG$4:$AG$1463,"&gt;"&amp;$AG174)+COUNTIFS($B$4:$B174,$B174,$AG$4:$AG174,"="&amp;$AG174)))</f>
        <v>SUB ROSA|45</v>
      </c>
    </row>
    <row r="175" spans="1:35" hidden="1">
      <c r="A175" s="69" t="s">
        <v>109</v>
      </c>
      <c r="B175" s="69" t="s">
        <v>110</v>
      </c>
      <c r="C175" s="63" t="s">
        <v>859</v>
      </c>
      <c r="D175" s="69"/>
      <c r="E175" s="68" t="s">
        <v>79</v>
      </c>
      <c r="F175" s="19" t="str">
        <f>IF($C175="","",IF($E175="","-",IFERROR(INDEX(SETUP!$B$55:$B$64,MATCH($E175,SETUP!$A$55:$A$64,0)),"Other")))</f>
        <v>Control</v>
      </c>
      <c r="G175" s="70">
        <v>61551</v>
      </c>
      <c r="H175" s="19" t="str">
        <f>IF($C175="","",IF($G175="","-",INDEX(SETUP!$B$26:$B$32,MATCH($G175,SETUP!$A$26:$A$32,1))))</f>
        <v>61,000 - 61,999</v>
      </c>
      <c r="I175" s="70">
        <v>3370</v>
      </c>
      <c r="J175" s="19" t="str">
        <f>IF($C175="","",IF($I175="","-",INDEX(SETUP!$B$16:$B$22,MATCH($I175,SETUP!$A$16:$A$22,1))))</f>
        <v>DEVELOPING</v>
      </c>
      <c r="K175" s="19" t="str">
        <f>IF($C175="","",IF($I175="","-",TEXT(INT($I175/1000)*1000,"#,##0")&amp;" - "&amp;TEXT(INT($I175/1000)*1000+999,"#,##0")))</f>
        <v>3,000 - 3,999</v>
      </c>
      <c r="L175" s="71">
        <v>3.9</v>
      </c>
      <c r="M175" s="19" t="str">
        <f>IF($C175="","",IF($L175="","-",INDEX(SETUP!$B$36:$B$42,MATCH($L175,SETUP!$A$36:$A$42,1))))</f>
        <v>3k - 4k</v>
      </c>
      <c r="N175" s="21">
        <f>IF($C175="","",IF(OR($G175="",$I175=""),"",ROUND(100*(SETUP!$B$4*MIN(1,$I175/SETUP!$B$9)+SETUP!$B$5*MAX(0,MIN(1,($G175-SETUP!$B$10)/(SETUP!$B$11-SETUP!$B$10)))+SETUP!$B$6*MIN(1,IF($L175="",0,$L175)/SETUP!$B$12)),1)))</f>
        <v>38.4</v>
      </c>
      <c r="O175" s="19" t="str">
        <f>IF($C175="","",IF($N175="","-",INDEX(SETUP!$B$46:$B$51,MATCH($N175,SETUP!$A$46:$A$51,1))))</f>
        <v>B</v>
      </c>
      <c r="P175" s="19">
        <f>IF($C175="","",IF($I175="","",RANK($I175,$I$4:$I$1463)+COUNTIF($I$4:$I175,$I175)-1))</f>
        <v>766</v>
      </c>
      <c r="Q175" s="19">
        <f>IF($C175="","",COUNTIFS($B$4:$B$1463,$B175,$X$4:$X$1463,"&gt;"&amp;$X175)+COUNTIFS($B$4:$B175,$B175,$X$4:$X175,"="&amp;$X175))</f>
        <v>79</v>
      </c>
      <c r="R175" s="75">
        <f>IF($C175="","",IF($I175="","",ROUND(COUNTIF($I$4:$I$1463,"&lt;"&amp;$I175)/COUNT($I$4:$I$1463),3)))</f>
        <v>0.42199999999999999</v>
      </c>
      <c r="S175" s="19" t="str">
        <f>IF($C175="","",IF($G175="","Name only",IF(OR($I175="",$L175=""),"Partial","Complete")))</f>
        <v>Complete</v>
      </c>
      <c r="T175" s="1" t="str">
        <f>IF($C175="","",TRIM(IF(COUNTIF($C$4:$C$1463,$C175)&gt;1,"Dup name; ","")&amp;IF(AND($G175&lt;&gt;"",$G175&lt;55000),"Low CR - verify; ","")&amp;IF(AND($L175&lt;&gt;"",$L175&gt;15),"Secondary - verify; ","")&amp;IF($E175="","No class; ","")))</f>
        <v/>
      </c>
      <c r="U175" s="68"/>
      <c r="V175" s="68"/>
      <c r="W175" s="68"/>
      <c r="X175" s="76">
        <f t="shared" si="12"/>
        <v>3370</v>
      </c>
      <c r="Y175" s="1" t="str">
        <f t="shared" si="13"/>
        <v>AZUKI|79</v>
      </c>
      <c r="Z175" s="19">
        <f>IF($C175="","",IF($G175="","",RANK($G175,$G$4:$G$1463)+COUNTIF($G$4:$G175,$G175)-1))</f>
        <v>991</v>
      </c>
      <c r="AA175" s="19">
        <f>IF($C175="","",IF($N175="","",RANK($N175,$N$4:$N$1463)+COUNTIF($N$4:$N175,$N175)-1))</f>
        <v>889</v>
      </c>
      <c r="AB175" s="1" t="str">
        <f>IF($C175="","",IF($E175="","",$E175&amp;"#"&amp;(COUNTIFS($E$4:$E$1463,$E175,$X$4:$X$1463,"&gt;"&amp;$X175)+COUNTIFS($E$4:$E175,$E175,$X$4:$X175,"="&amp;$X175))))</f>
        <v>WARLOCK#185</v>
      </c>
      <c r="AC175" s="1" t="str">
        <f>IF($C175="","",$B175&amp;"@"&amp;(COUNTIFS($B$4:$B$1463,$B175,$C$4:$C$1463,"&lt;"&amp;$C175)+COUNTIFS($B$4:$B175,$B175,$C$4:$C175,$C175)))</f>
        <v>AZUKI@19</v>
      </c>
      <c r="AD175" s="1">
        <f t="shared" si="14"/>
        <v>172</v>
      </c>
      <c r="AE175" s="1" t="s">
        <v>860</v>
      </c>
      <c r="AF175" s="76">
        <f t="shared" si="15"/>
        <v>61551</v>
      </c>
      <c r="AG175" s="77">
        <f t="shared" si="16"/>
        <v>3.9</v>
      </c>
      <c r="AH175" s="1" t="str">
        <f>IF($C175="","",$B175&amp;"|"&amp;(COUNTIFS($B$4:$B$1463,$B175,$AF$4:$AF$1463,"&gt;"&amp;$AF175)+COUNTIFS($B$4:$B175,$B175,$AF$4:$AF175,"="&amp;$AF175)))</f>
        <v>AZUKI|91</v>
      </c>
      <c r="AI175" s="1" t="str">
        <f>IF($C175="","",$B175&amp;"|"&amp;(COUNTIFS($B$4:$B$1463,$B175,$AG$4:$AG$1463,"&gt;"&amp;$AG175)+COUNTIFS($B$4:$B175,$B175,$AG$4:$AG175,"="&amp;$AG175)))</f>
        <v>AZUKI|95</v>
      </c>
    </row>
    <row r="176" spans="1:35" hidden="1">
      <c r="A176" s="69" t="s">
        <v>106</v>
      </c>
      <c r="B176" s="69" t="s">
        <v>105</v>
      </c>
      <c r="C176" s="63" t="s">
        <v>861</v>
      </c>
      <c r="D176" s="69" t="s">
        <v>691</v>
      </c>
      <c r="E176" s="68" t="s">
        <v>71</v>
      </c>
      <c r="F176" s="15" t="str">
        <f>IF($C176="","",IF($E176="","-",IFERROR(INDEX(SETUP!$B$55:$B$64,MATCH($E176,SETUP!$A$55:$A$64,0)),"Other")))</f>
        <v>Frontline</v>
      </c>
      <c r="G176" s="70">
        <v>61696</v>
      </c>
      <c r="H176" s="15" t="str">
        <f>IF($C176="","",IF($G176="","-",INDEX(SETUP!$B$26:$B$32,MATCH($G176,SETUP!$A$26:$A$32,1))))</f>
        <v>61,000 - 61,999</v>
      </c>
      <c r="I176" s="70">
        <v>4518</v>
      </c>
      <c r="J176" s="15" t="str">
        <f>IF($C176="","",IF($I176="","-",INDEX(SETUP!$B$16:$B$22,MATCH($I176,SETUP!$A$16:$A$22,1))))</f>
        <v>CORE</v>
      </c>
      <c r="K176" s="15" t="str">
        <f>IF($C176="","",IF($I176="","-",TEXT(INT($I176/1000)*1000,"#,##0")&amp;" - "&amp;TEXT(INT($I176/1000)*1000+999,"#,##0")))</f>
        <v>4,000 - 4,999</v>
      </c>
      <c r="L176" s="71">
        <v>4.59</v>
      </c>
      <c r="M176" s="15" t="str">
        <f>IF($C176="","",IF($L176="","-",INDEX(SETUP!$B$36:$B$42,MATCH($L176,SETUP!$A$36:$A$42,1))))</f>
        <v>4k - 5k</v>
      </c>
      <c r="N176" s="17">
        <f>IF($C176="","",IF(OR($G176="",$I176=""),"",ROUND(100*(SETUP!$B$4*MIN(1,$I176/SETUP!$B$9)+SETUP!$B$5*MAX(0,MIN(1,($G176-SETUP!$B$10)/(SETUP!$B$11-SETUP!$B$10)))+SETUP!$B$6*MIN(1,IF($L176="",0,$L176)/SETUP!$B$12)),1)))</f>
        <v>45</v>
      </c>
      <c r="O176" s="15" t="str">
        <f>IF($C176="","",IF($N176="","-",INDEX(SETUP!$B$46:$B$51,MATCH($N176,SETUP!$A$46:$A$51,1))))</f>
        <v>B</v>
      </c>
      <c r="P176" s="15">
        <f>IF($C176="","",IF($I176="","",RANK($I176,$I$4:$I$1463)+COUNTIF($I$4:$I176,$I176)-1))</f>
        <v>491</v>
      </c>
      <c r="Q176" s="15">
        <f>IF($C176="","",COUNTIFS($B$4:$B$1463,$B176,$X$4:$X$1463,"&gt;"&amp;$X176)+COUNTIFS($B$4:$B176,$B176,$X$4:$X176,"="&amp;$X176))</f>
        <v>63</v>
      </c>
      <c r="R176" s="72">
        <f>IF($C176="","",IF($I176="","",ROUND(COUNTIF($I$4:$I$1463,"&lt;"&amp;$I176)/COUNT($I$4:$I$1463),3)))</f>
        <v>0.629</v>
      </c>
      <c r="S176" s="15" t="str">
        <f>IF($C176="","",IF($G176="","Name only",IF(OR($I176="",$L176=""),"Partial","Complete")))</f>
        <v>Complete</v>
      </c>
      <c r="T176" s="41" t="str">
        <f>IF($C176="","",TRIM(IF(COUNTIF($C$4:$C$1463,$C176)&gt;1,"Dup name; ","")&amp;IF(AND($G176&lt;&gt;"",$G176&lt;55000),"Low CR - verify; ","")&amp;IF(AND($L176&lt;&gt;"",$L176&gt;15),"Secondary - verify; ","")&amp;IF($E176="","No class; ","")))</f>
        <v/>
      </c>
      <c r="U176" s="68"/>
      <c r="V176" s="68"/>
      <c r="W176" s="68"/>
      <c r="X176" s="73">
        <f t="shared" si="12"/>
        <v>4518</v>
      </c>
      <c r="Y176" s="41" t="str">
        <f t="shared" si="13"/>
        <v>LEGENDS|63</v>
      </c>
      <c r="Z176" s="15">
        <f>IF($C176="","",IF($G176="","",RANK($G176,$G$4:$G$1463)+COUNTIF($G$4:$G176,$G176)-1))</f>
        <v>946</v>
      </c>
      <c r="AA176" s="15">
        <f>IF($C176="","",IF($N176="","",RANK($N176,$N$4:$N$1463)+COUNTIF($N$4:$N176,$N176)-1))</f>
        <v>622</v>
      </c>
      <c r="AB176" s="41" t="str">
        <f>IF($C176="","",IF($E176="","",$E176&amp;"#"&amp;(COUNTIFS($E$4:$E$1463,$E176,$X$4:$X$1463,"&gt;"&amp;$X176)+COUNTIFS($E$4:$E176,$E176,$X$4:$X176,"="&amp;$X176))))</f>
        <v>BARBARIAN#96</v>
      </c>
      <c r="AC176" s="41" t="str">
        <f>IF($C176="","",$B176&amp;"@"&amp;(COUNTIFS($B$4:$B$1463,$B176,$C$4:$C$1463,"&lt;"&amp;$C176)+COUNTIFS($B$4:$B176,$B176,$C$4:$C176,$C176)))</f>
        <v>LEGENDS@16</v>
      </c>
      <c r="AD176" s="41">
        <f t="shared" si="14"/>
        <v>173</v>
      </c>
      <c r="AE176" s="41" t="s">
        <v>862</v>
      </c>
      <c r="AF176" s="73">
        <f t="shared" si="15"/>
        <v>61696</v>
      </c>
      <c r="AG176" s="74">
        <f t="shared" si="16"/>
        <v>4.59</v>
      </c>
      <c r="AH176" s="41" t="str">
        <f>IF($C176="","",$B176&amp;"|"&amp;(COUNTIFS($B$4:$B$1463,$B176,$AF$4:$AF$1463,"&gt;"&amp;$AF176)+COUNTIFS($B$4:$B176,$B176,$AF$4:$AF176,"="&amp;$AF176)))</f>
        <v>LEGENDS|88</v>
      </c>
      <c r="AI176" s="41" t="str">
        <f>IF($C176="","",$B176&amp;"|"&amp;(COUNTIFS($B$4:$B$1463,$B176,$AG$4:$AG$1463,"&gt;"&amp;$AG176)+COUNTIFS($B$4:$B176,$B176,$AG$4:$AG176,"="&amp;$AG176)))</f>
        <v>LEGENDS|74</v>
      </c>
    </row>
    <row r="177" spans="1:35">
      <c r="A177" s="69" t="s">
        <v>104</v>
      </c>
      <c r="B177" s="69" t="s">
        <v>66</v>
      </c>
      <c r="C177" s="63" t="s">
        <v>855</v>
      </c>
      <c r="D177" s="69"/>
      <c r="E177" s="68" t="s">
        <v>79</v>
      </c>
      <c r="F177" s="19" t="str">
        <f>IF($C177="","",IF($E177="","-",IFERROR(INDEX(SETUP!$B$55:$B$64,MATCH($E177,SETUP!$A$55:$A$64,0)),"Other")))</f>
        <v>Control</v>
      </c>
      <c r="G177" s="70">
        <v>60858</v>
      </c>
      <c r="H177" s="19" t="str">
        <f>IF($C177="","",IF($G177="","-",INDEX(SETUP!$B$26:$B$32,MATCH($G177,SETUP!$A$26:$A$32,1))))</f>
        <v>60,000 - 60,999</v>
      </c>
      <c r="I177" s="70">
        <v>3726</v>
      </c>
      <c r="J177" s="19" t="str">
        <f>IF($C177="","",IF($I177="","-",INDEX(SETUP!$B$16:$B$22,MATCH($I177,SETUP!$A$16:$A$22,1))))</f>
        <v>DEVELOPING</v>
      </c>
      <c r="K177" s="19" t="str">
        <f>IF($C177="","",IF($I177="","-",TEXT(INT($I177/1000)*1000,"#,##0")&amp;" - "&amp;TEXT(INT($I177/1000)*1000+999,"#,##0")))</f>
        <v>3,000 - 3,999</v>
      </c>
      <c r="L177" s="71">
        <v>3.44</v>
      </c>
      <c r="M177" s="19" t="str">
        <f>IF($C177="","",IF($L177="","-",INDEX(SETUP!$B$36:$B$42,MATCH($L177,SETUP!$A$36:$A$42,1))))</f>
        <v>3k - 4k</v>
      </c>
      <c r="N177" s="21">
        <f>IF($C177="","",IF(OR($G177="",$I177=""),"",ROUND(100*(SETUP!$B$4*MIN(1,$I177/SETUP!$B$9)+SETUP!$B$5*MAX(0,MIN(1,($G177-SETUP!$B$10)/(SETUP!$B$11-SETUP!$B$10)))+SETUP!$B$6*MIN(1,IF($L177="",0,$L177)/SETUP!$B$12)),1)))</f>
        <v>37.4</v>
      </c>
      <c r="O177" s="19" t="str">
        <f>IF($C177="","",IF($N177="","-",INDEX(SETUP!$B$46:$B$51,MATCH($N177,SETUP!$A$46:$A$51,1))))</f>
        <v>B</v>
      </c>
      <c r="P177" s="19">
        <f>IF($C177="","",IF($I177="","",RANK($I177,$I$4:$I$1463)+COUNTIF($I$4:$I177,$I177)-1))</f>
        <v>672</v>
      </c>
      <c r="Q177" s="19">
        <f>IF($C177="","",COUNTIFS($B$4:$B$1463,$B177,$X$4:$X$1463,"&gt;"&amp;$X177)+COUNTIFS($B$4:$B177,$B177,$X$4:$X177,"="&amp;$X177))</f>
        <v>68</v>
      </c>
      <c r="R177" s="75">
        <f>IF($C177="","",IF($I177="","",ROUND(COUNTIF($I$4:$I$1463,"&lt;"&amp;$I177)/COUNT($I$4:$I$1463),3)))</f>
        <v>0.49299999999999999</v>
      </c>
      <c r="S177" s="19" t="str">
        <f>IF($C177="","",IF($G177="","Name only",IF(OR($I177="",$L177=""),"Partial","Complete")))</f>
        <v>Complete</v>
      </c>
      <c r="T177" s="1" t="str">
        <f>IF($C177="","",TRIM(IF(COUNTIF($C$4:$C$1463,$C177)&gt;1,"Dup name; ","")&amp;IF(AND($G177&lt;&gt;"",$G177&lt;55000),"Low CR - verify; ","")&amp;IF(AND($L177&lt;&gt;"",$L177&gt;15),"Secondary - verify; ","")&amp;IF($E177="","No class; ","")))</f>
        <v/>
      </c>
      <c r="U177" s="68" t="s">
        <v>266</v>
      </c>
      <c r="V177" s="68" t="s">
        <v>66</v>
      </c>
      <c r="W177" s="68" t="s">
        <v>285</v>
      </c>
      <c r="X177" s="76">
        <f t="shared" si="12"/>
        <v>3726</v>
      </c>
      <c r="Y177" s="1" t="str">
        <f t="shared" si="13"/>
        <v>FUCT|68</v>
      </c>
      <c r="Z177" s="19">
        <f>IF($C177="","",IF($G177="","",RANK($G177,$G$4:$G$1463)+COUNTIF($G$4:$G177,$G177)-1))</f>
        <v>1163</v>
      </c>
      <c r="AA177" s="19">
        <f>IF($C177="","",IF($N177="","",RANK($N177,$N$4:$N$1463)+COUNTIF($N$4:$N177,$N177)-1))</f>
        <v>914</v>
      </c>
      <c r="AB177" s="1" t="str">
        <f>IF($C177="","",IF($E177="","",$E177&amp;"#"&amp;(COUNTIFS($E$4:$E$1463,$E177,$X$4:$X$1463,"&gt;"&amp;$X177)+COUNTIFS($E$4:$E177,$E177,$X$4:$X177,"="&amp;$X177))))</f>
        <v>WARLOCK#163</v>
      </c>
      <c r="AC177" s="1" t="str">
        <f>IF($C177="","",$B177&amp;"@"&amp;(COUNTIFS($B$4:$B$1463,$B177,$C$4:$C$1463,"&lt;"&amp;$C177)+COUNTIFS($B$4:$B177,$B177,$C$4:$C177,$C177)))</f>
        <v>FUCT@8</v>
      </c>
      <c r="AD177" s="1">
        <f t="shared" si="14"/>
        <v>174</v>
      </c>
      <c r="AE177" s="1" t="s">
        <v>864</v>
      </c>
      <c r="AF177" s="76">
        <f t="shared" si="15"/>
        <v>60858</v>
      </c>
      <c r="AG177" s="77">
        <f t="shared" si="16"/>
        <v>3.44</v>
      </c>
      <c r="AH177" s="1" t="str">
        <f>IF($C177="","",$B177&amp;"|"&amp;(COUNTIFS($B$4:$B$1463,$B177,$AF$4:$AF$1463,"&gt;"&amp;$AF177)+COUNTIFS($B$4:$B177,$B177,$AF$4:$AF177,"="&amp;$AF177)))</f>
        <v>FUCT|99</v>
      </c>
      <c r="AI177" s="1" t="str">
        <f>IF($C177="","",$B177&amp;"|"&amp;(COUNTIFS($B$4:$B$1463,$B177,$AG$4:$AG$1463,"&gt;"&amp;$AG177)+COUNTIFS($B$4:$B177,$B177,$AG$4:$AG177,"="&amp;$AG177)))</f>
        <v>FUCT|97</v>
      </c>
    </row>
    <row r="178" spans="1:35" hidden="1">
      <c r="A178" s="69" t="s">
        <v>106</v>
      </c>
      <c r="B178" s="69" t="s">
        <v>86</v>
      </c>
      <c r="C178" s="63" t="s">
        <v>865</v>
      </c>
      <c r="D178" s="69"/>
      <c r="E178" s="68" t="s">
        <v>75</v>
      </c>
      <c r="F178" s="15" t="str">
        <f>IF($C178="","",IF($E178="","-",IFERROR(INDEX(SETUP!$B$55:$B$64,MATCH($E178,SETUP!$A$55:$A$64,0)),"Other")))</f>
        <v>Support</v>
      </c>
      <c r="G178" s="70">
        <v>62850</v>
      </c>
      <c r="H178" s="15" t="str">
        <f>IF($C178="","",IF($G178="","-",INDEX(SETUP!$B$26:$B$32,MATCH($G178,SETUP!$A$26:$A$32,1))))</f>
        <v>62,000 - 62,999</v>
      </c>
      <c r="I178" s="70">
        <v>9724</v>
      </c>
      <c r="J178" s="15" t="str">
        <f>IF($C178="","",IF($I178="","-",INDEX(SETUP!$B$16:$B$22,MATCH($I178,SETUP!$A$16:$A$22,1))))</f>
        <v>ELITE</v>
      </c>
      <c r="K178" s="15" t="str">
        <f>IF($C178="","",IF($I178="","-",TEXT(INT($I178/1000)*1000,"#,##0")&amp;" - "&amp;TEXT(INT($I178/1000)*1000+999,"#,##0")))</f>
        <v>9,000 - 9,999</v>
      </c>
      <c r="L178" s="71">
        <v>9.25</v>
      </c>
      <c r="M178" s="15" t="str">
        <f>IF($C178="","",IF($L178="","-",INDEX(SETUP!$B$36:$B$42,MATCH($L178,SETUP!$A$36:$A$42,1))))</f>
        <v>8k - 10k</v>
      </c>
      <c r="N178" s="17">
        <f>IF($C178="","",IF(OR($G178="",$I178=""),"",ROUND(100*(SETUP!$B$4*MIN(1,$I178/SETUP!$B$9)+SETUP!$B$5*MAX(0,MIN(1,($G178-SETUP!$B$10)/(SETUP!$B$11-SETUP!$B$10)))+SETUP!$B$6*MIN(1,IF($L178="",0,$L178)/SETUP!$B$12)),1)))</f>
        <v>78.5</v>
      </c>
      <c r="O178" s="15" t="str">
        <f>IF($C178="","",IF($N178="","-",INDEX(SETUP!$B$46:$B$51,MATCH($N178,SETUP!$A$46:$A$51,1))))</f>
        <v>S</v>
      </c>
      <c r="P178" s="15">
        <f>IF($C178="","",IF($I178="","",RANK($I178,$I$4:$I$1463)+COUNTIF($I$4:$I178,$I178)-1))</f>
        <v>66</v>
      </c>
      <c r="Q178" s="15">
        <f>IF($C178="","",COUNTIFS($B$4:$B$1463,$B178,$X$4:$X$1463,"&gt;"&amp;$X178)+COUNTIFS($B$4:$B178,$B178,$X$4:$X178,"="&amp;$X178))</f>
        <v>14</v>
      </c>
      <c r="R178" s="72">
        <f>IF($C178="","",IF($I178="","",ROUND(COUNTIF($I$4:$I$1463,"&lt;"&amp;$I178)/COUNT($I$4:$I$1463),3)))</f>
        <v>0.95</v>
      </c>
      <c r="S178" s="15" t="str">
        <f>IF($C178="","",IF($G178="","Name only",IF(OR($I178="",$L178=""),"Partial","Complete")))</f>
        <v>Complete</v>
      </c>
      <c r="T178" s="41" t="str">
        <f>IF($C178="","",TRIM(IF(COUNTIF($C$4:$C$1463,$C178)&gt;1,"Dup name; ","")&amp;IF(AND($G178&lt;&gt;"",$G178&lt;55000),"Low CR - verify; ","")&amp;IF(AND($L178&lt;&gt;"",$L178&gt;15),"Secondary - verify; ","")&amp;IF($E178="","No class; ","")))</f>
        <v/>
      </c>
      <c r="U178" s="68"/>
      <c r="V178" s="68"/>
      <c r="W178" s="68"/>
      <c r="X178" s="73">
        <f t="shared" si="12"/>
        <v>9724</v>
      </c>
      <c r="Y178" s="41" t="str">
        <f t="shared" si="13"/>
        <v>VANGUARD|14</v>
      </c>
      <c r="Z178" s="15">
        <f>IF($C178="","",IF($G178="","",RANK($G178,$G$4:$G$1463)+COUNTIF($G$4:$G178,$G178)-1))</f>
        <v>498</v>
      </c>
      <c r="AA178" s="15">
        <f>IF($C178="","",IF($N178="","",RANK($N178,$N$4:$N$1463)+COUNTIF($N$4:$N178,$N178)-1))</f>
        <v>63</v>
      </c>
      <c r="AB178" s="41" t="str">
        <f>IF($C178="","",IF($E178="","",$E178&amp;"#"&amp;(COUNTIFS($E$4:$E$1463,$E178,$X$4:$X$1463,"&gt;"&amp;$X178)+COUNTIFS($E$4:$E178,$E178,$X$4:$X178,"="&amp;$X178))))</f>
        <v>DRUID#4</v>
      </c>
      <c r="AC178" s="41" t="str">
        <f>IF($C178="","",$B178&amp;"@"&amp;(COUNTIFS($B$4:$B$1463,$B178,$C$4:$C$1463,"&lt;"&amp;$C178)+COUNTIFS($B$4:$B178,$B178,$C$4:$C178,$C178)))</f>
        <v>VANGUARD@17</v>
      </c>
      <c r="AD178" s="41">
        <f t="shared" si="14"/>
        <v>175</v>
      </c>
      <c r="AE178" s="41" t="s">
        <v>866</v>
      </c>
      <c r="AF178" s="73">
        <f t="shared" si="15"/>
        <v>62850</v>
      </c>
      <c r="AG178" s="74">
        <f t="shared" si="16"/>
        <v>9.25</v>
      </c>
      <c r="AH178" s="41" t="str">
        <f>IF($C178="","",$B178&amp;"|"&amp;(COUNTIFS($B$4:$B$1463,$B178,$AF$4:$AF$1463,"&gt;"&amp;$AF178)+COUNTIFS($B$4:$B178,$B178,$AF$4:$AF178,"="&amp;$AF178)))</f>
        <v>VANGUARD|71</v>
      </c>
      <c r="AI178" s="41" t="str">
        <f>IF($C178="","",$B178&amp;"|"&amp;(COUNTIFS($B$4:$B$1463,$B178,$AG$4:$AG$1463,"&gt;"&amp;$AG178)+COUNTIFS($B$4:$B178,$B178,$AG$4:$AG178,"="&amp;$AG178)))</f>
        <v>VANGUARD|9</v>
      </c>
    </row>
    <row r="179" spans="1:35" hidden="1">
      <c r="A179" s="69" t="s">
        <v>106</v>
      </c>
      <c r="B179" s="69" t="s">
        <v>107</v>
      </c>
      <c r="C179" s="63" t="s">
        <v>867</v>
      </c>
      <c r="D179" s="69"/>
      <c r="E179" s="68" t="s">
        <v>79</v>
      </c>
      <c r="F179" s="19" t="str">
        <f>IF($C179="","",IF($E179="","-",IFERROR(INDEX(SETUP!$B$55:$B$64,MATCH($E179,SETUP!$A$55:$A$64,0)),"Other")))</f>
        <v>Control</v>
      </c>
      <c r="G179" s="70">
        <v>63033</v>
      </c>
      <c r="H179" s="19" t="str">
        <f>IF($C179="","",IF($G179="","-",INDEX(SETUP!$B$26:$B$32,MATCH($G179,SETUP!$A$26:$A$32,1))))</f>
        <v>63,000 - 63,999</v>
      </c>
      <c r="I179" s="70">
        <v>3298</v>
      </c>
      <c r="J179" s="19" t="str">
        <f>IF($C179="","",IF($I179="","-",INDEX(SETUP!$B$16:$B$22,MATCH($I179,SETUP!$A$16:$A$22,1))))</f>
        <v>DEVELOPING</v>
      </c>
      <c r="K179" s="19" t="str">
        <f>IF($C179="","",IF($I179="","-",TEXT(INT($I179/1000)*1000,"#,##0")&amp;" - "&amp;TEXT(INT($I179/1000)*1000+999,"#,##0")))</f>
        <v>3,000 - 3,999</v>
      </c>
      <c r="L179" s="71">
        <v>3.65</v>
      </c>
      <c r="M179" s="19" t="str">
        <f>IF($C179="","",IF($L179="","-",INDEX(SETUP!$B$36:$B$42,MATCH($L179,SETUP!$A$36:$A$42,1))))</f>
        <v>3k - 4k</v>
      </c>
      <c r="N179" s="21">
        <f>IF($C179="","",IF(OR($G179="",$I179=""),"",ROUND(100*(SETUP!$B$4*MIN(1,$I179/SETUP!$B$9)+SETUP!$B$5*MAX(0,MIN(1,($G179-SETUP!$B$10)/(SETUP!$B$11-SETUP!$B$10)))+SETUP!$B$6*MIN(1,IF($L179="",0,$L179)/SETUP!$B$12)),1)))</f>
        <v>41.6</v>
      </c>
      <c r="O179" s="19" t="str">
        <f>IF($C179="","",IF($N179="","-",INDEX(SETUP!$B$46:$B$51,MATCH($N179,SETUP!$A$46:$A$51,1))))</f>
        <v>B</v>
      </c>
      <c r="P179" s="19">
        <f>IF($C179="","",IF($I179="","",RANK($I179,$I$4:$I$1463)+COUNTIF($I$4:$I179,$I179)-1))</f>
        <v>794</v>
      </c>
      <c r="Q179" s="19">
        <f>IF($C179="","",COUNTIFS($B$4:$B$1463,$B179,$X$4:$X$1463,"&gt;"&amp;$X179)+COUNTIFS($B$4:$B179,$B179,$X$4:$X179,"="&amp;$X179))</f>
        <v>76</v>
      </c>
      <c r="R179" s="75">
        <f>IF($C179="","",IF($I179="","",ROUND(COUNTIF($I$4:$I$1463,"&lt;"&amp;$I179)/COUNT($I$4:$I$1463),3)))</f>
        <v>0.40100000000000002</v>
      </c>
      <c r="S179" s="19" t="str">
        <f>IF($C179="","",IF($G179="","Name only",IF(OR($I179="",$L179=""),"Partial","Complete")))</f>
        <v>Complete</v>
      </c>
      <c r="T179" s="1" t="str">
        <f>IF($C179="","",TRIM(IF(COUNTIF($C$4:$C$1463,$C179)&gt;1,"Dup name; ","")&amp;IF(AND($G179&lt;&gt;"",$G179&lt;55000),"Low CR - verify; ","")&amp;IF(AND($L179&lt;&gt;"",$L179&gt;15),"Secondary - verify; ","")&amp;IF($E179="","No class; ","")))</f>
        <v/>
      </c>
      <c r="U179" s="68"/>
      <c r="V179" s="68"/>
      <c r="W179" s="68"/>
      <c r="X179" s="76">
        <f t="shared" si="12"/>
        <v>3298</v>
      </c>
      <c r="Y179" s="1" t="str">
        <f t="shared" si="13"/>
        <v>UNDYING|76</v>
      </c>
      <c r="Z179" s="19">
        <f>IF($C179="","",IF($G179="","",RANK($G179,$G$4:$G$1463)+COUNTIF($G$4:$G179,$G179)-1))</f>
        <v>412</v>
      </c>
      <c r="AA179" s="19">
        <f>IF($C179="","",IF($N179="","",RANK($N179,$N$4:$N$1463)+COUNTIF($N$4:$N179,$N179)-1))</f>
        <v>754</v>
      </c>
      <c r="AB179" s="1" t="str">
        <f>IF($C179="","",IF($E179="","",$E179&amp;"#"&amp;(COUNTIFS($E$4:$E$1463,$E179,$X$4:$X$1463,"&gt;"&amp;$X179)+COUNTIFS($E$4:$E179,$E179,$X$4:$X179,"="&amp;$X179))))</f>
        <v>WARLOCK#195</v>
      </c>
      <c r="AC179" s="1" t="str">
        <f>IF($C179="","",$B179&amp;"@"&amp;(COUNTIFS($B$4:$B$1463,$B179,$C$4:$C$1463,"&lt;"&amp;$C179)+COUNTIFS($B$4:$B179,$B179,$C$4:$C179,$C179)))</f>
        <v>UNDYING@17</v>
      </c>
      <c r="AD179" s="1">
        <f t="shared" si="14"/>
        <v>176</v>
      </c>
      <c r="AE179" s="1" t="s">
        <v>868</v>
      </c>
      <c r="AF179" s="76">
        <f t="shared" si="15"/>
        <v>63033</v>
      </c>
      <c r="AG179" s="77">
        <f t="shared" si="16"/>
        <v>3.65</v>
      </c>
      <c r="AH179" s="1" t="str">
        <f>IF($C179="","",$B179&amp;"|"&amp;(COUNTIFS($B$4:$B$1463,$B179,$AF$4:$AF$1463,"&gt;"&amp;$AF179)+COUNTIFS($B$4:$B179,$B179,$AF$4:$AF179,"="&amp;$AF179)))</f>
        <v>UNDYING|41</v>
      </c>
      <c r="AI179" s="1" t="str">
        <f>IF($C179="","",$B179&amp;"|"&amp;(COUNTIFS($B$4:$B$1463,$B179,$AG$4:$AG$1463,"&gt;"&amp;$AG179)+COUNTIFS($B$4:$B179,$B179,$AG$4:$AG179,"="&amp;$AG179)))</f>
        <v>UNDYING|88</v>
      </c>
    </row>
    <row r="180" spans="1:35" hidden="1">
      <c r="A180" s="69" t="s">
        <v>106</v>
      </c>
      <c r="B180" s="69" t="s">
        <v>105</v>
      </c>
      <c r="C180" s="63" t="s">
        <v>869</v>
      </c>
      <c r="D180" s="69"/>
      <c r="E180" s="68" t="s">
        <v>74</v>
      </c>
      <c r="F180" s="15" t="str">
        <f>IF($C180="","",IF($E180="","-",IFERROR(INDEX(SETUP!$B$55:$B$64,MATCH($E180,SETUP!$A$55:$A$64,0)),"Other")))</f>
        <v>Ranged DPS</v>
      </c>
      <c r="G180" s="70">
        <v>63522</v>
      </c>
      <c r="H180" s="15" t="str">
        <f>IF($C180="","",IF($G180="","-",INDEX(SETUP!$B$26:$B$32,MATCH($G180,SETUP!$A$26:$A$32,1))))</f>
        <v>63,000 - 63,999</v>
      </c>
      <c r="I180" s="70">
        <v>5904</v>
      </c>
      <c r="J180" s="15" t="str">
        <f>IF($C180="","",IF($I180="","-",INDEX(SETUP!$B$16:$B$22,MATCH($I180,SETUP!$A$16:$A$22,1))))</f>
        <v>CORE</v>
      </c>
      <c r="K180" s="15" t="str">
        <f>IF($C180="","",IF($I180="","-",TEXT(INT($I180/1000)*1000,"#,##0")&amp;" - "&amp;TEXT(INT($I180/1000)*1000+999,"#,##0")))</f>
        <v>5,000 - 5,999</v>
      </c>
      <c r="L180" s="71">
        <v>6.46</v>
      </c>
      <c r="M180" s="15" t="str">
        <f>IF($C180="","",IF($L180="","-",INDEX(SETUP!$B$36:$B$42,MATCH($L180,SETUP!$A$36:$A$42,1))))</f>
        <v>6k - 8k</v>
      </c>
      <c r="N180" s="17">
        <f>IF($C180="","",IF(OR($G180="",$I180=""),"",ROUND(100*(SETUP!$B$4*MIN(1,$I180/SETUP!$B$9)+SETUP!$B$5*MAX(0,MIN(1,($G180-SETUP!$B$10)/(SETUP!$B$11-SETUP!$B$10)))+SETUP!$B$6*MIN(1,IF($L180="",0,$L180)/SETUP!$B$12)),1)))</f>
        <v>59</v>
      </c>
      <c r="O180" s="15" t="str">
        <f>IF($C180="","",IF($N180="","-",INDEX(SETUP!$B$46:$B$51,MATCH($N180,SETUP!$A$46:$A$51,1))))</f>
        <v>A</v>
      </c>
      <c r="P180" s="15">
        <f>IF($C180="","",IF($I180="","",RANK($I180,$I$4:$I$1463)+COUNTIF($I$4:$I180,$I180)-1))</f>
        <v>298</v>
      </c>
      <c r="Q180" s="15">
        <f>IF($C180="","",COUNTIFS($B$4:$B$1463,$B180,$X$4:$X$1463,"&gt;"&amp;$X180)+COUNTIFS($B$4:$B180,$B180,$X$4:$X180,"="&amp;$X180))</f>
        <v>32</v>
      </c>
      <c r="R180" s="72">
        <f>IF($C180="","",IF($I180="","",ROUND(COUNTIF($I$4:$I$1463,"&lt;"&amp;$I180)/COUNT($I$4:$I$1463),3)))</f>
        <v>0.77500000000000002</v>
      </c>
      <c r="S180" s="15" t="str">
        <f>IF($C180="","",IF($G180="","Name only",IF(OR($I180="",$L180=""),"Partial","Complete")))</f>
        <v>Complete</v>
      </c>
      <c r="T180" s="41" t="str">
        <f>IF($C180="","",TRIM(IF(COUNTIF($C$4:$C$1463,$C180)&gt;1,"Dup name; ","")&amp;IF(AND($G180&lt;&gt;"",$G180&lt;55000),"Low CR - verify; ","")&amp;IF(AND($L180&lt;&gt;"",$L180&gt;15),"Secondary - verify; ","")&amp;IF($E180="","No class; ","")))</f>
        <v/>
      </c>
      <c r="U180" s="68"/>
      <c r="V180" s="68"/>
      <c r="W180" s="68"/>
      <c r="X180" s="73">
        <f t="shared" si="12"/>
        <v>5904</v>
      </c>
      <c r="Y180" s="41" t="str">
        <f t="shared" si="13"/>
        <v>LEGENDS|32</v>
      </c>
      <c r="Z180" s="15">
        <f>IF($C180="","",IF($G180="","",RANK($G180,$G$4:$G$1463)+COUNTIF($G$4:$G180,$G180)-1))</f>
        <v>186</v>
      </c>
      <c r="AA180" s="15">
        <f>IF($C180="","",IF($N180="","",RANK($N180,$N$4:$N$1463)+COUNTIF($N$4:$N180,$N180)-1))</f>
        <v>248</v>
      </c>
      <c r="AB180" s="41" t="str">
        <f>IF($C180="","",IF($E180="","",$E180&amp;"#"&amp;(COUNTIFS($E$4:$E$1463,$E180,$X$4:$X$1463,"&gt;"&amp;$X180)+COUNTIFS($E$4:$E180,$E180,$X$4:$X180,"="&amp;$X180))))</f>
        <v>DEMON HUNTER#50</v>
      </c>
      <c r="AC180" s="41" t="str">
        <f>IF($C180="","",$B180&amp;"@"&amp;(COUNTIFS($B$4:$B$1463,$B180,$C$4:$C$1463,"&lt;"&amp;$C180)+COUNTIFS($B$4:$B180,$B180,$C$4:$C180,$C180)))</f>
        <v>LEGENDS@17</v>
      </c>
      <c r="AD180" s="41">
        <f t="shared" si="14"/>
        <v>177</v>
      </c>
      <c r="AE180" s="41" t="s">
        <v>870</v>
      </c>
      <c r="AF180" s="73">
        <f t="shared" si="15"/>
        <v>63522</v>
      </c>
      <c r="AG180" s="74">
        <f t="shared" si="16"/>
        <v>6.46</v>
      </c>
      <c r="AH180" s="41" t="str">
        <f>IF($C180="","",$B180&amp;"|"&amp;(COUNTIFS($B$4:$B$1463,$B180,$AF$4:$AF$1463,"&gt;"&amp;$AF180)+COUNTIFS($B$4:$B180,$B180,$AF$4:$AF180,"="&amp;$AF180)))</f>
        <v>LEGENDS|24</v>
      </c>
      <c r="AI180" s="41" t="str">
        <f>IF($C180="","",$B180&amp;"|"&amp;(COUNTIFS($B$4:$B$1463,$B180,$AG$4:$AG$1463,"&gt;"&amp;$AG180)+COUNTIFS($B$4:$B180,$B180,$AG$4:$AG180,"="&amp;$AG180)))</f>
        <v>LEGENDS|10</v>
      </c>
    </row>
    <row r="181" spans="1:35" hidden="1">
      <c r="A181" s="69" t="s">
        <v>109</v>
      </c>
      <c r="B181" s="69" t="s">
        <v>110</v>
      </c>
      <c r="C181" s="63" t="s">
        <v>871</v>
      </c>
      <c r="D181" s="69"/>
      <c r="E181" s="68" t="s">
        <v>79</v>
      </c>
      <c r="F181" s="19" t="str">
        <f>IF($C181="","",IF($E181="","-",IFERROR(INDEX(SETUP!$B$55:$B$64,MATCH($E181,SETUP!$A$55:$A$64,0)),"Other")))</f>
        <v>Control</v>
      </c>
      <c r="G181" s="70">
        <v>63552</v>
      </c>
      <c r="H181" s="19" t="str">
        <f>IF($C181="","",IF($G181="","-",INDEX(SETUP!$B$26:$B$32,MATCH($G181,SETUP!$A$26:$A$32,1))))</f>
        <v>63,000 - 63,999</v>
      </c>
      <c r="I181" s="70">
        <v>4872</v>
      </c>
      <c r="J181" s="19" t="str">
        <f>IF($C181="","",IF($I181="","-",INDEX(SETUP!$B$16:$B$22,MATCH($I181,SETUP!$A$16:$A$22,1))))</f>
        <v>CORE</v>
      </c>
      <c r="K181" s="19" t="str">
        <f>IF($C181="","",IF($I181="","-",TEXT(INT($I181/1000)*1000,"#,##0")&amp;" - "&amp;TEXT(INT($I181/1000)*1000+999,"#,##0")))</f>
        <v>4,000 - 4,999</v>
      </c>
      <c r="L181" s="71">
        <v>9.5</v>
      </c>
      <c r="M181" s="19" t="str">
        <f>IF($C181="","",IF($L181="","-",INDEX(SETUP!$B$36:$B$42,MATCH($L181,SETUP!$A$36:$A$42,1))))</f>
        <v>8k - 10k</v>
      </c>
      <c r="N181" s="21">
        <f>IF($C181="","",IF(OR($G181="",$I181=""),"",ROUND(100*(SETUP!$B$4*MIN(1,$I181/SETUP!$B$9)+SETUP!$B$5*MAX(0,MIN(1,($G181-SETUP!$B$10)/(SETUP!$B$11-SETUP!$B$10)))+SETUP!$B$6*MIN(1,IF($L181="",0,$L181)/SETUP!$B$12)),1)))</f>
        <v>59.6</v>
      </c>
      <c r="O181" s="19" t="str">
        <f>IF($C181="","",IF($N181="","-",INDEX(SETUP!$B$46:$B$51,MATCH($N181,SETUP!$A$46:$A$51,1))))</f>
        <v>A</v>
      </c>
      <c r="P181" s="19">
        <f>IF($C181="","",IF($I181="","",RANK($I181,$I$4:$I$1463)+COUNTIF($I$4:$I181,$I181)-1))</f>
        <v>433</v>
      </c>
      <c r="Q181" s="19">
        <f>IF($C181="","",COUNTIFS($B$4:$B$1463,$B181,$X$4:$X$1463,"&gt;"&amp;$X181)+COUNTIFS($B$4:$B181,$B181,$X$4:$X181,"="&amp;$X181))</f>
        <v>54</v>
      </c>
      <c r="R181" s="75">
        <f>IF($C181="","",IF($I181="","",ROUND(COUNTIF($I$4:$I$1463,"&lt;"&amp;$I181)/COUNT($I$4:$I$1463),3)))</f>
        <v>0.67200000000000004</v>
      </c>
      <c r="S181" s="19" t="str">
        <f>IF($C181="","",IF($G181="","Name only",IF(OR($I181="",$L181=""),"Partial","Complete")))</f>
        <v>Complete</v>
      </c>
      <c r="T181" s="1" t="str">
        <f>IF($C181="","",TRIM(IF(COUNTIF($C$4:$C$1463,$C181)&gt;1,"Dup name; ","")&amp;IF(AND($G181&lt;&gt;"",$G181&lt;55000),"Low CR - verify; ","")&amp;IF(AND($L181&lt;&gt;"",$L181&gt;15),"Secondary - verify; ","")&amp;IF($E181="","No class; ","")))</f>
        <v/>
      </c>
      <c r="U181" s="68"/>
      <c r="V181" s="68"/>
      <c r="W181" s="68"/>
      <c r="X181" s="76">
        <f t="shared" si="12"/>
        <v>4872</v>
      </c>
      <c r="Y181" s="1" t="str">
        <f t="shared" si="13"/>
        <v>AZUKI|54</v>
      </c>
      <c r="Z181" s="19">
        <f>IF($C181="","",IF($G181="","",RANK($G181,$G$4:$G$1463)+COUNTIF($G$4:$G181,$G181)-1))</f>
        <v>176</v>
      </c>
      <c r="AA181" s="19">
        <f>IF($C181="","",IF($N181="","",RANK($N181,$N$4:$N$1463)+COUNTIF($N$4:$N181,$N181)-1))</f>
        <v>241</v>
      </c>
      <c r="AB181" s="1" t="str">
        <f>IF($C181="","",IF($E181="","",$E181&amp;"#"&amp;(COUNTIFS($E$4:$E$1463,$E181,$X$4:$X$1463,"&gt;"&amp;$X181)+COUNTIFS($E$4:$E181,$E181,$X$4:$X181,"="&amp;$X181))))</f>
        <v>WARLOCK#100</v>
      </c>
      <c r="AC181" s="1" t="str">
        <f>IF($C181="","",$B181&amp;"@"&amp;(COUNTIFS($B$4:$B$1463,$B181,$C$4:$C$1463,"&lt;"&amp;$C181)+COUNTIFS($B$4:$B181,$B181,$C$4:$C181,$C181)))</f>
        <v>AZUKI@20</v>
      </c>
      <c r="AD181" s="1">
        <f t="shared" si="14"/>
        <v>178</v>
      </c>
      <c r="AE181" s="1" t="s">
        <v>872</v>
      </c>
      <c r="AF181" s="76">
        <f t="shared" si="15"/>
        <v>63552</v>
      </c>
      <c r="AG181" s="77">
        <f t="shared" si="16"/>
        <v>9.5</v>
      </c>
      <c r="AH181" s="1" t="str">
        <f>IF($C181="","",$B181&amp;"|"&amp;(COUNTIFS($B$4:$B$1463,$B181,$AF$4:$AF$1463,"&gt;"&amp;$AF181)+COUNTIFS($B$4:$B181,$B181,$AF$4:$AF181,"="&amp;$AF181)))</f>
        <v>AZUKI|26</v>
      </c>
      <c r="AI181" s="1" t="str">
        <f>IF($C181="","",$B181&amp;"|"&amp;(COUNTIFS($B$4:$B$1463,$B181,$AG$4:$AG$1463,"&gt;"&amp;$AG181)+COUNTIFS($B$4:$B181,$B181,$AG$4:$AG181,"="&amp;$AG181)))</f>
        <v>AZUKI|8</v>
      </c>
    </row>
    <row r="182" spans="1:35" hidden="1">
      <c r="A182" s="69" t="s">
        <v>106</v>
      </c>
      <c r="B182" s="69" t="s">
        <v>86</v>
      </c>
      <c r="C182" s="63" t="s">
        <v>873</v>
      </c>
      <c r="D182" s="69"/>
      <c r="E182" s="68" t="s">
        <v>75</v>
      </c>
      <c r="F182" s="15" t="str">
        <f>IF($C182="","",IF($E182="","-",IFERROR(INDEX(SETUP!$B$55:$B$64,MATCH($E182,SETUP!$A$55:$A$64,0)),"Other")))</f>
        <v>Support</v>
      </c>
      <c r="G182" s="70">
        <v>63771</v>
      </c>
      <c r="H182" s="15" t="str">
        <f>IF($C182="","",IF($G182="","-",INDEX(SETUP!$B$26:$B$32,MATCH($G182,SETUP!$A$26:$A$32,1))))</f>
        <v>63,000 - 63,999</v>
      </c>
      <c r="I182" s="70">
        <v>10084</v>
      </c>
      <c r="J182" s="15" t="str">
        <f>IF($C182="","",IF($I182="","-",INDEX(SETUP!$B$16:$B$22,MATCH($I182,SETUP!$A$16:$A$22,1))))</f>
        <v>APEX</v>
      </c>
      <c r="K182" s="15" t="str">
        <f>IF($C182="","",IF($I182="","-",TEXT(INT($I182/1000)*1000,"#,##0")&amp;" - "&amp;TEXT(INT($I182/1000)*1000+999,"#,##0")))</f>
        <v>10,000 - 10,999</v>
      </c>
      <c r="L182" s="71">
        <v>9.9</v>
      </c>
      <c r="M182" s="15" t="str">
        <f>IF($C182="","",IF($L182="","-",INDEX(SETUP!$B$36:$B$42,MATCH($L182,SETUP!$A$36:$A$42,1))))</f>
        <v>8k - 10k</v>
      </c>
      <c r="N182" s="17">
        <f>IF($C182="","",IF(OR($G182="",$I182=""),"",ROUND(100*(SETUP!$B$4*MIN(1,$I182/SETUP!$B$9)+SETUP!$B$5*MAX(0,MIN(1,($G182-SETUP!$B$10)/(SETUP!$B$11-SETUP!$B$10)))+SETUP!$B$6*MIN(1,IF($L182="",0,$L182)/SETUP!$B$12)),1)))</f>
        <v>83.6</v>
      </c>
      <c r="O182" s="15" t="str">
        <f>IF($C182="","",IF($N182="","-",INDEX(SETUP!$B$46:$B$51,MATCH($N182,SETUP!$A$46:$A$51,1))))</f>
        <v>S+</v>
      </c>
      <c r="P182" s="15">
        <f>IF($C182="","",IF($I182="","",RANK($I182,$I$4:$I$1463)+COUNTIF($I$4:$I182,$I182)-1))</f>
        <v>47</v>
      </c>
      <c r="Q182" s="15">
        <f>IF($C182="","",COUNTIFS($B$4:$B$1463,$B182,$X$4:$X$1463,"&gt;"&amp;$X182)+COUNTIFS($B$4:$B182,$B182,$X$4:$X182,"="&amp;$X182))</f>
        <v>9</v>
      </c>
      <c r="R182" s="72">
        <f>IF($C182="","",IF($I182="","",ROUND(COUNTIF($I$4:$I$1463,"&lt;"&amp;$I182)/COUNT($I$4:$I$1463),3)))</f>
        <v>0.96499999999999997</v>
      </c>
      <c r="S182" s="15" t="str">
        <f>IF($C182="","",IF($G182="","Name only",IF(OR($I182="",$L182=""),"Partial","Complete")))</f>
        <v>Complete</v>
      </c>
      <c r="T182" s="41" t="str">
        <f>IF($C182="","",TRIM(IF(COUNTIF($C$4:$C$1463,$C182)&gt;1,"Dup name; ","")&amp;IF(AND($G182&lt;&gt;"",$G182&lt;55000),"Low CR - verify; ","")&amp;IF(AND($L182&lt;&gt;"",$L182&gt;15),"Secondary - verify; ","")&amp;IF($E182="","No class; ","")))</f>
        <v/>
      </c>
      <c r="U182" s="68"/>
      <c r="V182" s="68"/>
      <c r="W182" s="68"/>
      <c r="X182" s="73">
        <f t="shared" si="12"/>
        <v>10084</v>
      </c>
      <c r="Y182" s="41" t="str">
        <f t="shared" si="13"/>
        <v>VANGUARD|9</v>
      </c>
      <c r="Z182" s="15">
        <f>IF($C182="","",IF($G182="","",RANK($G182,$G$4:$G$1463)+COUNTIF($G$4:$G182,$G182)-1))</f>
        <v>120</v>
      </c>
      <c r="AA182" s="15">
        <f>IF($C182="","",IF($N182="","",RANK($N182,$N$4:$N$1463)+COUNTIF($N$4:$N182,$N182)-1))</f>
        <v>29</v>
      </c>
      <c r="AB182" s="41" t="str">
        <f>IF($C182="","",IF($E182="","",$E182&amp;"#"&amp;(COUNTIFS($E$4:$E$1463,$E182,$X$4:$X$1463,"&gt;"&amp;$X182)+COUNTIFS($E$4:$E182,$E182,$X$4:$X182,"="&amp;$X182))))</f>
        <v>DRUID#2</v>
      </c>
      <c r="AC182" s="41" t="str">
        <f>IF($C182="","",$B182&amp;"@"&amp;(COUNTIFS($B$4:$B$1463,$B182,$C$4:$C$1463,"&lt;"&amp;$C182)+COUNTIFS($B$4:$B182,$B182,$C$4:$C182,$C182)))</f>
        <v>VANGUARD@13</v>
      </c>
      <c r="AD182" s="41">
        <f t="shared" si="14"/>
        <v>179</v>
      </c>
      <c r="AE182" s="41" t="s">
        <v>874</v>
      </c>
      <c r="AF182" s="73">
        <f t="shared" si="15"/>
        <v>63771</v>
      </c>
      <c r="AG182" s="74">
        <f t="shared" si="16"/>
        <v>9.9</v>
      </c>
      <c r="AH182" s="41" t="str">
        <f>IF($C182="","",$B182&amp;"|"&amp;(COUNTIFS($B$4:$B$1463,$B182,$AF$4:$AF$1463,"&gt;"&amp;$AF182)+COUNTIFS($B$4:$B182,$B182,$AF$4:$AF182,"="&amp;$AF182)))</f>
        <v>VANGUARD|29</v>
      </c>
      <c r="AI182" s="41" t="str">
        <f>IF($C182="","",$B182&amp;"|"&amp;(COUNTIFS($B$4:$B$1463,$B182,$AG$4:$AG$1463,"&gt;"&amp;$AG182)+COUNTIFS($B$4:$B182,$B182,$AG$4:$AG182,"="&amp;$AG182)))</f>
        <v>VANGUARD|4</v>
      </c>
    </row>
    <row r="183" spans="1:35" hidden="1">
      <c r="A183" s="69" t="s">
        <v>109</v>
      </c>
      <c r="B183" s="69" t="s">
        <v>113</v>
      </c>
      <c r="C183" s="63" t="s">
        <v>875</v>
      </c>
      <c r="D183" s="69" t="s">
        <v>548</v>
      </c>
      <c r="E183" s="68" t="s">
        <v>74</v>
      </c>
      <c r="F183" s="19" t="str">
        <f>IF($C183="","",IF($E183="","-",IFERROR(INDEX(SETUP!$B$55:$B$64,MATCH($E183,SETUP!$A$55:$A$64,0)),"Other")))</f>
        <v>Ranged DPS</v>
      </c>
      <c r="G183" s="70">
        <v>62156</v>
      </c>
      <c r="H183" s="19" t="str">
        <f>IF($C183="","",IF($G183="","-",INDEX(SETUP!$B$26:$B$32,MATCH($G183,SETUP!$A$26:$A$32,1))))</f>
        <v>62,000 - 62,999</v>
      </c>
      <c r="I183" s="70">
        <v>5062</v>
      </c>
      <c r="J183" s="19" t="str">
        <f>IF($C183="","",IF($I183="","-",INDEX(SETUP!$B$16:$B$22,MATCH($I183,SETUP!$A$16:$A$22,1))))</f>
        <v>CORE</v>
      </c>
      <c r="K183" s="19" t="str">
        <f>IF($C183="","",IF($I183="","-",TEXT(INT($I183/1000)*1000,"#,##0")&amp;" - "&amp;TEXT(INT($I183/1000)*1000+999,"#,##0")))</f>
        <v>5,000 - 5,999</v>
      </c>
      <c r="L183" s="71">
        <v>6.6</v>
      </c>
      <c r="M183" s="19" t="str">
        <f>IF($C183="","",IF($L183="","-",INDEX(SETUP!$B$36:$B$42,MATCH($L183,SETUP!$A$36:$A$42,1))))</f>
        <v>6k - 8k</v>
      </c>
      <c r="N183" s="21">
        <f>IF($C183="","",IF(OR($G183="",$I183=""),"",ROUND(100*(SETUP!$B$4*MIN(1,$I183/SETUP!$B$9)+SETUP!$B$5*MAX(0,MIN(1,($G183-SETUP!$B$10)/(SETUP!$B$11-SETUP!$B$10)))+SETUP!$B$6*MIN(1,IF($L183="",0,$L183)/SETUP!$B$12)),1)))</f>
        <v>51.9</v>
      </c>
      <c r="O183" s="19" t="str">
        <f>IF($C183="","",IF($N183="","-",INDEX(SETUP!$B$46:$B$51,MATCH($N183,SETUP!$A$46:$A$51,1))))</f>
        <v>A</v>
      </c>
      <c r="P183" s="19">
        <f>IF($C183="","",IF($I183="","",RANK($I183,$I$4:$I$1463)+COUNTIF($I$4:$I183,$I183)-1))</f>
        <v>405</v>
      </c>
      <c r="Q183" s="19">
        <f>IF($C183="","",COUNTIFS($B$4:$B$1463,$B183,$X$4:$X$1463,"&gt;"&amp;$X183)+COUNTIFS($B$4:$B183,$B183,$X$4:$X183,"="&amp;$X183))</f>
        <v>15</v>
      </c>
      <c r="R183" s="75">
        <f>IF($C183="","",IF($I183="","",ROUND(COUNTIF($I$4:$I$1463,"&lt;"&amp;$I183)/COUNT($I$4:$I$1463),3)))</f>
        <v>0.69399999999999995</v>
      </c>
      <c r="S183" s="19" t="str">
        <f>IF($C183="","",IF($G183="","Name only",IF(OR($I183="",$L183=""),"Partial","Complete")))</f>
        <v>Complete</v>
      </c>
      <c r="T183" s="1" t="str">
        <f>IF($C183="","",TRIM(IF(COUNTIF($C$4:$C$1463,$C183)&gt;1,"Dup name; ","")&amp;IF(AND($G183&lt;&gt;"",$G183&lt;55000),"Low CR - verify; ","")&amp;IF(AND($L183&lt;&gt;"",$L183&gt;15),"Secondary - verify; ","")&amp;IF($E183="","No class; ","")))</f>
        <v/>
      </c>
      <c r="U183" s="68"/>
      <c r="V183" s="68"/>
      <c r="W183" s="68"/>
      <c r="X183" s="76">
        <f t="shared" si="12"/>
        <v>5062</v>
      </c>
      <c r="Y183" s="1" t="str">
        <f t="shared" si="13"/>
        <v>INVICTUS|15</v>
      </c>
      <c r="Z183" s="19">
        <f>IF($C183="","",IF($G183="","",RANK($G183,$G$4:$G$1463)+COUNTIF($G$4:$G183,$G183)-1))</f>
        <v>773</v>
      </c>
      <c r="AA183" s="19">
        <f>IF($C183="","",IF($N183="","",RANK($N183,$N$4:$N$1463)+COUNTIF($N$4:$N183,$N183)-1))</f>
        <v>395</v>
      </c>
      <c r="AB183" s="1" t="str">
        <f>IF($C183="","",IF($E183="","",$E183&amp;"#"&amp;(COUNTIFS($E$4:$E$1463,$E183,$X$4:$X$1463,"&gt;"&amp;$X183)+COUNTIFS($E$4:$E183,$E183,$X$4:$X183,"="&amp;$X183))))</f>
        <v>DEMON HUNTER#65</v>
      </c>
      <c r="AC183" s="1" t="str">
        <f>IF($C183="","",$B183&amp;"@"&amp;(COUNTIFS($B$4:$B$1463,$B183,$C$4:$C$1463,"&lt;"&amp;$C183)+COUNTIFS($B$4:$B183,$B183,$C$4:$C183,$C183)))</f>
        <v>INVICTUS@14</v>
      </c>
      <c r="AD183" s="1">
        <f t="shared" si="14"/>
        <v>180</v>
      </c>
      <c r="AE183" s="1" t="s">
        <v>876</v>
      </c>
      <c r="AF183" s="76">
        <f t="shared" si="15"/>
        <v>62156</v>
      </c>
      <c r="AG183" s="77">
        <f t="shared" si="16"/>
        <v>6.6</v>
      </c>
      <c r="AH183" s="1" t="str">
        <f>IF($C183="","",$B183&amp;"|"&amp;(COUNTIFS($B$4:$B$1463,$B183,$AF$4:$AF$1463,"&gt;"&amp;$AF183)+COUNTIFS($B$4:$B183,$B183,$AF$4:$AF183,"="&amp;$AF183)))</f>
        <v>INVICTUS|49</v>
      </c>
      <c r="AI183" s="1" t="str">
        <f>IF($C183="","",$B183&amp;"|"&amp;(COUNTIFS($B$4:$B$1463,$B183,$AG$4:$AG$1463,"&gt;"&amp;$AG183)+COUNTIFS($B$4:$B183,$B183,$AG$4:$AG183,"="&amp;$AG183)))</f>
        <v>INVICTUS|5</v>
      </c>
    </row>
    <row r="184" spans="1:35" hidden="1">
      <c r="A184" s="69" t="s">
        <v>109</v>
      </c>
      <c r="B184" s="69" t="s">
        <v>111</v>
      </c>
      <c r="C184" s="63" t="s">
        <v>877</v>
      </c>
      <c r="D184" s="69" t="s">
        <v>527</v>
      </c>
      <c r="E184" s="68" t="s">
        <v>79</v>
      </c>
      <c r="F184" s="15" t="str">
        <f>IF($C184="","",IF($E184="","-",IFERROR(INDEX(SETUP!$B$55:$B$64,MATCH($E184,SETUP!$A$55:$A$64,0)),"Other")))</f>
        <v>Control</v>
      </c>
      <c r="G184" s="70">
        <v>63339</v>
      </c>
      <c r="H184" s="15" t="str">
        <f>IF($C184="","",IF($G184="","-",INDEX(SETUP!$B$26:$B$32,MATCH($G184,SETUP!$A$26:$A$32,1))))</f>
        <v>63,000 - 63,999</v>
      </c>
      <c r="I184" s="70">
        <v>5198</v>
      </c>
      <c r="J184" s="15" t="str">
        <f>IF($C184="","",IF($I184="","-",INDEX(SETUP!$B$16:$B$22,MATCH($I184,SETUP!$A$16:$A$22,1))))</f>
        <v>CORE</v>
      </c>
      <c r="K184" s="15" t="str">
        <f>IF($C184="","",IF($I184="","-",TEXT(INT($I184/1000)*1000,"#,##0")&amp;" - "&amp;TEXT(INT($I184/1000)*1000+999,"#,##0")))</f>
        <v>5,000 - 5,999</v>
      </c>
      <c r="L184" s="71">
        <v>5.85</v>
      </c>
      <c r="M184" s="15" t="str">
        <f>IF($C184="","",IF($L184="","-",INDEX(SETUP!$B$36:$B$42,MATCH($L184,SETUP!$A$36:$A$42,1))))</f>
        <v>5k - 6k</v>
      </c>
      <c r="N184" s="17">
        <f>IF($C184="","",IF(OR($G184="",$I184=""),"",ROUND(100*(SETUP!$B$4*MIN(1,$I184/SETUP!$B$9)+SETUP!$B$5*MAX(0,MIN(1,($G184-SETUP!$B$10)/(SETUP!$B$11-SETUP!$B$10)))+SETUP!$B$6*MIN(1,IF($L184="",0,$L184)/SETUP!$B$12)),1)))</f>
        <v>54.4</v>
      </c>
      <c r="O184" s="15" t="str">
        <f>IF($C184="","",IF($N184="","-",INDEX(SETUP!$B$46:$B$51,MATCH($N184,SETUP!$A$46:$A$51,1))))</f>
        <v>A</v>
      </c>
      <c r="P184" s="15">
        <f>IF($C184="","",IF($I184="","",RANK($I184,$I$4:$I$1463)+COUNTIF($I$4:$I184,$I184)-1))</f>
        <v>379</v>
      </c>
      <c r="Q184" s="15">
        <f>IF($C184="","",COUNTIFS($B$4:$B$1463,$B184,$X$4:$X$1463,"&gt;"&amp;$X184)+COUNTIFS($B$4:$B184,$B184,$X$4:$X184,"="&amp;$X184))</f>
        <v>45</v>
      </c>
      <c r="R184" s="72">
        <f>IF($C184="","",IF($I184="","",ROUND(COUNTIF($I$4:$I$1463,"&lt;"&amp;$I184)/COUNT($I$4:$I$1463),3)))</f>
        <v>0.71399999999999997</v>
      </c>
      <c r="S184" s="15" t="str">
        <f>IF($C184="","",IF($G184="","Name only",IF(OR($I184="",$L184=""),"Partial","Complete")))</f>
        <v>Complete</v>
      </c>
      <c r="T184" s="41" t="str">
        <f>IF($C184="","",TRIM(IF(COUNTIF($C$4:$C$1463,$C184)&gt;1,"Dup name; ","")&amp;IF(AND($G184&lt;&gt;"",$G184&lt;55000),"Low CR - verify; ","")&amp;IF(AND($L184&lt;&gt;"",$L184&gt;15),"Secondary - verify; ","")&amp;IF($E184="","No class; ","")))</f>
        <v/>
      </c>
      <c r="U184" s="68"/>
      <c r="V184" s="68"/>
      <c r="W184" s="68"/>
      <c r="X184" s="73">
        <f t="shared" si="12"/>
        <v>5198</v>
      </c>
      <c r="Y184" s="41" t="str">
        <f t="shared" si="13"/>
        <v>RECKONING|45</v>
      </c>
      <c r="Z184" s="15">
        <f>IF($C184="","",IF($G184="","",RANK($G184,$G$4:$G$1463)+COUNTIF($G$4:$G184,$G184)-1))</f>
        <v>244</v>
      </c>
      <c r="AA184" s="15">
        <f>IF($C184="","",IF($N184="","",RANK($N184,$N$4:$N$1463)+COUNTIF($N$4:$N184,$N184)-1))</f>
        <v>332</v>
      </c>
      <c r="AB184" s="41" t="str">
        <f>IF($C184="","",IF($E184="","",$E184&amp;"#"&amp;(COUNTIFS($E$4:$E$1463,$E184,$X$4:$X$1463,"&gt;"&amp;$X184)+COUNTIFS($E$4:$E184,$E184,$X$4:$X184,"="&amp;$X184))))</f>
        <v>WARLOCK#90</v>
      </c>
      <c r="AC184" s="41" t="str">
        <f>IF($C184="","",$B184&amp;"@"&amp;(COUNTIFS($B$4:$B$1463,$B184,$C$4:$C$1463,"&lt;"&amp;$C184)+COUNTIFS($B$4:$B184,$B184,$C$4:$C184,$C184)))</f>
        <v>RECKONING@13</v>
      </c>
      <c r="AD184" s="41">
        <f t="shared" si="14"/>
        <v>181</v>
      </c>
      <c r="AE184" s="41" t="s">
        <v>878</v>
      </c>
      <c r="AF184" s="73">
        <f t="shared" si="15"/>
        <v>63339</v>
      </c>
      <c r="AG184" s="74">
        <f t="shared" si="16"/>
        <v>5.85</v>
      </c>
      <c r="AH184" s="41" t="str">
        <f>IF($C184="","",$B184&amp;"|"&amp;(COUNTIFS($B$4:$B$1463,$B184,$AF$4:$AF$1463,"&gt;"&amp;$AF184)+COUNTIFS($B$4:$B184,$B184,$AF$4:$AF184,"="&amp;$AF184)))</f>
        <v>RECKONING|27</v>
      </c>
      <c r="AI184" s="41" t="str">
        <f>IF($C184="","",$B184&amp;"|"&amp;(COUNTIFS($B$4:$B$1463,$B184,$AG$4:$AG$1463,"&gt;"&amp;$AG184)+COUNTIFS($B$4:$B184,$B184,$AG$4:$AG184,"="&amp;$AG184)))</f>
        <v>RECKONING|40</v>
      </c>
    </row>
    <row r="185" spans="1:35" hidden="1">
      <c r="A185" s="69" t="s">
        <v>109</v>
      </c>
      <c r="B185" s="69" t="s">
        <v>114</v>
      </c>
      <c r="C185" s="63" t="s">
        <v>879</v>
      </c>
      <c r="D185" s="69"/>
      <c r="E185" s="68" t="s">
        <v>80</v>
      </c>
      <c r="F185" s="19" t="str">
        <f>IF($C185="","",IF($E185="","-",IFERROR(INDEX(SETUP!$B$55:$B$64,MATCH($E185,SETUP!$A$55:$A$64,0)),"Other")))</f>
        <v>Ranged DPS</v>
      </c>
      <c r="G185" s="70">
        <v>59781</v>
      </c>
      <c r="H185" s="19" t="str">
        <f>IF($C185="","",IF($G185="","-",INDEX(SETUP!$B$26:$B$32,MATCH($G185,SETUP!$A$26:$A$32,1))))</f>
        <v>58,000 - 59,999</v>
      </c>
      <c r="I185" s="70">
        <v>3559</v>
      </c>
      <c r="J185" s="19" t="str">
        <f>IF($C185="","",IF($I185="","-",INDEX(SETUP!$B$16:$B$22,MATCH($I185,SETUP!$A$16:$A$22,1))))</f>
        <v>DEVELOPING</v>
      </c>
      <c r="K185" s="19" t="str">
        <f>IF($C185="","",IF($I185="","-",TEXT(INT($I185/1000)*1000,"#,##0")&amp;" - "&amp;TEXT(INT($I185/1000)*1000+999,"#,##0")))</f>
        <v>3,000 - 3,999</v>
      </c>
      <c r="L185" s="71">
        <v>4.3499999999999996</v>
      </c>
      <c r="M185" s="19" t="str">
        <f>IF($C185="","",IF($L185="","-",INDEX(SETUP!$B$36:$B$42,MATCH($L185,SETUP!$A$36:$A$42,1))))</f>
        <v>4k - 5k</v>
      </c>
      <c r="N185" s="21">
        <f>IF($C185="","",IF(OR($G185="",$I185=""),"",ROUND(100*(SETUP!$B$4*MIN(1,$I185/SETUP!$B$9)+SETUP!$B$5*MAX(0,MIN(1,($G185-SETUP!$B$10)/(SETUP!$B$11-SETUP!$B$10)))+SETUP!$B$6*MIN(1,IF($L185="",0,$L185)/SETUP!$B$12)),1)))</f>
        <v>35.4</v>
      </c>
      <c r="O185" s="19" t="str">
        <f>IF($C185="","",IF($N185="","-",INDEX(SETUP!$B$46:$B$51,MATCH($N185,SETUP!$A$46:$A$51,1))))</f>
        <v>B</v>
      </c>
      <c r="P185" s="19">
        <f>IF($C185="","",IF($I185="","",RANK($I185,$I$4:$I$1463)+COUNTIF($I$4:$I185,$I185)-1))</f>
        <v>711</v>
      </c>
      <c r="Q185" s="19">
        <f>IF($C185="","",COUNTIFS($B$4:$B$1463,$B185,$X$4:$X$1463,"&gt;"&amp;$X185)+COUNTIFS($B$4:$B185,$B185,$X$4:$X185,"="&amp;$X185))</f>
        <v>17</v>
      </c>
      <c r="R185" s="75">
        <f>IF($C185="","",IF($I185="","",ROUND(COUNTIF($I$4:$I$1463,"&lt;"&amp;$I185)/COUNT($I$4:$I$1463),3)))</f>
        <v>0.46300000000000002</v>
      </c>
      <c r="S185" s="19" t="str">
        <f>IF($C185="","",IF($G185="","Name only",IF(OR($I185="",$L185=""),"Partial","Complete")))</f>
        <v>Complete</v>
      </c>
      <c r="T185" s="1" t="str">
        <f>IF($C185="","",TRIM(IF(COUNTIF($C$4:$C$1463,$C185)&gt;1,"Dup name; ","")&amp;IF(AND($G185&lt;&gt;"",$G185&lt;55000),"Low CR - verify; ","")&amp;IF(AND($L185&lt;&gt;"",$L185&gt;15),"Secondary - verify; ","")&amp;IF($E185="","No class; ","")))</f>
        <v/>
      </c>
      <c r="U185" s="68"/>
      <c r="V185" s="68"/>
      <c r="W185" s="68"/>
      <c r="X185" s="76">
        <f t="shared" si="12"/>
        <v>3559</v>
      </c>
      <c r="Y185" s="1" t="str">
        <f t="shared" si="13"/>
        <v>EMERALD LEAF TRIBE|17</v>
      </c>
      <c r="Z185" s="19">
        <f>IF($C185="","",IF($G185="","",RANK($G185,$G$4:$G$1463)+COUNTIF($G$4:$G185,$G185)-1))</f>
        <v>1251</v>
      </c>
      <c r="AA185" s="19">
        <f>IF($C185="","",IF($N185="","",RANK($N185,$N$4:$N$1463)+COUNTIF($N$4:$N185,$N185)-1))</f>
        <v>991</v>
      </c>
      <c r="AB185" s="1" t="str">
        <f>IF($C185="","",IF($E185="","",$E185&amp;"#"&amp;(COUNTIFS($E$4:$E$1463,$E185,$X$4:$X$1463,"&gt;"&amp;$X185)+COUNTIFS($E$4:$E185,$E185,$X$4:$X185,"="&amp;$X185))))</f>
        <v>WIZARD#51</v>
      </c>
      <c r="AC185" s="1" t="str">
        <f>IF($C185="","",$B185&amp;"@"&amp;(COUNTIFS($B$4:$B$1463,$B185,$C$4:$C$1463,"&lt;"&amp;$C185)+COUNTIFS($B$4:$B185,$B185,$C$4:$C185,$C185)))</f>
        <v>EMERALD LEAF TRIBE@5</v>
      </c>
      <c r="AD185" s="1">
        <f t="shared" si="14"/>
        <v>182</v>
      </c>
      <c r="AE185" s="1" t="s">
        <v>880</v>
      </c>
      <c r="AF185" s="76">
        <f t="shared" si="15"/>
        <v>59781</v>
      </c>
      <c r="AG185" s="77">
        <f t="shared" si="16"/>
        <v>4.3499999999999996</v>
      </c>
      <c r="AH185" s="1" t="str">
        <f>IF($C185="","",$B185&amp;"|"&amp;(COUNTIFS($B$4:$B$1463,$B185,$AF$4:$AF$1463,"&gt;"&amp;$AF185)+COUNTIFS($B$4:$B185,$B185,$AF$4:$AF185,"="&amp;$AF185)))</f>
        <v>EMERALD LEAF TRIBE|76</v>
      </c>
      <c r="AI185" s="1" t="str">
        <f>IF($C185="","",$B185&amp;"|"&amp;(COUNTIFS($B$4:$B$1463,$B185,$AG$4:$AG$1463,"&gt;"&amp;$AG185)+COUNTIFS($B$4:$B185,$B185,$AG$4:$AG185,"="&amp;$AG185)))</f>
        <v>EMERALD LEAF TRIBE|19</v>
      </c>
    </row>
    <row r="186" spans="1:35" hidden="1">
      <c r="A186" s="69" t="s">
        <v>109</v>
      </c>
      <c r="B186" s="69" t="s">
        <v>117</v>
      </c>
      <c r="C186" s="63" t="s">
        <v>881</v>
      </c>
      <c r="D186" s="69"/>
      <c r="E186" s="68" t="s">
        <v>77</v>
      </c>
      <c r="F186" s="15" t="str">
        <f>IF($C186="","",IF($E186="","-",IFERROR(INDEX(SETUP!$B$55:$B$64,MATCH($E186,SETUP!$A$55:$A$64,0)),"Other")))</f>
        <v>Control</v>
      </c>
      <c r="G186" s="70">
        <v>62507</v>
      </c>
      <c r="H186" s="15" t="str">
        <f>IF($C186="","",IF($G186="","-",INDEX(SETUP!$B$26:$B$32,MATCH($G186,SETUP!$A$26:$A$32,1))))</f>
        <v>62,000 - 62,999</v>
      </c>
      <c r="I186" s="70">
        <v>2040</v>
      </c>
      <c r="J186" s="15" t="str">
        <f>IF($C186="","",IF($I186="","-",INDEX(SETUP!$B$16:$B$22,MATCH($I186,SETUP!$A$16:$A$22,1))))</f>
        <v>DEVELOPING</v>
      </c>
      <c r="K186" s="15" t="str">
        <f>IF($C186="","",IF($I186="","-",TEXT(INT($I186/1000)*1000,"#,##0")&amp;" - "&amp;TEXT(INT($I186/1000)*1000+999,"#,##0")))</f>
        <v>2,000 - 2,999</v>
      </c>
      <c r="L186" s="71">
        <v>4.0999999999999996</v>
      </c>
      <c r="M186" s="15" t="str">
        <f>IF($C186="","",IF($L186="","-",INDEX(SETUP!$B$36:$B$42,MATCH($L186,SETUP!$A$36:$A$42,1))))</f>
        <v>4k - 5k</v>
      </c>
      <c r="N186" s="17">
        <f>IF($C186="","",IF(OR($G186="",$I186=""),"",ROUND(100*(SETUP!$B$4*MIN(1,$I186/SETUP!$B$9)+SETUP!$B$5*MAX(0,MIN(1,($G186-SETUP!$B$10)/(SETUP!$B$11-SETUP!$B$10)))+SETUP!$B$6*MIN(1,IF($L186="",0,$L186)/SETUP!$B$12)),1)))</f>
        <v>35.5</v>
      </c>
      <c r="O186" s="15" t="str">
        <f>IF($C186="","",IF($N186="","-",INDEX(SETUP!$B$46:$B$51,MATCH($N186,SETUP!$A$46:$A$51,1))))</f>
        <v>B</v>
      </c>
      <c r="P186" s="15">
        <f>IF($C186="","",IF($I186="","",RANK($I186,$I$4:$I$1463)+COUNTIF($I$4:$I186,$I186)-1))</f>
        <v>1103</v>
      </c>
      <c r="Q186" s="15">
        <f>IF($C186="","",COUNTIFS($B$4:$B$1463,$B186,$X$4:$X$1463,"&gt;"&amp;$X186)+COUNTIFS($B$4:$B186,$B186,$X$4:$X186,"="&amp;$X186))</f>
        <v>45</v>
      </c>
      <c r="R186" s="72">
        <f>IF($C186="","",IF($I186="","",ROUND(COUNTIF($I$4:$I$1463,"&lt;"&amp;$I186)/COUNT($I$4:$I$1463),3)))</f>
        <v>0.16800000000000001</v>
      </c>
      <c r="S186" s="15" t="str">
        <f>IF($C186="","",IF($G186="","Name only",IF(OR($I186="",$L186=""),"Partial","Complete")))</f>
        <v>Complete</v>
      </c>
      <c r="T186" s="41" t="str">
        <f>IF($C186="","",TRIM(IF(COUNTIF($C$4:$C$1463,$C186)&gt;1,"Dup name; ","")&amp;IF(AND($G186&lt;&gt;"",$G186&lt;55000),"Low CR - verify; ","")&amp;IF(AND($L186&lt;&gt;"",$L186&gt;15),"Secondary - verify; ","")&amp;IF($E186="","No class; ","")))</f>
        <v/>
      </c>
      <c r="U186" s="68"/>
      <c r="V186" s="68"/>
      <c r="W186" s="68"/>
      <c r="X186" s="73">
        <f t="shared" si="12"/>
        <v>2040</v>
      </c>
      <c r="Y186" s="41" t="str">
        <f t="shared" si="13"/>
        <v>VENDETTA|45</v>
      </c>
      <c r="Z186" s="15">
        <f>IF($C186="","",IF($G186="","",RANK($G186,$G$4:$G$1463)+COUNTIF($G$4:$G186,$G186)-1))</f>
        <v>652</v>
      </c>
      <c r="AA186" s="15">
        <f>IF($C186="","",IF($N186="","",RANK($N186,$N$4:$N$1463)+COUNTIF($N$4:$N186,$N186)-1))</f>
        <v>986</v>
      </c>
      <c r="AB186" s="41" t="str">
        <f>IF($C186="","",IF($E186="","",$E186&amp;"#"&amp;(COUNTIFS($E$4:$E$1463,$E186,$X$4:$X$1463,"&gt;"&amp;$X186)+COUNTIFS($E$4:$E186,$E186,$X$4:$X186,"="&amp;$X186))))</f>
        <v>NECROMANCER#73</v>
      </c>
      <c r="AC186" s="41" t="str">
        <f>IF($C186="","",$B186&amp;"@"&amp;(COUNTIFS($B$4:$B$1463,$B186,$C$4:$C$1463,"&lt;"&amp;$C186)+COUNTIFS($B$4:$B186,$B186,$C$4:$C186,$C186)))</f>
        <v>VENDETTA@16</v>
      </c>
      <c r="AD186" s="41">
        <f t="shared" si="14"/>
        <v>183</v>
      </c>
      <c r="AE186" s="41" t="s">
        <v>882</v>
      </c>
      <c r="AF186" s="73">
        <f t="shared" si="15"/>
        <v>62507</v>
      </c>
      <c r="AG186" s="74">
        <f t="shared" si="16"/>
        <v>4.0999999999999996</v>
      </c>
      <c r="AH186" s="41" t="str">
        <f>IF($C186="","",$B186&amp;"|"&amp;(COUNTIFS($B$4:$B$1463,$B186,$AF$4:$AF$1463,"&gt;"&amp;$AF186)+COUNTIFS($B$4:$B186,$B186,$AF$4:$AF186,"="&amp;$AF186)))</f>
        <v>VENDETTA|19</v>
      </c>
      <c r="AI186" s="41" t="str">
        <f>IF($C186="","",$B186&amp;"|"&amp;(COUNTIFS($B$4:$B$1463,$B186,$AG$4:$AG$1463,"&gt;"&amp;$AG186)+COUNTIFS($B$4:$B186,$B186,$AG$4:$AG186,"="&amp;$AG186)))</f>
        <v>VENDETTA|33</v>
      </c>
    </row>
    <row r="187" spans="1:35" hidden="1">
      <c r="A187" s="69" t="s">
        <v>109</v>
      </c>
      <c r="B187" s="69" t="s">
        <v>117</v>
      </c>
      <c r="C187" s="63" t="s">
        <v>883</v>
      </c>
      <c r="D187" s="69"/>
      <c r="E187" s="68" t="s">
        <v>71</v>
      </c>
      <c r="F187" s="19" t="str">
        <f>IF($C187="","",IF($E187="","-",IFERROR(INDEX(SETUP!$B$55:$B$64,MATCH($E187,SETUP!$A$55:$A$64,0)),"Other")))</f>
        <v>Frontline</v>
      </c>
      <c r="G187" s="70">
        <v>60621</v>
      </c>
      <c r="H187" s="19" t="str">
        <f>IF($C187="","",IF($G187="","-",INDEX(SETUP!$B$26:$B$32,MATCH($G187,SETUP!$A$26:$A$32,1))))</f>
        <v>60,000 - 60,999</v>
      </c>
      <c r="I187" s="70">
        <v>1827</v>
      </c>
      <c r="J187" s="19" t="str">
        <f>IF($C187="","",IF($I187="","-",INDEX(SETUP!$B$16:$B$22,MATCH($I187,SETUP!$A$16:$A$22,1))))</f>
        <v>ROOKIE</v>
      </c>
      <c r="K187" s="19" t="str">
        <f>IF($C187="","",IF($I187="","-",TEXT(INT($I187/1000)*1000,"#,##0")&amp;" - "&amp;TEXT(INT($I187/1000)*1000+999,"#,##0")))</f>
        <v>1,000 - 1,999</v>
      </c>
      <c r="L187" s="71">
        <v>3.5</v>
      </c>
      <c r="M187" s="19" t="str">
        <f>IF($C187="","",IF($L187="","-",INDEX(SETUP!$B$36:$B$42,MATCH($L187,SETUP!$A$36:$A$42,1))))</f>
        <v>3k - 4k</v>
      </c>
      <c r="N187" s="21">
        <f>IF($C187="","",IF(OR($G187="",$I187=""),"",ROUND(100*(SETUP!$B$4*MIN(1,$I187/SETUP!$B$9)+SETUP!$B$5*MAX(0,MIN(1,($G187-SETUP!$B$10)/(SETUP!$B$11-SETUP!$B$10)))+SETUP!$B$6*MIN(1,IF($L187="",0,$L187)/SETUP!$B$12)),1)))</f>
        <v>28.6</v>
      </c>
      <c r="O187" s="19" t="str">
        <f>IF($C187="","",IF($N187="","-",INDEX(SETUP!$B$46:$B$51,MATCH($N187,SETUP!$A$46:$A$51,1))))</f>
        <v>C</v>
      </c>
      <c r="P187" s="19">
        <f>IF($C187="","",IF($I187="","",RANK($I187,$I$4:$I$1463)+COUNTIF($I$4:$I187,$I187)-1))</f>
        <v>1143</v>
      </c>
      <c r="Q187" s="19">
        <f>IF($C187="","",COUNTIFS($B$4:$B$1463,$B187,$X$4:$X$1463,"&gt;"&amp;$X187)+COUNTIFS($B$4:$B187,$B187,$X$4:$X187,"="&amp;$X187))</f>
        <v>55</v>
      </c>
      <c r="R187" s="75">
        <f>IF($C187="","",IF($I187="","",ROUND(COUNTIF($I$4:$I$1463,"&lt;"&amp;$I187)/COUNT($I$4:$I$1463),3)))</f>
        <v>0.13700000000000001</v>
      </c>
      <c r="S187" s="19" t="str">
        <f>IF($C187="","",IF($G187="","Name only",IF(OR($I187="",$L187=""),"Partial","Complete")))</f>
        <v>Complete</v>
      </c>
      <c r="T187" s="1" t="str">
        <f>IF($C187="","",TRIM(IF(COUNTIF($C$4:$C$1463,$C187)&gt;1,"Dup name; ","")&amp;IF(AND($G187&lt;&gt;"",$G187&lt;55000),"Low CR - verify; ","")&amp;IF(AND($L187&lt;&gt;"",$L187&gt;15),"Secondary - verify; ","")&amp;IF($E187="","No class; ","")))</f>
        <v/>
      </c>
      <c r="U187" s="68"/>
      <c r="V187" s="68"/>
      <c r="W187" s="68"/>
      <c r="X187" s="76">
        <f t="shared" si="12"/>
        <v>1827</v>
      </c>
      <c r="Y187" s="1" t="str">
        <f t="shared" si="13"/>
        <v>VENDETTA|55</v>
      </c>
      <c r="Z187" s="19">
        <f>IF($C187="","",IF($G187="","",RANK($G187,$G$4:$G$1463)+COUNTIF($G$4:$G187,$G187)-1))</f>
        <v>1193</v>
      </c>
      <c r="AA187" s="19">
        <f>IF($C187="","",IF($N187="","",RANK($N187,$N$4:$N$1463)+COUNTIF($N$4:$N187,$N187)-1))</f>
        <v>1179</v>
      </c>
      <c r="AB187" s="1" t="str">
        <f>IF($C187="","",IF($E187="","",$E187&amp;"#"&amp;(COUNTIFS($E$4:$E$1463,$E187,$X$4:$X$1463,"&gt;"&amp;$X187)+COUNTIFS($E$4:$E187,$E187,$X$4:$X187,"="&amp;$X187))))</f>
        <v>BARBARIAN#195</v>
      </c>
      <c r="AC187" s="1" t="str">
        <f>IF($C187="","",$B187&amp;"@"&amp;(COUNTIFS($B$4:$B$1463,$B187,$C$4:$C$1463,"&lt;"&amp;$C187)+COUNTIFS($B$4:$B187,$B187,$C$4:$C187,$C187)))</f>
        <v>VENDETTA@17</v>
      </c>
      <c r="AD187" s="1">
        <f t="shared" si="14"/>
        <v>184</v>
      </c>
      <c r="AE187" s="1" t="s">
        <v>568</v>
      </c>
      <c r="AF187" s="76">
        <f t="shared" si="15"/>
        <v>60621</v>
      </c>
      <c r="AG187" s="77">
        <f t="shared" si="16"/>
        <v>3.5</v>
      </c>
      <c r="AH187" s="1" t="str">
        <f>IF($C187="","",$B187&amp;"|"&amp;(COUNTIFS($B$4:$B$1463,$B187,$AF$4:$AF$1463,"&gt;"&amp;$AF187)+COUNTIFS($B$4:$B187,$B187,$AF$4:$AF187,"="&amp;$AF187)))</f>
        <v>VENDETTA|77</v>
      </c>
      <c r="AI187" s="1" t="str">
        <f>IF($C187="","",$B187&amp;"|"&amp;(COUNTIFS($B$4:$B$1463,$B187,$AG$4:$AG$1463,"&gt;"&amp;$AG187)+COUNTIFS($B$4:$B187,$B187,$AG$4:$AG187,"="&amp;$AG187)))</f>
        <v>VENDETTA|53</v>
      </c>
    </row>
    <row r="188" spans="1:35" hidden="1">
      <c r="A188" s="69" t="s">
        <v>109</v>
      </c>
      <c r="B188" s="69" t="s">
        <v>115</v>
      </c>
      <c r="C188" s="63" t="s">
        <v>884</v>
      </c>
      <c r="D188" s="69"/>
      <c r="E188" s="68" t="s">
        <v>78</v>
      </c>
      <c r="F188" s="15" t="str">
        <f>IF($C188="","",IF($E188="","-",IFERROR(INDEX(SETUP!$B$55:$B$64,MATCH($E188,SETUP!$A$55:$A$64,0)),"Other")))</f>
        <v>Melee DPS</v>
      </c>
      <c r="G188" s="70">
        <v>62058</v>
      </c>
      <c r="H188" s="15" t="str">
        <f>IF($C188="","",IF($G188="","-",INDEX(SETUP!$B$26:$B$32,MATCH($G188,SETUP!$A$26:$A$32,1))))</f>
        <v>62,000 - 62,999</v>
      </c>
      <c r="I188" s="70">
        <v>4690</v>
      </c>
      <c r="J188" s="15" t="str">
        <f>IF($C188="","",IF($I188="","-",INDEX(SETUP!$B$16:$B$22,MATCH($I188,SETUP!$A$16:$A$22,1))))</f>
        <v>CORE</v>
      </c>
      <c r="K188" s="15" t="str">
        <f>IF($C188="","",IF($I188="","-",TEXT(INT($I188/1000)*1000,"#,##0")&amp;" - "&amp;TEXT(INT($I188/1000)*1000+999,"#,##0")))</f>
        <v>4,000 - 4,999</v>
      </c>
      <c r="L188" s="71">
        <v>3.9</v>
      </c>
      <c r="M188" s="15" t="str">
        <f>IF($C188="","",IF($L188="","-",INDEX(SETUP!$B$36:$B$42,MATCH($L188,SETUP!$A$36:$A$42,1))))</f>
        <v>3k - 4k</v>
      </c>
      <c r="N188" s="17">
        <f>IF($C188="","",IF(OR($G188="",$I188=""),"",ROUND(100*(SETUP!$B$4*MIN(1,$I188/SETUP!$B$9)+SETUP!$B$5*MAX(0,MIN(1,($G188-SETUP!$B$10)/(SETUP!$B$11-SETUP!$B$10)))+SETUP!$B$6*MIN(1,IF($L188="",0,$L188)/SETUP!$B$12)),1)))</f>
        <v>45.5</v>
      </c>
      <c r="O188" s="15" t="str">
        <f>IF($C188="","",IF($N188="","-",INDEX(SETUP!$B$46:$B$51,MATCH($N188,SETUP!$A$46:$A$51,1))))</f>
        <v>B</v>
      </c>
      <c r="P188" s="15">
        <f>IF($C188="","",IF($I188="","",RANK($I188,$I$4:$I$1463)+COUNTIF($I$4:$I188,$I188)-1))</f>
        <v>457</v>
      </c>
      <c r="Q188" s="15">
        <f>IF($C188="","",COUNTIFS($B$4:$B$1463,$B188,$X$4:$X$1463,"&gt;"&amp;$X188)+COUNTIFS($B$4:$B188,$B188,$X$4:$X188,"="&amp;$X188))</f>
        <v>11</v>
      </c>
      <c r="R188" s="72">
        <f>IF($C188="","",IF($I188="","",ROUND(COUNTIF($I$4:$I$1463,"&lt;"&amp;$I188)/COUNT($I$4:$I$1463),3)))</f>
        <v>0.65500000000000003</v>
      </c>
      <c r="S188" s="15" t="str">
        <f>IF($C188="","",IF($G188="","Name only",IF(OR($I188="",$L188=""),"Partial","Complete")))</f>
        <v>Complete</v>
      </c>
      <c r="T188" s="41" t="str">
        <f>IF($C188="","",TRIM(IF(COUNTIF($C$4:$C$1463,$C188)&gt;1,"Dup name; ","")&amp;IF(AND($G188&lt;&gt;"",$G188&lt;55000),"Low CR - verify; ","")&amp;IF(AND($L188&lt;&gt;"",$L188&gt;15),"Secondary - verify; ","")&amp;IF($E188="","No class; ","")))</f>
        <v/>
      </c>
      <c r="U188" s="68"/>
      <c r="V188" s="68"/>
      <c r="W188" s="68"/>
      <c r="X188" s="73">
        <f t="shared" si="12"/>
        <v>4690</v>
      </c>
      <c r="Y188" s="41" t="str">
        <f t="shared" si="13"/>
        <v>SUB ROSA|11</v>
      </c>
      <c r="Z188" s="15">
        <f>IF($C188="","",IF($G188="","",RANK($G188,$G$4:$G$1463)+COUNTIF($G$4:$G188,$G188)-1))</f>
        <v>813</v>
      </c>
      <c r="AA188" s="15">
        <f>IF($C188="","",IF($N188="","",RANK($N188,$N$4:$N$1463)+COUNTIF($N$4:$N188,$N188)-1))</f>
        <v>605</v>
      </c>
      <c r="AB188" s="41" t="str">
        <f>IF($C188="","",IF($E188="","",$E188&amp;"#"&amp;(COUNTIFS($E$4:$E$1463,$E188,$X$4:$X$1463,"&gt;"&amp;$X188)+COUNTIFS($E$4:$E188,$E188,$X$4:$X188,"="&amp;$X188))))</f>
        <v>TEMPEST#17</v>
      </c>
      <c r="AC188" s="41" t="str">
        <f>IF($C188="","",$B188&amp;"@"&amp;(COUNTIFS($B$4:$B$1463,$B188,$C$4:$C$1463,"&lt;"&amp;$C188)+COUNTIFS($B$4:$B188,$B188,$C$4:$C188,$C188)))</f>
        <v>SUB ROSA@13</v>
      </c>
      <c r="AD188" s="41">
        <f t="shared" si="14"/>
        <v>185</v>
      </c>
      <c r="AE188" s="41" t="s">
        <v>885</v>
      </c>
      <c r="AF188" s="73">
        <f t="shared" si="15"/>
        <v>62058</v>
      </c>
      <c r="AG188" s="74">
        <f t="shared" si="16"/>
        <v>3.9</v>
      </c>
      <c r="AH188" s="41" t="str">
        <f>IF($C188="","",$B188&amp;"|"&amp;(COUNTIFS($B$4:$B$1463,$B188,$AF$4:$AF$1463,"&gt;"&amp;$AF188)+COUNTIFS($B$4:$B188,$B188,$AF$4:$AF188,"="&amp;$AF188)))</f>
        <v>SUB ROSA|31</v>
      </c>
      <c r="AI188" s="41" t="str">
        <f>IF($C188="","",$B188&amp;"|"&amp;(COUNTIFS($B$4:$B$1463,$B188,$AG$4:$AG$1463,"&gt;"&amp;$AG188)+COUNTIFS($B$4:$B188,$B188,$AG$4:$AG188,"="&amp;$AG188)))</f>
        <v>SUB ROSA|30</v>
      </c>
    </row>
    <row r="189" spans="1:35" hidden="1">
      <c r="A189" s="69" t="s">
        <v>106</v>
      </c>
      <c r="B189" s="69" t="s">
        <v>105</v>
      </c>
      <c r="C189" s="63" t="s">
        <v>886</v>
      </c>
      <c r="D189" s="69" t="s">
        <v>691</v>
      </c>
      <c r="E189" s="68" t="s">
        <v>79</v>
      </c>
      <c r="F189" s="19" t="str">
        <f>IF($C189="","",IF($E189="","-",IFERROR(INDEX(SETUP!$B$55:$B$64,MATCH($E189,SETUP!$A$55:$A$64,0)),"Other")))</f>
        <v>Control</v>
      </c>
      <c r="G189" s="70">
        <v>63686</v>
      </c>
      <c r="H189" s="19" t="str">
        <f>IF($C189="","",IF($G189="","-",INDEX(SETUP!$B$26:$B$32,MATCH($G189,SETUP!$A$26:$A$32,1))))</f>
        <v>63,000 - 63,999</v>
      </c>
      <c r="I189" s="70">
        <v>7372</v>
      </c>
      <c r="J189" s="19" t="str">
        <f>IF($C189="","",IF($I189="","-",INDEX(SETUP!$B$16:$B$22,MATCH($I189,SETUP!$A$16:$A$22,1))))</f>
        <v>VETERAN</v>
      </c>
      <c r="K189" s="19" t="str">
        <f>IF($C189="","",IF($I189="","-",TEXT(INT($I189/1000)*1000,"#,##0")&amp;" - "&amp;TEXT(INT($I189/1000)*1000+999,"#,##0")))</f>
        <v>7,000 - 7,999</v>
      </c>
      <c r="L189" s="71">
        <v>6.28</v>
      </c>
      <c r="M189" s="19" t="str">
        <f>IF($C189="","",IF($L189="","-",INDEX(SETUP!$B$36:$B$42,MATCH($L189,SETUP!$A$36:$A$42,1))))</f>
        <v>6k - 8k</v>
      </c>
      <c r="N189" s="21">
        <f>IF($C189="","",IF(OR($G189="",$I189=""),"",ROUND(100*(SETUP!$B$4*MIN(1,$I189/SETUP!$B$9)+SETUP!$B$5*MAX(0,MIN(1,($G189-SETUP!$B$10)/(SETUP!$B$11-SETUP!$B$10)))+SETUP!$B$6*MIN(1,IF($L189="",0,$L189)/SETUP!$B$12)),1)))</f>
        <v>65.5</v>
      </c>
      <c r="O189" s="19" t="str">
        <f>IF($C189="","",IF($N189="","-",INDEX(SETUP!$B$46:$B$51,MATCH($N189,SETUP!$A$46:$A$51,1))))</f>
        <v>S</v>
      </c>
      <c r="P189" s="19">
        <f>IF($C189="","",IF($I189="","",RANK($I189,$I$4:$I$1463)+COUNTIF($I$4:$I189,$I189)-1))</f>
        <v>184</v>
      </c>
      <c r="Q189" s="19">
        <f>IF($C189="","",COUNTIFS($B$4:$B$1463,$B189,$X$4:$X$1463,"&gt;"&amp;$X189)+COUNTIFS($B$4:$B189,$B189,$X$4:$X189,"="&amp;$X189))</f>
        <v>19</v>
      </c>
      <c r="R189" s="75">
        <f>IF($C189="","",IF($I189="","",ROUND(COUNTIF($I$4:$I$1463,"&lt;"&amp;$I189)/COUNT($I$4:$I$1463),3)))</f>
        <v>0.86099999999999999</v>
      </c>
      <c r="S189" s="19" t="str">
        <f>IF($C189="","",IF($G189="","Name only",IF(OR($I189="",$L189=""),"Partial","Complete")))</f>
        <v>Complete</v>
      </c>
      <c r="T189" s="1" t="str">
        <f>IF($C189="","",TRIM(IF(COUNTIF($C$4:$C$1463,$C189)&gt;1,"Dup name; ","")&amp;IF(AND($G189&lt;&gt;"",$G189&lt;55000),"Low CR - verify; ","")&amp;IF(AND($L189&lt;&gt;"",$L189&gt;15),"Secondary - verify; ","")&amp;IF($E189="","No class; ","")))</f>
        <v>Dup name;</v>
      </c>
      <c r="U189" s="68"/>
      <c r="V189" s="68"/>
      <c r="W189" s="68"/>
      <c r="X189" s="76">
        <f t="shared" si="12"/>
        <v>7372</v>
      </c>
      <c r="Y189" s="1" t="str">
        <f t="shared" si="13"/>
        <v>LEGENDS|19</v>
      </c>
      <c r="Z189" s="19">
        <f>IF($C189="","",IF($G189="","",RANK($G189,$G$4:$G$1463)+COUNTIF($G$4:$G189,$G189)-1))</f>
        <v>142</v>
      </c>
      <c r="AA189" s="19">
        <f>IF($C189="","",IF($N189="","",RANK($N189,$N$4:$N$1463)+COUNTIF($N$4:$N189,$N189)-1))</f>
        <v>169</v>
      </c>
      <c r="AB189" s="1" t="str">
        <f>IF($C189="","",IF($E189="","",$E189&amp;"#"&amp;(COUNTIFS($E$4:$E$1463,$E189,$X$4:$X$1463,"&gt;"&amp;$X189)+COUNTIFS($E$4:$E189,$E189,$X$4:$X189,"="&amp;$X189))))</f>
        <v>WARLOCK#38</v>
      </c>
      <c r="AC189" s="1" t="str">
        <f>IF($C189="","",$B189&amp;"@"&amp;(COUNTIFS($B$4:$B$1463,$B189,$C$4:$C$1463,"&lt;"&amp;$C189)+COUNTIFS($B$4:$B189,$B189,$C$4:$C189,$C189)))</f>
        <v>LEGENDS@18</v>
      </c>
      <c r="AD189" s="1">
        <f t="shared" si="14"/>
        <v>186</v>
      </c>
      <c r="AE189" s="1" t="s">
        <v>887</v>
      </c>
      <c r="AF189" s="76">
        <f t="shared" si="15"/>
        <v>63686</v>
      </c>
      <c r="AG189" s="77">
        <f t="shared" si="16"/>
        <v>6.28</v>
      </c>
      <c r="AH189" s="1" t="str">
        <f>IF($C189="","",$B189&amp;"|"&amp;(COUNTIFS($B$4:$B$1463,$B189,$AF$4:$AF$1463,"&gt;"&amp;$AF189)+COUNTIFS($B$4:$B189,$B189,$AF$4:$AF189,"="&amp;$AF189)))</f>
        <v>LEGENDS|14</v>
      </c>
      <c r="AI189" s="1" t="str">
        <f>IF($C189="","",$B189&amp;"|"&amp;(COUNTIFS($B$4:$B$1463,$B189,$AG$4:$AG$1463,"&gt;"&amp;$AG189)+COUNTIFS($B$4:$B189,$B189,$AG$4:$AG189,"="&amp;$AG189)))</f>
        <v>LEGENDS|13</v>
      </c>
    </row>
    <row r="190" spans="1:35" hidden="1">
      <c r="A190" s="69" t="s">
        <v>109</v>
      </c>
      <c r="B190" s="69" t="s">
        <v>114</v>
      </c>
      <c r="C190" s="63" t="s">
        <v>888</v>
      </c>
      <c r="D190" s="69"/>
      <c r="E190" s="68" t="s">
        <v>79</v>
      </c>
      <c r="F190" s="15" t="str">
        <f>IF($C190="","",IF($E190="","-",IFERROR(INDEX(SETUP!$B$55:$B$64,MATCH($E190,SETUP!$A$55:$A$64,0)),"Other")))</f>
        <v>Control</v>
      </c>
      <c r="G190" s="70">
        <v>63451</v>
      </c>
      <c r="H190" s="15" t="str">
        <f>IF($C190="","",IF($G190="","-",INDEX(SETUP!$B$26:$B$32,MATCH($G190,SETUP!$A$26:$A$32,1))))</f>
        <v>63,000 - 63,999</v>
      </c>
      <c r="I190" s="70">
        <v>5260</v>
      </c>
      <c r="J190" s="15" t="str">
        <f>IF($C190="","",IF($I190="","-",INDEX(SETUP!$B$16:$B$22,MATCH($I190,SETUP!$A$16:$A$22,1))))</f>
        <v>CORE</v>
      </c>
      <c r="K190" s="15" t="str">
        <f>IF($C190="","",IF($I190="","-",TEXT(INT($I190/1000)*1000,"#,##0")&amp;" - "&amp;TEXT(INT($I190/1000)*1000+999,"#,##0")))</f>
        <v>5,000 - 5,999</v>
      </c>
      <c r="L190" s="71">
        <v>4.9000000000000004</v>
      </c>
      <c r="M190" s="15" t="str">
        <f>IF($C190="","",IF($L190="","-",INDEX(SETUP!$B$36:$B$42,MATCH($L190,SETUP!$A$36:$A$42,1))))</f>
        <v>4k - 5k</v>
      </c>
      <c r="N190" s="17">
        <f>IF($C190="","",IF(OR($G190="",$I190=""),"",ROUND(100*(SETUP!$B$4*MIN(1,$I190/SETUP!$B$9)+SETUP!$B$5*MAX(0,MIN(1,($G190-SETUP!$B$10)/(SETUP!$B$11-SETUP!$B$10)))+SETUP!$B$6*MIN(1,IF($L190="",0,$L190)/SETUP!$B$12)),1)))</f>
        <v>53.4</v>
      </c>
      <c r="O190" s="15" t="str">
        <f>IF($C190="","",IF($N190="","-",INDEX(SETUP!$B$46:$B$51,MATCH($N190,SETUP!$A$46:$A$51,1))))</f>
        <v>A</v>
      </c>
      <c r="P190" s="15">
        <f>IF($C190="","",IF($I190="","",RANK($I190,$I$4:$I$1463)+COUNTIF($I$4:$I190,$I190)-1))</f>
        <v>369</v>
      </c>
      <c r="Q190" s="15">
        <f>IF($C190="","",COUNTIFS($B$4:$B$1463,$B190,$X$4:$X$1463,"&gt;"&amp;$X190)+COUNTIFS($B$4:$B190,$B190,$X$4:$X190,"="&amp;$X190))</f>
        <v>1</v>
      </c>
      <c r="R190" s="72">
        <f>IF($C190="","",IF($I190="","",ROUND(COUNTIF($I$4:$I$1463,"&lt;"&amp;$I190)/COUNT($I$4:$I$1463),3)))</f>
        <v>0.72099999999999997</v>
      </c>
      <c r="S190" s="15" t="str">
        <f>IF($C190="","",IF($G190="","Name only",IF(OR($I190="",$L190=""),"Partial","Complete")))</f>
        <v>Complete</v>
      </c>
      <c r="T190" s="41" t="str">
        <f>IF($C190="","",TRIM(IF(COUNTIF($C$4:$C$1463,$C190)&gt;1,"Dup name; ","")&amp;IF(AND($G190&lt;&gt;"",$G190&lt;55000),"Low CR - verify; ","")&amp;IF(AND($L190&lt;&gt;"",$L190&gt;15),"Secondary - verify; ","")&amp;IF($E190="","No class; ","")))</f>
        <v/>
      </c>
      <c r="U190" s="68"/>
      <c r="V190" s="68"/>
      <c r="W190" s="68"/>
      <c r="X190" s="73">
        <f t="shared" si="12"/>
        <v>5260</v>
      </c>
      <c r="Y190" s="41" t="str">
        <f t="shared" si="13"/>
        <v>EMERALD LEAF TRIBE|1</v>
      </c>
      <c r="Z190" s="15">
        <f>IF($C190="","",IF($G190="","",RANK($G190,$G$4:$G$1463)+COUNTIF($G$4:$G190,$G190)-1))</f>
        <v>205</v>
      </c>
      <c r="AA190" s="15">
        <f>IF($C190="","",IF($N190="","",RANK($N190,$N$4:$N$1463)+COUNTIF($N$4:$N190,$N190)-1))</f>
        <v>357</v>
      </c>
      <c r="AB190" s="41" t="str">
        <f>IF($C190="","",IF($E190="","",$E190&amp;"#"&amp;(COUNTIFS($E$4:$E$1463,$E190,$X$4:$X$1463,"&gt;"&amp;$X190)+COUNTIFS($E$4:$E190,$E190,$X$4:$X190,"="&amp;$X190))))</f>
        <v>WARLOCK#85</v>
      </c>
      <c r="AC190" s="41" t="str">
        <f>IF($C190="","",$B190&amp;"@"&amp;(COUNTIFS($B$4:$B$1463,$B190,$C$4:$C$1463,"&lt;"&amp;$C190)+COUNTIFS($B$4:$B190,$B190,$C$4:$C190,$C190)))</f>
        <v>EMERALD LEAF TRIBE@11</v>
      </c>
      <c r="AD190" s="41">
        <f t="shared" si="14"/>
        <v>187</v>
      </c>
      <c r="AE190" s="41" t="s">
        <v>889</v>
      </c>
      <c r="AF190" s="73">
        <f t="shared" si="15"/>
        <v>63451</v>
      </c>
      <c r="AG190" s="74">
        <f t="shared" si="16"/>
        <v>4.9000000000000004</v>
      </c>
      <c r="AH190" s="41" t="str">
        <f>IF($C190="","",$B190&amp;"|"&amp;(COUNTIFS($B$4:$B$1463,$B190,$AF$4:$AF$1463,"&gt;"&amp;$AF190)+COUNTIFS($B$4:$B190,$B190,$AF$4:$AF190,"="&amp;$AF190)))</f>
        <v>EMERALD LEAF TRIBE|1</v>
      </c>
      <c r="AI190" s="41" t="str">
        <f>IF($C190="","",$B190&amp;"|"&amp;(COUNTIFS($B$4:$B$1463,$B190,$AG$4:$AG$1463,"&gt;"&amp;$AG190)+COUNTIFS($B$4:$B190,$B190,$AG$4:$AG190,"="&amp;$AG190)))</f>
        <v>EMERALD LEAF TRIBE|8</v>
      </c>
    </row>
    <row r="191" spans="1:35" hidden="1">
      <c r="A191" s="69" t="s">
        <v>106</v>
      </c>
      <c r="B191" s="69" t="s">
        <v>107</v>
      </c>
      <c r="C191" s="63" t="s">
        <v>890</v>
      </c>
      <c r="D191" s="69"/>
      <c r="E191" s="68" t="s">
        <v>74</v>
      </c>
      <c r="F191" s="19" t="str">
        <f>IF($C191="","",IF($E191="","-",IFERROR(INDEX(SETUP!$B$55:$B$64,MATCH($E191,SETUP!$A$55:$A$64,0)),"Other")))</f>
        <v>Ranged DPS</v>
      </c>
      <c r="G191" s="70">
        <v>63742</v>
      </c>
      <c r="H191" s="19" t="str">
        <f>IF($C191="","",IF($G191="","-",INDEX(SETUP!$B$26:$B$32,MATCH($G191,SETUP!$A$26:$A$32,1))))</f>
        <v>63,000 - 63,999</v>
      </c>
      <c r="I191" s="70">
        <v>6226</v>
      </c>
      <c r="J191" s="19" t="str">
        <f>IF($C191="","",IF($I191="","-",INDEX(SETUP!$B$16:$B$22,MATCH($I191,SETUP!$A$16:$A$22,1))))</f>
        <v>VETERAN</v>
      </c>
      <c r="K191" s="19" t="str">
        <f>IF($C191="","",IF($I191="","-",TEXT(INT($I191/1000)*1000,"#,##0")&amp;" - "&amp;TEXT(INT($I191/1000)*1000+999,"#,##0")))</f>
        <v>6,000 - 6,999</v>
      </c>
      <c r="L191" s="71">
        <v>5.9</v>
      </c>
      <c r="M191" s="19" t="str">
        <f>IF($C191="","",IF($L191="","-",INDEX(SETUP!$B$36:$B$42,MATCH($L191,SETUP!$A$36:$A$42,1))))</f>
        <v>5k - 6k</v>
      </c>
      <c r="N191" s="21">
        <f>IF($C191="","",IF(OR($G191="",$I191=""),"",ROUND(100*(SETUP!$B$4*MIN(1,$I191/SETUP!$B$9)+SETUP!$B$5*MAX(0,MIN(1,($G191-SETUP!$B$10)/(SETUP!$B$11-SETUP!$B$10)))+SETUP!$B$6*MIN(1,IF($L191="",0,$L191)/SETUP!$B$12)),1)))</f>
        <v>60</v>
      </c>
      <c r="O191" s="19" t="str">
        <f>IF($C191="","",IF($N191="","-",INDEX(SETUP!$B$46:$B$51,MATCH($N191,SETUP!$A$46:$A$51,1))))</f>
        <v>A</v>
      </c>
      <c r="P191" s="19">
        <f>IF($C191="","",IF($I191="","",RANK($I191,$I$4:$I$1463)+COUNTIF($I$4:$I191,$I191)-1))</f>
        <v>260</v>
      </c>
      <c r="Q191" s="19">
        <f>IF($C191="","",COUNTIFS($B$4:$B$1463,$B191,$X$4:$X$1463,"&gt;"&amp;$X191)+COUNTIFS($B$4:$B191,$B191,$X$4:$X191,"="&amp;$X191))</f>
        <v>17</v>
      </c>
      <c r="R191" s="75">
        <f>IF($C191="","",IF($I191="","",ROUND(COUNTIF($I$4:$I$1463,"&lt;"&amp;$I191)/COUNT($I$4:$I$1463),3)))</f>
        <v>0.80300000000000005</v>
      </c>
      <c r="S191" s="19" t="str">
        <f>IF($C191="","",IF($G191="","Name only",IF(OR($I191="",$L191=""),"Partial","Complete")))</f>
        <v>Complete</v>
      </c>
      <c r="T191" s="1" t="str">
        <f>IF($C191="","",TRIM(IF(COUNTIF($C$4:$C$1463,$C191)&gt;1,"Dup name; ","")&amp;IF(AND($G191&lt;&gt;"",$G191&lt;55000),"Low CR - verify; ","")&amp;IF(AND($L191&lt;&gt;"",$L191&gt;15),"Secondary - verify; ","")&amp;IF($E191="","No class; ","")))</f>
        <v/>
      </c>
      <c r="U191" s="68"/>
      <c r="V191" s="68"/>
      <c r="W191" s="68"/>
      <c r="X191" s="76">
        <f t="shared" si="12"/>
        <v>6226</v>
      </c>
      <c r="Y191" s="1" t="str">
        <f t="shared" si="13"/>
        <v>UNDYING|17</v>
      </c>
      <c r="Z191" s="19">
        <f>IF($C191="","",IF($G191="","",RANK($G191,$G$4:$G$1463)+COUNTIF($G$4:$G191,$G191)-1))</f>
        <v>126</v>
      </c>
      <c r="AA191" s="19">
        <f>IF($C191="","",IF($N191="","",RANK($N191,$N$4:$N$1463)+COUNTIF($N$4:$N191,$N191)-1))</f>
        <v>235</v>
      </c>
      <c r="AB191" s="1" t="str">
        <f>IF($C191="","",IF($E191="","",$E191&amp;"#"&amp;(COUNTIFS($E$4:$E$1463,$E191,$X$4:$X$1463,"&gt;"&amp;$X191)+COUNTIFS($E$4:$E191,$E191,$X$4:$X191,"="&amp;$X191))))</f>
        <v>DEMON HUNTER#44</v>
      </c>
      <c r="AC191" s="1" t="str">
        <f>IF($C191="","",$B191&amp;"@"&amp;(COUNTIFS($B$4:$B$1463,$B191,$C$4:$C$1463,"&lt;"&amp;$C191)+COUNTIFS($B$4:$B191,$B191,$C$4:$C191,$C191)))</f>
        <v>UNDYING@18</v>
      </c>
      <c r="AD191" s="1">
        <f t="shared" si="14"/>
        <v>188</v>
      </c>
      <c r="AE191" s="1" t="s">
        <v>891</v>
      </c>
      <c r="AF191" s="76">
        <f t="shared" si="15"/>
        <v>63742</v>
      </c>
      <c r="AG191" s="77">
        <f t="shared" si="16"/>
        <v>5.9</v>
      </c>
      <c r="AH191" s="1" t="str">
        <f>IF($C191="","",$B191&amp;"|"&amp;(COUNTIFS($B$4:$B$1463,$B191,$AF$4:$AF$1463,"&gt;"&amp;$AF191)+COUNTIFS($B$4:$B191,$B191,$AF$4:$AF191,"="&amp;$AF191)))</f>
        <v>UNDYING|6</v>
      </c>
      <c r="AI191" s="1" t="str">
        <f>IF($C191="","",$B191&amp;"|"&amp;(COUNTIFS($B$4:$B$1463,$B191,$AG$4:$AG$1463,"&gt;"&amp;$AG191)+COUNTIFS($B$4:$B191,$B191,$AG$4:$AG191,"="&amp;$AG191)))</f>
        <v>UNDYING|27</v>
      </c>
    </row>
    <row r="192" spans="1:35">
      <c r="A192" s="69" t="s">
        <v>104</v>
      </c>
      <c r="B192" s="69" t="s">
        <v>66</v>
      </c>
      <c r="C192" s="63" t="s">
        <v>863</v>
      </c>
      <c r="D192" s="69"/>
      <c r="E192" s="68" t="s">
        <v>71</v>
      </c>
      <c r="F192" s="19" t="str">
        <f>IF($C192="","",IF($E192="","-",IFERROR(INDEX(SETUP!$B$55:$B$64,MATCH($E192,SETUP!$A$55:$A$64,0)),"Other")))</f>
        <v>Frontline</v>
      </c>
      <c r="G192" s="70">
        <v>62522</v>
      </c>
      <c r="H192" s="19" t="str">
        <f>IF($C192="","",IF($G192="","-",INDEX(SETUP!$B$26:$B$32,MATCH($G192,SETUP!$A$26:$A$32,1))))</f>
        <v>62,000 - 62,999</v>
      </c>
      <c r="I192" s="70">
        <v>3832</v>
      </c>
      <c r="J192" s="19" t="str">
        <f>IF($C192="","",IF($I192="","-",INDEX(SETUP!$B$16:$B$22,MATCH($I192,SETUP!$A$16:$A$22,1))))</f>
        <v>DEVELOPING</v>
      </c>
      <c r="K192" s="19" t="str">
        <f>IF($C192="","",IF($I192="","-",TEXT(INT($I192/1000)*1000,"#,##0")&amp;" - "&amp;TEXT(INT($I192/1000)*1000+999,"#,##0")))</f>
        <v>3,000 - 3,999</v>
      </c>
      <c r="L192" s="71">
        <v>6.27</v>
      </c>
      <c r="M192" s="19" t="str">
        <f>IF($C192="","",IF($L192="","-",INDEX(SETUP!$B$36:$B$42,MATCH($L192,SETUP!$A$36:$A$42,1))))</f>
        <v>6k - 8k</v>
      </c>
      <c r="N192" s="21">
        <f>IF($C192="","",IF(OR($G192="",$I192=""),"",ROUND(100*(SETUP!$B$4*MIN(1,$I192/SETUP!$B$9)+SETUP!$B$5*MAX(0,MIN(1,($G192-SETUP!$B$10)/(SETUP!$B$11-SETUP!$B$10)))+SETUP!$B$6*MIN(1,IF($L192="",0,$L192)/SETUP!$B$12)),1)))</f>
        <v>47</v>
      </c>
      <c r="O192" s="19" t="str">
        <f>IF($C192="","",IF($N192="","-",INDEX(SETUP!$B$46:$B$51,MATCH($N192,SETUP!$A$46:$A$51,1))))</f>
        <v>B</v>
      </c>
      <c r="P192" s="19">
        <f>IF($C192="","",IF($I192="","",RANK($I192,$I$4:$I$1463)+COUNTIF($I$4:$I192,$I192)-1))</f>
        <v>640</v>
      </c>
      <c r="Q192" s="19">
        <f>IF($C192="","",COUNTIFS($B$4:$B$1463,$B192,$X$4:$X$1463,"&gt;"&amp;$X192)+COUNTIFS($B$4:$B192,$B192,$X$4:$X192,"="&amp;$X192))</f>
        <v>65</v>
      </c>
      <c r="R192" s="75">
        <f>IF($C192="","",IF($I192="","",ROUND(COUNTIF($I$4:$I$1463,"&lt;"&amp;$I192)/COUNT($I$4:$I$1463),3)))</f>
        <v>0.51700000000000002</v>
      </c>
      <c r="S192" s="19" t="str">
        <f>IF($C192="","",IF($G192="","Name only",IF(OR($I192="",$L192=""),"Partial","Complete")))</f>
        <v>Complete</v>
      </c>
      <c r="T192" s="1" t="str">
        <f>IF($C192="","",TRIM(IF(COUNTIF($C$4:$C$1463,$C192)&gt;1,"Dup name; ","")&amp;IF(AND($G192&lt;&gt;"",$G192&lt;55000),"Low CR - verify; ","")&amp;IF(AND($L192&lt;&gt;"",$L192&gt;15),"Secondary - verify; ","")&amp;IF($E192="","No class; ","")))</f>
        <v/>
      </c>
      <c r="U192" s="68" t="s">
        <v>263</v>
      </c>
      <c r="V192" s="68" t="s">
        <v>66</v>
      </c>
      <c r="W192" s="68" t="s">
        <v>285</v>
      </c>
      <c r="X192" s="73">
        <f t="shared" si="12"/>
        <v>3832</v>
      </c>
      <c r="Y192" s="41" t="str">
        <f t="shared" si="13"/>
        <v>FUCT|65</v>
      </c>
      <c r="Z192" s="15">
        <f>IF($C192="","",IF($G192="","",RANK($G192,$G$4:$G$1463)+COUNTIF($G$4:$G192,$G192)-1))</f>
        <v>642</v>
      </c>
      <c r="AA192" s="15">
        <f>IF($C192="","",IF($N192="","",RANK($N192,$N$4:$N$1463)+COUNTIF($N$4:$N192,$N192)-1))</f>
        <v>552</v>
      </c>
      <c r="AB192" s="41" t="str">
        <f>IF($C192="","",IF($E192="","",$E192&amp;"#"&amp;(COUNTIFS($E$4:$E$1463,$E192,$X$4:$X$1463,"&gt;"&amp;$X192)+COUNTIFS($E$4:$E192,$E192,$X$4:$X192,"="&amp;$X192))))</f>
        <v>BARBARIAN#118</v>
      </c>
      <c r="AC192" s="41" t="str">
        <f>IF($C192="","",$B192&amp;"@"&amp;(COUNTIFS($B$4:$B$1463,$B192,$C$4:$C$1463,"&lt;"&amp;$C192)+COUNTIFS($B$4:$B192,$B192,$C$4:$C192,$C192)))</f>
        <v>FUCT@9</v>
      </c>
      <c r="AD192" s="41">
        <f t="shared" si="14"/>
        <v>189</v>
      </c>
      <c r="AE192" s="41" t="s">
        <v>893</v>
      </c>
      <c r="AF192" s="73">
        <f t="shared" si="15"/>
        <v>62522</v>
      </c>
      <c r="AG192" s="74">
        <f t="shared" si="16"/>
        <v>6.27</v>
      </c>
      <c r="AH192" s="41" t="str">
        <f>IF($C192="","",$B192&amp;"|"&amp;(COUNTIFS($B$4:$B$1463,$B192,$AF$4:$AF$1463,"&gt;"&amp;$AF192)+COUNTIFS($B$4:$B192,$B192,$AF$4:$AF192,"="&amp;$AF192)))</f>
        <v>FUCT|66</v>
      </c>
      <c r="AI192" s="41" t="str">
        <f>IF($C192="","",$B192&amp;"|"&amp;(COUNTIFS($B$4:$B$1463,$B192,$AG$4:$AG$1463,"&gt;"&amp;$AG192)+COUNTIFS($B$4:$B192,$B192,$AG$4:$AG192,"="&amp;$AG192)))</f>
        <v>FUCT|15</v>
      </c>
    </row>
    <row r="193" spans="1:35" hidden="1">
      <c r="A193" s="69" t="s">
        <v>106</v>
      </c>
      <c r="B193" s="69" t="s">
        <v>107</v>
      </c>
      <c r="C193" s="63" t="s">
        <v>894</v>
      </c>
      <c r="D193" s="69"/>
      <c r="E193" s="68" t="s">
        <v>77</v>
      </c>
      <c r="F193" s="19" t="str">
        <f>IF($C193="","",IF($E193="","-",IFERROR(INDEX(SETUP!$B$55:$B$64,MATCH($E193,SETUP!$A$55:$A$64,0)),"Other")))</f>
        <v>Control</v>
      </c>
      <c r="G193" s="70">
        <v>60961</v>
      </c>
      <c r="H193" s="19" t="str">
        <f>IF($C193="","",IF($G193="","-",INDEX(SETUP!$B$26:$B$32,MATCH($G193,SETUP!$A$26:$A$32,1))))</f>
        <v>60,000 - 60,999</v>
      </c>
      <c r="I193" s="70">
        <v>1260</v>
      </c>
      <c r="J193" s="19" t="str">
        <f>IF($C193="","",IF($I193="","-",INDEX(SETUP!$B$16:$B$22,MATCH($I193,SETUP!$A$16:$A$22,1))))</f>
        <v>ROOKIE</v>
      </c>
      <c r="K193" s="19" t="str">
        <f>IF($C193="","",IF($I193="","-",TEXT(INT($I193/1000)*1000,"#,##0")&amp;" - "&amp;TEXT(INT($I193/1000)*1000+999,"#,##0")))</f>
        <v>1,000 - 1,999</v>
      </c>
      <c r="L193" s="71">
        <v>3.2</v>
      </c>
      <c r="M193" s="19" t="str">
        <f>IF($C193="","",IF($L193="","-",INDEX(SETUP!$B$36:$B$42,MATCH($L193,SETUP!$A$36:$A$42,1))))</f>
        <v>3k - 4k</v>
      </c>
      <c r="N193" s="21">
        <f>IF($C193="","",IF(OR($G193="",$I193=""),"",ROUND(100*(SETUP!$B$4*MIN(1,$I193/SETUP!$B$9)+SETUP!$B$5*MAX(0,MIN(1,($G193-SETUP!$B$10)/(SETUP!$B$11-SETUP!$B$10)))+SETUP!$B$6*MIN(1,IF($L193="",0,$L193)/SETUP!$B$12)),1)))</f>
        <v>26.5</v>
      </c>
      <c r="O193" s="19" t="str">
        <f>IF($C193="","",IF($N193="","-",INDEX(SETUP!$B$46:$B$51,MATCH($N193,SETUP!$A$46:$A$51,1))))</f>
        <v>C</v>
      </c>
      <c r="P193" s="19">
        <f>IF($C193="","",IF($I193="","",RANK($I193,$I$4:$I$1463)+COUNTIF($I$4:$I193,$I193)-1))</f>
        <v>1232</v>
      </c>
      <c r="Q193" s="19">
        <f>IF($C193="","",COUNTIFS($B$4:$B$1463,$B193,$X$4:$X$1463,"&gt;"&amp;$X193)+COUNTIFS($B$4:$B193,$B193,$X$4:$X193,"="&amp;$X193))</f>
        <v>96</v>
      </c>
      <c r="R193" s="75">
        <f>IF($C193="","",IF($I193="","",ROUND(COUNTIF($I$4:$I$1463,"&lt;"&amp;$I193)/COUNT($I$4:$I$1463),3)))</f>
        <v>7.0000000000000007E-2</v>
      </c>
      <c r="S193" s="19" t="str">
        <f>IF($C193="","",IF($G193="","Name only",IF(OR($I193="",$L193=""),"Partial","Complete")))</f>
        <v>Complete</v>
      </c>
      <c r="T193" s="1" t="str">
        <f>IF($C193="","",TRIM(IF(COUNTIF($C$4:$C$1463,$C193)&gt;1,"Dup name; ","")&amp;IF(AND($G193&lt;&gt;"",$G193&lt;55000),"Low CR - verify; ","")&amp;IF(AND($L193&lt;&gt;"",$L193&gt;15),"Secondary - verify; ","")&amp;IF($E193="","No class; ","")))</f>
        <v/>
      </c>
      <c r="U193" s="68"/>
      <c r="V193" s="68"/>
      <c r="W193" s="68"/>
      <c r="X193" s="76">
        <f t="shared" si="12"/>
        <v>1260</v>
      </c>
      <c r="Y193" s="1" t="str">
        <f t="shared" si="13"/>
        <v>UNDYING|96</v>
      </c>
      <c r="Z193" s="19">
        <f>IF($C193="","",IF($G193="","",RANK($G193,$G$4:$G$1463)+COUNTIF($G$4:$G193,$G193)-1))</f>
        <v>1140</v>
      </c>
      <c r="AA193" s="19">
        <f>IF($C193="","",IF($N193="","",RANK($N193,$N$4:$N$1463)+COUNTIF($N$4:$N193,$N193)-1))</f>
        <v>1217</v>
      </c>
      <c r="AB193" s="1" t="str">
        <f>IF($C193="","",IF($E193="","",$E193&amp;"#"&amp;(COUNTIFS($E$4:$E$1463,$E193,$X$4:$X$1463,"&gt;"&amp;$X193)+COUNTIFS($E$4:$E193,$E193,$X$4:$X193,"="&amp;$X193))))</f>
        <v>NECROMANCER#94</v>
      </c>
      <c r="AC193" s="1" t="str">
        <f>IF($C193="","",$B193&amp;"@"&amp;(COUNTIFS($B$4:$B$1463,$B193,$C$4:$C$1463,"&lt;"&amp;$C193)+COUNTIFS($B$4:$B193,$B193,$C$4:$C193,$C193)))</f>
        <v>UNDYING@19</v>
      </c>
      <c r="AD193" s="1">
        <f t="shared" si="14"/>
        <v>190</v>
      </c>
      <c r="AE193" s="1" t="s">
        <v>685</v>
      </c>
      <c r="AF193" s="76">
        <f t="shared" si="15"/>
        <v>60961</v>
      </c>
      <c r="AG193" s="77">
        <f t="shared" si="16"/>
        <v>3.2</v>
      </c>
      <c r="AH193" s="1" t="str">
        <f>IF($C193="","",$B193&amp;"|"&amp;(COUNTIFS($B$4:$B$1463,$B193,$AF$4:$AF$1463,"&gt;"&amp;$AF193)+COUNTIFS($B$4:$B193,$B193,$AF$4:$AF193,"="&amp;$AF193)))</f>
        <v>UNDYING|94</v>
      </c>
      <c r="AI193" s="1" t="str">
        <f>IF($C193="","",$B193&amp;"|"&amp;(COUNTIFS($B$4:$B$1463,$B193,$AG$4:$AG$1463,"&gt;"&amp;$AG193)+COUNTIFS($B$4:$B193,$B193,$AG$4:$AG193,"="&amp;$AG193)))</f>
        <v>UNDYING|94</v>
      </c>
    </row>
    <row r="194" spans="1:35">
      <c r="A194" s="69" t="s">
        <v>104</v>
      </c>
      <c r="B194" s="69" t="s">
        <v>66</v>
      </c>
      <c r="C194" s="63" t="s">
        <v>892</v>
      </c>
      <c r="D194" s="69"/>
      <c r="E194" s="68" t="s">
        <v>77</v>
      </c>
      <c r="F194" s="15" t="str">
        <f>IF($C194="","",IF($E194="","-",IFERROR(INDEX(SETUP!$B$55:$B$64,MATCH($E194,SETUP!$A$55:$A$64,0)),"Other")))</f>
        <v>Control</v>
      </c>
      <c r="G194" s="70">
        <v>63517</v>
      </c>
      <c r="H194" s="15" t="str">
        <f>IF($C194="","",IF($G194="","-",INDEX(SETUP!$B$26:$B$32,MATCH($G194,SETUP!$A$26:$A$32,1))))</f>
        <v>63,000 - 63,999</v>
      </c>
      <c r="I194" s="70">
        <v>5337</v>
      </c>
      <c r="J194" s="15" t="str">
        <f>IF($C194="","",IF($I194="","-",INDEX(SETUP!$B$16:$B$22,MATCH($I194,SETUP!$A$16:$A$22,1))))</f>
        <v>CORE</v>
      </c>
      <c r="K194" s="15" t="str">
        <f>IF($C194="","",IF($I194="","-",TEXT(INT($I194/1000)*1000,"#,##0")&amp;" - "&amp;TEXT(INT($I194/1000)*1000+999,"#,##0")))</f>
        <v>5,000 - 5,999</v>
      </c>
      <c r="L194" s="71">
        <v>5.28</v>
      </c>
      <c r="M194" s="15" t="str">
        <f>IF($C194="","",IF($L194="","-",INDEX(SETUP!$B$36:$B$42,MATCH($L194,SETUP!$A$36:$A$42,1))))</f>
        <v>5k - 6k</v>
      </c>
      <c r="N194" s="17">
        <f>IF($C194="","",IF(OR($G194="",$I194=""),"",ROUND(100*(SETUP!$B$4*MIN(1,$I194/SETUP!$B$9)+SETUP!$B$5*MAX(0,MIN(1,($G194-SETUP!$B$10)/(SETUP!$B$11-SETUP!$B$10)))+SETUP!$B$6*MIN(1,IF($L194="",0,$L194)/SETUP!$B$12)),1)))</f>
        <v>54.5</v>
      </c>
      <c r="O194" s="15" t="str">
        <f>IF($C194="","",IF($N194="","-",INDEX(SETUP!$B$46:$B$51,MATCH($N194,SETUP!$A$46:$A$51,1))))</f>
        <v>A</v>
      </c>
      <c r="P194" s="15">
        <f>IF($C194="","",IF($I194="","",RANK($I194,$I$4:$I$1463)+COUNTIF($I$4:$I194,$I194)-1))</f>
        <v>358</v>
      </c>
      <c r="Q194" s="15">
        <f>IF($C194="","",COUNTIFS($B$4:$B$1463,$B194,$X$4:$X$1463,"&gt;"&amp;$X194)+COUNTIFS($B$4:$B194,$B194,$X$4:$X194,"="&amp;$X194))</f>
        <v>36</v>
      </c>
      <c r="R194" s="72">
        <f>IF($C194="","",IF($I194="","",ROUND(COUNTIF($I$4:$I$1463,"&lt;"&amp;$I194)/COUNT($I$4:$I$1463),3)))</f>
        <v>0.73</v>
      </c>
      <c r="S194" s="15" t="str">
        <f>IF($C194="","",IF($G194="","Name only",IF(OR($I194="",$L194=""),"Partial","Complete")))</f>
        <v>Complete</v>
      </c>
      <c r="T194" s="41" t="str">
        <f>IF($C194="","",TRIM(IF(COUNTIF($C$4:$C$1463,$C194)&gt;1,"Dup name; ","")&amp;IF(AND($G194&lt;&gt;"",$G194&lt;55000),"Low CR - verify; ","")&amp;IF(AND($L194&lt;&gt;"",$L194&gt;15),"Secondary - verify; ","")&amp;IF($E194="","No class; ","")))</f>
        <v/>
      </c>
      <c r="U194" s="68" t="s">
        <v>264</v>
      </c>
      <c r="V194" s="68" t="s">
        <v>66</v>
      </c>
      <c r="W194" s="68" t="s">
        <v>285</v>
      </c>
      <c r="X194" s="73">
        <f t="shared" si="12"/>
        <v>5337</v>
      </c>
      <c r="Y194" s="41" t="str">
        <f t="shared" si="13"/>
        <v>FUCT|36</v>
      </c>
      <c r="Z194" s="15">
        <f>IF($C194="","",IF($G194="","",RANK($G194,$G$4:$G$1463)+COUNTIF($G$4:$G194,$G194)-1))</f>
        <v>189</v>
      </c>
      <c r="AA194" s="15">
        <f>IF($C194="","",IF($N194="","",RANK($N194,$N$4:$N$1463)+COUNTIF($N$4:$N194,$N194)-1))</f>
        <v>328</v>
      </c>
      <c r="AB194" s="41" t="str">
        <f>IF($C194="","",IF($E194="","",$E194&amp;"#"&amp;(COUNTIFS($E$4:$E$1463,$E194,$X$4:$X$1463,"&gt;"&amp;$X194)+COUNTIFS($E$4:$E194,$E194,$X$4:$X194,"="&amp;$X194))))</f>
        <v>NECROMANCER#17</v>
      </c>
      <c r="AC194" s="41" t="str">
        <f>IF($C194="","",$B194&amp;"@"&amp;(COUNTIFS($B$4:$B$1463,$B194,$C$4:$C$1463,"&lt;"&amp;$C194)+COUNTIFS($B$4:$B194,$B194,$C$4:$C194,$C194)))</f>
        <v>FUCT@10</v>
      </c>
      <c r="AD194" s="41">
        <f t="shared" si="14"/>
        <v>191</v>
      </c>
      <c r="AE194" s="41" t="s">
        <v>896</v>
      </c>
      <c r="AF194" s="73">
        <f t="shared" si="15"/>
        <v>63517</v>
      </c>
      <c r="AG194" s="74">
        <f t="shared" si="16"/>
        <v>5.28</v>
      </c>
      <c r="AH194" s="41" t="str">
        <f>IF($C194="","",$B194&amp;"|"&amp;(COUNTIFS($B$4:$B$1463,$B194,$AF$4:$AF$1463,"&gt;"&amp;$AF194)+COUNTIFS($B$4:$B194,$B194,$AF$4:$AF194,"="&amp;$AF194)))</f>
        <v>FUCT|20</v>
      </c>
      <c r="AI194" s="41" t="str">
        <f>IF($C194="","",$B194&amp;"|"&amp;(COUNTIFS($B$4:$B$1463,$B194,$AG$4:$AG$1463,"&gt;"&amp;$AG194)+COUNTIFS($B$4:$B194,$B194,$AG$4:$AG194,"="&amp;$AG194)))</f>
        <v>FUCT|36</v>
      </c>
    </row>
    <row r="195" spans="1:35" hidden="1">
      <c r="A195" s="69" t="s">
        <v>106</v>
      </c>
      <c r="B195" s="69" t="s">
        <v>105</v>
      </c>
      <c r="C195" s="63" t="s">
        <v>897</v>
      </c>
      <c r="D195" s="69"/>
      <c r="E195" s="68" t="s">
        <v>71</v>
      </c>
      <c r="F195" s="19" t="str">
        <f>IF($C195="","",IF($E195="","-",IFERROR(INDEX(SETUP!$B$55:$B$64,MATCH($E195,SETUP!$A$55:$A$64,0)),"Other")))</f>
        <v>Frontline</v>
      </c>
      <c r="G195" s="70">
        <v>62013</v>
      </c>
      <c r="H195" s="19" t="str">
        <f>IF($C195="","",IF($G195="","-",INDEX(SETUP!$B$26:$B$32,MATCH($G195,SETUP!$A$26:$A$32,1))))</f>
        <v>62,000 - 62,999</v>
      </c>
      <c r="I195" s="70">
        <v>3238</v>
      </c>
      <c r="J195" s="19" t="str">
        <f>IF($C195="","",IF($I195="","-",INDEX(SETUP!$B$16:$B$22,MATCH($I195,SETUP!$A$16:$A$22,1))))</f>
        <v>DEVELOPING</v>
      </c>
      <c r="K195" s="19" t="str">
        <f>IF($C195="","",IF($I195="","-",TEXT(INT($I195/1000)*1000,"#,##0")&amp;" - "&amp;TEXT(INT($I195/1000)*1000+999,"#,##0")))</f>
        <v>3,000 - 3,999</v>
      </c>
      <c r="L195" s="71">
        <v>4.26</v>
      </c>
      <c r="M195" s="19" t="str">
        <f>IF($C195="","",IF($L195="","-",INDEX(SETUP!$B$36:$B$42,MATCH($L195,SETUP!$A$36:$A$42,1))))</f>
        <v>4k - 5k</v>
      </c>
      <c r="N195" s="21">
        <f>IF($C195="","",IF(OR($G195="",$I195=""),"",ROUND(100*(SETUP!$B$4*MIN(1,$I195/SETUP!$B$9)+SETUP!$B$5*MAX(0,MIN(1,($G195-SETUP!$B$10)/(SETUP!$B$11-SETUP!$B$10)))+SETUP!$B$6*MIN(1,IF($L195="",0,$L195)/SETUP!$B$12)),1)))</f>
        <v>39.700000000000003</v>
      </c>
      <c r="O195" s="19" t="str">
        <f>IF($C195="","",IF($N195="","-",INDEX(SETUP!$B$46:$B$51,MATCH($N195,SETUP!$A$46:$A$51,1))))</f>
        <v>B</v>
      </c>
      <c r="P195" s="19">
        <f>IF($C195="","",IF($I195="","",RANK($I195,$I$4:$I$1463)+COUNTIF($I$4:$I195,$I195)-1))</f>
        <v>811</v>
      </c>
      <c r="Q195" s="19">
        <f>IF($C195="","",COUNTIFS($B$4:$B$1463,$B195,$X$4:$X$1463,"&gt;"&amp;$X195)+COUNTIFS($B$4:$B195,$B195,$X$4:$X195,"="&amp;$X195))</f>
        <v>90</v>
      </c>
      <c r="R195" s="75">
        <f>IF($C195="","",IF($I195="","",ROUND(COUNTIF($I$4:$I$1463,"&lt;"&amp;$I195)/COUNT($I$4:$I$1463),3)))</f>
        <v>0.38800000000000001</v>
      </c>
      <c r="S195" s="19" t="str">
        <f>IF($C195="","",IF($G195="","Name only",IF(OR($I195="",$L195=""),"Partial","Complete")))</f>
        <v>Complete</v>
      </c>
      <c r="T195" s="1" t="str">
        <f>IF($C195="","",TRIM(IF(COUNTIF($C$4:$C$1463,$C195)&gt;1,"Dup name; ","")&amp;IF(AND($G195&lt;&gt;"",$G195&lt;55000),"Low CR - verify; ","")&amp;IF(AND($L195&lt;&gt;"",$L195&gt;15),"Secondary - verify; ","")&amp;IF($E195="","No class; ","")))</f>
        <v/>
      </c>
      <c r="U195" s="68"/>
      <c r="V195" s="68"/>
      <c r="W195" s="68"/>
      <c r="X195" s="76">
        <f t="shared" si="12"/>
        <v>3238</v>
      </c>
      <c r="Y195" s="1" t="str">
        <f t="shared" si="13"/>
        <v>LEGENDS|90</v>
      </c>
      <c r="Z195" s="19">
        <f>IF($C195="","",IF($G195="","",RANK($G195,$G$4:$G$1463)+COUNTIF($G$4:$G195,$G195)-1))</f>
        <v>835</v>
      </c>
      <c r="AA195" s="19">
        <f>IF($C195="","",IF($N195="","",RANK($N195,$N$4:$N$1463)+COUNTIF($N$4:$N195,$N195)-1))</f>
        <v>831</v>
      </c>
      <c r="AB195" s="1" t="str">
        <f>IF($C195="","",IF($E195="","",$E195&amp;"#"&amp;(COUNTIFS($E$4:$E$1463,$E195,$X$4:$X$1463,"&gt;"&amp;$X195)+COUNTIFS($E$4:$E195,$E195,$X$4:$X195,"="&amp;$X195))))</f>
        <v>BARBARIAN#144</v>
      </c>
      <c r="AC195" s="1" t="str">
        <f>IF($C195="","",$B195&amp;"@"&amp;(COUNTIFS($B$4:$B$1463,$B195,$C$4:$C$1463,"&lt;"&amp;$C195)+COUNTIFS($B$4:$B195,$B195,$C$4:$C195,$C195)))</f>
        <v>LEGENDS@20</v>
      </c>
      <c r="AD195" s="1">
        <f t="shared" si="14"/>
        <v>192</v>
      </c>
      <c r="AE195" s="1" t="s">
        <v>898</v>
      </c>
      <c r="AF195" s="76">
        <f t="shared" si="15"/>
        <v>62013</v>
      </c>
      <c r="AG195" s="77">
        <f t="shared" si="16"/>
        <v>4.26</v>
      </c>
      <c r="AH195" s="1" t="str">
        <f>IF($C195="","",$B195&amp;"|"&amp;(COUNTIFS($B$4:$B$1463,$B195,$AF$4:$AF$1463,"&gt;"&amp;$AF195)+COUNTIFS($B$4:$B195,$B195,$AF$4:$AF195,"="&amp;$AF195)))</f>
        <v>LEGENDS|81</v>
      </c>
      <c r="AI195" s="1" t="str">
        <f>IF($C195="","",$B195&amp;"|"&amp;(COUNTIFS($B$4:$B$1463,$B195,$AG$4:$AG$1463,"&gt;"&amp;$AG195)+COUNTIFS($B$4:$B195,$B195,$AG$4:$AG195,"="&amp;$AG195)))</f>
        <v>LEGENDS|85</v>
      </c>
    </row>
    <row r="196" spans="1:35" hidden="1">
      <c r="A196" s="69" t="s">
        <v>109</v>
      </c>
      <c r="B196" s="69" t="s">
        <v>114</v>
      </c>
      <c r="C196" s="63" t="s">
        <v>899</v>
      </c>
      <c r="D196" s="69"/>
      <c r="E196" s="68" t="s">
        <v>71</v>
      </c>
      <c r="F196" s="15" t="str">
        <f>IF($C196="","",IF($E196="","-",IFERROR(INDEX(SETUP!$B$55:$B$64,MATCH($E196,SETUP!$A$55:$A$64,0)),"Other")))</f>
        <v>Frontline</v>
      </c>
      <c r="G196" s="70">
        <v>61556</v>
      </c>
      <c r="H196" s="15" t="str">
        <f>IF($C196="","",IF($G196="","-",INDEX(SETUP!$B$26:$B$32,MATCH($G196,SETUP!$A$26:$A$32,1))))</f>
        <v>61,000 - 61,999</v>
      </c>
      <c r="I196" s="70">
        <v>2636</v>
      </c>
      <c r="J196" s="15" t="str">
        <f>IF($C196="","",IF($I196="","-",INDEX(SETUP!$B$16:$B$22,MATCH($I196,SETUP!$A$16:$A$22,1))))</f>
        <v>DEVELOPING</v>
      </c>
      <c r="K196" s="15" t="str">
        <f>IF($C196="","",IF($I196="","-",TEXT(INT($I196/1000)*1000,"#,##0")&amp;" - "&amp;TEXT(INT($I196/1000)*1000+999,"#,##0")))</f>
        <v>2,000 - 2,999</v>
      </c>
      <c r="L196" s="71">
        <v>4.7</v>
      </c>
      <c r="M196" s="15" t="str">
        <f>IF($C196="","",IF($L196="","-",INDEX(SETUP!$B$36:$B$42,MATCH($L196,SETUP!$A$36:$A$42,1))))</f>
        <v>4k - 5k</v>
      </c>
      <c r="N196" s="17">
        <f>IF($C196="","",IF(OR($G196="",$I196=""),"",ROUND(100*(SETUP!$B$4*MIN(1,$I196/SETUP!$B$9)+SETUP!$B$5*MAX(0,MIN(1,($G196-SETUP!$B$10)/(SETUP!$B$11-SETUP!$B$10)))+SETUP!$B$6*MIN(1,IF($L196="",0,$L196)/SETUP!$B$12)),1)))</f>
        <v>36.6</v>
      </c>
      <c r="O196" s="15" t="str">
        <f>IF($C196="","",IF($N196="","-",INDEX(SETUP!$B$46:$B$51,MATCH($N196,SETUP!$A$46:$A$51,1))))</f>
        <v>B</v>
      </c>
      <c r="P196" s="15">
        <f>IF($C196="","",IF($I196="","",RANK($I196,$I$4:$I$1463)+COUNTIF($I$4:$I196,$I196)-1))</f>
        <v>967</v>
      </c>
      <c r="Q196" s="15">
        <f>IF($C196="","",COUNTIFS($B$4:$B$1463,$B196,$X$4:$X$1463,"&gt;"&amp;$X196)+COUNTIFS($B$4:$B196,$B196,$X$4:$X196,"="&amp;$X196))</f>
        <v>31</v>
      </c>
      <c r="R196" s="72">
        <f>IF($C196="","",IF($I196="","",ROUND(COUNTIF($I$4:$I$1463,"&lt;"&amp;$I196)/COUNT($I$4:$I$1463),3)))</f>
        <v>0.27</v>
      </c>
      <c r="S196" s="15" t="str">
        <f>IF($C196="","",IF($G196="","Name only",IF(OR($I196="",$L196=""),"Partial","Complete")))</f>
        <v>Complete</v>
      </c>
      <c r="T196" s="41" t="str">
        <f>IF($C196="","",TRIM(IF(COUNTIF($C$4:$C$1463,$C196)&gt;1,"Dup name; ","")&amp;IF(AND($G196&lt;&gt;"",$G196&lt;55000),"Low CR - verify; ","")&amp;IF(AND($L196&lt;&gt;"",$L196&gt;15),"Secondary - verify; ","")&amp;IF($E196="","No class; ","")))</f>
        <v/>
      </c>
      <c r="U196" s="68"/>
      <c r="V196" s="68"/>
      <c r="W196" s="68"/>
      <c r="X196" s="73">
        <f t="shared" ref="X196:X259" si="17">IF($C196="","",IF($I196="",-1,$I196))</f>
        <v>2636</v>
      </c>
      <c r="Y196" s="41" t="str">
        <f t="shared" ref="Y196:Y259" si="18">IF($C196="","",$B196&amp;"|"&amp;$Q196)</f>
        <v>EMERALD LEAF TRIBE|31</v>
      </c>
      <c r="Z196" s="15">
        <f>IF($C196="","",IF($G196="","",RANK($G196,$G$4:$G$1463)+COUNTIF($G$4:$G196,$G196)-1))</f>
        <v>987</v>
      </c>
      <c r="AA196" s="15">
        <f>IF($C196="","",IF($N196="","",RANK($N196,$N$4:$N$1463)+COUNTIF($N$4:$N196,$N196)-1))</f>
        <v>942</v>
      </c>
      <c r="AB196" s="41" t="str">
        <f>IF($C196="","",IF($E196="","",$E196&amp;"#"&amp;(COUNTIFS($E$4:$E$1463,$E196,$X$4:$X$1463,"&gt;"&amp;$X196)+COUNTIFS($E$4:$E196,$E196,$X$4:$X196,"="&amp;$X196))))</f>
        <v>BARBARIAN#165</v>
      </c>
      <c r="AC196" s="41" t="str">
        <f>IF($C196="","",$B196&amp;"@"&amp;(COUNTIFS($B$4:$B$1463,$B196,$C$4:$C$1463,"&lt;"&amp;$C196)+COUNTIFS($B$4:$B196,$B196,$C$4:$C196,$C196)))</f>
        <v>EMERALD LEAF TRIBE@12</v>
      </c>
      <c r="AD196" s="41">
        <f t="shared" ref="AD196:AD259" si="19">IF($C196="","",ROW()-4+1)</f>
        <v>193</v>
      </c>
      <c r="AE196" s="41" t="s">
        <v>900</v>
      </c>
      <c r="AF196" s="73">
        <f t="shared" ref="AF196:AF259" si="20">IF($C196="","",IF($G196="",-1,$G196))</f>
        <v>61556</v>
      </c>
      <c r="AG196" s="74">
        <f t="shared" ref="AG196:AG259" si="21">IF($C196="","",IF($L196="",-1,$L196))</f>
        <v>4.7</v>
      </c>
      <c r="AH196" s="41" t="str">
        <f>IF($C196="","",$B196&amp;"|"&amp;(COUNTIFS($B$4:$B$1463,$B196,$AF$4:$AF$1463,"&gt;"&amp;$AF196)+COUNTIFS($B$4:$B196,$B196,$AF$4:$AF196,"="&amp;$AF196)))</f>
        <v>EMERALD LEAF TRIBE|40</v>
      </c>
      <c r="AI196" s="41" t="str">
        <f>IF($C196="","",$B196&amp;"|"&amp;(COUNTIFS($B$4:$B$1463,$B196,$AG$4:$AG$1463,"&gt;"&amp;$AG196)+COUNTIFS($B$4:$B196,$B196,$AG$4:$AG196,"="&amp;$AG196)))</f>
        <v>EMERALD LEAF TRIBE|11</v>
      </c>
    </row>
    <row r="197" spans="1:35" hidden="1">
      <c r="A197" s="69" t="s">
        <v>106</v>
      </c>
      <c r="B197" s="69" t="s">
        <v>105</v>
      </c>
      <c r="C197" s="63" t="s">
        <v>901</v>
      </c>
      <c r="D197" s="69"/>
      <c r="E197" s="68" t="s">
        <v>74</v>
      </c>
      <c r="F197" s="19" t="str">
        <f>IF($C197="","",IF($E197="","-",IFERROR(INDEX(SETUP!$B$55:$B$64,MATCH($E197,SETUP!$A$55:$A$64,0)),"Other")))</f>
        <v>Ranged DPS</v>
      </c>
      <c r="G197" s="70">
        <v>62258</v>
      </c>
      <c r="H197" s="19" t="str">
        <f>IF($C197="","",IF($G197="","-",INDEX(SETUP!$B$26:$B$32,MATCH($G197,SETUP!$A$26:$A$32,1))))</f>
        <v>62,000 - 62,999</v>
      </c>
      <c r="I197" s="70">
        <v>4549</v>
      </c>
      <c r="J197" s="19" t="str">
        <f>IF($C197="","",IF($I197="","-",INDEX(SETUP!$B$16:$B$22,MATCH($I197,SETUP!$A$16:$A$22,1))))</f>
        <v>CORE</v>
      </c>
      <c r="K197" s="19" t="str">
        <f>IF($C197="","",IF($I197="","-",TEXT(INT($I197/1000)*1000,"#,##0")&amp;" - "&amp;TEXT(INT($I197/1000)*1000+999,"#,##0")))</f>
        <v>4,000 - 4,999</v>
      </c>
      <c r="L197" s="71">
        <v>6.5</v>
      </c>
      <c r="M197" s="19" t="str">
        <f>IF($C197="","",IF($L197="","-",INDEX(SETUP!$B$36:$B$42,MATCH($L197,SETUP!$A$36:$A$42,1))))</f>
        <v>6k - 8k</v>
      </c>
      <c r="N197" s="21">
        <f>IF($C197="","",IF(OR($G197="",$I197=""),"",ROUND(100*(SETUP!$B$4*MIN(1,$I197/SETUP!$B$9)+SETUP!$B$5*MAX(0,MIN(1,($G197-SETUP!$B$10)/(SETUP!$B$11-SETUP!$B$10)))+SETUP!$B$6*MIN(1,IF($L197="",0,$L197)/SETUP!$B$12)),1)))</f>
        <v>49.8</v>
      </c>
      <c r="O197" s="19" t="str">
        <f>IF($C197="","",IF($N197="","-",INDEX(SETUP!$B$46:$B$51,MATCH($N197,SETUP!$A$46:$A$51,1))))</f>
        <v>B</v>
      </c>
      <c r="P197" s="19">
        <f>IF($C197="","",IF($I197="","",RANK($I197,$I$4:$I$1463)+COUNTIF($I$4:$I197,$I197)-1))</f>
        <v>484</v>
      </c>
      <c r="Q197" s="19">
        <f>IF($C197="","",COUNTIFS($B$4:$B$1463,$B197,$X$4:$X$1463,"&gt;"&amp;$X197)+COUNTIFS($B$4:$B197,$B197,$X$4:$X197,"="&amp;$X197))</f>
        <v>62</v>
      </c>
      <c r="R197" s="75">
        <f>IF($C197="","",IF($I197="","",ROUND(COUNTIF($I$4:$I$1463,"&lt;"&amp;$I197)/COUNT($I$4:$I$1463),3)))</f>
        <v>0.63300000000000001</v>
      </c>
      <c r="S197" s="19" t="str">
        <f>IF($C197="","",IF($G197="","Name only",IF(OR($I197="",$L197=""),"Partial","Complete")))</f>
        <v>Complete</v>
      </c>
      <c r="T197" s="1" t="str">
        <f>IF($C197="","",TRIM(IF(COUNTIF($C$4:$C$1463,$C197)&gt;1,"Dup name; ","")&amp;IF(AND($G197&lt;&gt;"",$G197&lt;55000),"Low CR - verify; ","")&amp;IF(AND($L197&lt;&gt;"",$L197&gt;15),"Secondary - verify; ","")&amp;IF($E197="","No class; ","")))</f>
        <v/>
      </c>
      <c r="U197" s="68"/>
      <c r="V197" s="68"/>
      <c r="W197" s="68"/>
      <c r="X197" s="76">
        <f t="shared" si="17"/>
        <v>4549</v>
      </c>
      <c r="Y197" s="1" t="str">
        <f t="shared" si="18"/>
        <v>LEGENDS|62</v>
      </c>
      <c r="Z197" s="19">
        <f>IF($C197="","",IF($G197="","",RANK($G197,$G$4:$G$1463)+COUNTIF($G$4:$G197,$G197)-1))</f>
        <v>741</v>
      </c>
      <c r="AA197" s="19">
        <f>IF($C197="","",IF($N197="","",RANK($N197,$N$4:$N$1463)+COUNTIF($N$4:$N197,$N197)-1))</f>
        <v>464</v>
      </c>
      <c r="AB197" s="1" t="str">
        <f>IF($C197="","",IF($E197="","",$E197&amp;"#"&amp;(COUNTIFS($E$4:$E$1463,$E197,$X$4:$X$1463,"&gt;"&amp;$X197)+COUNTIFS($E$4:$E197,$E197,$X$4:$X197,"="&amp;$X197))))</f>
        <v>DEMON HUNTER#80</v>
      </c>
      <c r="AC197" s="1" t="str">
        <f>IF($C197="","",$B197&amp;"@"&amp;(COUNTIFS($B$4:$B$1463,$B197,$C$4:$C$1463,"&lt;"&amp;$C197)+COUNTIFS($B$4:$B197,$B197,$C$4:$C197,$C197)))</f>
        <v>LEGENDS@21</v>
      </c>
      <c r="AD197" s="1">
        <f t="shared" si="19"/>
        <v>194</v>
      </c>
      <c r="AE197" s="1" t="s">
        <v>902</v>
      </c>
      <c r="AF197" s="76">
        <f t="shared" si="20"/>
        <v>62258</v>
      </c>
      <c r="AG197" s="77">
        <f t="shared" si="21"/>
        <v>6.5</v>
      </c>
      <c r="AH197" s="1" t="str">
        <f>IF($C197="","",$B197&amp;"|"&amp;(COUNTIFS($B$4:$B$1463,$B197,$AF$4:$AF$1463,"&gt;"&amp;$AF197)+COUNTIFS($B$4:$B197,$B197,$AF$4:$AF197,"="&amp;$AF197)))</f>
        <v>LEGENDS|75</v>
      </c>
      <c r="AI197" s="1" t="str">
        <f>IF($C197="","",$B197&amp;"|"&amp;(COUNTIFS($B$4:$B$1463,$B197,$AG$4:$AG$1463,"&gt;"&amp;$AG197)+COUNTIFS($B$4:$B197,$B197,$AG$4:$AG197,"="&amp;$AG197)))</f>
        <v>LEGENDS|9</v>
      </c>
    </row>
    <row r="198" spans="1:35" hidden="1">
      <c r="A198" s="69" t="s">
        <v>109</v>
      </c>
      <c r="B198" s="69" t="s">
        <v>110</v>
      </c>
      <c r="C198" s="63" t="s">
        <v>903</v>
      </c>
      <c r="D198" s="69"/>
      <c r="E198" s="68" t="s">
        <v>74</v>
      </c>
      <c r="F198" s="15" t="str">
        <f>IF($C198="","",IF($E198="","-",IFERROR(INDEX(SETUP!$B$55:$B$64,MATCH($E198,SETUP!$A$55:$A$64,0)),"Other")))</f>
        <v>Ranged DPS</v>
      </c>
      <c r="G198" s="70">
        <v>63481</v>
      </c>
      <c r="H198" s="15" t="str">
        <f>IF($C198="","",IF($G198="","-",INDEX(SETUP!$B$26:$B$32,MATCH($G198,SETUP!$A$26:$A$32,1))))</f>
        <v>63,000 - 63,999</v>
      </c>
      <c r="I198" s="70">
        <v>7392</v>
      </c>
      <c r="J198" s="15" t="str">
        <f>IF($C198="","",IF($I198="","-",INDEX(SETUP!$B$16:$B$22,MATCH($I198,SETUP!$A$16:$A$22,1))))</f>
        <v>VETERAN</v>
      </c>
      <c r="K198" s="15" t="str">
        <f>IF($C198="","",IF($I198="","-",TEXT(INT($I198/1000)*1000,"#,##0")&amp;" - "&amp;TEXT(INT($I198/1000)*1000+999,"#,##0")))</f>
        <v>7,000 - 7,999</v>
      </c>
      <c r="L198" s="71">
        <v>7.15</v>
      </c>
      <c r="M198" s="15" t="str">
        <f>IF($C198="","",IF($L198="","-",INDEX(SETUP!$B$36:$B$42,MATCH($L198,SETUP!$A$36:$A$42,1))))</f>
        <v>6k - 8k</v>
      </c>
      <c r="N198" s="17">
        <f>IF($C198="","",IF(OR($G198="",$I198=""),"",ROUND(100*(SETUP!$B$4*MIN(1,$I198/SETUP!$B$9)+SETUP!$B$5*MAX(0,MIN(1,($G198-SETUP!$B$10)/(SETUP!$B$11-SETUP!$B$10)))+SETUP!$B$6*MIN(1,IF($L198="",0,$L198)/SETUP!$B$12)),1)))</f>
        <v>66.5</v>
      </c>
      <c r="O198" s="15" t="str">
        <f>IF($C198="","",IF($N198="","-",INDEX(SETUP!$B$46:$B$51,MATCH($N198,SETUP!$A$46:$A$51,1))))</f>
        <v>S</v>
      </c>
      <c r="P198" s="15">
        <f>IF($C198="","",IF($I198="","",RANK($I198,$I$4:$I$1463)+COUNTIF($I$4:$I198,$I198)-1))</f>
        <v>181</v>
      </c>
      <c r="Q198" s="15">
        <f>IF($C198="","",COUNTIFS($B$4:$B$1463,$B198,$X$4:$X$1463,"&gt;"&amp;$X198)+COUNTIFS($B$4:$B198,$B198,$X$4:$X198,"="&amp;$X198))</f>
        <v>28</v>
      </c>
      <c r="R198" s="72">
        <f>IF($C198="","",IF($I198="","",ROUND(COUNTIF($I$4:$I$1463,"&lt;"&amp;$I198)/COUNT($I$4:$I$1463),3)))</f>
        <v>0.86299999999999999</v>
      </c>
      <c r="S198" s="15" t="str">
        <f>IF($C198="","",IF($G198="","Name only",IF(OR($I198="",$L198=""),"Partial","Complete")))</f>
        <v>Complete</v>
      </c>
      <c r="T198" s="41" t="str">
        <f>IF($C198="","",TRIM(IF(COUNTIF($C$4:$C$1463,$C198)&gt;1,"Dup name; ","")&amp;IF(AND($G198&lt;&gt;"",$G198&lt;55000),"Low CR - verify; ","")&amp;IF(AND($L198&lt;&gt;"",$L198&gt;15),"Secondary - verify; ","")&amp;IF($E198="","No class; ","")))</f>
        <v/>
      </c>
      <c r="U198" s="68"/>
      <c r="V198" s="68"/>
      <c r="W198" s="68"/>
      <c r="X198" s="73">
        <f t="shared" si="17"/>
        <v>7392</v>
      </c>
      <c r="Y198" s="41" t="str">
        <f t="shared" si="18"/>
        <v>AZUKI|28</v>
      </c>
      <c r="Z198" s="15">
        <f>IF($C198="","",IF($G198="","",RANK($G198,$G$4:$G$1463)+COUNTIF($G$4:$G198,$G198)-1))</f>
        <v>199</v>
      </c>
      <c r="AA198" s="15">
        <f>IF($C198="","",IF($N198="","",RANK($N198,$N$4:$N$1463)+COUNTIF($N$4:$N198,$N198)-1))</f>
        <v>161</v>
      </c>
      <c r="AB198" s="41" t="str">
        <f>IF($C198="","",IF($E198="","",$E198&amp;"#"&amp;(COUNTIFS($E$4:$E$1463,$E198,$X$4:$X$1463,"&gt;"&amp;$X198)+COUNTIFS($E$4:$E198,$E198,$X$4:$X198,"="&amp;$X198))))</f>
        <v>DEMON HUNTER#34</v>
      </c>
      <c r="AC198" s="41" t="str">
        <f>IF($C198="","",$B198&amp;"@"&amp;(COUNTIFS($B$4:$B$1463,$B198,$C$4:$C$1463,"&lt;"&amp;$C198)+COUNTIFS($B$4:$B198,$B198,$C$4:$C198,$C198)))</f>
        <v>AZUKI@21</v>
      </c>
      <c r="AD198" s="41">
        <f t="shared" si="19"/>
        <v>195</v>
      </c>
      <c r="AE198" s="41" t="s">
        <v>904</v>
      </c>
      <c r="AF198" s="73">
        <f t="shared" si="20"/>
        <v>63481</v>
      </c>
      <c r="AG198" s="74">
        <f t="shared" si="21"/>
        <v>7.15</v>
      </c>
      <c r="AH198" s="41" t="str">
        <f>IF($C198="","",$B198&amp;"|"&amp;(COUNTIFS($B$4:$B$1463,$B198,$AF$4:$AF$1463,"&gt;"&amp;$AF198)+COUNTIFS($B$4:$B198,$B198,$AF$4:$AF198,"="&amp;$AF198)))</f>
        <v>AZUKI|27</v>
      </c>
      <c r="AI198" s="41" t="str">
        <f>IF($C198="","",$B198&amp;"|"&amp;(COUNTIFS($B$4:$B$1463,$B198,$AG$4:$AG$1463,"&gt;"&amp;$AG198)+COUNTIFS($B$4:$B198,$B198,$AG$4:$AG198,"="&amp;$AG198)))</f>
        <v>AZUKI|25</v>
      </c>
    </row>
    <row r="199" spans="1:35" hidden="1">
      <c r="A199" s="69" t="s">
        <v>109</v>
      </c>
      <c r="B199" s="69" t="s">
        <v>116</v>
      </c>
      <c r="C199" s="63" t="s">
        <v>905</v>
      </c>
      <c r="D199" s="69" t="s">
        <v>530</v>
      </c>
      <c r="E199" s="68" t="s">
        <v>79</v>
      </c>
      <c r="F199" s="19" t="str">
        <f>IF($C199="","",IF($E199="","-",IFERROR(INDEX(SETUP!$B$55:$B$64,MATCH($E199,SETUP!$A$55:$A$64,0)),"Other")))</f>
        <v>Control</v>
      </c>
      <c r="G199" s="70">
        <v>62638</v>
      </c>
      <c r="H199" s="19" t="str">
        <f>IF($C199="","",IF($G199="","-",INDEX(SETUP!$B$26:$B$32,MATCH($G199,SETUP!$A$26:$A$32,1))))</f>
        <v>62,000 - 62,999</v>
      </c>
      <c r="I199" s="70">
        <v>4900</v>
      </c>
      <c r="J199" s="19" t="str">
        <f>IF($C199="","",IF($I199="","-",INDEX(SETUP!$B$16:$B$22,MATCH($I199,SETUP!$A$16:$A$22,1))))</f>
        <v>CORE</v>
      </c>
      <c r="K199" s="19" t="str">
        <f>IF($C199="","",IF($I199="","-",TEXT(INT($I199/1000)*1000,"#,##0")&amp;" - "&amp;TEXT(INT($I199/1000)*1000+999,"#,##0")))</f>
        <v>4,000 - 4,999</v>
      </c>
      <c r="L199" s="71">
        <v>8.1999999999999993</v>
      </c>
      <c r="M199" s="19" t="str">
        <f>IF($C199="","",IF($L199="","-",INDEX(SETUP!$B$36:$B$42,MATCH($L199,SETUP!$A$36:$A$42,1))))</f>
        <v>8k - 10k</v>
      </c>
      <c r="N199" s="21">
        <f>IF($C199="","",IF(OR($G199="",$I199=""),"",ROUND(100*(SETUP!$B$4*MIN(1,$I199/SETUP!$B$9)+SETUP!$B$5*MAX(0,MIN(1,($G199-SETUP!$B$10)/(SETUP!$B$11-SETUP!$B$10)))+SETUP!$B$6*MIN(1,IF($L199="",0,$L199)/SETUP!$B$12)),1)))</f>
        <v>55.2</v>
      </c>
      <c r="O199" s="19" t="str">
        <f>IF($C199="","",IF($N199="","-",INDEX(SETUP!$B$46:$B$51,MATCH($N199,SETUP!$A$46:$A$51,1))))</f>
        <v>A</v>
      </c>
      <c r="P199" s="19">
        <f>IF($C199="","",IF($I199="","",RANK($I199,$I$4:$I$1463)+COUNTIF($I$4:$I199,$I199)-1))</f>
        <v>428</v>
      </c>
      <c r="Q199" s="19">
        <f>IF($C199="","",COUNTIFS($B$4:$B$1463,$B199,$X$4:$X$1463,"&gt;"&amp;$X199)+COUNTIFS($B$4:$B199,$B199,$X$4:$X199,"="&amp;$X199))</f>
        <v>17</v>
      </c>
      <c r="R199" s="75">
        <f>IF($C199="","",IF($I199="","",ROUND(COUNTIF($I$4:$I$1463,"&lt;"&amp;$I199)/COUNT($I$4:$I$1463),3)))</f>
        <v>0.67700000000000005</v>
      </c>
      <c r="S199" s="19" t="str">
        <f>IF($C199="","",IF($G199="","Name only",IF(OR($I199="",$L199=""),"Partial","Complete")))</f>
        <v>Complete</v>
      </c>
      <c r="T199" s="1" t="str">
        <f>IF($C199="","",TRIM(IF(COUNTIF($C$4:$C$1463,$C199)&gt;1,"Dup name; ","")&amp;IF(AND($G199&lt;&gt;"",$G199&lt;55000),"Low CR - verify; ","")&amp;IF(AND($L199&lt;&gt;"",$L199&gt;15),"Secondary - verify; ","")&amp;IF($E199="","No class; ","")))</f>
        <v/>
      </c>
      <c r="U199" s="68"/>
      <c r="V199" s="68"/>
      <c r="W199" s="68"/>
      <c r="X199" s="76">
        <f t="shared" si="17"/>
        <v>4900</v>
      </c>
      <c r="Y199" s="1" t="str">
        <f t="shared" si="18"/>
        <v>VENGEANCE|17</v>
      </c>
      <c r="Z199" s="19">
        <f>IF($C199="","",IF($G199="","",RANK($G199,$G$4:$G$1463)+COUNTIF($G$4:$G199,$G199)-1))</f>
        <v>593</v>
      </c>
      <c r="AA199" s="19">
        <f>IF($C199="","",IF($N199="","",RANK($N199,$N$4:$N$1463)+COUNTIF($N$4:$N199,$N199)-1))</f>
        <v>312</v>
      </c>
      <c r="AB199" s="1" t="str">
        <f>IF($C199="","",IF($E199="","",$E199&amp;"#"&amp;(COUNTIFS($E$4:$E$1463,$E199,$X$4:$X$1463,"&gt;"&amp;$X199)+COUNTIFS($E$4:$E199,$E199,$X$4:$X199,"="&amp;$X199))))</f>
        <v>WARLOCK#97</v>
      </c>
      <c r="AC199" s="1" t="str">
        <f>IF($C199="","",$B199&amp;"@"&amp;(COUNTIFS($B$4:$B$1463,$B199,$C$4:$C$1463,"&lt;"&amp;$C199)+COUNTIFS($B$4:$B199,$B199,$C$4:$C199,$C199)))</f>
        <v>VENGEANCE@14</v>
      </c>
      <c r="AD199" s="1">
        <f t="shared" si="19"/>
        <v>196</v>
      </c>
      <c r="AE199" s="1" t="s">
        <v>906</v>
      </c>
      <c r="AF199" s="76">
        <f t="shared" si="20"/>
        <v>62638</v>
      </c>
      <c r="AG199" s="77">
        <f t="shared" si="21"/>
        <v>8.1999999999999993</v>
      </c>
      <c r="AH199" s="1" t="str">
        <f>IF($C199="","",$B199&amp;"|"&amp;(COUNTIFS($B$4:$B$1463,$B199,$AF$4:$AF$1463,"&gt;"&amp;$AF199)+COUNTIFS($B$4:$B199,$B199,$AF$4:$AF199,"="&amp;$AF199)))</f>
        <v>VENGEANCE|35</v>
      </c>
      <c r="AI199" s="1" t="str">
        <f>IF($C199="","",$B199&amp;"|"&amp;(COUNTIFS($B$4:$B$1463,$B199,$AG$4:$AG$1463,"&gt;"&amp;$AG199)+COUNTIFS($B$4:$B199,$B199,$AG$4:$AG199,"="&amp;$AG199)))</f>
        <v>VENGEANCE|3</v>
      </c>
    </row>
    <row r="200" spans="1:35" hidden="1">
      <c r="A200" s="69" t="s">
        <v>109</v>
      </c>
      <c r="B200" s="69" t="s">
        <v>116</v>
      </c>
      <c r="C200" s="63" t="s">
        <v>907</v>
      </c>
      <c r="D200" s="69" t="s">
        <v>530</v>
      </c>
      <c r="E200" s="68" t="s">
        <v>74</v>
      </c>
      <c r="F200" s="15" t="str">
        <f>IF($C200="","",IF($E200="","-",IFERROR(INDEX(SETUP!$B$55:$B$64,MATCH($E200,SETUP!$A$55:$A$64,0)),"Other")))</f>
        <v>Ranged DPS</v>
      </c>
      <c r="G200" s="70">
        <v>62510</v>
      </c>
      <c r="H200" s="15" t="str">
        <f>IF($C200="","",IF($G200="","-",INDEX(SETUP!$B$26:$B$32,MATCH($G200,SETUP!$A$26:$A$32,1))))</f>
        <v>62,000 - 62,999</v>
      </c>
      <c r="I200" s="70">
        <v>3198</v>
      </c>
      <c r="J200" s="15" t="str">
        <f>IF($C200="","",IF($I200="","-",INDEX(SETUP!$B$16:$B$22,MATCH($I200,SETUP!$A$16:$A$22,1))))</f>
        <v>DEVELOPING</v>
      </c>
      <c r="K200" s="15" t="str">
        <f>IF($C200="","",IF($I200="","-",TEXT(INT($I200/1000)*1000,"#,##0")&amp;" - "&amp;TEXT(INT($I200/1000)*1000+999,"#,##0")))</f>
        <v>3,000 - 3,999</v>
      </c>
      <c r="L200" s="71">
        <v>5.01</v>
      </c>
      <c r="M200" s="15" t="str">
        <f>IF($C200="","",IF($L200="","-",INDEX(SETUP!$B$36:$B$42,MATCH($L200,SETUP!$A$36:$A$42,1))))</f>
        <v>5k - 6k</v>
      </c>
      <c r="N200" s="17">
        <f>IF($C200="","",IF(OR($G200="",$I200=""),"",ROUND(100*(SETUP!$B$4*MIN(1,$I200/SETUP!$B$9)+SETUP!$B$5*MAX(0,MIN(1,($G200-SETUP!$B$10)/(SETUP!$B$11-SETUP!$B$10)))+SETUP!$B$6*MIN(1,IF($L200="",0,$L200)/SETUP!$B$12)),1)))</f>
        <v>42.1</v>
      </c>
      <c r="O200" s="15" t="str">
        <f>IF($C200="","",IF($N200="","-",INDEX(SETUP!$B$46:$B$51,MATCH($N200,SETUP!$A$46:$A$51,1))))</f>
        <v>B</v>
      </c>
      <c r="P200" s="15">
        <f>IF($C200="","",IF($I200="","",RANK($I200,$I$4:$I$1463)+COUNTIF($I$4:$I200,$I200)-1))</f>
        <v>824</v>
      </c>
      <c r="Q200" s="15">
        <f>IF($C200="","",COUNTIFS($B$4:$B$1463,$B200,$X$4:$X$1463,"&gt;"&amp;$X200)+COUNTIFS($B$4:$B200,$B200,$X$4:$X200,"="&amp;$X200))</f>
        <v>54</v>
      </c>
      <c r="R200" s="72">
        <f>IF($C200="","",IF($I200="","",ROUND(COUNTIF($I$4:$I$1463,"&lt;"&amp;$I200)/COUNT($I$4:$I$1463),3)))</f>
        <v>0.378</v>
      </c>
      <c r="S200" s="15" t="str">
        <f>IF($C200="","",IF($G200="","Name only",IF(OR($I200="",$L200=""),"Partial","Complete")))</f>
        <v>Complete</v>
      </c>
      <c r="T200" s="41" t="str">
        <f>IF($C200="","",TRIM(IF(COUNTIF($C$4:$C$1463,$C200)&gt;1,"Dup name; ","")&amp;IF(AND($G200&lt;&gt;"",$G200&lt;55000),"Low CR - verify; ","")&amp;IF(AND($L200&lt;&gt;"",$L200&gt;15),"Secondary - verify; ","")&amp;IF($E200="","No class; ","")))</f>
        <v/>
      </c>
      <c r="U200" s="68"/>
      <c r="V200" s="68"/>
      <c r="W200" s="68"/>
      <c r="X200" s="73">
        <f t="shared" si="17"/>
        <v>3198</v>
      </c>
      <c r="Y200" s="41" t="str">
        <f t="shared" si="18"/>
        <v>VENGEANCE|54</v>
      </c>
      <c r="Z200" s="15">
        <f>IF($C200="","",IF($G200="","",RANK($G200,$G$4:$G$1463)+COUNTIF($G$4:$G200,$G200)-1))</f>
        <v>648</v>
      </c>
      <c r="AA200" s="15">
        <f>IF($C200="","",IF($N200="","",RANK($N200,$N$4:$N$1463)+COUNTIF($N$4:$N200,$N200)-1))</f>
        <v>738</v>
      </c>
      <c r="AB200" s="41" t="str">
        <f>IF($C200="","",IF($E200="","",$E200&amp;"#"&amp;(COUNTIFS($E$4:$E$1463,$E200,$X$4:$X$1463,"&gt;"&amp;$X200)+COUNTIFS($E$4:$E200,$E200,$X$4:$X200,"="&amp;$X200))))</f>
        <v>DEMON HUNTER#132</v>
      </c>
      <c r="AC200" s="41" t="str">
        <f>IF($C200="","",$B200&amp;"@"&amp;(COUNTIFS($B$4:$B$1463,$B200,$C$4:$C$1463,"&lt;"&amp;$C200)+COUNTIFS($B$4:$B200,$B200,$C$4:$C200,$C200)))</f>
        <v>VENGEANCE@15</v>
      </c>
      <c r="AD200" s="41">
        <f t="shared" si="19"/>
        <v>197</v>
      </c>
      <c r="AE200" s="41" t="s">
        <v>908</v>
      </c>
      <c r="AF200" s="73">
        <f t="shared" si="20"/>
        <v>62510</v>
      </c>
      <c r="AG200" s="74">
        <f t="shared" si="21"/>
        <v>5.01</v>
      </c>
      <c r="AH200" s="41" t="str">
        <f>IF($C200="","",$B200&amp;"|"&amp;(COUNTIFS($B$4:$B$1463,$B200,$AF$4:$AF$1463,"&gt;"&amp;$AF200)+COUNTIFS($B$4:$B200,$B200,$AF$4:$AF200,"="&amp;$AF200)))</f>
        <v>VENGEANCE|40</v>
      </c>
      <c r="AI200" s="41" t="str">
        <f>IF($C200="","",$B200&amp;"|"&amp;(COUNTIFS($B$4:$B$1463,$B200,$AG$4:$AG$1463,"&gt;"&amp;$AG200)+COUNTIFS($B$4:$B200,$B200,$AG$4:$AG200,"="&amp;$AG200)))</f>
        <v>VENGEANCE|31</v>
      </c>
    </row>
    <row r="201" spans="1:35" hidden="1">
      <c r="A201" s="69" t="s">
        <v>106</v>
      </c>
      <c r="B201" s="69" t="s">
        <v>107</v>
      </c>
      <c r="C201" s="63" t="s">
        <v>909</v>
      </c>
      <c r="D201" s="69"/>
      <c r="E201" s="68" t="s">
        <v>77</v>
      </c>
      <c r="F201" s="19" t="str">
        <f>IF($C201="","",IF($E201="","-",IFERROR(INDEX(SETUP!$B$55:$B$64,MATCH($E201,SETUP!$A$55:$A$64,0)),"Other")))</f>
        <v>Control</v>
      </c>
      <c r="G201" s="70">
        <v>63130</v>
      </c>
      <c r="H201" s="19" t="str">
        <f>IF($C201="","",IF($G201="","-",INDEX(SETUP!$B$26:$B$32,MATCH($G201,SETUP!$A$26:$A$32,1))))</f>
        <v>63,000 - 63,999</v>
      </c>
      <c r="I201" s="70">
        <v>7122</v>
      </c>
      <c r="J201" s="19" t="str">
        <f>IF($C201="","",IF($I201="","-",INDEX(SETUP!$B$16:$B$22,MATCH($I201,SETUP!$A$16:$A$22,1))))</f>
        <v>VETERAN</v>
      </c>
      <c r="K201" s="19" t="str">
        <f>IF($C201="","",IF($I201="","-",TEXT(INT($I201/1000)*1000,"#,##0")&amp;" - "&amp;TEXT(INT($I201/1000)*1000+999,"#,##0")))</f>
        <v>7,000 - 7,999</v>
      </c>
      <c r="L201" s="71">
        <v>5.85</v>
      </c>
      <c r="M201" s="19" t="str">
        <f>IF($C201="","",IF($L201="","-",INDEX(SETUP!$B$36:$B$42,MATCH($L201,SETUP!$A$36:$A$42,1))))</f>
        <v>5k - 6k</v>
      </c>
      <c r="N201" s="21">
        <f>IF($C201="","",IF(OR($G201="",$I201=""),"",ROUND(100*(SETUP!$B$4*MIN(1,$I201/SETUP!$B$9)+SETUP!$B$5*MAX(0,MIN(1,($G201-SETUP!$B$10)/(SETUP!$B$11-SETUP!$B$10)))+SETUP!$B$6*MIN(1,IF($L201="",0,$L201)/SETUP!$B$12)),1)))</f>
        <v>62.2</v>
      </c>
      <c r="O201" s="19" t="str">
        <f>IF($C201="","",IF($N201="","-",INDEX(SETUP!$B$46:$B$51,MATCH($N201,SETUP!$A$46:$A$51,1))))</f>
        <v>A</v>
      </c>
      <c r="P201" s="19">
        <f>IF($C201="","",IF($I201="","",RANK($I201,$I$4:$I$1463)+COUNTIF($I$4:$I201,$I201)-1))</f>
        <v>215</v>
      </c>
      <c r="Q201" s="19">
        <f>IF($C201="","",COUNTIFS($B$4:$B$1463,$B201,$X$4:$X$1463,"&gt;"&amp;$X201)+COUNTIFS($B$4:$B201,$B201,$X$4:$X201,"="&amp;$X201))</f>
        <v>14</v>
      </c>
      <c r="R201" s="75">
        <f>IF($C201="","",IF($I201="","",ROUND(COUNTIF($I$4:$I$1463,"&lt;"&amp;$I201)/COUNT($I$4:$I$1463),3)))</f>
        <v>0.83799999999999997</v>
      </c>
      <c r="S201" s="19" t="str">
        <f>IF($C201="","",IF($G201="","Name only",IF(OR($I201="",$L201=""),"Partial","Complete")))</f>
        <v>Complete</v>
      </c>
      <c r="T201" s="1" t="str">
        <f>IF($C201="","",TRIM(IF(COUNTIF($C$4:$C$1463,$C201)&gt;1,"Dup name; ","")&amp;IF(AND($G201&lt;&gt;"",$G201&lt;55000),"Low CR - verify; ","")&amp;IF(AND($L201&lt;&gt;"",$L201&gt;15),"Secondary - verify; ","")&amp;IF($E201="","No class; ","")))</f>
        <v/>
      </c>
      <c r="U201" s="68"/>
      <c r="V201" s="68"/>
      <c r="W201" s="68"/>
      <c r="X201" s="76">
        <f t="shared" si="17"/>
        <v>7122</v>
      </c>
      <c r="Y201" s="1" t="str">
        <f t="shared" si="18"/>
        <v>UNDYING|14</v>
      </c>
      <c r="Z201" s="19">
        <f>IF($C201="","",IF($G201="","",RANK($G201,$G$4:$G$1463)+COUNTIF($G$4:$G201,$G201)-1))</f>
        <v>357</v>
      </c>
      <c r="AA201" s="19">
        <f>IF($C201="","",IF($N201="","",RANK($N201,$N$4:$N$1463)+COUNTIF($N$4:$N201,$N201)-1))</f>
        <v>211</v>
      </c>
      <c r="AB201" s="1" t="str">
        <f>IF($C201="","",IF($E201="","",$E201&amp;"#"&amp;(COUNTIFS($E$4:$E$1463,$E201,$X$4:$X$1463,"&gt;"&amp;$X201)+COUNTIFS($E$4:$E201,$E201,$X$4:$X201,"="&amp;$X201))))</f>
        <v>NECROMANCER#7</v>
      </c>
      <c r="AC201" s="1" t="str">
        <f>IF($C201="","",$B201&amp;"@"&amp;(COUNTIFS($B$4:$B$1463,$B201,$C$4:$C$1463,"&lt;"&amp;$C201)+COUNTIFS($B$4:$B201,$B201,$C$4:$C201,$C201)))</f>
        <v>UNDYING@20</v>
      </c>
      <c r="AD201" s="1">
        <f t="shared" si="19"/>
        <v>198</v>
      </c>
      <c r="AE201" s="1" t="s">
        <v>543</v>
      </c>
      <c r="AF201" s="76">
        <f t="shared" si="20"/>
        <v>63130</v>
      </c>
      <c r="AG201" s="77">
        <f t="shared" si="21"/>
        <v>5.85</v>
      </c>
      <c r="AH201" s="1" t="str">
        <f>IF($C201="","",$B201&amp;"|"&amp;(COUNTIFS($B$4:$B$1463,$B201,$AF$4:$AF$1463,"&gt;"&amp;$AF201)+COUNTIFS($B$4:$B201,$B201,$AF$4:$AF201,"="&amp;$AF201)))</f>
        <v>UNDYING|37</v>
      </c>
      <c r="AI201" s="1" t="str">
        <f>IF($C201="","",$B201&amp;"|"&amp;(COUNTIFS($B$4:$B$1463,$B201,$AG$4:$AG$1463,"&gt;"&amp;$AG201)+COUNTIFS($B$4:$B201,$B201,$AG$4:$AG201,"="&amp;$AG201)))</f>
        <v>UNDYING|29</v>
      </c>
    </row>
    <row r="202" spans="1:35" hidden="1">
      <c r="A202" s="69" t="s">
        <v>109</v>
      </c>
      <c r="B202" s="69" t="s">
        <v>114</v>
      </c>
      <c r="C202" s="63" t="s">
        <v>910</v>
      </c>
      <c r="D202" s="69"/>
      <c r="E202" s="68" t="s">
        <v>72</v>
      </c>
      <c r="F202" s="15" t="str">
        <f>IF($C202="","",IF($E202="","-",IFERROR(INDEX(SETUP!$B$55:$B$64,MATCH($E202,SETUP!$A$55:$A$64,0)),"Other")))</f>
        <v>Frontline</v>
      </c>
      <c r="G202" s="70">
        <v>61154</v>
      </c>
      <c r="H202" s="15" t="str">
        <f>IF($C202="","",IF($G202="","-",INDEX(SETUP!$B$26:$B$32,MATCH($G202,SETUP!$A$26:$A$32,1))))</f>
        <v>61,000 - 61,999</v>
      </c>
      <c r="I202" s="70">
        <v>1396</v>
      </c>
      <c r="J202" s="15" t="str">
        <f>IF($C202="","",IF($I202="","-",INDEX(SETUP!$B$16:$B$22,MATCH($I202,SETUP!$A$16:$A$22,1))))</f>
        <v>ROOKIE</v>
      </c>
      <c r="K202" s="15" t="str">
        <f>IF($C202="","",IF($I202="","-",TEXT(INT($I202/1000)*1000,"#,##0")&amp;" - "&amp;TEXT(INT($I202/1000)*1000+999,"#,##0")))</f>
        <v>1,000 - 1,999</v>
      </c>
      <c r="L202" s="71">
        <v>3.9</v>
      </c>
      <c r="M202" s="15" t="str">
        <f>IF($C202="","",IF($L202="","-",INDEX(SETUP!$B$36:$B$42,MATCH($L202,SETUP!$A$36:$A$42,1))))</f>
        <v>3k - 4k</v>
      </c>
      <c r="N202" s="17">
        <f>IF($C202="","",IF(OR($G202="",$I202=""),"",ROUND(100*(SETUP!$B$4*MIN(1,$I202/SETUP!$B$9)+SETUP!$B$5*MAX(0,MIN(1,($G202-SETUP!$B$10)/(SETUP!$B$11-SETUP!$B$10)))+SETUP!$B$6*MIN(1,IF($L202="",0,$L202)/SETUP!$B$12)),1)))</f>
        <v>28.8</v>
      </c>
      <c r="O202" s="15" t="str">
        <f>IF($C202="","",IF($N202="","-",INDEX(SETUP!$B$46:$B$51,MATCH($N202,SETUP!$A$46:$A$51,1))))</f>
        <v>C</v>
      </c>
      <c r="P202" s="15">
        <f>IF($C202="","",IF($I202="","",RANK($I202,$I$4:$I$1463)+COUNTIF($I$4:$I202,$I202)-1))</f>
        <v>1215</v>
      </c>
      <c r="Q202" s="15">
        <f>IF($C202="","",COUNTIFS($B$4:$B$1463,$B202,$X$4:$X$1463,"&gt;"&amp;$X202)+COUNTIFS($B$4:$B202,$B202,$X$4:$X202,"="&amp;$X202))</f>
        <v>75</v>
      </c>
      <c r="R202" s="72">
        <f>IF($C202="","",IF($I202="","",ROUND(COUNTIF($I$4:$I$1463,"&lt;"&amp;$I202)/COUNT($I$4:$I$1463),3)))</f>
        <v>8.3000000000000004E-2</v>
      </c>
      <c r="S202" s="15" t="str">
        <f>IF($C202="","",IF($G202="","Name only",IF(OR($I202="",$L202=""),"Partial","Complete")))</f>
        <v>Complete</v>
      </c>
      <c r="T202" s="41" t="str">
        <f>IF($C202="","",TRIM(IF(COUNTIF($C$4:$C$1463,$C202)&gt;1,"Dup name; ","")&amp;IF(AND($G202&lt;&gt;"",$G202&lt;55000),"Low CR - verify; ","")&amp;IF(AND($L202&lt;&gt;"",$L202&gt;15),"Secondary - verify; ","")&amp;IF($E202="","No class; ","")))</f>
        <v/>
      </c>
      <c r="U202" s="68"/>
      <c r="V202" s="68"/>
      <c r="W202" s="68"/>
      <c r="X202" s="73">
        <f t="shared" si="17"/>
        <v>1396</v>
      </c>
      <c r="Y202" s="41" t="str">
        <f t="shared" si="18"/>
        <v>EMERALD LEAF TRIBE|75</v>
      </c>
      <c r="Z202" s="15">
        <f>IF($C202="","",IF($G202="","",RANK($G202,$G$4:$G$1463)+COUNTIF($G$4:$G202,$G202)-1))</f>
        <v>1107</v>
      </c>
      <c r="AA202" s="15">
        <f>IF($C202="","",IF($N202="","",RANK($N202,$N$4:$N$1463)+COUNTIF($N$4:$N202,$N202)-1))</f>
        <v>1173</v>
      </c>
      <c r="AB202" s="41" t="str">
        <f>IF($C202="","",IF($E202="","",$E202&amp;"#"&amp;(COUNTIFS($E$4:$E$1463,$E202,$X$4:$X$1463,"&gt;"&amp;$X202)+COUNTIFS($E$4:$E202,$E202,$X$4:$X202,"="&amp;$X202))))</f>
        <v>BLOOD KNIGHT#85</v>
      </c>
      <c r="AC202" s="41" t="str">
        <f>IF($C202="","",$B202&amp;"@"&amp;(COUNTIFS($B$4:$B$1463,$B202,$C$4:$C$1463,"&lt;"&amp;$C202)+COUNTIFS($B$4:$B202,$B202,$C$4:$C202,$C202)))</f>
        <v>EMERALD LEAF TRIBE@13</v>
      </c>
      <c r="AD202" s="41">
        <f t="shared" si="19"/>
        <v>199</v>
      </c>
      <c r="AE202" s="41" t="s">
        <v>911</v>
      </c>
      <c r="AF202" s="73">
        <f t="shared" si="20"/>
        <v>61154</v>
      </c>
      <c r="AG202" s="74">
        <f t="shared" si="21"/>
        <v>3.9</v>
      </c>
      <c r="AH202" s="41" t="str">
        <f>IF($C202="","",$B202&amp;"|"&amp;(COUNTIFS($B$4:$B$1463,$B202,$AF$4:$AF$1463,"&gt;"&amp;$AF202)+COUNTIFS($B$4:$B202,$B202,$AF$4:$AF202,"="&amp;$AF202)))</f>
        <v>EMERALD LEAF TRIBE|54</v>
      </c>
      <c r="AI202" s="41" t="str">
        <f>IF($C202="","",$B202&amp;"|"&amp;(COUNTIFS($B$4:$B$1463,$B202,$AG$4:$AG$1463,"&gt;"&amp;$AG202)+COUNTIFS($B$4:$B202,$B202,$AG$4:$AG202,"="&amp;$AG202)))</f>
        <v>EMERALD LEAF TRIBE|32</v>
      </c>
    </row>
    <row r="203" spans="1:35" hidden="1">
      <c r="A203" s="69" t="s">
        <v>109</v>
      </c>
      <c r="B203" s="69" t="s">
        <v>114</v>
      </c>
      <c r="C203" s="63" t="s">
        <v>912</v>
      </c>
      <c r="D203" s="69"/>
      <c r="E203" s="68" t="s">
        <v>77</v>
      </c>
      <c r="F203" s="19" t="str">
        <f>IF($C203="","",IF($E203="","-",IFERROR(INDEX(SETUP!$B$55:$B$64,MATCH($E203,SETUP!$A$55:$A$64,0)),"Other")))</f>
        <v>Control</v>
      </c>
      <c r="G203" s="70">
        <v>60403</v>
      </c>
      <c r="H203" s="19" t="str">
        <f>IF($C203="","",IF($G203="","-",INDEX(SETUP!$B$26:$B$32,MATCH($G203,SETUP!$A$26:$A$32,1))))</f>
        <v>60,000 - 60,999</v>
      </c>
      <c r="I203" s="70">
        <v>1470</v>
      </c>
      <c r="J203" s="19" t="str">
        <f>IF($C203="","",IF($I203="","-",INDEX(SETUP!$B$16:$B$22,MATCH($I203,SETUP!$A$16:$A$22,1))))</f>
        <v>ROOKIE</v>
      </c>
      <c r="K203" s="19" t="str">
        <f>IF($C203="","",IF($I203="","-",TEXT(INT($I203/1000)*1000,"#,##0")&amp;" - "&amp;TEXT(INT($I203/1000)*1000+999,"#,##0")))</f>
        <v>1,000 - 1,999</v>
      </c>
      <c r="L203" s="71">
        <v>3.3</v>
      </c>
      <c r="M203" s="19" t="str">
        <f>IF($C203="","",IF($L203="","-",INDEX(SETUP!$B$36:$B$42,MATCH($L203,SETUP!$A$36:$A$42,1))))</f>
        <v>3k - 4k</v>
      </c>
      <c r="N203" s="21">
        <f>IF($C203="","",IF(OR($G203="",$I203=""),"",ROUND(100*(SETUP!$B$4*MIN(1,$I203/SETUP!$B$9)+SETUP!$B$5*MAX(0,MIN(1,($G203-SETUP!$B$10)/(SETUP!$B$11-SETUP!$B$10)))+SETUP!$B$6*MIN(1,IF($L203="",0,$L203)/SETUP!$B$12)),1)))</f>
        <v>26.1</v>
      </c>
      <c r="O203" s="19" t="str">
        <f>IF($C203="","",IF($N203="","-",INDEX(SETUP!$B$46:$B$51,MATCH($N203,SETUP!$A$46:$A$51,1))))</f>
        <v>C</v>
      </c>
      <c r="P203" s="19">
        <f>IF($C203="","",IF($I203="","",RANK($I203,$I$4:$I$1463)+COUNTIF($I$4:$I203,$I203)-1))</f>
        <v>1198</v>
      </c>
      <c r="Q203" s="19">
        <f>IF($C203="","",COUNTIFS($B$4:$B$1463,$B203,$X$4:$X$1463,"&gt;"&amp;$X203)+COUNTIFS($B$4:$B203,$B203,$X$4:$X203,"="&amp;$X203))</f>
        <v>72</v>
      </c>
      <c r="R203" s="75">
        <f>IF($C203="","",IF($I203="","",ROUND(COUNTIF($I$4:$I$1463,"&lt;"&amp;$I203)/COUNT($I$4:$I$1463),3)))</f>
        <v>9.4E-2</v>
      </c>
      <c r="S203" s="19" t="str">
        <f>IF($C203="","",IF($G203="","Name only",IF(OR($I203="",$L203=""),"Partial","Complete")))</f>
        <v>Complete</v>
      </c>
      <c r="T203" s="1" t="str">
        <f>IF($C203="","",TRIM(IF(COUNTIF($C$4:$C$1463,$C203)&gt;1,"Dup name; ","")&amp;IF(AND($G203&lt;&gt;"",$G203&lt;55000),"Low CR - verify; ","")&amp;IF(AND($L203&lt;&gt;"",$L203&gt;15),"Secondary - verify; ","")&amp;IF($E203="","No class; ","")))</f>
        <v/>
      </c>
      <c r="U203" s="68"/>
      <c r="V203" s="68"/>
      <c r="W203" s="68"/>
      <c r="X203" s="76">
        <f t="shared" si="17"/>
        <v>1470</v>
      </c>
      <c r="Y203" s="1" t="str">
        <f t="shared" si="18"/>
        <v>EMERALD LEAF TRIBE|72</v>
      </c>
      <c r="Z203" s="19">
        <f>IF($C203="","",IF($G203="","",RANK($G203,$G$4:$G$1463)+COUNTIF($G$4:$G203,$G203)-1))</f>
        <v>1219</v>
      </c>
      <c r="AA203" s="19">
        <f>IF($C203="","",IF($N203="","",RANK($N203,$N$4:$N$1463)+COUNTIF($N$4:$N203,$N203)-1))</f>
        <v>1224</v>
      </c>
      <c r="AB203" s="1" t="str">
        <f>IF($C203="","",IF($E203="","",$E203&amp;"#"&amp;(COUNTIFS($E$4:$E$1463,$E203,$X$4:$X$1463,"&gt;"&amp;$X203)+COUNTIFS($E$4:$E203,$E203,$X$4:$X203,"="&amp;$X203))))</f>
        <v>NECROMANCER#89</v>
      </c>
      <c r="AC203" s="1" t="str">
        <f>IF($C203="","",$B203&amp;"@"&amp;(COUNTIFS($B$4:$B$1463,$B203,$C$4:$C$1463,"&lt;"&amp;$C203)+COUNTIFS($B$4:$B203,$B203,$C$4:$C203,$C203)))</f>
        <v>EMERALD LEAF TRIBE@14</v>
      </c>
      <c r="AD203" s="1">
        <f t="shared" si="19"/>
        <v>200</v>
      </c>
      <c r="AE203" s="1" t="s">
        <v>913</v>
      </c>
      <c r="AF203" s="76">
        <f t="shared" si="20"/>
        <v>60403</v>
      </c>
      <c r="AG203" s="77">
        <f t="shared" si="21"/>
        <v>3.3</v>
      </c>
      <c r="AH203" s="1" t="str">
        <f>IF($C203="","",$B203&amp;"|"&amp;(COUNTIFS($B$4:$B$1463,$B203,$AF$4:$AF$1463,"&gt;"&amp;$AF203)+COUNTIFS($B$4:$B203,$B203,$AF$4:$AF203,"="&amp;$AF203)))</f>
        <v>EMERALD LEAF TRIBE|72</v>
      </c>
      <c r="AI203" s="1" t="str">
        <f>IF($C203="","",$B203&amp;"|"&amp;(COUNTIFS($B$4:$B$1463,$B203,$AG$4:$AG$1463,"&gt;"&amp;$AG203)+COUNTIFS($B$4:$B203,$B203,$AG$4:$AG203,"="&amp;$AG203)))</f>
        <v>EMERALD LEAF TRIBE|64</v>
      </c>
    </row>
    <row r="204" spans="1:35" hidden="1">
      <c r="A204" s="69" t="s">
        <v>109</v>
      </c>
      <c r="B204" s="69" t="s">
        <v>114</v>
      </c>
      <c r="C204" s="63" t="s">
        <v>914</v>
      </c>
      <c r="D204" s="69"/>
      <c r="E204" s="68" t="s">
        <v>77</v>
      </c>
      <c r="F204" s="15" t="str">
        <f>IF($C204="","",IF($E204="","-",IFERROR(INDEX(SETUP!$B$55:$B$64,MATCH($E204,SETUP!$A$55:$A$64,0)),"Other")))</f>
        <v>Control</v>
      </c>
      <c r="G204" s="70">
        <v>61296</v>
      </c>
      <c r="H204" s="15" t="str">
        <f>IF($C204="","",IF($G204="","-",INDEX(SETUP!$B$26:$B$32,MATCH($G204,SETUP!$A$26:$A$32,1))))</f>
        <v>61,000 - 61,999</v>
      </c>
      <c r="I204" s="70">
        <v>3019</v>
      </c>
      <c r="J204" s="15" t="str">
        <f>IF($C204="","",IF($I204="","-",INDEX(SETUP!$B$16:$B$22,MATCH($I204,SETUP!$A$16:$A$22,1))))</f>
        <v>DEVELOPING</v>
      </c>
      <c r="K204" s="15" t="str">
        <f>IF($C204="","",IF($I204="","-",TEXT(INT($I204/1000)*1000,"#,##0")&amp;" - "&amp;TEXT(INT($I204/1000)*1000+999,"#,##0")))</f>
        <v>3,000 - 3,999</v>
      </c>
      <c r="L204" s="71">
        <v>3.75</v>
      </c>
      <c r="M204" s="15" t="str">
        <f>IF($C204="","",IF($L204="","-",INDEX(SETUP!$B$36:$B$42,MATCH($L204,SETUP!$A$36:$A$42,1))))</f>
        <v>3k - 4k</v>
      </c>
      <c r="N204" s="17">
        <f>IF($C204="","",IF(OR($G204="",$I204=""),"",ROUND(100*(SETUP!$B$4*MIN(1,$I204/SETUP!$B$9)+SETUP!$B$5*MAX(0,MIN(1,($G204-SETUP!$B$10)/(SETUP!$B$11-SETUP!$B$10)))+SETUP!$B$6*MIN(1,IF($L204="",0,$L204)/SETUP!$B$12)),1)))</f>
        <v>36</v>
      </c>
      <c r="O204" s="15" t="str">
        <f>IF($C204="","",IF($N204="","-",INDEX(SETUP!$B$46:$B$51,MATCH($N204,SETUP!$A$46:$A$51,1))))</f>
        <v>B</v>
      </c>
      <c r="P204" s="15">
        <f>IF($C204="","",IF($I204="","",RANK($I204,$I$4:$I$1463)+COUNTIF($I$4:$I204,$I204)-1))</f>
        <v>874</v>
      </c>
      <c r="Q204" s="15">
        <f>IF($C204="","",COUNTIFS($B$4:$B$1463,$B204,$X$4:$X$1463,"&gt;"&amp;$X204)+COUNTIFS($B$4:$B204,$B204,$X$4:$X204,"="&amp;$X204))</f>
        <v>24</v>
      </c>
      <c r="R204" s="72">
        <f>IF($C204="","",IF($I204="","",ROUND(COUNTIF($I$4:$I$1463,"&lt;"&amp;$I204)/COUNT($I$4:$I$1463),3)))</f>
        <v>0.34</v>
      </c>
      <c r="S204" s="15" t="str">
        <f>IF($C204="","",IF($G204="","Name only",IF(OR($I204="",$L204=""),"Partial","Complete")))</f>
        <v>Complete</v>
      </c>
      <c r="T204" s="41" t="str">
        <f>IF($C204="","",TRIM(IF(COUNTIF($C$4:$C$1463,$C204)&gt;1,"Dup name; ","")&amp;IF(AND($G204&lt;&gt;"",$G204&lt;55000),"Low CR - verify; ","")&amp;IF(AND($L204&lt;&gt;"",$L204&gt;15),"Secondary - verify; ","")&amp;IF($E204="","No class; ","")))</f>
        <v/>
      </c>
      <c r="U204" s="68"/>
      <c r="V204" s="68"/>
      <c r="W204" s="68"/>
      <c r="X204" s="73">
        <f t="shared" si="17"/>
        <v>3019</v>
      </c>
      <c r="Y204" s="41" t="str">
        <f t="shared" si="18"/>
        <v>EMERALD LEAF TRIBE|24</v>
      </c>
      <c r="Z204" s="15">
        <f>IF($C204="","",IF($G204="","",RANK($G204,$G$4:$G$1463)+COUNTIF($G$4:$G204,$G204)-1))</f>
        <v>1062</v>
      </c>
      <c r="AA204" s="15">
        <f>IF($C204="","",IF($N204="","",RANK($N204,$N$4:$N$1463)+COUNTIF($N$4:$N204,$N204)-1))</f>
        <v>963</v>
      </c>
      <c r="AB204" s="41" t="str">
        <f>IF($C204="","",IF($E204="","",$E204&amp;"#"&amp;(COUNTIFS($E$4:$E$1463,$E204,$X$4:$X$1463,"&gt;"&amp;$X204)+COUNTIFS($E$4:$E204,$E204,$X$4:$X204,"="&amp;$X204))))</f>
        <v>NECROMANCER#48</v>
      </c>
      <c r="AC204" s="41" t="str">
        <f>IF($C204="","",$B204&amp;"@"&amp;(COUNTIFS($B$4:$B$1463,$B204,$C$4:$C$1463,"&lt;"&amp;$C204)+COUNTIFS($B$4:$B204,$B204,$C$4:$C204,$C204)))</f>
        <v>EMERALD LEAF TRIBE@15</v>
      </c>
      <c r="AD204" s="41">
        <f t="shared" si="19"/>
        <v>201</v>
      </c>
      <c r="AE204" s="41" t="s">
        <v>915</v>
      </c>
      <c r="AF204" s="73">
        <f t="shared" si="20"/>
        <v>61296</v>
      </c>
      <c r="AG204" s="74">
        <f t="shared" si="21"/>
        <v>3.75</v>
      </c>
      <c r="AH204" s="41" t="str">
        <f>IF($C204="","",$B204&amp;"|"&amp;(COUNTIFS($B$4:$B$1463,$B204,$AF$4:$AF$1463,"&gt;"&amp;$AF204)+COUNTIFS($B$4:$B204,$B204,$AF$4:$AF204,"="&amp;$AF204)))</f>
        <v>EMERALD LEAF TRIBE|45</v>
      </c>
      <c r="AI204" s="41" t="str">
        <f>IF($C204="","",$B204&amp;"|"&amp;(COUNTIFS($B$4:$B$1463,$B204,$AG$4:$AG$1463,"&gt;"&amp;$AG204)+COUNTIFS($B$4:$B204,$B204,$AG$4:$AG204,"="&amp;$AG204)))</f>
        <v>EMERALD LEAF TRIBE|43</v>
      </c>
    </row>
    <row r="205" spans="1:35" hidden="1">
      <c r="A205" s="69" t="s">
        <v>106</v>
      </c>
      <c r="B205" s="69" t="s">
        <v>105</v>
      </c>
      <c r="C205" s="63" t="s">
        <v>916</v>
      </c>
      <c r="D205" s="69" t="s">
        <v>691</v>
      </c>
      <c r="E205" s="68" t="s">
        <v>80</v>
      </c>
      <c r="F205" s="19" t="str">
        <f>IF($C205="","",IF($E205="","-",IFERROR(INDEX(SETUP!$B$55:$B$64,MATCH($E205,SETUP!$A$55:$A$64,0)),"Other")))</f>
        <v>Ranged DPS</v>
      </c>
      <c r="G205" s="70">
        <v>63610</v>
      </c>
      <c r="H205" s="19" t="str">
        <f>IF($C205="","",IF($G205="","-",INDEX(SETUP!$B$26:$B$32,MATCH($G205,SETUP!$A$26:$A$32,1))))</f>
        <v>63,000 - 63,999</v>
      </c>
      <c r="I205" s="70">
        <v>6777</v>
      </c>
      <c r="J205" s="19" t="str">
        <f>IF($C205="","",IF($I205="","-",INDEX(SETUP!$B$16:$B$22,MATCH($I205,SETUP!$A$16:$A$22,1))))</f>
        <v>VETERAN</v>
      </c>
      <c r="K205" s="19" t="str">
        <f>IF($C205="","",IF($I205="","-",TEXT(INT($I205/1000)*1000,"#,##0")&amp;" - "&amp;TEXT(INT($I205/1000)*1000+999,"#,##0")))</f>
        <v>6,000 - 6,999</v>
      </c>
      <c r="L205" s="71">
        <v>5.66</v>
      </c>
      <c r="M205" s="19" t="str">
        <f>IF($C205="","",IF($L205="","-",INDEX(SETUP!$B$36:$B$42,MATCH($L205,SETUP!$A$36:$A$42,1))))</f>
        <v>5k - 6k</v>
      </c>
      <c r="N205" s="21">
        <f>IF($C205="","",IF(OR($G205="",$I205=""),"",ROUND(100*(SETUP!$B$4*MIN(1,$I205/SETUP!$B$9)+SETUP!$B$5*MAX(0,MIN(1,($G205-SETUP!$B$10)/(SETUP!$B$11-SETUP!$B$10)))+SETUP!$B$6*MIN(1,IF($L205="",0,$L205)/SETUP!$B$12)),1)))</f>
        <v>61.7</v>
      </c>
      <c r="O205" s="19" t="str">
        <f>IF($C205="","",IF($N205="","-",INDEX(SETUP!$B$46:$B$51,MATCH($N205,SETUP!$A$46:$A$51,1))))</f>
        <v>A</v>
      </c>
      <c r="P205" s="19">
        <f>IF($C205="","",IF($I205="","",RANK($I205,$I$4:$I$1463)+COUNTIF($I$4:$I205,$I205)-1))</f>
        <v>236</v>
      </c>
      <c r="Q205" s="19">
        <f>IF($C205="","",COUNTIFS($B$4:$B$1463,$B205,$X$4:$X$1463,"&gt;"&amp;$X205)+COUNTIFS($B$4:$B205,$B205,$X$4:$X205,"="&amp;$X205))</f>
        <v>23</v>
      </c>
      <c r="R205" s="75">
        <f>IF($C205="","",IF($I205="","",ROUND(COUNTIF($I$4:$I$1463,"&lt;"&amp;$I205)/COUNT($I$4:$I$1463),3)))</f>
        <v>0.82199999999999995</v>
      </c>
      <c r="S205" s="19" t="str">
        <f>IF($C205="","",IF($G205="","Name only",IF(OR($I205="",$L205=""),"Partial","Complete")))</f>
        <v>Complete</v>
      </c>
      <c r="T205" s="1" t="str">
        <f>IF($C205="","",TRIM(IF(COUNTIF($C$4:$C$1463,$C205)&gt;1,"Dup name; ","")&amp;IF(AND($G205&lt;&gt;"",$G205&lt;55000),"Low CR - verify; ","")&amp;IF(AND($L205&lt;&gt;"",$L205&gt;15),"Secondary - verify; ","")&amp;IF($E205="","No class; ","")))</f>
        <v/>
      </c>
      <c r="U205" s="68"/>
      <c r="V205" s="68"/>
      <c r="W205" s="68"/>
      <c r="X205" s="76">
        <f t="shared" si="17"/>
        <v>6777</v>
      </c>
      <c r="Y205" s="1" t="str">
        <f t="shared" si="18"/>
        <v>LEGENDS|23</v>
      </c>
      <c r="Z205" s="19">
        <f>IF($C205="","",IF($G205="","",RANK($G205,$G$4:$G$1463)+COUNTIF($G$4:$G205,$G205)-1))</f>
        <v>164</v>
      </c>
      <c r="AA205" s="19">
        <f>IF($C205="","",IF($N205="","",RANK($N205,$N$4:$N$1463)+COUNTIF($N$4:$N205,$N205)-1))</f>
        <v>218</v>
      </c>
      <c r="AB205" s="1" t="str">
        <f>IF($C205="","",IF($E205="","",$E205&amp;"#"&amp;(COUNTIFS($E$4:$E$1463,$E205,$X$4:$X$1463,"&gt;"&amp;$X205)+COUNTIFS($E$4:$E205,$E205,$X$4:$X205,"="&amp;$X205))))</f>
        <v>WIZARD#17</v>
      </c>
      <c r="AC205" s="1" t="str">
        <f>IF($C205="","",$B205&amp;"@"&amp;(COUNTIFS($B$4:$B$1463,$B205,$C$4:$C$1463,"&lt;"&amp;$C205)+COUNTIFS($B$4:$B205,$B205,$C$4:$C205,$C205)))</f>
        <v>LEGENDS@22</v>
      </c>
      <c r="AD205" s="1">
        <f t="shared" si="19"/>
        <v>202</v>
      </c>
      <c r="AE205" s="1" t="s">
        <v>917</v>
      </c>
      <c r="AF205" s="76">
        <f t="shared" si="20"/>
        <v>63610</v>
      </c>
      <c r="AG205" s="77">
        <f t="shared" si="21"/>
        <v>5.66</v>
      </c>
      <c r="AH205" s="1" t="str">
        <f>IF($C205="","",$B205&amp;"|"&amp;(COUNTIFS($B$4:$B$1463,$B205,$AF$4:$AF$1463,"&gt;"&amp;$AF205)+COUNTIFS($B$4:$B205,$B205,$AF$4:$AF205,"="&amp;$AF205)))</f>
        <v>LEGENDS|18</v>
      </c>
      <c r="AI205" s="1" t="str">
        <f>IF($C205="","",$B205&amp;"|"&amp;(COUNTIFS($B$4:$B$1463,$B205,$AG$4:$AG$1463,"&gt;"&amp;$AG205)+COUNTIFS($B$4:$B205,$B205,$AG$4:$AG205,"="&amp;$AG205)))</f>
        <v>LEGENDS|31</v>
      </c>
    </row>
    <row r="206" spans="1:35" hidden="1">
      <c r="A206" s="69" t="s">
        <v>109</v>
      </c>
      <c r="B206" s="69" t="s">
        <v>118</v>
      </c>
      <c r="C206" s="63" t="s">
        <v>918</v>
      </c>
      <c r="D206" s="69"/>
      <c r="E206" s="68" t="s">
        <v>78</v>
      </c>
      <c r="F206" s="15" t="str">
        <f>IF($C206="","",IF($E206="","-",IFERROR(INDEX(SETUP!$B$55:$B$64,MATCH($E206,SETUP!$A$55:$A$64,0)),"Other")))</f>
        <v>Melee DPS</v>
      </c>
      <c r="G206" s="70">
        <v>56907</v>
      </c>
      <c r="H206" s="15" t="str">
        <f>IF($C206="","",IF($G206="","-",INDEX(SETUP!$B$26:$B$32,MATCH($G206,SETUP!$A$26:$A$32,1))))</f>
        <v>Under 58,000</v>
      </c>
      <c r="I206" s="70">
        <v>1200</v>
      </c>
      <c r="J206" s="15" t="str">
        <f>IF($C206="","",IF($I206="","-",INDEX(SETUP!$B$16:$B$22,MATCH($I206,SETUP!$A$16:$A$22,1))))</f>
        <v>ROOKIE</v>
      </c>
      <c r="K206" s="15" t="str">
        <f>IF($C206="","",IF($I206="","-",TEXT(INT($I206/1000)*1000,"#,##0")&amp;" - "&amp;TEXT(INT($I206/1000)*1000+999,"#,##0")))</f>
        <v>1,000 - 1,999</v>
      </c>
      <c r="L206" s="71">
        <v>3.6</v>
      </c>
      <c r="M206" s="15" t="str">
        <f>IF($C206="","",IF($L206="","-",INDEX(SETUP!$B$36:$B$42,MATCH($L206,SETUP!$A$36:$A$42,1))))</f>
        <v>3k - 4k</v>
      </c>
      <c r="N206" s="17">
        <f>IF($C206="","",IF(OR($G206="",$I206=""),"",ROUND(100*(SETUP!$B$4*MIN(1,$I206/SETUP!$B$9)+SETUP!$B$5*MAX(0,MIN(1,($G206-SETUP!$B$10)/(SETUP!$B$11-SETUP!$B$10)))+SETUP!$B$6*MIN(1,IF($L206="",0,$L206)/SETUP!$B$12)),1)))</f>
        <v>16.3</v>
      </c>
      <c r="O206" s="15" t="str">
        <f>IF($C206="","",IF($N206="","-",INDEX(SETUP!$B$46:$B$51,MATCH($N206,SETUP!$A$46:$A$51,1))))</f>
        <v>D</v>
      </c>
      <c r="P206" s="15">
        <f>IF($C206="","",IF($I206="","",RANK($I206,$I$4:$I$1463)+COUNTIF($I$4:$I206,$I206)-1))</f>
        <v>1244</v>
      </c>
      <c r="Q206" s="15">
        <f>IF($C206="","",COUNTIFS($B$4:$B$1463,$B206,$X$4:$X$1463,"&gt;"&amp;$X206)+COUNTIFS($B$4:$B206,$B206,$X$4:$X206,"="&amp;$X206))</f>
        <v>72</v>
      </c>
      <c r="R206" s="72">
        <f>IF($C206="","",IF($I206="","",ROUND(COUNTIF($I$4:$I$1463,"&lt;"&amp;$I206)/COUNT($I$4:$I$1463),3)))</f>
        <v>6.0999999999999999E-2</v>
      </c>
      <c r="S206" s="15" t="str">
        <f>IF($C206="","",IF($G206="","Name only",IF(OR($I206="",$L206=""),"Partial","Complete")))</f>
        <v>Complete</v>
      </c>
      <c r="T206" s="41" t="str">
        <f>IF($C206="","",TRIM(IF(COUNTIF($C$4:$C$1463,$C206)&gt;1,"Dup name; ","")&amp;IF(AND($G206&lt;&gt;"",$G206&lt;55000),"Low CR - verify; ","")&amp;IF(AND($L206&lt;&gt;"",$L206&gt;15),"Secondary - verify; ","")&amp;IF($E206="","No class; ","")))</f>
        <v/>
      </c>
      <c r="U206" s="68"/>
      <c r="V206" s="68"/>
      <c r="W206" s="68"/>
      <c r="X206" s="73">
        <f t="shared" si="17"/>
        <v>1200</v>
      </c>
      <c r="Y206" s="41" t="str">
        <f t="shared" si="18"/>
        <v>ZOMBIES|72</v>
      </c>
      <c r="Z206" s="15">
        <f>IF($C206="","",IF($G206="","",RANK($G206,$G$4:$G$1463)+COUNTIF($G$4:$G206,$G206)-1))</f>
        <v>1311</v>
      </c>
      <c r="AA206" s="15">
        <f>IF($C206="","",IF($N206="","",RANK($N206,$N$4:$N$1463)+COUNTIF($N$4:$N206,$N206)-1))</f>
        <v>1305</v>
      </c>
      <c r="AB206" s="41" t="str">
        <f>IF($C206="","",IF($E206="","",$E206&amp;"#"&amp;(COUNTIFS($E$4:$E$1463,$E206,$X$4:$X$1463,"&gt;"&amp;$X206)+COUNTIFS($E$4:$E206,$E206,$X$4:$X206,"="&amp;$X206))))</f>
        <v>TEMPEST#59</v>
      </c>
      <c r="AC206" s="41" t="str">
        <f>IF($C206="","",$B206&amp;"@"&amp;(COUNTIFS($B$4:$B$1463,$B206,$C$4:$C$1463,"&lt;"&amp;$C206)+COUNTIFS($B$4:$B206,$B206,$C$4:$C206,$C206)))</f>
        <v>ZOMBIES@19</v>
      </c>
      <c r="AD206" s="41">
        <f t="shared" si="19"/>
        <v>203</v>
      </c>
      <c r="AE206" s="41" t="s">
        <v>919</v>
      </c>
      <c r="AF206" s="73">
        <f t="shared" si="20"/>
        <v>56907</v>
      </c>
      <c r="AG206" s="74">
        <f t="shared" si="21"/>
        <v>3.6</v>
      </c>
      <c r="AH206" s="41" t="str">
        <f>IF($C206="","",$B206&amp;"|"&amp;(COUNTIFS($B$4:$B$1463,$B206,$AF$4:$AF$1463,"&gt;"&amp;$AF206)+COUNTIFS($B$4:$B206,$B206,$AF$4:$AF206,"="&amp;$AF206)))</f>
        <v>ZOMBIES|96</v>
      </c>
      <c r="AI206" s="41" t="str">
        <f>IF($C206="","",$B206&amp;"|"&amp;(COUNTIFS($B$4:$B$1463,$B206,$AG$4:$AG$1463,"&gt;"&amp;$AG206)+COUNTIFS($B$4:$B206,$B206,$AG$4:$AG206,"="&amp;$AG206)))</f>
        <v>ZOMBIES|46</v>
      </c>
    </row>
    <row r="207" spans="1:35" hidden="1">
      <c r="A207" s="69" t="s">
        <v>109</v>
      </c>
      <c r="B207" s="69" t="s">
        <v>117</v>
      </c>
      <c r="C207" s="63" t="s">
        <v>920</v>
      </c>
      <c r="D207" s="69"/>
      <c r="E207" s="68" t="s">
        <v>80</v>
      </c>
      <c r="F207" s="19" t="str">
        <f>IF($C207="","",IF($E207="","-",IFERROR(INDEX(SETUP!$B$55:$B$64,MATCH($E207,SETUP!$A$55:$A$64,0)),"Other")))</f>
        <v>Ranged DPS</v>
      </c>
      <c r="G207" s="70">
        <v>63137</v>
      </c>
      <c r="H207" s="19" t="str">
        <f>IF($C207="","",IF($G207="","-",INDEX(SETUP!$B$26:$B$32,MATCH($G207,SETUP!$A$26:$A$32,1))))</f>
        <v>63,000 - 63,999</v>
      </c>
      <c r="I207" s="70">
        <v>3685</v>
      </c>
      <c r="J207" s="19" t="str">
        <f>IF($C207="","",IF($I207="","-",INDEX(SETUP!$B$16:$B$22,MATCH($I207,SETUP!$A$16:$A$22,1))))</f>
        <v>DEVELOPING</v>
      </c>
      <c r="K207" s="19" t="str">
        <f>IF($C207="","",IF($I207="","-",TEXT(INT($I207/1000)*1000,"#,##0")&amp;" - "&amp;TEXT(INT($I207/1000)*1000+999,"#,##0")))</f>
        <v>3,000 - 3,999</v>
      </c>
      <c r="L207" s="71">
        <v>5.4</v>
      </c>
      <c r="M207" s="19" t="str">
        <f>IF($C207="","",IF($L207="","-",INDEX(SETUP!$B$36:$B$42,MATCH($L207,SETUP!$A$36:$A$42,1))))</f>
        <v>5k - 6k</v>
      </c>
      <c r="N207" s="21">
        <f>IF($C207="","",IF(OR($G207="",$I207=""),"",ROUND(100*(SETUP!$B$4*MIN(1,$I207/SETUP!$B$9)+SETUP!$B$5*MAX(0,MIN(1,($G207-SETUP!$B$10)/(SETUP!$B$11-SETUP!$B$10)))+SETUP!$B$6*MIN(1,IF($L207="",0,$L207)/SETUP!$B$12)),1)))</f>
        <v>46.5</v>
      </c>
      <c r="O207" s="19" t="str">
        <f>IF($C207="","",IF($N207="","-",INDEX(SETUP!$B$46:$B$51,MATCH($N207,SETUP!$A$46:$A$51,1))))</f>
        <v>B</v>
      </c>
      <c r="P207" s="19">
        <f>IF($C207="","",IF($I207="","",RANK($I207,$I$4:$I$1463)+COUNTIF($I$4:$I207,$I207)-1))</f>
        <v>680</v>
      </c>
      <c r="Q207" s="19">
        <f>IF($C207="","",COUNTIFS($B$4:$B$1463,$B207,$X$4:$X$1463,"&gt;"&amp;$X207)+COUNTIFS($B$4:$B207,$B207,$X$4:$X207,"="&amp;$X207))</f>
        <v>4</v>
      </c>
      <c r="R207" s="75">
        <f>IF($C207="","",IF($I207="","",ROUND(COUNTIF($I$4:$I$1463,"&lt;"&amp;$I207)/COUNT($I$4:$I$1463),3)))</f>
        <v>0.48699999999999999</v>
      </c>
      <c r="S207" s="19" t="str">
        <f>IF($C207="","",IF($G207="","Name only",IF(OR($I207="",$L207=""),"Partial","Complete")))</f>
        <v>Complete</v>
      </c>
      <c r="T207" s="1" t="str">
        <f>IF($C207="","",TRIM(IF(COUNTIF($C$4:$C$1463,$C207)&gt;1,"Dup name; ","")&amp;IF(AND($G207&lt;&gt;"",$G207&lt;55000),"Low CR - verify; ","")&amp;IF(AND($L207&lt;&gt;"",$L207&gt;15),"Secondary - verify; ","")&amp;IF($E207="","No class; ","")))</f>
        <v/>
      </c>
      <c r="U207" s="68"/>
      <c r="V207" s="68"/>
      <c r="W207" s="68"/>
      <c r="X207" s="76">
        <f t="shared" si="17"/>
        <v>3685</v>
      </c>
      <c r="Y207" s="1" t="str">
        <f t="shared" si="18"/>
        <v>VENDETTA|4</v>
      </c>
      <c r="Z207" s="19">
        <f>IF($C207="","",IF($G207="","",RANK($G207,$G$4:$G$1463)+COUNTIF($G$4:$G207,$G207)-1))</f>
        <v>352</v>
      </c>
      <c r="AA207" s="19">
        <f>IF($C207="","",IF($N207="","",RANK($N207,$N$4:$N$1463)+COUNTIF($N$4:$N207,$N207)-1))</f>
        <v>568</v>
      </c>
      <c r="AB207" s="1" t="str">
        <f>IF($C207="","",IF($E207="","",$E207&amp;"#"&amp;(COUNTIFS($E$4:$E$1463,$E207,$X$4:$X$1463,"&gt;"&amp;$X207)+COUNTIFS($E$4:$E207,$E207,$X$4:$X207,"="&amp;$X207))))</f>
        <v>WIZARD#48</v>
      </c>
      <c r="AC207" s="1" t="str">
        <f>IF($C207="","",$B207&amp;"@"&amp;(COUNTIFS($B$4:$B$1463,$B207,$C$4:$C$1463,"&lt;"&amp;$C207)+COUNTIFS($B$4:$B207,$B207,$C$4:$C207,$C207)))</f>
        <v>VENDETTA@18</v>
      </c>
      <c r="AD207" s="1">
        <f t="shared" si="19"/>
        <v>204</v>
      </c>
      <c r="AE207" s="1" t="s">
        <v>921</v>
      </c>
      <c r="AF207" s="76">
        <f t="shared" si="20"/>
        <v>63137</v>
      </c>
      <c r="AG207" s="77">
        <f t="shared" si="21"/>
        <v>5.4</v>
      </c>
      <c r="AH207" s="1" t="str">
        <f>IF($C207="","",$B207&amp;"|"&amp;(COUNTIFS($B$4:$B$1463,$B207,$AF$4:$AF$1463,"&gt;"&amp;$AF207)+COUNTIFS($B$4:$B207,$B207,$AF$4:$AF207,"="&amp;$AF207)))</f>
        <v>VENDETTA|2</v>
      </c>
      <c r="AI207" s="1" t="str">
        <f>IF($C207="","",$B207&amp;"|"&amp;(COUNTIFS($B$4:$B$1463,$B207,$AG$4:$AG$1463,"&gt;"&amp;$AG207)+COUNTIFS($B$4:$B207,$B207,$AG$4:$AG207,"="&amp;$AG207)))</f>
        <v>VENDETTA|4</v>
      </c>
    </row>
    <row r="208" spans="1:35" hidden="1">
      <c r="A208" s="69" t="s">
        <v>106</v>
      </c>
      <c r="B208" s="69" t="s">
        <v>86</v>
      </c>
      <c r="C208" s="63" t="s">
        <v>922</v>
      </c>
      <c r="D208" s="69"/>
      <c r="E208" s="68" t="s">
        <v>71</v>
      </c>
      <c r="F208" s="15" t="str">
        <f>IF($C208="","",IF($E208="","-",IFERROR(INDEX(SETUP!$B$55:$B$64,MATCH($E208,SETUP!$A$55:$A$64,0)),"Other")))</f>
        <v>Frontline</v>
      </c>
      <c r="G208" s="70">
        <v>63630</v>
      </c>
      <c r="H208" s="15" t="str">
        <f>IF($C208="","",IF($G208="","-",INDEX(SETUP!$B$26:$B$32,MATCH($G208,SETUP!$A$26:$A$32,1))))</f>
        <v>63,000 - 63,999</v>
      </c>
      <c r="I208" s="70">
        <v>6849</v>
      </c>
      <c r="J208" s="15" t="str">
        <f>IF($C208="","",IF($I208="","-",INDEX(SETUP!$B$16:$B$22,MATCH($I208,SETUP!$A$16:$A$22,1))))</f>
        <v>VETERAN</v>
      </c>
      <c r="K208" s="15" t="str">
        <f>IF($C208="","",IF($I208="","-",TEXT(INT($I208/1000)*1000,"#,##0")&amp;" - "&amp;TEXT(INT($I208/1000)*1000+999,"#,##0")))</f>
        <v>6,000 - 6,999</v>
      </c>
      <c r="L208" s="71">
        <v>6.46</v>
      </c>
      <c r="M208" s="15" t="str">
        <f>IF($C208="","",IF($L208="","-",INDEX(SETUP!$B$36:$B$42,MATCH($L208,SETUP!$A$36:$A$42,1))))</f>
        <v>6k - 8k</v>
      </c>
      <c r="N208" s="17">
        <f>IF($C208="","",IF(OR($G208="",$I208=""),"",ROUND(100*(SETUP!$B$4*MIN(1,$I208/SETUP!$B$9)+SETUP!$B$5*MAX(0,MIN(1,($G208-SETUP!$B$10)/(SETUP!$B$11-SETUP!$B$10)))+SETUP!$B$6*MIN(1,IF($L208="",0,$L208)/SETUP!$B$12)),1)))</f>
        <v>63.4</v>
      </c>
      <c r="O208" s="15" t="str">
        <f>IF($C208="","",IF($N208="","-",INDEX(SETUP!$B$46:$B$51,MATCH($N208,SETUP!$A$46:$A$51,1))))</f>
        <v>A</v>
      </c>
      <c r="P208" s="15">
        <f>IF($C208="","",IF($I208="","",RANK($I208,$I$4:$I$1463)+COUNTIF($I$4:$I208,$I208)-1))</f>
        <v>230</v>
      </c>
      <c r="Q208" s="15">
        <f>IF($C208="","",COUNTIFS($B$4:$B$1463,$B208,$X$4:$X$1463,"&gt;"&amp;$X208)+COUNTIFS($B$4:$B208,$B208,$X$4:$X208,"="&amp;$X208))</f>
        <v>47</v>
      </c>
      <c r="R208" s="72">
        <f>IF($C208="","",IF($I208="","",ROUND(COUNTIF($I$4:$I$1463,"&lt;"&amp;$I208)/COUNT($I$4:$I$1463),3)))</f>
        <v>0.82599999999999996</v>
      </c>
      <c r="S208" s="15" t="str">
        <f>IF($C208="","",IF($G208="","Name only",IF(OR($I208="",$L208=""),"Partial","Complete")))</f>
        <v>Complete</v>
      </c>
      <c r="T208" s="41" t="str">
        <f>IF($C208="","",TRIM(IF(COUNTIF($C$4:$C$1463,$C208)&gt;1,"Dup name; ","")&amp;IF(AND($G208&lt;&gt;"",$G208&lt;55000),"Low CR - verify; ","")&amp;IF(AND($L208&lt;&gt;"",$L208&gt;15),"Secondary - verify; ","")&amp;IF($E208="","No class; ","")))</f>
        <v/>
      </c>
      <c r="U208" s="68"/>
      <c r="V208" s="68"/>
      <c r="W208" s="68"/>
      <c r="X208" s="73">
        <f t="shared" si="17"/>
        <v>6849</v>
      </c>
      <c r="Y208" s="41" t="str">
        <f t="shared" si="18"/>
        <v>VANGUARD|47</v>
      </c>
      <c r="Z208" s="15">
        <f>IF($C208="","",IF($G208="","",RANK($G208,$G$4:$G$1463)+COUNTIF($G$4:$G208,$G208)-1))</f>
        <v>160</v>
      </c>
      <c r="AA208" s="15">
        <f>IF($C208="","",IF($N208="","",RANK($N208,$N$4:$N$1463)+COUNTIF($N$4:$N208,$N208)-1))</f>
        <v>198</v>
      </c>
      <c r="AB208" s="41" t="str">
        <f>IF($C208="","",IF($E208="","",$E208&amp;"#"&amp;(COUNTIFS($E$4:$E$1463,$E208,$X$4:$X$1463,"&gt;"&amp;$X208)+COUNTIFS($E$4:$E208,$E208,$X$4:$X208,"="&amp;$X208))))</f>
        <v>BARBARIAN#49</v>
      </c>
      <c r="AC208" s="41" t="str">
        <f>IF($C208="","",$B208&amp;"@"&amp;(COUNTIFS($B$4:$B$1463,$B208,$C$4:$C$1463,"&lt;"&amp;$C208)+COUNTIFS($B$4:$B208,$B208,$C$4:$C208,$C208)))</f>
        <v>VANGUARD@18</v>
      </c>
      <c r="AD208" s="41">
        <f t="shared" si="19"/>
        <v>205</v>
      </c>
      <c r="AE208" s="41" t="s">
        <v>923</v>
      </c>
      <c r="AF208" s="73">
        <f t="shared" si="20"/>
        <v>63630</v>
      </c>
      <c r="AG208" s="74">
        <f t="shared" si="21"/>
        <v>6.46</v>
      </c>
      <c r="AH208" s="41" t="str">
        <f>IF($C208="","",$B208&amp;"|"&amp;(COUNTIFS($B$4:$B$1463,$B208,$AF$4:$AF$1463,"&gt;"&amp;$AF208)+COUNTIFS($B$4:$B208,$B208,$AF$4:$AF208,"="&amp;$AF208)))</f>
        <v>VANGUARD|35</v>
      </c>
      <c r="AI208" s="41" t="str">
        <f>IF($C208="","",$B208&amp;"|"&amp;(COUNTIFS($B$4:$B$1463,$B208,$AG$4:$AG$1463,"&gt;"&amp;$AG208)+COUNTIFS($B$4:$B208,$B208,$AG$4:$AG208,"="&amp;$AG208)))</f>
        <v>VANGUARD|31</v>
      </c>
    </row>
    <row r="209" spans="1:35" hidden="1">
      <c r="A209" s="69" t="s">
        <v>109</v>
      </c>
      <c r="B209" s="69" t="s">
        <v>115</v>
      </c>
      <c r="C209" s="63" t="s">
        <v>924</v>
      </c>
      <c r="D209" s="69"/>
      <c r="E209" s="68" t="s">
        <v>72</v>
      </c>
      <c r="F209" s="19" t="str">
        <f>IF($C209="","",IF($E209="","-",IFERROR(INDEX(SETUP!$B$55:$B$64,MATCH($E209,SETUP!$A$55:$A$64,0)),"Other")))</f>
        <v>Frontline</v>
      </c>
      <c r="G209" s="70">
        <v>61863</v>
      </c>
      <c r="H209" s="19" t="str">
        <f>IF($C209="","",IF($G209="","-",INDEX(SETUP!$B$26:$B$32,MATCH($G209,SETUP!$A$26:$A$32,1))))</f>
        <v>61,000 - 61,999</v>
      </c>
      <c r="I209" s="70">
        <v>2404</v>
      </c>
      <c r="J209" s="19" t="str">
        <f>IF($C209="","",IF($I209="","-",INDEX(SETUP!$B$16:$B$22,MATCH($I209,SETUP!$A$16:$A$22,1))))</f>
        <v>DEVELOPING</v>
      </c>
      <c r="K209" s="19" t="str">
        <f>IF($C209="","",IF($I209="","-",TEXT(INT($I209/1000)*1000,"#,##0")&amp;" - "&amp;TEXT(INT($I209/1000)*1000+999,"#,##0")))</f>
        <v>2,000 - 2,999</v>
      </c>
      <c r="L209" s="71">
        <v>3.6</v>
      </c>
      <c r="M209" s="19" t="str">
        <f>IF($C209="","",IF($L209="","-",INDEX(SETUP!$B$36:$B$42,MATCH($L209,SETUP!$A$36:$A$42,1))))</f>
        <v>3k - 4k</v>
      </c>
      <c r="N209" s="21">
        <f>IF($C209="","",IF(OR($G209="",$I209=""),"",ROUND(100*(SETUP!$B$4*MIN(1,$I209/SETUP!$B$9)+SETUP!$B$5*MAX(0,MIN(1,($G209-SETUP!$B$10)/(SETUP!$B$11-SETUP!$B$10)))+SETUP!$B$6*MIN(1,IF($L209="",0,$L209)/SETUP!$B$12)),1)))</f>
        <v>34.6</v>
      </c>
      <c r="O209" s="19" t="str">
        <f>IF($C209="","",IF($N209="","-",INDEX(SETUP!$B$46:$B$51,MATCH($N209,SETUP!$A$46:$A$51,1))))</f>
        <v>C</v>
      </c>
      <c r="P209" s="19">
        <f>IF($C209="","",IF($I209="","",RANK($I209,$I$4:$I$1463)+COUNTIF($I$4:$I209,$I209)-1))</f>
        <v>1028</v>
      </c>
      <c r="Q209" s="19">
        <f>IF($C209="","",COUNTIFS($B$4:$B$1463,$B209,$X$4:$X$1463,"&gt;"&amp;$X209)+COUNTIFS($B$4:$B209,$B209,$X$4:$X209,"="&amp;$X209))</f>
        <v>35</v>
      </c>
      <c r="R209" s="75">
        <f>IF($C209="","",IF($I209="","",ROUND(COUNTIF($I$4:$I$1463,"&lt;"&amp;$I209)/COUNT($I$4:$I$1463),3)))</f>
        <v>0.223</v>
      </c>
      <c r="S209" s="19" t="str">
        <f>IF($C209="","",IF($G209="","Name only",IF(OR($I209="",$L209=""),"Partial","Complete")))</f>
        <v>Complete</v>
      </c>
      <c r="T209" s="1" t="str">
        <f>IF($C209="","",TRIM(IF(COUNTIF($C$4:$C$1463,$C209)&gt;1,"Dup name; ","")&amp;IF(AND($G209&lt;&gt;"",$G209&lt;55000),"Low CR - verify; ","")&amp;IF(AND($L209&lt;&gt;"",$L209&gt;15),"Secondary - verify; ","")&amp;IF($E209="","No class; ","")))</f>
        <v/>
      </c>
      <c r="U209" s="68"/>
      <c r="V209" s="68"/>
      <c r="W209" s="68"/>
      <c r="X209" s="76">
        <f t="shared" si="17"/>
        <v>2404</v>
      </c>
      <c r="Y209" s="1" t="str">
        <f t="shared" si="18"/>
        <v>SUB ROSA|35</v>
      </c>
      <c r="Z209" s="19">
        <f>IF($C209="","",IF($G209="","",RANK($G209,$G$4:$G$1463)+COUNTIF($G$4:$G209,$G209)-1))</f>
        <v>891</v>
      </c>
      <c r="AA209" s="19">
        <f>IF($C209="","",IF($N209="","",RANK($N209,$N$4:$N$1463)+COUNTIF($N$4:$N209,$N209)-1))</f>
        <v>1016</v>
      </c>
      <c r="AB209" s="1" t="str">
        <f>IF($C209="","",IF($E209="","",$E209&amp;"#"&amp;(COUNTIFS($E$4:$E$1463,$E209,$X$4:$X$1463,"&gt;"&amp;$X209)+COUNTIFS($E$4:$E209,$E209,$X$4:$X209,"="&amp;$X209))))</f>
        <v>BLOOD KNIGHT#68</v>
      </c>
      <c r="AC209" s="1" t="str">
        <f>IF($C209="","",$B209&amp;"@"&amp;(COUNTIFS($B$4:$B$1463,$B209,$C$4:$C$1463,"&lt;"&amp;$C209)+COUNTIFS($B$4:$B209,$B209,$C$4:$C209,$C209)))</f>
        <v>SUB ROSA@14</v>
      </c>
      <c r="AD209" s="1">
        <f t="shared" si="19"/>
        <v>206</v>
      </c>
      <c r="AE209" s="1" t="s">
        <v>925</v>
      </c>
      <c r="AF209" s="76">
        <f t="shared" si="20"/>
        <v>61863</v>
      </c>
      <c r="AG209" s="77">
        <f t="shared" si="21"/>
        <v>3.6</v>
      </c>
      <c r="AH209" s="1" t="str">
        <f>IF($C209="","",$B209&amp;"|"&amp;(COUNTIFS($B$4:$B$1463,$B209,$AF$4:$AF$1463,"&gt;"&amp;$AF209)+COUNTIFS($B$4:$B209,$B209,$AF$4:$AF209,"="&amp;$AF209)))</f>
        <v>SUB ROSA|35</v>
      </c>
      <c r="AI209" s="1" t="str">
        <f>IF($C209="","",$B209&amp;"|"&amp;(COUNTIFS($B$4:$B$1463,$B209,$AG$4:$AG$1463,"&gt;"&amp;$AG209)+COUNTIFS($B$4:$B209,$B209,$AG$4:$AG209,"="&amp;$AG209)))</f>
        <v>SUB ROSA|33</v>
      </c>
    </row>
    <row r="210" spans="1:35" hidden="1">
      <c r="A210" s="69" t="s">
        <v>109</v>
      </c>
      <c r="B210" s="69" t="s">
        <v>110</v>
      </c>
      <c r="C210" s="63" t="s">
        <v>926</v>
      </c>
      <c r="D210" s="69"/>
      <c r="E210" s="68" t="s">
        <v>71</v>
      </c>
      <c r="F210" s="15" t="str">
        <f>IF($C210="","",IF($E210="","-",IFERROR(INDEX(SETUP!$B$55:$B$64,MATCH($E210,SETUP!$A$55:$A$64,0)),"Other")))</f>
        <v>Frontline</v>
      </c>
      <c r="G210" s="70">
        <v>62121</v>
      </c>
      <c r="H210" s="15" t="str">
        <f>IF($C210="","",IF($G210="","-",INDEX(SETUP!$B$26:$B$32,MATCH($G210,SETUP!$A$26:$A$32,1))))</f>
        <v>62,000 - 62,999</v>
      </c>
      <c r="I210" s="70">
        <v>5632</v>
      </c>
      <c r="J210" s="15" t="str">
        <f>IF($C210="","",IF($I210="","-",INDEX(SETUP!$B$16:$B$22,MATCH($I210,SETUP!$A$16:$A$22,1))))</f>
        <v>CORE</v>
      </c>
      <c r="K210" s="15" t="str">
        <f>IF($C210="","",IF($I210="","-",TEXT(INT($I210/1000)*1000,"#,##0")&amp;" - "&amp;TEXT(INT($I210/1000)*1000+999,"#,##0")))</f>
        <v>5,000 - 5,999</v>
      </c>
      <c r="L210" s="71">
        <v>4.8</v>
      </c>
      <c r="M210" s="15" t="str">
        <f>IF($C210="","",IF($L210="","-",INDEX(SETUP!$B$36:$B$42,MATCH($L210,SETUP!$A$36:$A$42,1))))</f>
        <v>4k - 5k</v>
      </c>
      <c r="N210" s="17">
        <f>IF($C210="","",IF(OR($G210="",$I210=""),"",ROUND(100*(SETUP!$B$4*MIN(1,$I210/SETUP!$B$9)+SETUP!$B$5*MAX(0,MIN(1,($G210-SETUP!$B$10)/(SETUP!$B$11-SETUP!$B$10)))+SETUP!$B$6*MIN(1,IF($L210="",0,$L210)/SETUP!$B$12)),1)))</f>
        <v>51.3</v>
      </c>
      <c r="O210" s="15" t="str">
        <f>IF($C210="","",IF($N210="","-",INDEX(SETUP!$B$46:$B$51,MATCH($N210,SETUP!$A$46:$A$51,1))))</f>
        <v>A</v>
      </c>
      <c r="P210" s="15">
        <f>IF($C210="","",IF($I210="","",RANK($I210,$I$4:$I$1463)+COUNTIF($I$4:$I210,$I210)-1))</f>
        <v>319</v>
      </c>
      <c r="Q210" s="15">
        <f>IF($C210="","",COUNTIFS($B$4:$B$1463,$B210,$X$4:$X$1463,"&gt;"&amp;$X210)+COUNTIFS($B$4:$B210,$B210,$X$4:$X210,"="&amp;$X210))</f>
        <v>40</v>
      </c>
      <c r="R210" s="72">
        <f>IF($C210="","",IF($I210="","",ROUND(COUNTIF($I$4:$I$1463,"&lt;"&amp;$I210)/COUNT($I$4:$I$1463),3)))</f>
        <v>0.75900000000000001</v>
      </c>
      <c r="S210" s="15" t="str">
        <f>IF($C210="","",IF($G210="","Name only",IF(OR($I210="",$L210=""),"Partial","Complete")))</f>
        <v>Complete</v>
      </c>
      <c r="T210" s="41" t="str">
        <f>IF($C210="","",TRIM(IF(COUNTIF($C$4:$C$1463,$C210)&gt;1,"Dup name; ","")&amp;IF(AND($G210&lt;&gt;"",$G210&lt;55000),"Low CR - verify; ","")&amp;IF(AND($L210&lt;&gt;"",$L210&gt;15),"Secondary - verify; ","")&amp;IF($E210="","No class; ","")))</f>
        <v/>
      </c>
      <c r="U210" s="68"/>
      <c r="V210" s="68"/>
      <c r="W210" s="68"/>
      <c r="X210" s="73">
        <f t="shared" si="17"/>
        <v>5632</v>
      </c>
      <c r="Y210" s="41" t="str">
        <f t="shared" si="18"/>
        <v>AZUKI|40</v>
      </c>
      <c r="Z210" s="15">
        <f>IF($C210="","",IF($G210="","",RANK($G210,$G$4:$G$1463)+COUNTIF($G$4:$G210,$G210)-1))</f>
        <v>789</v>
      </c>
      <c r="AA210" s="15">
        <f>IF($C210="","",IF($N210="","",RANK($N210,$N$4:$N$1463)+COUNTIF($N$4:$N210,$N210)-1))</f>
        <v>409</v>
      </c>
      <c r="AB210" s="41" t="str">
        <f>IF($C210="","",IF($E210="","",$E210&amp;"#"&amp;(COUNTIFS($E$4:$E$1463,$E210,$X$4:$X$1463,"&gt;"&amp;$X210)+COUNTIFS($E$4:$E210,$E210,$X$4:$X210,"="&amp;$X210))))</f>
        <v>BARBARIAN#64</v>
      </c>
      <c r="AC210" s="41" t="str">
        <f>IF($C210="","",$B210&amp;"@"&amp;(COUNTIFS($B$4:$B$1463,$B210,$C$4:$C$1463,"&lt;"&amp;$C210)+COUNTIFS($B$4:$B210,$B210,$C$4:$C210,$C210)))</f>
        <v>AZUKI@22</v>
      </c>
      <c r="AD210" s="41">
        <f t="shared" si="19"/>
        <v>207</v>
      </c>
      <c r="AE210" s="41" t="s">
        <v>927</v>
      </c>
      <c r="AF210" s="73">
        <f t="shared" si="20"/>
        <v>62121</v>
      </c>
      <c r="AG210" s="74">
        <f t="shared" si="21"/>
        <v>4.8</v>
      </c>
      <c r="AH210" s="41" t="str">
        <f>IF($C210="","",$B210&amp;"|"&amp;(COUNTIFS($B$4:$B$1463,$B210,$AF$4:$AF$1463,"&gt;"&amp;$AF210)+COUNTIFS($B$4:$B210,$B210,$AF$4:$AF210,"="&amp;$AF210)))</f>
        <v>AZUKI|72</v>
      </c>
      <c r="AI210" s="41" t="str">
        <f>IF($C210="","",$B210&amp;"|"&amp;(COUNTIFS($B$4:$B$1463,$B210,$AG$4:$AG$1463,"&gt;"&amp;$AG210)+COUNTIFS($B$4:$B210,$B210,$AG$4:$AG210,"="&amp;$AG210)))</f>
        <v>AZUKI|72</v>
      </c>
    </row>
    <row r="211" spans="1:35" hidden="1">
      <c r="A211" s="69" t="s">
        <v>109</v>
      </c>
      <c r="B211" s="69" t="s">
        <v>114</v>
      </c>
      <c r="C211" s="63" t="s">
        <v>928</v>
      </c>
      <c r="D211" s="69"/>
      <c r="E211" s="68" t="s">
        <v>72</v>
      </c>
      <c r="F211" s="19" t="str">
        <f>IF($C211="","",IF($E211="","-",IFERROR(INDEX(SETUP!$B$55:$B$64,MATCH($E211,SETUP!$A$55:$A$64,0)),"Other")))</f>
        <v>Frontline</v>
      </c>
      <c r="G211" s="70">
        <v>58145</v>
      </c>
      <c r="H211" s="19" t="str">
        <f>IF($C211="","",IF($G211="","-",INDEX(SETUP!$B$26:$B$32,MATCH($G211,SETUP!$A$26:$A$32,1))))</f>
        <v>58,000 - 59,999</v>
      </c>
      <c r="I211" s="70">
        <v>3112</v>
      </c>
      <c r="J211" s="19" t="str">
        <f>IF($C211="","",IF($I211="","-",INDEX(SETUP!$B$16:$B$22,MATCH($I211,SETUP!$A$16:$A$22,1))))</f>
        <v>DEVELOPING</v>
      </c>
      <c r="K211" s="19" t="str">
        <f>IF($C211="","",IF($I211="","-",TEXT(INT($I211/1000)*1000,"#,##0")&amp;" - "&amp;TEXT(INT($I211/1000)*1000+999,"#,##0")))</f>
        <v>3,000 - 3,999</v>
      </c>
      <c r="L211" s="71">
        <v>3</v>
      </c>
      <c r="M211" s="19" t="str">
        <f>IF($C211="","",IF($L211="","-",INDEX(SETUP!$B$36:$B$42,MATCH($L211,SETUP!$A$36:$A$42,1))))</f>
        <v>3k - 4k</v>
      </c>
      <c r="N211" s="21">
        <f>IF($C211="","",IF(OR($G211="",$I211=""),"",ROUND(100*(SETUP!$B$4*MIN(1,$I211/SETUP!$B$9)+SETUP!$B$5*MAX(0,MIN(1,($G211-SETUP!$B$10)/(SETUP!$B$11-SETUP!$B$10)))+SETUP!$B$6*MIN(1,IF($L211="",0,$L211)/SETUP!$B$12)),1)))</f>
        <v>26.9</v>
      </c>
      <c r="O211" s="19" t="str">
        <f>IF($C211="","",IF($N211="","-",INDEX(SETUP!$B$46:$B$51,MATCH($N211,SETUP!$A$46:$A$51,1))))</f>
        <v>C</v>
      </c>
      <c r="P211" s="19">
        <f>IF($C211="","",IF($I211="","",RANK($I211,$I$4:$I$1463)+COUNTIF($I$4:$I211,$I211)-1))</f>
        <v>849</v>
      </c>
      <c r="Q211" s="19">
        <f>IF($C211="","",COUNTIFS($B$4:$B$1463,$B211,$X$4:$X$1463,"&gt;"&amp;$X211)+COUNTIFS($B$4:$B211,$B211,$X$4:$X211,"="&amp;$X211))</f>
        <v>23</v>
      </c>
      <c r="R211" s="75">
        <f>IF($C211="","",IF($I211="","",ROUND(COUNTIF($I$4:$I$1463,"&lt;"&amp;$I211)/COUNT($I$4:$I$1463),3)))</f>
        <v>0.35899999999999999</v>
      </c>
      <c r="S211" s="19" t="str">
        <f>IF($C211="","",IF($G211="","Name only",IF(OR($I211="",$L211=""),"Partial","Complete")))</f>
        <v>Complete</v>
      </c>
      <c r="T211" s="1" t="str">
        <f>IF($C211="","",TRIM(IF(COUNTIF($C$4:$C$1463,$C211)&gt;1,"Dup name; ","")&amp;IF(AND($G211&lt;&gt;"",$G211&lt;55000),"Low CR - verify; ","")&amp;IF(AND($L211&lt;&gt;"",$L211&gt;15),"Secondary - verify; ","")&amp;IF($E211="","No class; ","")))</f>
        <v/>
      </c>
      <c r="U211" s="68"/>
      <c r="V211" s="68"/>
      <c r="W211" s="68"/>
      <c r="X211" s="76">
        <f t="shared" si="17"/>
        <v>3112</v>
      </c>
      <c r="Y211" s="1" t="str">
        <f t="shared" si="18"/>
        <v>EMERALD LEAF TRIBE|23</v>
      </c>
      <c r="Z211" s="19">
        <f>IF($C211="","",IF($G211="","",RANK($G211,$G$4:$G$1463)+COUNTIF($G$4:$G211,$G211)-1))</f>
        <v>1296</v>
      </c>
      <c r="AA211" s="19">
        <f>IF($C211="","",IF($N211="","",RANK($N211,$N$4:$N$1463)+COUNTIF($N$4:$N211,$N211)-1))</f>
        <v>1211</v>
      </c>
      <c r="AB211" s="1" t="str">
        <f>IF($C211="","",IF($E211="","",$E211&amp;"#"&amp;(COUNTIFS($E$4:$E$1463,$E211,$X$4:$X$1463,"&gt;"&amp;$X211)+COUNTIFS($E$4:$E211,$E211,$X$4:$X211,"="&amp;$X211))))</f>
        <v>BLOOD KNIGHT#58</v>
      </c>
      <c r="AC211" s="1" t="str">
        <f>IF($C211="","",$B211&amp;"@"&amp;(COUNTIFS($B$4:$B$1463,$B211,$C$4:$C$1463,"&lt;"&amp;$C211)+COUNTIFS($B$4:$B211,$B211,$C$4:$C211,$C211)))</f>
        <v>EMERALD LEAF TRIBE@16</v>
      </c>
      <c r="AD211" s="1">
        <f t="shared" si="19"/>
        <v>208</v>
      </c>
      <c r="AE211" s="1" t="s">
        <v>611</v>
      </c>
      <c r="AF211" s="76">
        <f t="shared" si="20"/>
        <v>58145</v>
      </c>
      <c r="AG211" s="77">
        <f t="shared" si="21"/>
        <v>3</v>
      </c>
      <c r="AH211" s="1" t="str">
        <f>IF($C211="","",$B211&amp;"|"&amp;(COUNTIFS($B$4:$B$1463,$B211,$AF$4:$AF$1463,"&gt;"&amp;$AF211)+COUNTIFS($B$4:$B211,$B211,$AF$4:$AF211,"="&amp;$AF211)))</f>
        <v>EMERALD LEAF TRIBE|87</v>
      </c>
      <c r="AI211" s="1" t="str">
        <f>IF($C211="","",$B211&amp;"|"&amp;(COUNTIFS($B$4:$B$1463,$B211,$AG$4:$AG$1463,"&gt;"&amp;$AG211)+COUNTIFS($B$4:$B211,$B211,$AG$4:$AG211,"="&amp;$AG211)))</f>
        <v>EMERALD LEAF TRIBE|78</v>
      </c>
    </row>
    <row r="212" spans="1:35" hidden="1">
      <c r="A212" s="69" t="s">
        <v>109</v>
      </c>
      <c r="B212" s="69" t="s">
        <v>110</v>
      </c>
      <c r="C212" s="63" t="s">
        <v>929</v>
      </c>
      <c r="D212" s="69"/>
      <c r="E212" s="68" t="s">
        <v>79</v>
      </c>
      <c r="F212" s="15" t="str">
        <f>IF($C212="","",IF($E212="","-",IFERROR(INDEX(SETUP!$B$55:$B$64,MATCH($E212,SETUP!$A$55:$A$64,0)),"Other")))</f>
        <v>Control</v>
      </c>
      <c r="G212" s="70">
        <v>63034</v>
      </c>
      <c r="H212" s="15" t="str">
        <f>IF($C212="","",IF($G212="","-",INDEX(SETUP!$B$26:$B$32,MATCH($G212,SETUP!$A$26:$A$32,1))))</f>
        <v>63,000 - 63,999</v>
      </c>
      <c r="I212" s="70">
        <v>5195</v>
      </c>
      <c r="J212" s="15" t="str">
        <f>IF($C212="","",IF($I212="","-",INDEX(SETUP!$B$16:$B$22,MATCH($I212,SETUP!$A$16:$A$22,1))))</f>
        <v>CORE</v>
      </c>
      <c r="K212" s="15" t="str">
        <f>IF($C212="","",IF($I212="","-",TEXT(INT($I212/1000)*1000,"#,##0")&amp;" - "&amp;TEXT(INT($I212/1000)*1000+999,"#,##0")))</f>
        <v>5,000 - 5,999</v>
      </c>
      <c r="L212" s="71">
        <v>6.95</v>
      </c>
      <c r="M212" s="15" t="str">
        <f>IF($C212="","",IF($L212="","-",INDEX(SETUP!$B$36:$B$42,MATCH($L212,SETUP!$A$36:$A$42,1))))</f>
        <v>6k - 8k</v>
      </c>
      <c r="N212" s="17">
        <f>IF($C212="","",IF(OR($G212="",$I212=""),"",ROUND(100*(SETUP!$B$4*MIN(1,$I212/SETUP!$B$9)+SETUP!$B$5*MAX(0,MIN(1,($G212-SETUP!$B$10)/(SETUP!$B$11-SETUP!$B$10)))+SETUP!$B$6*MIN(1,IF($L212="",0,$L212)/SETUP!$B$12)),1)))</f>
        <v>55.4</v>
      </c>
      <c r="O212" s="15" t="str">
        <f>IF($C212="","",IF($N212="","-",INDEX(SETUP!$B$46:$B$51,MATCH($N212,SETUP!$A$46:$A$51,1))))</f>
        <v>A</v>
      </c>
      <c r="P212" s="15">
        <f>IF($C212="","",IF($I212="","",RANK($I212,$I$4:$I$1463)+COUNTIF($I$4:$I212,$I212)-1))</f>
        <v>380</v>
      </c>
      <c r="Q212" s="15">
        <f>IF($C212="","",COUNTIFS($B$4:$B$1463,$B212,$X$4:$X$1463,"&gt;"&amp;$X212)+COUNTIFS($B$4:$B212,$B212,$X$4:$X212,"="&amp;$X212))</f>
        <v>46</v>
      </c>
      <c r="R212" s="72">
        <f>IF($C212="","",IF($I212="","",ROUND(COUNTIF($I$4:$I$1463,"&lt;"&amp;$I212)/COUNT($I$4:$I$1463),3)))</f>
        <v>0.71299999999999997</v>
      </c>
      <c r="S212" s="15" t="str">
        <f>IF($C212="","",IF($G212="","Name only",IF(OR($I212="",$L212=""),"Partial","Complete")))</f>
        <v>Complete</v>
      </c>
      <c r="T212" s="41" t="str">
        <f>IF($C212="","",TRIM(IF(COUNTIF($C$4:$C$1463,$C212)&gt;1,"Dup name; ","")&amp;IF(AND($G212&lt;&gt;"",$G212&lt;55000),"Low CR - verify; ","")&amp;IF(AND($L212&lt;&gt;"",$L212&gt;15),"Secondary - verify; ","")&amp;IF($E212="","No class; ","")))</f>
        <v/>
      </c>
      <c r="U212" s="68"/>
      <c r="V212" s="68"/>
      <c r="W212" s="68"/>
      <c r="X212" s="73">
        <f t="shared" si="17"/>
        <v>5195</v>
      </c>
      <c r="Y212" s="41" t="str">
        <f t="shared" si="18"/>
        <v>AZUKI|46</v>
      </c>
      <c r="Z212" s="15">
        <f>IF($C212="","",IF($G212="","",RANK($G212,$G$4:$G$1463)+COUNTIF($G$4:$G212,$G212)-1))</f>
        <v>411</v>
      </c>
      <c r="AA212" s="15">
        <f>IF($C212="","",IF($N212="","",RANK($N212,$N$4:$N$1463)+COUNTIF($N$4:$N212,$N212)-1))</f>
        <v>308</v>
      </c>
      <c r="AB212" s="41" t="str">
        <f>IF($C212="","",IF($E212="","",$E212&amp;"#"&amp;(COUNTIFS($E$4:$E$1463,$E212,$X$4:$X$1463,"&gt;"&amp;$X212)+COUNTIFS($E$4:$E212,$E212,$X$4:$X212,"="&amp;$X212))))</f>
        <v>WARLOCK#91</v>
      </c>
      <c r="AC212" s="41" t="str">
        <f>IF($C212="","",$B212&amp;"@"&amp;(COUNTIFS($B$4:$B$1463,$B212,$C$4:$C$1463,"&lt;"&amp;$C212)+COUNTIFS($B$4:$B212,$B212,$C$4:$C212,$C212)))</f>
        <v>AZUKI@23</v>
      </c>
      <c r="AD212" s="41">
        <f t="shared" si="19"/>
        <v>209</v>
      </c>
      <c r="AE212" s="41" t="s">
        <v>930</v>
      </c>
      <c r="AF212" s="73">
        <f t="shared" si="20"/>
        <v>63034</v>
      </c>
      <c r="AG212" s="74">
        <f t="shared" si="21"/>
        <v>6.95</v>
      </c>
      <c r="AH212" s="41" t="str">
        <f>IF($C212="","",$B212&amp;"|"&amp;(COUNTIFS($B$4:$B$1463,$B212,$AF$4:$AF$1463,"&gt;"&amp;$AF212)+COUNTIFS($B$4:$B212,$B212,$AF$4:$AF212,"="&amp;$AF212)))</f>
        <v>AZUKI|41</v>
      </c>
      <c r="AI212" s="41" t="str">
        <f>IF($C212="","",$B212&amp;"|"&amp;(COUNTIFS($B$4:$B$1463,$B212,$AG$4:$AG$1463,"&gt;"&amp;$AG212)+COUNTIFS($B$4:$B212,$B212,$AG$4:$AG212,"="&amp;$AG212)))</f>
        <v>AZUKI|29</v>
      </c>
    </row>
    <row r="213" spans="1:35" hidden="1">
      <c r="A213" s="69" t="s">
        <v>106</v>
      </c>
      <c r="B213" s="69" t="s">
        <v>107</v>
      </c>
      <c r="C213" s="63" t="s">
        <v>931</v>
      </c>
      <c r="D213" s="69" t="s">
        <v>932</v>
      </c>
      <c r="E213" s="68" t="s">
        <v>74</v>
      </c>
      <c r="F213" s="19" t="str">
        <f>IF($C213="","",IF($E213="","-",IFERROR(INDEX(SETUP!$B$55:$B$64,MATCH($E213,SETUP!$A$55:$A$64,0)),"Other")))</f>
        <v>Ranged DPS</v>
      </c>
      <c r="G213" s="70">
        <v>63401</v>
      </c>
      <c r="H213" s="19" t="str">
        <f>IF($C213="","",IF($G213="","-",INDEX(SETUP!$B$26:$B$32,MATCH($G213,SETUP!$A$26:$A$32,1))))</f>
        <v>63,000 - 63,999</v>
      </c>
      <c r="I213" s="70">
        <v>4531</v>
      </c>
      <c r="J213" s="19" t="str">
        <f>IF($C213="","",IF($I213="","-",INDEX(SETUP!$B$16:$B$22,MATCH($I213,SETUP!$A$16:$A$22,1))))</f>
        <v>CORE</v>
      </c>
      <c r="K213" s="19" t="str">
        <f>IF($C213="","",IF($I213="","-",TEXT(INT($I213/1000)*1000,"#,##0")&amp;" - "&amp;TEXT(INT($I213/1000)*1000+999,"#,##0")))</f>
        <v>4,000 - 4,999</v>
      </c>
      <c r="L213" s="71">
        <v>8.3000000000000007</v>
      </c>
      <c r="M213" s="19" t="str">
        <f>IF($C213="","",IF($L213="","-",INDEX(SETUP!$B$36:$B$42,MATCH($L213,SETUP!$A$36:$A$42,1))))</f>
        <v>8k - 10k</v>
      </c>
      <c r="N213" s="21">
        <f>IF($C213="","",IF(OR($G213="",$I213=""),"",ROUND(100*(SETUP!$B$4*MIN(1,$I213/SETUP!$B$9)+SETUP!$B$5*MAX(0,MIN(1,($G213-SETUP!$B$10)/(SETUP!$B$11-SETUP!$B$10)))+SETUP!$B$6*MIN(1,IF($L213="",0,$L213)/SETUP!$B$12)),1)))</f>
        <v>55.7</v>
      </c>
      <c r="O213" s="19" t="str">
        <f>IF($C213="","",IF($N213="","-",INDEX(SETUP!$B$46:$B$51,MATCH($N213,SETUP!$A$46:$A$51,1))))</f>
        <v>A</v>
      </c>
      <c r="P213" s="19">
        <f>IF($C213="","",IF($I213="","",RANK($I213,$I$4:$I$1463)+COUNTIF($I$4:$I213,$I213)-1))</f>
        <v>488</v>
      </c>
      <c r="Q213" s="19">
        <f>IF($C213="","",COUNTIFS($B$4:$B$1463,$B213,$X$4:$X$1463,"&gt;"&amp;$X213)+COUNTIFS($B$4:$B213,$B213,$X$4:$X213,"="&amp;$X213))</f>
        <v>35</v>
      </c>
      <c r="R213" s="75">
        <f>IF($C213="","",IF($I213="","",ROUND(COUNTIF($I$4:$I$1463,"&lt;"&amp;$I213)/COUNT($I$4:$I$1463),3)))</f>
        <v>0.63200000000000001</v>
      </c>
      <c r="S213" s="19" t="str">
        <f>IF($C213="","",IF($G213="","Name only",IF(OR($I213="",$L213=""),"Partial","Complete")))</f>
        <v>Complete</v>
      </c>
      <c r="T213" s="1" t="str">
        <f>IF($C213="","",TRIM(IF(COUNTIF($C$4:$C$1463,$C213)&gt;1,"Dup name; ","")&amp;IF(AND($G213&lt;&gt;"",$G213&lt;55000),"Low CR - verify; ","")&amp;IF(AND($L213&lt;&gt;"",$L213&gt;15),"Secondary - verify; ","")&amp;IF($E213="","No class; ","")))</f>
        <v/>
      </c>
      <c r="U213" s="68"/>
      <c r="V213" s="68"/>
      <c r="W213" s="68"/>
      <c r="X213" s="76">
        <f t="shared" si="17"/>
        <v>4531</v>
      </c>
      <c r="Y213" s="1" t="str">
        <f t="shared" si="18"/>
        <v>UNDYING|35</v>
      </c>
      <c r="Z213" s="19">
        <f>IF($C213="","",IF($G213="","",RANK($G213,$G$4:$G$1463)+COUNTIF($G$4:$G213,$G213)-1))</f>
        <v>222</v>
      </c>
      <c r="AA213" s="19">
        <f>IF($C213="","",IF($N213="","",RANK($N213,$N$4:$N$1463)+COUNTIF($N$4:$N213,$N213)-1))</f>
        <v>299</v>
      </c>
      <c r="AB213" s="1" t="str">
        <f>IF($C213="","",IF($E213="","",$E213&amp;"#"&amp;(COUNTIFS($E$4:$E$1463,$E213,$X$4:$X$1463,"&gt;"&amp;$X213)+COUNTIFS($E$4:$E213,$E213,$X$4:$X213,"="&amp;$X213))))</f>
        <v>DEMON HUNTER#82</v>
      </c>
      <c r="AC213" s="1" t="str">
        <f>IF($C213="","",$B213&amp;"@"&amp;(COUNTIFS($B$4:$B$1463,$B213,$C$4:$C$1463,"&lt;"&amp;$C213)+COUNTIFS($B$4:$B213,$B213,$C$4:$C213,$C213)))</f>
        <v>UNDYING@21</v>
      </c>
      <c r="AD213" s="1">
        <f t="shared" si="19"/>
        <v>210</v>
      </c>
      <c r="AE213" s="1" t="s">
        <v>933</v>
      </c>
      <c r="AF213" s="76">
        <f t="shared" si="20"/>
        <v>63401</v>
      </c>
      <c r="AG213" s="77">
        <f t="shared" si="21"/>
        <v>8.3000000000000007</v>
      </c>
      <c r="AH213" s="1" t="str">
        <f>IF($C213="","",$B213&amp;"|"&amp;(COUNTIFS($B$4:$B$1463,$B213,$AF$4:$AF$1463,"&gt;"&amp;$AF213)+COUNTIFS($B$4:$B213,$B213,$AF$4:$AF213,"="&amp;$AF213)))</f>
        <v>UNDYING|13</v>
      </c>
      <c r="AI213" s="1" t="str">
        <f>IF($C213="","",$B213&amp;"|"&amp;(COUNTIFS($B$4:$B$1463,$B213,$AG$4:$AG$1463,"&gt;"&amp;$AG213)+COUNTIFS($B$4:$B213,$B213,$AG$4:$AG213,"="&amp;$AG213)))</f>
        <v>UNDYING|4</v>
      </c>
    </row>
    <row r="214" spans="1:35" hidden="1">
      <c r="A214" s="69" t="s">
        <v>106</v>
      </c>
      <c r="B214" s="69" t="s">
        <v>107</v>
      </c>
      <c r="C214" s="63" t="s">
        <v>934</v>
      </c>
      <c r="D214" s="69"/>
      <c r="E214" s="68" t="s">
        <v>71</v>
      </c>
      <c r="F214" s="15" t="str">
        <f>IF($C214="","",IF($E214="","-",IFERROR(INDEX(SETUP!$B$55:$B$64,MATCH($E214,SETUP!$A$55:$A$64,0)),"Other")))</f>
        <v>Frontline</v>
      </c>
      <c r="G214" s="70">
        <v>62323</v>
      </c>
      <c r="H214" s="15" t="str">
        <f>IF($C214="","",IF($G214="","-",INDEX(SETUP!$B$26:$B$32,MATCH($G214,SETUP!$A$26:$A$32,1))))</f>
        <v>62,000 - 62,999</v>
      </c>
      <c r="I214" s="70">
        <v>3632</v>
      </c>
      <c r="J214" s="15" t="str">
        <f>IF($C214="","",IF($I214="","-",INDEX(SETUP!$B$16:$B$22,MATCH($I214,SETUP!$A$16:$A$22,1))))</f>
        <v>DEVELOPING</v>
      </c>
      <c r="K214" s="15" t="str">
        <f>IF($C214="","",IF($I214="","-",TEXT(INT($I214/1000)*1000,"#,##0")&amp;" - "&amp;TEXT(INT($I214/1000)*1000+999,"#,##0")))</f>
        <v>3,000 - 3,999</v>
      </c>
      <c r="L214" s="71">
        <v>6.35</v>
      </c>
      <c r="M214" s="15" t="str">
        <f>IF($C214="","",IF($L214="","-",INDEX(SETUP!$B$36:$B$42,MATCH($L214,SETUP!$A$36:$A$42,1))))</f>
        <v>6k - 8k</v>
      </c>
      <c r="N214" s="17">
        <f>IF($C214="","",IF(OR($G214="",$I214=""),"",ROUND(100*(SETUP!$B$4*MIN(1,$I214/SETUP!$B$9)+SETUP!$B$5*MAX(0,MIN(1,($G214-SETUP!$B$10)/(SETUP!$B$11-SETUP!$B$10)))+SETUP!$B$6*MIN(1,IF($L214="",0,$L214)/SETUP!$B$12)),1)))</f>
        <v>45.7</v>
      </c>
      <c r="O214" s="15" t="str">
        <f>IF($C214="","",IF($N214="","-",INDEX(SETUP!$B$46:$B$51,MATCH($N214,SETUP!$A$46:$A$51,1))))</f>
        <v>B</v>
      </c>
      <c r="P214" s="15">
        <f>IF($C214="","",IF($I214="","",RANK($I214,$I$4:$I$1463)+COUNTIF($I$4:$I214,$I214)-1))</f>
        <v>694</v>
      </c>
      <c r="Q214" s="15">
        <f>IF($C214="","",COUNTIFS($B$4:$B$1463,$B214,$X$4:$X$1463,"&gt;"&amp;$X214)+COUNTIFS($B$4:$B214,$B214,$X$4:$X214,"="&amp;$X214))</f>
        <v>63</v>
      </c>
      <c r="R214" s="72">
        <f>IF($C214="","",IF($I214="","",ROUND(COUNTIF($I$4:$I$1463,"&lt;"&amp;$I214)/COUNT($I$4:$I$1463),3)))</f>
        <v>0.47599999999999998</v>
      </c>
      <c r="S214" s="15" t="str">
        <f>IF($C214="","",IF($G214="","Name only",IF(OR($I214="",$L214=""),"Partial","Complete")))</f>
        <v>Complete</v>
      </c>
      <c r="T214" s="41" t="str">
        <f>IF($C214="","",TRIM(IF(COUNTIF($C$4:$C$1463,$C214)&gt;1,"Dup name; ","")&amp;IF(AND($G214&lt;&gt;"",$G214&lt;55000),"Low CR - verify; ","")&amp;IF(AND($L214&lt;&gt;"",$L214&gt;15),"Secondary - verify; ","")&amp;IF($E214="","No class; ","")))</f>
        <v/>
      </c>
      <c r="U214" s="68"/>
      <c r="V214" s="68"/>
      <c r="W214" s="68"/>
      <c r="X214" s="73">
        <f t="shared" si="17"/>
        <v>3632</v>
      </c>
      <c r="Y214" s="41" t="str">
        <f t="shared" si="18"/>
        <v>UNDYING|63</v>
      </c>
      <c r="Z214" s="15">
        <f>IF($C214="","",IF($G214="","",RANK($G214,$G$4:$G$1463)+COUNTIF($G$4:$G214,$G214)-1))</f>
        <v>718</v>
      </c>
      <c r="AA214" s="15">
        <f>IF($C214="","",IF($N214="","",RANK($N214,$N$4:$N$1463)+COUNTIF($N$4:$N214,$N214)-1))</f>
        <v>598</v>
      </c>
      <c r="AB214" s="41" t="str">
        <f>IF($C214="","",IF($E214="","",$E214&amp;"#"&amp;(COUNTIFS($E$4:$E$1463,$E214,$X$4:$X$1463,"&gt;"&amp;$X214)+COUNTIFS($E$4:$E214,$E214,$X$4:$X214,"="&amp;$X214))))</f>
        <v>BARBARIAN#122</v>
      </c>
      <c r="AC214" s="41" t="str">
        <f>IF($C214="","",$B214&amp;"@"&amp;(COUNTIFS($B$4:$B$1463,$B214,$C$4:$C$1463,"&lt;"&amp;$C214)+COUNTIFS($B$4:$B214,$B214,$C$4:$C214,$C214)))</f>
        <v>UNDYING@22</v>
      </c>
      <c r="AD214" s="41">
        <f t="shared" si="19"/>
        <v>211</v>
      </c>
      <c r="AE214" s="41" t="s">
        <v>935</v>
      </c>
      <c r="AF214" s="73">
        <f t="shared" si="20"/>
        <v>62323</v>
      </c>
      <c r="AG214" s="74">
        <f t="shared" si="21"/>
        <v>6.35</v>
      </c>
      <c r="AH214" s="41" t="str">
        <f>IF($C214="","",$B214&amp;"|"&amp;(COUNTIFS($B$4:$B$1463,$B214,$AF$4:$AF$1463,"&gt;"&amp;$AF214)+COUNTIFS($B$4:$B214,$B214,$AF$4:$AF214,"="&amp;$AF214)))</f>
        <v>UNDYING|70</v>
      </c>
      <c r="AI214" s="41" t="str">
        <f>IF($C214="","",$B214&amp;"|"&amp;(COUNTIFS($B$4:$B$1463,$B214,$AG$4:$AG$1463,"&gt;"&amp;$AG214)+COUNTIFS($B$4:$B214,$B214,$AG$4:$AG214,"="&amp;$AG214)))</f>
        <v>UNDYING|15</v>
      </c>
    </row>
    <row r="215" spans="1:35">
      <c r="A215" s="69" t="s">
        <v>104</v>
      </c>
      <c r="B215" s="69" t="s">
        <v>66</v>
      </c>
      <c r="C215" s="63" t="s">
        <v>895</v>
      </c>
      <c r="D215" s="69"/>
      <c r="E215" s="68" t="s">
        <v>71</v>
      </c>
      <c r="F215" s="15" t="str">
        <f>IF($C215="","",IF($E215="","-",IFERROR(INDEX(SETUP!$B$55:$B$64,MATCH($E215,SETUP!$A$55:$A$64,0)),"Other")))</f>
        <v>Frontline</v>
      </c>
      <c r="G215" s="70">
        <v>61711</v>
      </c>
      <c r="H215" s="15" t="str">
        <f>IF($C215="","",IF($G215="","-",INDEX(SETUP!$B$26:$B$32,MATCH($G215,SETUP!$A$26:$A$32,1))))</f>
        <v>61,000 - 61,999</v>
      </c>
      <c r="I215" s="70">
        <v>3202</v>
      </c>
      <c r="J215" s="15" t="str">
        <f>IF($C215="","",IF($I215="","-",INDEX(SETUP!$B$16:$B$22,MATCH($I215,SETUP!$A$16:$A$22,1))))</f>
        <v>DEVELOPING</v>
      </c>
      <c r="K215" s="15" t="str">
        <f>IF($C215="","",IF($I215="","-",TEXT(INT($I215/1000)*1000,"#,##0")&amp;" - "&amp;TEXT(INT($I215/1000)*1000+999,"#,##0")))</f>
        <v>3,000 - 3,999</v>
      </c>
      <c r="L215" s="71">
        <v>3.34</v>
      </c>
      <c r="M215" s="15" t="str">
        <f>IF($C215="","",IF($L215="","-",INDEX(SETUP!$B$36:$B$42,MATCH($L215,SETUP!$A$36:$A$42,1))))</f>
        <v>3k - 4k</v>
      </c>
      <c r="N215" s="17">
        <f>IF($C215="","",IF(OR($G215="",$I215=""),"",ROUND(100*(SETUP!$B$4*MIN(1,$I215/SETUP!$B$9)+SETUP!$B$5*MAX(0,MIN(1,($G215-SETUP!$B$10)/(SETUP!$B$11-SETUP!$B$10)))+SETUP!$B$6*MIN(1,IF($L215="",0,$L215)/SETUP!$B$12)),1)))</f>
        <v>37.200000000000003</v>
      </c>
      <c r="O215" s="15" t="str">
        <f>IF($C215="","",IF($N215="","-",INDEX(SETUP!$B$46:$B$51,MATCH($N215,SETUP!$A$46:$A$51,1))))</f>
        <v>B</v>
      </c>
      <c r="P215" s="15">
        <f>IF($C215="","",IF($I215="","",RANK($I215,$I$4:$I$1463)+COUNTIF($I$4:$I215,$I215)-1))</f>
        <v>822</v>
      </c>
      <c r="Q215" s="15">
        <f>IF($C215="","",COUNTIFS($B$4:$B$1463,$B215,$X$4:$X$1463,"&gt;"&amp;$X215)+COUNTIFS($B$4:$B215,$B215,$X$4:$X215,"="&amp;$X215))</f>
        <v>86</v>
      </c>
      <c r="R215" s="72">
        <f>IF($C215="","",IF($I215="","",ROUND(COUNTIF($I$4:$I$1463,"&lt;"&amp;$I215)/COUNT($I$4:$I$1463),3)))</f>
        <v>0.38</v>
      </c>
      <c r="S215" s="15" t="str">
        <f>IF($C215="","",IF($G215="","Name only",IF(OR($I215="",$L215=""),"Partial","Complete")))</f>
        <v>Complete</v>
      </c>
      <c r="T215" s="41" t="str">
        <f>IF($C215="","",TRIM(IF(COUNTIF($C$4:$C$1463,$C215)&gt;1,"Dup name; ","")&amp;IF(AND($G215&lt;&gt;"",$G215&lt;55000),"Low CR - verify; ","")&amp;IF(AND($L215&lt;&gt;"",$L215&gt;15),"Secondary - verify; ","")&amp;IF($E215="","No class; ","")))</f>
        <v/>
      </c>
      <c r="U215" s="68" t="s">
        <v>264</v>
      </c>
      <c r="V215" s="68"/>
      <c r="W215" s="68"/>
      <c r="X215" s="76">
        <f t="shared" si="17"/>
        <v>3202</v>
      </c>
      <c r="Y215" s="1" t="str">
        <f t="shared" si="18"/>
        <v>FUCT|86</v>
      </c>
      <c r="Z215" s="19">
        <f>IF($C215="","",IF($G215="","",RANK($G215,$G$4:$G$1463)+COUNTIF($G$4:$G215,$G215)-1))</f>
        <v>941</v>
      </c>
      <c r="AA215" s="19">
        <f>IF($C215="","",IF($N215="","",RANK($N215,$N$4:$N$1463)+COUNTIF($N$4:$N215,$N215)-1))</f>
        <v>921</v>
      </c>
      <c r="AB215" s="1" t="str">
        <f>IF($C215="","",IF($E215="","",$E215&amp;"#"&amp;(COUNTIFS($E$4:$E$1463,$E215,$X$4:$X$1463,"&gt;"&amp;$X215)+COUNTIFS($E$4:$E215,$E215,$X$4:$X215,"="&amp;$X215))))</f>
        <v>BARBARIAN#147</v>
      </c>
      <c r="AC215" s="1" t="str">
        <f>IF($C215="","",$B215&amp;"@"&amp;(COUNTIFS($B$4:$B$1463,$B215,$C$4:$C$1463,"&lt;"&amp;$C215)+COUNTIFS($B$4:$B215,$B215,$C$4:$C215,$C215)))</f>
        <v>FUCT@11</v>
      </c>
      <c r="AD215" s="1">
        <f t="shared" si="19"/>
        <v>212</v>
      </c>
      <c r="AE215" s="1" t="s">
        <v>936</v>
      </c>
      <c r="AF215" s="76">
        <f t="shared" si="20"/>
        <v>61711</v>
      </c>
      <c r="AG215" s="77">
        <f t="shared" si="21"/>
        <v>3.34</v>
      </c>
      <c r="AH215" s="1" t="str">
        <f>IF($C215="","",$B215&amp;"|"&amp;(COUNTIFS($B$4:$B$1463,$B215,$AF$4:$AF$1463,"&gt;"&amp;$AF215)+COUNTIFS($B$4:$B215,$B215,$AF$4:$AF215,"="&amp;$AF215)))</f>
        <v>FUCT|88</v>
      </c>
      <c r="AI215" s="1" t="str">
        <f>IF($C215="","",$B215&amp;"|"&amp;(COUNTIFS($B$4:$B$1463,$B215,$AG$4:$AG$1463,"&gt;"&amp;$AG215)+COUNTIFS($B$4:$B215,$B215,$AG$4:$AG215,"="&amp;$AG215)))</f>
        <v>FUCT|99</v>
      </c>
    </row>
    <row r="216" spans="1:35" hidden="1">
      <c r="A216" s="69" t="s">
        <v>109</v>
      </c>
      <c r="B216" s="69" t="s">
        <v>113</v>
      </c>
      <c r="C216" s="63" t="s">
        <v>937</v>
      </c>
      <c r="D216" s="69" t="s">
        <v>548</v>
      </c>
      <c r="E216" s="68" t="s">
        <v>72</v>
      </c>
      <c r="F216" s="15" t="str">
        <f>IF($C216="","",IF($E216="","-",IFERROR(INDEX(SETUP!$B$55:$B$64,MATCH($E216,SETUP!$A$55:$A$64,0)),"Other")))</f>
        <v>Frontline</v>
      </c>
      <c r="G216" s="70">
        <v>61062</v>
      </c>
      <c r="H216" s="15" t="str">
        <f>IF($C216="","",IF($G216="","-",INDEX(SETUP!$B$26:$B$32,MATCH($G216,SETUP!$A$26:$A$32,1))))</f>
        <v>61,000 - 61,999</v>
      </c>
      <c r="I216" s="70">
        <v>1520</v>
      </c>
      <c r="J216" s="15" t="str">
        <f>IF($C216="","",IF($I216="","-",INDEX(SETUP!$B$16:$B$22,MATCH($I216,SETUP!$A$16:$A$22,1))))</f>
        <v>ROOKIE</v>
      </c>
      <c r="K216" s="15" t="str">
        <f>IF($C216="","",IF($I216="","-",TEXT(INT($I216/1000)*1000,"#,##0")&amp;" - "&amp;TEXT(INT($I216/1000)*1000+999,"#,##0")))</f>
        <v>1,000 - 1,999</v>
      </c>
      <c r="L216" s="71">
        <v>3.25</v>
      </c>
      <c r="M216" s="15" t="str">
        <f>IF($C216="","",IF($L216="","-",INDEX(SETUP!$B$36:$B$42,MATCH($L216,SETUP!$A$36:$A$42,1))))</f>
        <v>3k - 4k</v>
      </c>
      <c r="N216" s="17">
        <f>IF($C216="","",IF(OR($G216="",$I216=""),"",ROUND(100*(SETUP!$B$4*MIN(1,$I216/SETUP!$B$9)+SETUP!$B$5*MAX(0,MIN(1,($G216-SETUP!$B$10)/(SETUP!$B$11-SETUP!$B$10)))+SETUP!$B$6*MIN(1,IF($L216="",0,$L216)/SETUP!$B$12)),1)))</f>
        <v>28</v>
      </c>
      <c r="O216" s="15" t="str">
        <f>IF($C216="","",IF($N216="","-",INDEX(SETUP!$B$46:$B$51,MATCH($N216,SETUP!$A$46:$A$51,1))))</f>
        <v>C</v>
      </c>
      <c r="P216" s="15">
        <f>IF($C216="","",IF($I216="","",RANK($I216,$I$4:$I$1463)+COUNTIF($I$4:$I216,$I216)-1))</f>
        <v>1187</v>
      </c>
      <c r="Q216" s="15">
        <f>IF($C216="","",COUNTIFS($B$4:$B$1463,$B216,$X$4:$X$1463,"&gt;"&amp;$X216)+COUNTIFS($B$4:$B216,$B216,$X$4:$X216,"="&amp;$X216))</f>
        <v>89</v>
      </c>
      <c r="R216" s="72">
        <f>IF($C216="","",IF($I216="","",ROUND(COUNTIF($I$4:$I$1463,"&lt;"&amp;$I216)/COUNT($I$4:$I$1463),3)))</f>
        <v>0.104</v>
      </c>
      <c r="S216" s="15" t="str">
        <f>IF($C216="","",IF($G216="","Name only",IF(OR($I216="",$L216=""),"Partial","Complete")))</f>
        <v>Complete</v>
      </c>
      <c r="T216" s="41" t="str">
        <f>IF($C216="","",TRIM(IF(COUNTIF($C$4:$C$1463,$C216)&gt;1,"Dup name; ","")&amp;IF(AND($G216&lt;&gt;"",$G216&lt;55000),"Low CR - verify; ","")&amp;IF(AND($L216&lt;&gt;"",$L216&gt;15),"Secondary - verify; ","")&amp;IF($E216="","No class; ","")))</f>
        <v/>
      </c>
      <c r="U216" s="68"/>
      <c r="V216" s="68"/>
      <c r="W216" s="68"/>
      <c r="X216" s="73">
        <f t="shared" si="17"/>
        <v>1520</v>
      </c>
      <c r="Y216" s="41" t="str">
        <f t="shared" si="18"/>
        <v>INVICTUS|89</v>
      </c>
      <c r="Z216" s="15">
        <f>IF($C216="","",IF($G216="","",RANK($G216,$G$4:$G$1463)+COUNTIF($G$4:$G216,$G216)-1))</f>
        <v>1122</v>
      </c>
      <c r="AA216" s="15">
        <f>IF($C216="","",IF($N216="","",RANK($N216,$N$4:$N$1463)+COUNTIF($N$4:$N216,$N216)-1))</f>
        <v>1188</v>
      </c>
      <c r="AB216" s="41" t="str">
        <f>IF($C216="","",IF($E216="","",$E216&amp;"#"&amp;(COUNTIFS($E$4:$E$1463,$E216,$X$4:$X$1463,"&gt;"&amp;$X216)+COUNTIFS($E$4:$E216,$E216,$X$4:$X216,"="&amp;$X216))))</f>
        <v>BLOOD KNIGHT#82</v>
      </c>
      <c r="AC216" s="41" t="str">
        <f>IF($C216="","",$B216&amp;"@"&amp;(COUNTIFS($B$4:$B$1463,$B216,$C$4:$C$1463,"&lt;"&amp;$C216)+COUNTIFS($B$4:$B216,$B216,$C$4:$C216,$C216)))</f>
        <v>INVICTUS@15</v>
      </c>
      <c r="AD216" s="41">
        <f t="shared" si="19"/>
        <v>213</v>
      </c>
      <c r="AE216" s="41" t="s">
        <v>938</v>
      </c>
      <c r="AF216" s="73">
        <f t="shared" si="20"/>
        <v>61062</v>
      </c>
      <c r="AG216" s="74">
        <f t="shared" si="21"/>
        <v>3.25</v>
      </c>
      <c r="AH216" s="41" t="str">
        <f>IF($C216="","",$B216&amp;"|"&amp;(COUNTIFS($B$4:$B$1463,$B216,$AF$4:$AF$1463,"&gt;"&amp;$AF216)+COUNTIFS($B$4:$B216,$B216,$AF$4:$AF216,"="&amp;$AF216)))</f>
        <v>INVICTUS|84</v>
      </c>
      <c r="AI216" s="41" t="str">
        <f>IF($C216="","",$B216&amp;"|"&amp;(COUNTIFS($B$4:$B$1463,$B216,$AG$4:$AG$1463,"&gt;"&amp;$AG216)+COUNTIFS($B$4:$B216,$B216,$AG$4:$AG216,"="&amp;$AG216)))</f>
        <v>INVICTUS|88</v>
      </c>
    </row>
    <row r="217" spans="1:35" hidden="1">
      <c r="A217" s="69" t="s">
        <v>109</v>
      </c>
      <c r="B217" s="69" t="s">
        <v>114</v>
      </c>
      <c r="C217" s="63" t="s">
        <v>939</v>
      </c>
      <c r="D217" s="69"/>
      <c r="E217" s="68" t="s">
        <v>80</v>
      </c>
      <c r="F217" s="19" t="str">
        <f>IF($C217="","",IF($E217="","-",IFERROR(INDEX(SETUP!$B$55:$B$64,MATCH($E217,SETUP!$A$55:$A$64,0)),"Other")))</f>
        <v>Ranged DPS</v>
      </c>
      <c r="G217" s="70">
        <v>62028</v>
      </c>
      <c r="H217" s="19" t="str">
        <f>IF($C217="","",IF($G217="","-",INDEX(SETUP!$B$26:$B$32,MATCH($G217,SETUP!$A$26:$A$32,1))))</f>
        <v>62,000 - 62,999</v>
      </c>
      <c r="I217" s="70">
        <v>4250</v>
      </c>
      <c r="J217" s="19" t="str">
        <f>IF($C217="","",IF($I217="","-",INDEX(SETUP!$B$16:$B$22,MATCH($I217,SETUP!$A$16:$A$22,1))))</f>
        <v>CORE</v>
      </c>
      <c r="K217" s="19" t="str">
        <f>IF($C217="","",IF($I217="","-",TEXT(INT($I217/1000)*1000,"#,##0")&amp;" - "&amp;TEXT(INT($I217/1000)*1000+999,"#,##0")))</f>
        <v>4,000 - 4,999</v>
      </c>
      <c r="L217" s="71">
        <v>5.35</v>
      </c>
      <c r="M217" s="19" t="str">
        <f>IF($C217="","",IF($L217="","-",INDEX(SETUP!$B$36:$B$42,MATCH($L217,SETUP!$A$36:$A$42,1))))</f>
        <v>5k - 6k</v>
      </c>
      <c r="N217" s="21">
        <f>IF($C217="","",IF(OR($G217="",$I217=""),"",ROUND(100*(SETUP!$B$4*MIN(1,$I217/SETUP!$B$9)+SETUP!$B$5*MAX(0,MIN(1,($G217-SETUP!$B$10)/(SETUP!$B$11-SETUP!$B$10)))+SETUP!$B$6*MIN(1,IF($L217="",0,$L217)/SETUP!$B$12)),1)))</f>
        <v>46</v>
      </c>
      <c r="O217" s="19" t="str">
        <f>IF($C217="","",IF($N217="","-",INDEX(SETUP!$B$46:$B$51,MATCH($N217,SETUP!$A$46:$A$51,1))))</f>
        <v>B</v>
      </c>
      <c r="P217" s="19">
        <f>IF($C217="","",IF($I217="","",RANK($I217,$I$4:$I$1463)+COUNTIF($I$4:$I217,$I217)-1))</f>
        <v>546</v>
      </c>
      <c r="Q217" s="19">
        <f>IF($C217="","",COUNTIFS($B$4:$B$1463,$B217,$X$4:$X$1463,"&gt;"&amp;$X217)+COUNTIFS($B$4:$B217,$B217,$X$4:$X217,"="&amp;$X217))</f>
        <v>9</v>
      </c>
      <c r="R217" s="75">
        <f>IF($C217="","",IF($I217="","",ROUND(COUNTIF($I$4:$I$1463,"&lt;"&amp;$I217)/COUNT($I$4:$I$1463),3)))</f>
        <v>0.58799999999999997</v>
      </c>
      <c r="S217" s="19" t="str">
        <f>IF($C217="","",IF($G217="","Name only",IF(OR($I217="",$L217=""),"Partial","Complete")))</f>
        <v>Complete</v>
      </c>
      <c r="T217" s="1" t="str">
        <f>IF($C217="","",TRIM(IF(COUNTIF($C$4:$C$1463,$C217)&gt;1,"Dup name; ","")&amp;IF(AND($G217&lt;&gt;"",$G217&lt;55000),"Low CR - verify; ","")&amp;IF(AND($L217&lt;&gt;"",$L217&gt;15),"Secondary - verify; ","")&amp;IF($E217="","No class; ","")))</f>
        <v/>
      </c>
      <c r="U217" s="68"/>
      <c r="V217" s="68"/>
      <c r="W217" s="68"/>
      <c r="X217" s="76">
        <f t="shared" si="17"/>
        <v>4250</v>
      </c>
      <c r="Y217" s="1" t="str">
        <f t="shared" si="18"/>
        <v>EMERALD LEAF TRIBE|9</v>
      </c>
      <c r="Z217" s="19">
        <f>IF($C217="","",IF($G217="","",RANK($G217,$G$4:$G$1463)+COUNTIF($G$4:$G217,$G217)-1))</f>
        <v>826</v>
      </c>
      <c r="AA217" s="19">
        <f>IF($C217="","",IF($N217="","",RANK($N217,$N$4:$N$1463)+COUNTIF($N$4:$N217,$N217)-1))</f>
        <v>591</v>
      </c>
      <c r="AB217" s="1" t="str">
        <f>IF($C217="","",IF($E217="","",$E217&amp;"#"&amp;(COUNTIFS($E$4:$E$1463,$E217,$X$4:$X$1463,"&gt;"&amp;$X217)+COUNTIFS($E$4:$E217,$E217,$X$4:$X217,"="&amp;$X217))))</f>
        <v>WIZARD#38</v>
      </c>
      <c r="AC217" s="1" t="str">
        <f>IF($C217="","",$B217&amp;"@"&amp;(COUNTIFS($B$4:$B$1463,$B217,$C$4:$C$1463,"&lt;"&amp;$C217)+COUNTIFS($B$4:$B217,$B217,$C$4:$C217,$C217)))</f>
        <v>EMERALD LEAF TRIBE@17</v>
      </c>
      <c r="AD217" s="1">
        <f t="shared" si="19"/>
        <v>214</v>
      </c>
      <c r="AE217" s="1" t="s">
        <v>940</v>
      </c>
      <c r="AF217" s="76">
        <f t="shared" si="20"/>
        <v>62028</v>
      </c>
      <c r="AG217" s="77">
        <f t="shared" si="21"/>
        <v>5.35</v>
      </c>
      <c r="AH217" s="1" t="str">
        <f>IF($C217="","",$B217&amp;"|"&amp;(COUNTIFS($B$4:$B$1463,$B217,$AF$4:$AF$1463,"&gt;"&amp;$AF217)+COUNTIFS($B$4:$B217,$B217,$AF$4:$AF217,"="&amp;$AF217)))</f>
        <v>EMERALD LEAF TRIBE|25</v>
      </c>
      <c r="AI217" s="1" t="str">
        <f>IF($C217="","",$B217&amp;"|"&amp;(COUNTIFS($B$4:$B$1463,$B217,$AG$4:$AG$1463,"&gt;"&amp;$AG217)+COUNTIFS($B$4:$B217,$B217,$AG$4:$AG217,"="&amp;$AG217)))</f>
        <v>EMERALD LEAF TRIBE|3</v>
      </c>
    </row>
    <row r="218" spans="1:35" hidden="1">
      <c r="A218" s="69" t="s">
        <v>106</v>
      </c>
      <c r="B218" s="69" t="s">
        <v>86</v>
      </c>
      <c r="C218" s="63" t="s">
        <v>941</v>
      </c>
      <c r="D218" s="69"/>
      <c r="E218" s="68" t="s">
        <v>79</v>
      </c>
      <c r="F218" s="15" t="str">
        <f>IF($C218="","",IF($E218="","-",IFERROR(INDEX(SETUP!$B$55:$B$64,MATCH($E218,SETUP!$A$55:$A$64,0)),"Other")))</f>
        <v>Control</v>
      </c>
      <c r="G218" s="70">
        <v>63610</v>
      </c>
      <c r="H218" s="15" t="str">
        <f>IF($C218="","",IF($G218="","-",INDEX(SETUP!$B$26:$B$32,MATCH($G218,SETUP!$A$26:$A$32,1))))</f>
        <v>63,000 - 63,999</v>
      </c>
      <c r="I218" s="70">
        <v>7528</v>
      </c>
      <c r="J218" s="15" t="str">
        <f>IF($C218="","",IF($I218="","-",INDEX(SETUP!$B$16:$B$22,MATCH($I218,SETUP!$A$16:$A$22,1))))</f>
        <v>VETERAN</v>
      </c>
      <c r="K218" s="15" t="str">
        <f>IF($C218="","",IF($I218="","-",TEXT(INT($I218/1000)*1000,"#,##0")&amp;" - "&amp;TEXT(INT($I218/1000)*1000+999,"#,##0")))</f>
        <v>7,000 - 7,999</v>
      </c>
      <c r="L218" s="71">
        <v>6.55</v>
      </c>
      <c r="M218" s="15" t="str">
        <f>IF($C218="","",IF($L218="","-",INDEX(SETUP!$B$36:$B$42,MATCH($L218,SETUP!$A$36:$A$42,1))))</f>
        <v>6k - 8k</v>
      </c>
      <c r="N218" s="17">
        <f>IF($C218="","",IF(OR($G218="",$I218=""),"",ROUND(100*(SETUP!$B$4*MIN(1,$I218/SETUP!$B$9)+SETUP!$B$5*MAX(0,MIN(1,($G218-SETUP!$B$10)/(SETUP!$B$11-SETUP!$B$10)))+SETUP!$B$6*MIN(1,IF($L218="",0,$L218)/SETUP!$B$12)),1)))</f>
        <v>66.400000000000006</v>
      </c>
      <c r="O218" s="15" t="str">
        <f>IF($C218="","",IF($N218="","-",INDEX(SETUP!$B$46:$B$51,MATCH($N218,SETUP!$A$46:$A$51,1))))</f>
        <v>S</v>
      </c>
      <c r="P218" s="15">
        <f>IF($C218="","",IF($I218="","",RANK($I218,$I$4:$I$1463)+COUNTIF($I$4:$I218,$I218)-1))</f>
        <v>166</v>
      </c>
      <c r="Q218" s="15">
        <f>IF($C218="","",COUNTIFS($B$4:$B$1463,$B218,$X$4:$X$1463,"&gt;"&amp;$X218)+COUNTIFS($B$4:$B218,$B218,$X$4:$X218,"="&amp;$X218))</f>
        <v>38</v>
      </c>
      <c r="R218" s="72">
        <f>IF($C218="","",IF($I218="","",ROUND(COUNTIF($I$4:$I$1463,"&lt;"&amp;$I218)/COUNT($I$4:$I$1463),3)))</f>
        <v>0.875</v>
      </c>
      <c r="S218" s="15" t="str">
        <f>IF($C218="","",IF($G218="","Name only",IF(OR($I218="",$L218=""),"Partial","Complete")))</f>
        <v>Complete</v>
      </c>
      <c r="T218" s="41" t="str">
        <f>IF($C218="","",TRIM(IF(COUNTIF($C$4:$C$1463,$C218)&gt;1,"Dup name; ","")&amp;IF(AND($G218&lt;&gt;"",$G218&lt;55000),"Low CR - verify; ","")&amp;IF(AND($L218&lt;&gt;"",$L218&gt;15),"Secondary - verify; ","")&amp;IF($E218="","No class; ","")))</f>
        <v/>
      </c>
      <c r="U218" s="68"/>
      <c r="V218" s="68"/>
      <c r="W218" s="68"/>
      <c r="X218" s="73">
        <f t="shared" si="17"/>
        <v>7528</v>
      </c>
      <c r="Y218" s="41" t="str">
        <f t="shared" si="18"/>
        <v>VANGUARD|38</v>
      </c>
      <c r="Z218" s="15">
        <f>IF($C218="","",IF($G218="","",RANK($G218,$G$4:$G$1463)+COUNTIF($G$4:$G218,$G218)-1))</f>
        <v>165</v>
      </c>
      <c r="AA218" s="15">
        <f>IF($C218="","",IF($N218="","",RANK($N218,$N$4:$N$1463)+COUNTIF($N$4:$N218,$N218)-1))</f>
        <v>162</v>
      </c>
      <c r="AB218" s="41" t="str">
        <f>IF($C218="","",IF($E218="","",$E218&amp;"#"&amp;(COUNTIFS($E$4:$E$1463,$E218,$X$4:$X$1463,"&gt;"&amp;$X218)+COUNTIFS($E$4:$E218,$E218,$X$4:$X218,"="&amp;$X218))))</f>
        <v>WARLOCK#34</v>
      </c>
      <c r="AC218" s="41" t="str">
        <f>IF($C218="","",$B218&amp;"@"&amp;(COUNTIFS($B$4:$B$1463,$B218,$C$4:$C$1463,"&lt;"&amp;$C218)+COUNTIFS($B$4:$B218,$B218,$C$4:$C218,$C218)))</f>
        <v>VANGUARD@19</v>
      </c>
      <c r="AD218" s="41">
        <f t="shared" si="19"/>
        <v>215</v>
      </c>
      <c r="AE218" s="41" t="s">
        <v>942</v>
      </c>
      <c r="AF218" s="73">
        <f t="shared" si="20"/>
        <v>63610</v>
      </c>
      <c r="AG218" s="74">
        <f t="shared" si="21"/>
        <v>6.55</v>
      </c>
      <c r="AH218" s="41" t="str">
        <f>IF($C218="","",$B218&amp;"|"&amp;(COUNTIFS($B$4:$B$1463,$B218,$AF$4:$AF$1463,"&gt;"&amp;$AF218)+COUNTIFS($B$4:$B218,$B218,$AF$4:$AF218,"="&amp;$AF218)))</f>
        <v>VANGUARD|37</v>
      </c>
      <c r="AI218" s="41" t="str">
        <f>IF($C218="","",$B218&amp;"|"&amp;(COUNTIFS($B$4:$B$1463,$B218,$AG$4:$AG$1463,"&gt;"&amp;$AG218)+COUNTIFS($B$4:$B218,$B218,$AG$4:$AG218,"="&amp;$AG218)))</f>
        <v>VANGUARD|28</v>
      </c>
    </row>
    <row r="219" spans="1:35" hidden="1">
      <c r="A219" s="69" t="s">
        <v>106</v>
      </c>
      <c r="B219" s="69" t="s">
        <v>105</v>
      </c>
      <c r="C219" s="63" t="s">
        <v>943</v>
      </c>
      <c r="D219" s="69" t="s">
        <v>691</v>
      </c>
      <c r="E219" s="68" t="s">
        <v>71</v>
      </c>
      <c r="F219" s="19" t="str">
        <f>IF($C219="","",IF($E219="","-",IFERROR(INDEX(SETUP!$B$55:$B$64,MATCH($E219,SETUP!$A$55:$A$64,0)),"Other")))</f>
        <v>Frontline</v>
      </c>
      <c r="G219" s="70">
        <v>61257</v>
      </c>
      <c r="H219" s="19" t="str">
        <f>IF($C219="","",IF($G219="","-",INDEX(SETUP!$B$26:$B$32,MATCH($G219,SETUP!$A$26:$A$32,1))))</f>
        <v>61,000 - 61,999</v>
      </c>
      <c r="I219" s="70">
        <v>3028</v>
      </c>
      <c r="J219" s="19" t="str">
        <f>IF($C219="","",IF($I219="","-",INDEX(SETUP!$B$16:$B$22,MATCH($I219,SETUP!$A$16:$A$22,1))))</f>
        <v>DEVELOPING</v>
      </c>
      <c r="K219" s="19" t="str">
        <f>IF($C219="","",IF($I219="","-",TEXT(INT($I219/1000)*1000,"#,##0")&amp;" - "&amp;TEXT(INT($I219/1000)*1000+999,"#,##0")))</f>
        <v>3,000 - 3,999</v>
      </c>
      <c r="L219" s="71">
        <v>3.63</v>
      </c>
      <c r="M219" s="19" t="str">
        <f>IF($C219="","",IF($L219="","-",INDEX(SETUP!$B$36:$B$42,MATCH($L219,SETUP!$A$36:$A$42,1))))</f>
        <v>3k - 4k</v>
      </c>
      <c r="N219" s="21">
        <f>IF($C219="","",IF(OR($G219="",$I219=""),"",ROUND(100*(SETUP!$B$4*MIN(1,$I219/SETUP!$B$9)+SETUP!$B$5*MAX(0,MIN(1,($G219-SETUP!$B$10)/(SETUP!$B$11-SETUP!$B$10)))+SETUP!$B$6*MIN(1,IF($L219="",0,$L219)/SETUP!$B$12)),1)))</f>
        <v>35.700000000000003</v>
      </c>
      <c r="O219" s="19" t="str">
        <f>IF($C219="","",IF($N219="","-",INDEX(SETUP!$B$46:$B$51,MATCH($N219,SETUP!$A$46:$A$51,1))))</f>
        <v>B</v>
      </c>
      <c r="P219" s="19">
        <f>IF($C219="","",IF($I219="","",RANK($I219,$I$4:$I$1463)+COUNTIF($I$4:$I219,$I219)-1))</f>
        <v>868</v>
      </c>
      <c r="Q219" s="19">
        <f>IF($C219="","",COUNTIFS($B$4:$B$1463,$B219,$X$4:$X$1463,"&gt;"&amp;$X219)+COUNTIFS($B$4:$B219,$B219,$X$4:$X219,"="&amp;$X219))</f>
        <v>93</v>
      </c>
      <c r="R219" s="75">
        <f>IF($C219="","",IF($I219="","",ROUND(COUNTIF($I$4:$I$1463,"&lt;"&amp;$I219)/COUNT($I$4:$I$1463),3)))</f>
        <v>0.34399999999999997</v>
      </c>
      <c r="S219" s="19" t="str">
        <f>IF($C219="","",IF($G219="","Name only",IF(OR($I219="",$L219=""),"Partial","Complete")))</f>
        <v>Complete</v>
      </c>
      <c r="T219" s="1" t="str">
        <f>IF($C219="","",TRIM(IF(COUNTIF($C$4:$C$1463,$C219)&gt;1,"Dup name; ","")&amp;IF(AND($G219&lt;&gt;"",$G219&lt;55000),"Low CR - verify; ","")&amp;IF(AND($L219&lt;&gt;"",$L219&gt;15),"Secondary - verify; ","")&amp;IF($E219="","No class; ","")))</f>
        <v/>
      </c>
      <c r="U219" s="68"/>
      <c r="V219" s="68"/>
      <c r="W219" s="68"/>
      <c r="X219" s="76">
        <f t="shared" si="17"/>
        <v>3028</v>
      </c>
      <c r="Y219" s="1" t="str">
        <f t="shared" si="18"/>
        <v>LEGENDS|93</v>
      </c>
      <c r="Z219" s="19">
        <f>IF($C219="","",IF($G219="","",RANK($G219,$G$4:$G$1463)+COUNTIF($G$4:$G219,$G219)-1))</f>
        <v>1071</v>
      </c>
      <c r="AA219" s="19">
        <f>IF($C219="","",IF($N219="","",RANK($N219,$N$4:$N$1463)+COUNTIF($N$4:$N219,$N219)-1))</f>
        <v>980</v>
      </c>
      <c r="AB219" s="1" t="str">
        <f>IF($C219="","",IF($E219="","",$E219&amp;"#"&amp;(COUNTIFS($E$4:$E$1463,$E219,$X$4:$X$1463,"&gt;"&amp;$X219)+COUNTIFS($E$4:$E219,$E219,$X$4:$X219,"="&amp;$X219))))</f>
        <v>BARBARIAN#153</v>
      </c>
      <c r="AC219" s="1" t="str">
        <f>IF($C219="","",$B219&amp;"@"&amp;(COUNTIFS($B$4:$B$1463,$B219,$C$4:$C$1463,"&lt;"&amp;$C219)+COUNTIFS($B$4:$B219,$B219,$C$4:$C219,$C219)))</f>
        <v>LEGENDS@24</v>
      </c>
      <c r="AD219" s="1">
        <f t="shared" si="19"/>
        <v>216</v>
      </c>
      <c r="AE219" s="1" t="s">
        <v>944</v>
      </c>
      <c r="AF219" s="76">
        <f t="shared" si="20"/>
        <v>61257</v>
      </c>
      <c r="AG219" s="77">
        <f t="shared" si="21"/>
        <v>3.63</v>
      </c>
      <c r="AH219" s="1" t="str">
        <f>IF($C219="","",$B219&amp;"|"&amp;(COUNTIFS($B$4:$B$1463,$B219,$AF$4:$AF$1463,"&gt;"&amp;$AF219)+COUNTIFS($B$4:$B219,$B219,$AF$4:$AF219,"="&amp;$AF219)))</f>
        <v>LEGENDS|93</v>
      </c>
      <c r="AI219" s="1" t="str">
        <f>IF($C219="","",$B219&amp;"|"&amp;(COUNTIFS($B$4:$B$1463,$B219,$AG$4:$AG$1463,"&gt;"&amp;$AG219)+COUNTIFS($B$4:$B219,$B219,$AG$4:$AG219,"="&amp;$AG219)))</f>
        <v>LEGENDS|94</v>
      </c>
    </row>
    <row r="220" spans="1:35" hidden="1">
      <c r="A220" s="69" t="s">
        <v>106</v>
      </c>
      <c r="B220" s="69" t="s">
        <v>107</v>
      </c>
      <c r="C220" s="63" t="s">
        <v>945</v>
      </c>
      <c r="D220" s="69"/>
      <c r="E220" s="68" t="s">
        <v>80</v>
      </c>
      <c r="F220" s="15" t="str">
        <f>IF($C220="","",IF($E220="","-",IFERROR(INDEX(SETUP!$B$55:$B$64,MATCH($E220,SETUP!$A$55:$A$64,0)),"Other")))</f>
        <v>Ranged DPS</v>
      </c>
      <c r="G220" s="70">
        <v>63106</v>
      </c>
      <c r="H220" s="15" t="str">
        <f>IF($C220="","",IF($G220="","-",INDEX(SETUP!$B$26:$B$32,MATCH($G220,SETUP!$A$26:$A$32,1))))</f>
        <v>63,000 - 63,999</v>
      </c>
      <c r="I220" s="70">
        <v>3847</v>
      </c>
      <c r="J220" s="15" t="str">
        <f>IF($C220="","",IF($I220="","-",INDEX(SETUP!$B$16:$B$22,MATCH($I220,SETUP!$A$16:$A$22,1))))</f>
        <v>DEVELOPING</v>
      </c>
      <c r="K220" s="15" t="str">
        <f>IF($C220="","",IF($I220="","-",TEXT(INT($I220/1000)*1000,"#,##0")&amp;" - "&amp;TEXT(INT($I220/1000)*1000+999,"#,##0")))</f>
        <v>3,000 - 3,999</v>
      </c>
      <c r="L220" s="71">
        <v>4.8499999999999996</v>
      </c>
      <c r="M220" s="15" t="str">
        <f>IF($C220="","",IF($L220="","-",INDEX(SETUP!$B$36:$B$42,MATCH($L220,SETUP!$A$36:$A$42,1))))</f>
        <v>4k - 5k</v>
      </c>
      <c r="N220" s="17">
        <f>IF($C220="","",IF(OR($G220="",$I220=""),"",ROUND(100*(SETUP!$B$4*MIN(1,$I220/SETUP!$B$9)+SETUP!$B$5*MAX(0,MIN(1,($G220-SETUP!$B$10)/(SETUP!$B$11-SETUP!$B$10)))+SETUP!$B$6*MIN(1,IF($L220="",0,$L220)/SETUP!$B$12)),1)))</f>
        <v>46.2</v>
      </c>
      <c r="O220" s="15" t="str">
        <f>IF($C220="","",IF($N220="","-",INDEX(SETUP!$B$46:$B$51,MATCH($N220,SETUP!$A$46:$A$51,1))))</f>
        <v>B</v>
      </c>
      <c r="P220" s="15">
        <f>IF($C220="","",IF($I220="","",RANK($I220,$I$4:$I$1463)+COUNTIF($I$4:$I220,$I220)-1))</f>
        <v>636</v>
      </c>
      <c r="Q220" s="15">
        <f>IF($C220="","",COUNTIFS($B$4:$B$1463,$B220,$X$4:$X$1463,"&gt;"&amp;$X220)+COUNTIFS($B$4:$B220,$B220,$X$4:$X220,"="&amp;$X220))</f>
        <v>55</v>
      </c>
      <c r="R220" s="72">
        <f>IF($C220="","",IF($I220="","",ROUND(COUNTIF($I$4:$I$1463,"&lt;"&amp;$I220)/COUNT($I$4:$I$1463),3)))</f>
        <v>0.52</v>
      </c>
      <c r="S220" s="15" t="str">
        <f>IF($C220="","",IF($G220="","Name only",IF(OR($I220="",$L220=""),"Partial","Complete")))</f>
        <v>Complete</v>
      </c>
      <c r="T220" s="41" t="str">
        <f>IF($C220="","",TRIM(IF(COUNTIF($C$4:$C$1463,$C220)&gt;1,"Dup name; ","")&amp;IF(AND($G220&lt;&gt;"",$G220&lt;55000),"Low CR - verify; ","")&amp;IF(AND($L220&lt;&gt;"",$L220&gt;15),"Secondary - verify; ","")&amp;IF($E220="","No class; ","")))</f>
        <v/>
      </c>
      <c r="U220" s="68"/>
      <c r="V220" s="68"/>
      <c r="W220" s="68"/>
      <c r="X220" s="73">
        <f t="shared" si="17"/>
        <v>3847</v>
      </c>
      <c r="Y220" s="41" t="str">
        <f t="shared" si="18"/>
        <v>UNDYING|55</v>
      </c>
      <c r="Z220" s="15">
        <f>IF($C220="","",IF($G220="","",RANK($G220,$G$4:$G$1463)+COUNTIF($G$4:$G220,$G220)-1))</f>
        <v>374</v>
      </c>
      <c r="AA220" s="15">
        <f>IF($C220="","",IF($N220="","",RANK($N220,$N$4:$N$1463)+COUNTIF($N$4:$N220,$N220)-1))</f>
        <v>580</v>
      </c>
      <c r="AB220" s="41" t="str">
        <f>IF($C220="","",IF($E220="","",$E220&amp;"#"&amp;(COUNTIFS($E$4:$E$1463,$E220,$X$4:$X$1463,"&gt;"&amp;$X220)+COUNTIFS($E$4:$E220,$E220,$X$4:$X220,"="&amp;$X220))))</f>
        <v>WIZARD#45</v>
      </c>
      <c r="AC220" s="41" t="str">
        <f>IF($C220="","",$B220&amp;"@"&amp;(COUNTIFS($B$4:$B$1463,$B220,$C$4:$C$1463,"&lt;"&amp;$C220)+COUNTIFS($B$4:$B220,$B220,$C$4:$C220,$C220)))</f>
        <v>UNDYING@23</v>
      </c>
      <c r="AD220" s="41">
        <f t="shared" si="19"/>
        <v>217</v>
      </c>
      <c r="AE220" s="41" t="s">
        <v>946</v>
      </c>
      <c r="AF220" s="73">
        <f t="shared" si="20"/>
        <v>63106</v>
      </c>
      <c r="AG220" s="74">
        <f t="shared" si="21"/>
        <v>4.8499999999999996</v>
      </c>
      <c r="AH220" s="41" t="str">
        <f>IF($C220="","",$B220&amp;"|"&amp;(COUNTIFS($B$4:$B$1463,$B220,$AF$4:$AF$1463,"&gt;"&amp;$AF220)+COUNTIFS($B$4:$B220,$B220,$AF$4:$AF220,"="&amp;$AF220)))</f>
        <v>UNDYING|38</v>
      </c>
      <c r="AI220" s="41" t="str">
        <f>IF($C220="","",$B220&amp;"|"&amp;(COUNTIFS($B$4:$B$1463,$B220,$AG$4:$AG$1463,"&gt;"&amp;$AG220)+COUNTIFS($B$4:$B220,$B220,$AG$4:$AG220,"="&amp;$AG220)))</f>
        <v>UNDYING|56</v>
      </c>
    </row>
    <row r="221" spans="1:35" hidden="1">
      <c r="A221" s="69" t="s">
        <v>109</v>
      </c>
      <c r="B221" s="69" t="s">
        <v>117</v>
      </c>
      <c r="C221" s="63" t="s">
        <v>947</v>
      </c>
      <c r="D221" s="69"/>
      <c r="E221" s="68" t="s">
        <v>78</v>
      </c>
      <c r="F221" s="19" t="str">
        <f>IF($C221="","",IF($E221="","-",IFERROR(INDEX(SETUP!$B$55:$B$64,MATCH($E221,SETUP!$A$55:$A$64,0)),"Other")))</f>
        <v>Melee DPS</v>
      </c>
      <c r="G221" s="70">
        <v>62645</v>
      </c>
      <c r="H221" s="19" t="str">
        <f>IF($C221="","",IF($G221="","-",INDEX(SETUP!$B$26:$B$32,MATCH($G221,SETUP!$A$26:$A$32,1))))</f>
        <v>62,000 - 62,999</v>
      </c>
      <c r="I221" s="70">
        <v>3109</v>
      </c>
      <c r="J221" s="19" t="str">
        <f>IF($C221="","",IF($I221="","-",INDEX(SETUP!$B$16:$B$22,MATCH($I221,SETUP!$A$16:$A$22,1))))</f>
        <v>DEVELOPING</v>
      </c>
      <c r="K221" s="19" t="str">
        <f>IF($C221="","",IF($I221="","-",TEXT(INT($I221/1000)*1000,"#,##0")&amp;" - "&amp;TEXT(INT($I221/1000)*1000+999,"#,##0")))</f>
        <v>3,000 - 3,999</v>
      </c>
      <c r="L221" s="71">
        <v>4.2</v>
      </c>
      <c r="M221" s="19" t="str">
        <f>IF($C221="","",IF($L221="","-",INDEX(SETUP!$B$36:$B$42,MATCH($L221,SETUP!$A$36:$A$42,1))))</f>
        <v>4k - 5k</v>
      </c>
      <c r="N221" s="21">
        <f>IF($C221="","",IF(OR($G221="",$I221=""),"",ROUND(100*(SETUP!$B$4*MIN(1,$I221/SETUP!$B$9)+SETUP!$B$5*MAX(0,MIN(1,($G221-SETUP!$B$10)/(SETUP!$B$11-SETUP!$B$10)))+SETUP!$B$6*MIN(1,IF($L221="",0,$L221)/SETUP!$B$12)),1)))</f>
        <v>40.700000000000003</v>
      </c>
      <c r="O221" s="19" t="str">
        <f>IF($C221="","",IF($N221="","-",INDEX(SETUP!$B$46:$B$51,MATCH($N221,SETUP!$A$46:$A$51,1))))</f>
        <v>B</v>
      </c>
      <c r="P221" s="19">
        <f>IF($C221="","",IF($I221="","",RANK($I221,$I$4:$I$1463)+COUNTIF($I$4:$I221,$I221)-1))</f>
        <v>850</v>
      </c>
      <c r="Q221" s="19">
        <f>IF($C221="","",COUNTIFS($B$4:$B$1463,$B221,$X$4:$X$1463,"&gt;"&amp;$X221)+COUNTIFS($B$4:$B221,$B221,$X$4:$X221,"="&amp;$X221))</f>
        <v>13</v>
      </c>
      <c r="R221" s="75">
        <f>IF($C221="","",IF($I221="","",ROUND(COUNTIF($I$4:$I$1463,"&lt;"&amp;$I221)/COUNT($I$4:$I$1463),3)))</f>
        <v>0.35799999999999998</v>
      </c>
      <c r="S221" s="19" t="str">
        <f>IF($C221="","",IF($G221="","Name only",IF(OR($I221="",$L221=""),"Partial","Complete")))</f>
        <v>Complete</v>
      </c>
      <c r="T221" s="1" t="str">
        <f>IF($C221="","",TRIM(IF(COUNTIF($C$4:$C$1463,$C221)&gt;1,"Dup name; ","")&amp;IF(AND($G221&lt;&gt;"",$G221&lt;55000),"Low CR - verify; ","")&amp;IF(AND($L221&lt;&gt;"",$L221&gt;15),"Secondary - verify; ","")&amp;IF($E221="","No class; ","")))</f>
        <v/>
      </c>
      <c r="U221" s="68"/>
      <c r="V221" s="68"/>
      <c r="W221" s="68"/>
      <c r="X221" s="76">
        <f t="shared" si="17"/>
        <v>3109</v>
      </c>
      <c r="Y221" s="1" t="str">
        <f t="shared" si="18"/>
        <v>VENDETTA|13</v>
      </c>
      <c r="Z221" s="19">
        <f>IF($C221="","",IF($G221="","",RANK($G221,$G$4:$G$1463)+COUNTIF($G$4:$G221,$G221)-1))</f>
        <v>589</v>
      </c>
      <c r="AA221" s="19">
        <f>IF($C221="","",IF($N221="","",RANK($N221,$N$4:$N$1463)+COUNTIF($N$4:$N221,$N221)-1))</f>
        <v>789</v>
      </c>
      <c r="AB221" s="1" t="str">
        <f>IF($C221="","",IF($E221="","",$E221&amp;"#"&amp;(COUNTIFS($E$4:$E$1463,$E221,$X$4:$X$1463,"&gt;"&amp;$X221)+COUNTIFS($E$4:$E221,$E221,$X$4:$X221,"="&amp;$X221))))</f>
        <v>TEMPEST#33</v>
      </c>
      <c r="AC221" s="1" t="str">
        <f>IF($C221="","",$B221&amp;"@"&amp;(COUNTIFS($B$4:$B$1463,$B221,$C$4:$C$1463,"&lt;"&amp;$C221)+COUNTIFS($B$4:$B221,$B221,$C$4:$C221,$C221)))</f>
        <v>VENDETTA@19</v>
      </c>
      <c r="AD221" s="1">
        <f t="shared" si="19"/>
        <v>218</v>
      </c>
      <c r="AE221" s="1" t="s">
        <v>948</v>
      </c>
      <c r="AF221" s="76">
        <f t="shared" si="20"/>
        <v>62645</v>
      </c>
      <c r="AG221" s="77">
        <f t="shared" si="21"/>
        <v>4.2</v>
      </c>
      <c r="AH221" s="1" t="str">
        <f>IF($C221="","",$B221&amp;"|"&amp;(COUNTIFS($B$4:$B$1463,$B221,$AF$4:$AF$1463,"&gt;"&amp;$AF221)+COUNTIFS($B$4:$B221,$B221,$AF$4:$AF221,"="&amp;$AF221)))</f>
        <v>VENDETTA|11</v>
      </c>
      <c r="AI221" s="1" t="str">
        <f>IF($C221="","",$B221&amp;"|"&amp;(COUNTIFS($B$4:$B$1463,$B221,$AG$4:$AG$1463,"&gt;"&amp;$AG221)+COUNTIFS($B$4:$B221,$B221,$AG$4:$AG221,"="&amp;$AG221)))</f>
        <v>VENDETTA|24</v>
      </c>
    </row>
    <row r="222" spans="1:35" hidden="1">
      <c r="A222" s="69" t="s">
        <v>106</v>
      </c>
      <c r="B222" s="69" t="s">
        <v>86</v>
      </c>
      <c r="C222" s="63" t="s">
        <v>949</v>
      </c>
      <c r="D222" s="69"/>
      <c r="E222" s="68" t="s">
        <v>74</v>
      </c>
      <c r="F222" s="15" t="str">
        <f>IF($C222="","",IF($E222="","-",IFERROR(INDEX(SETUP!$B$55:$B$64,MATCH($E222,SETUP!$A$55:$A$64,0)),"Other")))</f>
        <v>Ranged DPS</v>
      </c>
      <c r="G222" s="70">
        <v>62753</v>
      </c>
      <c r="H222" s="15" t="str">
        <f>IF($C222="","",IF($G222="","-",INDEX(SETUP!$B$26:$B$32,MATCH($G222,SETUP!$A$26:$A$32,1))))</f>
        <v>62,000 - 62,999</v>
      </c>
      <c r="I222" s="70">
        <v>1780</v>
      </c>
      <c r="J222" s="15" t="str">
        <f>IF($C222="","",IF($I222="","-",INDEX(SETUP!$B$16:$B$22,MATCH($I222,SETUP!$A$16:$A$22,1))))</f>
        <v>ROOKIE</v>
      </c>
      <c r="K222" s="15" t="str">
        <f>IF($C222="","",IF($I222="","-",TEXT(INT($I222/1000)*1000,"#,##0")&amp;" - "&amp;TEXT(INT($I222/1000)*1000+999,"#,##0")))</f>
        <v>1,000 - 1,999</v>
      </c>
      <c r="L222" s="71">
        <v>3.85</v>
      </c>
      <c r="M222" s="15" t="str">
        <f>IF($C222="","",IF($L222="","-",INDEX(SETUP!$B$36:$B$42,MATCH($L222,SETUP!$A$36:$A$42,1))))</f>
        <v>3k - 4k</v>
      </c>
      <c r="N222" s="17">
        <f>IF($C222="","",IF(OR($G222="",$I222=""),"",ROUND(100*(SETUP!$B$4*MIN(1,$I222/SETUP!$B$9)+SETUP!$B$5*MAX(0,MIN(1,($G222-SETUP!$B$10)/(SETUP!$B$11-SETUP!$B$10)))+SETUP!$B$6*MIN(1,IF($L222="",0,$L222)/SETUP!$B$12)),1)))</f>
        <v>34.6</v>
      </c>
      <c r="O222" s="15" t="str">
        <f>IF($C222="","",IF($N222="","-",INDEX(SETUP!$B$46:$B$51,MATCH($N222,SETUP!$A$46:$A$51,1))))</f>
        <v>C</v>
      </c>
      <c r="P222" s="15">
        <f>IF($C222="","",IF($I222="","",RANK($I222,$I$4:$I$1463)+COUNTIF($I$4:$I222,$I222)-1))</f>
        <v>1148</v>
      </c>
      <c r="Q222" s="15">
        <f>IF($C222="","",COUNTIFS($B$4:$B$1463,$B222,$X$4:$X$1463,"&gt;"&amp;$X222)+COUNTIFS($B$4:$B222,$B222,$X$4:$X222,"="&amp;$X222))</f>
        <v>95</v>
      </c>
      <c r="R222" s="72">
        <f>IF($C222="","",IF($I222="","",ROUND(COUNTIF($I$4:$I$1463,"&lt;"&amp;$I222)/COUNT($I$4:$I$1463),3)))</f>
        <v>0.13200000000000001</v>
      </c>
      <c r="S222" s="15" t="str">
        <f>IF($C222="","",IF($G222="","Name only",IF(OR($I222="",$L222=""),"Partial","Complete")))</f>
        <v>Complete</v>
      </c>
      <c r="T222" s="41" t="str">
        <f>IF($C222="","",TRIM(IF(COUNTIF($C$4:$C$1463,$C222)&gt;1,"Dup name; ","")&amp;IF(AND($G222&lt;&gt;"",$G222&lt;55000),"Low CR - verify; ","")&amp;IF(AND($L222&lt;&gt;"",$L222&gt;15),"Secondary - verify; ","")&amp;IF($E222="","No class; ","")))</f>
        <v/>
      </c>
      <c r="U222" s="68"/>
      <c r="V222" s="68"/>
      <c r="W222" s="68"/>
      <c r="X222" s="73">
        <f t="shared" si="17"/>
        <v>1780</v>
      </c>
      <c r="Y222" s="41" t="str">
        <f t="shared" si="18"/>
        <v>VANGUARD|95</v>
      </c>
      <c r="Z222" s="15">
        <f>IF($C222="","",IF($G222="","",RANK($G222,$G$4:$G$1463)+COUNTIF($G$4:$G222,$G222)-1))</f>
        <v>543</v>
      </c>
      <c r="AA222" s="15">
        <f>IF($C222="","",IF($N222="","",RANK($N222,$N$4:$N$1463)+COUNTIF($N$4:$N222,$N222)-1))</f>
        <v>1017</v>
      </c>
      <c r="AB222" s="41" t="str">
        <f>IF($C222="","",IF($E222="","",$E222&amp;"#"&amp;(COUNTIFS($E$4:$E$1463,$E222,$X$4:$X$1463,"&gt;"&amp;$X222)+COUNTIFS($E$4:$E222,$E222,$X$4:$X222,"="&amp;$X222))))</f>
        <v>DEMON HUNTER#177</v>
      </c>
      <c r="AC222" s="41" t="str">
        <f>IF($C222="","",$B222&amp;"@"&amp;(COUNTIFS($B$4:$B$1463,$B222,$C$4:$C$1463,"&lt;"&amp;$C222)+COUNTIFS($B$4:$B222,$B222,$C$4:$C222,$C222)))</f>
        <v>VANGUARD@20</v>
      </c>
      <c r="AD222" s="41">
        <f t="shared" si="19"/>
        <v>219</v>
      </c>
      <c r="AE222" s="41" t="s">
        <v>950</v>
      </c>
      <c r="AF222" s="73">
        <f t="shared" si="20"/>
        <v>62753</v>
      </c>
      <c r="AG222" s="74">
        <f t="shared" si="21"/>
        <v>3.85</v>
      </c>
      <c r="AH222" s="41" t="str">
        <f>IF($C222="","",$B222&amp;"|"&amp;(COUNTIFS($B$4:$B$1463,$B222,$AF$4:$AF$1463,"&gt;"&amp;$AF222)+COUNTIFS($B$4:$B222,$B222,$AF$4:$AF222,"="&amp;$AF222)))</f>
        <v>VANGUARD|76</v>
      </c>
      <c r="AI222" s="41" t="str">
        <f>IF($C222="","",$B222&amp;"|"&amp;(COUNTIFS($B$4:$B$1463,$B222,$AG$4:$AG$1463,"&gt;"&amp;$AG222)+COUNTIFS($B$4:$B222,$B222,$AG$4:$AG222,"="&amp;$AG222)))</f>
        <v>VANGUARD|92</v>
      </c>
    </row>
    <row r="223" spans="1:35" hidden="1">
      <c r="A223" s="69" t="s">
        <v>109</v>
      </c>
      <c r="B223" s="69" t="s">
        <v>114</v>
      </c>
      <c r="C223" s="63" t="s">
        <v>951</v>
      </c>
      <c r="D223" s="69"/>
      <c r="E223" s="68" t="s">
        <v>74</v>
      </c>
      <c r="F223" s="19" t="str">
        <f>IF($C223="","",IF($E223="","-",IFERROR(INDEX(SETUP!$B$55:$B$64,MATCH($E223,SETUP!$A$55:$A$64,0)),"Other")))</f>
        <v>Ranged DPS</v>
      </c>
      <c r="G223" s="70">
        <v>61755</v>
      </c>
      <c r="H223" s="19" t="str">
        <f>IF($C223="","",IF($G223="","-",INDEX(SETUP!$B$26:$B$32,MATCH($G223,SETUP!$A$26:$A$32,1))))</f>
        <v>61,000 - 61,999</v>
      </c>
      <c r="I223" s="70">
        <v>2798</v>
      </c>
      <c r="J223" s="19" t="str">
        <f>IF($C223="","",IF($I223="","-",INDEX(SETUP!$B$16:$B$22,MATCH($I223,SETUP!$A$16:$A$22,1))))</f>
        <v>DEVELOPING</v>
      </c>
      <c r="K223" s="19" t="str">
        <f>IF($C223="","",IF($I223="","-",TEXT(INT($I223/1000)*1000,"#,##0")&amp;" - "&amp;TEXT(INT($I223/1000)*1000+999,"#,##0")))</f>
        <v>2,000 - 2,999</v>
      </c>
      <c r="L223" s="71">
        <v>4.25</v>
      </c>
      <c r="M223" s="19" t="str">
        <f>IF($C223="","",IF($L223="","-",INDEX(SETUP!$B$36:$B$42,MATCH($L223,SETUP!$A$36:$A$42,1))))</f>
        <v>4k - 5k</v>
      </c>
      <c r="N223" s="21">
        <f>IF($C223="","",IF(OR($G223="",$I223=""),"",ROUND(100*(SETUP!$B$4*MIN(1,$I223/SETUP!$B$9)+SETUP!$B$5*MAX(0,MIN(1,($G223-SETUP!$B$10)/(SETUP!$B$11-SETUP!$B$10)))+SETUP!$B$6*MIN(1,IF($L223="",0,$L223)/SETUP!$B$12)),1)))</f>
        <v>37.1</v>
      </c>
      <c r="O223" s="19" t="str">
        <f>IF($C223="","",IF($N223="","-",INDEX(SETUP!$B$46:$B$51,MATCH($N223,SETUP!$A$46:$A$51,1))))</f>
        <v>B</v>
      </c>
      <c r="P223" s="19">
        <f>IF($C223="","",IF($I223="","",RANK($I223,$I$4:$I$1463)+COUNTIF($I$4:$I223,$I223)-1))</f>
        <v>935</v>
      </c>
      <c r="Q223" s="19">
        <f>IF($C223="","",COUNTIFS($B$4:$B$1463,$B223,$X$4:$X$1463,"&gt;"&amp;$X223)+COUNTIFS($B$4:$B223,$B223,$X$4:$X223,"="&amp;$X223))</f>
        <v>29</v>
      </c>
      <c r="R223" s="75">
        <f>IF($C223="","",IF($I223="","",ROUND(COUNTIF($I$4:$I$1463,"&lt;"&amp;$I223)/COUNT($I$4:$I$1463),3)))</f>
        <v>0.29399999999999998</v>
      </c>
      <c r="S223" s="19" t="str">
        <f>IF($C223="","",IF($G223="","Name only",IF(OR($I223="",$L223=""),"Partial","Complete")))</f>
        <v>Complete</v>
      </c>
      <c r="T223" s="1" t="str">
        <f>IF($C223="","",TRIM(IF(COUNTIF($C$4:$C$1463,$C223)&gt;1,"Dup name; ","")&amp;IF(AND($G223&lt;&gt;"",$G223&lt;55000),"Low CR - verify; ","")&amp;IF(AND($L223&lt;&gt;"",$L223&gt;15),"Secondary - verify; ","")&amp;IF($E223="","No class; ","")))</f>
        <v/>
      </c>
      <c r="U223" s="68"/>
      <c r="V223" s="68"/>
      <c r="W223" s="68"/>
      <c r="X223" s="76">
        <f t="shared" si="17"/>
        <v>2798</v>
      </c>
      <c r="Y223" s="1" t="str">
        <f t="shared" si="18"/>
        <v>EMERALD LEAF TRIBE|29</v>
      </c>
      <c r="Z223" s="19">
        <f>IF($C223="","",IF($G223="","",RANK($G223,$G$4:$G$1463)+COUNTIF($G$4:$G223,$G223)-1))</f>
        <v>926</v>
      </c>
      <c r="AA223" s="19">
        <f>IF($C223="","",IF($N223="","",RANK($N223,$N$4:$N$1463)+COUNTIF($N$4:$N223,$N223)-1))</f>
        <v>922</v>
      </c>
      <c r="AB223" s="1" t="str">
        <f>IF($C223="","",IF($E223="","",$E223&amp;"#"&amp;(COUNTIFS($E$4:$E$1463,$E223,$X$4:$X$1463,"&gt;"&amp;$X223)+COUNTIFS($E$4:$E223,$E223,$X$4:$X223,"="&amp;$X223))))</f>
        <v>DEMON HUNTER#149</v>
      </c>
      <c r="AC223" s="1" t="str">
        <f>IF($C223="","",$B223&amp;"@"&amp;(COUNTIFS($B$4:$B$1463,$B223,$C$4:$C$1463,"&lt;"&amp;$C223)+COUNTIFS($B$4:$B223,$B223,$C$4:$C223,$C223)))</f>
        <v>EMERALD LEAF TRIBE@18</v>
      </c>
      <c r="AD223" s="1">
        <f t="shared" si="19"/>
        <v>220</v>
      </c>
      <c r="AE223" s="1" t="s">
        <v>952</v>
      </c>
      <c r="AF223" s="76">
        <f t="shared" si="20"/>
        <v>61755</v>
      </c>
      <c r="AG223" s="77">
        <f t="shared" si="21"/>
        <v>4.25</v>
      </c>
      <c r="AH223" s="1" t="str">
        <f>IF($C223="","",$B223&amp;"|"&amp;(COUNTIFS($B$4:$B$1463,$B223,$AF$4:$AF$1463,"&gt;"&amp;$AF223)+COUNTIFS($B$4:$B223,$B223,$AF$4:$AF223,"="&amp;$AF223)))</f>
        <v>EMERALD LEAF TRIBE|35</v>
      </c>
      <c r="AI223" s="1" t="str">
        <f>IF($C223="","",$B223&amp;"|"&amp;(COUNTIFS($B$4:$B$1463,$B223,$AG$4:$AG$1463,"&gt;"&amp;$AG223)+COUNTIFS($B$4:$B223,$B223,$AG$4:$AG223,"="&amp;$AG223)))</f>
        <v>EMERALD LEAF TRIBE|25</v>
      </c>
    </row>
    <row r="224" spans="1:35" hidden="1">
      <c r="A224" s="69" t="s">
        <v>106</v>
      </c>
      <c r="B224" s="69" t="s">
        <v>105</v>
      </c>
      <c r="C224" s="63" t="s">
        <v>953</v>
      </c>
      <c r="D224" s="69"/>
      <c r="E224" s="68" t="s">
        <v>71</v>
      </c>
      <c r="F224" s="15" t="str">
        <f>IF($C224="","",IF($E224="","-",IFERROR(INDEX(SETUP!$B$55:$B$64,MATCH($E224,SETUP!$A$55:$A$64,0)),"Other")))</f>
        <v>Frontline</v>
      </c>
      <c r="G224" s="70">
        <v>63016</v>
      </c>
      <c r="H224" s="15" t="str">
        <f>IF($C224="","",IF($G224="","-",INDEX(SETUP!$B$26:$B$32,MATCH($G224,SETUP!$A$26:$A$32,1))))</f>
        <v>63,000 - 63,999</v>
      </c>
      <c r="I224" s="70">
        <v>4607</v>
      </c>
      <c r="J224" s="15" t="str">
        <f>IF($C224="","",IF($I224="","-",INDEX(SETUP!$B$16:$B$22,MATCH($I224,SETUP!$A$16:$A$22,1))))</f>
        <v>CORE</v>
      </c>
      <c r="K224" s="15" t="str">
        <f>IF($C224="","",IF($I224="","-",TEXT(INT($I224/1000)*1000,"#,##0")&amp;" - "&amp;TEXT(INT($I224/1000)*1000+999,"#,##0")))</f>
        <v>4,000 - 4,999</v>
      </c>
      <c r="L224" s="71">
        <v>5.5</v>
      </c>
      <c r="M224" s="15" t="str">
        <f>IF($C224="","",IF($L224="","-",INDEX(SETUP!$B$36:$B$42,MATCH($L224,SETUP!$A$36:$A$42,1))))</f>
        <v>5k - 6k</v>
      </c>
      <c r="N224" s="17">
        <f>IF($C224="","",IF(OR($G224="",$I224=""),"",ROUND(100*(SETUP!$B$4*MIN(1,$I224/SETUP!$B$9)+SETUP!$B$5*MAX(0,MIN(1,($G224-SETUP!$B$10)/(SETUP!$B$11-SETUP!$B$10)))+SETUP!$B$6*MIN(1,IF($L224="",0,$L224)/SETUP!$B$12)),1)))</f>
        <v>50.4</v>
      </c>
      <c r="O224" s="15" t="str">
        <f>IF($C224="","",IF($N224="","-",INDEX(SETUP!$B$46:$B$51,MATCH($N224,SETUP!$A$46:$A$51,1))))</f>
        <v>A</v>
      </c>
      <c r="P224" s="15">
        <f>IF($C224="","",IF($I224="","",RANK($I224,$I$4:$I$1463)+COUNTIF($I$4:$I224,$I224)-1))</f>
        <v>472</v>
      </c>
      <c r="Q224" s="15">
        <f>IF($C224="","",COUNTIFS($B$4:$B$1463,$B224,$X$4:$X$1463,"&gt;"&amp;$X224)+COUNTIFS($B$4:$B224,$B224,$X$4:$X224,"="&amp;$X224))</f>
        <v>59</v>
      </c>
      <c r="R224" s="72">
        <f>IF($C224="","",IF($I224="","",ROUND(COUNTIF($I$4:$I$1463,"&lt;"&amp;$I224)/COUNT($I$4:$I$1463),3)))</f>
        <v>0.64300000000000002</v>
      </c>
      <c r="S224" s="15" t="str">
        <f>IF($C224="","",IF($G224="","Name only",IF(OR($I224="",$L224=""),"Partial","Complete")))</f>
        <v>Complete</v>
      </c>
      <c r="T224" s="41" t="str">
        <f>IF($C224="","",TRIM(IF(COUNTIF($C$4:$C$1463,$C224)&gt;1,"Dup name; ","")&amp;IF(AND($G224&lt;&gt;"",$G224&lt;55000),"Low CR - verify; ","")&amp;IF(AND($L224&lt;&gt;"",$L224&gt;15),"Secondary - verify; ","")&amp;IF($E224="","No class; ","")))</f>
        <v/>
      </c>
      <c r="U224" s="68"/>
      <c r="V224" s="68"/>
      <c r="W224" s="68"/>
      <c r="X224" s="73">
        <f t="shared" si="17"/>
        <v>4607</v>
      </c>
      <c r="Y224" s="41" t="str">
        <f t="shared" si="18"/>
        <v>LEGENDS|59</v>
      </c>
      <c r="Z224" s="15">
        <f>IF($C224="","",IF($G224="","",RANK($G224,$G$4:$G$1463)+COUNTIF($G$4:$G224,$G224)-1))</f>
        <v>421</v>
      </c>
      <c r="AA224" s="15">
        <f>IF($C224="","",IF($N224="","",RANK($N224,$N$4:$N$1463)+COUNTIF($N$4:$N224,$N224)-1))</f>
        <v>446</v>
      </c>
      <c r="AB224" s="41" t="str">
        <f>IF($C224="","",IF($E224="","",$E224&amp;"#"&amp;(COUNTIFS($E$4:$E$1463,$E224,$X$4:$X$1463,"&gt;"&amp;$X224)+COUNTIFS($E$4:$E224,$E224,$X$4:$X224,"="&amp;$X224))))</f>
        <v>BARBARIAN#93</v>
      </c>
      <c r="AC224" s="41" t="str">
        <f>IF($C224="","",$B224&amp;"@"&amp;(COUNTIFS($B$4:$B$1463,$B224,$C$4:$C$1463,"&lt;"&amp;$C224)+COUNTIFS($B$4:$B224,$B224,$C$4:$C224,$C224)))</f>
        <v>LEGENDS@25</v>
      </c>
      <c r="AD224" s="41">
        <f t="shared" si="19"/>
        <v>221</v>
      </c>
      <c r="AE224" s="41" t="s">
        <v>954</v>
      </c>
      <c r="AF224" s="73">
        <f t="shared" si="20"/>
        <v>63016</v>
      </c>
      <c r="AG224" s="74">
        <f t="shared" si="21"/>
        <v>5.5</v>
      </c>
      <c r="AH224" s="41" t="str">
        <f>IF($C224="","",$B224&amp;"|"&amp;(COUNTIFS($B$4:$B$1463,$B224,$AF$4:$AF$1463,"&gt;"&amp;$AF224)+COUNTIFS($B$4:$B224,$B224,$AF$4:$AF224,"="&amp;$AF224)))</f>
        <v>LEGENDS|50</v>
      </c>
      <c r="AI224" s="41" t="str">
        <f>IF($C224="","",$B224&amp;"|"&amp;(COUNTIFS($B$4:$B$1463,$B224,$AG$4:$AG$1463,"&gt;"&amp;$AG224)+COUNTIFS($B$4:$B224,$B224,$AG$4:$AG224,"="&amp;$AG224)))</f>
        <v>LEGENDS|38</v>
      </c>
    </row>
    <row r="225" spans="1:35" hidden="1">
      <c r="A225" s="69" t="s">
        <v>106</v>
      </c>
      <c r="B225" s="69" t="s">
        <v>86</v>
      </c>
      <c r="C225" s="63" t="s">
        <v>955</v>
      </c>
      <c r="D225" s="69"/>
      <c r="E225" s="68" t="s">
        <v>79</v>
      </c>
      <c r="F225" s="19" t="str">
        <f>IF($C225="","",IF($E225="","-",IFERROR(INDEX(SETUP!$B$55:$B$64,MATCH($E225,SETUP!$A$55:$A$64,0)),"Other")))</f>
        <v>Control</v>
      </c>
      <c r="G225" s="70">
        <v>61889</v>
      </c>
      <c r="H225" s="19" t="str">
        <f>IF($C225="","",IF($G225="","-",INDEX(SETUP!$B$26:$B$32,MATCH($G225,SETUP!$A$26:$A$32,1))))</f>
        <v>61,000 - 61,999</v>
      </c>
      <c r="I225" s="70">
        <v>3643</v>
      </c>
      <c r="J225" s="19" t="str">
        <f>IF($C225="","",IF($I225="","-",INDEX(SETUP!$B$16:$B$22,MATCH($I225,SETUP!$A$16:$A$22,1))))</f>
        <v>DEVELOPING</v>
      </c>
      <c r="K225" s="19" t="str">
        <f>IF($C225="","",IF($I225="","-",TEXT(INT($I225/1000)*1000,"#,##0")&amp;" - "&amp;TEXT(INT($I225/1000)*1000+999,"#,##0")))</f>
        <v>3,000 - 3,999</v>
      </c>
      <c r="L225" s="71">
        <v>4.3</v>
      </c>
      <c r="M225" s="19" t="str">
        <f>IF($C225="","",IF($L225="","-",INDEX(SETUP!$B$36:$B$42,MATCH($L225,SETUP!$A$36:$A$42,1))))</f>
        <v>4k - 5k</v>
      </c>
      <c r="N225" s="21">
        <f>IF($C225="","",IF(OR($G225="",$I225=""),"",ROUND(100*(SETUP!$B$4*MIN(1,$I225/SETUP!$B$9)+SETUP!$B$5*MAX(0,MIN(1,($G225-SETUP!$B$10)/(SETUP!$B$11-SETUP!$B$10)))+SETUP!$B$6*MIN(1,IF($L225="",0,$L225)/SETUP!$B$12)),1)))</f>
        <v>41.2</v>
      </c>
      <c r="O225" s="19" t="str">
        <f>IF($C225="","",IF($N225="","-",INDEX(SETUP!$B$46:$B$51,MATCH($N225,SETUP!$A$46:$A$51,1))))</f>
        <v>B</v>
      </c>
      <c r="P225" s="19">
        <f>IF($C225="","",IF($I225="","",RANK($I225,$I$4:$I$1463)+COUNTIF($I$4:$I225,$I225)-1))</f>
        <v>693</v>
      </c>
      <c r="Q225" s="19">
        <f>IF($C225="","",COUNTIFS($B$4:$B$1463,$B225,$X$4:$X$1463,"&gt;"&amp;$X225)+COUNTIFS($B$4:$B225,$B225,$X$4:$X225,"="&amp;$X225))</f>
        <v>84</v>
      </c>
      <c r="R225" s="75">
        <f>IF($C225="","",IF($I225="","",ROUND(COUNTIF($I$4:$I$1463,"&lt;"&amp;$I225)/COUNT($I$4:$I$1463),3)))</f>
        <v>0.47699999999999998</v>
      </c>
      <c r="S225" s="19" t="str">
        <f>IF($C225="","",IF($G225="","Name only",IF(OR($I225="",$L225=""),"Partial","Complete")))</f>
        <v>Complete</v>
      </c>
      <c r="T225" s="1" t="str">
        <f>IF($C225="","",TRIM(IF(COUNTIF($C$4:$C$1463,$C225)&gt;1,"Dup name; ","")&amp;IF(AND($G225&lt;&gt;"",$G225&lt;55000),"Low CR - verify; ","")&amp;IF(AND($L225&lt;&gt;"",$L225&gt;15),"Secondary - verify; ","")&amp;IF($E225="","No class; ","")))</f>
        <v/>
      </c>
      <c r="U225" s="68"/>
      <c r="V225" s="68"/>
      <c r="W225" s="68"/>
      <c r="X225" s="76">
        <f t="shared" si="17"/>
        <v>3643</v>
      </c>
      <c r="Y225" s="1" t="str">
        <f t="shared" si="18"/>
        <v>VANGUARD|84</v>
      </c>
      <c r="Z225" s="19">
        <f>IF($C225="","",IF($G225="","",RANK($G225,$G$4:$G$1463)+COUNTIF($G$4:$G225,$G225)-1))</f>
        <v>878</v>
      </c>
      <c r="AA225" s="19">
        <f>IF($C225="","",IF($N225="","",RANK($N225,$N$4:$N$1463)+COUNTIF($N$4:$N225,$N225)-1))</f>
        <v>763</v>
      </c>
      <c r="AB225" s="1" t="str">
        <f>IF($C225="","",IF($E225="","",$E225&amp;"#"&amp;(COUNTIFS($E$4:$E$1463,$E225,$X$4:$X$1463,"&gt;"&amp;$X225)+COUNTIFS($E$4:$E225,$E225,$X$4:$X225,"="&amp;$X225))))</f>
        <v>WARLOCK#171</v>
      </c>
      <c r="AC225" s="1" t="str">
        <f>IF($C225="","",$B225&amp;"@"&amp;(COUNTIFS($B$4:$B$1463,$B225,$C$4:$C$1463,"&lt;"&amp;$C225)+COUNTIFS($B$4:$B225,$B225,$C$4:$C225,$C225)))</f>
        <v>VANGUARD@21</v>
      </c>
      <c r="AD225" s="1">
        <f t="shared" si="19"/>
        <v>222</v>
      </c>
      <c r="AE225" s="1" t="s">
        <v>956</v>
      </c>
      <c r="AF225" s="76">
        <f t="shared" si="20"/>
        <v>61889</v>
      </c>
      <c r="AG225" s="77">
        <f t="shared" si="21"/>
        <v>4.3</v>
      </c>
      <c r="AH225" s="1" t="str">
        <f>IF($C225="","",$B225&amp;"|"&amp;(COUNTIFS($B$4:$B$1463,$B225,$AF$4:$AF$1463,"&gt;"&amp;$AF225)+COUNTIFS($B$4:$B225,$B225,$AF$4:$AF225,"="&amp;$AF225)))</f>
        <v>VANGUARD|85</v>
      </c>
      <c r="AI225" s="1" t="str">
        <f>IF($C225="","",$B225&amp;"|"&amp;(COUNTIFS($B$4:$B$1463,$B225,$AG$4:$AG$1463,"&gt;"&amp;$AG225)+COUNTIFS($B$4:$B225,$B225,$AG$4:$AG225,"="&amp;$AG225)))</f>
        <v>VANGUARD|85</v>
      </c>
    </row>
    <row r="226" spans="1:35" hidden="1">
      <c r="A226" s="69" t="s">
        <v>109</v>
      </c>
      <c r="B226" s="69" t="s">
        <v>114</v>
      </c>
      <c r="C226" s="63" t="s">
        <v>957</v>
      </c>
      <c r="D226" s="69"/>
      <c r="E226" s="68" t="s">
        <v>72</v>
      </c>
      <c r="F226" s="15" t="str">
        <f>IF($C226="","",IF($E226="","-",IFERROR(INDEX(SETUP!$B$55:$B$64,MATCH($E226,SETUP!$A$55:$A$64,0)),"Other")))</f>
        <v>Frontline</v>
      </c>
      <c r="G226" s="70">
        <v>63105</v>
      </c>
      <c r="H226" s="15" t="str">
        <f>IF($C226="","",IF($G226="","-",INDEX(SETUP!$B$26:$B$32,MATCH($G226,SETUP!$A$26:$A$32,1))))</f>
        <v>63,000 - 63,999</v>
      </c>
      <c r="I226" s="70">
        <v>3604</v>
      </c>
      <c r="J226" s="15" t="str">
        <f>IF($C226="","",IF($I226="","-",INDEX(SETUP!$B$16:$B$22,MATCH($I226,SETUP!$A$16:$A$22,1))))</f>
        <v>DEVELOPING</v>
      </c>
      <c r="K226" s="15" t="str">
        <f>IF($C226="","",IF($I226="","-",TEXT(INT($I226/1000)*1000,"#,##0")&amp;" - "&amp;TEXT(INT($I226/1000)*1000+999,"#,##0")))</f>
        <v>3,000 - 3,999</v>
      </c>
      <c r="L226" s="71">
        <v>4.8499999999999996</v>
      </c>
      <c r="M226" s="15" t="str">
        <f>IF($C226="","",IF($L226="","-",INDEX(SETUP!$B$36:$B$42,MATCH($L226,SETUP!$A$36:$A$42,1))))</f>
        <v>4k - 5k</v>
      </c>
      <c r="N226" s="17">
        <f>IF($C226="","",IF(OR($G226="",$I226=""),"",ROUND(100*(SETUP!$B$4*MIN(1,$I226/SETUP!$B$9)+SETUP!$B$5*MAX(0,MIN(1,($G226-SETUP!$B$10)/(SETUP!$B$11-SETUP!$B$10)))+SETUP!$B$6*MIN(1,IF($L226="",0,$L226)/SETUP!$B$12)),1)))</f>
        <v>45.1</v>
      </c>
      <c r="O226" s="15" t="str">
        <f>IF($C226="","",IF($N226="","-",INDEX(SETUP!$B$46:$B$51,MATCH($N226,SETUP!$A$46:$A$51,1))))</f>
        <v>B</v>
      </c>
      <c r="P226" s="15">
        <f>IF($C226="","",IF($I226="","",RANK($I226,$I$4:$I$1463)+COUNTIF($I$4:$I226,$I226)-1))</f>
        <v>700</v>
      </c>
      <c r="Q226" s="15">
        <f>IF($C226="","",COUNTIFS($B$4:$B$1463,$B226,$X$4:$X$1463,"&gt;"&amp;$X226)+COUNTIFS($B$4:$B226,$B226,$X$4:$X226,"="&amp;$X226))</f>
        <v>16</v>
      </c>
      <c r="R226" s="72">
        <f>IF($C226="","",IF($I226="","",ROUND(COUNTIF($I$4:$I$1463,"&lt;"&amp;$I226)/COUNT($I$4:$I$1463),3)))</f>
        <v>0.47199999999999998</v>
      </c>
      <c r="S226" s="15" t="str">
        <f>IF($C226="","",IF($G226="","Name only",IF(OR($I226="",$L226=""),"Partial","Complete")))</f>
        <v>Complete</v>
      </c>
      <c r="T226" s="41" t="str">
        <f>IF($C226="","",TRIM(IF(COUNTIF($C$4:$C$1463,$C226)&gt;1,"Dup name; ","")&amp;IF(AND($G226&lt;&gt;"",$G226&lt;55000),"Low CR - verify; ","")&amp;IF(AND($L226&lt;&gt;"",$L226&gt;15),"Secondary - verify; ","")&amp;IF($E226="","No class; ","")))</f>
        <v/>
      </c>
      <c r="U226" s="68"/>
      <c r="V226" s="68"/>
      <c r="W226" s="68"/>
      <c r="X226" s="73">
        <f t="shared" si="17"/>
        <v>3604</v>
      </c>
      <c r="Y226" s="41" t="str">
        <f t="shared" si="18"/>
        <v>EMERALD LEAF TRIBE|16</v>
      </c>
      <c r="Z226" s="15">
        <f>IF($C226="","",IF($G226="","",RANK($G226,$G$4:$G$1463)+COUNTIF($G$4:$G226,$G226)-1))</f>
        <v>376</v>
      </c>
      <c r="AA226" s="15">
        <f>IF($C226="","",IF($N226="","",RANK($N226,$N$4:$N$1463)+COUNTIF($N$4:$N226,$N226)-1))</f>
        <v>618</v>
      </c>
      <c r="AB226" s="41" t="str">
        <f>IF($C226="","",IF($E226="","",$E226&amp;"#"&amp;(COUNTIFS($E$4:$E$1463,$E226,$X$4:$X$1463,"&gt;"&amp;$X226)+COUNTIFS($E$4:$E226,$E226,$X$4:$X226,"="&amp;$X226))))</f>
        <v>BLOOD KNIGHT#46</v>
      </c>
      <c r="AC226" s="41" t="str">
        <f>IF($C226="","",$B226&amp;"@"&amp;(COUNTIFS($B$4:$B$1463,$B226,$C$4:$C$1463,"&lt;"&amp;$C226)+COUNTIFS($B$4:$B226,$B226,$C$4:$C226,$C226)))</f>
        <v>EMERALD LEAF TRIBE@19</v>
      </c>
      <c r="AD226" s="41">
        <f t="shared" si="19"/>
        <v>223</v>
      </c>
      <c r="AE226" s="41" t="s">
        <v>958</v>
      </c>
      <c r="AF226" s="73">
        <f t="shared" si="20"/>
        <v>63105</v>
      </c>
      <c r="AG226" s="74">
        <f t="shared" si="21"/>
        <v>4.8499999999999996</v>
      </c>
      <c r="AH226" s="41" t="str">
        <f>IF($C226="","",$B226&amp;"|"&amp;(COUNTIFS($B$4:$B$1463,$B226,$AF$4:$AF$1463,"&gt;"&amp;$AF226)+COUNTIFS($B$4:$B226,$B226,$AF$4:$AF226,"="&amp;$AF226)))</f>
        <v>EMERALD LEAF TRIBE|3</v>
      </c>
      <c r="AI226" s="41" t="str">
        <f>IF($C226="","",$B226&amp;"|"&amp;(COUNTIFS($B$4:$B$1463,$B226,$AG$4:$AG$1463,"&gt;"&amp;$AG226)+COUNTIFS($B$4:$B226,$B226,$AG$4:$AG226,"="&amp;$AG226)))</f>
        <v>EMERALD LEAF TRIBE|9</v>
      </c>
    </row>
    <row r="227" spans="1:35" hidden="1">
      <c r="A227" s="69" t="s">
        <v>109</v>
      </c>
      <c r="B227" s="69" t="s">
        <v>108</v>
      </c>
      <c r="C227" s="63" t="s">
        <v>959</v>
      </c>
      <c r="D227" s="69"/>
      <c r="E227" s="68" t="s">
        <v>78</v>
      </c>
      <c r="F227" s="19" t="str">
        <f>IF($C227="","",IF($E227="","-",IFERROR(INDEX(SETUP!$B$55:$B$64,MATCH($E227,SETUP!$A$55:$A$64,0)),"Other")))</f>
        <v>Melee DPS</v>
      </c>
      <c r="G227" s="70">
        <v>60512</v>
      </c>
      <c r="H227" s="19" t="str">
        <f>IF($C227="","",IF($G227="","-",INDEX(SETUP!$B$26:$B$32,MATCH($G227,SETUP!$A$26:$A$32,1))))</f>
        <v>60,000 - 60,999</v>
      </c>
      <c r="I227" s="70">
        <v>3784</v>
      </c>
      <c r="J227" s="19" t="str">
        <f>IF($C227="","",IF($I227="","-",INDEX(SETUP!$B$16:$B$22,MATCH($I227,SETUP!$A$16:$A$22,1))))</f>
        <v>DEVELOPING</v>
      </c>
      <c r="K227" s="19" t="str">
        <f>IF($C227="","",IF($I227="","-",TEXT(INT($I227/1000)*1000,"#,##0")&amp;" - "&amp;TEXT(INT($I227/1000)*1000+999,"#,##0")))</f>
        <v>3,000 - 3,999</v>
      </c>
      <c r="L227" s="71">
        <v>4.3499999999999996</v>
      </c>
      <c r="M227" s="19" t="str">
        <f>IF($C227="","",IF($L227="","-",INDEX(SETUP!$B$36:$B$42,MATCH($L227,SETUP!$A$36:$A$42,1))))</f>
        <v>4k - 5k</v>
      </c>
      <c r="N227" s="21">
        <f>IF($C227="","",IF(OR($G227="",$I227=""),"",ROUND(100*(SETUP!$B$4*MIN(1,$I227/SETUP!$B$9)+SETUP!$B$5*MAX(0,MIN(1,($G227-SETUP!$B$10)/(SETUP!$B$11-SETUP!$B$10)))+SETUP!$B$6*MIN(1,IF($L227="",0,$L227)/SETUP!$B$12)),1)))</f>
        <v>38.299999999999997</v>
      </c>
      <c r="O227" s="19" t="str">
        <f>IF($C227="","",IF($N227="","-",INDEX(SETUP!$B$46:$B$51,MATCH($N227,SETUP!$A$46:$A$51,1))))</f>
        <v>B</v>
      </c>
      <c r="P227" s="19">
        <f>IF($C227="","",IF($I227="","",RANK($I227,$I$4:$I$1463)+COUNTIF($I$4:$I227,$I227)-1))</f>
        <v>652</v>
      </c>
      <c r="Q227" s="19">
        <f>IF($C227="","",COUNTIFS($B$4:$B$1463,$B227,$X$4:$X$1463,"&gt;"&amp;$X227)+COUNTIFS($B$4:$B227,$B227,$X$4:$X227,"="&amp;$X227))</f>
        <v>79</v>
      </c>
      <c r="R227" s="75">
        <f>IF($C227="","",IF($I227="","",ROUND(COUNTIF($I$4:$I$1463,"&lt;"&amp;$I227)/COUNT($I$4:$I$1463),3)))</f>
        <v>0.50800000000000001</v>
      </c>
      <c r="S227" s="19" t="str">
        <f>IF($C227="","",IF($G227="","Name only",IF(OR($I227="",$L227=""),"Partial","Complete")))</f>
        <v>Complete</v>
      </c>
      <c r="T227" s="1" t="str">
        <f>IF($C227="","",TRIM(IF(COUNTIF($C$4:$C$1463,$C227)&gt;1,"Dup name; ","")&amp;IF(AND($G227&lt;&gt;"",$G227&lt;55000),"Low CR - verify; ","")&amp;IF(AND($L227&lt;&gt;"",$L227&gt;15),"Secondary - verify; ","")&amp;IF($E227="","No class; ","")))</f>
        <v/>
      </c>
      <c r="U227" s="68"/>
      <c r="V227" s="68"/>
      <c r="W227" s="68"/>
      <c r="X227" s="76">
        <f t="shared" si="17"/>
        <v>3784</v>
      </c>
      <c r="Y227" s="1" t="str">
        <f t="shared" si="18"/>
        <v>SBG|79</v>
      </c>
      <c r="Z227" s="19">
        <f>IF($C227="","",IF($G227="","",RANK($G227,$G$4:$G$1463)+COUNTIF($G$4:$G227,$G227)-1))</f>
        <v>1204</v>
      </c>
      <c r="AA227" s="19">
        <f>IF($C227="","",IF($N227="","",RANK($N227,$N$4:$N$1463)+COUNTIF($N$4:$N227,$N227)-1))</f>
        <v>895</v>
      </c>
      <c r="AB227" s="1" t="str">
        <f>IF($C227="","",IF($E227="","",$E227&amp;"#"&amp;(COUNTIFS($E$4:$E$1463,$E227,$X$4:$X$1463,"&gt;"&amp;$X227)+COUNTIFS($E$4:$E227,$E227,$X$4:$X227,"="&amp;$X227))))</f>
        <v>TEMPEST#25</v>
      </c>
      <c r="AC227" s="1" t="str">
        <f>IF($C227="","",$B227&amp;"@"&amp;(COUNTIFS($B$4:$B$1463,$B227,$C$4:$C$1463,"&lt;"&amp;$C227)+COUNTIFS($B$4:$B227,$B227,$C$4:$C227,$C227)))</f>
        <v>SBG@9</v>
      </c>
      <c r="AD227" s="1">
        <f t="shared" si="19"/>
        <v>224</v>
      </c>
      <c r="AE227" s="1" t="s">
        <v>960</v>
      </c>
      <c r="AF227" s="76">
        <f t="shared" si="20"/>
        <v>60512</v>
      </c>
      <c r="AG227" s="77">
        <f t="shared" si="21"/>
        <v>4.3499999999999996</v>
      </c>
      <c r="AH227" s="1" t="str">
        <f>IF($C227="","",$B227&amp;"|"&amp;(COUNTIFS($B$4:$B$1463,$B227,$AF$4:$AF$1463,"&gt;"&amp;$AF227)+COUNTIFS($B$4:$B227,$B227,$AF$4:$AF227,"="&amp;$AF227)))</f>
        <v>SBG|93</v>
      </c>
      <c r="AI227" s="1" t="str">
        <f>IF($C227="","",$B227&amp;"|"&amp;(COUNTIFS($B$4:$B$1463,$B227,$AG$4:$AG$1463,"&gt;"&amp;$AG227)+COUNTIFS($B$4:$B227,$B227,$AG$4:$AG227,"="&amp;$AG227)))</f>
        <v>SBG|86</v>
      </c>
    </row>
    <row r="228" spans="1:35" hidden="1">
      <c r="A228" s="69" t="s">
        <v>106</v>
      </c>
      <c r="B228" s="69" t="s">
        <v>86</v>
      </c>
      <c r="C228" s="63" t="s">
        <v>961</v>
      </c>
      <c r="D228" s="69"/>
      <c r="E228" s="68" t="s">
        <v>74</v>
      </c>
      <c r="F228" s="15" t="str">
        <f>IF($C228="","",IF($E228="","-",IFERROR(INDEX(SETUP!$B$55:$B$64,MATCH($E228,SETUP!$A$55:$A$64,0)),"Other")))</f>
        <v>Ranged DPS</v>
      </c>
      <c r="G228" s="70">
        <v>62899</v>
      </c>
      <c r="H228" s="15" t="str">
        <f>IF($C228="","",IF($G228="","-",INDEX(SETUP!$B$26:$B$32,MATCH($G228,SETUP!$A$26:$A$32,1))))</f>
        <v>62,000 - 62,999</v>
      </c>
      <c r="I228" s="70">
        <v>6045</v>
      </c>
      <c r="J228" s="15" t="str">
        <f>IF($C228="","",IF($I228="","-",INDEX(SETUP!$B$16:$B$22,MATCH($I228,SETUP!$A$16:$A$22,1))))</f>
        <v>VETERAN</v>
      </c>
      <c r="K228" s="15" t="str">
        <f>IF($C228="","",IF($I228="","-",TEXT(INT($I228/1000)*1000,"#,##0")&amp;" - "&amp;TEXT(INT($I228/1000)*1000+999,"#,##0")))</f>
        <v>6,000 - 6,999</v>
      </c>
      <c r="L228" s="71">
        <v>5.42</v>
      </c>
      <c r="M228" s="15" t="str">
        <f>IF($C228="","",IF($L228="","-",INDEX(SETUP!$B$36:$B$42,MATCH($L228,SETUP!$A$36:$A$42,1))))</f>
        <v>5k - 6k</v>
      </c>
      <c r="N228" s="17">
        <f>IF($C228="","",IF(OR($G228="",$I228=""),"",ROUND(100*(SETUP!$B$4*MIN(1,$I228/SETUP!$B$9)+SETUP!$B$5*MAX(0,MIN(1,($G228-SETUP!$B$10)/(SETUP!$B$11-SETUP!$B$10)))+SETUP!$B$6*MIN(1,IF($L228="",0,$L228)/SETUP!$B$12)),1)))</f>
        <v>56.2</v>
      </c>
      <c r="O228" s="15" t="str">
        <f>IF($C228="","",IF($N228="","-",INDEX(SETUP!$B$46:$B$51,MATCH($N228,SETUP!$A$46:$A$51,1))))</f>
        <v>A</v>
      </c>
      <c r="P228" s="15">
        <f>IF($C228="","",IF($I228="","",RANK($I228,$I$4:$I$1463)+COUNTIF($I$4:$I228,$I228)-1))</f>
        <v>284</v>
      </c>
      <c r="Q228" s="15">
        <f>IF($C228="","",COUNTIFS($B$4:$B$1463,$B228,$X$4:$X$1463,"&gt;"&amp;$X228)+COUNTIFS($B$4:$B228,$B228,$X$4:$X228,"="&amp;$X228))</f>
        <v>57</v>
      </c>
      <c r="R228" s="72">
        <f>IF($C228="","",IF($I228="","",ROUND(COUNTIF($I$4:$I$1463,"&lt;"&amp;$I228)/COUNT($I$4:$I$1463),3)))</f>
        <v>0.78600000000000003</v>
      </c>
      <c r="S228" s="15" t="str">
        <f>IF($C228="","",IF($G228="","Name only",IF(OR($I228="",$L228=""),"Partial","Complete")))</f>
        <v>Complete</v>
      </c>
      <c r="T228" s="41" t="str">
        <f>IF($C228="","",TRIM(IF(COUNTIF($C$4:$C$1463,$C228)&gt;1,"Dup name; ","")&amp;IF(AND($G228&lt;&gt;"",$G228&lt;55000),"Low CR - verify; ","")&amp;IF(AND($L228&lt;&gt;"",$L228&gt;15),"Secondary - verify; ","")&amp;IF($E228="","No class; ","")))</f>
        <v/>
      </c>
      <c r="U228" s="68"/>
      <c r="V228" s="68"/>
      <c r="W228" s="68"/>
      <c r="X228" s="73">
        <f t="shared" si="17"/>
        <v>6045</v>
      </c>
      <c r="Y228" s="41" t="str">
        <f t="shared" si="18"/>
        <v>VANGUARD|57</v>
      </c>
      <c r="Z228" s="15">
        <f>IF($C228="","",IF($G228="","",RANK($G228,$G$4:$G$1463)+COUNTIF($G$4:$G228,$G228)-1))</f>
        <v>475</v>
      </c>
      <c r="AA228" s="15">
        <f>IF($C228="","",IF($N228="","",RANK($N228,$N$4:$N$1463)+COUNTIF($N$4:$N228,$N228)-1))</f>
        <v>289</v>
      </c>
      <c r="AB228" s="41" t="str">
        <f>IF($C228="","",IF($E228="","",$E228&amp;"#"&amp;(COUNTIFS($E$4:$E$1463,$E228,$X$4:$X$1463,"&gt;"&amp;$X228)+COUNTIFS($E$4:$E228,$E228,$X$4:$X228,"="&amp;$X228))))</f>
        <v>DEMON HUNTER#46</v>
      </c>
      <c r="AC228" s="41" t="str">
        <f>IF($C228="","",$B228&amp;"@"&amp;(COUNTIFS($B$4:$B$1463,$B228,$C$4:$C$1463,"&lt;"&amp;$C228)+COUNTIFS($B$4:$B228,$B228,$C$4:$C228,$C228)))</f>
        <v>VANGUARD@22</v>
      </c>
      <c r="AD228" s="41">
        <f t="shared" si="19"/>
        <v>225</v>
      </c>
      <c r="AE228" s="41" t="s">
        <v>962</v>
      </c>
      <c r="AF228" s="73">
        <f t="shared" si="20"/>
        <v>62899</v>
      </c>
      <c r="AG228" s="74">
        <f t="shared" si="21"/>
        <v>5.42</v>
      </c>
      <c r="AH228" s="41" t="str">
        <f>IF($C228="","",$B228&amp;"|"&amp;(COUNTIFS($B$4:$B$1463,$B228,$AF$4:$AF$1463,"&gt;"&amp;$AF228)+COUNTIFS($B$4:$B228,$B228,$AF$4:$AF228,"="&amp;$AF228)))</f>
        <v>VANGUARD|67</v>
      </c>
      <c r="AI228" s="41" t="str">
        <f>IF($C228="","",$B228&amp;"|"&amp;(COUNTIFS($B$4:$B$1463,$B228,$AG$4:$AG$1463,"&gt;"&amp;$AG228)+COUNTIFS($B$4:$B228,$B228,$AG$4:$AG228,"="&amp;$AG228)))</f>
        <v>VANGUARD|56</v>
      </c>
    </row>
    <row r="229" spans="1:35">
      <c r="A229" s="69" t="s">
        <v>104</v>
      </c>
      <c r="B229" s="69" t="s">
        <v>66</v>
      </c>
      <c r="C229" s="63" t="s">
        <v>306</v>
      </c>
      <c r="D229" s="69"/>
      <c r="E229" s="68" t="s">
        <v>74</v>
      </c>
      <c r="F229" s="19" t="str">
        <f>IF($C229="","",IF($E229="","-",IFERROR(INDEX(SETUP!$B$55:$B$64,MATCH($E229,SETUP!$A$55:$A$64,0)),"Other")))</f>
        <v>Ranged DPS</v>
      </c>
      <c r="G229" s="70">
        <v>61870</v>
      </c>
      <c r="H229" s="19" t="str">
        <f>IF($C229="","",IF($G229="","-",INDEX(SETUP!$B$26:$B$32,MATCH($G229,SETUP!$A$26:$A$32,1))))</f>
        <v>61,000 - 61,999</v>
      </c>
      <c r="I229" s="70">
        <v>5680</v>
      </c>
      <c r="J229" s="19" t="str">
        <f>IF($C229="","",IF($I229="","-",INDEX(SETUP!$B$16:$B$22,MATCH($I229,SETUP!$A$16:$A$22,1))))</f>
        <v>CORE</v>
      </c>
      <c r="K229" s="19" t="str">
        <f>IF($C229="","",IF($I229="","-",TEXT(INT($I229/1000)*1000,"#,##0")&amp;" - "&amp;TEXT(INT($I229/1000)*1000+999,"#,##0")))</f>
        <v>5,000 - 5,999</v>
      </c>
      <c r="L229" s="71">
        <v>4.8099999999999996</v>
      </c>
      <c r="M229" s="19" t="str">
        <f>IF($C229="","",IF($L229="","-",INDEX(SETUP!$B$36:$B$42,MATCH($L229,SETUP!$A$36:$A$42,1))))</f>
        <v>4k - 5k</v>
      </c>
      <c r="N229" s="21">
        <f>IF($C229="","",IF(OR($G229="",$I229=""),"",ROUND(100*(SETUP!$B$4*MIN(1,$I229/SETUP!$B$9)+SETUP!$B$5*MAX(0,MIN(1,($G229-SETUP!$B$10)/(SETUP!$B$11-SETUP!$B$10)))+SETUP!$B$6*MIN(1,IF($L229="",0,$L229)/SETUP!$B$12)),1)))</f>
        <v>50.9</v>
      </c>
      <c r="O229" s="19" t="str">
        <f>IF($C229="","",IF($N229="","-",INDEX(SETUP!$B$46:$B$51,MATCH($N229,SETUP!$A$46:$A$51,1))))</f>
        <v>A</v>
      </c>
      <c r="P229" s="19">
        <f>IF($C229="","",IF($I229="","",RANK($I229,$I$4:$I$1463)+COUNTIF($I$4:$I229,$I229)-1))</f>
        <v>315</v>
      </c>
      <c r="Q229" s="19">
        <f>IF($C229="","",COUNTIFS($B$4:$B$1463,$B229,$X$4:$X$1463,"&gt;"&amp;$X229)+COUNTIFS($B$4:$B229,$B229,$X$4:$X229,"="&amp;$X229))</f>
        <v>32</v>
      </c>
      <c r="R229" s="75">
        <f>IF($C229="","",IF($I229="","",ROUND(COUNTIF($I$4:$I$1463,"&lt;"&amp;$I229)/COUNT($I$4:$I$1463),3)))</f>
        <v>0.76200000000000001</v>
      </c>
      <c r="S229" s="19" t="str">
        <f>IF($C229="","",IF($G229="","Name only",IF(OR($I229="",$L229=""),"Partial","Complete")))</f>
        <v>Complete</v>
      </c>
      <c r="T229" s="1" t="str">
        <f>IF($C229="","",TRIM(IF(COUNTIF($C$4:$C$1463,$C229)&gt;1,"Dup name; ","")&amp;IF(AND($G229&lt;&gt;"",$G229&lt;55000),"Low CR - verify; ","")&amp;IF(AND($L229&lt;&gt;"",$L229&gt;15),"Secondary - verify; ","")&amp;IF($E229="","No class; ","")))</f>
        <v/>
      </c>
      <c r="U229" s="68"/>
      <c r="V229" s="68" t="s">
        <v>66</v>
      </c>
      <c r="W229" s="68" t="s">
        <v>285</v>
      </c>
      <c r="X229" s="76">
        <f t="shared" si="17"/>
        <v>5680</v>
      </c>
      <c r="Y229" s="1" t="str">
        <f t="shared" si="18"/>
        <v>FUCT|32</v>
      </c>
      <c r="Z229" s="19">
        <f>IF($C229="","",IF($G229="","",RANK($G229,$G$4:$G$1463)+COUNTIF($G$4:$G229,$G229)-1))</f>
        <v>890</v>
      </c>
      <c r="AA229" s="19">
        <f>IF($C229="","",IF($N229="","",RANK($N229,$N$4:$N$1463)+COUNTIF($N$4:$N229,$N229)-1))</f>
        <v>428</v>
      </c>
      <c r="AB229" s="1" t="str">
        <f>IF($C229="","",IF($E229="","",$E229&amp;"#"&amp;(COUNTIFS($E$4:$E$1463,$E229,$X$4:$X$1463,"&gt;"&amp;$X229)+COUNTIFS($E$4:$E229,$E229,$X$4:$X229,"="&amp;$X229))))</f>
        <v>DEMON HUNTER#54</v>
      </c>
      <c r="AC229" s="1" t="str">
        <f>IF($C229="","",$B229&amp;"@"&amp;(COUNTIFS($B$4:$B$1463,$B229,$C$4:$C$1463,"&lt;"&amp;$C229)+COUNTIFS($B$4:$B229,$B229,$C$4:$C229,$C229)))</f>
        <v>FUCT@12</v>
      </c>
      <c r="AD229" s="1">
        <f t="shared" si="19"/>
        <v>226</v>
      </c>
      <c r="AE229" s="1" t="s">
        <v>964</v>
      </c>
      <c r="AF229" s="76">
        <f t="shared" si="20"/>
        <v>61870</v>
      </c>
      <c r="AG229" s="77">
        <f t="shared" si="21"/>
        <v>4.8099999999999996</v>
      </c>
      <c r="AH229" s="1" t="str">
        <f>IF($C229="","",$B229&amp;"|"&amp;(COUNTIFS($B$4:$B$1463,$B229,$AF$4:$AF$1463,"&gt;"&amp;$AF229)+COUNTIFS($B$4:$B229,$B229,$AF$4:$AF229,"="&amp;$AF229)))</f>
        <v>FUCT|84</v>
      </c>
      <c r="AI229" s="1" t="str">
        <f>IF($C229="","",$B229&amp;"|"&amp;(COUNTIFS($B$4:$B$1463,$B229,$AG$4:$AG$1463,"&gt;"&amp;$AG229)+COUNTIFS($B$4:$B229,$B229,$AG$4:$AG229,"="&amp;$AG229)))</f>
        <v>FUCT|58</v>
      </c>
    </row>
    <row r="230" spans="1:35" hidden="1">
      <c r="A230" s="69" t="s">
        <v>109</v>
      </c>
      <c r="B230" s="69" t="s">
        <v>111</v>
      </c>
      <c r="C230" s="63" t="s">
        <v>965</v>
      </c>
      <c r="D230" s="69" t="s">
        <v>527</v>
      </c>
      <c r="E230" s="68" t="s">
        <v>74</v>
      </c>
      <c r="F230" s="15" t="str">
        <f>IF($C230="","",IF($E230="","-",IFERROR(INDEX(SETUP!$B$55:$B$64,MATCH($E230,SETUP!$A$55:$A$64,0)),"Other")))</f>
        <v>Ranged DPS</v>
      </c>
      <c r="G230" s="70">
        <v>62625</v>
      </c>
      <c r="H230" s="15" t="str">
        <f>IF($C230="","",IF($G230="","-",INDEX(SETUP!$B$26:$B$32,MATCH($G230,SETUP!$A$26:$A$32,1))))</f>
        <v>62,000 - 62,999</v>
      </c>
      <c r="I230" s="70">
        <v>6200</v>
      </c>
      <c r="J230" s="15" t="str">
        <f>IF($C230="","",IF($I230="","-",INDEX(SETUP!$B$16:$B$22,MATCH($I230,SETUP!$A$16:$A$22,1))))</f>
        <v>VETERAN</v>
      </c>
      <c r="K230" s="15" t="str">
        <f>IF($C230="","",IF($I230="","-",TEXT(INT($I230/1000)*1000,"#,##0")&amp;" - "&amp;TEXT(INT($I230/1000)*1000+999,"#,##0")))</f>
        <v>6,000 - 6,999</v>
      </c>
      <c r="L230" s="71">
        <v>6.9</v>
      </c>
      <c r="M230" s="15" t="str">
        <f>IF($C230="","",IF($L230="","-",INDEX(SETUP!$B$36:$B$42,MATCH($L230,SETUP!$A$36:$A$42,1))))</f>
        <v>6k - 8k</v>
      </c>
      <c r="N230" s="17">
        <f>IF($C230="","",IF(OR($G230="",$I230=""),"",ROUND(100*(SETUP!$B$4*MIN(1,$I230/SETUP!$B$9)+SETUP!$B$5*MAX(0,MIN(1,($G230-SETUP!$B$10)/(SETUP!$B$11-SETUP!$B$10)))+SETUP!$B$6*MIN(1,IF($L230="",0,$L230)/SETUP!$B$12)),1)))</f>
        <v>58.6</v>
      </c>
      <c r="O230" s="15" t="str">
        <f>IF($C230="","",IF($N230="","-",INDEX(SETUP!$B$46:$B$51,MATCH($N230,SETUP!$A$46:$A$51,1))))</f>
        <v>A</v>
      </c>
      <c r="P230" s="15">
        <f>IF($C230="","",IF($I230="","",RANK($I230,$I$4:$I$1463)+COUNTIF($I$4:$I230,$I230)-1))</f>
        <v>265</v>
      </c>
      <c r="Q230" s="15">
        <f>IF($C230="","",COUNTIFS($B$4:$B$1463,$B230,$X$4:$X$1463,"&gt;"&amp;$X230)+COUNTIFS($B$4:$B230,$B230,$X$4:$X230,"="&amp;$X230))</f>
        <v>30</v>
      </c>
      <c r="R230" s="72">
        <f>IF($C230="","",IF($I230="","",ROUND(COUNTIF($I$4:$I$1463,"&lt;"&amp;$I230)/COUNT($I$4:$I$1463),3)))</f>
        <v>0.79900000000000004</v>
      </c>
      <c r="S230" s="15" t="str">
        <f>IF($C230="","",IF($G230="","Name only",IF(OR($I230="",$L230=""),"Partial","Complete")))</f>
        <v>Complete</v>
      </c>
      <c r="T230" s="41" t="str">
        <f>IF($C230="","",TRIM(IF(COUNTIF($C$4:$C$1463,$C230)&gt;1,"Dup name; ","")&amp;IF(AND($G230&lt;&gt;"",$G230&lt;55000),"Low CR - verify; ","")&amp;IF(AND($L230&lt;&gt;"",$L230&gt;15),"Secondary - verify; ","")&amp;IF($E230="","No class; ","")))</f>
        <v/>
      </c>
      <c r="U230" s="68"/>
      <c r="V230" s="68"/>
      <c r="W230" s="68"/>
      <c r="X230" s="73">
        <f t="shared" si="17"/>
        <v>6200</v>
      </c>
      <c r="Y230" s="41" t="str">
        <f t="shared" si="18"/>
        <v>RECKONING|30</v>
      </c>
      <c r="Z230" s="15">
        <f>IF($C230="","",IF($G230="","",RANK($G230,$G$4:$G$1463)+COUNTIF($G$4:$G230,$G230)-1))</f>
        <v>599</v>
      </c>
      <c r="AA230" s="15">
        <f>IF($C230="","",IF($N230="","",RANK($N230,$N$4:$N$1463)+COUNTIF($N$4:$N230,$N230)-1))</f>
        <v>255</v>
      </c>
      <c r="AB230" s="41" t="str">
        <f>IF($C230="","",IF($E230="","",$E230&amp;"#"&amp;(COUNTIFS($E$4:$E$1463,$E230,$X$4:$X$1463,"&gt;"&amp;$X230)+COUNTIFS($E$4:$E230,$E230,$X$4:$X230,"="&amp;$X230))))</f>
        <v>DEMON HUNTER#45</v>
      </c>
      <c r="AC230" s="41" t="str">
        <f>IF($C230="","",$B230&amp;"@"&amp;(COUNTIFS($B$4:$B$1463,$B230,$C$4:$C$1463,"&lt;"&amp;$C230)+COUNTIFS($B$4:$B230,$B230,$C$4:$C230,$C230)))</f>
        <v>RECKONING@14</v>
      </c>
      <c r="AD230" s="41">
        <f t="shared" si="19"/>
        <v>227</v>
      </c>
      <c r="AE230" s="41" t="s">
        <v>966</v>
      </c>
      <c r="AF230" s="73">
        <f t="shared" si="20"/>
        <v>62625</v>
      </c>
      <c r="AG230" s="74">
        <f t="shared" si="21"/>
        <v>6.9</v>
      </c>
      <c r="AH230" s="41" t="str">
        <f>IF($C230="","",$B230&amp;"|"&amp;(COUNTIFS($B$4:$B$1463,$B230,$AF$4:$AF$1463,"&gt;"&amp;$AF230)+COUNTIFS($B$4:$B230,$B230,$AF$4:$AF230,"="&amp;$AF230)))</f>
        <v>RECKONING|56</v>
      </c>
      <c r="AI230" s="41" t="str">
        <f>IF($C230="","",$B230&amp;"|"&amp;(COUNTIFS($B$4:$B$1463,$B230,$AG$4:$AG$1463,"&gt;"&amp;$AG230)+COUNTIFS($B$4:$B230,$B230,$AG$4:$AG230,"="&amp;$AG230)))</f>
        <v>RECKONING|24</v>
      </c>
    </row>
    <row r="231" spans="1:35" hidden="1">
      <c r="A231" s="69" t="s">
        <v>109</v>
      </c>
      <c r="B231" s="69" t="s">
        <v>118</v>
      </c>
      <c r="C231" s="63" t="s">
        <v>967</v>
      </c>
      <c r="D231" s="69"/>
      <c r="E231" s="68" t="s">
        <v>71</v>
      </c>
      <c r="F231" s="19" t="str">
        <f>IF($C231="","",IF($E231="","-",IFERROR(INDEX(SETUP!$B$55:$B$64,MATCH($E231,SETUP!$A$55:$A$64,0)),"Other")))</f>
        <v>Frontline</v>
      </c>
      <c r="G231" s="70">
        <v>63251</v>
      </c>
      <c r="H231" s="19" t="str">
        <f>IF($C231="","",IF($G231="","-",INDEX(SETUP!$B$26:$B$32,MATCH($G231,SETUP!$A$26:$A$32,1))))</f>
        <v>63,000 - 63,999</v>
      </c>
      <c r="I231" s="70">
        <v>7277</v>
      </c>
      <c r="J231" s="19" t="str">
        <f>IF($C231="","",IF($I231="","-",INDEX(SETUP!$B$16:$B$22,MATCH($I231,SETUP!$A$16:$A$22,1))))</f>
        <v>VETERAN</v>
      </c>
      <c r="K231" s="19" t="str">
        <f>IF($C231="","",IF($I231="","-",TEXT(INT($I231/1000)*1000,"#,##0")&amp;" - "&amp;TEXT(INT($I231/1000)*1000+999,"#,##0")))</f>
        <v>7,000 - 7,999</v>
      </c>
      <c r="L231" s="71">
        <v>6.33</v>
      </c>
      <c r="M231" s="19" t="str">
        <f>IF($C231="","",IF($L231="","-",INDEX(SETUP!$B$36:$B$42,MATCH($L231,SETUP!$A$36:$A$42,1))))</f>
        <v>6k - 8k</v>
      </c>
      <c r="N231" s="21">
        <f>IF($C231="","",IF(OR($G231="",$I231=""),"",ROUND(100*(SETUP!$B$4*MIN(1,$I231/SETUP!$B$9)+SETUP!$B$5*MAX(0,MIN(1,($G231-SETUP!$B$10)/(SETUP!$B$11-SETUP!$B$10)))+SETUP!$B$6*MIN(1,IF($L231="",0,$L231)/SETUP!$B$12)),1)))</f>
        <v>64</v>
      </c>
      <c r="O231" s="19" t="str">
        <f>IF($C231="","",IF($N231="","-",INDEX(SETUP!$B$46:$B$51,MATCH($N231,SETUP!$A$46:$A$51,1))))</f>
        <v>A</v>
      </c>
      <c r="P231" s="19">
        <f>IF($C231="","",IF($I231="","",RANK($I231,$I$4:$I$1463)+COUNTIF($I$4:$I231,$I231)-1))</f>
        <v>196</v>
      </c>
      <c r="Q231" s="19">
        <f>IF($C231="","",COUNTIFS($B$4:$B$1463,$B231,$X$4:$X$1463,"&gt;"&amp;$X231)+COUNTIFS($B$4:$B231,$B231,$X$4:$X231,"="&amp;$X231))</f>
        <v>3</v>
      </c>
      <c r="R231" s="75">
        <f>IF($C231="","",IF($I231="","",ROUND(COUNTIF($I$4:$I$1463,"&lt;"&amp;$I231)/COUNT($I$4:$I$1463),3)))</f>
        <v>0.85199999999999998</v>
      </c>
      <c r="S231" s="19" t="str">
        <f>IF($C231="","",IF($G231="","Name only",IF(OR($I231="",$L231=""),"Partial","Complete")))</f>
        <v>Complete</v>
      </c>
      <c r="T231" s="1" t="str">
        <f>IF($C231="","",TRIM(IF(COUNTIF($C$4:$C$1463,$C231)&gt;1,"Dup name; ","")&amp;IF(AND($G231&lt;&gt;"",$G231&lt;55000),"Low CR - verify; ","")&amp;IF(AND($L231&lt;&gt;"",$L231&gt;15),"Secondary - verify; ","")&amp;IF($E231="","No class; ","")))</f>
        <v/>
      </c>
      <c r="U231" s="68"/>
      <c r="V231" s="68"/>
      <c r="W231" s="68"/>
      <c r="X231" s="76">
        <f t="shared" si="17"/>
        <v>7277</v>
      </c>
      <c r="Y231" s="1" t="str">
        <f t="shared" si="18"/>
        <v>ZOMBIES|3</v>
      </c>
      <c r="Z231" s="19">
        <f>IF($C231="","",IF($G231="","",RANK($G231,$G$4:$G$1463)+COUNTIF($G$4:$G231,$G231)-1))</f>
        <v>290</v>
      </c>
      <c r="AA231" s="19">
        <f>IF($C231="","",IF($N231="","",RANK($N231,$N$4:$N$1463)+COUNTIF($N$4:$N231,$N231)-1))</f>
        <v>187</v>
      </c>
      <c r="AB231" s="1" t="str">
        <f>IF($C231="","",IF($E231="","",$E231&amp;"#"&amp;(COUNTIFS($E$4:$E$1463,$E231,$X$4:$X$1463,"&gt;"&amp;$X231)+COUNTIFS($E$4:$E231,$E231,$X$4:$X231,"="&amp;$X231))))</f>
        <v>BARBARIAN#43</v>
      </c>
      <c r="AC231" s="1" t="str">
        <f>IF($C231="","",$B231&amp;"@"&amp;(COUNTIFS($B$4:$B$1463,$B231,$C$4:$C$1463,"&lt;"&amp;$C231)+COUNTIFS($B$4:$B231,$B231,$C$4:$C231,$C231)))</f>
        <v>ZOMBIES@20</v>
      </c>
      <c r="AD231" s="1">
        <f t="shared" si="19"/>
        <v>228</v>
      </c>
      <c r="AE231" s="1" t="s">
        <v>968</v>
      </c>
      <c r="AF231" s="76">
        <f t="shared" si="20"/>
        <v>63251</v>
      </c>
      <c r="AG231" s="77">
        <f t="shared" si="21"/>
        <v>6.33</v>
      </c>
      <c r="AH231" s="1" t="str">
        <f>IF($C231="","",$B231&amp;"|"&amp;(COUNTIFS($B$4:$B$1463,$B231,$AF$4:$AF$1463,"&gt;"&amp;$AF231)+COUNTIFS($B$4:$B231,$B231,$AF$4:$AF231,"="&amp;$AF231)))</f>
        <v>ZOMBIES|2</v>
      </c>
      <c r="AI231" s="1" t="str">
        <f>IF($C231="","",$B231&amp;"|"&amp;(COUNTIFS($B$4:$B$1463,$B231,$AG$4:$AG$1463,"&gt;"&amp;$AG231)+COUNTIFS($B$4:$B231,$B231,$AG$4:$AG231,"="&amp;$AG231)))</f>
        <v>ZOMBIES|3</v>
      </c>
    </row>
    <row r="232" spans="1:35" hidden="1">
      <c r="A232" s="69" t="s">
        <v>109</v>
      </c>
      <c r="B232" s="69" t="s">
        <v>118</v>
      </c>
      <c r="C232" s="63" t="s">
        <v>969</v>
      </c>
      <c r="D232" s="69"/>
      <c r="E232" s="68" t="s">
        <v>80</v>
      </c>
      <c r="F232" s="15" t="str">
        <f>IF($C232="","",IF($E232="","-",IFERROR(INDEX(SETUP!$B$55:$B$64,MATCH($E232,SETUP!$A$55:$A$64,0)),"Other")))</f>
        <v>Ranged DPS</v>
      </c>
      <c r="G232" s="70">
        <v>62457</v>
      </c>
      <c r="H232" s="15" t="str">
        <f>IF($C232="","",IF($G232="","-",INDEX(SETUP!$B$26:$B$32,MATCH($G232,SETUP!$A$26:$A$32,1))))</f>
        <v>62,000 - 62,999</v>
      </c>
      <c r="I232" s="70">
        <v>1820</v>
      </c>
      <c r="J232" s="15" t="str">
        <f>IF($C232="","",IF($I232="","-",INDEX(SETUP!$B$16:$B$22,MATCH($I232,SETUP!$A$16:$A$22,1))))</f>
        <v>ROOKIE</v>
      </c>
      <c r="K232" s="15" t="str">
        <f>IF($C232="","",IF($I232="","-",TEXT(INT($I232/1000)*1000,"#,##0")&amp;" - "&amp;TEXT(INT($I232/1000)*1000+999,"#,##0")))</f>
        <v>1,000 - 1,999</v>
      </c>
      <c r="L232" s="71">
        <v>4</v>
      </c>
      <c r="M232" s="15" t="str">
        <f>IF($C232="","",IF($L232="","-",INDEX(SETUP!$B$36:$B$42,MATCH($L232,SETUP!$A$36:$A$42,1))))</f>
        <v>4k - 5k</v>
      </c>
      <c r="N232" s="17">
        <f>IF($C232="","",IF(OR($G232="",$I232=""),"",ROUND(100*(SETUP!$B$4*MIN(1,$I232/SETUP!$B$9)+SETUP!$B$5*MAX(0,MIN(1,($G232-SETUP!$B$10)/(SETUP!$B$11-SETUP!$B$10)))+SETUP!$B$6*MIN(1,IF($L232="",0,$L232)/SETUP!$B$12)),1)))</f>
        <v>34.200000000000003</v>
      </c>
      <c r="O232" s="15" t="str">
        <f>IF($C232="","",IF($N232="","-",INDEX(SETUP!$B$46:$B$51,MATCH($N232,SETUP!$A$46:$A$51,1))))</f>
        <v>C</v>
      </c>
      <c r="P232" s="15">
        <f>IF($C232="","",IF($I232="","",RANK($I232,$I$4:$I$1463)+COUNTIF($I$4:$I232,$I232)-1))</f>
        <v>1145</v>
      </c>
      <c r="Q232" s="15">
        <f>IF($C232="","",COUNTIFS($B$4:$B$1463,$B232,$X$4:$X$1463,"&gt;"&amp;$X232)+COUNTIFS($B$4:$B232,$B232,$X$4:$X232,"="&amp;$X232))</f>
        <v>47</v>
      </c>
      <c r="R232" s="72">
        <f>IF($C232="","",IF($I232="","",ROUND(COUNTIF($I$4:$I$1463,"&lt;"&amp;$I232)/COUNT($I$4:$I$1463),3)))</f>
        <v>0.13600000000000001</v>
      </c>
      <c r="S232" s="15" t="str">
        <f>IF($C232="","",IF($G232="","Name only",IF(OR($I232="",$L232=""),"Partial","Complete")))</f>
        <v>Complete</v>
      </c>
      <c r="T232" s="41" t="str">
        <f>IF($C232="","",TRIM(IF(COUNTIF($C$4:$C$1463,$C232)&gt;1,"Dup name; ","")&amp;IF(AND($G232&lt;&gt;"",$G232&lt;55000),"Low CR - verify; ","")&amp;IF(AND($L232&lt;&gt;"",$L232&gt;15),"Secondary - verify; ","")&amp;IF($E232="","No class; ","")))</f>
        <v/>
      </c>
      <c r="U232" s="68"/>
      <c r="V232" s="68"/>
      <c r="W232" s="68"/>
      <c r="X232" s="73">
        <f t="shared" si="17"/>
        <v>1820</v>
      </c>
      <c r="Y232" s="41" t="str">
        <f t="shared" si="18"/>
        <v>ZOMBIES|47</v>
      </c>
      <c r="Z232" s="15">
        <f>IF($C232="","",IF($G232="","",RANK($G232,$G$4:$G$1463)+COUNTIF($G$4:$G232,$G232)-1))</f>
        <v>666</v>
      </c>
      <c r="AA232" s="15">
        <f>IF($C232="","",IF($N232="","",RANK($N232,$N$4:$N$1463)+COUNTIF($N$4:$N232,$N232)-1))</f>
        <v>1038</v>
      </c>
      <c r="AB232" s="41" t="str">
        <f>IF($C232="","",IF($E232="","",$E232&amp;"#"&amp;(COUNTIFS($E$4:$E$1463,$E232,$X$4:$X$1463,"&gt;"&amp;$X232)+COUNTIFS($E$4:$E232,$E232,$X$4:$X232,"="&amp;$X232))))</f>
        <v>WIZARD#80</v>
      </c>
      <c r="AC232" s="41" t="str">
        <f>IF($C232="","",$B232&amp;"@"&amp;(COUNTIFS($B$4:$B$1463,$B232,$C$4:$C$1463,"&lt;"&amp;$C232)+COUNTIFS($B$4:$B232,$B232,$C$4:$C232,$C232)))</f>
        <v>ZOMBIES@21</v>
      </c>
      <c r="AD232" s="41">
        <f t="shared" si="19"/>
        <v>229</v>
      </c>
      <c r="AE232" s="41" t="s">
        <v>970</v>
      </c>
      <c r="AF232" s="73">
        <f t="shared" si="20"/>
        <v>62457</v>
      </c>
      <c r="AG232" s="74">
        <f t="shared" si="21"/>
        <v>4</v>
      </c>
      <c r="AH232" s="41" t="str">
        <f>IF($C232="","",$B232&amp;"|"&amp;(COUNTIFS($B$4:$B$1463,$B232,$AF$4:$AF$1463,"&gt;"&amp;$AF232)+COUNTIFS($B$4:$B232,$B232,$AF$4:$AF232,"="&amp;$AF232)))</f>
        <v>ZOMBIES|16</v>
      </c>
      <c r="AI232" s="41" t="str">
        <f>IF($C232="","",$B232&amp;"|"&amp;(COUNTIFS($B$4:$B$1463,$B232,$AG$4:$AG$1463,"&gt;"&amp;$AG232)+COUNTIFS($B$4:$B232,$B232,$AG$4:$AG232,"="&amp;$AG232)))</f>
        <v>ZOMBIES|26</v>
      </c>
    </row>
    <row r="233" spans="1:35" hidden="1">
      <c r="A233" s="69" t="s">
        <v>109</v>
      </c>
      <c r="B233" s="69" t="s">
        <v>118</v>
      </c>
      <c r="C233" s="63" t="s">
        <v>971</v>
      </c>
      <c r="D233" s="69"/>
      <c r="E233" s="68" t="s">
        <v>79</v>
      </c>
      <c r="F233" s="19" t="str">
        <f>IF($C233="","",IF($E233="","-",IFERROR(INDEX(SETUP!$B$55:$B$64,MATCH($E233,SETUP!$A$55:$A$64,0)),"Other")))</f>
        <v>Control</v>
      </c>
      <c r="G233" s="70">
        <v>58140</v>
      </c>
      <c r="H233" s="19" t="str">
        <f>IF($C233="","",IF($G233="","-",INDEX(SETUP!$B$26:$B$32,MATCH($G233,SETUP!$A$26:$A$32,1))))</f>
        <v>58,000 - 59,999</v>
      </c>
      <c r="I233" s="70">
        <v>1035</v>
      </c>
      <c r="J233" s="19" t="str">
        <f>IF($C233="","",IF($I233="","-",INDEX(SETUP!$B$16:$B$22,MATCH($I233,SETUP!$A$16:$A$22,1))))</f>
        <v>ROOKIE</v>
      </c>
      <c r="K233" s="19" t="str">
        <f>IF($C233="","",IF($I233="","-",TEXT(INT($I233/1000)*1000,"#,##0")&amp;" - "&amp;TEXT(INT($I233/1000)*1000+999,"#,##0")))</f>
        <v>1,000 - 1,999</v>
      </c>
      <c r="L233" s="71">
        <v>4</v>
      </c>
      <c r="M233" s="19" t="str">
        <f>IF($C233="","",IF($L233="","-",INDEX(SETUP!$B$36:$B$42,MATCH($L233,SETUP!$A$36:$A$42,1))))</f>
        <v>4k - 5k</v>
      </c>
      <c r="N233" s="21">
        <f>IF($C233="","",IF(OR($G233="",$I233=""),"",ROUND(100*(SETUP!$B$4*MIN(1,$I233/SETUP!$B$9)+SETUP!$B$5*MAX(0,MIN(1,($G233-SETUP!$B$10)/(SETUP!$B$11-SETUP!$B$10)))+SETUP!$B$6*MIN(1,IF($L233="",0,$L233)/SETUP!$B$12)),1)))</f>
        <v>19.399999999999999</v>
      </c>
      <c r="O233" s="19" t="str">
        <f>IF($C233="","",IF($N233="","-",INDEX(SETUP!$B$46:$B$51,MATCH($N233,SETUP!$A$46:$A$51,1))))</f>
        <v>D</v>
      </c>
      <c r="P233" s="19">
        <f>IF($C233="","",IF($I233="","",RANK($I233,$I$4:$I$1463)+COUNTIF($I$4:$I233,$I233)-1))</f>
        <v>1267</v>
      </c>
      <c r="Q233" s="19">
        <f>IF($C233="","",COUNTIFS($B$4:$B$1463,$B233,$X$4:$X$1463,"&gt;"&amp;$X233)+COUNTIFS($B$4:$B233,$B233,$X$4:$X233,"="&amp;$X233))</f>
        <v>82</v>
      </c>
      <c r="R233" s="75">
        <f>IF($C233="","",IF($I233="","",ROUND(COUNTIF($I$4:$I$1463,"&lt;"&amp;$I233)/COUNT($I$4:$I$1463),3)))</f>
        <v>4.3999999999999997E-2</v>
      </c>
      <c r="S233" s="19" t="str">
        <f>IF($C233="","",IF($G233="","Name only",IF(OR($I233="",$L233=""),"Partial","Complete")))</f>
        <v>Complete</v>
      </c>
      <c r="T233" s="1" t="str">
        <f>IF($C233="","",TRIM(IF(COUNTIF($C$4:$C$1463,$C233)&gt;1,"Dup name; ","")&amp;IF(AND($G233&lt;&gt;"",$G233&lt;55000),"Low CR - verify; ","")&amp;IF(AND($L233&lt;&gt;"",$L233&gt;15),"Secondary - verify; ","")&amp;IF($E233="","No class; ","")))</f>
        <v/>
      </c>
      <c r="U233" s="68"/>
      <c r="V233" s="68"/>
      <c r="W233" s="68"/>
      <c r="X233" s="76">
        <f t="shared" si="17"/>
        <v>1035</v>
      </c>
      <c r="Y233" s="1" t="str">
        <f t="shared" si="18"/>
        <v>ZOMBIES|82</v>
      </c>
      <c r="Z233" s="19">
        <f>IF($C233="","",IF($G233="","",RANK($G233,$G$4:$G$1463)+COUNTIF($G$4:$G233,$G233)-1))</f>
        <v>1298</v>
      </c>
      <c r="AA233" s="19">
        <f>IF($C233="","",IF($N233="","",RANK($N233,$N$4:$N$1463)+COUNTIF($N$4:$N233,$N233)-1))</f>
        <v>1294</v>
      </c>
      <c r="AB233" s="1" t="str">
        <f>IF($C233="","",IF($E233="","",$E233&amp;"#"&amp;(COUNTIFS($E$4:$E$1463,$E233,$X$4:$X$1463,"&gt;"&amp;$X233)+COUNTIFS($E$4:$E233,$E233,$X$4:$X233,"="&amp;$X233))))</f>
        <v>WARLOCK#313</v>
      </c>
      <c r="AC233" s="1" t="str">
        <f>IF($C233="","",$B233&amp;"@"&amp;(COUNTIFS($B$4:$B$1463,$B233,$C$4:$C$1463,"&lt;"&amp;$C233)+COUNTIFS($B$4:$B233,$B233,$C$4:$C233,$C233)))</f>
        <v>ZOMBIES@22</v>
      </c>
      <c r="AD233" s="1">
        <f t="shared" si="19"/>
        <v>230</v>
      </c>
      <c r="AE233" s="1" t="s">
        <v>851</v>
      </c>
      <c r="AF233" s="76">
        <f t="shared" si="20"/>
        <v>58140</v>
      </c>
      <c r="AG233" s="77">
        <f t="shared" si="21"/>
        <v>4</v>
      </c>
      <c r="AH233" s="1" t="str">
        <f>IF($C233="","",$B233&amp;"|"&amp;(COUNTIFS($B$4:$B$1463,$B233,$AF$4:$AF$1463,"&gt;"&amp;$AF233)+COUNTIFS($B$4:$B233,$B233,$AF$4:$AF233,"="&amp;$AF233)))</f>
        <v>ZOMBIES|92</v>
      </c>
      <c r="AI233" s="1" t="str">
        <f>IF($C233="","",$B233&amp;"|"&amp;(COUNTIFS($B$4:$B$1463,$B233,$AG$4:$AG$1463,"&gt;"&amp;$AG233)+COUNTIFS($B$4:$B233,$B233,$AG$4:$AG233,"="&amp;$AG233)))</f>
        <v>ZOMBIES|27</v>
      </c>
    </row>
    <row r="234" spans="1:35" hidden="1">
      <c r="A234" s="69" t="s">
        <v>109</v>
      </c>
      <c r="B234" s="69" t="s">
        <v>116</v>
      </c>
      <c r="C234" s="63" t="s">
        <v>972</v>
      </c>
      <c r="D234" s="69" t="s">
        <v>530</v>
      </c>
      <c r="E234" s="68" t="s">
        <v>76</v>
      </c>
      <c r="F234" s="15" t="str">
        <f>IF($C234="","",IF($E234="","-",IFERROR(INDEX(SETUP!$B$55:$B$64,MATCH($E234,SETUP!$A$55:$A$64,0)),"Other")))</f>
        <v>Support</v>
      </c>
      <c r="G234" s="70">
        <v>63257</v>
      </c>
      <c r="H234" s="15" t="str">
        <f>IF($C234="","",IF($G234="","-",INDEX(SETUP!$B$26:$B$32,MATCH($G234,SETUP!$A$26:$A$32,1))))</f>
        <v>63,000 - 63,999</v>
      </c>
      <c r="I234" s="70">
        <v>4517</v>
      </c>
      <c r="J234" s="15" t="str">
        <f>IF($C234="","",IF($I234="","-",INDEX(SETUP!$B$16:$B$22,MATCH($I234,SETUP!$A$16:$A$22,1))))</f>
        <v>CORE</v>
      </c>
      <c r="K234" s="15" t="str">
        <f>IF($C234="","",IF($I234="","-",TEXT(INT($I234/1000)*1000,"#,##0")&amp;" - "&amp;TEXT(INT($I234/1000)*1000+999,"#,##0")))</f>
        <v>4,000 - 4,999</v>
      </c>
      <c r="L234" s="71">
        <v>4.5999999999999996</v>
      </c>
      <c r="M234" s="15" t="str">
        <f>IF($C234="","",IF($L234="","-",INDEX(SETUP!$B$36:$B$42,MATCH($L234,SETUP!$A$36:$A$42,1))))</f>
        <v>4k - 5k</v>
      </c>
      <c r="N234" s="17">
        <f>IF($C234="","",IF(OR($G234="",$I234=""),"",ROUND(100*(SETUP!$B$4*MIN(1,$I234/SETUP!$B$9)+SETUP!$B$5*MAX(0,MIN(1,($G234-SETUP!$B$10)/(SETUP!$B$11-SETUP!$B$10)))+SETUP!$B$6*MIN(1,IF($L234="",0,$L234)/SETUP!$B$12)),1)))</f>
        <v>49.1</v>
      </c>
      <c r="O234" s="15" t="str">
        <f>IF($C234="","",IF($N234="","-",INDEX(SETUP!$B$46:$B$51,MATCH($N234,SETUP!$A$46:$A$51,1))))</f>
        <v>B</v>
      </c>
      <c r="P234" s="15">
        <f>IF($C234="","",IF($I234="","",RANK($I234,$I$4:$I$1463)+COUNTIF($I$4:$I234,$I234)-1))</f>
        <v>493</v>
      </c>
      <c r="Q234" s="15">
        <f>IF($C234="","",COUNTIFS($B$4:$B$1463,$B234,$X$4:$X$1463,"&gt;"&amp;$X234)+COUNTIFS($B$4:$B234,$B234,$X$4:$X234,"="&amp;$X234))</f>
        <v>23</v>
      </c>
      <c r="R234" s="72">
        <f>IF($C234="","",IF($I234="","",ROUND(COUNTIF($I$4:$I$1463,"&lt;"&amp;$I234)/COUNT($I$4:$I$1463),3)))</f>
        <v>0.628</v>
      </c>
      <c r="S234" s="15" t="str">
        <f>IF($C234="","",IF($G234="","Name only",IF(OR($I234="",$L234=""),"Partial","Complete")))</f>
        <v>Complete</v>
      </c>
      <c r="T234" s="41" t="str">
        <f>IF($C234="","",TRIM(IF(COUNTIF($C$4:$C$1463,$C234)&gt;1,"Dup name; ","")&amp;IF(AND($G234&lt;&gt;"",$G234&lt;55000),"Low CR - verify; ","")&amp;IF(AND($L234&lt;&gt;"",$L234&gt;15),"Secondary - verify; ","")&amp;IF($E234="","No class; ","")))</f>
        <v/>
      </c>
      <c r="U234" s="68"/>
      <c r="V234" s="68"/>
      <c r="W234" s="68"/>
      <c r="X234" s="73">
        <f t="shared" si="17"/>
        <v>4517</v>
      </c>
      <c r="Y234" s="41" t="str">
        <f t="shared" si="18"/>
        <v>VENGEANCE|23</v>
      </c>
      <c r="Z234" s="15">
        <f>IF($C234="","",IF($G234="","",RANK($G234,$G$4:$G$1463)+COUNTIF($G$4:$G234,$G234)-1))</f>
        <v>284</v>
      </c>
      <c r="AA234" s="15">
        <f>IF($C234="","",IF($N234="","",RANK($N234,$N$4:$N$1463)+COUNTIF($N$4:$N234,$N234)-1))</f>
        <v>479</v>
      </c>
      <c r="AB234" s="41" t="str">
        <f>IF($C234="","",IF($E234="","",$E234&amp;"#"&amp;(COUNTIFS($E$4:$E$1463,$E234,$X$4:$X$1463,"&gt;"&amp;$X234)+COUNTIFS($E$4:$E234,$E234,$X$4:$X234,"="&amp;$X234))))</f>
        <v>MONK#19</v>
      </c>
      <c r="AC234" s="41" t="str">
        <f>IF($C234="","",$B234&amp;"@"&amp;(COUNTIFS($B$4:$B$1463,$B234,$C$4:$C$1463,"&lt;"&amp;$C234)+COUNTIFS($B$4:$B234,$B234,$C$4:$C234,$C234)))</f>
        <v>VENGEANCE@16</v>
      </c>
      <c r="AD234" s="41">
        <f t="shared" si="19"/>
        <v>231</v>
      </c>
      <c r="AE234" s="41" t="s">
        <v>553</v>
      </c>
      <c r="AF234" s="73">
        <f t="shared" si="20"/>
        <v>63257</v>
      </c>
      <c r="AG234" s="74">
        <f t="shared" si="21"/>
        <v>4.5999999999999996</v>
      </c>
      <c r="AH234" s="41" t="str">
        <f>IF($C234="","",$B234&amp;"|"&amp;(COUNTIFS($B$4:$B$1463,$B234,$AF$4:$AF$1463,"&gt;"&amp;$AF234)+COUNTIFS($B$4:$B234,$B234,$AF$4:$AF234,"="&amp;$AF234)))</f>
        <v>VENGEANCE|7</v>
      </c>
      <c r="AI234" s="41" t="str">
        <f>IF($C234="","",$B234&amp;"|"&amp;(COUNTIFS($B$4:$B$1463,$B234,$AG$4:$AG$1463,"&gt;"&amp;$AG234)+COUNTIFS($B$4:$B234,$B234,$AG$4:$AG234,"="&amp;$AG234)))</f>
        <v>VENGEANCE|49</v>
      </c>
    </row>
    <row r="235" spans="1:35" hidden="1">
      <c r="A235" s="69" t="s">
        <v>109</v>
      </c>
      <c r="B235" s="69" t="s">
        <v>116</v>
      </c>
      <c r="C235" s="63" t="s">
        <v>973</v>
      </c>
      <c r="D235" s="69" t="s">
        <v>530</v>
      </c>
      <c r="E235" s="68" t="s">
        <v>80</v>
      </c>
      <c r="F235" s="19" t="str">
        <f>IF($C235="","",IF($E235="","-",IFERROR(INDEX(SETUP!$B$55:$B$64,MATCH($E235,SETUP!$A$55:$A$64,0)),"Other")))</f>
        <v>Ranged DPS</v>
      </c>
      <c r="G235" s="70">
        <v>62028</v>
      </c>
      <c r="H235" s="19" t="str">
        <f>IF($C235="","",IF($G235="","-",INDEX(SETUP!$B$26:$B$32,MATCH($G235,SETUP!$A$26:$A$32,1))))</f>
        <v>62,000 - 62,999</v>
      </c>
      <c r="I235" s="70">
        <v>3524</v>
      </c>
      <c r="J235" s="19" t="str">
        <f>IF($C235="","",IF($I235="","-",INDEX(SETUP!$B$16:$B$22,MATCH($I235,SETUP!$A$16:$A$22,1))))</f>
        <v>DEVELOPING</v>
      </c>
      <c r="K235" s="19" t="str">
        <f>IF($C235="","",IF($I235="","-",TEXT(INT($I235/1000)*1000,"#,##0")&amp;" - "&amp;TEXT(INT($I235/1000)*1000+999,"#,##0")))</f>
        <v>3,000 - 3,999</v>
      </c>
      <c r="L235" s="71">
        <v>3.65</v>
      </c>
      <c r="M235" s="19" t="str">
        <f>IF($C235="","",IF($L235="","-",INDEX(SETUP!$B$36:$B$42,MATCH($L235,SETUP!$A$36:$A$42,1))))</f>
        <v>3k - 4k</v>
      </c>
      <c r="N235" s="21">
        <f>IF($C235="","",IF(OR($G235="",$I235=""),"",ROUND(100*(SETUP!$B$4*MIN(1,$I235/SETUP!$B$9)+SETUP!$B$5*MAX(0,MIN(1,($G235-SETUP!$B$10)/(SETUP!$B$11-SETUP!$B$10)))+SETUP!$B$6*MIN(1,IF($L235="",0,$L235)/SETUP!$B$12)),1)))</f>
        <v>40</v>
      </c>
      <c r="O235" s="19" t="str">
        <f>IF($C235="","",IF($N235="","-",INDEX(SETUP!$B$46:$B$51,MATCH($N235,SETUP!$A$46:$A$51,1))))</f>
        <v>B</v>
      </c>
      <c r="P235" s="19">
        <f>IF($C235="","",IF($I235="","",RANK($I235,$I$4:$I$1463)+COUNTIF($I$4:$I235,$I235)-1))</f>
        <v>723</v>
      </c>
      <c r="Q235" s="19">
        <f>IF($C235="","",COUNTIFS($B$4:$B$1463,$B235,$X$4:$X$1463,"&gt;"&amp;$X235)+COUNTIFS($B$4:$B235,$B235,$X$4:$X235,"="&amp;$X235))</f>
        <v>43</v>
      </c>
      <c r="R235" s="75">
        <f>IF($C235="","",IF($I235="","",ROUND(COUNTIF($I$4:$I$1463,"&lt;"&amp;$I235)/COUNT($I$4:$I$1463),3)))</f>
        <v>0.45400000000000001</v>
      </c>
      <c r="S235" s="19" t="str">
        <f>IF($C235="","",IF($G235="","Name only",IF(OR($I235="",$L235=""),"Partial","Complete")))</f>
        <v>Complete</v>
      </c>
      <c r="T235" s="1" t="str">
        <f>IF($C235="","",TRIM(IF(COUNTIF($C$4:$C$1463,$C235)&gt;1,"Dup name; ","")&amp;IF(AND($G235&lt;&gt;"",$G235&lt;55000),"Low CR - verify; ","")&amp;IF(AND($L235&lt;&gt;"",$L235&gt;15),"Secondary - verify; ","")&amp;IF($E235="","No class; ","")))</f>
        <v/>
      </c>
      <c r="U235" s="68"/>
      <c r="V235" s="68"/>
      <c r="W235" s="68"/>
      <c r="X235" s="76">
        <f t="shared" si="17"/>
        <v>3524</v>
      </c>
      <c r="Y235" s="1" t="str">
        <f t="shared" si="18"/>
        <v>VENGEANCE|43</v>
      </c>
      <c r="Z235" s="19">
        <f>IF($C235="","",IF($G235="","",RANK($G235,$G$4:$G$1463)+COUNTIF($G$4:$G235,$G235)-1))</f>
        <v>827</v>
      </c>
      <c r="AA235" s="19">
        <f>IF($C235="","",IF($N235="","",RANK($N235,$N$4:$N$1463)+COUNTIF($N$4:$N235,$N235)-1))</f>
        <v>817</v>
      </c>
      <c r="AB235" s="1" t="str">
        <f>IF($C235="","",IF($E235="","",$E235&amp;"#"&amp;(COUNTIFS($E$4:$E$1463,$E235,$X$4:$X$1463,"&gt;"&amp;$X235)+COUNTIFS($E$4:$E235,$E235,$X$4:$X235,"="&amp;$X235))))</f>
        <v>WIZARD#54</v>
      </c>
      <c r="AC235" s="1" t="str">
        <f>IF($C235="","",$B235&amp;"@"&amp;(COUNTIFS($B$4:$B$1463,$B235,$C$4:$C$1463,"&lt;"&amp;$C235)+COUNTIFS($B$4:$B235,$B235,$C$4:$C235,$C235)))</f>
        <v>VENGEANCE@17</v>
      </c>
      <c r="AD235" s="1">
        <f t="shared" si="19"/>
        <v>232</v>
      </c>
      <c r="AE235" s="1" t="s">
        <v>868</v>
      </c>
      <c r="AF235" s="76">
        <f t="shared" si="20"/>
        <v>62028</v>
      </c>
      <c r="AG235" s="77">
        <f t="shared" si="21"/>
        <v>3.65</v>
      </c>
      <c r="AH235" s="1" t="str">
        <f>IF($C235="","",$B235&amp;"|"&amp;(COUNTIFS($B$4:$B$1463,$B235,$AF$4:$AF$1463,"&gt;"&amp;$AF235)+COUNTIFS($B$4:$B235,$B235,$AF$4:$AF235,"="&amp;$AF235)))</f>
        <v>VENGEANCE|48</v>
      </c>
      <c r="AI235" s="1" t="str">
        <f>IF($C235="","",$B235&amp;"|"&amp;(COUNTIFS($B$4:$B$1463,$B235,$AG$4:$AG$1463,"&gt;"&amp;$AG235)+COUNTIFS($B$4:$B235,$B235,$AG$4:$AG235,"="&amp;$AG235)))</f>
        <v>VENGEANCE|75</v>
      </c>
    </row>
    <row r="236" spans="1:35">
      <c r="A236" s="69" t="s">
        <v>104</v>
      </c>
      <c r="B236" s="69" t="s">
        <v>66</v>
      </c>
      <c r="C236" s="63" t="s">
        <v>963</v>
      </c>
      <c r="D236" s="69"/>
      <c r="E236" s="68" t="s">
        <v>79</v>
      </c>
      <c r="F236" s="19" t="str">
        <f>IF($C236="","",IF($E236="","-",IFERROR(INDEX(SETUP!$B$55:$B$64,MATCH($E236,SETUP!$A$55:$A$64,0)),"Other")))</f>
        <v>Control</v>
      </c>
      <c r="G236" s="70">
        <v>62347</v>
      </c>
      <c r="H236" s="19" t="str">
        <f>IF($C236="","",IF($G236="","-",INDEX(SETUP!$B$26:$B$32,MATCH($G236,SETUP!$A$26:$A$32,1))))</f>
        <v>62,000 - 62,999</v>
      </c>
      <c r="I236" s="70">
        <v>5240</v>
      </c>
      <c r="J236" s="19" t="str">
        <f>IF($C236="","",IF($I236="","-",INDEX(SETUP!$B$16:$B$22,MATCH($I236,SETUP!$A$16:$A$22,1))))</f>
        <v>CORE</v>
      </c>
      <c r="K236" s="19" t="str">
        <f>IF($C236="","",IF($I236="","-",TEXT(INT($I236/1000)*1000,"#,##0")&amp;" - "&amp;TEXT(INT($I236/1000)*1000+999,"#,##0")))</f>
        <v>5,000 - 5,999</v>
      </c>
      <c r="L236" s="71">
        <v>4.9800000000000004</v>
      </c>
      <c r="M236" s="19" t="str">
        <f>IF($C236="","",IF($L236="","-",INDEX(SETUP!$B$36:$B$42,MATCH($L236,SETUP!$A$36:$A$42,1))))</f>
        <v>4k - 5k</v>
      </c>
      <c r="N236" s="21">
        <f>IF($C236="","",IF(OR($G236="",$I236=""),"",ROUND(100*(SETUP!$B$4*MIN(1,$I236/SETUP!$B$9)+SETUP!$B$5*MAX(0,MIN(1,($G236-SETUP!$B$10)/(SETUP!$B$11-SETUP!$B$10)))+SETUP!$B$6*MIN(1,IF($L236="",0,$L236)/SETUP!$B$12)),1)))</f>
        <v>50.5</v>
      </c>
      <c r="O236" s="19" t="str">
        <f>IF($C236="","",IF($N236="","-",INDEX(SETUP!$B$46:$B$51,MATCH($N236,SETUP!$A$46:$A$51,1))))</f>
        <v>A</v>
      </c>
      <c r="P236" s="19">
        <f>IF($C236="","",IF($I236="","",RANK($I236,$I$4:$I$1463)+COUNTIF($I$4:$I236,$I236)-1))</f>
        <v>373</v>
      </c>
      <c r="Q236" s="19">
        <f>IF($C236="","",COUNTIFS($B$4:$B$1463,$B236,$X$4:$X$1463,"&gt;"&amp;$X236)+COUNTIFS($B$4:$B236,$B236,$X$4:$X236,"="&amp;$X236))</f>
        <v>37</v>
      </c>
      <c r="R236" s="75">
        <f>IF($C236="","",IF($I236="","",ROUND(COUNTIF($I$4:$I$1463,"&lt;"&amp;$I236)/COUNT($I$4:$I$1463),3)))</f>
        <v>0.71799999999999997</v>
      </c>
      <c r="S236" s="19" t="str">
        <f>IF($C236="","",IF($G236="","Name only",IF(OR($I236="",$L236=""),"Partial","Complete")))</f>
        <v>Complete</v>
      </c>
      <c r="T236" s="1" t="str">
        <f>IF($C236="","",TRIM(IF(COUNTIF($C$4:$C$1463,$C236)&gt;1,"Dup name; ","")&amp;IF(AND($G236&lt;&gt;"",$G236&lt;55000),"Low CR - verify; ","")&amp;IF(AND($L236&lt;&gt;"",$L236&gt;15),"Secondary - verify; ","")&amp;IF($E236="","No class; ","")))</f>
        <v/>
      </c>
      <c r="U236" s="68" t="s">
        <v>263</v>
      </c>
      <c r="V236" s="68" t="s">
        <v>66</v>
      </c>
      <c r="W236" s="68" t="s">
        <v>285</v>
      </c>
      <c r="X236" s="73">
        <f t="shared" si="17"/>
        <v>5240</v>
      </c>
      <c r="Y236" s="41" t="str">
        <f t="shared" si="18"/>
        <v>FUCT|37</v>
      </c>
      <c r="Z236" s="15">
        <f>IF($C236="","",IF($G236="","",RANK($G236,$G$4:$G$1463)+COUNTIF($G$4:$G236,$G236)-1))</f>
        <v>711</v>
      </c>
      <c r="AA236" s="15">
        <f>IF($C236="","",IF($N236="","",RANK($N236,$N$4:$N$1463)+COUNTIF($N$4:$N236,$N236)-1))</f>
        <v>444</v>
      </c>
      <c r="AB236" s="41" t="str">
        <f>IF($C236="","",IF($E236="","",$E236&amp;"#"&amp;(COUNTIFS($E$4:$E$1463,$E236,$X$4:$X$1463,"&gt;"&amp;$X236)+COUNTIFS($E$4:$E236,$E236,$X$4:$X236,"="&amp;$X236))))</f>
        <v>WARLOCK#87</v>
      </c>
      <c r="AC236" s="41" t="str">
        <f>IF($C236="","",$B236&amp;"@"&amp;(COUNTIFS($B$4:$B$1463,$B236,$C$4:$C$1463,"&lt;"&amp;$C236)+COUNTIFS($B$4:$B236,$B236,$C$4:$C236,$C236)))</f>
        <v>FUCT@13</v>
      </c>
      <c r="AD236" s="41">
        <f t="shared" si="19"/>
        <v>233</v>
      </c>
      <c r="AE236" s="41" t="s">
        <v>975</v>
      </c>
      <c r="AF236" s="73">
        <f t="shared" si="20"/>
        <v>62347</v>
      </c>
      <c r="AG236" s="74">
        <f t="shared" si="21"/>
        <v>4.9800000000000004</v>
      </c>
      <c r="AH236" s="41" t="str">
        <f>IF($C236="","",$B236&amp;"|"&amp;(COUNTIFS($B$4:$B$1463,$B236,$AF$4:$AF$1463,"&gt;"&amp;$AF236)+COUNTIFS($B$4:$B236,$B236,$AF$4:$AF236,"="&amp;$AF236)))</f>
        <v>FUCT|72</v>
      </c>
      <c r="AI236" s="41" t="str">
        <f>IF($C236="","",$B236&amp;"|"&amp;(COUNTIFS($B$4:$B$1463,$B236,$AG$4:$AG$1463,"&gt;"&amp;$AG236)+COUNTIFS($B$4:$B236,$B236,$AG$4:$AG236,"="&amp;$AG236)))</f>
        <v>FUCT|48</v>
      </c>
    </row>
    <row r="237" spans="1:35" hidden="1">
      <c r="A237" s="69" t="s">
        <v>109</v>
      </c>
      <c r="B237" s="69" t="s">
        <v>108</v>
      </c>
      <c r="C237" s="63" t="s">
        <v>976</v>
      </c>
      <c r="D237" s="69"/>
      <c r="E237" s="68" t="s">
        <v>76</v>
      </c>
      <c r="F237" s="19" t="str">
        <f>IF($C237="","",IF($E237="","-",IFERROR(INDEX(SETUP!$B$55:$B$64,MATCH($E237,SETUP!$A$55:$A$64,0)),"Other")))</f>
        <v>Support</v>
      </c>
      <c r="G237" s="70">
        <v>63988</v>
      </c>
      <c r="H237" s="19" t="str">
        <f>IF($C237="","",IF($G237="","-",INDEX(SETUP!$B$26:$B$32,MATCH($G237,SETUP!$A$26:$A$32,1))))</f>
        <v>63,000 - 63,999</v>
      </c>
      <c r="I237" s="70">
        <v>10170</v>
      </c>
      <c r="J237" s="19" t="str">
        <f>IF($C237="","",IF($I237="","-",INDEX(SETUP!$B$16:$B$22,MATCH($I237,SETUP!$A$16:$A$22,1))))</f>
        <v>APEX</v>
      </c>
      <c r="K237" s="19" t="str">
        <f>IF($C237="","",IF($I237="","-",TEXT(INT($I237/1000)*1000,"#,##0")&amp;" - "&amp;TEXT(INT($I237/1000)*1000+999,"#,##0")))</f>
        <v>10,000 - 10,999</v>
      </c>
      <c r="L237" s="71">
        <v>7.35</v>
      </c>
      <c r="M237" s="19" t="str">
        <f>IF($C237="","",IF($L237="","-",INDEX(SETUP!$B$36:$B$42,MATCH($L237,SETUP!$A$36:$A$42,1))))</f>
        <v>6k - 8k</v>
      </c>
      <c r="N237" s="21">
        <f>IF($C237="","",IF(OR($G237="",$I237=""),"",ROUND(100*(SETUP!$B$4*MIN(1,$I237/SETUP!$B$9)+SETUP!$B$5*MAX(0,MIN(1,($G237-SETUP!$B$10)/(SETUP!$B$11-SETUP!$B$10)))+SETUP!$B$6*MIN(1,IF($L237="",0,$L237)/SETUP!$B$12)),1)))</f>
        <v>80.3</v>
      </c>
      <c r="O237" s="19" t="str">
        <f>IF($C237="","",IF($N237="","-",INDEX(SETUP!$B$46:$B$51,MATCH($N237,SETUP!$A$46:$A$51,1))))</f>
        <v>S+</v>
      </c>
      <c r="P237" s="19">
        <f>IF($C237="","",IF($I237="","",RANK($I237,$I$4:$I$1463)+COUNTIF($I$4:$I237,$I237)-1))</f>
        <v>43</v>
      </c>
      <c r="Q237" s="19">
        <f>IF($C237="","",COUNTIFS($B$4:$B$1463,$B237,$X$4:$X$1463,"&gt;"&amp;$X237)+COUNTIFS($B$4:$B237,$B237,$X$4:$X237,"="&amp;$X237))</f>
        <v>8</v>
      </c>
      <c r="R237" s="75">
        <f>IF($C237="","",IF($I237="","",ROUND(COUNTIF($I$4:$I$1463,"&lt;"&amp;$I237)/COUNT($I$4:$I$1463),3)))</f>
        <v>0.96799999999999997</v>
      </c>
      <c r="S237" s="19" t="str">
        <f>IF($C237="","",IF($G237="","Name only",IF(OR($I237="",$L237=""),"Partial","Complete")))</f>
        <v>Complete</v>
      </c>
      <c r="T237" s="1" t="str">
        <f>IF($C237="","",TRIM(IF(COUNTIF($C$4:$C$1463,$C237)&gt;1,"Dup name; ","")&amp;IF(AND($G237&lt;&gt;"",$G237&lt;55000),"Low CR - verify; ","")&amp;IF(AND($L237&lt;&gt;"",$L237&gt;15),"Secondary - verify; ","")&amp;IF($E237="","No class; ","")))</f>
        <v/>
      </c>
      <c r="U237" s="68"/>
      <c r="V237" s="68"/>
      <c r="W237" s="68"/>
      <c r="X237" s="76">
        <f t="shared" si="17"/>
        <v>10170</v>
      </c>
      <c r="Y237" s="1" t="str">
        <f t="shared" si="18"/>
        <v>SBG|8</v>
      </c>
      <c r="Z237" s="19">
        <f>IF($C237="","",IF($G237="","",RANK($G237,$G$4:$G$1463)+COUNTIF($G$4:$G237,$G237)-1))</f>
        <v>75</v>
      </c>
      <c r="AA237" s="19">
        <f>IF($C237="","",IF($N237="","",RANK($N237,$N$4:$N$1463)+COUNTIF($N$4:$N237,$N237)-1))</f>
        <v>50</v>
      </c>
      <c r="AB237" s="1" t="str">
        <f>IF($C237="","",IF($E237="","",$E237&amp;"#"&amp;(COUNTIFS($E$4:$E$1463,$E237,$X$4:$X$1463,"&gt;"&amp;$X237)+COUNTIFS($E$4:$E237,$E237,$X$4:$X237,"="&amp;$X237))))</f>
        <v>MONK#2</v>
      </c>
      <c r="AC237" s="1" t="str">
        <f>IF($C237="","",$B237&amp;"@"&amp;(COUNTIFS($B$4:$B$1463,$B237,$C$4:$C$1463,"&lt;"&amp;$C237)+COUNTIFS($B$4:$B237,$B237,$C$4:$C237,$C237)))</f>
        <v>SBG@10</v>
      </c>
      <c r="AD237" s="1">
        <f t="shared" si="19"/>
        <v>234</v>
      </c>
      <c r="AE237" s="1" t="s">
        <v>977</v>
      </c>
      <c r="AF237" s="76">
        <f t="shared" si="20"/>
        <v>63988</v>
      </c>
      <c r="AG237" s="77">
        <f t="shared" si="21"/>
        <v>7.35</v>
      </c>
      <c r="AH237" s="1" t="str">
        <f>IF($C237="","",$B237&amp;"|"&amp;(COUNTIFS($B$4:$B$1463,$B237,$AF$4:$AF$1463,"&gt;"&amp;$AF237)+COUNTIFS($B$4:$B237,$B237,$AF$4:$AF237,"="&amp;$AF237)))</f>
        <v>SBG|14</v>
      </c>
      <c r="AI237" s="1" t="str">
        <f>IF($C237="","",$B237&amp;"|"&amp;(COUNTIFS($B$4:$B$1463,$B237,$AG$4:$AG$1463,"&gt;"&amp;$AG237)+COUNTIFS($B$4:$B237,$B237,$AG$4:$AG237,"="&amp;$AG237)))</f>
        <v>SBG|22</v>
      </c>
    </row>
    <row r="238" spans="1:35" hidden="1">
      <c r="A238" s="69" t="s">
        <v>106</v>
      </c>
      <c r="B238" s="69" t="s">
        <v>105</v>
      </c>
      <c r="C238" s="63" t="s">
        <v>978</v>
      </c>
      <c r="D238" s="69"/>
      <c r="E238" s="68" t="s">
        <v>74</v>
      </c>
      <c r="F238" s="15" t="str">
        <f>IF($C238="","",IF($E238="","-",IFERROR(INDEX(SETUP!$B$55:$B$64,MATCH($E238,SETUP!$A$55:$A$64,0)),"Other")))</f>
        <v>Ranged DPS</v>
      </c>
      <c r="G238" s="70">
        <v>62880</v>
      </c>
      <c r="H238" s="15" t="str">
        <f>IF($C238="","",IF($G238="","-",INDEX(SETUP!$B$26:$B$32,MATCH($G238,SETUP!$A$26:$A$32,1))))</f>
        <v>62,000 - 62,999</v>
      </c>
      <c r="I238" s="70">
        <v>3568</v>
      </c>
      <c r="J238" s="15" t="str">
        <f>IF($C238="","",IF($I238="","-",INDEX(SETUP!$B$16:$B$22,MATCH($I238,SETUP!$A$16:$A$22,1))))</f>
        <v>DEVELOPING</v>
      </c>
      <c r="K238" s="15" t="str">
        <f>IF($C238="","",IF($I238="","-",TEXT(INT($I238/1000)*1000,"#,##0")&amp;" - "&amp;TEXT(INT($I238/1000)*1000+999,"#,##0")))</f>
        <v>3,000 - 3,999</v>
      </c>
      <c r="L238" s="71">
        <v>4.33</v>
      </c>
      <c r="M238" s="15" t="str">
        <f>IF($C238="","",IF($L238="","-",INDEX(SETUP!$B$36:$B$42,MATCH($L238,SETUP!$A$36:$A$42,1))))</f>
        <v>4k - 5k</v>
      </c>
      <c r="N238" s="17">
        <f>IF($C238="","",IF(OR($G238="",$I238=""),"",ROUND(100*(SETUP!$B$4*MIN(1,$I238/SETUP!$B$9)+SETUP!$B$5*MAX(0,MIN(1,($G238-SETUP!$B$10)/(SETUP!$B$11-SETUP!$B$10)))+SETUP!$B$6*MIN(1,IF($L238="",0,$L238)/SETUP!$B$12)),1)))</f>
        <v>43.5</v>
      </c>
      <c r="O238" s="15" t="str">
        <f>IF($C238="","",IF($N238="","-",INDEX(SETUP!$B$46:$B$51,MATCH($N238,SETUP!$A$46:$A$51,1))))</f>
        <v>B</v>
      </c>
      <c r="P238" s="15">
        <f>IF($C238="","",IF($I238="","",RANK($I238,$I$4:$I$1463)+COUNTIF($I$4:$I238,$I238)-1))</f>
        <v>708</v>
      </c>
      <c r="Q238" s="15">
        <f>IF($C238="","",COUNTIFS($B$4:$B$1463,$B238,$X$4:$X$1463,"&gt;"&amp;$X238)+COUNTIFS($B$4:$B238,$B238,$X$4:$X238,"="&amp;$X238))</f>
        <v>83</v>
      </c>
      <c r="R238" s="72">
        <f>IF($C238="","",IF($I238="","",ROUND(COUNTIF($I$4:$I$1463,"&lt;"&amp;$I238)/COUNT($I$4:$I$1463),3)))</f>
        <v>0.46600000000000003</v>
      </c>
      <c r="S238" s="15" t="str">
        <f>IF($C238="","",IF($G238="","Name only",IF(OR($I238="",$L238=""),"Partial","Complete")))</f>
        <v>Complete</v>
      </c>
      <c r="T238" s="41" t="str">
        <f>IF($C238="","",TRIM(IF(COUNTIF($C$4:$C$1463,$C238)&gt;1,"Dup name; ","")&amp;IF(AND($G238&lt;&gt;"",$G238&lt;55000),"Low CR - verify; ","")&amp;IF(AND($L238&lt;&gt;"",$L238&gt;15),"Secondary - verify; ","")&amp;IF($E238="","No class; ","")))</f>
        <v/>
      </c>
      <c r="U238" s="68"/>
      <c r="V238" s="68"/>
      <c r="W238" s="68"/>
      <c r="X238" s="73">
        <f t="shared" si="17"/>
        <v>3568</v>
      </c>
      <c r="Y238" s="41" t="str">
        <f t="shared" si="18"/>
        <v>LEGENDS|83</v>
      </c>
      <c r="Z238" s="15">
        <f>IF($C238="","",IF($G238="","",RANK($G238,$G$4:$G$1463)+COUNTIF($G$4:$G238,$G238)-1))</f>
        <v>481</v>
      </c>
      <c r="AA238" s="15">
        <f>IF($C238="","",IF($N238="","",RANK($N238,$N$4:$N$1463)+COUNTIF($N$4:$N238,$N238)-1))</f>
        <v>686</v>
      </c>
      <c r="AB238" s="41" t="str">
        <f>IF($C238="","",IF($E238="","",$E238&amp;"#"&amp;(COUNTIFS($E$4:$E$1463,$E238,$X$4:$X$1463,"&gt;"&amp;$X238)+COUNTIFS($E$4:$E238,$E238,$X$4:$X238,"="&amp;$X238))))</f>
        <v>DEMON HUNTER#115</v>
      </c>
      <c r="AC238" s="41" t="str">
        <f>IF($C238="","",$B238&amp;"@"&amp;(COUNTIFS($B$4:$B$1463,$B238,$C$4:$C$1463,"&lt;"&amp;$C238)+COUNTIFS($B$4:$B238,$B238,$C$4:$C238,$C238)))</f>
        <v>LEGENDS@26</v>
      </c>
      <c r="AD238" s="41">
        <f t="shared" si="19"/>
        <v>235</v>
      </c>
      <c r="AE238" s="41" t="s">
        <v>979</v>
      </c>
      <c r="AF238" s="73">
        <f t="shared" si="20"/>
        <v>62880</v>
      </c>
      <c r="AG238" s="74">
        <f t="shared" si="21"/>
        <v>4.33</v>
      </c>
      <c r="AH238" s="41" t="str">
        <f>IF($C238="","",$B238&amp;"|"&amp;(COUNTIFS($B$4:$B$1463,$B238,$AF$4:$AF$1463,"&gt;"&amp;$AF238)+COUNTIFS($B$4:$B238,$B238,$AF$4:$AF238,"="&amp;$AF238)))</f>
        <v>LEGENDS|56</v>
      </c>
      <c r="AI238" s="41" t="str">
        <f>IF($C238="","",$B238&amp;"|"&amp;(COUNTIFS($B$4:$B$1463,$B238,$AG$4:$AG$1463,"&gt;"&amp;$AG238)+COUNTIFS($B$4:$B238,$B238,$AG$4:$AG238,"="&amp;$AG238)))</f>
        <v>LEGENDS|81</v>
      </c>
    </row>
    <row r="239" spans="1:35" hidden="1">
      <c r="A239" s="69" t="s">
        <v>109</v>
      </c>
      <c r="B239" s="69" t="s">
        <v>111</v>
      </c>
      <c r="C239" s="63" t="s">
        <v>980</v>
      </c>
      <c r="D239" s="69" t="s">
        <v>527</v>
      </c>
      <c r="E239" s="68" t="s">
        <v>73</v>
      </c>
      <c r="F239" s="19" t="str">
        <f>IF($C239="","",IF($E239="","-",IFERROR(INDEX(SETUP!$B$55:$B$64,MATCH($E239,SETUP!$A$55:$A$64,0)),"Other")))</f>
        <v>Frontline</v>
      </c>
      <c r="G239" s="70">
        <v>63606</v>
      </c>
      <c r="H239" s="19" t="str">
        <f>IF($C239="","",IF($G239="","-",INDEX(SETUP!$B$26:$B$32,MATCH($G239,SETUP!$A$26:$A$32,1))))</f>
        <v>63,000 - 63,999</v>
      </c>
      <c r="I239" s="70">
        <v>10392</v>
      </c>
      <c r="J239" s="19" t="str">
        <f>IF($C239="","",IF($I239="","-",INDEX(SETUP!$B$16:$B$22,MATCH($I239,SETUP!$A$16:$A$22,1))))</f>
        <v>APEX</v>
      </c>
      <c r="K239" s="19" t="str">
        <f>IF($C239="","",IF($I239="","-",TEXT(INT($I239/1000)*1000,"#,##0")&amp;" - "&amp;TEXT(INT($I239/1000)*1000+999,"#,##0")))</f>
        <v>10,000 - 10,999</v>
      </c>
      <c r="L239" s="71">
        <v>7.5</v>
      </c>
      <c r="M239" s="19" t="str">
        <f>IF($C239="","",IF($L239="","-",INDEX(SETUP!$B$36:$B$42,MATCH($L239,SETUP!$A$36:$A$42,1))))</f>
        <v>6k - 8k</v>
      </c>
      <c r="N239" s="21">
        <f>IF($C239="","",IF(OR($G239="",$I239=""),"",ROUND(100*(SETUP!$B$4*MIN(1,$I239/SETUP!$B$9)+SETUP!$B$5*MAX(0,MIN(1,($G239-SETUP!$B$10)/(SETUP!$B$11-SETUP!$B$10)))+SETUP!$B$6*MIN(1,IF($L239="",0,$L239)/SETUP!$B$12)),1)))</f>
        <v>80.5</v>
      </c>
      <c r="O239" s="19" t="str">
        <f>IF($C239="","",IF($N239="","-",INDEX(SETUP!$B$46:$B$51,MATCH($N239,SETUP!$A$46:$A$51,1))))</f>
        <v>S+</v>
      </c>
      <c r="P239" s="19">
        <f>IF($C239="","",IF($I239="","",RANK($I239,$I$4:$I$1463)+COUNTIF($I$4:$I239,$I239)-1))</f>
        <v>25</v>
      </c>
      <c r="Q239" s="19">
        <f>IF($C239="","",COUNTIFS($B$4:$B$1463,$B239,$X$4:$X$1463,"&gt;"&amp;$X239)+COUNTIFS($B$4:$B239,$B239,$X$4:$X239,"="&amp;$X239))</f>
        <v>4</v>
      </c>
      <c r="R239" s="75">
        <f>IF($C239="","",IF($I239="","",ROUND(COUNTIF($I$4:$I$1463,"&lt;"&amp;$I239)/COUNT($I$4:$I$1463),3)))</f>
        <v>0.98099999999999998</v>
      </c>
      <c r="S239" s="19" t="str">
        <f>IF($C239="","",IF($G239="","Name only",IF(OR($I239="",$L239=""),"Partial","Complete")))</f>
        <v>Complete</v>
      </c>
      <c r="T239" s="1" t="str">
        <f>IF($C239="","",TRIM(IF(COUNTIF($C$4:$C$1463,$C239)&gt;1,"Dup name; ","")&amp;IF(AND($G239&lt;&gt;"",$G239&lt;55000),"Low CR - verify; ","")&amp;IF(AND($L239&lt;&gt;"",$L239&gt;15),"Secondary - verify; ","")&amp;IF($E239="","No class; ","")))</f>
        <v/>
      </c>
      <c r="U239" s="68"/>
      <c r="V239" s="68"/>
      <c r="W239" s="68"/>
      <c r="X239" s="76">
        <f t="shared" si="17"/>
        <v>10392</v>
      </c>
      <c r="Y239" s="1" t="str">
        <f t="shared" si="18"/>
        <v>RECKONING|4</v>
      </c>
      <c r="Z239" s="19">
        <f>IF($C239="","",IF($G239="","",RANK($G239,$G$4:$G$1463)+COUNTIF($G$4:$G239,$G239)-1))</f>
        <v>168</v>
      </c>
      <c r="AA239" s="19">
        <f>IF($C239="","",IF($N239="","",RANK($N239,$N$4:$N$1463)+COUNTIF($N$4:$N239,$N239)-1))</f>
        <v>45</v>
      </c>
      <c r="AB239" s="1" t="str">
        <f>IF($C239="","",IF($E239="","",$E239&amp;"#"&amp;(COUNTIFS($E$4:$E$1463,$E239,$X$4:$X$1463,"&gt;"&amp;$X239)+COUNTIFS($E$4:$E239,$E239,$X$4:$X239,"="&amp;$X239))))</f>
        <v>CRUSADER#7</v>
      </c>
      <c r="AC239" s="1" t="str">
        <f>IF($C239="","",$B239&amp;"@"&amp;(COUNTIFS($B$4:$B$1463,$B239,$C$4:$C$1463,"&lt;"&amp;$C239)+COUNTIFS($B$4:$B239,$B239,$C$4:$C239,$C239)))</f>
        <v>RECKONING@15</v>
      </c>
      <c r="AD239" s="1">
        <f t="shared" si="19"/>
        <v>236</v>
      </c>
      <c r="AE239" s="1" t="s">
        <v>981</v>
      </c>
      <c r="AF239" s="76">
        <f t="shared" si="20"/>
        <v>63606</v>
      </c>
      <c r="AG239" s="77">
        <f t="shared" si="21"/>
        <v>7.5</v>
      </c>
      <c r="AH239" s="1" t="str">
        <f>IF($C239="","",$B239&amp;"|"&amp;(COUNTIFS($B$4:$B$1463,$B239,$AF$4:$AF$1463,"&gt;"&amp;$AF239)+COUNTIFS($B$4:$B239,$B239,$AF$4:$AF239,"="&amp;$AF239)))</f>
        <v>RECKONING|20</v>
      </c>
      <c r="AI239" s="1" t="str">
        <f>IF($C239="","",$B239&amp;"|"&amp;(COUNTIFS($B$4:$B$1463,$B239,$AG$4:$AG$1463,"&gt;"&amp;$AG239)+COUNTIFS($B$4:$B239,$B239,$AG$4:$AG239,"="&amp;$AG239)))</f>
        <v>RECKONING|18</v>
      </c>
    </row>
    <row r="240" spans="1:35">
      <c r="A240" s="69" t="s">
        <v>104</v>
      </c>
      <c r="B240" s="69" t="s">
        <v>66</v>
      </c>
      <c r="C240" s="63" t="s">
        <v>974</v>
      </c>
      <c r="D240" s="69"/>
      <c r="E240" s="68" t="s">
        <v>71</v>
      </c>
      <c r="F240" s="15" t="str">
        <f>IF($C240="","",IF($E240="","-",IFERROR(INDEX(SETUP!$B$55:$B$64,MATCH($E240,SETUP!$A$55:$A$64,0)),"Other")))</f>
        <v>Frontline</v>
      </c>
      <c r="G240" s="70">
        <v>62746</v>
      </c>
      <c r="H240" s="15" t="str">
        <f>IF($C240="","",IF($G240="","-",INDEX(SETUP!$B$26:$B$32,MATCH($G240,SETUP!$A$26:$A$32,1))))</f>
        <v>62,000 - 62,999</v>
      </c>
      <c r="I240" s="70">
        <v>5971</v>
      </c>
      <c r="J240" s="15" t="str">
        <f>IF($C240="","",IF($I240="","-",INDEX(SETUP!$B$16:$B$22,MATCH($I240,SETUP!$A$16:$A$22,1))))</f>
        <v>CORE</v>
      </c>
      <c r="K240" s="15" t="str">
        <f>IF($C240="","",IF($I240="","-",TEXT(INT($I240/1000)*1000,"#,##0")&amp;" - "&amp;TEXT(INT($I240/1000)*1000+999,"#,##0")))</f>
        <v>5,000 - 5,999</v>
      </c>
      <c r="L240" s="71">
        <v>4.62</v>
      </c>
      <c r="M240" s="15" t="str">
        <f>IF($C240="","",IF($L240="","-",INDEX(SETUP!$B$36:$B$42,MATCH($L240,SETUP!$A$36:$A$42,1))))</f>
        <v>4k - 5k</v>
      </c>
      <c r="N240" s="17">
        <f>IF($C240="","",IF(OR($G240="",$I240=""),"",ROUND(100*(SETUP!$B$4*MIN(1,$I240/SETUP!$B$9)+SETUP!$B$5*MAX(0,MIN(1,($G240-SETUP!$B$10)/(SETUP!$B$11-SETUP!$B$10)))+SETUP!$B$6*MIN(1,IF($L240="",0,$L240)/SETUP!$B$12)),1)))</f>
        <v>54.1</v>
      </c>
      <c r="O240" s="15" t="str">
        <f>IF($C240="","",IF($N240="","-",INDEX(SETUP!$B$46:$B$51,MATCH($N240,SETUP!$A$46:$A$51,1))))</f>
        <v>A</v>
      </c>
      <c r="P240" s="15">
        <f>IF($C240="","",IF($I240="","",RANK($I240,$I$4:$I$1463)+COUNTIF($I$4:$I240,$I240)-1))</f>
        <v>291</v>
      </c>
      <c r="Q240" s="15">
        <f>IF($C240="","",COUNTIFS($B$4:$B$1463,$B240,$X$4:$X$1463,"&gt;"&amp;$X240)+COUNTIFS($B$4:$B240,$B240,$X$4:$X240,"="&amp;$X240))</f>
        <v>29</v>
      </c>
      <c r="R240" s="72">
        <f>IF($C240="","",IF($I240="","",ROUND(COUNTIF($I$4:$I$1463,"&lt;"&amp;$I240)/COUNT($I$4:$I$1463),3)))</f>
        <v>0.78</v>
      </c>
      <c r="S240" s="15" t="str">
        <f>IF($C240="","",IF($G240="","Name only",IF(OR($I240="",$L240=""),"Partial","Complete")))</f>
        <v>Complete</v>
      </c>
      <c r="T240" s="41" t="str">
        <f>IF($C240="","",TRIM(IF(COUNTIF($C$4:$C$1463,$C240)&gt;1,"Dup name; ","")&amp;IF(AND($G240&lt;&gt;"",$G240&lt;55000),"Low CR - verify; ","")&amp;IF(AND($L240&lt;&gt;"",$L240&gt;15),"Secondary - verify; ","")&amp;IF($E240="","No class; ","")))</f>
        <v/>
      </c>
      <c r="U240" s="68" t="s">
        <v>264</v>
      </c>
      <c r="V240" s="68" t="s">
        <v>66</v>
      </c>
      <c r="W240" s="68" t="s">
        <v>285</v>
      </c>
      <c r="X240" s="73">
        <f t="shared" si="17"/>
        <v>5971</v>
      </c>
      <c r="Y240" s="41" t="str">
        <f t="shared" si="18"/>
        <v>FUCT|29</v>
      </c>
      <c r="Z240" s="15">
        <f>IF($C240="","",IF($G240="","",RANK($G240,$G$4:$G$1463)+COUNTIF($G$4:$G240,$G240)-1))</f>
        <v>546</v>
      </c>
      <c r="AA240" s="15">
        <f>IF($C240="","",IF($N240="","",RANK($N240,$N$4:$N$1463)+COUNTIF($N$4:$N240,$N240)-1))</f>
        <v>336</v>
      </c>
      <c r="AB240" s="41" t="str">
        <f>IF($C240="","",IF($E240="","",$E240&amp;"#"&amp;(COUNTIFS($E$4:$E$1463,$E240,$X$4:$X$1463,"&gt;"&amp;$X240)+COUNTIFS($E$4:$E240,$E240,$X$4:$X240,"="&amp;$X240))))</f>
        <v>BARBARIAN#58</v>
      </c>
      <c r="AC240" s="41" t="str">
        <f>IF($C240="","",$B240&amp;"@"&amp;(COUNTIFS($B$4:$B$1463,$B240,$C$4:$C$1463,"&lt;"&amp;$C240)+COUNTIFS($B$4:$B240,$B240,$C$4:$C240,$C240)))</f>
        <v>FUCT@14</v>
      </c>
      <c r="AD240" s="41">
        <f t="shared" si="19"/>
        <v>237</v>
      </c>
      <c r="AE240" s="41" t="s">
        <v>982</v>
      </c>
      <c r="AF240" s="73">
        <f t="shared" si="20"/>
        <v>62746</v>
      </c>
      <c r="AG240" s="74">
        <f t="shared" si="21"/>
        <v>4.62</v>
      </c>
      <c r="AH240" s="41" t="str">
        <f>IF($C240="","",$B240&amp;"|"&amp;(COUNTIFS($B$4:$B$1463,$B240,$AF$4:$AF$1463,"&gt;"&amp;$AF240)+COUNTIFS($B$4:$B240,$B240,$AF$4:$AF240,"="&amp;$AF240)))</f>
        <v>FUCT|59</v>
      </c>
      <c r="AI240" s="41" t="str">
        <f>IF($C240="","",$B240&amp;"|"&amp;(COUNTIFS($B$4:$B$1463,$B240,$AG$4:$AG$1463,"&gt;"&amp;$AG240)+COUNTIFS($B$4:$B240,$B240,$AG$4:$AG240,"="&amp;$AG240)))</f>
        <v>FUCT|59</v>
      </c>
    </row>
    <row r="241" spans="1:35" hidden="1">
      <c r="A241" s="69" t="s">
        <v>106</v>
      </c>
      <c r="B241" s="69" t="s">
        <v>86</v>
      </c>
      <c r="C241" s="63" t="s">
        <v>983</v>
      </c>
      <c r="D241" s="69"/>
      <c r="E241" s="68" t="s">
        <v>71</v>
      </c>
      <c r="F241" s="19" t="str">
        <f>IF($C241="","",IF($E241="","-",IFERROR(INDEX(SETUP!$B$55:$B$64,MATCH($E241,SETUP!$A$55:$A$64,0)),"Other")))</f>
        <v>Frontline</v>
      </c>
      <c r="G241" s="70">
        <v>62764</v>
      </c>
      <c r="H241" s="19" t="str">
        <f>IF($C241="","",IF($G241="","-",INDEX(SETUP!$B$26:$B$32,MATCH($G241,SETUP!$A$26:$A$32,1))))</f>
        <v>62,000 - 62,999</v>
      </c>
      <c r="I241" s="70">
        <v>5585</v>
      </c>
      <c r="J241" s="19" t="str">
        <f>IF($C241="","",IF($I241="","-",INDEX(SETUP!$B$16:$B$22,MATCH($I241,SETUP!$A$16:$A$22,1))))</f>
        <v>CORE</v>
      </c>
      <c r="K241" s="19" t="str">
        <f>IF($C241="","",IF($I241="","-",TEXT(INT($I241/1000)*1000,"#,##0")&amp;" - "&amp;TEXT(INT($I241/1000)*1000+999,"#,##0")))</f>
        <v>5,000 - 5,999</v>
      </c>
      <c r="L241" s="71">
        <v>6.75</v>
      </c>
      <c r="M241" s="19" t="str">
        <f>IF($C241="","",IF($L241="","-",INDEX(SETUP!$B$36:$B$42,MATCH($L241,SETUP!$A$36:$A$42,1))))</f>
        <v>6k - 8k</v>
      </c>
      <c r="N241" s="21">
        <f>IF($C241="","",IF(OR($G241="",$I241=""),"",ROUND(100*(SETUP!$B$4*MIN(1,$I241/SETUP!$B$9)+SETUP!$B$5*MAX(0,MIN(1,($G241-SETUP!$B$10)/(SETUP!$B$11-SETUP!$B$10)))+SETUP!$B$6*MIN(1,IF($L241="",0,$L241)/SETUP!$B$12)),1)))</f>
        <v>56.1</v>
      </c>
      <c r="O241" s="19" t="str">
        <f>IF($C241="","",IF($N241="","-",INDEX(SETUP!$B$46:$B$51,MATCH($N241,SETUP!$A$46:$A$51,1))))</f>
        <v>A</v>
      </c>
      <c r="P241" s="19">
        <f>IF($C241="","",IF($I241="","",RANK($I241,$I$4:$I$1463)+COUNTIF($I$4:$I241,$I241)-1))</f>
        <v>326</v>
      </c>
      <c r="Q241" s="19">
        <f>IF($C241="","",COUNTIFS($B$4:$B$1463,$B241,$X$4:$X$1463,"&gt;"&amp;$X241)+COUNTIFS($B$4:$B241,$B241,$X$4:$X241,"="&amp;$X241))</f>
        <v>60</v>
      </c>
      <c r="R241" s="75">
        <f>IF($C241="","",IF($I241="","",ROUND(COUNTIF($I$4:$I$1463,"&lt;"&amp;$I241)/COUNT($I$4:$I$1463),3)))</f>
        <v>0.754</v>
      </c>
      <c r="S241" s="19" t="str">
        <f>IF($C241="","",IF($G241="","Name only",IF(OR($I241="",$L241=""),"Partial","Complete")))</f>
        <v>Complete</v>
      </c>
      <c r="T241" s="1" t="str">
        <f>IF($C241="","",TRIM(IF(COUNTIF($C$4:$C$1463,$C241)&gt;1,"Dup name; ","")&amp;IF(AND($G241&lt;&gt;"",$G241&lt;55000),"Low CR - verify; ","")&amp;IF(AND($L241&lt;&gt;"",$L241&gt;15),"Secondary - verify; ","")&amp;IF($E241="","No class; ","")))</f>
        <v/>
      </c>
      <c r="U241" s="68"/>
      <c r="V241" s="68"/>
      <c r="W241" s="68"/>
      <c r="X241" s="76">
        <f t="shared" si="17"/>
        <v>5585</v>
      </c>
      <c r="Y241" s="1" t="str">
        <f t="shared" si="18"/>
        <v>VANGUARD|60</v>
      </c>
      <c r="Z241" s="19">
        <f>IF($C241="","",IF($G241="","",RANK($G241,$G$4:$G$1463)+COUNTIF($G$4:$G241,$G241)-1))</f>
        <v>537</v>
      </c>
      <c r="AA241" s="19">
        <f>IF($C241="","",IF($N241="","",RANK($N241,$N$4:$N$1463)+COUNTIF($N$4:$N241,$N241)-1))</f>
        <v>291</v>
      </c>
      <c r="AB241" s="1" t="str">
        <f>IF($C241="","",IF($E241="","",$E241&amp;"#"&amp;(COUNTIFS($E$4:$E$1463,$E241,$X$4:$X$1463,"&gt;"&amp;$X241)+COUNTIFS($E$4:$E241,$E241,$X$4:$X241,"="&amp;$X241))))</f>
        <v>BARBARIAN#65</v>
      </c>
      <c r="AC241" s="1" t="str">
        <f>IF($C241="","",$B241&amp;"@"&amp;(COUNTIFS($B$4:$B$1463,$B241,$C$4:$C$1463,"&lt;"&amp;$C241)+COUNTIFS($B$4:$B241,$B241,$C$4:$C241,$C241)))</f>
        <v>VANGUARD@23</v>
      </c>
      <c r="AD241" s="1">
        <f t="shared" si="19"/>
        <v>238</v>
      </c>
      <c r="AE241" s="1" t="s">
        <v>984</v>
      </c>
      <c r="AF241" s="76">
        <f t="shared" si="20"/>
        <v>62764</v>
      </c>
      <c r="AG241" s="77">
        <f t="shared" si="21"/>
        <v>6.75</v>
      </c>
      <c r="AH241" s="1" t="str">
        <f>IF($C241="","",$B241&amp;"|"&amp;(COUNTIFS($B$4:$B$1463,$B241,$AF$4:$AF$1463,"&gt;"&amp;$AF241)+COUNTIFS($B$4:$B241,$B241,$AF$4:$AF241,"="&amp;$AF241)))</f>
        <v>VANGUARD|74</v>
      </c>
      <c r="AI241" s="1" t="str">
        <f>IF($C241="","",$B241&amp;"|"&amp;(COUNTIFS($B$4:$B$1463,$B241,$AG$4:$AG$1463,"&gt;"&amp;$AG241)+COUNTIFS($B$4:$B241,$B241,$AG$4:$AG241,"="&amp;$AG241)))</f>
        <v>VANGUARD|23</v>
      </c>
    </row>
    <row r="242" spans="1:35" hidden="1">
      <c r="A242" s="69" t="s">
        <v>106</v>
      </c>
      <c r="B242" s="69" t="s">
        <v>86</v>
      </c>
      <c r="C242" s="63" t="s">
        <v>985</v>
      </c>
      <c r="D242" s="69"/>
      <c r="E242" s="68" t="s">
        <v>71</v>
      </c>
      <c r="F242" s="15" t="str">
        <f>IF($C242="","",IF($E242="","-",IFERROR(INDEX(SETUP!$B$55:$B$64,MATCH($E242,SETUP!$A$55:$A$64,0)),"Other")))</f>
        <v>Frontline</v>
      </c>
      <c r="G242" s="70">
        <v>61649</v>
      </c>
      <c r="H242" s="15" t="str">
        <f>IF($C242="","",IF($G242="","-",INDEX(SETUP!$B$26:$B$32,MATCH($G242,SETUP!$A$26:$A$32,1))))</f>
        <v>61,000 - 61,999</v>
      </c>
      <c r="I242" s="70">
        <v>2206</v>
      </c>
      <c r="J242" s="15" t="str">
        <f>IF($C242="","",IF($I242="","-",INDEX(SETUP!$B$16:$B$22,MATCH($I242,SETUP!$A$16:$A$22,1))))</f>
        <v>DEVELOPING</v>
      </c>
      <c r="K242" s="15" t="str">
        <f>IF($C242="","",IF($I242="","-",TEXT(INT($I242/1000)*1000,"#,##0")&amp;" - "&amp;TEXT(INT($I242/1000)*1000+999,"#,##0")))</f>
        <v>2,000 - 2,999</v>
      </c>
      <c r="L242" s="71">
        <v>4.8</v>
      </c>
      <c r="M242" s="15" t="str">
        <f>IF($C242="","",IF($L242="","-",INDEX(SETUP!$B$36:$B$42,MATCH($L242,SETUP!$A$36:$A$42,1))))</f>
        <v>4k - 5k</v>
      </c>
      <c r="N242" s="17">
        <f>IF($C242="","",IF(OR($G242="",$I242=""),"",ROUND(100*(SETUP!$B$4*MIN(1,$I242/SETUP!$B$9)+SETUP!$B$5*MAX(0,MIN(1,($G242-SETUP!$B$10)/(SETUP!$B$11-SETUP!$B$10)))+SETUP!$B$6*MIN(1,IF($L242="",0,$L242)/SETUP!$B$12)),1)))</f>
        <v>35.1</v>
      </c>
      <c r="O242" s="15" t="str">
        <f>IF($C242="","",IF($N242="","-",INDEX(SETUP!$B$46:$B$51,MATCH($N242,SETUP!$A$46:$A$51,1))))</f>
        <v>B</v>
      </c>
      <c r="P242" s="15">
        <f>IF($C242="","",IF($I242="","",RANK($I242,$I$4:$I$1463)+COUNTIF($I$4:$I242,$I242)-1))</f>
        <v>1063</v>
      </c>
      <c r="Q242" s="15">
        <f>IF($C242="","",COUNTIFS($B$4:$B$1463,$B242,$X$4:$X$1463,"&gt;"&amp;$X242)+COUNTIFS($B$4:$B242,$B242,$X$4:$X242,"="&amp;$X242))</f>
        <v>92</v>
      </c>
      <c r="R242" s="72">
        <f>IF($C242="","",IF($I242="","",ROUND(COUNTIF($I$4:$I$1463,"&lt;"&amp;$I242)/COUNT($I$4:$I$1463),3)))</f>
        <v>0.19800000000000001</v>
      </c>
      <c r="S242" s="15" t="str">
        <f>IF($C242="","",IF($G242="","Name only",IF(OR($I242="",$L242=""),"Partial","Complete")))</f>
        <v>Complete</v>
      </c>
      <c r="T242" s="41" t="str">
        <f>IF($C242="","",TRIM(IF(COUNTIF($C$4:$C$1463,$C242)&gt;1,"Dup name; ","")&amp;IF(AND($G242&lt;&gt;"",$G242&lt;55000),"Low CR - verify; ","")&amp;IF(AND($L242&lt;&gt;"",$L242&gt;15),"Secondary - verify; ","")&amp;IF($E242="","No class; ","")))</f>
        <v/>
      </c>
      <c r="U242" s="68"/>
      <c r="V242" s="68"/>
      <c r="W242" s="68"/>
      <c r="X242" s="73">
        <f t="shared" si="17"/>
        <v>2206</v>
      </c>
      <c r="Y242" s="41" t="str">
        <f t="shared" si="18"/>
        <v>VANGUARD|92</v>
      </c>
      <c r="Z242" s="15">
        <f>IF($C242="","",IF($G242="","",RANK($G242,$G$4:$G$1463)+COUNTIF($G$4:$G242,$G242)-1))</f>
        <v>959</v>
      </c>
      <c r="AA242" s="15">
        <f>IF($C242="","",IF($N242="","",RANK($N242,$N$4:$N$1463)+COUNTIF($N$4:$N242,$N242)-1))</f>
        <v>1003</v>
      </c>
      <c r="AB242" s="41" t="str">
        <f>IF($C242="","",IF($E242="","",$E242&amp;"#"&amp;(COUNTIFS($E$4:$E$1463,$E242,$X$4:$X$1463,"&gt;"&amp;$X242)+COUNTIFS($E$4:$E242,$E242,$X$4:$X242,"="&amp;$X242))))</f>
        <v>BARBARIAN#183</v>
      </c>
      <c r="AC242" s="41" t="str">
        <f>IF($C242="","",$B242&amp;"@"&amp;(COUNTIFS($B$4:$B$1463,$B242,$C$4:$C$1463,"&lt;"&amp;$C242)+COUNTIFS($B$4:$B242,$B242,$C$4:$C242,$C242)))</f>
        <v>VANGUARD@24</v>
      </c>
      <c r="AD242" s="41">
        <f t="shared" si="19"/>
        <v>239</v>
      </c>
      <c r="AE242" s="41" t="s">
        <v>986</v>
      </c>
      <c r="AF242" s="73">
        <f t="shared" si="20"/>
        <v>61649</v>
      </c>
      <c r="AG242" s="74">
        <f t="shared" si="21"/>
        <v>4.8</v>
      </c>
      <c r="AH242" s="41" t="str">
        <f>IF($C242="","",$B242&amp;"|"&amp;(COUNTIFS($B$4:$B$1463,$B242,$AF$4:$AF$1463,"&gt;"&amp;$AF242)+COUNTIFS($B$4:$B242,$B242,$AF$4:$AF242,"="&amp;$AF242)))</f>
        <v>VANGUARD|88</v>
      </c>
      <c r="AI242" s="41" t="str">
        <f>IF($C242="","",$B242&amp;"|"&amp;(COUNTIFS($B$4:$B$1463,$B242,$AG$4:$AG$1463,"&gt;"&amp;$AG242)+COUNTIFS($B$4:$B242,$B242,$AG$4:$AG242,"="&amp;$AG242)))</f>
        <v>VANGUARD|71</v>
      </c>
    </row>
    <row r="243" spans="1:35" hidden="1">
      <c r="A243" s="69" t="s">
        <v>106</v>
      </c>
      <c r="B243" s="69" t="s">
        <v>107</v>
      </c>
      <c r="C243" s="63" t="s">
        <v>987</v>
      </c>
      <c r="D243" s="69"/>
      <c r="E243" s="68" t="s">
        <v>71</v>
      </c>
      <c r="F243" s="19" t="str">
        <f>IF($C243="","",IF($E243="","-",IFERROR(INDEX(SETUP!$B$55:$B$64,MATCH($E243,SETUP!$A$55:$A$64,0)),"Other")))</f>
        <v>Frontline</v>
      </c>
      <c r="G243" s="70">
        <v>63357</v>
      </c>
      <c r="H243" s="19" t="str">
        <f>IF($C243="","",IF($G243="","-",INDEX(SETUP!$B$26:$B$32,MATCH($G243,SETUP!$A$26:$A$32,1))))</f>
        <v>63,000 - 63,999</v>
      </c>
      <c r="I243" s="70">
        <v>4202</v>
      </c>
      <c r="J243" s="19" t="str">
        <f>IF($C243="","",IF($I243="","-",INDEX(SETUP!$B$16:$B$22,MATCH($I243,SETUP!$A$16:$A$22,1))))</f>
        <v>CORE</v>
      </c>
      <c r="K243" s="19" t="str">
        <f>IF($C243="","",IF($I243="","-",TEXT(INT($I243/1000)*1000,"#,##0")&amp;" - "&amp;TEXT(INT($I243/1000)*1000+999,"#,##0")))</f>
        <v>4,000 - 4,999</v>
      </c>
      <c r="L243" s="71">
        <v>4.75</v>
      </c>
      <c r="M243" s="19" t="str">
        <f>IF($C243="","",IF($L243="","-",INDEX(SETUP!$B$36:$B$42,MATCH($L243,SETUP!$A$36:$A$42,1))))</f>
        <v>4k - 5k</v>
      </c>
      <c r="N243" s="21">
        <f>IF($C243="","",IF(OR($G243="",$I243=""),"",ROUND(100*(SETUP!$B$4*MIN(1,$I243/SETUP!$B$9)+SETUP!$B$5*MAX(0,MIN(1,($G243-SETUP!$B$10)/(SETUP!$B$11-SETUP!$B$10)))+SETUP!$B$6*MIN(1,IF($L243="",0,$L243)/SETUP!$B$12)),1)))</f>
        <v>48.3</v>
      </c>
      <c r="O243" s="19" t="str">
        <f>IF($C243="","",IF($N243="","-",INDEX(SETUP!$B$46:$B$51,MATCH($N243,SETUP!$A$46:$A$51,1))))</f>
        <v>B</v>
      </c>
      <c r="P243" s="19">
        <f>IF($C243="","",IF($I243="","",RANK($I243,$I$4:$I$1463)+COUNTIF($I$4:$I243,$I243)-1))</f>
        <v>557</v>
      </c>
      <c r="Q243" s="19">
        <f>IF($C243="","",COUNTIFS($B$4:$B$1463,$B243,$X$4:$X$1463,"&gt;"&amp;$X243)+COUNTIFS($B$4:$B243,$B243,$X$4:$X243,"="&amp;$X243))</f>
        <v>49</v>
      </c>
      <c r="R243" s="75">
        <f>IF($C243="","",IF($I243="","",ROUND(COUNTIF($I$4:$I$1463,"&lt;"&amp;$I243)/COUNT($I$4:$I$1463),3)))</f>
        <v>0.57999999999999996</v>
      </c>
      <c r="S243" s="19" t="str">
        <f>IF($C243="","",IF($G243="","Name only",IF(OR($I243="",$L243=""),"Partial","Complete")))</f>
        <v>Complete</v>
      </c>
      <c r="T243" s="1" t="str">
        <f>IF($C243="","",TRIM(IF(COUNTIF($C$4:$C$1463,$C243)&gt;1,"Dup name; ","")&amp;IF(AND($G243&lt;&gt;"",$G243&lt;55000),"Low CR - verify; ","")&amp;IF(AND($L243&lt;&gt;"",$L243&gt;15),"Secondary - verify; ","")&amp;IF($E243="","No class; ","")))</f>
        <v/>
      </c>
      <c r="U243" s="68"/>
      <c r="V243" s="68"/>
      <c r="W243" s="68"/>
      <c r="X243" s="76">
        <f t="shared" si="17"/>
        <v>4202</v>
      </c>
      <c r="Y243" s="1" t="str">
        <f t="shared" si="18"/>
        <v>UNDYING|49</v>
      </c>
      <c r="Z243" s="19">
        <f>IF($C243="","",IF($G243="","",RANK($G243,$G$4:$G$1463)+COUNTIF($G$4:$G243,$G243)-1))</f>
        <v>237</v>
      </c>
      <c r="AA243" s="19">
        <f>IF($C243="","",IF($N243="","",RANK($N243,$N$4:$N$1463)+COUNTIF($N$4:$N243,$N243)-1))</f>
        <v>509</v>
      </c>
      <c r="AB243" s="1" t="str">
        <f>IF($C243="","",IF($E243="","",$E243&amp;"#"&amp;(COUNTIFS($E$4:$E$1463,$E243,$X$4:$X$1463,"&gt;"&amp;$X243)+COUNTIFS($E$4:$E243,$E243,$X$4:$X243,"="&amp;$X243))))</f>
        <v>BARBARIAN#107</v>
      </c>
      <c r="AC243" s="1" t="str">
        <f>IF($C243="","",$B243&amp;"@"&amp;(COUNTIFS($B$4:$B$1463,$B243,$C$4:$C$1463,"&lt;"&amp;$C243)+COUNTIFS($B$4:$B243,$B243,$C$4:$C243,$C243)))</f>
        <v>UNDYING@24</v>
      </c>
      <c r="AD243" s="1">
        <f t="shared" si="19"/>
        <v>240</v>
      </c>
      <c r="AE243" s="1" t="s">
        <v>988</v>
      </c>
      <c r="AF243" s="76">
        <f t="shared" si="20"/>
        <v>63357</v>
      </c>
      <c r="AG243" s="77">
        <f t="shared" si="21"/>
        <v>4.75</v>
      </c>
      <c r="AH243" s="1" t="str">
        <f>IF($C243="","",$B243&amp;"|"&amp;(COUNTIFS($B$4:$B$1463,$B243,$AF$4:$AF$1463,"&gt;"&amp;$AF243)+COUNTIFS($B$4:$B243,$B243,$AF$4:$AF243,"="&amp;$AF243)))</f>
        <v>UNDYING|17</v>
      </c>
      <c r="AI243" s="1" t="str">
        <f>IF($C243="","",$B243&amp;"|"&amp;(COUNTIFS($B$4:$B$1463,$B243,$AG$4:$AG$1463,"&gt;"&amp;$AG243)+COUNTIFS($B$4:$B243,$B243,$AG$4:$AG243,"="&amp;$AG243)))</f>
        <v>UNDYING|60</v>
      </c>
    </row>
    <row r="244" spans="1:35" hidden="1">
      <c r="A244" s="69" t="s">
        <v>109</v>
      </c>
      <c r="B244" s="69" t="s">
        <v>114</v>
      </c>
      <c r="C244" s="63" t="s">
        <v>989</v>
      </c>
      <c r="D244" s="69"/>
      <c r="E244" s="68" t="s">
        <v>79</v>
      </c>
      <c r="F244" s="15" t="str">
        <f>IF($C244="","",IF($E244="","-",IFERROR(INDEX(SETUP!$B$55:$B$64,MATCH($E244,SETUP!$A$55:$A$64,0)),"Other")))</f>
        <v>Control</v>
      </c>
      <c r="G244" s="70">
        <v>62310</v>
      </c>
      <c r="H244" s="15" t="str">
        <f>IF($C244="","",IF($G244="","-",INDEX(SETUP!$B$26:$B$32,MATCH($G244,SETUP!$A$26:$A$32,1))))</f>
        <v>62,000 - 62,999</v>
      </c>
      <c r="I244" s="70">
        <v>1152</v>
      </c>
      <c r="J244" s="15" t="str">
        <f>IF($C244="","",IF($I244="","-",INDEX(SETUP!$B$16:$B$22,MATCH($I244,SETUP!$A$16:$A$22,1))))</f>
        <v>ROOKIE</v>
      </c>
      <c r="K244" s="15" t="str">
        <f>IF($C244="","",IF($I244="","-",TEXT(INT($I244/1000)*1000,"#,##0")&amp;" - "&amp;TEXT(INT($I244/1000)*1000+999,"#,##0")))</f>
        <v>1,000 - 1,999</v>
      </c>
      <c r="L244" s="71">
        <v>3.2</v>
      </c>
      <c r="M244" s="15" t="str">
        <f>IF($C244="","",IF($L244="","-",INDEX(SETUP!$B$36:$B$42,MATCH($L244,SETUP!$A$36:$A$42,1))))</f>
        <v>3k - 4k</v>
      </c>
      <c r="N244" s="17">
        <f>IF($C244="","",IF(OR($G244="",$I244=""),"",ROUND(100*(SETUP!$B$4*MIN(1,$I244/SETUP!$B$9)+SETUP!$B$5*MAX(0,MIN(1,($G244-SETUP!$B$10)/(SETUP!$B$11-SETUP!$B$10)))+SETUP!$B$6*MIN(1,IF($L244="",0,$L244)/SETUP!$B$12)),1)))</f>
        <v>29.6</v>
      </c>
      <c r="O244" s="15" t="str">
        <f>IF($C244="","",IF($N244="","-",INDEX(SETUP!$B$46:$B$51,MATCH($N244,SETUP!$A$46:$A$51,1))))</f>
        <v>C</v>
      </c>
      <c r="P244" s="15">
        <f>IF($C244="","",IF($I244="","",RANK($I244,$I$4:$I$1463)+COUNTIF($I$4:$I244,$I244)-1))</f>
        <v>1248</v>
      </c>
      <c r="Q244" s="15">
        <f>IF($C244="","",COUNTIFS($B$4:$B$1463,$B244,$X$4:$X$1463,"&gt;"&amp;$X244)+COUNTIFS($B$4:$B244,$B244,$X$4:$X244,"="&amp;$X244))</f>
        <v>80</v>
      </c>
      <c r="R244" s="72">
        <f>IF($C244="","",IF($I244="","",ROUND(COUNTIF($I$4:$I$1463,"&lt;"&amp;$I244)/COUNT($I$4:$I$1463),3)))</f>
        <v>5.8000000000000003E-2</v>
      </c>
      <c r="S244" s="15" t="str">
        <f>IF($C244="","",IF($G244="","Name only",IF(OR($I244="",$L244=""),"Partial","Complete")))</f>
        <v>Complete</v>
      </c>
      <c r="T244" s="41" t="str">
        <f>IF($C244="","",TRIM(IF(COUNTIF($C$4:$C$1463,$C244)&gt;1,"Dup name; ","")&amp;IF(AND($G244&lt;&gt;"",$G244&lt;55000),"Low CR - verify; ","")&amp;IF(AND($L244&lt;&gt;"",$L244&gt;15),"Secondary - verify; ","")&amp;IF($E244="","No class; ","")))</f>
        <v/>
      </c>
      <c r="U244" s="68"/>
      <c r="V244" s="68"/>
      <c r="W244" s="68"/>
      <c r="X244" s="73">
        <f t="shared" si="17"/>
        <v>1152</v>
      </c>
      <c r="Y244" s="41" t="str">
        <f t="shared" si="18"/>
        <v>EMERALD LEAF TRIBE|80</v>
      </c>
      <c r="Z244" s="15">
        <f>IF($C244="","",IF($G244="","",RANK($G244,$G$4:$G$1463)+COUNTIF($G$4:$G244,$G244)-1))</f>
        <v>721</v>
      </c>
      <c r="AA244" s="15">
        <f>IF($C244="","",IF($N244="","",RANK($N244,$N$4:$N$1463)+COUNTIF($N$4:$N244,$N244)-1))</f>
        <v>1154</v>
      </c>
      <c r="AB244" s="41" t="str">
        <f>IF($C244="","",IF($E244="","",$E244&amp;"#"&amp;(COUNTIFS($E$4:$E$1463,$E244,$X$4:$X$1463,"&gt;"&amp;$X244)+COUNTIFS($E$4:$E244,$E244,$X$4:$X244,"="&amp;$X244))))</f>
        <v>WARLOCK#306</v>
      </c>
      <c r="AC244" s="41" t="str">
        <f>IF($C244="","",$B244&amp;"@"&amp;(COUNTIFS($B$4:$B$1463,$B244,$C$4:$C$1463,"&lt;"&amp;$C244)+COUNTIFS($B$4:$B244,$B244,$C$4:$C244,$C244)))</f>
        <v>EMERALD LEAF TRIBE@20</v>
      </c>
      <c r="AD244" s="41">
        <f t="shared" si="19"/>
        <v>241</v>
      </c>
      <c r="AE244" s="41" t="s">
        <v>990</v>
      </c>
      <c r="AF244" s="73">
        <f t="shared" si="20"/>
        <v>62310</v>
      </c>
      <c r="AG244" s="74">
        <f t="shared" si="21"/>
        <v>3.2</v>
      </c>
      <c r="AH244" s="41" t="str">
        <f>IF($C244="","",$B244&amp;"|"&amp;(COUNTIFS($B$4:$B$1463,$B244,$AF$4:$AF$1463,"&gt;"&amp;$AF244)+COUNTIFS($B$4:$B244,$B244,$AF$4:$AF244,"="&amp;$AF244)))</f>
        <v>EMERALD LEAF TRIBE|20</v>
      </c>
      <c r="AI244" s="41" t="str">
        <f>IF($C244="","",$B244&amp;"|"&amp;(COUNTIFS($B$4:$B$1463,$B244,$AG$4:$AG$1463,"&gt;"&amp;$AG244)+COUNTIFS($B$4:$B244,$B244,$AG$4:$AG244,"="&amp;$AG244)))</f>
        <v>EMERALD LEAF TRIBE|69</v>
      </c>
    </row>
    <row r="245" spans="1:35" hidden="1">
      <c r="A245" s="69" t="s">
        <v>109</v>
      </c>
      <c r="B245" s="69" t="s">
        <v>110</v>
      </c>
      <c r="C245" s="63" t="s">
        <v>991</v>
      </c>
      <c r="D245" s="69"/>
      <c r="E245" s="68" t="s">
        <v>73</v>
      </c>
      <c r="F245" s="19" t="str">
        <f>IF($C245="","",IF($E245="","-",IFERROR(INDEX(SETUP!$B$55:$B$64,MATCH($E245,SETUP!$A$55:$A$64,0)),"Other")))</f>
        <v>Frontline</v>
      </c>
      <c r="G245" s="70">
        <v>62927</v>
      </c>
      <c r="H245" s="19" t="str">
        <f>IF($C245="","",IF($G245="","-",INDEX(SETUP!$B$26:$B$32,MATCH($G245,SETUP!$A$26:$A$32,1))))</f>
        <v>62,000 - 62,999</v>
      </c>
      <c r="I245" s="70">
        <v>3510</v>
      </c>
      <c r="J245" s="19" t="str">
        <f>IF($C245="","",IF($I245="","-",INDEX(SETUP!$B$16:$B$22,MATCH($I245,SETUP!$A$16:$A$22,1))))</f>
        <v>DEVELOPING</v>
      </c>
      <c r="K245" s="19" t="str">
        <f>IF($C245="","",IF($I245="","-",TEXT(INT($I245/1000)*1000,"#,##0")&amp;" - "&amp;TEXT(INT($I245/1000)*1000+999,"#,##0")))</f>
        <v>3,000 - 3,999</v>
      </c>
      <c r="L245" s="71">
        <v>4.7</v>
      </c>
      <c r="M245" s="19" t="str">
        <f>IF($C245="","",IF($L245="","-",INDEX(SETUP!$B$36:$B$42,MATCH($L245,SETUP!$A$36:$A$42,1))))</f>
        <v>4k - 5k</v>
      </c>
      <c r="N245" s="21">
        <f>IF($C245="","",IF(OR($G245="",$I245=""),"",ROUND(100*(SETUP!$B$4*MIN(1,$I245/SETUP!$B$9)+SETUP!$B$5*MAX(0,MIN(1,($G245-SETUP!$B$10)/(SETUP!$B$11-SETUP!$B$10)))+SETUP!$B$6*MIN(1,IF($L245="",0,$L245)/SETUP!$B$12)),1)))</f>
        <v>44</v>
      </c>
      <c r="O245" s="19" t="str">
        <f>IF($C245="","",IF($N245="","-",INDEX(SETUP!$B$46:$B$51,MATCH($N245,SETUP!$A$46:$A$51,1))))</f>
        <v>B</v>
      </c>
      <c r="P245" s="19">
        <f>IF($C245="","",IF($I245="","",RANK($I245,$I$4:$I$1463)+COUNTIF($I$4:$I245,$I245)-1))</f>
        <v>728</v>
      </c>
      <c r="Q245" s="19">
        <f>IF($C245="","",COUNTIFS($B$4:$B$1463,$B245,$X$4:$X$1463,"&gt;"&amp;$X245)+COUNTIFS($B$4:$B245,$B245,$X$4:$X245,"="&amp;$X245))</f>
        <v>74</v>
      </c>
      <c r="R245" s="75">
        <f>IF($C245="","",IF($I245="","",ROUND(COUNTIF($I$4:$I$1463,"&lt;"&amp;$I245)/COUNT($I$4:$I$1463),3)))</f>
        <v>0.45100000000000001</v>
      </c>
      <c r="S245" s="19" t="str">
        <f>IF($C245="","",IF($G245="","Name only",IF(OR($I245="",$L245=""),"Partial","Complete")))</f>
        <v>Complete</v>
      </c>
      <c r="T245" s="1" t="str">
        <f>IF($C245="","",TRIM(IF(COUNTIF($C$4:$C$1463,$C245)&gt;1,"Dup name; ","")&amp;IF(AND($G245&lt;&gt;"",$G245&lt;55000),"Low CR - verify; ","")&amp;IF(AND($L245&lt;&gt;"",$L245&gt;15),"Secondary - verify; ","")&amp;IF($E245="","No class; ","")))</f>
        <v/>
      </c>
      <c r="U245" s="68"/>
      <c r="V245" s="68"/>
      <c r="W245" s="68"/>
      <c r="X245" s="76">
        <f t="shared" si="17"/>
        <v>3510</v>
      </c>
      <c r="Y245" s="1" t="str">
        <f t="shared" si="18"/>
        <v>AZUKI|74</v>
      </c>
      <c r="Z245" s="19">
        <f>IF($C245="","",IF($G245="","",RANK($G245,$G$4:$G$1463)+COUNTIF($G$4:$G245,$G245)-1))</f>
        <v>465</v>
      </c>
      <c r="AA245" s="19">
        <f>IF($C245="","",IF($N245="","",RANK($N245,$N$4:$N$1463)+COUNTIF($N$4:$N245,$N245)-1))</f>
        <v>669</v>
      </c>
      <c r="AB245" s="1" t="str">
        <f>IF($C245="","",IF($E245="","",$E245&amp;"#"&amp;(COUNTIFS($E$4:$E$1463,$E245,$X$4:$X$1463,"&gt;"&amp;$X245)+COUNTIFS($E$4:$E245,$E245,$X$4:$X245,"="&amp;$X245))))</f>
        <v>CRUSADER#82</v>
      </c>
      <c r="AC245" s="1" t="str">
        <f>IF($C245="","",$B245&amp;"@"&amp;(COUNTIFS($B$4:$B$1463,$B245,$C$4:$C$1463,"&lt;"&amp;$C245)+COUNTIFS($B$4:$B245,$B245,$C$4:$C245,$C245)))</f>
        <v>AZUKI@24</v>
      </c>
      <c r="AD245" s="1">
        <f t="shared" si="19"/>
        <v>242</v>
      </c>
      <c r="AE245" s="1" t="s">
        <v>992</v>
      </c>
      <c r="AF245" s="76">
        <f t="shared" si="20"/>
        <v>62927</v>
      </c>
      <c r="AG245" s="77">
        <f t="shared" si="21"/>
        <v>4.7</v>
      </c>
      <c r="AH245" s="1" t="str">
        <f>IF($C245="","",$B245&amp;"|"&amp;(COUNTIFS($B$4:$B$1463,$B245,$AF$4:$AF$1463,"&gt;"&amp;$AF245)+COUNTIFS($B$4:$B245,$B245,$AF$4:$AF245,"="&amp;$AF245)))</f>
        <v>AZUKI|46</v>
      </c>
      <c r="AI245" s="1" t="str">
        <f>IF($C245="","",$B245&amp;"|"&amp;(COUNTIFS($B$4:$B$1463,$B245,$AG$4:$AG$1463,"&gt;"&amp;$AG245)+COUNTIFS($B$4:$B245,$B245,$AG$4:$AG245,"="&amp;$AG245)))</f>
        <v>AZUKI|76</v>
      </c>
    </row>
    <row r="246" spans="1:35" hidden="1">
      <c r="A246" s="69" t="s">
        <v>106</v>
      </c>
      <c r="B246" s="69" t="s">
        <v>105</v>
      </c>
      <c r="C246" s="63" t="s">
        <v>993</v>
      </c>
      <c r="D246" s="69" t="s">
        <v>691</v>
      </c>
      <c r="E246" s="68" t="s">
        <v>71</v>
      </c>
      <c r="F246" s="15" t="str">
        <f>IF($C246="","",IF($E246="","-",IFERROR(INDEX(SETUP!$B$55:$B$64,MATCH($E246,SETUP!$A$55:$A$64,0)),"Other")))</f>
        <v>Frontline</v>
      </c>
      <c r="G246" s="70">
        <v>62516</v>
      </c>
      <c r="H246" s="15" t="str">
        <f>IF($C246="","",IF($G246="","-",INDEX(SETUP!$B$26:$B$32,MATCH($G246,SETUP!$A$26:$A$32,1))))</f>
        <v>62,000 - 62,999</v>
      </c>
      <c r="I246" s="70">
        <v>5340</v>
      </c>
      <c r="J246" s="15" t="str">
        <f>IF($C246="","",IF($I246="","-",INDEX(SETUP!$B$16:$B$22,MATCH($I246,SETUP!$A$16:$A$22,1))))</f>
        <v>CORE</v>
      </c>
      <c r="K246" s="15" t="str">
        <f>IF($C246="","",IF($I246="","-",TEXT(INT($I246/1000)*1000,"#,##0")&amp;" - "&amp;TEXT(INT($I246/1000)*1000+999,"#,##0")))</f>
        <v>5,000 - 5,999</v>
      </c>
      <c r="L246" s="71">
        <v>4.87</v>
      </c>
      <c r="M246" s="15" t="str">
        <f>IF($C246="","",IF($L246="","-",INDEX(SETUP!$B$36:$B$42,MATCH($L246,SETUP!$A$36:$A$42,1))))</f>
        <v>4k - 5k</v>
      </c>
      <c r="N246" s="17">
        <f>IF($C246="","",IF(OR($G246="",$I246=""),"",ROUND(100*(SETUP!$B$4*MIN(1,$I246/SETUP!$B$9)+SETUP!$B$5*MAX(0,MIN(1,($G246-SETUP!$B$10)/(SETUP!$B$11-SETUP!$B$10)))+SETUP!$B$6*MIN(1,IF($L246="",0,$L246)/SETUP!$B$12)),1)))</f>
        <v>51.2</v>
      </c>
      <c r="O246" s="15" t="str">
        <f>IF($C246="","",IF($N246="","-",INDEX(SETUP!$B$46:$B$51,MATCH($N246,SETUP!$A$46:$A$51,1))))</f>
        <v>A</v>
      </c>
      <c r="P246" s="15">
        <f>IF($C246="","",IF($I246="","",RANK($I246,$I$4:$I$1463)+COUNTIF($I$4:$I246,$I246)-1))</f>
        <v>357</v>
      </c>
      <c r="Q246" s="15">
        <f>IF($C246="","",COUNTIFS($B$4:$B$1463,$B246,$X$4:$X$1463,"&gt;"&amp;$X246)+COUNTIFS($B$4:$B246,$B246,$X$4:$X246,"="&amp;$X246))</f>
        <v>43</v>
      </c>
      <c r="R246" s="72">
        <f>IF($C246="","",IF($I246="","",ROUND(COUNTIF($I$4:$I$1463,"&lt;"&amp;$I246)/COUNT($I$4:$I$1463),3)))</f>
        <v>0.73099999999999998</v>
      </c>
      <c r="S246" s="15" t="str">
        <f>IF($C246="","",IF($G246="","Name only",IF(OR($I246="",$L246=""),"Partial","Complete")))</f>
        <v>Complete</v>
      </c>
      <c r="T246" s="41" t="str">
        <f>IF($C246="","",TRIM(IF(COUNTIF($C$4:$C$1463,$C246)&gt;1,"Dup name; ","")&amp;IF(AND($G246&lt;&gt;"",$G246&lt;55000),"Low CR - verify; ","")&amp;IF(AND($L246&lt;&gt;"",$L246&gt;15),"Secondary - verify; ","")&amp;IF($E246="","No class; ","")))</f>
        <v>Dup name;</v>
      </c>
      <c r="U246" s="68"/>
      <c r="V246" s="68"/>
      <c r="W246" s="68"/>
      <c r="X246" s="73">
        <f t="shared" si="17"/>
        <v>5340</v>
      </c>
      <c r="Y246" s="41" t="str">
        <f t="shared" si="18"/>
        <v>LEGENDS|43</v>
      </c>
      <c r="Z246" s="15">
        <f>IF($C246="","",IF($G246="","",RANK($G246,$G$4:$G$1463)+COUNTIF($G$4:$G246,$G246)-1))</f>
        <v>645</v>
      </c>
      <c r="AA246" s="15">
        <f>IF($C246="","",IF($N246="","",RANK($N246,$N$4:$N$1463)+COUNTIF($N$4:$N246,$N246)-1))</f>
        <v>416</v>
      </c>
      <c r="AB246" s="41" t="str">
        <f>IF($C246="","",IF($E246="","",$E246&amp;"#"&amp;(COUNTIFS($E$4:$E$1463,$E246,$X$4:$X$1463,"&gt;"&amp;$X246)+COUNTIFS($E$4:$E246,$E246,$X$4:$X246,"="&amp;$X246))))</f>
        <v>BARBARIAN#72</v>
      </c>
      <c r="AC246" s="41" t="str">
        <f>IF($C246="","",$B246&amp;"@"&amp;(COUNTIFS($B$4:$B$1463,$B246,$C$4:$C$1463,"&lt;"&amp;$C246)+COUNTIFS($B$4:$B246,$B246,$C$4:$C246,$C246)))</f>
        <v>LEGENDS@19</v>
      </c>
      <c r="AD246" s="41">
        <f t="shared" si="19"/>
        <v>243</v>
      </c>
      <c r="AE246" s="41" t="s">
        <v>994</v>
      </c>
      <c r="AF246" s="73">
        <f t="shared" si="20"/>
        <v>62516</v>
      </c>
      <c r="AG246" s="74">
        <f t="shared" si="21"/>
        <v>4.87</v>
      </c>
      <c r="AH246" s="41" t="str">
        <f>IF($C246="","",$B246&amp;"|"&amp;(COUNTIFS($B$4:$B$1463,$B246,$AF$4:$AF$1463,"&gt;"&amp;$AF246)+COUNTIFS($B$4:$B246,$B246,$AF$4:$AF246,"="&amp;$AF246)))</f>
        <v>LEGENDS|69</v>
      </c>
      <c r="AI246" s="41" t="str">
        <f>IF($C246="","",$B246&amp;"|"&amp;(COUNTIFS($B$4:$B$1463,$B246,$AG$4:$AG$1463,"&gt;"&amp;$AG246)+COUNTIFS($B$4:$B246,$B246,$AG$4:$AG246,"="&amp;$AG246)))</f>
        <v>LEGENDS|68</v>
      </c>
    </row>
    <row r="247" spans="1:35" hidden="1">
      <c r="A247" s="69" t="s">
        <v>109</v>
      </c>
      <c r="B247" s="69" t="s">
        <v>112</v>
      </c>
      <c r="C247" s="63" t="s">
        <v>995</v>
      </c>
      <c r="D247" s="69" t="s">
        <v>567</v>
      </c>
      <c r="E247" s="68" t="s">
        <v>71</v>
      </c>
      <c r="F247" s="19" t="str">
        <f>IF($C247="","",IF($E247="","-",IFERROR(INDEX(SETUP!$B$55:$B$64,MATCH($E247,SETUP!$A$55:$A$64,0)),"Other")))</f>
        <v>Frontline</v>
      </c>
      <c r="G247" s="70">
        <v>62316</v>
      </c>
      <c r="H247" s="19" t="str">
        <f>IF($C247="","",IF($G247="","-",INDEX(SETUP!$B$26:$B$32,MATCH($G247,SETUP!$A$26:$A$32,1))))</f>
        <v>62,000 - 62,999</v>
      </c>
      <c r="I247" s="70">
        <v>3423</v>
      </c>
      <c r="J247" s="19" t="str">
        <f>IF($C247="","",IF($I247="","-",INDEX(SETUP!$B$16:$B$22,MATCH($I247,SETUP!$A$16:$A$22,1))))</f>
        <v>DEVELOPING</v>
      </c>
      <c r="K247" s="19" t="str">
        <f>IF($C247="","",IF($I247="","-",TEXT(INT($I247/1000)*1000,"#,##0")&amp;" - "&amp;TEXT(INT($I247/1000)*1000+999,"#,##0")))</f>
        <v>3,000 - 3,999</v>
      </c>
      <c r="L247" s="71">
        <v>4.05</v>
      </c>
      <c r="M247" s="19" t="str">
        <f>IF($C247="","",IF($L247="","-",INDEX(SETUP!$B$36:$B$42,MATCH($L247,SETUP!$A$36:$A$42,1))))</f>
        <v>4k - 5k</v>
      </c>
      <c r="N247" s="21">
        <f>IF($C247="","",IF(OR($G247="",$I247=""),"",ROUND(100*(SETUP!$B$4*MIN(1,$I247/SETUP!$B$9)+SETUP!$B$5*MAX(0,MIN(1,($G247-SETUP!$B$10)/(SETUP!$B$11-SETUP!$B$10)))+SETUP!$B$6*MIN(1,IF($L247="",0,$L247)/SETUP!$B$12)),1)))</f>
        <v>40.9</v>
      </c>
      <c r="O247" s="19" t="str">
        <f>IF($C247="","",IF($N247="","-",INDEX(SETUP!$B$46:$B$51,MATCH($N247,SETUP!$A$46:$A$51,1))))</f>
        <v>B</v>
      </c>
      <c r="P247" s="19">
        <f>IF($C247="","",IF($I247="","",RANK($I247,$I$4:$I$1463)+COUNTIF($I$4:$I247,$I247)-1))</f>
        <v>750</v>
      </c>
      <c r="Q247" s="19">
        <f>IF($C247="","",COUNTIFS($B$4:$B$1463,$B247,$X$4:$X$1463,"&gt;"&amp;$X247)+COUNTIFS($B$4:$B247,$B247,$X$4:$X247,"="&amp;$X247))</f>
        <v>55</v>
      </c>
      <c r="R247" s="75">
        <f>IF($C247="","",IF($I247="","",ROUND(COUNTIF($I$4:$I$1463,"&lt;"&amp;$I247)/COUNT($I$4:$I$1463),3)))</f>
        <v>0.434</v>
      </c>
      <c r="S247" s="19" t="str">
        <f>IF($C247="","",IF($G247="","Name only",IF(OR($I247="",$L247=""),"Partial","Complete")))</f>
        <v>Complete</v>
      </c>
      <c r="T247" s="1" t="str">
        <f>IF($C247="","",TRIM(IF(COUNTIF($C$4:$C$1463,$C247)&gt;1,"Dup name; ","")&amp;IF(AND($G247&lt;&gt;"",$G247&lt;55000),"Low CR - verify; ","")&amp;IF(AND($L247&lt;&gt;"",$L247&gt;15),"Secondary - verify; ","")&amp;IF($E247="","No class; ","")))</f>
        <v/>
      </c>
      <c r="U247" s="68"/>
      <c r="V247" s="68"/>
      <c r="W247" s="68"/>
      <c r="X247" s="76">
        <f t="shared" si="17"/>
        <v>3423</v>
      </c>
      <c r="Y247" s="1" t="str">
        <f t="shared" si="18"/>
        <v>ACHERON|55</v>
      </c>
      <c r="Z247" s="19">
        <f>IF($C247="","",IF($G247="","",RANK($G247,$G$4:$G$1463)+COUNTIF($G$4:$G247,$G247)-1))</f>
        <v>719</v>
      </c>
      <c r="AA247" s="19">
        <f>IF($C247="","",IF($N247="","",RANK($N247,$N$4:$N$1463)+COUNTIF($N$4:$N247,$N247)-1))</f>
        <v>779</v>
      </c>
      <c r="AB247" s="1" t="str">
        <f>IF($C247="","",IF($E247="","",$E247&amp;"#"&amp;(COUNTIFS($E$4:$E$1463,$E247,$X$4:$X$1463,"&gt;"&amp;$X247)+COUNTIFS($E$4:$E247,$E247,$X$4:$X247,"="&amp;$X247))))</f>
        <v>BARBARIAN#130</v>
      </c>
      <c r="AC247" s="1" t="str">
        <f>IF($C247="","",$B247&amp;"@"&amp;(COUNTIFS($B$4:$B$1463,$B247,$C$4:$C$1463,"&lt;"&amp;$C247)+COUNTIFS($B$4:$B247,$B247,$C$4:$C247,$C247)))</f>
        <v>ACHERON@10</v>
      </c>
      <c r="AD247" s="1">
        <f t="shared" si="19"/>
        <v>244</v>
      </c>
      <c r="AE247" s="1" t="s">
        <v>996</v>
      </c>
      <c r="AF247" s="76">
        <f t="shared" si="20"/>
        <v>62316</v>
      </c>
      <c r="AG247" s="77">
        <f t="shared" si="21"/>
        <v>4.05</v>
      </c>
      <c r="AH247" s="1" t="str">
        <f>IF($C247="","",$B247&amp;"|"&amp;(COUNTIFS($B$4:$B$1463,$B247,$AF$4:$AF$1463,"&gt;"&amp;$AF247)+COUNTIFS($B$4:$B247,$B247,$AF$4:$AF247,"="&amp;$AF247)))</f>
        <v>ACHERON|55</v>
      </c>
      <c r="AI247" s="1" t="str">
        <f>IF($C247="","",$B247&amp;"|"&amp;(COUNTIFS($B$4:$B$1463,$B247,$AG$4:$AG$1463,"&gt;"&amp;$AG247)+COUNTIFS($B$4:$B247,$B247,$AG$4:$AG247,"="&amp;$AG247)))</f>
        <v>ACHERON|71</v>
      </c>
    </row>
    <row r="248" spans="1:35" hidden="1">
      <c r="A248" s="69" t="s">
        <v>106</v>
      </c>
      <c r="B248" s="69" t="s">
        <v>107</v>
      </c>
      <c r="C248" s="63" t="s">
        <v>997</v>
      </c>
      <c r="D248" s="69"/>
      <c r="E248" s="68" t="s">
        <v>73</v>
      </c>
      <c r="F248" s="15" t="str">
        <f>IF($C248="","",IF($E248="","-",IFERROR(INDEX(SETUP!$B$55:$B$64,MATCH($E248,SETUP!$A$55:$A$64,0)),"Other")))</f>
        <v>Frontline</v>
      </c>
      <c r="G248" s="70">
        <v>63376</v>
      </c>
      <c r="H248" s="15" t="str">
        <f>IF($C248="","",IF($G248="","-",INDEX(SETUP!$B$26:$B$32,MATCH($G248,SETUP!$A$26:$A$32,1))))</f>
        <v>63,000 - 63,999</v>
      </c>
      <c r="I248" s="70">
        <v>4203</v>
      </c>
      <c r="J248" s="15" t="str">
        <f>IF($C248="","",IF($I248="","-",INDEX(SETUP!$B$16:$B$22,MATCH($I248,SETUP!$A$16:$A$22,1))))</f>
        <v>CORE</v>
      </c>
      <c r="K248" s="15" t="str">
        <f>IF($C248="","",IF($I248="","-",TEXT(INT($I248/1000)*1000,"#,##0")&amp;" - "&amp;TEXT(INT($I248/1000)*1000+999,"#,##0")))</f>
        <v>4,000 - 4,999</v>
      </c>
      <c r="L248" s="71">
        <v>5.6</v>
      </c>
      <c r="M248" s="15" t="str">
        <f>IF($C248="","",IF($L248="","-",INDEX(SETUP!$B$36:$B$42,MATCH($L248,SETUP!$A$36:$A$42,1))))</f>
        <v>5k - 6k</v>
      </c>
      <c r="N248" s="17">
        <f>IF($C248="","",IF(OR($G248="",$I248=""),"",ROUND(100*(SETUP!$B$4*MIN(1,$I248/SETUP!$B$9)+SETUP!$B$5*MAX(0,MIN(1,($G248-SETUP!$B$10)/(SETUP!$B$11-SETUP!$B$10)))+SETUP!$B$6*MIN(1,IF($L248="",0,$L248)/SETUP!$B$12)),1)))</f>
        <v>49.7</v>
      </c>
      <c r="O248" s="15" t="str">
        <f>IF($C248="","",IF($N248="","-",INDEX(SETUP!$B$46:$B$51,MATCH($N248,SETUP!$A$46:$A$51,1))))</f>
        <v>B</v>
      </c>
      <c r="P248" s="15">
        <f>IF($C248="","",IF($I248="","",RANK($I248,$I$4:$I$1463)+COUNTIF($I$4:$I248,$I248)-1))</f>
        <v>556</v>
      </c>
      <c r="Q248" s="15">
        <f>IF($C248="","",COUNTIFS($B$4:$B$1463,$B248,$X$4:$X$1463,"&gt;"&amp;$X248)+COUNTIFS($B$4:$B248,$B248,$X$4:$X248,"="&amp;$X248))</f>
        <v>48</v>
      </c>
      <c r="R248" s="72">
        <f>IF($C248="","",IF($I248="","",ROUND(COUNTIF($I$4:$I$1463,"&lt;"&amp;$I248)/COUNT($I$4:$I$1463),3)))</f>
        <v>0.57999999999999996</v>
      </c>
      <c r="S248" s="15" t="str">
        <f>IF($C248="","",IF($G248="","Name only",IF(OR($I248="",$L248=""),"Partial","Complete")))</f>
        <v>Complete</v>
      </c>
      <c r="T248" s="41" t="str">
        <f>IF($C248="","",TRIM(IF(COUNTIF($C$4:$C$1463,$C248)&gt;1,"Dup name; ","")&amp;IF(AND($G248&lt;&gt;"",$G248&lt;55000),"Low CR - verify; ","")&amp;IF(AND($L248&lt;&gt;"",$L248&gt;15),"Secondary - verify; ","")&amp;IF($E248="","No class; ","")))</f>
        <v/>
      </c>
      <c r="U248" s="68"/>
      <c r="V248" s="68"/>
      <c r="W248" s="68"/>
      <c r="X248" s="73">
        <f t="shared" si="17"/>
        <v>4203</v>
      </c>
      <c r="Y248" s="41" t="str">
        <f t="shared" si="18"/>
        <v>UNDYING|48</v>
      </c>
      <c r="Z248" s="15">
        <f>IF($C248="","",IF($G248="","",RANK($G248,$G$4:$G$1463)+COUNTIF($G$4:$G248,$G248)-1))</f>
        <v>231</v>
      </c>
      <c r="AA248" s="15">
        <f>IF($C248="","",IF($N248="","",RANK($N248,$N$4:$N$1463)+COUNTIF($N$4:$N248,$N248)-1))</f>
        <v>466</v>
      </c>
      <c r="AB248" s="41" t="str">
        <f>IF($C248="","",IF($E248="","",$E248&amp;"#"&amp;(COUNTIFS($E$4:$E$1463,$E248,$X$4:$X$1463,"&gt;"&amp;$X248)+COUNTIFS($E$4:$E248,$E248,$X$4:$X248,"="&amp;$X248))))</f>
        <v>CRUSADER#66</v>
      </c>
      <c r="AC248" s="41" t="str">
        <f>IF($C248="","",$B248&amp;"@"&amp;(COUNTIFS($B$4:$B$1463,$B248,$C$4:$C$1463,"&lt;"&amp;$C248)+COUNTIFS($B$4:$B248,$B248,$C$4:$C248,$C248)))</f>
        <v>UNDYING@25</v>
      </c>
      <c r="AD248" s="41">
        <f t="shared" si="19"/>
        <v>245</v>
      </c>
      <c r="AE248" s="41" t="s">
        <v>998</v>
      </c>
      <c r="AF248" s="73">
        <f t="shared" si="20"/>
        <v>63376</v>
      </c>
      <c r="AG248" s="74">
        <f t="shared" si="21"/>
        <v>5.6</v>
      </c>
      <c r="AH248" s="41" t="str">
        <f>IF($C248="","",$B248&amp;"|"&amp;(COUNTIFS($B$4:$B$1463,$B248,$AF$4:$AF$1463,"&gt;"&amp;$AF248)+COUNTIFS($B$4:$B248,$B248,$AF$4:$AF248,"="&amp;$AF248)))</f>
        <v>UNDYING|16</v>
      </c>
      <c r="AI248" s="41" t="str">
        <f>IF($C248="","",$B248&amp;"|"&amp;(COUNTIFS($B$4:$B$1463,$B248,$AG$4:$AG$1463,"&gt;"&amp;$AG248)+COUNTIFS($B$4:$B248,$B248,$AG$4:$AG248,"="&amp;$AG248)))</f>
        <v>UNDYING|34</v>
      </c>
    </row>
    <row r="249" spans="1:35" hidden="1">
      <c r="A249" s="69" t="s">
        <v>106</v>
      </c>
      <c r="B249" s="69" t="s">
        <v>86</v>
      </c>
      <c r="C249" s="63" t="s">
        <v>999</v>
      </c>
      <c r="D249" s="69"/>
      <c r="E249" s="68" t="s">
        <v>71</v>
      </c>
      <c r="F249" s="19" t="str">
        <f>IF($C249="","",IF($E249="","-",IFERROR(INDEX(SETUP!$B$55:$B$64,MATCH($E249,SETUP!$A$55:$A$64,0)),"Other")))</f>
        <v>Frontline</v>
      </c>
      <c r="G249" s="70">
        <v>64145</v>
      </c>
      <c r="H249" s="19" t="str">
        <f>IF($C249="","",IF($G249="","-",INDEX(SETUP!$B$26:$B$32,MATCH($G249,SETUP!$A$26:$A$32,1))))</f>
        <v>64,000 +</v>
      </c>
      <c r="I249" s="70">
        <v>9269</v>
      </c>
      <c r="J249" s="19" t="str">
        <f>IF($C249="","",IF($I249="","-",INDEX(SETUP!$B$16:$B$22,MATCH($I249,SETUP!$A$16:$A$22,1))))</f>
        <v>ELITE</v>
      </c>
      <c r="K249" s="19" t="str">
        <f>IF($C249="","",IF($I249="","-",TEXT(INT($I249/1000)*1000,"#,##0")&amp;" - "&amp;TEXT(INT($I249/1000)*1000+999,"#,##0")))</f>
        <v>9,000 - 9,999</v>
      </c>
      <c r="L249" s="71">
        <v>7.04</v>
      </c>
      <c r="M249" s="19" t="str">
        <f>IF($C249="","",IF($L249="","-",INDEX(SETUP!$B$36:$B$42,MATCH($L249,SETUP!$A$36:$A$42,1))))</f>
        <v>6k - 8k</v>
      </c>
      <c r="N249" s="21">
        <f>IF($C249="","",IF(OR($G249="",$I249=""),"",ROUND(100*(SETUP!$B$4*MIN(1,$I249/SETUP!$B$9)+SETUP!$B$5*MAX(0,MIN(1,($G249-SETUP!$B$10)/(SETUP!$B$11-SETUP!$B$10)))+SETUP!$B$6*MIN(1,IF($L249="",0,$L249)/SETUP!$B$12)),1)))</f>
        <v>76.3</v>
      </c>
      <c r="O249" s="19" t="str">
        <f>IF($C249="","",IF($N249="","-",INDEX(SETUP!$B$46:$B$51,MATCH($N249,SETUP!$A$46:$A$51,1))))</f>
        <v>S</v>
      </c>
      <c r="P249" s="19">
        <f>IF($C249="","",IF($I249="","",RANK($I249,$I$4:$I$1463)+COUNTIF($I$4:$I249,$I249)-1))</f>
        <v>82</v>
      </c>
      <c r="Q249" s="19">
        <f>IF($C249="","",COUNTIFS($B$4:$B$1463,$B249,$X$4:$X$1463,"&gt;"&amp;$X249)+COUNTIFS($B$4:$B249,$B249,$X$4:$X249,"="&amp;$X249))</f>
        <v>19</v>
      </c>
      <c r="R249" s="75">
        <f>IF($C249="","",IF($I249="","",ROUND(COUNTIF($I$4:$I$1463,"&lt;"&amp;$I249)/COUNT($I$4:$I$1463),3)))</f>
        <v>0.93799999999999994</v>
      </c>
      <c r="S249" s="19" t="str">
        <f>IF($C249="","",IF($G249="","Name only",IF(OR($I249="",$L249=""),"Partial","Complete")))</f>
        <v>Complete</v>
      </c>
      <c r="T249" s="1" t="str">
        <f>IF($C249="","",TRIM(IF(COUNTIF($C$4:$C$1463,$C249)&gt;1,"Dup name; ","")&amp;IF(AND($G249&lt;&gt;"",$G249&lt;55000),"Low CR - verify; ","")&amp;IF(AND($L249&lt;&gt;"",$L249&gt;15),"Secondary - verify; ","")&amp;IF($E249="","No class; ","")))</f>
        <v/>
      </c>
      <c r="U249" s="68"/>
      <c r="V249" s="68"/>
      <c r="W249" s="68"/>
      <c r="X249" s="76">
        <f t="shared" si="17"/>
        <v>9269</v>
      </c>
      <c r="Y249" s="1" t="str">
        <f t="shared" si="18"/>
        <v>VANGUARD|19</v>
      </c>
      <c r="Z249" s="19">
        <f>IF($C249="","",IF($G249="","",RANK($G249,$G$4:$G$1463)+COUNTIF($G$4:$G249,$G249)-1))</f>
        <v>53</v>
      </c>
      <c r="AA249" s="19">
        <f>IF($C249="","",IF($N249="","",RANK($N249,$N$4:$N$1463)+COUNTIF($N$4:$N249,$N249)-1))</f>
        <v>81</v>
      </c>
      <c r="AB249" s="1" t="str">
        <f>IF($C249="","",IF($E249="","",$E249&amp;"#"&amp;(COUNTIFS($E$4:$E$1463,$E249,$X$4:$X$1463,"&gt;"&amp;$X249)+COUNTIFS($E$4:$E249,$E249,$X$4:$X249,"="&amp;$X249))))</f>
        <v>BARBARIAN#19</v>
      </c>
      <c r="AC249" s="1" t="str">
        <f>IF($C249="","",$B249&amp;"@"&amp;(COUNTIFS($B$4:$B$1463,$B249,$C$4:$C$1463,"&lt;"&amp;$C249)+COUNTIFS($B$4:$B249,$B249,$C$4:$C249,$C249)))</f>
        <v>VANGUARD@25</v>
      </c>
      <c r="AD249" s="1">
        <f t="shared" si="19"/>
        <v>246</v>
      </c>
      <c r="AE249" s="1" t="s">
        <v>1000</v>
      </c>
      <c r="AF249" s="76">
        <f t="shared" si="20"/>
        <v>64145</v>
      </c>
      <c r="AG249" s="77">
        <f t="shared" si="21"/>
        <v>7.04</v>
      </c>
      <c r="AH249" s="1" t="str">
        <f>IF($C249="","",$B249&amp;"|"&amp;(COUNTIFS($B$4:$B$1463,$B249,$AF$4:$AF$1463,"&gt;"&amp;$AF249)+COUNTIFS($B$4:$B249,$B249,$AF$4:$AF249,"="&amp;$AF249)))</f>
        <v>VANGUARD|15</v>
      </c>
      <c r="AI249" s="1" t="str">
        <f>IF($C249="","",$B249&amp;"|"&amp;(COUNTIFS($B$4:$B$1463,$B249,$AG$4:$AG$1463,"&gt;"&amp;$AG249)+COUNTIFS($B$4:$B249,$B249,$AG$4:$AG249,"="&amp;$AG249)))</f>
        <v>VANGUARD|16</v>
      </c>
    </row>
    <row r="250" spans="1:35" hidden="1">
      <c r="A250" s="69" t="s">
        <v>109</v>
      </c>
      <c r="B250" s="69" t="s">
        <v>108</v>
      </c>
      <c r="C250" s="63" t="s">
        <v>1001</v>
      </c>
      <c r="D250" s="69"/>
      <c r="E250" s="68" t="s">
        <v>74</v>
      </c>
      <c r="F250" s="15" t="str">
        <f>IF($C250="","",IF($E250="","-",IFERROR(INDEX(SETUP!$B$55:$B$64,MATCH($E250,SETUP!$A$55:$A$64,0)),"Other")))</f>
        <v>Ranged DPS</v>
      </c>
      <c r="G250" s="70">
        <v>63698</v>
      </c>
      <c r="H250" s="15" t="str">
        <f>IF($C250="","",IF($G250="","-",INDEX(SETUP!$B$26:$B$32,MATCH($G250,SETUP!$A$26:$A$32,1))))</f>
        <v>63,000 - 63,999</v>
      </c>
      <c r="I250" s="70">
        <v>8709</v>
      </c>
      <c r="J250" s="15" t="str">
        <f>IF($C250="","",IF($I250="","-",INDEX(SETUP!$B$16:$B$22,MATCH($I250,SETUP!$A$16:$A$22,1))))</f>
        <v>ELITE</v>
      </c>
      <c r="K250" s="15" t="str">
        <f>IF($C250="","",IF($I250="","-",TEXT(INT($I250/1000)*1000,"#,##0")&amp;" - "&amp;TEXT(INT($I250/1000)*1000+999,"#,##0")))</f>
        <v>8,000 - 8,999</v>
      </c>
      <c r="L250" s="71">
        <v>8.0500000000000007</v>
      </c>
      <c r="M250" s="15" t="str">
        <f>IF($C250="","",IF($L250="","-",INDEX(SETUP!$B$36:$B$42,MATCH($L250,SETUP!$A$36:$A$42,1))))</f>
        <v>8k - 10k</v>
      </c>
      <c r="N250" s="17">
        <f>IF($C250="","",IF(OR($G250="",$I250=""),"",ROUND(100*(SETUP!$B$4*MIN(1,$I250/SETUP!$B$9)+SETUP!$B$5*MAX(0,MIN(1,($G250-SETUP!$B$10)/(SETUP!$B$11-SETUP!$B$10)))+SETUP!$B$6*MIN(1,IF($L250="",0,$L250)/SETUP!$B$12)),1)))</f>
        <v>74.3</v>
      </c>
      <c r="O250" s="15" t="str">
        <f>IF($C250="","",IF($N250="","-",INDEX(SETUP!$B$46:$B$51,MATCH($N250,SETUP!$A$46:$A$51,1))))</f>
        <v>S</v>
      </c>
      <c r="P250" s="15">
        <f>IF($C250="","",IF($I250="","",RANK($I250,$I$4:$I$1463)+COUNTIF($I$4:$I250,$I250)-1))</f>
        <v>108</v>
      </c>
      <c r="Q250" s="15">
        <f>IF($C250="","",COUNTIFS($B$4:$B$1463,$B250,$X$4:$X$1463,"&gt;"&amp;$X250)+COUNTIFS($B$4:$B250,$B250,$X$4:$X250,"="&amp;$X250))</f>
        <v>16</v>
      </c>
      <c r="R250" s="72">
        <f>IF($C250="","",IF($I250="","",ROUND(COUNTIF($I$4:$I$1463,"&lt;"&amp;$I250)/COUNT($I$4:$I$1463),3)))</f>
        <v>0.91800000000000004</v>
      </c>
      <c r="S250" s="15" t="str">
        <f>IF($C250="","",IF($G250="","Name only",IF(OR($I250="",$L250=""),"Partial","Complete")))</f>
        <v>Complete</v>
      </c>
      <c r="T250" s="41" t="str">
        <f>IF($C250="","",TRIM(IF(COUNTIF($C$4:$C$1463,$C250)&gt;1,"Dup name; ","")&amp;IF(AND($G250&lt;&gt;"",$G250&lt;55000),"Low CR - verify; ","")&amp;IF(AND($L250&lt;&gt;"",$L250&gt;15),"Secondary - verify; ","")&amp;IF($E250="","No class; ","")))</f>
        <v/>
      </c>
      <c r="U250" s="68"/>
      <c r="V250" s="68"/>
      <c r="W250" s="68"/>
      <c r="X250" s="73">
        <f t="shared" si="17"/>
        <v>8709</v>
      </c>
      <c r="Y250" s="41" t="str">
        <f t="shared" si="18"/>
        <v>SBG|16</v>
      </c>
      <c r="Z250" s="15">
        <f>IF($C250="","",IF($G250="","",RANK($G250,$G$4:$G$1463)+COUNTIF($G$4:$G250,$G250)-1))</f>
        <v>138</v>
      </c>
      <c r="AA250" s="15">
        <f>IF($C250="","",IF($N250="","",RANK($N250,$N$4:$N$1463)+COUNTIF($N$4:$N250,$N250)-1))</f>
        <v>92</v>
      </c>
      <c r="AB250" s="41" t="str">
        <f>IF($C250="","",IF($E250="","",$E250&amp;"#"&amp;(COUNTIFS($E$4:$E$1463,$E250,$X$4:$X$1463,"&gt;"&amp;$X250)+COUNTIFS($E$4:$E250,$E250,$X$4:$X250,"="&amp;$X250))))</f>
        <v>DEMON HUNTER#20</v>
      </c>
      <c r="AC250" s="41" t="str">
        <f>IF($C250="","",$B250&amp;"@"&amp;(COUNTIFS($B$4:$B$1463,$B250,$C$4:$C$1463,"&lt;"&amp;$C250)+COUNTIFS($B$4:$B250,$B250,$C$4:$C250,$C250)))</f>
        <v>SBG@12</v>
      </c>
      <c r="AD250" s="41">
        <f t="shared" si="19"/>
        <v>247</v>
      </c>
      <c r="AE250" s="41" t="s">
        <v>1002</v>
      </c>
      <c r="AF250" s="73">
        <f t="shared" si="20"/>
        <v>63698</v>
      </c>
      <c r="AG250" s="74">
        <f t="shared" si="21"/>
        <v>8.0500000000000007</v>
      </c>
      <c r="AH250" s="41" t="str">
        <f>IF($C250="","",$B250&amp;"|"&amp;(COUNTIFS($B$4:$B$1463,$B250,$AF$4:$AF$1463,"&gt;"&amp;$AF250)+COUNTIFS($B$4:$B250,$B250,$AF$4:$AF250,"="&amp;$AF250)))</f>
        <v>SBG|25</v>
      </c>
      <c r="AI250" s="41" t="str">
        <f>IF($C250="","",$B250&amp;"|"&amp;(COUNTIFS($B$4:$B$1463,$B250,$AG$4:$AG$1463,"&gt;"&amp;$AG250)+COUNTIFS($B$4:$B250,$B250,$AG$4:$AG250,"="&amp;$AG250)))</f>
        <v>SBG|11</v>
      </c>
    </row>
    <row r="251" spans="1:35" hidden="1">
      <c r="A251" s="69" t="s">
        <v>106</v>
      </c>
      <c r="B251" s="69" t="s">
        <v>107</v>
      </c>
      <c r="C251" s="63" t="s">
        <v>1003</v>
      </c>
      <c r="D251" s="69"/>
      <c r="E251" s="68" t="s">
        <v>71</v>
      </c>
      <c r="F251" s="19" t="str">
        <f>IF($C251="","",IF($E251="","-",IFERROR(INDEX(SETUP!$B$55:$B$64,MATCH($E251,SETUP!$A$55:$A$64,0)),"Other")))</f>
        <v>Frontline</v>
      </c>
      <c r="G251" s="70">
        <v>61343</v>
      </c>
      <c r="H251" s="19" t="str">
        <f>IF($C251="","",IF($G251="","-",INDEX(SETUP!$B$26:$B$32,MATCH($G251,SETUP!$A$26:$A$32,1))))</f>
        <v>61,000 - 61,999</v>
      </c>
      <c r="I251" s="70">
        <v>7102</v>
      </c>
      <c r="J251" s="19" t="str">
        <f>IF($C251="","",IF($I251="","-",INDEX(SETUP!$B$16:$B$22,MATCH($I251,SETUP!$A$16:$A$22,1))))</f>
        <v>VETERAN</v>
      </c>
      <c r="K251" s="19" t="str">
        <f>IF($C251="","",IF($I251="","-",TEXT(INT($I251/1000)*1000,"#,##0")&amp;" - "&amp;TEXT(INT($I251/1000)*1000+999,"#,##0")))</f>
        <v>7,000 - 7,999</v>
      </c>
      <c r="L251" s="71">
        <v>5.87</v>
      </c>
      <c r="M251" s="19" t="str">
        <f>IF($C251="","",IF($L251="","-",INDEX(SETUP!$B$36:$B$42,MATCH($L251,SETUP!$A$36:$A$42,1))))</f>
        <v>5k - 6k</v>
      </c>
      <c r="N251" s="21">
        <f>IF($C251="","",IF(OR($G251="",$I251=""),"",ROUND(100*(SETUP!$B$4*MIN(1,$I251/SETUP!$B$9)+SETUP!$B$5*MAX(0,MIN(1,($G251-SETUP!$B$10)/(SETUP!$B$11-SETUP!$B$10)))+SETUP!$B$6*MIN(1,IF($L251="",0,$L251)/SETUP!$B$12)),1)))</f>
        <v>57.5</v>
      </c>
      <c r="O251" s="19" t="str">
        <f>IF($C251="","",IF($N251="","-",INDEX(SETUP!$B$46:$B$51,MATCH($N251,SETUP!$A$46:$A$51,1))))</f>
        <v>A</v>
      </c>
      <c r="P251" s="19">
        <f>IF($C251="","",IF($I251="","",RANK($I251,$I$4:$I$1463)+COUNTIF($I$4:$I251,$I251)-1))</f>
        <v>218</v>
      </c>
      <c r="Q251" s="19">
        <f>IF($C251="","",COUNTIFS($B$4:$B$1463,$B251,$X$4:$X$1463,"&gt;"&amp;$X251)+COUNTIFS($B$4:$B251,$B251,$X$4:$X251,"="&amp;$X251))</f>
        <v>15</v>
      </c>
      <c r="R251" s="75">
        <f>IF($C251="","",IF($I251="","",ROUND(COUNTIF($I$4:$I$1463,"&lt;"&amp;$I251)/COUNT($I$4:$I$1463),3)))</f>
        <v>0.83499999999999996</v>
      </c>
      <c r="S251" s="19" t="str">
        <f>IF($C251="","",IF($G251="","Name only",IF(OR($I251="",$L251=""),"Partial","Complete")))</f>
        <v>Complete</v>
      </c>
      <c r="T251" s="1" t="str">
        <f>IF($C251="","",TRIM(IF(COUNTIF($C$4:$C$1463,$C251)&gt;1,"Dup name; ","")&amp;IF(AND($G251&lt;&gt;"",$G251&lt;55000),"Low CR - verify; ","")&amp;IF(AND($L251&lt;&gt;"",$L251&gt;15),"Secondary - verify; ","")&amp;IF($E251="","No class; ","")))</f>
        <v/>
      </c>
      <c r="U251" s="68"/>
      <c r="V251" s="68"/>
      <c r="W251" s="68"/>
      <c r="X251" s="76">
        <f t="shared" si="17"/>
        <v>7102</v>
      </c>
      <c r="Y251" s="1" t="str">
        <f t="shared" si="18"/>
        <v>UNDYING|15</v>
      </c>
      <c r="Z251" s="19">
        <f>IF($C251="","",IF($G251="","",RANK($G251,$G$4:$G$1463)+COUNTIF($G$4:$G251,$G251)-1))</f>
        <v>1051</v>
      </c>
      <c r="AA251" s="19">
        <f>IF($C251="","",IF($N251="","",RANK($N251,$N$4:$N$1463)+COUNTIF($N$4:$N251,$N251)-1))</f>
        <v>269</v>
      </c>
      <c r="AB251" s="1" t="str">
        <f>IF($C251="","",IF($E251="","",$E251&amp;"#"&amp;(COUNTIFS($E$4:$E$1463,$E251,$X$4:$X$1463,"&gt;"&amp;$X251)+COUNTIFS($E$4:$E251,$E251,$X$4:$X251,"="&amp;$X251))))</f>
        <v>BARBARIAN#47</v>
      </c>
      <c r="AC251" s="1" t="str">
        <f>IF($C251="","",$B251&amp;"@"&amp;(COUNTIFS($B$4:$B$1463,$B251,$C$4:$C$1463,"&lt;"&amp;$C251)+COUNTIFS($B$4:$B251,$B251,$C$4:$C251,$C251)))</f>
        <v>UNDYING@26</v>
      </c>
      <c r="AD251" s="1">
        <f t="shared" si="19"/>
        <v>248</v>
      </c>
      <c r="AE251" s="1" t="s">
        <v>1004</v>
      </c>
      <c r="AF251" s="76">
        <f t="shared" si="20"/>
        <v>61343</v>
      </c>
      <c r="AG251" s="77">
        <f t="shared" si="21"/>
        <v>5.87</v>
      </c>
      <c r="AH251" s="1" t="str">
        <f>IF($C251="","",$B251&amp;"|"&amp;(COUNTIFS($B$4:$B$1463,$B251,$AF$4:$AF$1463,"&gt;"&amp;$AF251)+COUNTIFS($B$4:$B251,$B251,$AF$4:$AF251,"="&amp;$AF251)))</f>
        <v>UNDYING|92</v>
      </c>
      <c r="AI251" s="1" t="str">
        <f>IF($C251="","",$B251&amp;"|"&amp;(COUNTIFS($B$4:$B$1463,$B251,$AG$4:$AG$1463,"&gt;"&amp;$AG251)+COUNTIFS($B$4:$B251,$B251,$AG$4:$AG251,"="&amp;$AG251)))</f>
        <v>UNDYING|28</v>
      </c>
    </row>
    <row r="252" spans="1:35" hidden="1">
      <c r="A252" s="69" t="s">
        <v>109</v>
      </c>
      <c r="B252" s="69" t="s">
        <v>117</v>
      </c>
      <c r="C252" s="63" t="s">
        <v>1005</v>
      </c>
      <c r="D252" s="69"/>
      <c r="E252" s="68" t="s">
        <v>79</v>
      </c>
      <c r="F252" s="15" t="str">
        <f>IF($C252="","",IF($E252="","-",IFERROR(INDEX(SETUP!$B$55:$B$64,MATCH($E252,SETUP!$A$55:$A$64,0)),"Other")))</f>
        <v>Control</v>
      </c>
      <c r="G252" s="70">
        <v>61922</v>
      </c>
      <c r="H252" s="15" t="str">
        <f>IF($C252="","",IF($G252="","-",INDEX(SETUP!$B$26:$B$32,MATCH($G252,SETUP!$A$26:$A$32,1))))</f>
        <v>61,000 - 61,999</v>
      </c>
      <c r="I252" s="70">
        <v>2099</v>
      </c>
      <c r="J252" s="15" t="str">
        <f>IF($C252="","",IF($I252="","-",INDEX(SETUP!$B$16:$B$22,MATCH($I252,SETUP!$A$16:$A$22,1))))</f>
        <v>DEVELOPING</v>
      </c>
      <c r="K252" s="15" t="str">
        <f>IF($C252="","",IF($I252="","-",TEXT(INT($I252/1000)*1000,"#,##0")&amp;" - "&amp;TEXT(INT($I252/1000)*1000+999,"#,##0")))</f>
        <v>2,000 - 2,999</v>
      </c>
      <c r="L252" s="71">
        <v>3.1</v>
      </c>
      <c r="M252" s="15" t="str">
        <f>IF($C252="","",IF($L252="","-",INDEX(SETUP!$B$36:$B$42,MATCH($L252,SETUP!$A$36:$A$42,1))))</f>
        <v>3k - 4k</v>
      </c>
      <c r="N252" s="17">
        <f>IF($C252="","",IF(OR($G252="",$I252=""),"",ROUND(100*(SETUP!$B$4*MIN(1,$I252/SETUP!$B$9)+SETUP!$B$5*MAX(0,MIN(1,($G252-SETUP!$B$10)/(SETUP!$B$11-SETUP!$B$10)))+SETUP!$B$6*MIN(1,IF($L252="",0,$L252)/SETUP!$B$12)),1)))</f>
        <v>32.5</v>
      </c>
      <c r="O252" s="15" t="str">
        <f>IF($C252="","",IF($N252="","-",INDEX(SETUP!$B$46:$B$51,MATCH($N252,SETUP!$A$46:$A$51,1))))</f>
        <v>C</v>
      </c>
      <c r="P252" s="15">
        <f>IF($C252="","",IF($I252="","",RANK($I252,$I$4:$I$1463)+COUNTIF($I$4:$I252,$I252)-1))</f>
        <v>1090</v>
      </c>
      <c r="Q252" s="15">
        <f>IF($C252="","",COUNTIFS($B$4:$B$1463,$B252,$X$4:$X$1463,"&gt;"&amp;$X252)+COUNTIFS($B$4:$B252,$B252,$X$4:$X252,"="&amp;$X252))</f>
        <v>42</v>
      </c>
      <c r="R252" s="72">
        <f>IF($C252="","",IF($I252="","",ROUND(COUNTIF($I$4:$I$1463,"&lt;"&amp;$I252)/COUNT($I$4:$I$1463),3)))</f>
        <v>0.17699999999999999</v>
      </c>
      <c r="S252" s="15" t="str">
        <f>IF($C252="","",IF($G252="","Name only",IF(OR($I252="",$L252=""),"Partial","Complete")))</f>
        <v>Complete</v>
      </c>
      <c r="T252" s="41" t="str">
        <f>IF($C252="","",TRIM(IF(COUNTIF($C$4:$C$1463,$C252)&gt;1,"Dup name; ","")&amp;IF(AND($G252&lt;&gt;"",$G252&lt;55000),"Low CR - verify; ","")&amp;IF(AND($L252&lt;&gt;"",$L252&gt;15),"Secondary - verify; ","")&amp;IF($E252="","No class; ","")))</f>
        <v/>
      </c>
      <c r="U252" s="68"/>
      <c r="V252" s="68"/>
      <c r="W252" s="68"/>
      <c r="X252" s="73">
        <f t="shared" si="17"/>
        <v>2099</v>
      </c>
      <c r="Y252" s="41" t="str">
        <f t="shared" si="18"/>
        <v>VENDETTA|42</v>
      </c>
      <c r="Z252" s="15">
        <f>IF($C252="","",IF($G252="","",RANK($G252,$G$4:$G$1463)+COUNTIF($G$4:$G252,$G252)-1))</f>
        <v>863</v>
      </c>
      <c r="AA252" s="15">
        <f>IF($C252="","",IF($N252="","",RANK($N252,$N$4:$N$1463)+COUNTIF($N$4:$N252,$N252)-1))</f>
        <v>1080</v>
      </c>
      <c r="AB252" s="41" t="str">
        <f>IF($C252="","",IF($E252="","",$E252&amp;"#"&amp;(COUNTIFS($E$4:$E$1463,$E252,$X$4:$X$1463,"&gt;"&amp;$X252)+COUNTIFS($E$4:$E252,$E252,$X$4:$X252,"="&amp;$X252))))</f>
        <v>WARLOCK#272</v>
      </c>
      <c r="AC252" s="41" t="str">
        <f>IF($C252="","",$B252&amp;"@"&amp;(COUNTIFS($B$4:$B$1463,$B252,$C$4:$C$1463,"&lt;"&amp;$C252)+COUNTIFS($B$4:$B252,$B252,$C$4:$C252,$C252)))</f>
        <v>VENDETTA@20</v>
      </c>
      <c r="AD252" s="41">
        <f t="shared" si="19"/>
        <v>249</v>
      </c>
      <c r="AE252" s="41" t="s">
        <v>1006</v>
      </c>
      <c r="AF252" s="73">
        <f t="shared" si="20"/>
        <v>61922</v>
      </c>
      <c r="AG252" s="74">
        <f t="shared" si="21"/>
        <v>3.1</v>
      </c>
      <c r="AH252" s="41" t="str">
        <f>IF($C252="","",$B252&amp;"|"&amp;(COUNTIFS($B$4:$B$1463,$B252,$AF$4:$AF$1463,"&gt;"&amp;$AF252)+COUNTIFS($B$4:$B252,$B252,$AF$4:$AF252,"="&amp;$AF252)))</f>
        <v>VENDETTA|40</v>
      </c>
      <c r="AI252" s="41" t="str">
        <f>IF($C252="","",$B252&amp;"|"&amp;(COUNTIFS($B$4:$B$1463,$B252,$AG$4:$AG$1463,"&gt;"&amp;$AG252)+COUNTIFS($B$4:$B252,$B252,$AG$4:$AG252,"="&amp;$AG252)))</f>
        <v>VENDETTA|72</v>
      </c>
    </row>
    <row r="253" spans="1:35" hidden="1">
      <c r="A253" s="69" t="s">
        <v>106</v>
      </c>
      <c r="B253" s="69" t="s">
        <v>86</v>
      </c>
      <c r="C253" s="63" t="s">
        <v>1007</v>
      </c>
      <c r="D253" s="69"/>
      <c r="E253" s="68" t="s">
        <v>73</v>
      </c>
      <c r="F253" s="19" t="str">
        <f>IF($C253="","",IF($E253="","-",IFERROR(INDEX(SETUP!$B$55:$B$64,MATCH($E253,SETUP!$A$55:$A$64,0)),"Other")))</f>
        <v>Frontline</v>
      </c>
      <c r="G253" s="70">
        <v>61667</v>
      </c>
      <c r="H253" s="19" t="str">
        <f>IF($C253="","",IF($G253="","-",INDEX(SETUP!$B$26:$B$32,MATCH($G253,SETUP!$A$26:$A$32,1))))</f>
        <v>61,000 - 61,999</v>
      </c>
      <c r="I253" s="70">
        <v>9535</v>
      </c>
      <c r="J253" s="19" t="str">
        <f>IF($C253="","",IF($I253="","-",INDEX(SETUP!$B$16:$B$22,MATCH($I253,SETUP!$A$16:$A$22,1))))</f>
        <v>ELITE</v>
      </c>
      <c r="K253" s="19" t="str">
        <f>IF($C253="","",IF($I253="","-",TEXT(INT($I253/1000)*1000,"#,##0")&amp;" - "&amp;TEXT(INT($I253/1000)*1000+999,"#,##0")))</f>
        <v>9,000 - 9,999</v>
      </c>
      <c r="L253" s="71">
        <v>6.5</v>
      </c>
      <c r="M253" s="19" t="str">
        <f>IF($C253="","",IF($L253="","-",INDEX(SETUP!$B$36:$B$42,MATCH($L253,SETUP!$A$36:$A$42,1))))</f>
        <v>6k - 8k</v>
      </c>
      <c r="N253" s="21">
        <f>IF($C253="","",IF(OR($G253="",$I253=""),"",ROUND(100*(SETUP!$B$4*MIN(1,$I253/SETUP!$B$9)+SETUP!$B$5*MAX(0,MIN(1,($G253-SETUP!$B$10)/(SETUP!$B$11-SETUP!$B$10)))+SETUP!$B$6*MIN(1,IF($L253="",0,$L253)/SETUP!$B$12)),1)))</f>
        <v>70</v>
      </c>
      <c r="O253" s="19" t="str">
        <f>IF($C253="","",IF($N253="","-",INDEX(SETUP!$B$46:$B$51,MATCH($N253,SETUP!$A$46:$A$51,1))))</f>
        <v>S</v>
      </c>
      <c r="P253" s="19">
        <f>IF($C253="","",IF($I253="","",RANK($I253,$I$4:$I$1463)+COUNTIF($I$4:$I253,$I253)-1))</f>
        <v>71</v>
      </c>
      <c r="Q253" s="19">
        <f>IF($C253="","",COUNTIFS($B$4:$B$1463,$B253,$X$4:$X$1463,"&gt;"&amp;$X253)+COUNTIFS($B$4:$B253,$B253,$X$4:$X253,"="&amp;$X253))</f>
        <v>15</v>
      </c>
      <c r="R253" s="75">
        <f>IF($C253="","",IF($I253="","",ROUND(COUNTIF($I$4:$I$1463,"&lt;"&amp;$I253)/COUNT($I$4:$I$1463),3)))</f>
        <v>0.94599999999999995</v>
      </c>
      <c r="S253" s="19" t="str">
        <f>IF($C253="","",IF($G253="","Name only",IF(OR($I253="",$L253=""),"Partial","Complete")))</f>
        <v>Complete</v>
      </c>
      <c r="T253" s="1" t="str">
        <f>IF($C253="","",TRIM(IF(COUNTIF($C$4:$C$1463,$C253)&gt;1,"Dup name; ","")&amp;IF(AND($G253&lt;&gt;"",$G253&lt;55000),"Low CR - verify; ","")&amp;IF(AND($L253&lt;&gt;"",$L253&gt;15),"Secondary - verify; ","")&amp;IF($E253="","No class; ","")))</f>
        <v/>
      </c>
      <c r="U253" s="68"/>
      <c r="V253" s="68"/>
      <c r="W253" s="68"/>
      <c r="X253" s="76">
        <f t="shared" si="17"/>
        <v>9535</v>
      </c>
      <c r="Y253" s="1" t="str">
        <f t="shared" si="18"/>
        <v>VANGUARD|15</v>
      </c>
      <c r="Z253" s="19">
        <f>IF($C253="","",IF($G253="","",RANK($G253,$G$4:$G$1463)+COUNTIF($G$4:$G253,$G253)-1))</f>
        <v>954</v>
      </c>
      <c r="AA253" s="19">
        <f>IF($C253="","",IF($N253="","",RANK($N253,$N$4:$N$1463)+COUNTIF($N$4:$N253,$N253)-1))</f>
        <v>128</v>
      </c>
      <c r="AB253" s="1" t="str">
        <f>IF($C253="","",IF($E253="","",$E253&amp;"#"&amp;(COUNTIFS($E$4:$E$1463,$E253,$X$4:$X$1463,"&gt;"&amp;$X253)+COUNTIFS($E$4:$E253,$E253,$X$4:$X253,"="&amp;$X253))))</f>
        <v>CRUSADER#13</v>
      </c>
      <c r="AC253" s="1" t="str">
        <f>IF($C253="","",$B253&amp;"@"&amp;(COUNTIFS($B$4:$B$1463,$B253,$C$4:$C$1463,"&lt;"&amp;$C253)+COUNTIFS($B$4:$B253,$B253,$C$4:$C253,$C253)))</f>
        <v>VANGUARD@26</v>
      </c>
      <c r="AD253" s="1">
        <f t="shared" si="19"/>
        <v>250</v>
      </c>
      <c r="AE253" s="1" t="s">
        <v>634</v>
      </c>
      <c r="AF253" s="76">
        <f t="shared" si="20"/>
        <v>61667</v>
      </c>
      <c r="AG253" s="77">
        <f t="shared" si="21"/>
        <v>6.5</v>
      </c>
      <c r="AH253" s="1" t="str">
        <f>IF($C253="","",$B253&amp;"|"&amp;(COUNTIFS($B$4:$B$1463,$B253,$AF$4:$AF$1463,"&gt;"&amp;$AF253)+COUNTIFS($B$4:$B253,$B253,$AF$4:$AF253,"="&amp;$AF253)))</f>
        <v>VANGUARD|87</v>
      </c>
      <c r="AI253" s="1" t="str">
        <f>IF($C253="","",$B253&amp;"|"&amp;(COUNTIFS($B$4:$B$1463,$B253,$AG$4:$AG$1463,"&gt;"&amp;$AG253)+COUNTIFS($B$4:$B253,$B253,$AG$4:$AG253,"="&amp;$AG253)))</f>
        <v>VANGUARD|29</v>
      </c>
    </row>
    <row r="254" spans="1:35" hidden="1">
      <c r="A254" s="69" t="s">
        <v>109</v>
      </c>
      <c r="B254" s="69" t="s">
        <v>112</v>
      </c>
      <c r="C254" s="63" t="s">
        <v>1008</v>
      </c>
      <c r="D254" s="69" t="s">
        <v>567</v>
      </c>
      <c r="E254" s="68" t="s">
        <v>79</v>
      </c>
      <c r="F254" s="15" t="str">
        <f>IF($C254="","",IF($E254="","-",IFERROR(INDEX(SETUP!$B$55:$B$64,MATCH($E254,SETUP!$A$55:$A$64,0)),"Other")))</f>
        <v>Control</v>
      </c>
      <c r="G254" s="70">
        <v>63304</v>
      </c>
      <c r="H254" s="15" t="str">
        <f>IF($C254="","",IF($G254="","-",INDEX(SETUP!$B$26:$B$32,MATCH($G254,SETUP!$A$26:$A$32,1))))</f>
        <v>63,000 - 63,999</v>
      </c>
      <c r="I254" s="70">
        <v>5504</v>
      </c>
      <c r="J254" s="15" t="str">
        <f>IF($C254="","",IF($I254="","-",INDEX(SETUP!$B$16:$B$22,MATCH($I254,SETUP!$A$16:$A$22,1))))</f>
        <v>CORE</v>
      </c>
      <c r="K254" s="15" t="str">
        <f>IF($C254="","",IF($I254="","-",TEXT(INT($I254/1000)*1000,"#,##0")&amp;" - "&amp;TEXT(INT($I254/1000)*1000+999,"#,##0")))</f>
        <v>5,000 - 5,999</v>
      </c>
      <c r="L254" s="71">
        <v>5.95</v>
      </c>
      <c r="M254" s="15" t="str">
        <f>IF($C254="","",IF($L254="","-",INDEX(SETUP!$B$36:$B$42,MATCH($L254,SETUP!$A$36:$A$42,1))))</f>
        <v>5k - 6k</v>
      </c>
      <c r="N254" s="17">
        <f>IF($C254="","",IF(OR($G254="",$I254=""),"",ROUND(100*(SETUP!$B$4*MIN(1,$I254/SETUP!$B$9)+SETUP!$B$5*MAX(0,MIN(1,($G254-SETUP!$B$10)/(SETUP!$B$11-SETUP!$B$10)))+SETUP!$B$6*MIN(1,IF($L254="",0,$L254)/SETUP!$B$12)),1)))</f>
        <v>55.8</v>
      </c>
      <c r="O254" s="15" t="str">
        <f>IF($C254="","",IF($N254="","-",INDEX(SETUP!$B$46:$B$51,MATCH($N254,SETUP!$A$46:$A$51,1))))</f>
        <v>A</v>
      </c>
      <c r="P254" s="15">
        <f>IF($C254="","",IF($I254="","",RANK($I254,$I$4:$I$1463)+COUNTIF($I$4:$I254,$I254)-1))</f>
        <v>336</v>
      </c>
      <c r="Q254" s="15">
        <f>IF($C254="","",COUNTIFS($B$4:$B$1463,$B254,$X$4:$X$1463,"&gt;"&amp;$X254)+COUNTIFS($B$4:$B254,$B254,$X$4:$X254,"="&amp;$X254))</f>
        <v>18</v>
      </c>
      <c r="R254" s="72">
        <f>IF($C254="","",IF($I254="","",ROUND(COUNTIF($I$4:$I$1463,"&lt;"&amp;$I254)/COUNT($I$4:$I$1463),3)))</f>
        <v>0.746</v>
      </c>
      <c r="S254" s="15" t="str">
        <f>IF($C254="","",IF($G254="","Name only",IF(OR($I254="",$L254=""),"Partial","Complete")))</f>
        <v>Complete</v>
      </c>
      <c r="T254" s="41" t="str">
        <f>IF($C254="","",TRIM(IF(COUNTIF($C$4:$C$1463,$C254)&gt;1,"Dup name; ","")&amp;IF(AND($G254&lt;&gt;"",$G254&lt;55000),"Low CR - verify; ","")&amp;IF(AND($L254&lt;&gt;"",$L254&gt;15),"Secondary - verify; ","")&amp;IF($E254="","No class; ","")))</f>
        <v/>
      </c>
      <c r="U254" s="68"/>
      <c r="V254" s="68"/>
      <c r="W254" s="68"/>
      <c r="X254" s="73">
        <f t="shared" si="17"/>
        <v>5504</v>
      </c>
      <c r="Y254" s="41" t="str">
        <f t="shared" si="18"/>
        <v>ACHERON|18</v>
      </c>
      <c r="Z254" s="15">
        <f>IF($C254="","",IF($G254="","",RANK($G254,$G$4:$G$1463)+COUNTIF($G$4:$G254,$G254)-1))</f>
        <v>260</v>
      </c>
      <c r="AA254" s="15">
        <f>IF($C254="","",IF($N254="","",RANK($N254,$N$4:$N$1463)+COUNTIF($N$4:$N254,$N254)-1))</f>
        <v>295</v>
      </c>
      <c r="AB254" s="41" t="str">
        <f>IF($C254="","",IF($E254="","",$E254&amp;"#"&amp;(COUNTIFS($E$4:$E$1463,$E254,$X$4:$X$1463,"&gt;"&amp;$X254)+COUNTIFS($E$4:$E254,$E254,$X$4:$X254,"="&amp;$X254))))</f>
        <v>WARLOCK#76</v>
      </c>
      <c r="AC254" s="41" t="str">
        <f>IF($C254="","",$B254&amp;"@"&amp;(COUNTIFS($B$4:$B$1463,$B254,$C$4:$C$1463,"&lt;"&amp;$C254)+COUNTIFS($B$4:$B254,$B254,$C$4:$C254,$C254)))</f>
        <v>ACHERON@11</v>
      </c>
      <c r="AD254" s="41">
        <f t="shared" si="19"/>
        <v>251</v>
      </c>
      <c r="AE254" s="41" t="s">
        <v>1009</v>
      </c>
      <c r="AF254" s="73">
        <f t="shared" si="20"/>
        <v>63304</v>
      </c>
      <c r="AG254" s="74">
        <f t="shared" si="21"/>
        <v>5.95</v>
      </c>
      <c r="AH254" s="41" t="str">
        <f>IF($C254="","",$B254&amp;"|"&amp;(COUNTIFS($B$4:$B$1463,$B254,$AF$4:$AF$1463,"&gt;"&amp;$AF254)+COUNTIFS($B$4:$B254,$B254,$AF$4:$AF254,"="&amp;$AF254)))</f>
        <v>ACHERON|20</v>
      </c>
      <c r="AI254" s="41" t="str">
        <f>IF($C254="","",$B254&amp;"|"&amp;(COUNTIFS($B$4:$B$1463,$B254,$AG$4:$AG$1463,"&gt;"&amp;$AG254)+COUNTIFS($B$4:$B254,$B254,$AG$4:$AG254,"="&amp;$AG254)))</f>
        <v>ACHERON|15</v>
      </c>
    </row>
    <row r="255" spans="1:35" hidden="1">
      <c r="A255" s="69" t="s">
        <v>109</v>
      </c>
      <c r="B255" s="69" t="s">
        <v>117</v>
      </c>
      <c r="C255" s="63" t="s">
        <v>1010</v>
      </c>
      <c r="D255" s="69"/>
      <c r="E255" s="68" t="s">
        <v>77</v>
      </c>
      <c r="F255" s="19" t="str">
        <f>IF($C255="","",IF($E255="","-",IFERROR(INDEX(SETUP!$B$55:$B$64,MATCH($E255,SETUP!$A$55:$A$64,0)),"Other")))</f>
        <v>Control</v>
      </c>
      <c r="G255" s="70">
        <v>62429</v>
      </c>
      <c r="H255" s="19" t="str">
        <f>IF($C255="","",IF($G255="","-",INDEX(SETUP!$B$26:$B$32,MATCH($G255,SETUP!$A$26:$A$32,1))))</f>
        <v>62,000 - 62,999</v>
      </c>
      <c r="I255" s="70">
        <v>972</v>
      </c>
      <c r="J255" s="19" t="str">
        <f>IF($C255="","",IF($I255="","-",INDEX(SETUP!$B$16:$B$22,MATCH($I255,SETUP!$A$16:$A$22,1))))</f>
        <v>ROOKIE</v>
      </c>
      <c r="K255" s="19" t="str">
        <f>IF($C255="","",IF($I255="","-",TEXT(INT($I255/1000)*1000,"#,##0")&amp;" - "&amp;TEXT(INT($I255/1000)*1000+999,"#,##0")))</f>
        <v>0 - 999</v>
      </c>
      <c r="L255" s="71">
        <v>3.3</v>
      </c>
      <c r="M255" s="19" t="str">
        <f>IF($C255="","",IF($L255="","-",INDEX(SETUP!$B$36:$B$42,MATCH($L255,SETUP!$A$36:$A$42,1))))</f>
        <v>3k - 4k</v>
      </c>
      <c r="N255" s="21">
        <f>IF($C255="","",IF(OR($G255="",$I255=""),"",ROUND(100*(SETUP!$B$4*MIN(1,$I255/SETUP!$B$9)+SETUP!$B$5*MAX(0,MIN(1,($G255-SETUP!$B$10)/(SETUP!$B$11-SETUP!$B$10)))+SETUP!$B$6*MIN(1,IF($L255="",0,$L255)/SETUP!$B$12)),1)))</f>
        <v>29.3</v>
      </c>
      <c r="O255" s="19" t="str">
        <f>IF($C255="","",IF($N255="","-",INDEX(SETUP!$B$46:$B$51,MATCH($N255,SETUP!$A$46:$A$51,1))))</f>
        <v>C</v>
      </c>
      <c r="P255" s="19">
        <f>IF($C255="","",IF($I255="","",RANK($I255,$I$4:$I$1463)+COUNTIF($I$4:$I255,$I255)-1))</f>
        <v>1280</v>
      </c>
      <c r="Q255" s="19">
        <f>IF($C255="","",COUNTIFS($B$4:$B$1463,$B255,$X$4:$X$1463,"&gt;"&amp;$X255)+COUNTIFS($B$4:$B255,$B255,$X$4:$X255,"="&amp;$X255))</f>
        <v>86</v>
      </c>
      <c r="R255" s="75">
        <f>IF($C255="","",IF($I255="","",ROUND(COUNTIF($I$4:$I$1463,"&lt;"&amp;$I255)/COUNT($I$4:$I$1463),3)))</f>
        <v>3.4000000000000002E-2</v>
      </c>
      <c r="S255" s="19" t="str">
        <f>IF($C255="","",IF($G255="","Name only",IF(OR($I255="",$L255=""),"Partial","Complete")))</f>
        <v>Complete</v>
      </c>
      <c r="T255" s="1" t="str">
        <f>IF($C255="","",TRIM(IF(COUNTIF($C$4:$C$1463,$C255)&gt;1,"Dup name; ","")&amp;IF(AND($G255&lt;&gt;"",$G255&lt;55000),"Low CR - verify; ","")&amp;IF(AND($L255&lt;&gt;"",$L255&gt;15),"Secondary - verify; ","")&amp;IF($E255="","No class; ","")))</f>
        <v/>
      </c>
      <c r="U255" s="68"/>
      <c r="V255" s="68"/>
      <c r="W255" s="68"/>
      <c r="X255" s="76">
        <f t="shared" si="17"/>
        <v>972</v>
      </c>
      <c r="Y255" s="1" t="str">
        <f t="shared" si="18"/>
        <v>VENDETTA|86</v>
      </c>
      <c r="Z255" s="19">
        <f>IF($C255="","",IF($G255="","",RANK($G255,$G$4:$G$1463)+COUNTIF($G$4:$G255,$G255)-1))</f>
        <v>677</v>
      </c>
      <c r="AA255" s="19">
        <f>IF($C255="","",IF($N255="","",RANK($N255,$N$4:$N$1463)+COUNTIF($N$4:$N255,$N255)-1))</f>
        <v>1162</v>
      </c>
      <c r="AB255" s="1" t="str">
        <f>IF($C255="","",IF($E255="","",$E255&amp;"#"&amp;(COUNTIFS($E$4:$E$1463,$E255,$X$4:$X$1463,"&gt;"&amp;$X255)+COUNTIFS($E$4:$E255,$E255,$X$4:$X255,"="&amp;$X255))))</f>
        <v>NECROMANCER#99</v>
      </c>
      <c r="AC255" s="1" t="str">
        <f>IF($C255="","",$B255&amp;"@"&amp;(COUNTIFS($B$4:$B$1463,$B255,$C$4:$C$1463,"&lt;"&amp;$C255)+COUNTIFS($B$4:$B255,$B255,$C$4:$C255,$C255)))</f>
        <v>VENDETTA@21</v>
      </c>
      <c r="AD255" s="1">
        <f t="shared" si="19"/>
        <v>252</v>
      </c>
      <c r="AE255" s="1" t="s">
        <v>624</v>
      </c>
      <c r="AF255" s="76">
        <f t="shared" si="20"/>
        <v>62429</v>
      </c>
      <c r="AG255" s="77">
        <f t="shared" si="21"/>
        <v>3.3</v>
      </c>
      <c r="AH255" s="1" t="str">
        <f>IF($C255="","",$B255&amp;"|"&amp;(COUNTIFS($B$4:$B$1463,$B255,$AF$4:$AF$1463,"&gt;"&amp;$AF255)+COUNTIFS($B$4:$B255,$B255,$AF$4:$AF255,"="&amp;$AF255)))</f>
        <v>VENDETTA|23</v>
      </c>
      <c r="AI255" s="1" t="str">
        <f>IF($C255="","",$B255&amp;"|"&amp;(COUNTIFS($B$4:$B$1463,$B255,$AG$4:$AG$1463,"&gt;"&amp;$AG255)+COUNTIFS($B$4:$B255,$B255,$AG$4:$AG255,"="&amp;$AG255)))</f>
        <v>VENDETTA|65</v>
      </c>
    </row>
    <row r="256" spans="1:35" hidden="1">
      <c r="A256" s="69" t="s">
        <v>109</v>
      </c>
      <c r="B256" s="69" t="s">
        <v>110</v>
      </c>
      <c r="C256" s="63" t="s">
        <v>1011</v>
      </c>
      <c r="D256" s="69"/>
      <c r="E256" s="68" t="s">
        <v>71</v>
      </c>
      <c r="F256" s="15" t="str">
        <f>IF($C256="","",IF($E256="","-",IFERROR(INDEX(SETUP!$B$55:$B$64,MATCH($E256,SETUP!$A$55:$A$64,0)),"Other")))</f>
        <v>Frontline</v>
      </c>
      <c r="G256" s="70">
        <v>62742</v>
      </c>
      <c r="H256" s="15" t="str">
        <f>IF($C256="","",IF($G256="","-",INDEX(SETUP!$B$26:$B$32,MATCH($G256,SETUP!$A$26:$A$32,1))))</f>
        <v>62,000 - 62,999</v>
      </c>
      <c r="I256" s="70">
        <v>5563</v>
      </c>
      <c r="J256" s="15" t="str">
        <f>IF($C256="","",IF($I256="","-",INDEX(SETUP!$B$16:$B$22,MATCH($I256,SETUP!$A$16:$A$22,1))))</f>
        <v>CORE</v>
      </c>
      <c r="K256" s="15" t="str">
        <f>IF($C256="","",IF($I256="","-",TEXT(INT($I256/1000)*1000,"#,##0")&amp;" - "&amp;TEXT(INT($I256/1000)*1000+999,"#,##0")))</f>
        <v>5,000 - 5,999</v>
      </c>
      <c r="L256" s="71">
        <v>5</v>
      </c>
      <c r="M256" s="15" t="str">
        <f>IF($C256="","",IF($L256="","-",INDEX(SETUP!$B$36:$B$42,MATCH($L256,SETUP!$A$36:$A$42,1))))</f>
        <v>5k - 6k</v>
      </c>
      <c r="N256" s="17">
        <f>IF($C256="","",IF(OR($G256="",$I256=""),"",ROUND(100*(SETUP!$B$4*MIN(1,$I256/SETUP!$B$9)+SETUP!$B$5*MAX(0,MIN(1,($G256-SETUP!$B$10)/(SETUP!$B$11-SETUP!$B$10)))+SETUP!$B$6*MIN(1,IF($L256="",0,$L256)/SETUP!$B$12)),1)))</f>
        <v>53</v>
      </c>
      <c r="O256" s="15" t="str">
        <f>IF($C256="","",IF($N256="","-",INDEX(SETUP!$B$46:$B$51,MATCH($N256,SETUP!$A$46:$A$51,1))))</f>
        <v>A</v>
      </c>
      <c r="P256" s="15">
        <f>IF($C256="","",IF($I256="","",RANK($I256,$I$4:$I$1463)+COUNTIF($I$4:$I256,$I256)-1))</f>
        <v>328</v>
      </c>
      <c r="Q256" s="15">
        <f>IF($C256="","",COUNTIFS($B$4:$B$1463,$B256,$X$4:$X$1463,"&gt;"&amp;$X256)+COUNTIFS($B$4:$B256,$B256,$X$4:$X256,"="&amp;$X256))</f>
        <v>41</v>
      </c>
      <c r="R256" s="72">
        <f>IF($C256="","",IF($I256="","",ROUND(COUNTIF($I$4:$I$1463,"&lt;"&amp;$I256)/COUNT($I$4:$I$1463),3)))</f>
        <v>0.752</v>
      </c>
      <c r="S256" s="15" t="str">
        <f>IF($C256="","",IF($G256="","Name only",IF(OR($I256="",$L256=""),"Partial","Complete")))</f>
        <v>Complete</v>
      </c>
      <c r="T256" s="41" t="str">
        <f>IF($C256="","",TRIM(IF(COUNTIF($C$4:$C$1463,$C256)&gt;1,"Dup name; ","")&amp;IF(AND($G256&lt;&gt;"",$G256&lt;55000),"Low CR - verify; ","")&amp;IF(AND($L256&lt;&gt;"",$L256&gt;15),"Secondary - verify; ","")&amp;IF($E256="","No class; ","")))</f>
        <v/>
      </c>
      <c r="U256" s="68"/>
      <c r="V256" s="68"/>
      <c r="W256" s="68"/>
      <c r="X256" s="73">
        <f t="shared" si="17"/>
        <v>5563</v>
      </c>
      <c r="Y256" s="41" t="str">
        <f t="shared" si="18"/>
        <v>AZUKI|41</v>
      </c>
      <c r="Z256" s="15">
        <f>IF($C256="","",IF($G256="","",RANK($G256,$G$4:$G$1463)+COUNTIF($G$4:$G256,$G256)-1))</f>
        <v>549</v>
      </c>
      <c r="AA256" s="15">
        <f>IF($C256="","",IF($N256="","",RANK($N256,$N$4:$N$1463)+COUNTIF($N$4:$N256,$N256)-1))</f>
        <v>365</v>
      </c>
      <c r="AB256" s="41" t="str">
        <f>IF($C256="","",IF($E256="","",$E256&amp;"#"&amp;(COUNTIFS($E$4:$E$1463,$E256,$X$4:$X$1463,"&gt;"&amp;$X256)+COUNTIFS($E$4:$E256,$E256,$X$4:$X256,"="&amp;$X256))))</f>
        <v>BARBARIAN#66</v>
      </c>
      <c r="AC256" s="41" t="str">
        <f>IF($C256="","",$B256&amp;"@"&amp;(COUNTIFS($B$4:$B$1463,$B256,$C$4:$C$1463,"&lt;"&amp;$C256)+COUNTIFS($B$4:$B256,$B256,$C$4:$C256,$C256)))</f>
        <v>AZUKI@25</v>
      </c>
      <c r="AD256" s="41">
        <f t="shared" si="19"/>
        <v>253</v>
      </c>
      <c r="AE256" s="41" t="s">
        <v>790</v>
      </c>
      <c r="AF256" s="73">
        <f t="shared" si="20"/>
        <v>62742</v>
      </c>
      <c r="AG256" s="74">
        <f t="shared" si="21"/>
        <v>5</v>
      </c>
      <c r="AH256" s="41" t="str">
        <f>IF($C256="","",$B256&amp;"|"&amp;(COUNTIFS($B$4:$B$1463,$B256,$AF$4:$AF$1463,"&gt;"&amp;$AF256)+COUNTIFS($B$4:$B256,$B256,$AF$4:$AF256,"="&amp;$AF256)))</f>
        <v>AZUKI|51</v>
      </c>
      <c r="AI256" s="41" t="str">
        <f>IF($C256="","",$B256&amp;"|"&amp;(COUNTIFS($B$4:$B$1463,$B256,$AG$4:$AG$1463,"&gt;"&amp;$AG256)+COUNTIFS($B$4:$B256,$B256,$AG$4:$AG256,"="&amp;$AG256)))</f>
        <v>AZUKI|68</v>
      </c>
    </row>
    <row r="257" spans="1:35" hidden="1">
      <c r="A257" s="69" t="s">
        <v>109</v>
      </c>
      <c r="B257" s="69" t="s">
        <v>115</v>
      </c>
      <c r="C257" s="63" t="s">
        <v>1012</v>
      </c>
      <c r="D257" s="69"/>
      <c r="E257" s="68" t="s">
        <v>77</v>
      </c>
      <c r="F257" s="19" t="str">
        <f>IF($C257="","",IF($E257="","-",IFERROR(INDEX(SETUP!$B$55:$B$64,MATCH($E257,SETUP!$A$55:$A$64,0)),"Other")))</f>
        <v>Control</v>
      </c>
      <c r="G257" s="70">
        <v>61529</v>
      </c>
      <c r="H257" s="19" t="str">
        <f>IF($C257="","",IF($G257="","-",INDEX(SETUP!$B$26:$B$32,MATCH($G257,SETUP!$A$26:$A$32,1))))</f>
        <v>61,000 - 61,999</v>
      </c>
      <c r="I257" s="70">
        <v>3149</v>
      </c>
      <c r="J257" s="19" t="str">
        <f>IF($C257="","",IF($I257="","-",INDEX(SETUP!$B$16:$B$22,MATCH($I257,SETUP!$A$16:$A$22,1))))</f>
        <v>DEVELOPING</v>
      </c>
      <c r="K257" s="19" t="str">
        <f>IF($C257="","",IF($I257="","-",TEXT(INT($I257/1000)*1000,"#,##0")&amp;" - "&amp;TEXT(INT($I257/1000)*1000+999,"#,##0")))</f>
        <v>3,000 - 3,999</v>
      </c>
      <c r="L257" s="71">
        <v>3.6</v>
      </c>
      <c r="M257" s="19" t="str">
        <f>IF($C257="","",IF($L257="","-",INDEX(SETUP!$B$36:$B$42,MATCH($L257,SETUP!$A$36:$A$42,1))))</f>
        <v>3k - 4k</v>
      </c>
      <c r="N257" s="21">
        <f>IF($C257="","",IF(OR($G257="",$I257=""),"",ROUND(100*(SETUP!$B$4*MIN(1,$I257/SETUP!$B$9)+SETUP!$B$5*MAX(0,MIN(1,($G257-SETUP!$B$10)/(SETUP!$B$11-SETUP!$B$10)))+SETUP!$B$6*MIN(1,IF($L257="",0,$L257)/SETUP!$B$12)),1)))</f>
        <v>36.9</v>
      </c>
      <c r="O257" s="19" t="str">
        <f>IF($C257="","",IF($N257="","-",INDEX(SETUP!$B$46:$B$51,MATCH($N257,SETUP!$A$46:$A$51,1))))</f>
        <v>B</v>
      </c>
      <c r="P257" s="19">
        <f>IF($C257="","",IF($I257="","",RANK($I257,$I$4:$I$1463)+COUNTIF($I$4:$I257,$I257)-1))</f>
        <v>839</v>
      </c>
      <c r="Q257" s="19">
        <f>IF($C257="","",COUNTIFS($B$4:$B$1463,$B257,$X$4:$X$1463,"&gt;"&amp;$X257)+COUNTIFS($B$4:$B257,$B257,$X$4:$X257,"="&amp;$X257))</f>
        <v>22</v>
      </c>
      <c r="R257" s="75">
        <f>IF($C257="","",IF($I257="","",ROUND(COUNTIF($I$4:$I$1463,"&lt;"&amp;$I257)/COUNT($I$4:$I$1463),3)))</f>
        <v>0.36699999999999999</v>
      </c>
      <c r="S257" s="19" t="str">
        <f>IF($C257="","",IF($G257="","Name only",IF(OR($I257="",$L257=""),"Partial","Complete")))</f>
        <v>Complete</v>
      </c>
      <c r="T257" s="1" t="str">
        <f>IF($C257="","",TRIM(IF(COUNTIF($C$4:$C$1463,$C257)&gt;1,"Dup name; ","")&amp;IF(AND($G257&lt;&gt;"",$G257&lt;55000),"Low CR - verify; ","")&amp;IF(AND($L257&lt;&gt;"",$L257&gt;15),"Secondary - verify; ","")&amp;IF($E257="","No class; ","")))</f>
        <v/>
      </c>
      <c r="U257" s="68"/>
      <c r="V257" s="68"/>
      <c r="W257" s="68"/>
      <c r="X257" s="76">
        <f t="shared" si="17"/>
        <v>3149</v>
      </c>
      <c r="Y257" s="1" t="str">
        <f t="shared" si="18"/>
        <v>SUB ROSA|22</v>
      </c>
      <c r="Z257" s="19">
        <f>IF($C257="","",IF($G257="","",RANK($G257,$G$4:$G$1463)+COUNTIF($G$4:$G257,$G257)-1))</f>
        <v>998</v>
      </c>
      <c r="AA257" s="19">
        <f>IF($C257="","",IF($N257="","",RANK($N257,$N$4:$N$1463)+COUNTIF($N$4:$N257,$N257)-1))</f>
        <v>932</v>
      </c>
      <c r="AB257" s="1" t="str">
        <f>IF($C257="","",IF($E257="","",$E257&amp;"#"&amp;(COUNTIFS($E$4:$E$1463,$E257,$X$4:$X$1463,"&gt;"&amp;$X257)+COUNTIFS($E$4:$E257,$E257,$X$4:$X257,"="&amp;$X257))))</f>
        <v>NECROMANCER#42</v>
      </c>
      <c r="AC257" s="1" t="str">
        <f>IF($C257="","",$B257&amp;"@"&amp;(COUNTIFS($B$4:$B$1463,$B257,$C$4:$C$1463,"&lt;"&amp;$C257)+COUNTIFS($B$4:$B257,$B257,$C$4:$C257,$C257)))</f>
        <v>SUB ROSA@15</v>
      </c>
      <c r="AD257" s="1">
        <f t="shared" si="19"/>
        <v>254</v>
      </c>
      <c r="AE257" s="1" t="s">
        <v>925</v>
      </c>
      <c r="AF257" s="76">
        <f t="shared" si="20"/>
        <v>61529</v>
      </c>
      <c r="AG257" s="77">
        <f t="shared" si="21"/>
        <v>3.6</v>
      </c>
      <c r="AH257" s="1" t="str">
        <f>IF($C257="","",$B257&amp;"|"&amp;(COUNTIFS($B$4:$B$1463,$B257,$AF$4:$AF$1463,"&gt;"&amp;$AF257)+COUNTIFS($B$4:$B257,$B257,$AF$4:$AF257,"="&amp;$AF257)))</f>
        <v>SUB ROSA|45</v>
      </c>
      <c r="AI257" s="1" t="str">
        <f>IF($C257="","",$B257&amp;"|"&amp;(COUNTIFS($B$4:$B$1463,$B257,$AG$4:$AG$1463,"&gt;"&amp;$AG257)+COUNTIFS($B$4:$B257,$B257,$AG$4:$AG257,"="&amp;$AG257)))</f>
        <v>SUB ROSA|34</v>
      </c>
    </row>
    <row r="258" spans="1:35" hidden="1">
      <c r="A258" s="69" t="s">
        <v>106</v>
      </c>
      <c r="B258" s="69" t="s">
        <v>107</v>
      </c>
      <c r="C258" s="63" t="s">
        <v>1013</v>
      </c>
      <c r="D258" s="69"/>
      <c r="E258" s="68" t="s">
        <v>74</v>
      </c>
      <c r="F258" s="15" t="str">
        <f>IF($C258="","",IF($E258="","-",IFERROR(INDEX(SETUP!$B$55:$B$64,MATCH($E258,SETUP!$A$55:$A$64,0)),"Other")))</f>
        <v>Ranged DPS</v>
      </c>
      <c r="G258" s="70">
        <v>62951</v>
      </c>
      <c r="H258" s="15" t="str">
        <f>IF($C258="","",IF($G258="","-",INDEX(SETUP!$B$26:$B$32,MATCH($G258,SETUP!$A$26:$A$32,1))))</f>
        <v>62,000 - 62,999</v>
      </c>
      <c r="I258" s="70">
        <v>2794</v>
      </c>
      <c r="J258" s="15" t="str">
        <f>IF($C258="","",IF($I258="","-",INDEX(SETUP!$B$16:$B$22,MATCH($I258,SETUP!$A$16:$A$22,1))))</f>
        <v>DEVELOPING</v>
      </c>
      <c r="K258" s="15" t="str">
        <f>IF($C258="","",IF($I258="","-",TEXT(INT($I258/1000)*1000,"#,##0")&amp;" - "&amp;TEXT(INT($I258/1000)*1000+999,"#,##0")))</f>
        <v>2,000 - 2,999</v>
      </c>
      <c r="L258" s="71">
        <v>3.85</v>
      </c>
      <c r="M258" s="15" t="str">
        <f>IF($C258="","",IF($L258="","-",INDEX(SETUP!$B$36:$B$42,MATCH($L258,SETUP!$A$36:$A$42,1))))</f>
        <v>3k - 4k</v>
      </c>
      <c r="N258" s="17">
        <f>IF($C258="","",IF(OR($G258="",$I258=""),"",ROUND(100*(SETUP!$B$4*MIN(1,$I258/SETUP!$B$9)+SETUP!$B$5*MAX(0,MIN(1,($G258-SETUP!$B$10)/(SETUP!$B$11-SETUP!$B$10)))+SETUP!$B$6*MIN(1,IF($L258="",0,$L258)/SETUP!$B$12)),1)))</f>
        <v>39.5</v>
      </c>
      <c r="O258" s="15" t="str">
        <f>IF($C258="","",IF($N258="","-",INDEX(SETUP!$B$46:$B$51,MATCH($N258,SETUP!$A$46:$A$51,1))))</f>
        <v>B</v>
      </c>
      <c r="P258" s="15">
        <f>IF($C258="","",IF($I258="","",RANK($I258,$I$4:$I$1463)+COUNTIF($I$4:$I258,$I258)-1))</f>
        <v>936</v>
      </c>
      <c r="Q258" s="15">
        <f>IF($C258="","",COUNTIFS($B$4:$B$1463,$B258,$X$4:$X$1463,"&gt;"&amp;$X258)+COUNTIFS($B$4:$B258,$B258,$X$4:$X258,"="&amp;$X258))</f>
        <v>86</v>
      </c>
      <c r="R258" s="72">
        <f>IF($C258="","",IF($I258="","",ROUND(COUNTIF($I$4:$I$1463,"&lt;"&amp;$I258)/COUNT($I$4:$I$1463),3)))</f>
        <v>0.29399999999999998</v>
      </c>
      <c r="S258" s="15" t="str">
        <f>IF($C258="","",IF($G258="","Name only",IF(OR($I258="",$L258=""),"Partial","Complete")))</f>
        <v>Complete</v>
      </c>
      <c r="T258" s="41" t="str">
        <f>IF($C258="","",TRIM(IF(COUNTIF($C$4:$C$1463,$C258)&gt;1,"Dup name; ","")&amp;IF(AND($G258&lt;&gt;"",$G258&lt;55000),"Low CR - verify; ","")&amp;IF(AND($L258&lt;&gt;"",$L258&gt;15),"Secondary - verify; ","")&amp;IF($E258="","No class; ","")))</f>
        <v/>
      </c>
      <c r="U258" s="68"/>
      <c r="V258" s="68"/>
      <c r="W258" s="68"/>
      <c r="X258" s="73">
        <f t="shared" si="17"/>
        <v>2794</v>
      </c>
      <c r="Y258" s="41" t="str">
        <f t="shared" si="18"/>
        <v>UNDYING|86</v>
      </c>
      <c r="Z258" s="15">
        <f>IF($C258="","",IF($G258="","",RANK($G258,$G$4:$G$1463)+COUNTIF($G$4:$G258,$G258)-1))</f>
        <v>449</v>
      </c>
      <c r="AA258" s="15">
        <f>IF($C258="","",IF($N258="","",RANK($N258,$N$4:$N$1463)+COUNTIF($N$4:$N258,$N258)-1))</f>
        <v>841</v>
      </c>
      <c r="AB258" s="41" t="str">
        <f>IF($C258="","",IF($E258="","",$E258&amp;"#"&amp;(COUNTIFS($E$4:$E$1463,$E258,$X$4:$X$1463,"&gt;"&amp;$X258)+COUNTIFS($E$4:$E258,$E258,$X$4:$X258,"="&amp;$X258))))</f>
        <v>DEMON HUNTER#150</v>
      </c>
      <c r="AC258" s="41" t="str">
        <f>IF($C258="","",$B258&amp;"@"&amp;(COUNTIFS($B$4:$B$1463,$B258,$C$4:$C$1463,"&lt;"&amp;$C258)+COUNTIFS($B$4:$B258,$B258,$C$4:$C258,$C258)))</f>
        <v>UNDYING@27</v>
      </c>
      <c r="AD258" s="41">
        <f t="shared" si="19"/>
        <v>255</v>
      </c>
      <c r="AE258" s="41" t="s">
        <v>950</v>
      </c>
      <c r="AF258" s="73">
        <f t="shared" si="20"/>
        <v>62951</v>
      </c>
      <c r="AG258" s="74">
        <f t="shared" si="21"/>
        <v>3.85</v>
      </c>
      <c r="AH258" s="41" t="str">
        <f>IF($C258="","",$B258&amp;"|"&amp;(COUNTIFS($B$4:$B$1463,$B258,$AF$4:$AF$1463,"&gt;"&amp;$AF258)+COUNTIFS($B$4:$B258,$B258,$AF$4:$AF258,"="&amp;$AF258)))</f>
        <v>UNDYING|44</v>
      </c>
      <c r="AI258" s="41" t="str">
        <f>IF($C258="","",$B258&amp;"|"&amp;(COUNTIFS($B$4:$B$1463,$B258,$AG$4:$AG$1463,"&gt;"&amp;$AG258)+COUNTIFS($B$4:$B258,$B258,$AG$4:$AG258,"="&amp;$AG258)))</f>
        <v>UNDYING|84</v>
      </c>
    </row>
    <row r="259" spans="1:35" hidden="1">
      <c r="A259" s="69" t="s">
        <v>109</v>
      </c>
      <c r="B259" s="69" t="s">
        <v>116</v>
      </c>
      <c r="C259" s="63" t="s">
        <v>1014</v>
      </c>
      <c r="D259" s="69" t="s">
        <v>530</v>
      </c>
      <c r="E259" s="68" t="s">
        <v>73</v>
      </c>
      <c r="F259" s="19" t="str">
        <f>IF($C259="","",IF($E259="","-",IFERROR(INDEX(SETUP!$B$55:$B$64,MATCH($E259,SETUP!$A$55:$A$64,0)),"Other")))</f>
        <v>Frontline</v>
      </c>
      <c r="G259" s="70">
        <v>61872</v>
      </c>
      <c r="H259" s="19" t="str">
        <f>IF($C259="","",IF($G259="","-",INDEX(SETUP!$B$26:$B$32,MATCH($G259,SETUP!$A$26:$A$32,1))))</f>
        <v>61,000 - 61,999</v>
      </c>
      <c r="I259" s="70">
        <v>3418</v>
      </c>
      <c r="J259" s="19" t="str">
        <f>IF($C259="","",IF($I259="","-",INDEX(SETUP!$B$16:$B$22,MATCH($I259,SETUP!$A$16:$A$22,1))))</f>
        <v>DEVELOPING</v>
      </c>
      <c r="K259" s="19" t="str">
        <f>IF($C259="","",IF($I259="","-",TEXT(INT($I259/1000)*1000,"#,##0")&amp;" - "&amp;TEXT(INT($I259/1000)*1000+999,"#,##0")))</f>
        <v>3,000 - 3,999</v>
      </c>
      <c r="L259" s="71">
        <v>3.6</v>
      </c>
      <c r="M259" s="19" t="str">
        <f>IF($C259="","",IF($L259="","-",INDEX(SETUP!$B$36:$B$42,MATCH($L259,SETUP!$A$36:$A$42,1))))</f>
        <v>3k - 4k</v>
      </c>
      <c r="N259" s="21">
        <f>IF($C259="","",IF(OR($G259="",$I259=""),"",ROUND(100*(SETUP!$B$4*MIN(1,$I259/SETUP!$B$9)+SETUP!$B$5*MAX(0,MIN(1,($G259-SETUP!$B$10)/(SETUP!$B$11-SETUP!$B$10)))+SETUP!$B$6*MIN(1,IF($L259="",0,$L259)/SETUP!$B$12)),1)))</f>
        <v>39</v>
      </c>
      <c r="O259" s="19" t="str">
        <f>IF($C259="","",IF($N259="","-",INDEX(SETUP!$B$46:$B$51,MATCH($N259,SETUP!$A$46:$A$51,1))))</f>
        <v>B</v>
      </c>
      <c r="P259" s="19">
        <f>IF($C259="","",IF($I259="","",RANK($I259,$I$4:$I$1463)+COUNTIF($I$4:$I259,$I259)-1))</f>
        <v>752</v>
      </c>
      <c r="Q259" s="19">
        <f>IF($C259="","",COUNTIFS($B$4:$B$1463,$B259,$X$4:$X$1463,"&gt;"&amp;$X259)+COUNTIFS($B$4:$B259,$B259,$X$4:$X259,"="&amp;$X259))</f>
        <v>47</v>
      </c>
      <c r="R259" s="75">
        <f>IF($C259="","",IF($I259="","",ROUND(COUNTIF($I$4:$I$1463,"&lt;"&amp;$I259)/COUNT($I$4:$I$1463),3)))</f>
        <v>0.432</v>
      </c>
      <c r="S259" s="19" t="str">
        <f>IF($C259="","",IF($G259="","Name only",IF(OR($I259="",$L259=""),"Partial","Complete")))</f>
        <v>Complete</v>
      </c>
      <c r="T259" s="1" t="str">
        <f>IF($C259="","",TRIM(IF(COUNTIF($C$4:$C$1463,$C259)&gt;1,"Dup name; ","")&amp;IF(AND($G259&lt;&gt;"",$G259&lt;55000),"Low CR - verify; ","")&amp;IF(AND($L259&lt;&gt;"",$L259&gt;15),"Secondary - verify; ","")&amp;IF($E259="","No class; ","")))</f>
        <v/>
      </c>
      <c r="U259" s="68"/>
      <c r="V259" s="68"/>
      <c r="W259" s="68"/>
      <c r="X259" s="76">
        <f t="shared" si="17"/>
        <v>3418</v>
      </c>
      <c r="Y259" s="1" t="str">
        <f t="shared" si="18"/>
        <v>VENGEANCE|47</v>
      </c>
      <c r="Z259" s="19">
        <f>IF($C259="","",IF($G259="","",RANK($G259,$G$4:$G$1463)+COUNTIF($G$4:$G259,$G259)-1))</f>
        <v>889</v>
      </c>
      <c r="AA259" s="19">
        <f>IF($C259="","",IF($N259="","",RANK($N259,$N$4:$N$1463)+COUNTIF($N$4:$N259,$N259)-1))</f>
        <v>859</v>
      </c>
      <c r="AB259" s="1" t="str">
        <f>IF($C259="","",IF($E259="","",$E259&amp;"#"&amp;(COUNTIFS($E$4:$E$1463,$E259,$X$4:$X$1463,"&gt;"&amp;$X259)+COUNTIFS($E$4:$E259,$E259,$X$4:$X259,"="&amp;$X259))))</f>
        <v>CRUSADER#86</v>
      </c>
      <c r="AC259" s="1" t="str">
        <f>IF($C259="","",$B259&amp;"@"&amp;(COUNTIFS($B$4:$B$1463,$B259,$C$4:$C$1463,"&lt;"&amp;$C259)+COUNTIFS($B$4:$B259,$B259,$C$4:$C259,$C259)))</f>
        <v>VENGEANCE@18</v>
      </c>
      <c r="AD259" s="1">
        <f t="shared" si="19"/>
        <v>256</v>
      </c>
      <c r="AE259" s="1" t="s">
        <v>925</v>
      </c>
      <c r="AF259" s="76">
        <f t="shared" si="20"/>
        <v>61872</v>
      </c>
      <c r="AG259" s="77">
        <f t="shared" si="21"/>
        <v>3.6</v>
      </c>
      <c r="AH259" s="1" t="str">
        <f>IF($C259="","",$B259&amp;"|"&amp;(COUNTIFS($B$4:$B$1463,$B259,$AF$4:$AF$1463,"&gt;"&amp;$AF259)+COUNTIFS($B$4:$B259,$B259,$AF$4:$AF259,"="&amp;$AF259)))</f>
        <v>VENGEANCE|54</v>
      </c>
      <c r="AI259" s="1" t="str">
        <f>IF($C259="","",$B259&amp;"|"&amp;(COUNTIFS($B$4:$B$1463,$B259,$AG$4:$AG$1463,"&gt;"&amp;$AG259)+COUNTIFS($B$4:$B259,$B259,$AG$4:$AG259,"="&amp;$AG259)))</f>
        <v>VENGEANCE|76</v>
      </c>
    </row>
    <row r="260" spans="1:35" hidden="1">
      <c r="A260" s="69" t="s">
        <v>109</v>
      </c>
      <c r="B260" s="69" t="s">
        <v>108</v>
      </c>
      <c r="C260" s="63" t="s">
        <v>1015</v>
      </c>
      <c r="D260" s="69"/>
      <c r="E260" s="68" t="s">
        <v>73</v>
      </c>
      <c r="F260" s="15" t="str">
        <f>IF($C260="","",IF($E260="","-",IFERROR(INDEX(SETUP!$B$55:$B$64,MATCH($E260,SETUP!$A$55:$A$64,0)),"Other")))</f>
        <v>Frontline</v>
      </c>
      <c r="G260" s="70">
        <v>61297</v>
      </c>
      <c r="H260" s="15" t="str">
        <f>IF($C260="","",IF($G260="","-",INDEX(SETUP!$B$26:$B$32,MATCH($G260,SETUP!$A$26:$A$32,1))))</f>
        <v>61,000 - 61,999</v>
      </c>
      <c r="I260" s="70">
        <v>6114</v>
      </c>
      <c r="J260" s="15" t="str">
        <f>IF($C260="","",IF($I260="","-",INDEX(SETUP!$B$16:$B$22,MATCH($I260,SETUP!$A$16:$A$22,1))))</f>
        <v>VETERAN</v>
      </c>
      <c r="K260" s="15" t="str">
        <f>IF($C260="","",IF($I260="","-",TEXT(INT($I260/1000)*1000,"#,##0")&amp;" - "&amp;TEXT(INT($I260/1000)*1000+999,"#,##0")))</f>
        <v>6,000 - 6,999</v>
      </c>
      <c r="L260" s="71">
        <v>7.15</v>
      </c>
      <c r="M260" s="15" t="str">
        <f>IF($C260="","",IF($L260="","-",INDEX(SETUP!$B$36:$B$42,MATCH($L260,SETUP!$A$36:$A$42,1))))</f>
        <v>6k - 8k</v>
      </c>
      <c r="N260" s="17">
        <f>IF($C260="","",IF(OR($G260="",$I260=""),"",ROUND(100*(SETUP!$B$4*MIN(1,$I260/SETUP!$B$9)+SETUP!$B$5*MAX(0,MIN(1,($G260-SETUP!$B$10)/(SETUP!$B$11-SETUP!$B$10)))+SETUP!$B$6*MIN(1,IF($L260="",0,$L260)/SETUP!$B$12)),1)))</f>
        <v>55.2</v>
      </c>
      <c r="O260" s="15" t="str">
        <f>IF($C260="","",IF($N260="","-",INDEX(SETUP!$B$46:$B$51,MATCH($N260,SETUP!$A$46:$A$51,1))))</f>
        <v>A</v>
      </c>
      <c r="P260" s="15">
        <f>IF($C260="","",IF($I260="","",RANK($I260,$I$4:$I$1463)+COUNTIF($I$4:$I260,$I260)-1))</f>
        <v>277</v>
      </c>
      <c r="Q260" s="15">
        <f>IF($C260="","",COUNTIFS($B$4:$B$1463,$B260,$X$4:$X$1463,"&gt;"&amp;$X260)+COUNTIFS($B$4:$B260,$B260,$X$4:$X260,"="&amp;$X260))</f>
        <v>44</v>
      </c>
      <c r="R260" s="72">
        <f>IF($C260="","",IF($I260="","",ROUND(COUNTIF($I$4:$I$1463,"&lt;"&amp;$I260)/COUNT($I$4:$I$1463),3)))</f>
        <v>0.79100000000000004</v>
      </c>
      <c r="S260" s="15" t="str">
        <f>IF($C260="","",IF($G260="","Name only",IF(OR($I260="",$L260=""),"Partial","Complete")))</f>
        <v>Complete</v>
      </c>
      <c r="T260" s="41" t="str">
        <f>IF($C260="","",TRIM(IF(COUNTIF($C$4:$C$1463,$C260)&gt;1,"Dup name; ","")&amp;IF(AND($G260&lt;&gt;"",$G260&lt;55000),"Low CR - verify; ","")&amp;IF(AND($L260&lt;&gt;"",$L260&gt;15),"Secondary - verify; ","")&amp;IF($E260="","No class; ","")))</f>
        <v/>
      </c>
      <c r="U260" s="68"/>
      <c r="V260" s="68"/>
      <c r="W260" s="68"/>
      <c r="X260" s="73">
        <f t="shared" ref="X260:X323" si="22">IF($C260="","",IF($I260="",-1,$I260))</f>
        <v>6114</v>
      </c>
      <c r="Y260" s="41" t="str">
        <f t="shared" ref="Y260:Y323" si="23">IF($C260="","",$B260&amp;"|"&amp;$Q260)</f>
        <v>SBG|44</v>
      </c>
      <c r="Z260" s="15">
        <f>IF($C260="","",IF($G260="","",RANK($G260,$G$4:$G$1463)+COUNTIF($G$4:$G260,$G260)-1))</f>
        <v>1060</v>
      </c>
      <c r="AA260" s="15">
        <f>IF($C260="","",IF($N260="","",RANK($N260,$N$4:$N$1463)+COUNTIF($N$4:$N260,$N260)-1))</f>
        <v>313</v>
      </c>
      <c r="AB260" s="41" t="str">
        <f>IF($C260="","",IF($E260="","",$E260&amp;"#"&amp;(COUNTIFS($E$4:$E$1463,$E260,$X$4:$X$1463,"&gt;"&amp;$X260)+COUNTIFS($E$4:$E260,$E260,$X$4:$X260,"="&amp;$X260))))</f>
        <v>CRUSADER#40</v>
      </c>
      <c r="AC260" s="41" t="str">
        <f>IF($C260="","",$B260&amp;"@"&amp;(COUNTIFS($B$4:$B$1463,$B260,$C$4:$C$1463,"&lt;"&amp;$C260)+COUNTIFS($B$4:$B260,$B260,$C$4:$C260,$C260)))</f>
        <v>SBG@13</v>
      </c>
      <c r="AD260" s="41">
        <f t="shared" ref="AD260:AD323" si="24">IF($C260="","",ROW()-4+1)</f>
        <v>257</v>
      </c>
      <c r="AE260" s="41" t="s">
        <v>1016</v>
      </c>
      <c r="AF260" s="73">
        <f t="shared" ref="AF260:AF323" si="25">IF($C260="","",IF($G260="",-1,$G260))</f>
        <v>61297</v>
      </c>
      <c r="AG260" s="74">
        <f t="shared" ref="AG260:AG323" si="26">IF($C260="","",IF($L260="",-1,$L260))</f>
        <v>7.15</v>
      </c>
      <c r="AH260" s="41" t="str">
        <f>IF($C260="","",$B260&amp;"|"&amp;(COUNTIFS($B$4:$B$1463,$B260,$AF$4:$AF$1463,"&gt;"&amp;$AF260)+COUNTIFS($B$4:$B260,$B260,$AF$4:$AF260,"="&amp;$AF260)))</f>
        <v>SBG|86</v>
      </c>
      <c r="AI260" s="41" t="str">
        <f>IF($C260="","",$B260&amp;"|"&amp;(COUNTIFS($B$4:$B$1463,$B260,$AG$4:$AG$1463,"&gt;"&amp;$AG260)+COUNTIFS($B$4:$B260,$B260,$AG$4:$AG260,"="&amp;$AG260)))</f>
        <v>SBG|25</v>
      </c>
    </row>
    <row r="261" spans="1:35" hidden="1">
      <c r="A261" s="69" t="s">
        <v>109</v>
      </c>
      <c r="B261" s="69" t="s">
        <v>113</v>
      </c>
      <c r="C261" s="63" t="s">
        <v>1017</v>
      </c>
      <c r="D261" s="69" t="s">
        <v>548</v>
      </c>
      <c r="E261" s="68" t="s">
        <v>77</v>
      </c>
      <c r="F261" s="19" t="str">
        <f>IF($C261="","",IF($E261="","-",IFERROR(INDEX(SETUP!$B$55:$B$64,MATCH($E261,SETUP!$A$55:$A$64,0)),"Other")))</f>
        <v>Control</v>
      </c>
      <c r="G261" s="70">
        <v>61181</v>
      </c>
      <c r="H261" s="19" t="str">
        <f>IF($C261="","",IF($G261="","-",INDEX(SETUP!$B$26:$B$32,MATCH($G261,SETUP!$A$26:$A$32,1))))</f>
        <v>61,000 - 61,999</v>
      </c>
      <c r="I261" s="70">
        <v>2959</v>
      </c>
      <c r="J261" s="19" t="str">
        <f>IF($C261="","",IF($I261="","-",INDEX(SETUP!$B$16:$B$22,MATCH($I261,SETUP!$A$16:$A$22,1))))</f>
        <v>DEVELOPING</v>
      </c>
      <c r="K261" s="19" t="str">
        <f>IF($C261="","",IF($I261="","-",TEXT(INT($I261/1000)*1000,"#,##0")&amp;" - "&amp;TEXT(INT($I261/1000)*1000+999,"#,##0")))</f>
        <v>2,000 - 2,999</v>
      </c>
      <c r="L261" s="71">
        <v>5.95</v>
      </c>
      <c r="M261" s="19" t="str">
        <f>IF($C261="","",IF($L261="","-",INDEX(SETUP!$B$36:$B$42,MATCH($L261,SETUP!$A$36:$A$42,1))))</f>
        <v>5k - 6k</v>
      </c>
      <c r="N261" s="21">
        <f>IF($C261="","",IF(OR($G261="",$I261=""),"",ROUND(100*(SETUP!$B$4*MIN(1,$I261/SETUP!$B$9)+SETUP!$B$5*MAX(0,MIN(1,($G261-SETUP!$B$10)/(SETUP!$B$11-SETUP!$B$10)))+SETUP!$B$6*MIN(1,IF($L261="",0,$L261)/SETUP!$B$12)),1)))</f>
        <v>39.1</v>
      </c>
      <c r="O261" s="19" t="str">
        <f>IF($C261="","",IF($N261="","-",INDEX(SETUP!$B$46:$B$51,MATCH($N261,SETUP!$A$46:$A$51,1))))</f>
        <v>B</v>
      </c>
      <c r="P261" s="19">
        <f>IF($C261="","",IF($I261="","",RANK($I261,$I$4:$I$1463)+COUNTIF($I$4:$I261,$I261)-1))</f>
        <v>895</v>
      </c>
      <c r="Q261" s="19">
        <f>IF($C261="","",COUNTIFS($B$4:$B$1463,$B261,$X$4:$X$1463,"&gt;"&amp;$X261)+COUNTIFS($B$4:$B261,$B261,$X$4:$X261,"="&amp;$X261))</f>
        <v>53</v>
      </c>
      <c r="R261" s="75">
        <f>IF($C261="","",IF($I261="","",ROUND(COUNTIF($I$4:$I$1463,"&lt;"&amp;$I261)/COUNT($I$4:$I$1463),3)))</f>
        <v>0.32500000000000001</v>
      </c>
      <c r="S261" s="19" t="str">
        <f>IF($C261="","",IF($G261="","Name only",IF(OR($I261="",$L261=""),"Partial","Complete")))</f>
        <v>Complete</v>
      </c>
      <c r="T261" s="1" t="str">
        <f>IF($C261="","",TRIM(IF(COUNTIF($C$4:$C$1463,$C261)&gt;1,"Dup name; ","")&amp;IF(AND($G261&lt;&gt;"",$G261&lt;55000),"Low CR - verify; ","")&amp;IF(AND($L261&lt;&gt;"",$L261&gt;15),"Secondary - verify; ","")&amp;IF($E261="","No class; ","")))</f>
        <v/>
      </c>
      <c r="U261" s="68"/>
      <c r="V261" s="68"/>
      <c r="W261" s="68"/>
      <c r="X261" s="76">
        <f t="shared" si="22"/>
        <v>2959</v>
      </c>
      <c r="Y261" s="1" t="str">
        <f t="shared" si="23"/>
        <v>INVICTUS|53</v>
      </c>
      <c r="Z261" s="19">
        <f>IF($C261="","",IF($G261="","",RANK($G261,$G$4:$G$1463)+COUNTIF($G$4:$G261,$G261)-1))</f>
        <v>1097</v>
      </c>
      <c r="AA261" s="19">
        <f>IF($C261="","",IF($N261="","",RANK($N261,$N$4:$N$1463)+COUNTIF($N$4:$N261,$N261)-1))</f>
        <v>855</v>
      </c>
      <c r="AB261" s="1" t="str">
        <f>IF($C261="","",IF($E261="","",$E261&amp;"#"&amp;(COUNTIFS($E$4:$E$1463,$E261,$X$4:$X$1463,"&gt;"&amp;$X261)+COUNTIFS($E$4:$E261,$E261,$X$4:$X261,"="&amp;$X261))))</f>
        <v>NECROMANCER#51</v>
      </c>
      <c r="AC261" s="1" t="str">
        <f>IF($C261="","",$B261&amp;"@"&amp;(COUNTIFS($B$4:$B$1463,$B261,$C$4:$C$1463,"&lt;"&amp;$C261)+COUNTIFS($B$4:$B261,$B261,$C$4:$C261,$C261)))</f>
        <v>INVICTUS@16</v>
      </c>
      <c r="AD261" s="1">
        <f t="shared" si="24"/>
        <v>258</v>
      </c>
      <c r="AE261" s="1" t="s">
        <v>1018</v>
      </c>
      <c r="AF261" s="76">
        <f t="shared" si="25"/>
        <v>61181</v>
      </c>
      <c r="AG261" s="77">
        <f t="shared" si="26"/>
        <v>5.95</v>
      </c>
      <c r="AH261" s="1" t="str">
        <f>IF($C261="","",$B261&amp;"|"&amp;(COUNTIFS($B$4:$B$1463,$B261,$AF$4:$AF$1463,"&gt;"&amp;$AF261)+COUNTIFS($B$4:$B261,$B261,$AF$4:$AF261,"="&amp;$AF261)))</f>
        <v>INVICTUS|81</v>
      </c>
      <c r="AI261" s="1" t="str">
        <f>IF($C261="","",$B261&amp;"|"&amp;(COUNTIFS($B$4:$B$1463,$B261,$AG$4:$AG$1463,"&gt;"&amp;$AG261)+COUNTIFS($B$4:$B261,$B261,$AG$4:$AG261,"="&amp;$AG261)))</f>
        <v>INVICTUS|12</v>
      </c>
    </row>
    <row r="262" spans="1:35">
      <c r="A262" s="69" t="s">
        <v>104</v>
      </c>
      <c r="B262" s="69" t="s">
        <v>66</v>
      </c>
      <c r="C262" s="63" t="s">
        <v>309</v>
      </c>
      <c r="D262" s="69"/>
      <c r="E262" s="68" t="s">
        <v>73</v>
      </c>
      <c r="F262" s="15" t="str">
        <f>IF($C262="","",IF($E262="","-",IFERROR(INDEX(SETUP!$B$55:$B$64,MATCH($E262,SETUP!$A$55:$A$64,0)),"Other")))</f>
        <v>Frontline</v>
      </c>
      <c r="G262" s="70">
        <v>63117</v>
      </c>
      <c r="H262" s="15" t="str">
        <f>IF($C262="","",IF($G262="","-",INDEX(SETUP!$B$26:$B$32,MATCH($G262,SETUP!$A$26:$A$32,1))))</f>
        <v>63,000 - 63,999</v>
      </c>
      <c r="I262" s="70">
        <v>5912</v>
      </c>
      <c r="J262" s="15" t="str">
        <f>IF($C262="","",IF($I262="","-",INDEX(SETUP!$B$16:$B$22,MATCH($I262,SETUP!$A$16:$A$22,1))))</f>
        <v>CORE</v>
      </c>
      <c r="K262" s="15" t="str">
        <f>IF($C262="","",IF($I262="","-",TEXT(INT($I262/1000)*1000,"#,##0")&amp;" - "&amp;TEXT(INT($I262/1000)*1000+999,"#,##0")))</f>
        <v>5,000 - 5,999</v>
      </c>
      <c r="L262" s="71">
        <v>6.05</v>
      </c>
      <c r="M262" s="15" t="str">
        <f>IF($C262="","",IF($L262="","-",INDEX(SETUP!$B$36:$B$42,MATCH($L262,SETUP!$A$36:$A$42,1))))</f>
        <v>6k - 8k</v>
      </c>
      <c r="N262" s="17">
        <f>IF($C262="","",IF(OR($G262="",$I262=""),"",ROUND(100*(SETUP!$B$4*MIN(1,$I262/SETUP!$B$9)+SETUP!$B$5*MAX(0,MIN(1,($G262-SETUP!$B$10)/(SETUP!$B$11-SETUP!$B$10)))+SETUP!$B$6*MIN(1,IF($L262="",0,$L262)/SETUP!$B$12)),1)))</f>
        <v>57.3</v>
      </c>
      <c r="O262" s="15" t="str">
        <f>IF($C262="","",IF($N262="","-",INDEX(SETUP!$B$46:$B$51,MATCH($N262,SETUP!$A$46:$A$51,1))))</f>
        <v>A</v>
      </c>
      <c r="P262" s="15">
        <f>IF($C262="","",IF($I262="","",RANK($I262,$I$4:$I$1463)+COUNTIF($I$4:$I262,$I262)-1))</f>
        <v>295</v>
      </c>
      <c r="Q262" s="15">
        <f>IF($C262="","",COUNTIFS($B$4:$B$1463,$B262,$X$4:$X$1463,"&gt;"&amp;$X262)+COUNTIFS($B$4:$B262,$B262,$X$4:$X262,"="&amp;$X262))</f>
        <v>30</v>
      </c>
      <c r="R262" s="72">
        <f>IF($C262="","",IF($I262="","",ROUND(COUNTIF($I$4:$I$1463,"&lt;"&amp;$I262)/COUNT($I$4:$I$1463),3)))</f>
        <v>0.77700000000000002</v>
      </c>
      <c r="S262" s="15" t="str">
        <f>IF($C262="","",IF($G262="","Name only",IF(OR($I262="",$L262=""),"Partial","Complete")))</f>
        <v>Complete</v>
      </c>
      <c r="T262" s="41" t="str">
        <f>IF($C262="","",TRIM(IF(COUNTIF($C$4:$C$1463,$C262)&gt;1,"Dup name; ","")&amp;IF(AND($G262&lt;&gt;"",$G262&lt;55000),"Low CR - verify; ","")&amp;IF(AND($L262&lt;&gt;"",$L262&gt;15),"Secondary - verify; ","")&amp;IF($E262="","No class; ","")))</f>
        <v/>
      </c>
      <c r="U262" s="68"/>
      <c r="V262" s="68" t="s">
        <v>66</v>
      </c>
      <c r="W262" s="68"/>
      <c r="X262" s="73">
        <f t="shared" si="22"/>
        <v>5912</v>
      </c>
      <c r="Y262" s="41" t="str">
        <f t="shared" si="23"/>
        <v>FUCT|30</v>
      </c>
      <c r="Z262" s="15">
        <f>IF($C262="","",IF($G262="","",RANK($G262,$G$4:$G$1463)+COUNTIF($G$4:$G262,$G262)-1))</f>
        <v>366</v>
      </c>
      <c r="AA262" s="15">
        <f>IF($C262="","",IF($N262="","",RANK($N262,$N$4:$N$1463)+COUNTIF($N$4:$N262,$N262)-1))</f>
        <v>273</v>
      </c>
      <c r="AB262" s="41" t="str">
        <f>IF($C262="","",IF($E262="","",$E262&amp;"#"&amp;(COUNTIFS($E$4:$E$1463,$E262,$X$4:$X$1463,"&gt;"&amp;$X262)+COUNTIFS($E$4:$E262,$E262,$X$4:$X262,"="&amp;$X262))))</f>
        <v>CRUSADER#44</v>
      </c>
      <c r="AC262" s="41" t="str">
        <f>IF($C262="","",$B262&amp;"@"&amp;(COUNTIFS($B$4:$B$1463,$B262,$C$4:$C$1463,"&lt;"&amp;$C262)+COUNTIFS($B$4:$B262,$B262,$C$4:$C262,$C262)))</f>
        <v>FUCT@15</v>
      </c>
      <c r="AD262" s="41">
        <f t="shared" si="24"/>
        <v>259</v>
      </c>
      <c r="AE262" s="41" t="s">
        <v>1020</v>
      </c>
      <c r="AF262" s="73">
        <f t="shared" si="25"/>
        <v>63117</v>
      </c>
      <c r="AG262" s="74">
        <f t="shared" si="26"/>
        <v>6.05</v>
      </c>
      <c r="AH262" s="41" t="str">
        <f>IF($C262="","",$B262&amp;"|"&amp;(COUNTIFS($B$4:$B$1463,$B262,$AF$4:$AF$1463,"&gt;"&amp;$AF262)+COUNTIFS($B$4:$B262,$B262,$AF$4:$AF262,"="&amp;$AF262)))</f>
        <v>FUCT|35</v>
      </c>
      <c r="AI262" s="41" t="str">
        <f>IF($C262="","",$B262&amp;"|"&amp;(COUNTIFS($B$4:$B$1463,$B262,$AG$4:$AG$1463,"&gt;"&amp;$AG262)+COUNTIFS($B$4:$B262,$B262,$AG$4:$AG262,"="&amp;$AG262)))</f>
        <v>FUCT|20</v>
      </c>
    </row>
    <row r="263" spans="1:35" hidden="1">
      <c r="A263" s="69" t="s">
        <v>106</v>
      </c>
      <c r="B263" s="69" t="s">
        <v>107</v>
      </c>
      <c r="C263" s="63" t="s">
        <v>1021</v>
      </c>
      <c r="D263" s="69"/>
      <c r="E263" s="68" t="s">
        <v>74</v>
      </c>
      <c r="F263" s="19" t="str">
        <f>IF($C263="","",IF($E263="","-",IFERROR(INDEX(SETUP!$B$55:$B$64,MATCH($E263,SETUP!$A$55:$A$64,0)),"Other")))</f>
        <v>Ranged DPS</v>
      </c>
      <c r="G263" s="70">
        <v>62968</v>
      </c>
      <c r="H263" s="19" t="str">
        <f>IF($C263="","",IF($G263="","-",INDEX(SETUP!$B$26:$B$32,MATCH($G263,SETUP!$A$26:$A$32,1))))</f>
        <v>62,000 - 62,999</v>
      </c>
      <c r="I263" s="70">
        <v>4389</v>
      </c>
      <c r="J263" s="19" t="str">
        <f>IF($C263="","",IF($I263="","-",INDEX(SETUP!$B$16:$B$22,MATCH($I263,SETUP!$A$16:$A$22,1))))</f>
        <v>CORE</v>
      </c>
      <c r="K263" s="19" t="str">
        <f>IF($C263="","",IF($I263="","-",TEXT(INT($I263/1000)*1000,"#,##0")&amp;" - "&amp;TEXT(INT($I263/1000)*1000+999,"#,##0")))</f>
        <v>4,000 - 4,999</v>
      </c>
      <c r="L263" s="71">
        <v>3.9</v>
      </c>
      <c r="M263" s="19" t="str">
        <f>IF($C263="","",IF($L263="","-",INDEX(SETUP!$B$36:$B$42,MATCH($L263,SETUP!$A$36:$A$42,1))))</f>
        <v>3k - 4k</v>
      </c>
      <c r="N263" s="21">
        <f>IF($C263="","",IF(OR($G263="",$I263=""),"",ROUND(100*(SETUP!$B$4*MIN(1,$I263/SETUP!$B$9)+SETUP!$B$5*MAX(0,MIN(1,($G263-SETUP!$B$10)/(SETUP!$B$11-SETUP!$B$10)))+SETUP!$B$6*MIN(1,IF($L263="",0,$L263)/SETUP!$B$12)),1)))</f>
        <v>46.6</v>
      </c>
      <c r="O263" s="19" t="str">
        <f>IF($C263="","",IF($N263="","-",INDEX(SETUP!$B$46:$B$51,MATCH($N263,SETUP!$A$46:$A$51,1))))</f>
        <v>B</v>
      </c>
      <c r="P263" s="19">
        <f>IF($C263="","",IF($I263="","",RANK($I263,$I$4:$I$1463)+COUNTIF($I$4:$I263,$I263)-1))</f>
        <v>516</v>
      </c>
      <c r="Q263" s="19">
        <f>IF($C263="","",COUNTIFS($B$4:$B$1463,$B263,$X$4:$X$1463,"&gt;"&amp;$X263)+COUNTIFS($B$4:$B263,$B263,$X$4:$X263,"="&amp;$X263))</f>
        <v>39</v>
      </c>
      <c r="R263" s="75">
        <f>IF($C263="","",IF($I263="","",ROUND(COUNTIF($I$4:$I$1463,"&lt;"&amp;$I263)/COUNT($I$4:$I$1463),3)))</f>
        <v>0.61</v>
      </c>
      <c r="S263" s="19" t="str">
        <f>IF($C263="","",IF($G263="","Name only",IF(OR($I263="",$L263=""),"Partial","Complete")))</f>
        <v>Complete</v>
      </c>
      <c r="T263" s="1" t="str">
        <f>IF($C263="","",TRIM(IF(COUNTIF($C$4:$C$1463,$C263)&gt;1,"Dup name; ","")&amp;IF(AND($G263&lt;&gt;"",$G263&lt;55000),"Low CR - verify; ","")&amp;IF(AND($L263&lt;&gt;"",$L263&gt;15),"Secondary - verify; ","")&amp;IF($E263="","No class; ","")))</f>
        <v/>
      </c>
      <c r="U263" s="68"/>
      <c r="V263" s="68"/>
      <c r="W263" s="68"/>
      <c r="X263" s="76">
        <f t="shared" si="22"/>
        <v>4389</v>
      </c>
      <c r="Y263" s="1" t="str">
        <f t="shared" si="23"/>
        <v>UNDYING|39</v>
      </c>
      <c r="Z263" s="19">
        <f>IF($C263="","",IF($G263="","",RANK($G263,$G$4:$G$1463)+COUNTIF($G$4:$G263,$G263)-1))</f>
        <v>439</v>
      </c>
      <c r="AA263" s="19">
        <f>IF($C263="","",IF($N263="","",RANK($N263,$N$4:$N$1463)+COUNTIF($N$4:$N263,$N263)-1))</f>
        <v>565</v>
      </c>
      <c r="AB263" s="1" t="str">
        <f>IF($C263="","",IF($E263="","",$E263&amp;"#"&amp;(COUNTIFS($E$4:$E$1463,$E263,$X$4:$X$1463,"&gt;"&amp;$X263)+COUNTIFS($E$4:$E263,$E263,$X$4:$X263,"="&amp;$X263))))</f>
        <v>DEMON HUNTER#86</v>
      </c>
      <c r="AC263" s="1" t="str">
        <f>IF($C263="","",$B263&amp;"@"&amp;(COUNTIFS($B$4:$B$1463,$B263,$C$4:$C$1463,"&lt;"&amp;$C263)+COUNTIFS($B$4:$B263,$B263,$C$4:$C263,$C263)))</f>
        <v>UNDYING@28</v>
      </c>
      <c r="AD263" s="1">
        <f t="shared" si="24"/>
        <v>260</v>
      </c>
      <c r="AE263" s="1" t="s">
        <v>885</v>
      </c>
      <c r="AF263" s="76">
        <f t="shared" si="25"/>
        <v>62968</v>
      </c>
      <c r="AG263" s="77">
        <f t="shared" si="26"/>
        <v>3.9</v>
      </c>
      <c r="AH263" s="1" t="str">
        <f>IF($C263="","",$B263&amp;"|"&amp;(COUNTIFS($B$4:$B$1463,$B263,$AF$4:$AF$1463,"&gt;"&amp;$AF263)+COUNTIFS($B$4:$B263,$B263,$AF$4:$AF263,"="&amp;$AF263)))</f>
        <v>UNDYING|43</v>
      </c>
      <c r="AI263" s="1" t="str">
        <f>IF($C263="","",$B263&amp;"|"&amp;(COUNTIFS($B$4:$B$1463,$B263,$AG$4:$AG$1463,"&gt;"&amp;$AG263)+COUNTIFS($B$4:$B263,$B263,$AG$4:$AG263,"="&amp;$AG263)))</f>
        <v>UNDYING|81</v>
      </c>
    </row>
    <row r="264" spans="1:35" hidden="1">
      <c r="A264" s="69" t="s">
        <v>106</v>
      </c>
      <c r="B264" s="69" t="s">
        <v>105</v>
      </c>
      <c r="C264" s="63" t="s">
        <v>1022</v>
      </c>
      <c r="D264" s="69"/>
      <c r="E264" s="68" t="s">
        <v>79</v>
      </c>
      <c r="F264" s="15" t="str">
        <f>IF($C264="","",IF($E264="","-",IFERROR(INDEX(SETUP!$B$55:$B$64,MATCH($E264,SETUP!$A$55:$A$64,0)),"Other")))</f>
        <v>Control</v>
      </c>
      <c r="G264" s="70">
        <v>64413</v>
      </c>
      <c r="H264" s="15" t="str">
        <f>IF($C264="","",IF($G264="","-",INDEX(SETUP!$B$26:$B$32,MATCH($G264,SETUP!$A$26:$A$32,1))))</f>
        <v>64,000 +</v>
      </c>
      <c r="I264" s="70">
        <v>10175</v>
      </c>
      <c r="J264" s="15" t="str">
        <f>IF($C264="","",IF($I264="","-",INDEX(SETUP!$B$16:$B$22,MATCH($I264,SETUP!$A$16:$A$22,1))))</f>
        <v>APEX</v>
      </c>
      <c r="K264" s="15" t="str">
        <f>IF($C264="","",IF($I264="","-",TEXT(INT($I264/1000)*1000,"#,##0")&amp;" - "&amp;TEXT(INT($I264/1000)*1000+999,"#,##0")))</f>
        <v>10,000 - 10,999</v>
      </c>
      <c r="L264" s="71">
        <v>7.21</v>
      </c>
      <c r="M264" s="15" t="str">
        <f>IF($C264="","",IF($L264="","-",INDEX(SETUP!$B$36:$B$42,MATCH($L264,SETUP!$A$36:$A$42,1))))</f>
        <v>6k - 8k</v>
      </c>
      <c r="N264" s="17">
        <f>IF($C264="","",IF(OR($G264="",$I264=""),"",ROUND(100*(SETUP!$B$4*MIN(1,$I264/SETUP!$B$9)+SETUP!$B$5*MAX(0,MIN(1,($G264-SETUP!$B$10)/(SETUP!$B$11-SETUP!$B$10)))+SETUP!$B$6*MIN(1,IF($L264="",0,$L264)/SETUP!$B$12)),1)))</f>
        <v>81.2</v>
      </c>
      <c r="O264" s="15" t="str">
        <f>IF($C264="","",IF($N264="","-",INDEX(SETUP!$B$46:$B$51,MATCH($N264,SETUP!$A$46:$A$51,1))))</f>
        <v>S+</v>
      </c>
      <c r="P264" s="15">
        <f>IF($C264="","",IF($I264="","",RANK($I264,$I$4:$I$1463)+COUNTIF($I$4:$I264,$I264)-1))</f>
        <v>41</v>
      </c>
      <c r="Q264" s="15">
        <f>IF($C264="","",COUNTIFS($B$4:$B$1463,$B264,$X$4:$X$1463,"&gt;"&amp;$X264)+COUNTIFS($B$4:$B264,$B264,$X$4:$X264,"="&amp;$X264))</f>
        <v>6</v>
      </c>
      <c r="R264" s="72">
        <f>IF($C264="","",IF($I264="","",ROUND(COUNTIF($I$4:$I$1463,"&lt;"&amp;$I264)/COUNT($I$4:$I$1463),3)))</f>
        <v>0.96899999999999997</v>
      </c>
      <c r="S264" s="15" t="str">
        <f>IF($C264="","",IF($G264="","Name only",IF(OR($I264="",$L264=""),"Partial","Complete")))</f>
        <v>Complete</v>
      </c>
      <c r="T264" s="41" t="str">
        <f>IF($C264="","",TRIM(IF(COUNTIF($C$4:$C$1463,$C264)&gt;1,"Dup name; ","")&amp;IF(AND($G264&lt;&gt;"",$G264&lt;55000),"Low CR - verify; ","")&amp;IF(AND($L264&lt;&gt;"",$L264&gt;15),"Secondary - verify; ","")&amp;IF($E264="","No class; ","")))</f>
        <v/>
      </c>
      <c r="U264" s="68"/>
      <c r="V264" s="68"/>
      <c r="W264" s="68"/>
      <c r="X264" s="73">
        <f t="shared" si="22"/>
        <v>10175</v>
      </c>
      <c r="Y264" s="41" t="str">
        <f t="shared" si="23"/>
        <v>LEGENDS|6</v>
      </c>
      <c r="Z264" s="15">
        <f>IF($C264="","",IF($G264="","",RANK($G264,$G$4:$G$1463)+COUNTIF($G$4:$G264,$G264)-1))</f>
        <v>8</v>
      </c>
      <c r="AA264" s="15">
        <f>IF($C264="","",IF($N264="","",RANK($N264,$N$4:$N$1463)+COUNTIF($N$4:$N264,$N264)-1))</f>
        <v>39</v>
      </c>
      <c r="AB264" s="41" t="str">
        <f>IF($C264="","",IF($E264="","",$E264&amp;"#"&amp;(COUNTIFS($E$4:$E$1463,$E264,$X$4:$X$1463,"&gt;"&amp;$X264)+COUNTIFS($E$4:$E264,$E264,$X$4:$X264,"="&amp;$X264))))</f>
        <v>WARLOCK#7</v>
      </c>
      <c r="AC264" s="41" t="str">
        <f>IF($C264="","",$B264&amp;"@"&amp;(COUNTIFS($B$4:$B$1463,$B264,$C$4:$C$1463,"&lt;"&amp;$C264)+COUNTIFS($B$4:$B264,$B264,$C$4:$C264,$C264)))</f>
        <v>LEGENDS@27</v>
      </c>
      <c r="AD264" s="41">
        <f t="shared" si="24"/>
        <v>261</v>
      </c>
      <c r="AE264" s="41" t="s">
        <v>1023</v>
      </c>
      <c r="AF264" s="73">
        <f t="shared" si="25"/>
        <v>64413</v>
      </c>
      <c r="AG264" s="74">
        <f t="shared" si="26"/>
        <v>7.21</v>
      </c>
      <c r="AH264" s="41" t="str">
        <f>IF($C264="","",$B264&amp;"|"&amp;(COUNTIFS($B$4:$B$1463,$B264,$AF$4:$AF$1463,"&gt;"&amp;$AF264)+COUNTIFS($B$4:$B264,$B264,$AF$4:$AF264,"="&amp;$AF264)))</f>
        <v>LEGENDS|2</v>
      </c>
      <c r="AI264" s="41" t="str">
        <f>IF($C264="","",$B264&amp;"|"&amp;(COUNTIFS($B$4:$B$1463,$B264,$AG$4:$AG$1463,"&gt;"&amp;$AG264)+COUNTIFS($B$4:$B264,$B264,$AG$4:$AG264,"="&amp;$AG264)))</f>
        <v>LEGENDS|6</v>
      </c>
    </row>
    <row r="265" spans="1:35" hidden="1">
      <c r="A265" s="69" t="s">
        <v>106</v>
      </c>
      <c r="B265" s="69" t="s">
        <v>105</v>
      </c>
      <c r="C265" s="63" t="s">
        <v>1024</v>
      </c>
      <c r="D265" s="69"/>
      <c r="E265" s="68" t="s">
        <v>80</v>
      </c>
      <c r="F265" s="19" t="str">
        <f>IF($C265="","",IF($E265="","-",IFERROR(INDEX(SETUP!$B$55:$B$64,MATCH($E265,SETUP!$A$55:$A$64,0)),"Other")))</f>
        <v>Ranged DPS</v>
      </c>
      <c r="G265" s="70">
        <v>64176</v>
      </c>
      <c r="H265" s="19" t="str">
        <f>IF($C265="","",IF($G265="","-",INDEX(SETUP!$B$26:$B$32,MATCH($G265,SETUP!$A$26:$A$32,1))))</f>
        <v>64,000 +</v>
      </c>
      <c r="I265" s="70">
        <v>8979</v>
      </c>
      <c r="J265" s="19" t="str">
        <f>IF($C265="","",IF($I265="","-",INDEX(SETUP!$B$16:$B$22,MATCH($I265,SETUP!$A$16:$A$22,1))))</f>
        <v>ELITE</v>
      </c>
      <c r="K265" s="19" t="str">
        <f>IF($C265="","",IF($I265="","-",TEXT(INT($I265/1000)*1000,"#,##0")&amp;" - "&amp;TEXT(INT($I265/1000)*1000+999,"#,##0")))</f>
        <v>8,000 - 8,999</v>
      </c>
      <c r="L265" s="71">
        <v>6.14</v>
      </c>
      <c r="M265" s="19" t="str">
        <f>IF($C265="","",IF($L265="","-",INDEX(SETUP!$B$36:$B$42,MATCH($L265,SETUP!$A$36:$A$42,1))))</f>
        <v>6k - 8k</v>
      </c>
      <c r="N265" s="21">
        <f>IF($C265="","",IF(OR($G265="",$I265=""),"",ROUND(100*(SETUP!$B$4*MIN(1,$I265/SETUP!$B$9)+SETUP!$B$5*MAX(0,MIN(1,($G265-SETUP!$B$10)/(SETUP!$B$11-SETUP!$B$10)))+SETUP!$B$6*MIN(1,IF($L265="",0,$L265)/SETUP!$B$12)),1)))</f>
        <v>73.599999999999994</v>
      </c>
      <c r="O265" s="19" t="str">
        <f>IF($C265="","",IF($N265="","-",INDEX(SETUP!$B$46:$B$51,MATCH($N265,SETUP!$A$46:$A$51,1))))</f>
        <v>S</v>
      </c>
      <c r="P265" s="19">
        <f>IF($C265="","",IF($I265="","",RANK($I265,$I$4:$I$1463)+COUNTIF($I$4:$I265,$I265)-1))</f>
        <v>97</v>
      </c>
      <c r="Q265" s="19">
        <f>IF($C265="","",COUNTIFS($B$4:$B$1463,$B265,$X$4:$X$1463,"&gt;"&amp;$X265)+COUNTIFS($B$4:$B265,$B265,$X$4:$X265,"="&amp;$X265))</f>
        <v>8</v>
      </c>
      <c r="R265" s="75">
        <f>IF($C265="","",IF($I265="","",ROUND(COUNTIF($I$4:$I$1463,"&lt;"&amp;$I265)/COUNT($I$4:$I$1463),3)))</f>
        <v>0.92700000000000005</v>
      </c>
      <c r="S265" s="19" t="str">
        <f>IF($C265="","",IF($G265="","Name only",IF(OR($I265="",$L265=""),"Partial","Complete")))</f>
        <v>Complete</v>
      </c>
      <c r="T265" s="1" t="str">
        <f>IF($C265="","",TRIM(IF(COUNTIF($C$4:$C$1463,$C265)&gt;1,"Dup name; ","")&amp;IF(AND($G265&lt;&gt;"",$G265&lt;55000),"Low CR - verify; ","")&amp;IF(AND($L265&lt;&gt;"",$L265&gt;15),"Secondary - verify; ","")&amp;IF($E265="","No class; ","")))</f>
        <v/>
      </c>
      <c r="U265" s="68"/>
      <c r="V265" s="68"/>
      <c r="W265" s="68"/>
      <c r="X265" s="76">
        <f t="shared" si="22"/>
        <v>8979</v>
      </c>
      <c r="Y265" s="1" t="str">
        <f t="shared" si="23"/>
        <v>LEGENDS|8</v>
      </c>
      <c r="Z265" s="19">
        <f>IF($C265="","",IF($G265="","",RANK($G265,$G$4:$G$1463)+COUNTIF($G$4:$G265,$G265)-1))</f>
        <v>48</v>
      </c>
      <c r="AA265" s="19">
        <f>IF($C265="","",IF($N265="","",RANK($N265,$N$4:$N$1463)+COUNTIF($N$4:$N265,$N265)-1))</f>
        <v>99</v>
      </c>
      <c r="AB265" s="1" t="str">
        <f>IF($C265="","",IF($E265="","",$E265&amp;"#"&amp;(COUNTIFS($E$4:$E$1463,$E265,$X$4:$X$1463,"&gt;"&amp;$X265)+COUNTIFS($E$4:$E265,$E265,$X$4:$X265,"="&amp;$X265))))</f>
        <v>WIZARD#4</v>
      </c>
      <c r="AC265" s="1" t="str">
        <f>IF($C265="","",$B265&amp;"@"&amp;(COUNTIFS($B$4:$B$1463,$B265,$C$4:$C$1463,"&lt;"&amp;$C265)+COUNTIFS($B$4:$B265,$B265,$C$4:$C265,$C265)))</f>
        <v>LEGENDS@28</v>
      </c>
      <c r="AD265" s="1">
        <f t="shared" si="24"/>
        <v>262</v>
      </c>
      <c r="AE265" s="1" t="s">
        <v>1025</v>
      </c>
      <c r="AF265" s="76">
        <f t="shared" si="25"/>
        <v>64176</v>
      </c>
      <c r="AG265" s="77">
        <f t="shared" si="26"/>
        <v>6.14</v>
      </c>
      <c r="AH265" s="1" t="str">
        <f>IF($C265="","",$B265&amp;"|"&amp;(COUNTIFS($B$4:$B$1463,$B265,$AF$4:$AF$1463,"&gt;"&amp;$AF265)+COUNTIFS($B$4:$B265,$B265,$AF$4:$AF265,"="&amp;$AF265)))</f>
        <v>LEGENDS|4</v>
      </c>
      <c r="AI265" s="1" t="str">
        <f>IF($C265="","",$B265&amp;"|"&amp;(COUNTIFS($B$4:$B$1463,$B265,$AG$4:$AG$1463,"&gt;"&amp;$AG265)+COUNTIFS($B$4:$B265,$B265,$AG$4:$AG265,"="&amp;$AG265)))</f>
        <v>LEGENDS|16</v>
      </c>
    </row>
    <row r="266" spans="1:35" hidden="1">
      <c r="A266" s="69" t="s">
        <v>109</v>
      </c>
      <c r="B266" s="69" t="s">
        <v>116</v>
      </c>
      <c r="C266" s="63" t="s">
        <v>1026</v>
      </c>
      <c r="D266" s="69" t="s">
        <v>530</v>
      </c>
      <c r="E266" s="68" t="s">
        <v>79</v>
      </c>
      <c r="F266" s="15" t="str">
        <f>IF($C266="","",IF($E266="","-",IFERROR(INDEX(SETUP!$B$55:$B$64,MATCH($E266,SETUP!$A$55:$A$64,0)),"Other")))</f>
        <v>Control</v>
      </c>
      <c r="G266" s="70">
        <v>62576</v>
      </c>
      <c r="H266" s="15" t="str">
        <f>IF($C266="","",IF($G266="","-",INDEX(SETUP!$B$26:$B$32,MATCH($G266,SETUP!$A$26:$A$32,1))))</f>
        <v>62,000 - 62,999</v>
      </c>
      <c r="I266" s="70">
        <v>6757</v>
      </c>
      <c r="J266" s="15" t="str">
        <f>IF($C266="","",IF($I266="","-",INDEX(SETUP!$B$16:$B$22,MATCH($I266,SETUP!$A$16:$A$22,1))))</f>
        <v>VETERAN</v>
      </c>
      <c r="K266" s="15" t="str">
        <f>IF($C266="","",IF($I266="","-",TEXT(INT($I266/1000)*1000,"#,##0")&amp;" - "&amp;TEXT(INT($I266/1000)*1000+999,"#,##0")))</f>
        <v>6,000 - 6,999</v>
      </c>
      <c r="L266" s="71">
        <v>6.25</v>
      </c>
      <c r="M266" s="15" t="str">
        <f>IF($C266="","",IF($L266="","-",INDEX(SETUP!$B$36:$B$42,MATCH($L266,SETUP!$A$36:$A$42,1))))</f>
        <v>6k - 8k</v>
      </c>
      <c r="N266" s="17">
        <f>IF($C266="","",IF(OR($G266="",$I266=""),"",ROUND(100*(SETUP!$B$4*MIN(1,$I266/SETUP!$B$9)+SETUP!$B$5*MAX(0,MIN(1,($G266-SETUP!$B$10)/(SETUP!$B$11-SETUP!$B$10)))+SETUP!$B$6*MIN(1,IF($L266="",0,$L266)/SETUP!$B$12)),1)))</f>
        <v>59.8</v>
      </c>
      <c r="O266" s="15" t="str">
        <f>IF($C266="","",IF($N266="","-",INDEX(SETUP!$B$46:$B$51,MATCH($N266,SETUP!$A$46:$A$51,1))))</f>
        <v>A</v>
      </c>
      <c r="P266" s="15">
        <f>IF($C266="","",IF($I266="","",RANK($I266,$I$4:$I$1463)+COUNTIF($I$4:$I266,$I266)-1))</f>
        <v>238</v>
      </c>
      <c r="Q266" s="15">
        <f>IF($C266="","",COUNTIFS($B$4:$B$1463,$B266,$X$4:$X$1463,"&gt;"&amp;$X266)+COUNTIFS($B$4:$B266,$B266,$X$4:$X266,"="&amp;$X266))</f>
        <v>5</v>
      </c>
      <c r="R266" s="72">
        <f>IF($C266="","",IF($I266="","",ROUND(COUNTIF($I$4:$I$1463,"&lt;"&amp;$I266)/COUNT($I$4:$I$1463),3)))</f>
        <v>0.82</v>
      </c>
      <c r="S266" s="15" t="str">
        <f>IF($C266="","",IF($G266="","Name only",IF(OR($I266="",$L266=""),"Partial","Complete")))</f>
        <v>Complete</v>
      </c>
      <c r="T266" s="41" t="str">
        <f>IF($C266="","",TRIM(IF(COUNTIF($C$4:$C$1463,$C266)&gt;1,"Dup name; ","")&amp;IF(AND($G266&lt;&gt;"",$G266&lt;55000),"Low CR - verify; ","")&amp;IF(AND($L266&lt;&gt;"",$L266&gt;15),"Secondary - verify; ","")&amp;IF($E266="","No class; ","")))</f>
        <v/>
      </c>
      <c r="U266" s="68"/>
      <c r="V266" s="68"/>
      <c r="W266" s="68"/>
      <c r="X266" s="73">
        <f t="shared" si="22"/>
        <v>6757</v>
      </c>
      <c r="Y266" s="41" t="str">
        <f t="shared" si="23"/>
        <v>VENGEANCE|5</v>
      </c>
      <c r="Z266" s="15">
        <f>IF($C266="","",IF($G266="","",RANK($G266,$G$4:$G$1463)+COUNTIF($G$4:$G266,$G266)-1))</f>
        <v>622</v>
      </c>
      <c r="AA266" s="15">
        <f>IF($C266="","",IF($N266="","",RANK($N266,$N$4:$N$1463)+COUNTIF($N$4:$N266,$N266)-1))</f>
        <v>239</v>
      </c>
      <c r="AB266" s="41" t="str">
        <f>IF($C266="","",IF($E266="","",$E266&amp;"#"&amp;(COUNTIFS($E$4:$E$1463,$E266,$X$4:$X$1463,"&gt;"&amp;$X266)+COUNTIFS($E$4:$E266,$E266,$X$4:$X266,"="&amp;$X266))))</f>
        <v>WARLOCK#50</v>
      </c>
      <c r="AC266" s="41" t="str">
        <f>IF($C266="","",$B266&amp;"@"&amp;(COUNTIFS($B$4:$B$1463,$B266,$C$4:$C$1463,"&lt;"&amp;$C266)+COUNTIFS($B$4:$B266,$B266,$C$4:$C266,$C266)))</f>
        <v>VENGEANCE@19</v>
      </c>
      <c r="AD266" s="41">
        <f t="shared" si="24"/>
        <v>263</v>
      </c>
      <c r="AE266" s="41" t="s">
        <v>1027</v>
      </c>
      <c r="AF266" s="73">
        <f t="shared" si="25"/>
        <v>62576</v>
      </c>
      <c r="AG266" s="74">
        <f t="shared" si="26"/>
        <v>6.25</v>
      </c>
      <c r="AH266" s="41" t="str">
        <f>IF($C266="","",$B266&amp;"|"&amp;(COUNTIFS($B$4:$B$1463,$B266,$AF$4:$AF$1463,"&gt;"&amp;$AF266)+COUNTIFS($B$4:$B266,$B266,$AF$4:$AF266,"="&amp;$AF266)))</f>
        <v>VENGEANCE|36</v>
      </c>
      <c r="AI266" s="41" t="str">
        <f>IF($C266="","",$B266&amp;"|"&amp;(COUNTIFS($B$4:$B$1463,$B266,$AG$4:$AG$1463,"&gt;"&amp;$AG266)+COUNTIFS($B$4:$B266,$B266,$AG$4:$AG266,"="&amp;$AG266)))</f>
        <v>VENGEANCE|11</v>
      </c>
    </row>
    <row r="267" spans="1:35" hidden="1">
      <c r="A267" s="69" t="s">
        <v>109</v>
      </c>
      <c r="B267" s="69" t="s">
        <v>113</v>
      </c>
      <c r="C267" s="63" t="s">
        <v>1028</v>
      </c>
      <c r="D267" s="69" t="s">
        <v>548</v>
      </c>
      <c r="E267" s="68" t="s">
        <v>72</v>
      </c>
      <c r="F267" s="19" t="str">
        <f>IF($C267="","",IF($E267="","-",IFERROR(INDEX(SETUP!$B$55:$B$64,MATCH($E267,SETUP!$A$55:$A$64,0)),"Other")))</f>
        <v>Frontline</v>
      </c>
      <c r="G267" s="70">
        <v>61193</v>
      </c>
      <c r="H267" s="19" t="str">
        <f>IF($C267="","",IF($G267="","-",INDEX(SETUP!$B$26:$B$32,MATCH($G267,SETUP!$A$26:$A$32,1))))</f>
        <v>61,000 - 61,999</v>
      </c>
      <c r="I267" s="70">
        <v>3745</v>
      </c>
      <c r="J267" s="19" t="str">
        <f>IF($C267="","",IF($I267="","-",INDEX(SETUP!$B$16:$B$22,MATCH($I267,SETUP!$A$16:$A$22,1))))</f>
        <v>DEVELOPING</v>
      </c>
      <c r="K267" s="19" t="str">
        <f>IF($C267="","",IF($I267="","-",TEXT(INT($I267/1000)*1000,"#,##0")&amp;" - "&amp;TEXT(INT($I267/1000)*1000+999,"#,##0")))</f>
        <v>3,000 - 3,999</v>
      </c>
      <c r="L267" s="71">
        <v>4.95</v>
      </c>
      <c r="M267" s="19" t="str">
        <f>IF($C267="","",IF($L267="","-",INDEX(SETUP!$B$36:$B$42,MATCH($L267,SETUP!$A$36:$A$42,1))))</f>
        <v>4k - 5k</v>
      </c>
      <c r="N267" s="21">
        <f>IF($C267="","",IF(OR($G267="",$I267=""),"",ROUND(100*(SETUP!$B$4*MIN(1,$I267/SETUP!$B$9)+SETUP!$B$5*MAX(0,MIN(1,($G267-SETUP!$B$10)/(SETUP!$B$11-SETUP!$B$10)))+SETUP!$B$6*MIN(1,IF($L267="",0,$L267)/SETUP!$B$12)),1)))</f>
        <v>40.9</v>
      </c>
      <c r="O267" s="19" t="str">
        <f>IF($C267="","",IF($N267="","-",INDEX(SETUP!$B$46:$B$51,MATCH($N267,SETUP!$A$46:$A$51,1))))</f>
        <v>B</v>
      </c>
      <c r="P267" s="19">
        <f>IF($C267="","",IF($I267="","",RANK($I267,$I$4:$I$1463)+COUNTIF($I$4:$I267,$I267)-1))</f>
        <v>669</v>
      </c>
      <c r="Q267" s="19">
        <f>IF($C267="","",COUNTIFS($B$4:$B$1463,$B267,$X$4:$X$1463,"&gt;"&amp;$X267)+COUNTIFS($B$4:$B267,$B267,$X$4:$X267,"="&amp;$X267))</f>
        <v>30</v>
      </c>
      <c r="R267" s="75">
        <f>IF($C267="","",IF($I267="","",ROUND(COUNTIF($I$4:$I$1463,"&lt;"&amp;$I267)/COUNT($I$4:$I$1463),3)))</f>
        <v>0.495</v>
      </c>
      <c r="S267" s="19" t="str">
        <f>IF($C267="","",IF($G267="","Name only",IF(OR($I267="",$L267=""),"Partial","Complete")))</f>
        <v>Complete</v>
      </c>
      <c r="T267" s="1" t="str">
        <f>IF($C267="","",TRIM(IF(COUNTIF($C$4:$C$1463,$C267)&gt;1,"Dup name; ","")&amp;IF(AND($G267&lt;&gt;"",$G267&lt;55000),"Low CR - verify; ","")&amp;IF(AND($L267&lt;&gt;"",$L267&gt;15),"Secondary - verify; ","")&amp;IF($E267="","No class; ","")))</f>
        <v/>
      </c>
      <c r="U267" s="68"/>
      <c r="V267" s="68"/>
      <c r="W267" s="68"/>
      <c r="X267" s="76">
        <f t="shared" si="22"/>
        <v>3745</v>
      </c>
      <c r="Y267" s="1" t="str">
        <f t="shared" si="23"/>
        <v>INVICTUS|30</v>
      </c>
      <c r="Z267" s="19">
        <f>IF($C267="","",IF($G267="","",RANK($G267,$G$4:$G$1463)+COUNTIF($G$4:$G267,$G267)-1))</f>
        <v>1093</v>
      </c>
      <c r="AA267" s="19">
        <f>IF($C267="","",IF($N267="","",RANK($N267,$N$4:$N$1463)+COUNTIF($N$4:$N267,$N267)-1))</f>
        <v>780</v>
      </c>
      <c r="AB267" s="1" t="str">
        <f>IF($C267="","",IF($E267="","",$E267&amp;"#"&amp;(COUNTIFS($E$4:$E$1463,$E267,$X$4:$X$1463,"&gt;"&amp;$X267)+COUNTIFS($E$4:$E267,$E267,$X$4:$X267,"="&amp;$X267))))</f>
        <v>BLOOD KNIGHT#43</v>
      </c>
      <c r="AC267" s="1" t="str">
        <f>IF($C267="","",$B267&amp;"@"&amp;(COUNTIFS($B$4:$B$1463,$B267,$C$4:$C$1463,"&lt;"&amp;$C267)+COUNTIFS($B$4:$B267,$B267,$C$4:$C267,$C267)))</f>
        <v>INVICTUS@17</v>
      </c>
      <c r="AD267" s="1">
        <f t="shared" si="24"/>
        <v>264</v>
      </c>
      <c r="AE267" s="1" t="s">
        <v>1029</v>
      </c>
      <c r="AF267" s="76">
        <f t="shared" si="25"/>
        <v>61193</v>
      </c>
      <c r="AG267" s="77">
        <f t="shared" si="26"/>
        <v>4.95</v>
      </c>
      <c r="AH267" s="1" t="str">
        <f>IF($C267="","",$B267&amp;"|"&amp;(COUNTIFS($B$4:$B$1463,$B267,$AF$4:$AF$1463,"&gt;"&amp;$AF267)+COUNTIFS($B$4:$B267,$B267,$AF$4:$AF267,"="&amp;$AF267)))</f>
        <v>INVICTUS|80</v>
      </c>
      <c r="AI267" s="1" t="str">
        <f>IF($C267="","",$B267&amp;"|"&amp;(COUNTIFS($B$4:$B$1463,$B267,$AG$4:$AG$1463,"&gt;"&amp;$AG267)+COUNTIFS($B$4:$B267,$B267,$AG$4:$AG267,"="&amp;$AG267)))</f>
        <v>INVICTUS|32</v>
      </c>
    </row>
    <row r="268" spans="1:35" hidden="1">
      <c r="A268" s="69" t="s">
        <v>109</v>
      </c>
      <c r="B268" s="69" t="s">
        <v>112</v>
      </c>
      <c r="C268" s="63" t="s">
        <v>1030</v>
      </c>
      <c r="D268" s="69" t="s">
        <v>567</v>
      </c>
      <c r="E268" s="68" t="s">
        <v>74</v>
      </c>
      <c r="F268" s="15" t="str">
        <f>IF($C268="","",IF($E268="","-",IFERROR(INDEX(SETUP!$B$55:$B$64,MATCH($E268,SETUP!$A$55:$A$64,0)),"Other")))</f>
        <v>Ranged DPS</v>
      </c>
      <c r="G268" s="70">
        <v>61740</v>
      </c>
      <c r="H268" s="15" t="str">
        <f>IF($C268="","",IF($G268="","-",INDEX(SETUP!$B$26:$B$32,MATCH($G268,SETUP!$A$26:$A$32,1))))</f>
        <v>61,000 - 61,999</v>
      </c>
      <c r="I268" s="70">
        <v>2536</v>
      </c>
      <c r="J268" s="15" t="str">
        <f>IF($C268="","",IF($I268="","-",INDEX(SETUP!$B$16:$B$22,MATCH($I268,SETUP!$A$16:$A$22,1))))</f>
        <v>DEVELOPING</v>
      </c>
      <c r="K268" s="15" t="str">
        <f>IF($C268="","",IF($I268="","-",TEXT(INT($I268/1000)*1000,"#,##0")&amp;" - "&amp;TEXT(INT($I268/1000)*1000+999,"#,##0")))</f>
        <v>2,000 - 2,999</v>
      </c>
      <c r="L268" s="71">
        <v>3.8</v>
      </c>
      <c r="M268" s="15" t="str">
        <f>IF($C268="","",IF($L268="","-",INDEX(SETUP!$B$36:$B$42,MATCH($L268,SETUP!$A$36:$A$42,1))))</f>
        <v>3k - 4k</v>
      </c>
      <c r="N268" s="17">
        <f>IF($C268="","",IF(OR($G268="",$I268=""),"",ROUND(100*(SETUP!$B$4*MIN(1,$I268/SETUP!$B$9)+SETUP!$B$5*MAX(0,MIN(1,($G268-SETUP!$B$10)/(SETUP!$B$11-SETUP!$B$10)))+SETUP!$B$6*MIN(1,IF($L268="",0,$L268)/SETUP!$B$12)),1)))</f>
        <v>35.1</v>
      </c>
      <c r="O268" s="15" t="str">
        <f>IF($C268="","",IF($N268="","-",INDEX(SETUP!$B$46:$B$51,MATCH($N268,SETUP!$A$46:$A$51,1))))</f>
        <v>B</v>
      </c>
      <c r="P268" s="15">
        <f>IF($C268="","",IF($I268="","",RANK($I268,$I$4:$I$1463)+COUNTIF($I$4:$I268,$I268)-1))</f>
        <v>998</v>
      </c>
      <c r="Q268" s="15">
        <f>IF($C268="","",COUNTIFS($B$4:$B$1463,$B268,$X$4:$X$1463,"&gt;"&amp;$X268)+COUNTIFS($B$4:$B268,$B268,$X$4:$X268,"="&amp;$X268))</f>
        <v>78</v>
      </c>
      <c r="R268" s="72">
        <f>IF($C268="","",IF($I268="","",ROUND(COUNTIF($I$4:$I$1463,"&lt;"&amp;$I268)/COUNT($I$4:$I$1463),3)))</f>
        <v>0.245</v>
      </c>
      <c r="S268" s="15" t="str">
        <f>IF($C268="","",IF($G268="","Name only",IF(OR($I268="",$L268=""),"Partial","Complete")))</f>
        <v>Complete</v>
      </c>
      <c r="T268" s="41" t="str">
        <f>IF($C268="","",TRIM(IF(COUNTIF($C$4:$C$1463,$C268)&gt;1,"Dup name; ","")&amp;IF(AND($G268&lt;&gt;"",$G268&lt;55000),"Low CR - verify; ","")&amp;IF(AND($L268&lt;&gt;"",$L268&gt;15),"Secondary - verify; ","")&amp;IF($E268="","No class; ","")))</f>
        <v/>
      </c>
      <c r="U268" s="68"/>
      <c r="V268" s="68"/>
      <c r="W268" s="68"/>
      <c r="X268" s="73">
        <f t="shared" si="22"/>
        <v>2536</v>
      </c>
      <c r="Y268" s="41" t="str">
        <f t="shared" si="23"/>
        <v>ACHERON|78</v>
      </c>
      <c r="Z268" s="15">
        <f>IF($C268="","",IF($G268="","",RANK($G268,$G$4:$G$1463)+COUNTIF($G$4:$G268,$G268)-1))</f>
        <v>928</v>
      </c>
      <c r="AA268" s="15">
        <f>IF($C268="","",IF($N268="","",RANK($N268,$N$4:$N$1463)+COUNTIF($N$4:$N268,$N268)-1))</f>
        <v>1004</v>
      </c>
      <c r="AB268" s="41" t="str">
        <f>IF($C268="","",IF($E268="","",$E268&amp;"#"&amp;(COUNTIFS($E$4:$E$1463,$E268,$X$4:$X$1463,"&gt;"&amp;$X268)+COUNTIFS($E$4:$E268,$E268,$X$4:$X268,"="&amp;$X268))))</f>
        <v>DEMON HUNTER#160</v>
      </c>
      <c r="AC268" s="41" t="str">
        <f>IF($C268="","",$B268&amp;"@"&amp;(COUNTIFS($B$4:$B$1463,$B268,$C$4:$C$1463,"&lt;"&amp;$C268)+COUNTIFS($B$4:$B268,$B268,$C$4:$C268,$C268)))</f>
        <v>ACHERON@12</v>
      </c>
      <c r="AD268" s="41">
        <f t="shared" si="24"/>
        <v>265</v>
      </c>
      <c r="AE268" s="41" t="s">
        <v>1031</v>
      </c>
      <c r="AF268" s="73">
        <f t="shared" si="25"/>
        <v>61740</v>
      </c>
      <c r="AG268" s="74">
        <f t="shared" si="26"/>
        <v>3.8</v>
      </c>
      <c r="AH268" s="41" t="str">
        <f>IF($C268="","",$B268&amp;"|"&amp;(COUNTIFS($B$4:$B$1463,$B268,$AF$4:$AF$1463,"&gt;"&amp;$AF268)+COUNTIFS($B$4:$B268,$B268,$AF$4:$AF268,"="&amp;$AF268)))</f>
        <v>ACHERON|74</v>
      </c>
      <c r="AI268" s="41" t="str">
        <f>IF($C268="","",$B268&amp;"|"&amp;(COUNTIFS($B$4:$B$1463,$B268,$AG$4:$AG$1463,"&gt;"&amp;$AG268)+COUNTIFS($B$4:$B268,$B268,$AG$4:$AG268,"="&amp;$AG268)))</f>
        <v>ACHERON|82</v>
      </c>
    </row>
    <row r="269" spans="1:35" hidden="1">
      <c r="A269" s="69" t="s">
        <v>106</v>
      </c>
      <c r="B269" s="69" t="s">
        <v>107</v>
      </c>
      <c r="C269" s="63" t="s">
        <v>1032</v>
      </c>
      <c r="D269" s="69"/>
      <c r="E269" s="68" t="s">
        <v>71</v>
      </c>
      <c r="F269" s="19" t="str">
        <f>IF($C269="","",IF($E269="","-",IFERROR(INDEX(SETUP!$B$55:$B$64,MATCH($E269,SETUP!$A$55:$A$64,0)),"Other")))</f>
        <v>Frontline</v>
      </c>
      <c r="G269" s="70">
        <v>63286</v>
      </c>
      <c r="H269" s="19" t="str">
        <f>IF($C269="","",IF($G269="","-",INDEX(SETUP!$B$26:$B$32,MATCH($G269,SETUP!$A$26:$A$32,1))))</f>
        <v>63,000 - 63,999</v>
      </c>
      <c r="I269" s="70">
        <v>7430</v>
      </c>
      <c r="J269" s="19" t="str">
        <f>IF($C269="","",IF($I269="","-",INDEX(SETUP!$B$16:$B$22,MATCH($I269,SETUP!$A$16:$A$22,1))))</f>
        <v>VETERAN</v>
      </c>
      <c r="K269" s="19" t="str">
        <f>IF($C269="","",IF($I269="","-",TEXT(INT($I269/1000)*1000,"#,##0")&amp;" - "&amp;TEXT(INT($I269/1000)*1000+999,"#,##0")))</f>
        <v>7,000 - 7,999</v>
      </c>
      <c r="L269" s="71">
        <v>6.5</v>
      </c>
      <c r="M269" s="19" t="str">
        <f>IF($C269="","",IF($L269="","-",INDEX(SETUP!$B$36:$B$42,MATCH($L269,SETUP!$A$36:$A$42,1))))</f>
        <v>6k - 8k</v>
      </c>
      <c r="N269" s="21">
        <f>IF($C269="","",IF(OR($G269="",$I269=""),"",ROUND(100*(SETUP!$B$4*MIN(1,$I269/SETUP!$B$9)+SETUP!$B$5*MAX(0,MIN(1,($G269-SETUP!$B$10)/(SETUP!$B$11-SETUP!$B$10)))+SETUP!$B$6*MIN(1,IF($L269="",0,$L269)/SETUP!$B$12)),1)))</f>
        <v>65.099999999999994</v>
      </c>
      <c r="O269" s="19" t="str">
        <f>IF($C269="","",IF($N269="","-",INDEX(SETUP!$B$46:$B$51,MATCH($N269,SETUP!$A$46:$A$51,1))))</f>
        <v>S</v>
      </c>
      <c r="P269" s="19">
        <f>IF($C269="","",IF($I269="","",RANK($I269,$I$4:$I$1463)+COUNTIF($I$4:$I269,$I269)-1))</f>
        <v>178</v>
      </c>
      <c r="Q269" s="19">
        <f>IF($C269="","",COUNTIFS($B$4:$B$1463,$B269,$X$4:$X$1463,"&gt;"&amp;$X269)+COUNTIFS($B$4:$B269,$B269,$X$4:$X269,"="&amp;$X269))</f>
        <v>9</v>
      </c>
      <c r="R269" s="75">
        <f>IF($C269="","",IF($I269="","",ROUND(COUNTIF($I$4:$I$1463,"&lt;"&amp;$I269)/COUNT($I$4:$I$1463),3)))</f>
        <v>0.86599999999999999</v>
      </c>
      <c r="S269" s="19" t="str">
        <f>IF($C269="","",IF($G269="","Name only",IF(OR($I269="",$L269=""),"Partial","Complete")))</f>
        <v>Complete</v>
      </c>
      <c r="T269" s="1" t="str">
        <f>IF($C269="","",TRIM(IF(COUNTIF($C$4:$C$1463,$C269)&gt;1,"Dup name; ","")&amp;IF(AND($G269&lt;&gt;"",$G269&lt;55000),"Low CR - verify; ","")&amp;IF(AND($L269&lt;&gt;"",$L269&gt;15),"Secondary - verify; ","")&amp;IF($E269="","No class; ","")))</f>
        <v/>
      </c>
      <c r="U269" s="68"/>
      <c r="V269" s="68"/>
      <c r="W269" s="68"/>
      <c r="X269" s="76">
        <f t="shared" si="22"/>
        <v>7430</v>
      </c>
      <c r="Y269" s="1" t="str">
        <f t="shared" si="23"/>
        <v>UNDYING|9</v>
      </c>
      <c r="Z269" s="19">
        <f>IF($C269="","",IF($G269="","",RANK($G269,$G$4:$G$1463)+COUNTIF($G$4:$G269,$G269)-1))</f>
        <v>267</v>
      </c>
      <c r="AA269" s="19">
        <f>IF($C269="","",IF($N269="","",RANK($N269,$N$4:$N$1463)+COUNTIF($N$4:$N269,$N269)-1))</f>
        <v>176</v>
      </c>
      <c r="AB269" s="1" t="str">
        <f>IF($C269="","",IF($E269="","",$E269&amp;"#"&amp;(COUNTIFS($E$4:$E$1463,$E269,$X$4:$X$1463,"&gt;"&amp;$X269)+COUNTIFS($E$4:$E269,$E269,$X$4:$X269,"="&amp;$X269))))</f>
        <v>BARBARIAN#41</v>
      </c>
      <c r="AC269" s="1" t="str">
        <f>IF($C269="","",$B269&amp;"@"&amp;(COUNTIFS($B$4:$B$1463,$B269,$C$4:$C$1463,"&lt;"&amp;$C269)+COUNTIFS($B$4:$B269,$B269,$C$4:$C269,$C269)))</f>
        <v>UNDYING@29</v>
      </c>
      <c r="AD269" s="1">
        <f t="shared" si="24"/>
        <v>266</v>
      </c>
      <c r="AE269" s="1" t="s">
        <v>634</v>
      </c>
      <c r="AF269" s="76">
        <f t="shared" si="25"/>
        <v>63286</v>
      </c>
      <c r="AG269" s="77">
        <f t="shared" si="26"/>
        <v>6.5</v>
      </c>
      <c r="AH269" s="1" t="str">
        <f>IF($C269="","",$B269&amp;"|"&amp;(COUNTIFS($B$4:$B$1463,$B269,$AF$4:$AF$1463,"&gt;"&amp;$AF269)+COUNTIFS($B$4:$B269,$B269,$AF$4:$AF269,"="&amp;$AF269)))</f>
        <v>UNDYING|22</v>
      </c>
      <c r="AI269" s="1" t="str">
        <f>IF($C269="","",$B269&amp;"|"&amp;(COUNTIFS($B$4:$B$1463,$B269,$AG$4:$AG$1463,"&gt;"&amp;$AG269)+COUNTIFS($B$4:$B269,$B269,$AG$4:$AG269,"="&amp;$AG269)))</f>
        <v>UNDYING|14</v>
      </c>
    </row>
    <row r="270" spans="1:35" hidden="1">
      <c r="A270" s="69" t="s">
        <v>109</v>
      </c>
      <c r="B270" s="69" t="s">
        <v>113</v>
      </c>
      <c r="C270" s="63" t="s">
        <v>1033</v>
      </c>
      <c r="D270" s="69" t="s">
        <v>548</v>
      </c>
      <c r="E270" s="68" t="s">
        <v>80</v>
      </c>
      <c r="F270" s="15" t="str">
        <f>IF($C270="","",IF($E270="","-",IFERROR(INDEX(SETUP!$B$55:$B$64,MATCH($E270,SETUP!$A$55:$A$64,0)),"Other")))</f>
        <v>Ranged DPS</v>
      </c>
      <c r="G270" s="70">
        <v>59975</v>
      </c>
      <c r="H270" s="15" t="str">
        <f>IF($C270="","",IF($G270="","-",INDEX(SETUP!$B$26:$B$32,MATCH($G270,SETUP!$A$26:$A$32,1))))</f>
        <v>58,000 - 59,999</v>
      </c>
      <c r="I270" s="70">
        <v>2742</v>
      </c>
      <c r="J270" s="15" t="str">
        <f>IF($C270="","",IF($I270="","-",INDEX(SETUP!$B$16:$B$22,MATCH($I270,SETUP!$A$16:$A$22,1))))</f>
        <v>DEVELOPING</v>
      </c>
      <c r="K270" s="15" t="str">
        <f>IF($C270="","",IF($I270="","-",TEXT(INT($I270/1000)*1000,"#,##0")&amp;" - "&amp;TEXT(INT($I270/1000)*1000+999,"#,##0")))</f>
        <v>2,000 - 2,999</v>
      </c>
      <c r="L270" s="71">
        <v>3.8</v>
      </c>
      <c r="M270" s="15" t="str">
        <f>IF($C270="","",IF($L270="","-",INDEX(SETUP!$B$36:$B$42,MATCH($L270,SETUP!$A$36:$A$42,1))))</f>
        <v>3k - 4k</v>
      </c>
      <c r="N270" s="17">
        <f>IF($C270="","",IF(OR($G270="",$I270=""),"",ROUND(100*(SETUP!$B$4*MIN(1,$I270/SETUP!$B$9)+SETUP!$B$5*MAX(0,MIN(1,($G270-SETUP!$B$10)/(SETUP!$B$11-SETUP!$B$10)))+SETUP!$B$6*MIN(1,IF($L270="",0,$L270)/SETUP!$B$12)),1)))</f>
        <v>31.4</v>
      </c>
      <c r="O270" s="15" t="str">
        <f>IF($C270="","",IF($N270="","-",INDEX(SETUP!$B$46:$B$51,MATCH($N270,SETUP!$A$46:$A$51,1))))</f>
        <v>C</v>
      </c>
      <c r="P270" s="15">
        <f>IF($C270="","",IF($I270="","",RANK($I270,$I$4:$I$1463)+COUNTIF($I$4:$I270,$I270)-1))</f>
        <v>943</v>
      </c>
      <c r="Q270" s="15">
        <f>IF($C270="","",COUNTIFS($B$4:$B$1463,$B270,$X$4:$X$1463,"&gt;"&amp;$X270)+COUNTIFS($B$4:$B270,$B270,$X$4:$X270,"="&amp;$X270))</f>
        <v>62</v>
      </c>
      <c r="R270" s="72">
        <f>IF($C270="","",IF($I270="","",ROUND(COUNTIF($I$4:$I$1463,"&lt;"&amp;$I270)/COUNT($I$4:$I$1463),3)))</f>
        <v>0.28799999999999998</v>
      </c>
      <c r="S270" s="15" t="str">
        <f>IF($C270="","",IF($G270="","Name only",IF(OR($I270="",$L270=""),"Partial","Complete")))</f>
        <v>Complete</v>
      </c>
      <c r="T270" s="41" t="str">
        <f>IF($C270="","",TRIM(IF(COUNTIF($C$4:$C$1463,$C270)&gt;1,"Dup name; ","")&amp;IF(AND($G270&lt;&gt;"",$G270&lt;55000),"Low CR - verify; ","")&amp;IF(AND($L270&lt;&gt;"",$L270&gt;15),"Secondary - verify; ","")&amp;IF($E270="","No class; ","")))</f>
        <v/>
      </c>
      <c r="U270" s="68"/>
      <c r="V270" s="68"/>
      <c r="W270" s="68"/>
      <c r="X270" s="73">
        <f t="shared" si="22"/>
        <v>2742</v>
      </c>
      <c r="Y270" s="41" t="str">
        <f t="shared" si="23"/>
        <v>INVICTUS|62</v>
      </c>
      <c r="Z270" s="15">
        <f>IF($C270="","",IF($G270="","",RANK($G270,$G$4:$G$1463)+COUNTIF($G$4:$G270,$G270)-1))</f>
        <v>1238</v>
      </c>
      <c r="AA270" s="15">
        <f>IF($C270="","",IF($N270="","",RANK($N270,$N$4:$N$1463)+COUNTIF($N$4:$N270,$N270)-1))</f>
        <v>1113</v>
      </c>
      <c r="AB270" s="41" t="str">
        <f>IF($C270="","",IF($E270="","",$E270&amp;"#"&amp;(COUNTIFS($E$4:$E$1463,$E270,$X$4:$X$1463,"&gt;"&amp;$X270)+COUNTIFS($E$4:$E270,$E270,$X$4:$X270,"="&amp;$X270))))</f>
        <v>WIZARD#66</v>
      </c>
      <c r="AC270" s="41" t="str">
        <f>IF($C270="","",$B270&amp;"@"&amp;(COUNTIFS($B$4:$B$1463,$B270,$C$4:$C$1463,"&lt;"&amp;$C270)+COUNTIFS($B$4:$B270,$B270,$C$4:$C270,$C270)))</f>
        <v>INVICTUS@18</v>
      </c>
      <c r="AD270" s="41">
        <f t="shared" si="24"/>
        <v>267</v>
      </c>
      <c r="AE270" s="41" t="s">
        <v>1034</v>
      </c>
      <c r="AF270" s="73">
        <f t="shared" si="25"/>
        <v>59975</v>
      </c>
      <c r="AG270" s="74">
        <f t="shared" si="26"/>
        <v>3.8</v>
      </c>
      <c r="AH270" s="41" t="str">
        <f>IF($C270="","",$B270&amp;"|"&amp;(COUNTIFS($B$4:$B$1463,$B270,$AF$4:$AF$1463,"&gt;"&amp;$AF270)+COUNTIFS($B$4:$B270,$B270,$AF$4:$AF270,"="&amp;$AF270)))</f>
        <v>INVICTUS|93</v>
      </c>
      <c r="AI270" s="41" t="str">
        <f>IF($C270="","",$B270&amp;"|"&amp;(COUNTIFS($B$4:$B$1463,$B270,$AG$4:$AG$1463,"&gt;"&amp;$AG270)+COUNTIFS($B$4:$B270,$B270,$AG$4:$AG270,"="&amp;$AG270)))</f>
        <v>INVICTUS|63</v>
      </c>
    </row>
    <row r="271" spans="1:35" hidden="1">
      <c r="A271" s="69" t="s">
        <v>109</v>
      </c>
      <c r="B271" s="69" t="s">
        <v>110</v>
      </c>
      <c r="C271" s="63" t="s">
        <v>1035</v>
      </c>
      <c r="D271" s="69"/>
      <c r="E271" s="68" t="s">
        <v>72</v>
      </c>
      <c r="F271" s="19" t="str">
        <f>IF($C271="","",IF($E271="","-",IFERROR(INDEX(SETUP!$B$55:$B$64,MATCH($E271,SETUP!$A$55:$A$64,0)),"Other")))</f>
        <v>Frontline</v>
      </c>
      <c r="G271" s="70">
        <v>61954</v>
      </c>
      <c r="H271" s="19" t="str">
        <f>IF($C271="","",IF($G271="","-",INDEX(SETUP!$B$26:$B$32,MATCH($G271,SETUP!$A$26:$A$32,1))))</f>
        <v>61,000 - 61,999</v>
      </c>
      <c r="I271" s="70">
        <v>3042</v>
      </c>
      <c r="J271" s="19" t="str">
        <f>IF($C271="","",IF($I271="","-",INDEX(SETUP!$B$16:$B$22,MATCH($I271,SETUP!$A$16:$A$22,1))))</f>
        <v>DEVELOPING</v>
      </c>
      <c r="K271" s="19" t="str">
        <f>IF($C271="","",IF($I271="","-",TEXT(INT($I271/1000)*1000,"#,##0")&amp;" - "&amp;TEXT(INT($I271/1000)*1000+999,"#,##0")))</f>
        <v>3,000 - 3,999</v>
      </c>
      <c r="L271" s="71">
        <v>4.6500000000000004</v>
      </c>
      <c r="M271" s="19" t="str">
        <f>IF($C271="","",IF($L271="","-",INDEX(SETUP!$B$36:$B$42,MATCH($L271,SETUP!$A$36:$A$42,1))))</f>
        <v>4k - 5k</v>
      </c>
      <c r="N271" s="21">
        <f>IF($C271="","",IF(OR($G271="",$I271=""),"",ROUND(100*(SETUP!$B$4*MIN(1,$I271/SETUP!$B$9)+SETUP!$B$5*MAX(0,MIN(1,($G271-SETUP!$B$10)/(SETUP!$B$11-SETUP!$B$10)))+SETUP!$B$6*MIN(1,IF($L271="",0,$L271)/SETUP!$B$12)),1)))</f>
        <v>39.299999999999997</v>
      </c>
      <c r="O271" s="19" t="str">
        <f>IF($C271="","",IF($N271="","-",INDEX(SETUP!$B$46:$B$51,MATCH($N271,SETUP!$A$46:$A$51,1))))</f>
        <v>B</v>
      </c>
      <c r="P271" s="19">
        <f>IF($C271="","",IF($I271="","",RANK($I271,$I$4:$I$1463)+COUNTIF($I$4:$I271,$I271)-1))</f>
        <v>863</v>
      </c>
      <c r="Q271" s="19">
        <f>IF($C271="","",COUNTIFS($B$4:$B$1463,$B271,$X$4:$X$1463,"&gt;"&amp;$X271)+COUNTIFS($B$4:$B271,$B271,$X$4:$X271,"="&amp;$X271))</f>
        <v>90</v>
      </c>
      <c r="R271" s="75">
        <f>IF($C271="","",IF($I271="","",ROUND(COUNTIF($I$4:$I$1463,"&lt;"&amp;$I271)/COUNT($I$4:$I$1463),3)))</f>
        <v>0.34899999999999998</v>
      </c>
      <c r="S271" s="19" t="str">
        <f>IF($C271="","",IF($G271="","Name only",IF(OR($I271="",$L271=""),"Partial","Complete")))</f>
        <v>Complete</v>
      </c>
      <c r="T271" s="1" t="str">
        <f>IF($C271="","",TRIM(IF(COUNTIF($C$4:$C$1463,$C271)&gt;1,"Dup name; ","")&amp;IF(AND($G271&lt;&gt;"",$G271&lt;55000),"Low CR - verify; ","")&amp;IF(AND($L271&lt;&gt;"",$L271&gt;15),"Secondary - verify; ","")&amp;IF($E271="","No class; ","")))</f>
        <v/>
      </c>
      <c r="U271" s="68"/>
      <c r="V271" s="68"/>
      <c r="W271" s="68"/>
      <c r="X271" s="76">
        <f t="shared" si="22"/>
        <v>3042</v>
      </c>
      <c r="Y271" s="1" t="str">
        <f t="shared" si="23"/>
        <v>AZUKI|90</v>
      </c>
      <c r="Z271" s="19">
        <f>IF($C271="","",IF($G271="","",RANK($G271,$G$4:$G$1463)+COUNTIF($G$4:$G271,$G271)-1))</f>
        <v>846</v>
      </c>
      <c r="AA271" s="19">
        <f>IF($C271="","",IF($N271="","",RANK($N271,$N$4:$N$1463)+COUNTIF($N$4:$N271,$N271)-1))</f>
        <v>850</v>
      </c>
      <c r="AB271" s="1" t="str">
        <f>IF($C271="","",IF($E271="","",$E271&amp;"#"&amp;(COUNTIFS($E$4:$E$1463,$E271,$X$4:$X$1463,"&gt;"&amp;$X271)+COUNTIFS($E$4:$E271,$E271,$X$4:$X271,"="&amp;$X271))))</f>
        <v>BLOOD KNIGHT#62</v>
      </c>
      <c r="AC271" s="1" t="str">
        <f>IF($C271="","",$B271&amp;"@"&amp;(COUNTIFS($B$4:$B$1463,$B271,$C$4:$C$1463,"&lt;"&amp;$C271)+COUNTIFS($B$4:$B271,$B271,$C$4:$C271,$C271)))</f>
        <v>AZUKI@26</v>
      </c>
      <c r="AD271" s="1">
        <f t="shared" si="24"/>
        <v>268</v>
      </c>
      <c r="AE271" s="1" t="s">
        <v>1036</v>
      </c>
      <c r="AF271" s="76">
        <f t="shared" si="25"/>
        <v>61954</v>
      </c>
      <c r="AG271" s="77">
        <f t="shared" si="26"/>
        <v>4.6500000000000004</v>
      </c>
      <c r="AH271" s="1" t="str">
        <f>IF($C271="","",$B271&amp;"|"&amp;(COUNTIFS($B$4:$B$1463,$B271,$AF$4:$AF$1463,"&gt;"&amp;$AF271)+COUNTIFS($B$4:$B271,$B271,$AF$4:$AF271,"="&amp;$AF271)))</f>
        <v>AZUKI|79</v>
      </c>
      <c r="AI271" s="1" t="str">
        <f>IF($C271="","",$B271&amp;"|"&amp;(COUNTIFS($B$4:$B$1463,$B271,$AG$4:$AG$1463,"&gt;"&amp;$AG271)+COUNTIFS($B$4:$B271,$B271,$AG$4:$AG271,"="&amp;$AG271)))</f>
        <v>AZUKI|77</v>
      </c>
    </row>
    <row r="272" spans="1:35" hidden="1">
      <c r="A272" s="69" t="s">
        <v>109</v>
      </c>
      <c r="B272" s="69" t="s">
        <v>118</v>
      </c>
      <c r="C272" s="63" t="s">
        <v>1037</v>
      </c>
      <c r="D272" s="69"/>
      <c r="E272" s="68" t="s">
        <v>72</v>
      </c>
      <c r="F272" s="15" t="str">
        <f>IF($C272="","",IF($E272="","-",IFERROR(INDEX(SETUP!$B$55:$B$64,MATCH($E272,SETUP!$A$55:$A$64,0)),"Other")))</f>
        <v>Frontline</v>
      </c>
      <c r="G272" s="70">
        <v>60259</v>
      </c>
      <c r="H272" s="15" t="str">
        <f>IF($C272="","",IF($G272="","-",INDEX(SETUP!$B$26:$B$32,MATCH($G272,SETUP!$A$26:$A$32,1))))</f>
        <v>60,000 - 60,999</v>
      </c>
      <c r="I272" s="70">
        <v>2290</v>
      </c>
      <c r="J272" s="15" t="str">
        <f>IF($C272="","",IF($I272="","-",INDEX(SETUP!$B$16:$B$22,MATCH($I272,SETUP!$A$16:$A$22,1))))</f>
        <v>DEVELOPING</v>
      </c>
      <c r="K272" s="15" t="str">
        <f>IF($C272="","",IF($I272="","-",TEXT(INT($I272/1000)*1000,"#,##0")&amp;" - "&amp;TEXT(INT($I272/1000)*1000+999,"#,##0")))</f>
        <v>2,000 - 2,999</v>
      </c>
      <c r="L272" s="71">
        <v>4.5999999999999996</v>
      </c>
      <c r="M272" s="15" t="str">
        <f>IF($C272="","",IF($L272="","-",INDEX(SETUP!$B$36:$B$42,MATCH($L272,SETUP!$A$36:$A$42,1))))</f>
        <v>4k - 5k</v>
      </c>
      <c r="N272" s="17">
        <f>IF($C272="","",IF(OR($G272="",$I272=""),"",ROUND(100*(SETUP!$B$4*MIN(1,$I272/SETUP!$B$9)+SETUP!$B$5*MAX(0,MIN(1,($G272-SETUP!$B$10)/(SETUP!$B$11-SETUP!$B$10)))+SETUP!$B$6*MIN(1,IF($L272="",0,$L272)/SETUP!$B$12)),1)))</f>
        <v>31.5</v>
      </c>
      <c r="O272" s="15" t="str">
        <f>IF($C272="","",IF($N272="","-",INDEX(SETUP!$B$46:$B$51,MATCH($N272,SETUP!$A$46:$A$51,1))))</f>
        <v>C</v>
      </c>
      <c r="P272" s="15">
        <f>IF($C272="","",IF($I272="","",RANK($I272,$I$4:$I$1463)+COUNTIF($I$4:$I272,$I272)-1))</f>
        <v>1047</v>
      </c>
      <c r="Q272" s="15">
        <f>IF($C272="","",COUNTIFS($B$4:$B$1463,$B272,$X$4:$X$1463,"&gt;"&amp;$X272)+COUNTIFS($B$4:$B272,$B272,$X$4:$X272,"="&amp;$X272))</f>
        <v>33</v>
      </c>
      <c r="R272" s="72">
        <f>IF($C272="","",IF($I272="","",ROUND(COUNTIF($I$4:$I$1463,"&lt;"&amp;$I272)/COUNT($I$4:$I$1463),3)))</f>
        <v>0.21</v>
      </c>
      <c r="S272" s="15" t="str">
        <f>IF($C272="","",IF($G272="","Name only",IF(OR($I272="",$L272=""),"Partial","Complete")))</f>
        <v>Complete</v>
      </c>
      <c r="T272" s="41" t="str">
        <f>IF($C272="","",TRIM(IF(COUNTIF($C$4:$C$1463,$C272)&gt;1,"Dup name; ","")&amp;IF(AND($G272&lt;&gt;"",$G272&lt;55000),"Low CR - verify; ","")&amp;IF(AND($L272&lt;&gt;"",$L272&gt;15),"Secondary - verify; ","")&amp;IF($E272="","No class; ","")))</f>
        <v/>
      </c>
      <c r="U272" s="68"/>
      <c r="V272" s="68"/>
      <c r="W272" s="68"/>
      <c r="X272" s="73">
        <f t="shared" si="22"/>
        <v>2290</v>
      </c>
      <c r="Y272" s="41" t="str">
        <f t="shared" si="23"/>
        <v>ZOMBIES|33</v>
      </c>
      <c r="Z272" s="15">
        <f>IF($C272="","",IF($G272="","",RANK($G272,$G$4:$G$1463)+COUNTIF($G$4:$G272,$G272)-1))</f>
        <v>1222</v>
      </c>
      <c r="AA272" s="15">
        <f>IF($C272="","",IF($N272="","",RANK($N272,$N$4:$N$1463)+COUNTIF($N$4:$N272,$N272)-1))</f>
        <v>1108</v>
      </c>
      <c r="AB272" s="41" t="str">
        <f>IF($C272="","",IF($E272="","",$E272&amp;"#"&amp;(COUNTIFS($E$4:$E$1463,$E272,$X$4:$X$1463,"&gt;"&amp;$X272)+COUNTIFS($E$4:$E272,$E272,$X$4:$X272,"="&amp;$X272))))</f>
        <v>BLOOD KNIGHT#69</v>
      </c>
      <c r="AC272" s="41" t="str">
        <f>IF($C272="","",$B272&amp;"@"&amp;(COUNTIFS($B$4:$B$1463,$B272,$C$4:$C$1463,"&lt;"&amp;$C272)+COUNTIFS($B$4:$B272,$B272,$C$4:$C272,$C272)))</f>
        <v>ZOMBIES@23</v>
      </c>
      <c r="AD272" s="41">
        <f t="shared" si="24"/>
        <v>269</v>
      </c>
      <c r="AE272" s="41" t="s">
        <v>1038</v>
      </c>
      <c r="AF272" s="73">
        <f t="shared" si="25"/>
        <v>60259</v>
      </c>
      <c r="AG272" s="74">
        <f t="shared" si="26"/>
        <v>4.5999999999999996</v>
      </c>
      <c r="AH272" s="41" t="str">
        <f>IF($C272="","",$B272&amp;"|"&amp;(COUNTIFS($B$4:$B$1463,$B272,$AF$4:$AF$1463,"&gt;"&amp;$AF272)+COUNTIFS($B$4:$B272,$B272,$AF$4:$AF272,"="&amp;$AF272)))</f>
        <v>ZOMBIES|73</v>
      </c>
      <c r="AI272" s="41" t="str">
        <f>IF($C272="","",$B272&amp;"|"&amp;(COUNTIFS($B$4:$B$1463,$B272,$AG$4:$AG$1463,"&gt;"&amp;$AG272)+COUNTIFS($B$4:$B272,$B272,$AG$4:$AG272,"="&amp;$AG272)))</f>
        <v>ZOMBIES|15</v>
      </c>
    </row>
    <row r="273" spans="1:35" hidden="1">
      <c r="A273" s="69" t="s">
        <v>109</v>
      </c>
      <c r="B273" s="69" t="s">
        <v>110</v>
      </c>
      <c r="C273" s="63" t="s">
        <v>1039</v>
      </c>
      <c r="D273" s="69"/>
      <c r="E273" s="68" t="s">
        <v>79</v>
      </c>
      <c r="F273" s="19" t="str">
        <f>IF($C273="","",IF($E273="","-",IFERROR(INDEX(SETUP!$B$55:$B$64,MATCH($E273,SETUP!$A$55:$A$64,0)),"Other")))</f>
        <v>Control</v>
      </c>
      <c r="G273" s="70">
        <v>63025</v>
      </c>
      <c r="H273" s="19" t="str">
        <f>IF($C273="","",IF($G273="","-",INDEX(SETUP!$B$26:$B$32,MATCH($G273,SETUP!$A$26:$A$32,1))))</f>
        <v>63,000 - 63,999</v>
      </c>
      <c r="I273" s="70">
        <v>10045</v>
      </c>
      <c r="J273" s="19" t="str">
        <f>IF($C273="","",IF($I273="","-",INDEX(SETUP!$B$16:$B$22,MATCH($I273,SETUP!$A$16:$A$22,1))))</f>
        <v>APEX</v>
      </c>
      <c r="K273" s="19" t="str">
        <f>IF($C273="","",IF($I273="","-",TEXT(INT($I273/1000)*1000,"#,##0")&amp;" - "&amp;TEXT(INT($I273/1000)*1000+999,"#,##0")))</f>
        <v>10,000 - 10,999</v>
      </c>
      <c r="L273" s="71">
        <v>7.45</v>
      </c>
      <c r="M273" s="19" t="str">
        <f>IF($C273="","",IF($L273="","-",INDEX(SETUP!$B$36:$B$42,MATCH($L273,SETUP!$A$36:$A$42,1))))</f>
        <v>6k - 8k</v>
      </c>
      <c r="N273" s="21">
        <f>IF($C273="","",IF(OR($G273="",$I273=""),"",ROUND(100*(SETUP!$B$4*MIN(1,$I273/SETUP!$B$9)+SETUP!$B$5*MAX(0,MIN(1,($G273-SETUP!$B$10)/(SETUP!$B$11-SETUP!$B$10)))+SETUP!$B$6*MIN(1,IF($L273="",0,$L273)/SETUP!$B$12)),1)))</f>
        <v>77.400000000000006</v>
      </c>
      <c r="O273" s="19" t="str">
        <f>IF($C273="","",IF($N273="","-",INDEX(SETUP!$B$46:$B$51,MATCH($N273,SETUP!$A$46:$A$51,1))))</f>
        <v>S</v>
      </c>
      <c r="P273" s="19">
        <f>IF($C273="","",IF($I273="","",RANK($I273,$I$4:$I$1463)+COUNTIF($I$4:$I273,$I273)-1))</f>
        <v>51</v>
      </c>
      <c r="Q273" s="19">
        <f>IF($C273="","",COUNTIFS($B$4:$B$1463,$B273,$X$4:$X$1463,"&gt;"&amp;$X273)+COUNTIFS($B$4:$B273,$B273,$X$4:$X273,"="&amp;$X273))</f>
        <v>11</v>
      </c>
      <c r="R273" s="75">
        <f>IF($C273="","",IF($I273="","",ROUND(COUNTIF($I$4:$I$1463,"&lt;"&amp;$I273)/COUNT($I$4:$I$1463),3)))</f>
        <v>0.96199999999999997</v>
      </c>
      <c r="S273" s="19" t="str">
        <f>IF($C273="","",IF($G273="","Name only",IF(OR($I273="",$L273=""),"Partial","Complete")))</f>
        <v>Complete</v>
      </c>
      <c r="T273" s="1" t="str">
        <f>IF($C273="","",TRIM(IF(COUNTIF($C$4:$C$1463,$C273)&gt;1,"Dup name; ","")&amp;IF(AND($G273&lt;&gt;"",$G273&lt;55000),"Low CR - verify; ","")&amp;IF(AND($L273&lt;&gt;"",$L273&gt;15),"Secondary - verify; ","")&amp;IF($E273="","No class; ","")))</f>
        <v/>
      </c>
      <c r="U273" s="68"/>
      <c r="V273" s="68"/>
      <c r="W273" s="68"/>
      <c r="X273" s="76">
        <f t="shared" si="22"/>
        <v>10045</v>
      </c>
      <c r="Y273" s="1" t="str">
        <f t="shared" si="23"/>
        <v>AZUKI|11</v>
      </c>
      <c r="Z273" s="19">
        <f>IF($C273="","",IF($G273="","",RANK($G273,$G$4:$G$1463)+COUNTIF($G$4:$G273,$G273)-1))</f>
        <v>416</v>
      </c>
      <c r="AA273" s="19">
        <f>IF($C273="","",IF($N273="","",RANK($N273,$N$4:$N$1463)+COUNTIF($N$4:$N273,$N273)-1))</f>
        <v>73</v>
      </c>
      <c r="AB273" s="1" t="str">
        <f>IF($C273="","",IF($E273="","",$E273&amp;"#"&amp;(COUNTIFS($E$4:$E$1463,$E273,$X$4:$X$1463,"&gt;"&amp;$X273)+COUNTIFS($E$4:$E273,$E273,$X$4:$X273,"="&amp;$X273))))</f>
        <v>WARLOCK#10</v>
      </c>
      <c r="AC273" s="1" t="str">
        <f>IF($C273="","",$B273&amp;"@"&amp;(COUNTIFS($B$4:$B$1463,$B273,$C$4:$C$1463,"&lt;"&amp;$C273)+COUNTIFS($B$4:$B273,$B273,$C$4:$C273,$C273)))</f>
        <v>AZUKI@27</v>
      </c>
      <c r="AD273" s="1">
        <f t="shared" si="24"/>
        <v>270</v>
      </c>
      <c r="AE273" s="1" t="s">
        <v>1040</v>
      </c>
      <c r="AF273" s="76">
        <f t="shared" si="25"/>
        <v>63025</v>
      </c>
      <c r="AG273" s="77">
        <f t="shared" si="26"/>
        <v>7.45</v>
      </c>
      <c r="AH273" s="1" t="str">
        <f>IF($C273="","",$B273&amp;"|"&amp;(COUNTIFS($B$4:$B$1463,$B273,$AF$4:$AF$1463,"&gt;"&amp;$AF273)+COUNTIFS($B$4:$B273,$B273,$AF$4:$AF273,"="&amp;$AF273)))</f>
        <v>AZUKI|42</v>
      </c>
      <c r="AI273" s="1" t="str">
        <f>IF($C273="","",$B273&amp;"|"&amp;(COUNTIFS($B$4:$B$1463,$B273,$AG$4:$AG$1463,"&gt;"&amp;$AG273)+COUNTIFS($B$4:$B273,$B273,$AG$4:$AG273,"="&amp;$AG273)))</f>
        <v>AZUKI|23</v>
      </c>
    </row>
    <row r="274" spans="1:35" hidden="1">
      <c r="A274" s="69" t="s">
        <v>109</v>
      </c>
      <c r="B274" s="69" t="s">
        <v>115</v>
      </c>
      <c r="C274" s="63" t="s">
        <v>1041</v>
      </c>
      <c r="D274" s="69"/>
      <c r="E274" s="68" t="s">
        <v>79</v>
      </c>
      <c r="F274" s="15" t="str">
        <f>IF($C274="","",IF($E274="","-",IFERROR(INDEX(SETUP!$B$55:$B$64,MATCH($E274,SETUP!$A$55:$A$64,0)),"Other")))</f>
        <v>Control</v>
      </c>
      <c r="G274" s="70">
        <v>59300</v>
      </c>
      <c r="H274" s="15" t="str">
        <f>IF($C274="","",IF($G274="","-",INDEX(SETUP!$B$26:$B$32,MATCH($G274,SETUP!$A$26:$A$32,1))))</f>
        <v>58,000 - 59,999</v>
      </c>
      <c r="I274" s="70">
        <v>849</v>
      </c>
      <c r="J274" s="15" t="str">
        <f>IF($C274="","",IF($I274="","-",INDEX(SETUP!$B$16:$B$22,MATCH($I274,SETUP!$A$16:$A$22,1))))</f>
        <v>ROOKIE</v>
      </c>
      <c r="K274" s="15" t="str">
        <f>IF($C274="","",IF($I274="","-",TEXT(INT($I274/1000)*1000,"#,##0")&amp;" - "&amp;TEXT(INT($I274/1000)*1000+999,"#,##0")))</f>
        <v>0 - 999</v>
      </c>
      <c r="L274" s="71">
        <v>2.9</v>
      </c>
      <c r="M274" s="15" t="str">
        <f>IF($C274="","",IF($L274="","-",INDEX(SETUP!$B$36:$B$42,MATCH($L274,SETUP!$A$36:$A$42,1))))</f>
        <v>Under 3k</v>
      </c>
      <c r="N274" s="17">
        <f>IF($C274="","",IF(OR($G274="",$I274=""),"",ROUND(100*(SETUP!$B$4*MIN(1,$I274/SETUP!$B$9)+SETUP!$B$5*MAX(0,MIN(1,($G274-SETUP!$B$10)/(SETUP!$B$11-SETUP!$B$10)))+SETUP!$B$6*MIN(1,IF($L274="",0,$L274)/SETUP!$B$12)),1)))</f>
        <v>19.899999999999999</v>
      </c>
      <c r="O274" s="15" t="str">
        <f>IF($C274="","",IF($N274="","-",INDEX(SETUP!$B$46:$B$51,MATCH($N274,SETUP!$A$46:$A$51,1))))</f>
        <v>D</v>
      </c>
      <c r="P274" s="15">
        <f>IF($C274="","",IF($I274="","",RANK($I274,$I$4:$I$1463)+COUNTIF($I$4:$I274,$I274)-1))</f>
        <v>1290</v>
      </c>
      <c r="Q274" s="15">
        <f>IF($C274="","",COUNTIFS($B$4:$B$1463,$B274,$X$4:$X$1463,"&gt;"&amp;$X274)+COUNTIFS($B$4:$B274,$B274,$X$4:$X274,"="&amp;$X274))</f>
        <v>64</v>
      </c>
      <c r="R274" s="72">
        <f>IF($C274="","",IF($I274="","",ROUND(COUNTIF($I$4:$I$1463,"&lt;"&amp;$I274)/COUNT($I$4:$I$1463),3)))</f>
        <v>2.5999999999999999E-2</v>
      </c>
      <c r="S274" s="15" t="str">
        <f>IF($C274="","",IF($G274="","Name only",IF(OR($I274="",$L274=""),"Partial","Complete")))</f>
        <v>Complete</v>
      </c>
      <c r="T274" s="41" t="str">
        <f>IF($C274="","",TRIM(IF(COUNTIF($C$4:$C$1463,$C274)&gt;1,"Dup name; ","")&amp;IF(AND($G274&lt;&gt;"",$G274&lt;55000),"Low CR - verify; ","")&amp;IF(AND($L274&lt;&gt;"",$L274&gt;15),"Secondary - verify; ","")&amp;IF($E274="","No class; ","")))</f>
        <v/>
      </c>
      <c r="U274" s="68"/>
      <c r="V274" s="68"/>
      <c r="W274" s="68"/>
      <c r="X274" s="73">
        <f t="shared" si="22"/>
        <v>849</v>
      </c>
      <c r="Y274" s="41" t="str">
        <f t="shared" si="23"/>
        <v>SUB ROSA|64</v>
      </c>
      <c r="Z274" s="15">
        <f>IF($C274="","",IF($G274="","",RANK($G274,$G$4:$G$1463)+COUNTIF($G$4:$G274,$G274)-1))</f>
        <v>1267</v>
      </c>
      <c r="AA274" s="15">
        <f>IF($C274="","",IF($N274="","",RANK($N274,$N$4:$N$1463)+COUNTIF($N$4:$N274,$N274)-1))</f>
        <v>1293</v>
      </c>
      <c r="AB274" s="41" t="str">
        <f>IF($C274="","",IF($E274="","",$E274&amp;"#"&amp;(COUNTIFS($E$4:$E$1463,$E274,$X$4:$X$1463,"&gt;"&amp;$X274)+COUNTIFS($E$4:$E274,$E274,$X$4:$X274,"="&amp;$X274))))</f>
        <v>WARLOCK#317</v>
      </c>
      <c r="AC274" s="41" t="str">
        <f>IF($C274="","",$B274&amp;"@"&amp;(COUNTIFS($B$4:$B$1463,$B274,$C$4:$C$1463,"&lt;"&amp;$C274)+COUNTIFS($B$4:$B274,$B274,$C$4:$C274,$C274)))</f>
        <v>SUB ROSA@16</v>
      </c>
      <c r="AD274" s="41">
        <f t="shared" si="24"/>
        <v>271</v>
      </c>
      <c r="AE274" s="41" t="s">
        <v>689</v>
      </c>
      <c r="AF274" s="73">
        <f t="shared" si="25"/>
        <v>59300</v>
      </c>
      <c r="AG274" s="74">
        <f t="shared" si="26"/>
        <v>2.9</v>
      </c>
      <c r="AH274" s="41" t="str">
        <f>IF($C274="","",$B274&amp;"|"&amp;(COUNTIFS($B$4:$B$1463,$B274,$AF$4:$AF$1463,"&gt;"&amp;$AF274)+COUNTIFS($B$4:$B274,$B274,$AF$4:$AF274,"="&amp;$AF274)))</f>
        <v>SUB ROSA|61</v>
      </c>
      <c r="AI274" s="41" t="str">
        <f>IF($C274="","",$B274&amp;"|"&amp;(COUNTIFS($B$4:$B$1463,$B274,$AG$4:$AG$1463,"&gt;"&amp;$AG274)+COUNTIFS($B$4:$B274,$B274,$AG$4:$AG274,"="&amp;$AG274)))</f>
        <v>SUB ROSA|57</v>
      </c>
    </row>
    <row r="275" spans="1:35">
      <c r="A275" s="69" t="s">
        <v>104</v>
      </c>
      <c r="B275" s="69" t="s">
        <v>66</v>
      </c>
      <c r="C275" s="63" t="s">
        <v>310</v>
      </c>
      <c r="D275" s="69"/>
      <c r="E275" s="68" t="s">
        <v>73</v>
      </c>
      <c r="F275" s="19" t="str">
        <f>IF($C275="","",IF($E275="","-",IFERROR(INDEX(SETUP!$B$55:$B$64,MATCH($E275,SETUP!$A$55:$A$64,0)),"Other")))</f>
        <v>Frontline</v>
      </c>
      <c r="G275" s="70">
        <v>61208</v>
      </c>
      <c r="H275" s="19" t="str">
        <f>IF($C275="","",IF($G275="","-",INDEX(SETUP!$B$26:$B$32,MATCH($G275,SETUP!$A$26:$A$32,1))))</f>
        <v>61,000 - 61,999</v>
      </c>
      <c r="I275" s="70">
        <v>3823</v>
      </c>
      <c r="J275" s="19" t="str">
        <f>IF($C275="","",IF($I275="","-",INDEX(SETUP!$B$16:$B$22,MATCH($I275,SETUP!$A$16:$A$22,1))))</f>
        <v>DEVELOPING</v>
      </c>
      <c r="K275" s="19" t="str">
        <f>IF($C275="","",IF($I275="","-",TEXT(INT($I275/1000)*1000,"#,##0")&amp;" - "&amp;TEXT(INT($I275/1000)*1000+999,"#,##0")))</f>
        <v>3,000 - 3,999</v>
      </c>
      <c r="L275" s="71">
        <v>3.69</v>
      </c>
      <c r="M275" s="19" t="str">
        <f>IF($C275="","",IF($L275="","-",INDEX(SETUP!$B$36:$B$42,MATCH($L275,SETUP!$A$36:$A$42,1))))</f>
        <v>3k - 4k</v>
      </c>
      <c r="N275" s="21">
        <f>IF($C275="","",IF(OR($G275="",$I275=""),"",ROUND(100*(SETUP!$B$4*MIN(1,$I275/SETUP!$B$9)+SETUP!$B$5*MAX(0,MIN(1,($G275-SETUP!$B$10)/(SETUP!$B$11-SETUP!$B$10)))+SETUP!$B$6*MIN(1,IF($L275="",0,$L275)/SETUP!$B$12)),1)))</f>
        <v>39.200000000000003</v>
      </c>
      <c r="O275" s="19" t="str">
        <f>IF($C275="","",IF($N275="","-",INDEX(SETUP!$B$46:$B$51,MATCH($N275,SETUP!$A$46:$A$51,1))))</f>
        <v>B</v>
      </c>
      <c r="P275" s="19">
        <f>IF($C275="","",IF($I275="","",RANK($I275,$I$4:$I$1463)+COUNTIF($I$4:$I275,$I275)-1))</f>
        <v>642</v>
      </c>
      <c r="Q275" s="19">
        <f>IF($C275="","",COUNTIFS($B$4:$B$1463,$B275,$X$4:$X$1463,"&gt;"&amp;$X275)+COUNTIFS($B$4:$B275,$B275,$X$4:$X275,"="&amp;$X275))</f>
        <v>66</v>
      </c>
      <c r="R275" s="75">
        <f>IF($C275="","",IF($I275="","",ROUND(COUNTIF($I$4:$I$1463,"&lt;"&amp;$I275)/COUNT($I$4:$I$1463),3)))</f>
        <v>0.51500000000000001</v>
      </c>
      <c r="S275" s="19" t="str">
        <f>IF($C275="","",IF($G275="","Name only",IF(OR($I275="",$L275=""),"Partial","Complete")))</f>
        <v>Complete</v>
      </c>
      <c r="T275" s="1" t="str">
        <f>IF($C275="","",TRIM(IF(COUNTIF($C$4:$C$1463,$C275)&gt;1,"Dup name; ","")&amp;IF(AND($G275&lt;&gt;"",$G275&lt;55000),"Low CR - verify; ","")&amp;IF(AND($L275&lt;&gt;"",$L275&gt;15),"Secondary - verify; ","")&amp;IF($E275="","No class; ","")))</f>
        <v/>
      </c>
      <c r="U275" s="68"/>
      <c r="V275" s="68"/>
      <c r="W275" s="68"/>
      <c r="X275" s="76">
        <f t="shared" si="22"/>
        <v>3823</v>
      </c>
      <c r="Y275" s="1" t="str">
        <f t="shared" si="23"/>
        <v>FUCT|66</v>
      </c>
      <c r="Z275" s="19">
        <f>IF($C275="","",IF($G275="","",RANK($G275,$G$4:$G$1463)+COUNTIF($G$4:$G275,$G275)-1))</f>
        <v>1085</v>
      </c>
      <c r="AA275" s="19">
        <f>IF($C275="","",IF($N275="","",RANK($N275,$N$4:$N$1463)+COUNTIF($N$4:$N275,$N275)-1))</f>
        <v>854</v>
      </c>
      <c r="AB275" s="1" t="str">
        <f>IF($C275="","",IF($E275="","",$E275&amp;"#"&amp;(COUNTIFS($E$4:$E$1463,$E275,$X$4:$X$1463,"&gt;"&amp;$X275)+COUNTIFS($E$4:$E275,$E275,$X$4:$X275,"="&amp;$X275))))</f>
        <v>CRUSADER#75</v>
      </c>
      <c r="AC275" s="1" t="str">
        <f>IF($C275="","",$B275&amp;"@"&amp;(COUNTIFS($B$4:$B$1463,$B275,$C$4:$C$1463,"&lt;"&amp;$C275)+COUNTIFS($B$4:$B275,$B275,$C$4:$C275,$C275)))</f>
        <v>FUCT@16</v>
      </c>
      <c r="AD275" s="1">
        <f t="shared" si="24"/>
        <v>272</v>
      </c>
      <c r="AE275" s="1" t="s">
        <v>1043</v>
      </c>
      <c r="AF275" s="76">
        <f t="shared" si="25"/>
        <v>61208</v>
      </c>
      <c r="AG275" s="77">
        <f t="shared" si="26"/>
        <v>3.69</v>
      </c>
      <c r="AH275" s="1" t="str">
        <f>IF($C275="","",$B275&amp;"|"&amp;(COUNTIFS($B$4:$B$1463,$B275,$AF$4:$AF$1463,"&gt;"&amp;$AF275)+COUNTIFS($B$4:$B275,$B275,$AF$4:$AF275,"="&amp;$AF275)))</f>
        <v>FUCT|96</v>
      </c>
      <c r="AI275" s="1" t="str">
        <f>IF($C275="","",$B275&amp;"|"&amp;(COUNTIFS($B$4:$B$1463,$B275,$AG$4:$AG$1463,"&gt;"&amp;$AG275)+COUNTIFS($B$4:$B275,$B275,$AG$4:$AG275,"="&amp;$AG275)))</f>
        <v>FUCT|90</v>
      </c>
    </row>
    <row r="276" spans="1:35" hidden="1">
      <c r="A276" s="69" t="s">
        <v>109</v>
      </c>
      <c r="B276" s="69" t="s">
        <v>116</v>
      </c>
      <c r="C276" s="63" t="s">
        <v>1044</v>
      </c>
      <c r="D276" s="69" t="s">
        <v>530</v>
      </c>
      <c r="E276" s="68" t="s">
        <v>79</v>
      </c>
      <c r="F276" s="15" t="str">
        <f>IF($C276="","",IF($E276="","-",IFERROR(INDEX(SETUP!$B$55:$B$64,MATCH($E276,SETUP!$A$55:$A$64,0)),"Other")))</f>
        <v>Control</v>
      </c>
      <c r="G276" s="70">
        <v>60207</v>
      </c>
      <c r="H276" s="15" t="str">
        <f>IF($C276="","",IF($G276="","-",INDEX(SETUP!$B$26:$B$32,MATCH($G276,SETUP!$A$26:$A$32,1))))</f>
        <v>60,000 - 60,999</v>
      </c>
      <c r="I276" s="70">
        <v>2977</v>
      </c>
      <c r="J276" s="15" t="str">
        <f>IF($C276="","",IF($I276="","-",INDEX(SETUP!$B$16:$B$22,MATCH($I276,SETUP!$A$16:$A$22,1))))</f>
        <v>DEVELOPING</v>
      </c>
      <c r="K276" s="15" t="str">
        <f>IF($C276="","",IF($I276="","-",TEXT(INT($I276/1000)*1000,"#,##0")&amp;" - "&amp;TEXT(INT($I276/1000)*1000+999,"#,##0")))</f>
        <v>2,000 - 2,999</v>
      </c>
      <c r="L276" s="71">
        <v>4.5999999999999996</v>
      </c>
      <c r="M276" s="15" t="str">
        <f>IF($C276="","",IF($L276="","-",INDEX(SETUP!$B$36:$B$42,MATCH($L276,SETUP!$A$36:$A$42,1))))</f>
        <v>4k - 5k</v>
      </c>
      <c r="N276" s="17">
        <f>IF($C276="","",IF(OR($G276="",$I276=""),"",ROUND(100*(SETUP!$B$4*MIN(1,$I276/SETUP!$B$9)+SETUP!$B$5*MAX(0,MIN(1,($G276-SETUP!$B$10)/(SETUP!$B$11-SETUP!$B$10)))+SETUP!$B$6*MIN(1,IF($L276="",0,$L276)/SETUP!$B$12)),1)))</f>
        <v>34.4</v>
      </c>
      <c r="O276" s="15" t="str">
        <f>IF($C276="","",IF($N276="","-",INDEX(SETUP!$B$46:$B$51,MATCH($N276,SETUP!$A$46:$A$51,1))))</f>
        <v>C</v>
      </c>
      <c r="P276" s="15">
        <f>IF($C276="","",IF($I276="","",RANK($I276,$I$4:$I$1463)+COUNTIF($I$4:$I276,$I276)-1))</f>
        <v>891</v>
      </c>
      <c r="Q276" s="15">
        <f>IF($C276="","",COUNTIFS($B$4:$B$1463,$B276,$X$4:$X$1463,"&gt;"&amp;$X276)+COUNTIFS($B$4:$B276,$B276,$X$4:$X276,"="&amp;$X276))</f>
        <v>59</v>
      </c>
      <c r="R276" s="72">
        <f>IF($C276="","",IF($I276="","",ROUND(COUNTIF($I$4:$I$1463,"&lt;"&amp;$I276)/COUNT($I$4:$I$1463),3)))</f>
        <v>0.32800000000000001</v>
      </c>
      <c r="S276" s="15" t="str">
        <f>IF($C276="","",IF($G276="","Name only",IF(OR($I276="",$L276=""),"Partial","Complete")))</f>
        <v>Complete</v>
      </c>
      <c r="T276" s="41" t="str">
        <f>IF($C276="","",TRIM(IF(COUNTIF($C$4:$C$1463,$C276)&gt;1,"Dup name; ","")&amp;IF(AND($G276&lt;&gt;"",$G276&lt;55000),"Low CR - verify; ","")&amp;IF(AND($L276&lt;&gt;"",$L276&gt;15),"Secondary - verify; ","")&amp;IF($E276="","No class; ","")))</f>
        <v/>
      </c>
      <c r="U276" s="68"/>
      <c r="V276" s="68"/>
      <c r="W276" s="68"/>
      <c r="X276" s="73">
        <f t="shared" si="22"/>
        <v>2977</v>
      </c>
      <c r="Y276" s="41" t="str">
        <f t="shared" si="23"/>
        <v>VENGEANCE|59</v>
      </c>
      <c r="Z276" s="15">
        <f>IF($C276="","",IF($G276="","",RANK($G276,$G$4:$G$1463)+COUNTIF($G$4:$G276,$G276)-1))</f>
        <v>1226</v>
      </c>
      <c r="AA276" s="15">
        <f>IF($C276="","",IF($N276="","",RANK($N276,$N$4:$N$1463)+COUNTIF($N$4:$N276,$N276)-1))</f>
        <v>1025</v>
      </c>
      <c r="AB276" s="41" t="str">
        <f>IF($C276="","",IF($E276="","",$E276&amp;"#"&amp;(COUNTIFS($E$4:$E$1463,$E276,$X$4:$X$1463,"&gt;"&amp;$X276)+COUNTIFS($E$4:$E276,$E276,$X$4:$X276,"="&amp;$X276))))</f>
        <v>WARLOCK#222</v>
      </c>
      <c r="AC276" s="41" t="str">
        <f>IF($C276="","",$B276&amp;"@"&amp;(COUNTIFS($B$4:$B$1463,$B276,$C$4:$C$1463,"&lt;"&amp;$C276)+COUNTIFS($B$4:$B276,$B276,$C$4:$C276,$C276)))</f>
        <v>VENGEANCE@20</v>
      </c>
      <c r="AD276" s="41">
        <f t="shared" si="24"/>
        <v>273</v>
      </c>
      <c r="AE276" s="41" t="s">
        <v>553</v>
      </c>
      <c r="AF276" s="73">
        <f t="shared" si="25"/>
        <v>60207</v>
      </c>
      <c r="AG276" s="74">
        <f t="shared" si="26"/>
        <v>4.5999999999999996</v>
      </c>
      <c r="AH276" s="41" t="str">
        <f>IF($C276="","",$B276&amp;"|"&amp;(COUNTIFS($B$4:$B$1463,$B276,$AF$4:$AF$1463,"&gt;"&amp;$AF276)+COUNTIFS($B$4:$B276,$B276,$AF$4:$AF276,"="&amp;$AF276)))</f>
        <v>VENGEANCE|85</v>
      </c>
      <c r="AI276" s="41" t="str">
        <f>IF($C276="","",$B276&amp;"|"&amp;(COUNTIFS($B$4:$B$1463,$B276,$AG$4:$AG$1463,"&gt;"&amp;$AG276)+COUNTIFS($B$4:$B276,$B276,$AG$4:$AG276,"="&amp;$AG276)))</f>
        <v>VENGEANCE|50</v>
      </c>
    </row>
    <row r="277" spans="1:35" hidden="1">
      <c r="A277" s="69" t="s">
        <v>106</v>
      </c>
      <c r="B277" s="69" t="s">
        <v>105</v>
      </c>
      <c r="C277" s="63" t="s">
        <v>1045</v>
      </c>
      <c r="D277" s="69"/>
      <c r="E277" s="68" t="s">
        <v>71</v>
      </c>
      <c r="F277" s="19" t="str">
        <f>IF($C277="","",IF($E277="","-",IFERROR(INDEX(SETUP!$B$55:$B$64,MATCH($E277,SETUP!$A$55:$A$64,0)),"Other")))</f>
        <v>Frontline</v>
      </c>
      <c r="G277" s="70">
        <v>64418</v>
      </c>
      <c r="H277" s="19" t="str">
        <f>IF($C277="","",IF($G277="","-",INDEX(SETUP!$B$26:$B$32,MATCH($G277,SETUP!$A$26:$A$32,1))))</f>
        <v>64,000 +</v>
      </c>
      <c r="I277" s="70">
        <v>11601</v>
      </c>
      <c r="J277" s="19" t="str">
        <f>IF($C277="","",IF($I277="","-",INDEX(SETUP!$B$16:$B$22,MATCH($I277,SETUP!$A$16:$A$22,1))))</f>
        <v>APEX</v>
      </c>
      <c r="K277" s="19" t="str">
        <f>IF($C277="","",IF($I277="","-",TEXT(INT($I277/1000)*1000,"#,##0")&amp;" - "&amp;TEXT(INT($I277/1000)*1000+999,"#,##0")))</f>
        <v>11,000 - 11,999</v>
      </c>
      <c r="L277" s="71">
        <v>7.65</v>
      </c>
      <c r="M277" s="19" t="str">
        <f>IF($C277="","",IF($L277="","-",INDEX(SETUP!$B$36:$B$42,MATCH($L277,SETUP!$A$36:$A$42,1))))</f>
        <v>6k - 8k</v>
      </c>
      <c r="N277" s="21">
        <f>IF($C277="","",IF(OR($G277="",$I277=""),"",ROUND(100*(SETUP!$B$4*MIN(1,$I277/SETUP!$B$9)+SETUP!$B$5*MAX(0,MIN(1,($G277-SETUP!$B$10)/(SETUP!$B$11-SETUP!$B$10)))+SETUP!$B$6*MIN(1,IF($L277="",0,$L277)/SETUP!$B$12)),1)))</f>
        <v>88.2</v>
      </c>
      <c r="O277" s="19" t="str">
        <f>IF($C277="","",IF($N277="","-",INDEX(SETUP!$B$46:$B$51,MATCH($N277,SETUP!$A$46:$A$51,1))))</f>
        <v>S+</v>
      </c>
      <c r="P277" s="19">
        <f>IF($C277="","",IF($I277="","",RANK($I277,$I$4:$I$1463)+COUNTIF($I$4:$I277,$I277)-1))</f>
        <v>6</v>
      </c>
      <c r="Q277" s="19">
        <f>IF($C277="","",COUNTIFS($B$4:$B$1463,$B277,$X$4:$X$1463,"&gt;"&amp;$X277)+COUNTIFS($B$4:$B277,$B277,$X$4:$X277,"="&amp;$X277))</f>
        <v>1</v>
      </c>
      <c r="R277" s="75">
        <f>IF($C277="","",IF($I277="","",ROUND(COUNTIF($I$4:$I$1463,"&lt;"&amp;$I277)/COUNT($I$4:$I$1463),3)))</f>
        <v>0.995</v>
      </c>
      <c r="S277" s="19" t="str">
        <f>IF($C277="","",IF($G277="","Name only",IF(OR($I277="",$L277=""),"Partial","Complete")))</f>
        <v>Complete</v>
      </c>
      <c r="T277" s="1" t="str">
        <f>IF($C277="","",TRIM(IF(COUNTIF($C$4:$C$1463,$C277)&gt;1,"Dup name; ","")&amp;IF(AND($G277&lt;&gt;"",$G277&lt;55000),"Low CR - verify; ","")&amp;IF(AND($L277&lt;&gt;"",$L277&gt;15),"Secondary - verify; ","")&amp;IF($E277="","No class; ","")))</f>
        <v/>
      </c>
      <c r="U277" s="68"/>
      <c r="V277" s="68"/>
      <c r="W277" s="68"/>
      <c r="X277" s="76">
        <f t="shared" si="22"/>
        <v>11601</v>
      </c>
      <c r="Y277" s="1" t="str">
        <f t="shared" si="23"/>
        <v>LEGENDS|1</v>
      </c>
      <c r="Z277" s="19">
        <f>IF($C277="","",IF($G277="","",RANK($G277,$G$4:$G$1463)+COUNTIF($G$4:$G277,$G277)-1))</f>
        <v>5</v>
      </c>
      <c r="AA277" s="19">
        <f>IF($C277="","",IF($N277="","",RANK($N277,$N$4:$N$1463)+COUNTIF($N$4:$N277,$N277)-1))</f>
        <v>11</v>
      </c>
      <c r="AB277" s="1" t="str">
        <f>IF($C277="","",IF($E277="","",$E277&amp;"#"&amp;(COUNTIFS($E$4:$E$1463,$E277,$X$4:$X$1463,"&gt;"&amp;$X277)+COUNTIFS($E$4:$E277,$E277,$X$4:$X277,"="&amp;$X277))))</f>
        <v>BARBARIAN#2</v>
      </c>
      <c r="AC277" s="1" t="str">
        <f>IF($C277="","",$B277&amp;"@"&amp;(COUNTIFS($B$4:$B$1463,$B277,$C$4:$C$1463,"&lt;"&amp;$C277)+COUNTIFS($B$4:$B277,$B277,$C$4:$C277,$C277)))</f>
        <v>LEGENDS@29</v>
      </c>
      <c r="AD277" s="1">
        <f t="shared" si="24"/>
        <v>274</v>
      </c>
      <c r="AE277" s="1" t="s">
        <v>1046</v>
      </c>
      <c r="AF277" s="76">
        <f t="shared" si="25"/>
        <v>64418</v>
      </c>
      <c r="AG277" s="77">
        <f t="shared" si="26"/>
        <v>7.65</v>
      </c>
      <c r="AH277" s="1" t="str">
        <f>IF($C277="","",$B277&amp;"|"&amp;(COUNTIFS($B$4:$B$1463,$B277,$AF$4:$AF$1463,"&gt;"&amp;$AF277)+COUNTIFS($B$4:$B277,$B277,$AF$4:$AF277,"="&amp;$AF277)))</f>
        <v>LEGENDS|1</v>
      </c>
      <c r="AI277" s="1" t="str">
        <f>IF($C277="","",$B277&amp;"|"&amp;(COUNTIFS($B$4:$B$1463,$B277,$AG$4:$AG$1463,"&gt;"&amp;$AG277)+COUNTIFS($B$4:$B277,$B277,$AG$4:$AG277,"="&amp;$AG277)))</f>
        <v>LEGENDS|2</v>
      </c>
    </row>
    <row r="278" spans="1:35" hidden="1">
      <c r="A278" s="69" t="s">
        <v>106</v>
      </c>
      <c r="B278" s="69" t="s">
        <v>107</v>
      </c>
      <c r="C278" s="63" t="s">
        <v>1047</v>
      </c>
      <c r="D278" s="69" t="s">
        <v>932</v>
      </c>
      <c r="E278" s="68" t="s">
        <v>79</v>
      </c>
      <c r="F278" s="15" t="str">
        <f>IF($C278="","",IF($E278="","-",IFERROR(INDEX(SETUP!$B$55:$B$64,MATCH($E278,SETUP!$A$55:$A$64,0)),"Other")))</f>
        <v>Control</v>
      </c>
      <c r="G278" s="70">
        <v>61778</v>
      </c>
      <c r="H278" s="15" t="str">
        <f>IF($C278="","",IF($G278="","-",INDEX(SETUP!$B$26:$B$32,MATCH($G278,SETUP!$A$26:$A$32,1))))</f>
        <v>61,000 - 61,999</v>
      </c>
      <c r="I278" s="70">
        <v>2727</v>
      </c>
      <c r="J278" s="15" t="str">
        <f>IF($C278="","",IF($I278="","-",INDEX(SETUP!$B$16:$B$22,MATCH($I278,SETUP!$A$16:$A$22,1))))</f>
        <v>DEVELOPING</v>
      </c>
      <c r="K278" s="15" t="str">
        <f>IF($C278="","",IF($I278="","-",TEXT(INT($I278/1000)*1000,"#,##0")&amp;" - "&amp;TEXT(INT($I278/1000)*1000+999,"#,##0")))</f>
        <v>2,000 - 2,999</v>
      </c>
      <c r="L278" s="71">
        <v>3.7</v>
      </c>
      <c r="M278" s="15" t="str">
        <f>IF($C278="","",IF($L278="","-",INDEX(SETUP!$B$36:$B$42,MATCH($L278,SETUP!$A$36:$A$42,1))))</f>
        <v>3k - 4k</v>
      </c>
      <c r="N278" s="17">
        <f>IF($C278="","",IF(OR($G278="",$I278=""),"",ROUND(100*(SETUP!$B$4*MIN(1,$I278/SETUP!$B$9)+SETUP!$B$5*MAX(0,MIN(1,($G278-SETUP!$B$10)/(SETUP!$B$11-SETUP!$B$10)))+SETUP!$B$6*MIN(1,IF($L278="",0,$L278)/SETUP!$B$12)),1)))</f>
        <v>35.9</v>
      </c>
      <c r="O278" s="15" t="str">
        <f>IF($C278="","",IF($N278="","-",INDEX(SETUP!$B$46:$B$51,MATCH($N278,SETUP!$A$46:$A$51,1))))</f>
        <v>B</v>
      </c>
      <c r="P278" s="15">
        <f>IF($C278="","",IF($I278="","",RANK($I278,$I$4:$I$1463)+COUNTIF($I$4:$I278,$I278)-1))</f>
        <v>947</v>
      </c>
      <c r="Q278" s="15">
        <f>IF($C278="","",COUNTIFS($B$4:$B$1463,$B278,$X$4:$X$1463,"&gt;"&amp;$X278)+COUNTIFS($B$4:$B278,$B278,$X$4:$X278,"="&amp;$X278))</f>
        <v>87</v>
      </c>
      <c r="R278" s="72">
        <f>IF($C278="","",IF($I278="","",ROUND(COUNTIF($I$4:$I$1463,"&lt;"&amp;$I278)/COUNT($I$4:$I$1463),3)))</f>
        <v>0.28499999999999998</v>
      </c>
      <c r="S278" s="15" t="str">
        <f>IF($C278="","",IF($G278="","Name only",IF(OR($I278="",$L278=""),"Partial","Complete")))</f>
        <v>Complete</v>
      </c>
      <c r="T278" s="41" t="str">
        <f>IF($C278="","",TRIM(IF(COUNTIF($C$4:$C$1463,$C278)&gt;1,"Dup name; ","")&amp;IF(AND($G278&lt;&gt;"",$G278&lt;55000),"Low CR - verify; ","")&amp;IF(AND($L278&lt;&gt;"",$L278&gt;15),"Secondary - verify; ","")&amp;IF($E278="","No class; ","")))</f>
        <v/>
      </c>
      <c r="U278" s="68"/>
      <c r="V278" s="68"/>
      <c r="W278" s="68"/>
      <c r="X278" s="73">
        <f t="shared" si="22"/>
        <v>2727</v>
      </c>
      <c r="Y278" s="41" t="str">
        <f t="shared" si="23"/>
        <v>UNDYING|87</v>
      </c>
      <c r="Z278" s="15">
        <f>IF($C278="","",IF($G278="","",RANK($G278,$G$4:$G$1463)+COUNTIF($G$4:$G278,$G278)-1))</f>
        <v>918</v>
      </c>
      <c r="AA278" s="15">
        <f>IF($C278="","",IF($N278="","",RANK($N278,$N$4:$N$1463)+COUNTIF($N$4:$N278,$N278)-1))</f>
        <v>970</v>
      </c>
      <c r="AB278" s="41" t="str">
        <f>IF($C278="","",IF($E278="","",$E278&amp;"#"&amp;(COUNTIFS($E$4:$E$1463,$E278,$X$4:$X$1463,"&gt;"&amp;$X278)+COUNTIFS($E$4:$E278,$E278,$X$4:$X278,"="&amp;$X278))))</f>
        <v>WARLOCK#233</v>
      </c>
      <c r="AC278" s="41" t="str">
        <f>IF($C278="","",$B278&amp;"@"&amp;(COUNTIFS($B$4:$B$1463,$B278,$C$4:$C$1463,"&lt;"&amp;$C278)+COUNTIFS($B$4:$B278,$B278,$C$4:$C278,$C278)))</f>
        <v>UNDYING@30</v>
      </c>
      <c r="AD278" s="41">
        <f t="shared" si="24"/>
        <v>275</v>
      </c>
      <c r="AE278" s="41" t="s">
        <v>1048</v>
      </c>
      <c r="AF278" s="73">
        <f t="shared" si="25"/>
        <v>61778</v>
      </c>
      <c r="AG278" s="74">
        <f t="shared" si="26"/>
        <v>3.7</v>
      </c>
      <c r="AH278" s="41" t="str">
        <f>IF($C278="","",$B278&amp;"|"&amp;(COUNTIFS($B$4:$B$1463,$B278,$AF$4:$AF$1463,"&gt;"&amp;$AF278)+COUNTIFS($B$4:$B278,$B278,$AF$4:$AF278,"="&amp;$AF278)))</f>
        <v>UNDYING|83</v>
      </c>
      <c r="AI278" s="41" t="str">
        <f>IF($C278="","",$B278&amp;"|"&amp;(COUNTIFS($B$4:$B$1463,$B278,$AG$4:$AG$1463,"&gt;"&amp;$AG278)+COUNTIFS($B$4:$B278,$B278,$AG$4:$AG278,"="&amp;$AG278)))</f>
        <v>UNDYING|87</v>
      </c>
    </row>
    <row r="279" spans="1:35" hidden="1">
      <c r="A279" s="69" t="s">
        <v>109</v>
      </c>
      <c r="B279" s="69" t="s">
        <v>112</v>
      </c>
      <c r="C279" s="63" t="s">
        <v>1049</v>
      </c>
      <c r="D279" s="69" t="s">
        <v>567</v>
      </c>
      <c r="E279" s="68" t="s">
        <v>74</v>
      </c>
      <c r="F279" s="19" t="str">
        <f>IF($C279="","",IF($E279="","-",IFERROR(INDEX(SETUP!$B$55:$B$64,MATCH($E279,SETUP!$A$55:$A$64,0)),"Other")))</f>
        <v>Ranged DPS</v>
      </c>
      <c r="G279" s="70">
        <v>54351</v>
      </c>
      <c r="H279" s="19" t="str">
        <f>IF($C279="","",IF($G279="","-",INDEX(SETUP!$B$26:$B$32,MATCH($G279,SETUP!$A$26:$A$32,1))))</f>
        <v>Under 58,000</v>
      </c>
      <c r="I279" s="70">
        <v>285</v>
      </c>
      <c r="J279" s="19" t="str">
        <f>IF($C279="","",IF($I279="","-",INDEX(SETUP!$B$16:$B$22,MATCH($I279,SETUP!$A$16:$A$22,1))))</f>
        <v>ROOKIE</v>
      </c>
      <c r="K279" s="19" t="str">
        <f>IF($C279="","",IF($I279="","-",TEXT(INT($I279/1000)*1000,"#,##0")&amp;" - "&amp;TEXT(INT($I279/1000)*1000+999,"#,##0")))</f>
        <v>0 - 999</v>
      </c>
      <c r="L279" s="71">
        <v>2.15</v>
      </c>
      <c r="M279" s="19" t="str">
        <f>IF($C279="","",IF($L279="","-",INDEX(SETUP!$B$36:$B$42,MATCH($L279,SETUP!$A$36:$A$42,1))))</f>
        <v>Under 3k</v>
      </c>
      <c r="N279" s="21">
        <f>IF($C279="","",IF(OR($G279="",$I279=""),"",ROUND(100*(SETUP!$B$4*MIN(1,$I279/SETUP!$B$9)+SETUP!$B$5*MAX(0,MIN(1,($G279-SETUP!$B$10)/(SETUP!$B$11-SETUP!$B$10)))+SETUP!$B$6*MIN(1,IF($L279="",0,$L279)/SETUP!$B$12)),1)))</f>
        <v>4.8</v>
      </c>
      <c r="O279" s="19" t="str">
        <f>IF($C279="","",IF($N279="","-",INDEX(SETUP!$B$46:$B$51,MATCH($N279,SETUP!$A$46:$A$51,1))))</f>
        <v>D</v>
      </c>
      <c r="P279" s="19">
        <f>IF($C279="","",IF($I279="","",RANK($I279,$I$4:$I$1463)+COUNTIF($I$4:$I279,$I279)-1))</f>
        <v>1323</v>
      </c>
      <c r="Q279" s="19">
        <f>IF($C279="","",COUNTIFS($B$4:$B$1463,$B279,$X$4:$X$1463,"&gt;"&amp;$X279)+COUNTIFS($B$4:$B279,$B279,$X$4:$X279,"="&amp;$X279))</f>
        <v>94</v>
      </c>
      <c r="R279" s="75">
        <f>IF($C279="","",IF($I279="","",ROUND(COUNTIF($I$4:$I$1463,"&lt;"&amp;$I279)/COUNT($I$4:$I$1463),3)))</f>
        <v>2E-3</v>
      </c>
      <c r="S279" s="19" t="str">
        <f>IF($C279="","",IF($G279="","Name only",IF(OR($I279="",$L279=""),"Partial","Complete")))</f>
        <v>Complete</v>
      </c>
      <c r="T279" s="1" t="str">
        <f>IF($C279="","",TRIM(IF(COUNTIF($C$4:$C$1463,$C279)&gt;1,"Dup name; ","")&amp;IF(AND($G279&lt;&gt;"",$G279&lt;55000),"Low CR - verify; ","")&amp;IF(AND($L279&lt;&gt;"",$L279&gt;15),"Secondary - verify; ","")&amp;IF($E279="","No class; ","")))</f>
        <v>Low CR - verify;</v>
      </c>
      <c r="U279" s="68"/>
      <c r="V279" s="68"/>
      <c r="W279" s="68"/>
      <c r="X279" s="76">
        <f t="shared" si="22"/>
        <v>285</v>
      </c>
      <c r="Y279" s="1" t="str">
        <f t="shared" si="23"/>
        <v>ACHERON|94</v>
      </c>
      <c r="Z279" s="19">
        <f>IF($C279="","",IF($G279="","",RANK($G279,$G$4:$G$1463)+COUNTIF($G$4:$G279,$G279)-1))</f>
        <v>1321</v>
      </c>
      <c r="AA279" s="19">
        <f>IF($C279="","",IF($N279="","",RANK($N279,$N$4:$N$1463)+COUNTIF($N$4:$N279,$N279)-1))</f>
        <v>1324</v>
      </c>
      <c r="AB279" s="1" t="str">
        <f>IF($C279="","",IF($E279="","",$E279&amp;"#"&amp;(COUNTIFS($E$4:$E$1463,$E279,$X$4:$X$1463,"&gt;"&amp;$X279)+COUNTIFS($E$4:$E279,$E279,$X$4:$X279,"="&amp;$X279))))</f>
        <v>DEMON HUNTER#191</v>
      </c>
      <c r="AC279" s="1" t="str">
        <f>IF($C279="","",$B279&amp;"@"&amp;(COUNTIFS($B$4:$B$1463,$B279,$C$4:$C$1463,"&lt;"&amp;$C279)+COUNTIFS($B$4:$B279,$B279,$C$4:$C279,$C279)))</f>
        <v>ACHERON@13</v>
      </c>
      <c r="AD279" s="1">
        <f t="shared" si="24"/>
        <v>276</v>
      </c>
      <c r="AE279" s="1" t="s">
        <v>1050</v>
      </c>
      <c r="AF279" s="76">
        <f t="shared" si="25"/>
        <v>54351</v>
      </c>
      <c r="AG279" s="77">
        <f t="shared" si="26"/>
        <v>2.15</v>
      </c>
      <c r="AH279" s="1" t="str">
        <f>IF($C279="","",$B279&amp;"|"&amp;(COUNTIFS($B$4:$B$1463,$B279,$AF$4:$AF$1463,"&gt;"&amp;$AF279)+COUNTIFS($B$4:$B279,$B279,$AF$4:$AF279,"="&amp;$AF279)))</f>
        <v>ACHERON|94</v>
      </c>
      <c r="AI279" s="1" t="str">
        <f>IF($C279="","",$B279&amp;"|"&amp;(COUNTIFS($B$4:$B$1463,$B279,$AG$4:$AG$1463,"&gt;"&amp;$AG279)+COUNTIFS($B$4:$B279,$B279,$AG$4:$AG279,"="&amp;$AG279)))</f>
        <v>ACHERON|94</v>
      </c>
    </row>
    <row r="280" spans="1:35" hidden="1">
      <c r="A280" s="69" t="s">
        <v>109</v>
      </c>
      <c r="B280" s="69" t="s">
        <v>113</v>
      </c>
      <c r="C280" s="63" t="s">
        <v>1051</v>
      </c>
      <c r="D280" s="69" t="s">
        <v>548</v>
      </c>
      <c r="E280" s="68" t="s">
        <v>79</v>
      </c>
      <c r="F280" s="15" t="str">
        <f>IF($C280="","",IF($E280="","-",IFERROR(INDEX(SETUP!$B$55:$B$64,MATCH($E280,SETUP!$A$55:$A$64,0)),"Other")))</f>
        <v>Control</v>
      </c>
      <c r="G280" s="70">
        <v>62377</v>
      </c>
      <c r="H280" s="15" t="str">
        <f>IF($C280="","",IF($G280="","-",INDEX(SETUP!$B$26:$B$32,MATCH($G280,SETUP!$A$26:$A$32,1))))</f>
        <v>62,000 - 62,999</v>
      </c>
      <c r="I280" s="70">
        <v>2514</v>
      </c>
      <c r="J280" s="15" t="str">
        <f>IF($C280="","",IF($I280="","-",INDEX(SETUP!$B$16:$B$22,MATCH($I280,SETUP!$A$16:$A$22,1))))</f>
        <v>DEVELOPING</v>
      </c>
      <c r="K280" s="15" t="str">
        <f>IF($C280="","",IF($I280="","-",TEXT(INT($I280/1000)*1000,"#,##0")&amp;" - "&amp;TEXT(INT($I280/1000)*1000+999,"#,##0")))</f>
        <v>2,000 - 2,999</v>
      </c>
      <c r="L280" s="71">
        <v>3.45</v>
      </c>
      <c r="M280" s="15" t="str">
        <f>IF($C280="","",IF($L280="","-",INDEX(SETUP!$B$36:$B$42,MATCH($L280,SETUP!$A$36:$A$42,1))))</f>
        <v>3k - 4k</v>
      </c>
      <c r="N280" s="17">
        <f>IF($C280="","",IF(OR($G280="",$I280=""),"",ROUND(100*(SETUP!$B$4*MIN(1,$I280/SETUP!$B$9)+SETUP!$B$5*MAX(0,MIN(1,($G280-SETUP!$B$10)/(SETUP!$B$11-SETUP!$B$10)))+SETUP!$B$6*MIN(1,IF($L280="",0,$L280)/SETUP!$B$12)),1)))</f>
        <v>36.1</v>
      </c>
      <c r="O280" s="15" t="str">
        <f>IF($C280="","",IF($N280="","-",INDEX(SETUP!$B$46:$B$51,MATCH($N280,SETUP!$A$46:$A$51,1))))</f>
        <v>B</v>
      </c>
      <c r="P280" s="15">
        <f>IF($C280="","",IF($I280="","",RANK($I280,$I$4:$I$1463)+COUNTIF($I$4:$I280,$I280)-1))</f>
        <v>1006</v>
      </c>
      <c r="Q280" s="15">
        <f>IF($C280="","",COUNTIFS($B$4:$B$1463,$B280,$X$4:$X$1463,"&gt;"&amp;$X280)+COUNTIFS($B$4:$B280,$B280,$X$4:$X280,"="&amp;$X280))</f>
        <v>69</v>
      </c>
      <c r="R280" s="72">
        <f>IF($C280="","",IF($I280="","",ROUND(COUNTIF($I$4:$I$1463,"&lt;"&amp;$I280)/COUNT($I$4:$I$1463),3)))</f>
        <v>0.24099999999999999</v>
      </c>
      <c r="S280" s="15" t="str">
        <f>IF($C280="","",IF($G280="","Name only",IF(OR($I280="",$L280=""),"Partial","Complete")))</f>
        <v>Complete</v>
      </c>
      <c r="T280" s="41" t="str">
        <f>IF($C280="","",TRIM(IF(COUNTIF($C$4:$C$1463,$C280)&gt;1,"Dup name; ","")&amp;IF(AND($G280&lt;&gt;"",$G280&lt;55000),"Low CR - verify; ","")&amp;IF(AND($L280&lt;&gt;"",$L280&gt;15),"Secondary - verify; ","")&amp;IF($E280="","No class; ","")))</f>
        <v/>
      </c>
      <c r="U280" s="68"/>
      <c r="V280" s="68"/>
      <c r="W280" s="68"/>
      <c r="X280" s="73">
        <f t="shared" si="22"/>
        <v>2514</v>
      </c>
      <c r="Y280" s="41" t="str">
        <f t="shared" si="23"/>
        <v>INVICTUS|69</v>
      </c>
      <c r="Z280" s="15">
        <f>IF($C280="","",IF($G280="","",RANK($G280,$G$4:$G$1463)+COUNTIF($G$4:$G280,$G280)-1))</f>
        <v>704</v>
      </c>
      <c r="AA280" s="15">
        <f>IF($C280="","",IF($N280="","",RANK($N280,$N$4:$N$1463)+COUNTIF($N$4:$N280,$N280)-1))</f>
        <v>960</v>
      </c>
      <c r="AB280" s="41" t="str">
        <f>IF($C280="","",IF($E280="","",$E280&amp;"#"&amp;(COUNTIFS($E$4:$E$1463,$E280,$X$4:$X$1463,"&gt;"&amp;$X280)+COUNTIFS($E$4:$E280,$E280,$X$4:$X280,"="&amp;$X280))))</f>
        <v>WARLOCK#249</v>
      </c>
      <c r="AC280" s="41" t="str">
        <f>IF($C280="","",$B280&amp;"@"&amp;(COUNTIFS($B$4:$B$1463,$B280,$C$4:$C$1463,"&lt;"&amp;$C280)+COUNTIFS($B$4:$B280,$B280,$C$4:$C280,$C280)))</f>
        <v>INVICTUS@19</v>
      </c>
      <c r="AD280" s="41">
        <f t="shared" si="24"/>
        <v>277</v>
      </c>
      <c r="AE280" s="41" t="s">
        <v>1052</v>
      </c>
      <c r="AF280" s="73">
        <f t="shared" si="25"/>
        <v>62377</v>
      </c>
      <c r="AG280" s="74">
        <f t="shared" si="26"/>
        <v>3.45</v>
      </c>
      <c r="AH280" s="41" t="str">
        <f>IF($C280="","",$B280&amp;"|"&amp;(COUNTIFS($B$4:$B$1463,$B280,$AF$4:$AF$1463,"&gt;"&amp;$AF280)+COUNTIFS($B$4:$B280,$B280,$AF$4:$AF280,"="&amp;$AF280)))</f>
        <v>INVICTUS|43</v>
      </c>
      <c r="AI280" s="41" t="str">
        <f>IF($C280="","",$B280&amp;"|"&amp;(COUNTIFS($B$4:$B$1463,$B280,$AG$4:$AG$1463,"&gt;"&amp;$AG280)+COUNTIFS($B$4:$B280,$B280,$AG$4:$AG280,"="&amp;$AG280)))</f>
        <v>INVICTUS|78</v>
      </c>
    </row>
    <row r="281" spans="1:35">
      <c r="A281" s="69" t="s">
        <v>104</v>
      </c>
      <c r="B281" s="69" t="s">
        <v>66</v>
      </c>
      <c r="C281" s="63" t="s">
        <v>396</v>
      </c>
      <c r="D281" s="69" t="s">
        <v>1019</v>
      </c>
      <c r="E281" s="68" t="s">
        <v>71</v>
      </c>
      <c r="F281" s="15" t="str">
        <f>IF($C281="","",IF($E281="","-",IFERROR(INDEX(SETUP!$B$55:$B$64,MATCH($E281,SETUP!$A$55:$A$64,0)),"Other")))</f>
        <v>Frontline</v>
      </c>
      <c r="G281" s="70">
        <v>62481</v>
      </c>
      <c r="H281" s="15" t="str">
        <f>IF($C281="","",IF($G281="","-",INDEX(SETUP!$B$26:$B$32,MATCH($G281,SETUP!$A$26:$A$32,1))))</f>
        <v>62,000 - 62,999</v>
      </c>
      <c r="I281" s="70">
        <v>10376</v>
      </c>
      <c r="J281" s="15" t="str">
        <f>IF($C281="","",IF($I281="","-",INDEX(SETUP!$B$16:$B$22,MATCH($I281,SETUP!$A$16:$A$22,1))))</f>
        <v>APEX</v>
      </c>
      <c r="K281" s="15" t="str">
        <f>IF($C281="","",IF($I281="","-",TEXT(INT($I281/1000)*1000,"#,##0")&amp;" - "&amp;TEXT(INT($I281/1000)*1000+999,"#,##0")))</f>
        <v>10,000 - 10,999</v>
      </c>
      <c r="L281" s="71">
        <v>8.57</v>
      </c>
      <c r="M281" s="15" t="str">
        <f>IF($C281="","",IF($L281="","-",INDEX(SETUP!$B$36:$B$42,MATCH($L281,SETUP!$A$36:$A$42,1))))</f>
        <v>8k - 10k</v>
      </c>
      <c r="N281" s="17">
        <f>IF($C281="","",IF(OR($G281="",$I281=""),"",ROUND(100*(SETUP!$B$4*MIN(1,$I281/SETUP!$B$9)+SETUP!$B$5*MAX(0,MIN(1,($G281-SETUP!$B$10)/(SETUP!$B$11-SETUP!$B$10)))+SETUP!$B$6*MIN(1,IF($L281="",0,$L281)/SETUP!$B$12)),1)))</f>
        <v>79.3</v>
      </c>
      <c r="O281" s="15" t="str">
        <f>IF($C281="","",IF($N281="","-",INDEX(SETUP!$B$46:$B$51,MATCH($N281,SETUP!$A$46:$A$51,1))))</f>
        <v>S</v>
      </c>
      <c r="P281" s="15">
        <f>IF($C281="","",IF($I281="","",RANK($I281,$I$4:$I$1463)+COUNTIF($I$4:$I281,$I281)-1))</f>
        <v>27</v>
      </c>
      <c r="Q281" s="15">
        <f>IF($C281="","",COUNTIFS($B$4:$B$1463,$B281,$X$4:$X$1463,"&gt;"&amp;$X281)+COUNTIFS($B$4:$B281,$B281,$X$4:$X281,"="&amp;$X281))</f>
        <v>2</v>
      </c>
      <c r="R281" s="72">
        <f>IF($C281="","",IF($I281="","",ROUND(COUNTIF($I$4:$I$1463,"&lt;"&amp;$I281)/COUNT($I$4:$I$1463),3)))</f>
        <v>0.97899999999999998</v>
      </c>
      <c r="S281" s="15" t="str">
        <f>IF($C281="","",IF($G281="","Name only",IF(OR($I281="",$L281=""),"Partial","Complete")))</f>
        <v>Complete</v>
      </c>
      <c r="T281" s="41" t="str">
        <f>IF($C281="","",TRIM(IF(COUNTIF($C$4:$C$1463,$C281)&gt;1,"Dup name; ","")&amp;IF(AND($G281&lt;&gt;"",$G281&lt;55000),"Low CR - verify; ","")&amp;IF(AND($L281&lt;&gt;"",$L281&gt;15),"Secondary - verify; ","")&amp;IF($E281="","No class; ","")))</f>
        <v/>
      </c>
      <c r="U281" s="68"/>
      <c r="V281" s="68" t="s">
        <v>109</v>
      </c>
      <c r="W281" s="68" t="s">
        <v>285</v>
      </c>
      <c r="X281" s="76">
        <f t="shared" si="22"/>
        <v>10376</v>
      </c>
      <c r="Y281" s="1" t="str">
        <f t="shared" si="23"/>
        <v>FUCT|2</v>
      </c>
      <c r="Z281" s="19">
        <f>IF($C281="","",IF($G281="","",RANK($G281,$G$4:$G$1463)+COUNTIF($G$4:$G281,$G281)-1))</f>
        <v>659</v>
      </c>
      <c r="AA281" s="19">
        <f>IF($C281="","",IF($N281="","",RANK($N281,$N$4:$N$1463)+COUNTIF($N$4:$N281,$N281)-1))</f>
        <v>58</v>
      </c>
      <c r="AB281" s="1" t="str">
        <f>IF($C281="","",IF($E281="","",$E281&amp;"#"&amp;(COUNTIFS($E$4:$E$1463,$E281,$X$4:$X$1463,"&gt;"&amp;$X281)+COUNTIFS($E$4:$E281,$E281,$X$4:$X281,"="&amp;$X281))))</f>
        <v>BARBARIAN#4</v>
      </c>
      <c r="AC281" s="1" t="str">
        <f>IF($C281="","",$B281&amp;"@"&amp;(COUNTIFS($B$4:$B$1463,$B281,$C$4:$C$1463,"&lt;"&amp;$C281)+COUNTIFS($B$4:$B281,$B281,$C$4:$C281,$C281)))</f>
        <v>FUCT@17</v>
      </c>
      <c r="AD281" s="1">
        <f t="shared" si="24"/>
        <v>278</v>
      </c>
      <c r="AE281" s="1" t="s">
        <v>1053</v>
      </c>
      <c r="AF281" s="76">
        <f t="shared" si="25"/>
        <v>62481</v>
      </c>
      <c r="AG281" s="77">
        <f t="shared" si="26"/>
        <v>8.57</v>
      </c>
      <c r="AH281" s="1" t="str">
        <f>IF($C281="","",$B281&amp;"|"&amp;(COUNTIFS($B$4:$B$1463,$B281,$AF$4:$AF$1463,"&gt;"&amp;$AF281)+COUNTIFS($B$4:$B281,$B281,$AF$4:$AF281,"="&amp;$AF281)))</f>
        <v>FUCT|68</v>
      </c>
      <c r="AI281" s="1" t="str">
        <f>IF($C281="","",$B281&amp;"|"&amp;(COUNTIFS($B$4:$B$1463,$B281,$AG$4:$AG$1463,"&gt;"&amp;$AG281)+COUNTIFS($B$4:$B281,$B281,$AG$4:$AG281,"="&amp;$AG281)))</f>
        <v>FUCT|3</v>
      </c>
    </row>
    <row r="282" spans="1:35" hidden="1">
      <c r="A282" s="69" t="s">
        <v>106</v>
      </c>
      <c r="B282" s="69" t="s">
        <v>105</v>
      </c>
      <c r="C282" s="63" t="s">
        <v>1054</v>
      </c>
      <c r="D282" s="69"/>
      <c r="E282" s="68" t="s">
        <v>79</v>
      </c>
      <c r="F282" s="15" t="str">
        <f>IF($C282="","",IF($E282="","-",IFERROR(INDEX(SETUP!$B$55:$B$64,MATCH($E282,SETUP!$A$55:$A$64,0)),"Other")))</f>
        <v>Control</v>
      </c>
      <c r="G282" s="70">
        <v>63229</v>
      </c>
      <c r="H282" s="15" t="str">
        <f>IF($C282="","",IF($G282="","-",INDEX(SETUP!$B$26:$B$32,MATCH($G282,SETUP!$A$26:$A$32,1))))</f>
        <v>63,000 - 63,999</v>
      </c>
      <c r="I282" s="70">
        <v>5622</v>
      </c>
      <c r="J282" s="15" t="str">
        <f>IF($C282="","",IF($I282="","-",INDEX(SETUP!$B$16:$B$22,MATCH($I282,SETUP!$A$16:$A$22,1))))</f>
        <v>CORE</v>
      </c>
      <c r="K282" s="15" t="str">
        <f>IF($C282="","",IF($I282="","-",TEXT(INT($I282/1000)*1000,"#,##0")&amp;" - "&amp;TEXT(INT($I282/1000)*1000+999,"#,##0")))</f>
        <v>5,000 - 5,999</v>
      </c>
      <c r="L282" s="71">
        <v>3.63</v>
      </c>
      <c r="M282" s="15" t="str">
        <f>IF($C282="","",IF($L282="","-",INDEX(SETUP!$B$36:$B$42,MATCH($L282,SETUP!$A$36:$A$42,1))))</f>
        <v>3k - 4k</v>
      </c>
      <c r="N282" s="17">
        <f>IF($C282="","",IF(OR($G282="",$I282=""),"",ROUND(100*(SETUP!$B$4*MIN(1,$I282/SETUP!$B$9)+SETUP!$B$5*MAX(0,MIN(1,($G282-SETUP!$B$10)/(SETUP!$B$11-SETUP!$B$10)))+SETUP!$B$6*MIN(1,IF($L282="",0,$L282)/SETUP!$B$12)),1)))</f>
        <v>52.2</v>
      </c>
      <c r="O282" s="15" t="str">
        <f>IF($C282="","",IF($N282="","-",INDEX(SETUP!$B$46:$B$51,MATCH($N282,SETUP!$A$46:$A$51,1))))</f>
        <v>A</v>
      </c>
      <c r="P282" s="15">
        <f>IF($C282="","",IF($I282="","",RANK($I282,$I$4:$I$1463)+COUNTIF($I$4:$I282,$I282)-1))</f>
        <v>322</v>
      </c>
      <c r="Q282" s="15">
        <f>IF($C282="","",COUNTIFS($B$4:$B$1463,$B282,$X$4:$X$1463,"&gt;"&amp;$X282)+COUNTIFS($B$4:$B282,$B282,$X$4:$X282,"="&amp;$X282))</f>
        <v>37</v>
      </c>
      <c r="R282" s="72">
        <f>IF($C282="","",IF($I282="","",ROUND(COUNTIF($I$4:$I$1463,"&lt;"&amp;$I282)/COUNT($I$4:$I$1463),3)))</f>
        <v>0.75700000000000001</v>
      </c>
      <c r="S282" s="15" t="str">
        <f>IF($C282="","",IF($G282="","Name only",IF(OR($I282="",$L282=""),"Partial","Complete")))</f>
        <v>Complete</v>
      </c>
      <c r="T282" s="41" t="str">
        <f>IF($C282="","",TRIM(IF(COUNTIF($C$4:$C$1463,$C282)&gt;1,"Dup name; ","")&amp;IF(AND($G282&lt;&gt;"",$G282&lt;55000),"Low CR - verify; ","")&amp;IF(AND($L282&lt;&gt;"",$L282&gt;15),"Secondary - verify; ","")&amp;IF($E282="","No class; ","")))</f>
        <v/>
      </c>
      <c r="U282" s="68"/>
      <c r="V282" s="68"/>
      <c r="W282" s="68"/>
      <c r="X282" s="73">
        <f t="shared" si="22"/>
        <v>5622</v>
      </c>
      <c r="Y282" s="41" t="str">
        <f t="shared" si="23"/>
        <v>LEGENDS|37</v>
      </c>
      <c r="Z282" s="15">
        <f>IF($C282="","",IF($G282="","",RANK($G282,$G$4:$G$1463)+COUNTIF($G$4:$G282,$G282)-1))</f>
        <v>302</v>
      </c>
      <c r="AA282" s="15">
        <f>IF($C282="","",IF($N282="","",RANK($N282,$N$4:$N$1463)+COUNTIF($N$4:$N282,$N282)-1))</f>
        <v>383</v>
      </c>
      <c r="AB282" s="41" t="str">
        <f>IF($C282="","",IF($E282="","",$E282&amp;"#"&amp;(COUNTIFS($E$4:$E$1463,$E282,$X$4:$X$1463,"&gt;"&amp;$X282)+COUNTIFS($E$4:$E282,$E282,$X$4:$X282,"="&amp;$X282))))</f>
        <v>WARLOCK#70</v>
      </c>
      <c r="AC282" s="41" t="str">
        <f>IF($C282="","",$B282&amp;"@"&amp;(COUNTIFS($B$4:$B$1463,$B282,$C$4:$C$1463,"&lt;"&amp;$C282)+COUNTIFS($B$4:$B282,$B282,$C$4:$C282,$C282)))</f>
        <v>LEGENDS@30</v>
      </c>
      <c r="AD282" s="41">
        <f t="shared" si="24"/>
        <v>279</v>
      </c>
      <c r="AE282" s="41" t="s">
        <v>1055</v>
      </c>
      <c r="AF282" s="73">
        <f t="shared" si="25"/>
        <v>63229</v>
      </c>
      <c r="AG282" s="74">
        <f t="shared" si="26"/>
        <v>3.63</v>
      </c>
      <c r="AH282" s="41" t="str">
        <f>IF($C282="","",$B282&amp;"|"&amp;(COUNTIFS($B$4:$B$1463,$B282,$AF$4:$AF$1463,"&gt;"&amp;$AF282)+COUNTIFS($B$4:$B282,$B282,$AF$4:$AF282,"="&amp;$AF282)))</f>
        <v>LEGENDS|40</v>
      </c>
      <c r="AI282" s="41" t="str">
        <f>IF($C282="","",$B282&amp;"|"&amp;(COUNTIFS($B$4:$B$1463,$B282,$AG$4:$AG$1463,"&gt;"&amp;$AG282)+COUNTIFS($B$4:$B282,$B282,$AG$4:$AG282,"="&amp;$AG282)))</f>
        <v>LEGENDS|95</v>
      </c>
    </row>
    <row r="283" spans="1:35" hidden="1">
      <c r="A283" s="69" t="s">
        <v>106</v>
      </c>
      <c r="B283" s="69" t="s">
        <v>86</v>
      </c>
      <c r="C283" s="63" t="s">
        <v>1056</v>
      </c>
      <c r="D283" s="69"/>
      <c r="E283" s="68" t="s">
        <v>78</v>
      </c>
      <c r="F283" s="19" t="str">
        <f>IF($C283="","",IF($E283="","-",IFERROR(INDEX(SETUP!$B$55:$B$64,MATCH($E283,SETUP!$A$55:$A$64,0)),"Other")))</f>
        <v>Melee DPS</v>
      </c>
      <c r="G283" s="70">
        <v>60988</v>
      </c>
      <c r="H283" s="19" t="str">
        <f>IF($C283="","",IF($G283="","-",INDEX(SETUP!$B$26:$B$32,MATCH($G283,SETUP!$A$26:$A$32,1))))</f>
        <v>60,000 - 60,999</v>
      </c>
      <c r="I283" s="70">
        <v>3410</v>
      </c>
      <c r="J283" s="19" t="str">
        <f>IF($C283="","",IF($I283="","-",INDEX(SETUP!$B$16:$B$22,MATCH($I283,SETUP!$A$16:$A$22,1))))</f>
        <v>DEVELOPING</v>
      </c>
      <c r="K283" s="19" t="str">
        <f>IF($C283="","",IF($I283="","-",TEXT(INT($I283/1000)*1000,"#,##0")&amp;" - "&amp;TEXT(INT($I283/1000)*1000+999,"#,##0")))</f>
        <v>3,000 - 3,999</v>
      </c>
      <c r="L283" s="71">
        <v>3.5</v>
      </c>
      <c r="M283" s="19" t="str">
        <f>IF($C283="","",IF($L283="","-",INDEX(SETUP!$B$36:$B$42,MATCH($L283,SETUP!$A$36:$A$42,1))))</f>
        <v>3k - 4k</v>
      </c>
      <c r="N283" s="21">
        <f>IF($C283="","",IF(OR($G283="",$I283=""),"",ROUND(100*(SETUP!$B$4*MIN(1,$I283/SETUP!$B$9)+SETUP!$B$5*MAX(0,MIN(1,($G283-SETUP!$B$10)/(SETUP!$B$11-SETUP!$B$10)))+SETUP!$B$6*MIN(1,IF($L283="",0,$L283)/SETUP!$B$12)),1)))</f>
        <v>36.5</v>
      </c>
      <c r="O283" s="19" t="str">
        <f>IF($C283="","",IF($N283="","-",INDEX(SETUP!$B$46:$B$51,MATCH($N283,SETUP!$A$46:$A$51,1))))</f>
        <v>B</v>
      </c>
      <c r="P283" s="19">
        <f>IF($C283="","",IF($I283="","",RANK($I283,$I$4:$I$1463)+COUNTIF($I$4:$I283,$I283)-1))</f>
        <v>753</v>
      </c>
      <c r="Q283" s="19">
        <f>IF($C283="","",COUNTIFS($B$4:$B$1463,$B283,$X$4:$X$1463,"&gt;"&amp;$X283)+COUNTIFS($B$4:$B283,$B283,$X$4:$X283,"="&amp;$X283))</f>
        <v>86</v>
      </c>
      <c r="R283" s="75">
        <f>IF($C283="","",IF($I283="","",ROUND(COUNTIF($I$4:$I$1463,"&lt;"&amp;$I283)/COUNT($I$4:$I$1463),3)))</f>
        <v>0.43099999999999999</v>
      </c>
      <c r="S283" s="19" t="str">
        <f>IF($C283="","",IF($G283="","Name only",IF(OR($I283="",$L283=""),"Partial","Complete")))</f>
        <v>Complete</v>
      </c>
      <c r="T283" s="1" t="str">
        <f>IF($C283="","",TRIM(IF(COUNTIF($C$4:$C$1463,$C283)&gt;1,"Dup name; ","")&amp;IF(AND($G283&lt;&gt;"",$G283&lt;55000),"Low CR - verify; ","")&amp;IF(AND($L283&lt;&gt;"",$L283&gt;15),"Secondary - verify; ","")&amp;IF($E283="","No class; ","")))</f>
        <v/>
      </c>
      <c r="U283" s="68"/>
      <c r="V283" s="68"/>
      <c r="W283" s="68"/>
      <c r="X283" s="76">
        <f t="shared" si="22"/>
        <v>3410</v>
      </c>
      <c r="Y283" s="1" t="str">
        <f t="shared" si="23"/>
        <v>VANGUARD|86</v>
      </c>
      <c r="Z283" s="19">
        <f>IF($C283="","",IF($G283="","",RANK($G283,$G$4:$G$1463)+COUNTIF($G$4:$G283,$G283)-1))</f>
        <v>1134</v>
      </c>
      <c r="AA283" s="19">
        <f>IF($C283="","",IF($N283="","",RANK($N283,$N$4:$N$1463)+COUNTIF($N$4:$N283,$N283)-1))</f>
        <v>947</v>
      </c>
      <c r="AB283" s="1" t="str">
        <f>IF($C283="","",IF($E283="","",$E283&amp;"#"&amp;(COUNTIFS($E$4:$E$1463,$E283,$X$4:$X$1463,"&gt;"&amp;$X283)+COUNTIFS($E$4:$E283,$E283,$X$4:$X283,"="&amp;$X283))))</f>
        <v>TEMPEST#28</v>
      </c>
      <c r="AC283" s="1" t="str">
        <f>IF($C283="","",$B283&amp;"@"&amp;(COUNTIFS($B$4:$B$1463,$B283,$C$4:$C$1463,"&lt;"&amp;$C283)+COUNTIFS($B$4:$B283,$B283,$C$4:$C283,$C283)))</f>
        <v>VANGUARD@27</v>
      </c>
      <c r="AD283" s="1">
        <f t="shared" si="24"/>
        <v>280</v>
      </c>
      <c r="AE283" s="1" t="s">
        <v>1057</v>
      </c>
      <c r="AF283" s="76">
        <f t="shared" si="25"/>
        <v>60988</v>
      </c>
      <c r="AG283" s="77">
        <f t="shared" si="26"/>
        <v>3.5</v>
      </c>
      <c r="AH283" s="1" t="str">
        <f>IF($C283="","",$B283&amp;"|"&amp;(COUNTIFS($B$4:$B$1463,$B283,$AF$4:$AF$1463,"&gt;"&amp;$AF283)+COUNTIFS($B$4:$B283,$B283,$AF$4:$AF283,"="&amp;$AF283)))</f>
        <v>VANGUARD|94</v>
      </c>
      <c r="AI283" s="1" t="str">
        <f>IF($C283="","",$B283&amp;"|"&amp;(COUNTIFS($B$4:$B$1463,$B283,$AG$4:$AG$1463,"&gt;"&amp;$AG283)+COUNTIFS($B$4:$B283,$B283,$AG$4:$AG283,"="&amp;$AG283)))</f>
        <v>VANGUARD|94</v>
      </c>
    </row>
    <row r="284" spans="1:35" hidden="1">
      <c r="A284" s="69" t="s">
        <v>109</v>
      </c>
      <c r="B284" s="69" t="s">
        <v>113</v>
      </c>
      <c r="C284" s="63" t="s">
        <v>1058</v>
      </c>
      <c r="D284" s="69" t="s">
        <v>548</v>
      </c>
      <c r="E284" s="68" t="s">
        <v>73</v>
      </c>
      <c r="F284" s="15" t="str">
        <f>IF($C284="","",IF($E284="","-",IFERROR(INDEX(SETUP!$B$55:$B$64,MATCH($E284,SETUP!$A$55:$A$64,0)),"Other")))</f>
        <v>Frontline</v>
      </c>
      <c r="G284" s="70">
        <v>63110</v>
      </c>
      <c r="H284" s="15" t="str">
        <f>IF($C284="","",IF($G284="","-",INDEX(SETUP!$B$26:$B$32,MATCH($G284,SETUP!$A$26:$A$32,1))))</f>
        <v>63,000 - 63,999</v>
      </c>
      <c r="I284" s="70">
        <v>3699</v>
      </c>
      <c r="J284" s="15" t="str">
        <f>IF($C284="","",IF($I284="","-",INDEX(SETUP!$B$16:$B$22,MATCH($I284,SETUP!$A$16:$A$22,1))))</f>
        <v>DEVELOPING</v>
      </c>
      <c r="K284" s="15" t="str">
        <f>IF($C284="","",IF($I284="","-",TEXT(INT($I284/1000)*1000,"#,##0")&amp;" - "&amp;TEXT(INT($I284/1000)*1000+999,"#,##0")))</f>
        <v>3,000 - 3,999</v>
      </c>
      <c r="L284" s="71">
        <v>4.95</v>
      </c>
      <c r="M284" s="15" t="str">
        <f>IF($C284="","",IF($L284="","-",INDEX(SETUP!$B$36:$B$42,MATCH($L284,SETUP!$A$36:$A$42,1))))</f>
        <v>4k - 5k</v>
      </c>
      <c r="N284" s="17">
        <f>IF($C284="","",IF(OR($G284="",$I284=""),"",ROUND(100*(SETUP!$B$4*MIN(1,$I284/SETUP!$B$9)+SETUP!$B$5*MAX(0,MIN(1,($G284-SETUP!$B$10)/(SETUP!$B$11-SETUP!$B$10)))+SETUP!$B$6*MIN(1,IF($L284="",0,$L284)/SETUP!$B$12)),1)))</f>
        <v>45.7</v>
      </c>
      <c r="O284" s="15" t="str">
        <f>IF($C284="","",IF($N284="","-",INDEX(SETUP!$B$46:$B$51,MATCH($N284,SETUP!$A$46:$A$51,1))))</f>
        <v>B</v>
      </c>
      <c r="P284" s="15">
        <f>IF($C284="","",IF($I284="","",RANK($I284,$I$4:$I$1463)+COUNTIF($I$4:$I284,$I284)-1))</f>
        <v>679</v>
      </c>
      <c r="Q284" s="15">
        <f>IF($C284="","",COUNTIFS($B$4:$B$1463,$B284,$X$4:$X$1463,"&gt;"&amp;$X284)+COUNTIFS($B$4:$B284,$B284,$X$4:$X284,"="&amp;$X284))</f>
        <v>32</v>
      </c>
      <c r="R284" s="72">
        <f>IF($C284="","",IF($I284="","",ROUND(COUNTIF($I$4:$I$1463,"&lt;"&amp;$I284)/COUNT($I$4:$I$1463),3)))</f>
        <v>0.48799999999999999</v>
      </c>
      <c r="S284" s="15" t="str">
        <f>IF($C284="","",IF($G284="","Name only",IF(OR($I284="",$L284=""),"Partial","Complete")))</f>
        <v>Complete</v>
      </c>
      <c r="T284" s="41" t="str">
        <f>IF($C284="","",TRIM(IF(COUNTIF($C$4:$C$1463,$C284)&gt;1,"Dup name; ","")&amp;IF(AND($G284&lt;&gt;"",$G284&lt;55000),"Low CR - verify; ","")&amp;IF(AND($L284&lt;&gt;"",$L284&gt;15),"Secondary - verify; ","")&amp;IF($E284="","No class; ","")))</f>
        <v/>
      </c>
      <c r="U284" s="68"/>
      <c r="V284" s="68"/>
      <c r="W284" s="68"/>
      <c r="X284" s="73">
        <f t="shared" si="22"/>
        <v>3699</v>
      </c>
      <c r="Y284" s="41" t="str">
        <f t="shared" si="23"/>
        <v>INVICTUS|32</v>
      </c>
      <c r="Z284" s="15">
        <f>IF($C284="","",IF($G284="","",RANK($G284,$G$4:$G$1463)+COUNTIF($G$4:$G284,$G284)-1))</f>
        <v>371</v>
      </c>
      <c r="AA284" s="15">
        <f>IF($C284="","",IF($N284="","",RANK($N284,$N$4:$N$1463)+COUNTIF($N$4:$N284,$N284)-1))</f>
        <v>599</v>
      </c>
      <c r="AB284" s="41" t="str">
        <f>IF($C284="","",IF($E284="","",$E284&amp;"#"&amp;(COUNTIFS($E$4:$E$1463,$E284,$X$4:$X$1463,"&gt;"&amp;$X284)+COUNTIFS($E$4:$E284,$E284,$X$4:$X284,"="&amp;$X284))))</f>
        <v>CRUSADER#79</v>
      </c>
      <c r="AC284" s="41" t="str">
        <f>IF($C284="","",$B284&amp;"@"&amp;(COUNTIFS($B$4:$B$1463,$B284,$C$4:$C$1463,"&lt;"&amp;$C284)+COUNTIFS($B$4:$B284,$B284,$C$4:$C284,$C284)))</f>
        <v>INVICTUS@20</v>
      </c>
      <c r="AD284" s="41">
        <f t="shared" si="24"/>
        <v>281</v>
      </c>
      <c r="AE284" s="41" t="s">
        <v>1029</v>
      </c>
      <c r="AF284" s="73">
        <f t="shared" si="25"/>
        <v>63110</v>
      </c>
      <c r="AG284" s="74">
        <f t="shared" si="26"/>
        <v>4.95</v>
      </c>
      <c r="AH284" s="41" t="str">
        <f>IF($C284="","",$B284&amp;"|"&amp;(COUNTIFS($B$4:$B$1463,$B284,$AF$4:$AF$1463,"&gt;"&amp;$AF284)+COUNTIFS($B$4:$B284,$B284,$AF$4:$AF284,"="&amp;$AF284)))</f>
        <v>INVICTUS|18</v>
      </c>
      <c r="AI284" s="41" t="str">
        <f>IF($C284="","",$B284&amp;"|"&amp;(COUNTIFS($B$4:$B$1463,$B284,$AG$4:$AG$1463,"&gt;"&amp;$AG284)+COUNTIFS($B$4:$B284,$B284,$AG$4:$AG284,"="&amp;$AG284)))</f>
        <v>INVICTUS|33</v>
      </c>
    </row>
    <row r="285" spans="1:35" hidden="1">
      <c r="A285" s="69" t="s">
        <v>106</v>
      </c>
      <c r="B285" s="69" t="s">
        <v>107</v>
      </c>
      <c r="C285" s="63" t="s">
        <v>1059</v>
      </c>
      <c r="D285" s="69"/>
      <c r="E285" s="68" t="s">
        <v>74</v>
      </c>
      <c r="F285" s="19" t="str">
        <f>IF($C285="","",IF($E285="","-",IFERROR(INDEX(SETUP!$B$55:$B$64,MATCH($E285,SETUP!$A$55:$A$64,0)),"Other")))</f>
        <v>Ranged DPS</v>
      </c>
      <c r="G285" s="70">
        <v>62896</v>
      </c>
      <c r="H285" s="19" t="str">
        <f>IF($C285="","",IF($G285="","-",INDEX(SETUP!$B$26:$B$32,MATCH($G285,SETUP!$A$26:$A$32,1))))</f>
        <v>62,000 - 62,999</v>
      </c>
      <c r="I285" s="70">
        <v>3012</v>
      </c>
      <c r="J285" s="19" t="str">
        <f>IF($C285="","",IF($I285="","-",INDEX(SETUP!$B$16:$B$22,MATCH($I285,SETUP!$A$16:$A$22,1))))</f>
        <v>DEVELOPING</v>
      </c>
      <c r="K285" s="19" t="str">
        <f>IF($C285="","",IF($I285="","-",TEXT(INT($I285/1000)*1000,"#,##0")&amp;" - "&amp;TEXT(INT($I285/1000)*1000+999,"#,##0")))</f>
        <v>3,000 - 3,999</v>
      </c>
      <c r="L285" s="71">
        <v>5.2</v>
      </c>
      <c r="M285" s="19" t="str">
        <f>IF($C285="","",IF($L285="","-",INDEX(SETUP!$B$36:$B$42,MATCH($L285,SETUP!$A$36:$A$42,1))))</f>
        <v>5k - 6k</v>
      </c>
      <c r="N285" s="21">
        <f>IF($C285="","",IF(OR($G285="",$I285=""),"",ROUND(100*(SETUP!$B$4*MIN(1,$I285/SETUP!$B$9)+SETUP!$B$5*MAX(0,MIN(1,($G285-SETUP!$B$10)/(SETUP!$B$11-SETUP!$B$10)))+SETUP!$B$6*MIN(1,IF($L285="",0,$L285)/SETUP!$B$12)),1)))</f>
        <v>42.6</v>
      </c>
      <c r="O285" s="19" t="str">
        <f>IF($C285="","",IF($N285="","-",INDEX(SETUP!$B$46:$B$51,MATCH($N285,SETUP!$A$46:$A$51,1))))</f>
        <v>B</v>
      </c>
      <c r="P285" s="19">
        <f>IF($C285="","",IF($I285="","",RANK($I285,$I$4:$I$1463)+COUNTIF($I$4:$I285,$I285)-1))</f>
        <v>879</v>
      </c>
      <c r="Q285" s="19">
        <f>IF($C285="","",COUNTIFS($B$4:$B$1463,$B285,$X$4:$X$1463,"&gt;"&amp;$X285)+COUNTIFS($B$4:$B285,$B285,$X$4:$X285,"="&amp;$X285))</f>
        <v>80</v>
      </c>
      <c r="R285" s="75">
        <f>IF($C285="","",IF($I285="","",ROUND(COUNTIF($I$4:$I$1463,"&lt;"&amp;$I285)/COUNT($I$4:$I$1463),3)))</f>
        <v>0.33600000000000002</v>
      </c>
      <c r="S285" s="19" t="str">
        <f>IF($C285="","",IF($G285="","Name only",IF(OR($I285="",$L285=""),"Partial","Complete")))</f>
        <v>Complete</v>
      </c>
      <c r="T285" s="1" t="str">
        <f>IF($C285="","",TRIM(IF(COUNTIF($C$4:$C$1463,$C285)&gt;1,"Dup name; ","")&amp;IF(AND($G285&lt;&gt;"",$G285&lt;55000),"Low CR - verify; ","")&amp;IF(AND($L285&lt;&gt;"",$L285&gt;15),"Secondary - verify; ","")&amp;IF($E285="","No class; ","")))</f>
        <v/>
      </c>
      <c r="U285" s="68"/>
      <c r="V285" s="68"/>
      <c r="W285" s="68"/>
      <c r="X285" s="76">
        <f t="shared" si="22"/>
        <v>3012</v>
      </c>
      <c r="Y285" s="1" t="str">
        <f t="shared" si="23"/>
        <v>UNDYING|80</v>
      </c>
      <c r="Z285" s="19">
        <f>IF($C285="","",IF($G285="","",RANK($G285,$G$4:$G$1463)+COUNTIF($G$4:$G285,$G285)-1))</f>
        <v>477</v>
      </c>
      <c r="AA285" s="19">
        <f>IF($C285="","",IF($N285="","",RANK($N285,$N$4:$N$1463)+COUNTIF($N$4:$N285,$N285)-1))</f>
        <v>716</v>
      </c>
      <c r="AB285" s="1" t="str">
        <f>IF($C285="","",IF($E285="","",$E285&amp;"#"&amp;(COUNTIFS($E$4:$E$1463,$E285,$X$4:$X$1463,"&gt;"&amp;$X285)+COUNTIFS($E$4:$E285,$E285,$X$4:$X285,"="&amp;$X285))))</f>
        <v>DEMON HUNTER#140</v>
      </c>
      <c r="AC285" s="1" t="str">
        <f>IF($C285="","",$B285&amp;"@"&amp;(COUNTIFS($B$4:$B$1463,$B285,$C$4:$C$1463,"&lt;"&amp;$C285)+COUNTIFS($B$4:$B285,$B285,$C$4:$C285,$C285)))</f>
        <v>UNDYING@31</v>
      </c>
      <c r="AD285" s="1">
        <f t="shared" si="24"/>
        <v>282</v>
      </c>
      <c r="AE285" s="1" t="s">
        <v>1060</v>
      </c>
      <c r="AF285" s="76">
        <f t="shared" si="25"/>
        <v>62896</v>
      </c>
      <c r="AG285" s="77">
        <f t="shared" si="26"/>
        <v>5.2</v>
      </c>
      <c r="AH285" s="1" t="str">
        <f>IF($C285="","",$B285&amp;"|"&amp;(COUNTIFS($B$4:$B$1463,$B285,$AF$4:$AF$1463,"&gt;"&amp;$AF285)+COUNTIFS($B$4:$B285,$B285,$AF$4:$AF285,"="&amp;$AF285)))</f>
        <v>UNDYING|48</v>
      </c>
      <c r="AI285" s="1" t="str">
        <f>IF($C285="","",$B285&amp;"|"&amp;(COUNTIFS($B$4:$B$1463,$B285,$AG$4:$AG$1463,"&gt;"&amp;$AG285)+COUNTIFS($B$4:$B285,$B285,$AG$4:$AG285,"="&amp;$AG285)))</f>
        <v>UNDYING|44</v>
      </c>
    </row>
    <row r="286" spans="1:35" hidden="1">
      <c r="A286" s="69" t="s">
        <v>109</v>
      </c>
      <c r="B286" s="69" t="s">
        <v>114</v>
      </c>
      <c r="C286" s="63" t="s">
        <v>1061</v>
      </c>
      <c r="D286" s="69"/>
      <c r="E286" s="68" t="s">
        <v>71</v>
      </c>
      <c r="F286" s="15" t="str">
        <f>IF($C286="","",IF($E286="","-",IFERROR(INDEX(SETUP!$B$55:$B$64,MATCH($E286,SETUP!$A$55:$A$64,0)),"Other")))</f>
        <v>Frontline</v>
      </c>
      <c r="G286" s="70">
        <v>63001</v>
      </c>
      <c r="H286" s="15" t="str">
        <f>IF($C286="","",IF($G286="","-",INDEX(SETUP!$B$26:$B$32,MATCH($G286,SETUP!$A$26:$A$32,1))))</f>
        <v>63,000 - 63,999</v>
      </c>
      <c r="I286" s="70">
        <v>2564</v>
      </c>
      <c r="J286" s="15" t="str">
        <f>IF($C286="","",IF($I286="","-",INDEX(SETUP!$B$16:$B$22,MATCH($I286,SETUP!$A$16:$A$22,1))))</f>
        <v>DEVELOPING</v>
      </c>
      <c r="K286" s="15" t="str">
        <f>IF($C286="","",IF($I286="","-",TEXT(INT($I286/1000)*1000,"#,##0")&amp;" - "&amp;TEXT(INT($I286/1000)*1000+999,"#,##0")))</f>
        <v>2,000 - 2,999</v>
      </c>
      <c r="L286" s="71">
        <v>3.8</v>
      </c>
      <c r="M286" s="15" t="str">
        <f>IF($C286="","",IF($L286="","-",INDEX(SETUP!$B$36:$B$42,MATCH($L286,SETUP!$A$36:$A$42,1))))</f>
        <v>3k - 4k</v>
      </c>
      <c r="N286" s="17">
        <f>IF($C286="","",IF(OR($G286="",$I286=""),"",ROUND(100*(SETUP!$B$4*MIN(1,$I286/SETUP!$B$9)+SETUP!$B$5*MAX(0,MIN(1,($G286-SETUP!$B$10)/(SETUP!$B$11-SETUP!$B$10)))+SETUP!$B$6*MIN(1,IF($L286="",0,$L286)/SETUP!$B$12)),1)))</f>
        <v>38.6</v>
      </c>
      <c r="O286" s="15" t="str">
        <f>IF($C286="","",IF($N286="","-",INDEX(SETUP!$B$46:$B$51,MATCH($N286,SETUP!$A$46:$A$51,1))))</f>
        <v>B</v>
      </c>
      <c r="P286" s="15">
        <f>IF($C286="","",IF($I286="","",RANK($I286,$I$4:$I$1463)+COUNTIF($I$4:$I286,$I286)-1))</f>
        <v>989</v>
      </c>
      <c r="Q286" s="15">
        <f>IF($C286="","",COUNTIFS($B$4:$B$1463,$B286,$X$4:$X$1463,"&gt;"&amp;$X286)+COUNTIFS($B$4:$B286,$B286,$X$4:$X286,"="&amp;$X286))</f>
        <v>37</v>
      </c>
      <c r="R286" s="72">
        <f>IF($C286="","",IF($I286="","",ROUND(COUNTIF($I$4:$I$1463,"&lt;"&amp;$I286)/COUNT($I$4:$I$1463),3)))</f>
        <v>0.253</v>
      </c>
      <c r="S286" s="15" t="str">
        <f>IF($C286="","",IF($G286="","Name only",IF(OR($I286="",$L286=""),"Partial","Complete")))</f>
        <v>Complete</v>
      </c>
      <c r="T286" s="41" t="str">
        <f>IF($C286="","",TRIM(IF(COUNTIF($C$4:$C$1463,$C286)&gt;1,"Dup name; ","")&amp;IF(AND($G286&lt;&gt;"",$G286&lt;55000),"Low CR - verify; ","")&amp;IF(AND($L286&lt;&gt;"",$L286&gt;15),"Secondary - verify; ","")&amp;IF($E286="","No class; ","")))</f>
        <v/>
      </c>
      <c r="U286" s="68"/>
      <c r="V286" s="68"/>
      <c r="W286" s="68"/>
      <c r="X286" s="73">
        <f t="shared" si="22"/>
        <v>2564</v>
      </c>
      <c r="Y286" s="41" t="str">
        <f t="shared" si="23"/>
        <v>EMERALD LEAF TRIBE|37</v>
      </c>
      <c r="Z286" s="15">
        <f>IF($C286="","",IF($G286="","",RANK($G286,$G$4:$G$1463)+COUNTIF($G$4:$G286,$G286)-1))</f>
        <v>427</v>
      </c>
      <c r="AA286" s="15">
        <f>IF($C286="","",IF($N286="","",RANK($N286,$N$4:$N$1463)+COUNTIF($N$4:$N286,$N286)-1))</f>
        <v>874</v>
      </c>
      <c r="AB286" s="41" t="str">
        <f>IF($C286="","",IF($E286="","",$E286&amp;"#"&amp;(COUNTIFS($E$4:$E$1463,$E286,$X$4:$X$1463,"&gt;"&amp;$X286)+COUNTIFS($E$4:$E286,$E286,$X$4:$X286,"="&amp;$X286))))</f>
        <v>BARBARIAN#167</v>
      </c>
      <c r="AC286" s="41" t="str">
        <f>IF($C286="","",$B286&amp;"@"&amp;(COUNTIFS($B$4:$B$1463,$B286,$C$4:$C$1463,"&lt;"&amp;$C286)+COUNTIFS($B$4:$B286,$B286,$C$4:$C286,$C286)))</f>
        <v>EMERALD LEAF TRIBE@21</v>
      </c>
      <c r="AD286" s="41">
        <f t="shared" si="24"/>
        <v>283</v>
      </c>
      <c r="AE286" s="41" t="s">
        <v>1062</v>
      </c>
      <c r="AF286" s="73">
        <f t="shared" si="25"/>
        <v>63001</v>
      </c>
      <c r="AG286" s="74">
        <f t="shared" si="26"/>
        <v>3.8</v>
      </c>
      <c r="AH286" s="41" t="str">
        <f>IF($C286="","",$B286&amp;"|"&amp;(COUNTIFS($B$4:$B$1463,$B286,$AF$4:$AF$1463,"&gt;"&amp;$AF286)+COUNTIFS($B$4:$B286,$B286,$AF$4:$AF286,"="&amp;$AF286)))</f>
        <v>EMERALD LEAF TRIBE|5</v>
      </c>
      <c r="AI286" s="41" t="str">
        <f>IF($C286="","",$B286&amp;"|"&amp;(COUNTIFS($B$4:$B$1463,$B286,$AG$4:$AG$1463,"&gt;"&amp;$AG286)+COUNTIFS($B$4:$B286,$B286,$AG$4:$AG286,"="&amp;$AG286)))</f>
        <v>EMERALD LEAF TRIBE|38</v>
      </c>
    </row>
    <row r="287" spans="1:35" hidden="1">
      <c r="A287" s="69" t="s">
        <v>109</v>
      </c>
      <c r="B287" s="69" t="s">
        <v>114</v>
      </c>
      <c r="C287" s="63" t="s">
        <v>1063</v>
      </c>
      <c r="D287" s="69"/>
      <c r="E287" s="68" t="s">
        <v>80</v>
      </c>
      <c r="F287" s="19" t="str">
        <f>IF($C287="","",IF($E287="","-",IFERROR(INDEX(SETUP!$B$55:$B$64,MATCH($E287,SETUP!$A$55:$A$64,0)),"Other")))</f>
        <v>Ranged DPS</v>
      </c>
      <c r="G287" s="70">
        <v>60643</v>
      </c>
      <c r="H287" s="19" t="str">
        <f>IF($C287="","",IF($G287="","-",INDEX(SETUP!$B$26:$B$32,MATCH($G287,SETUP!$A$26:$A$32,1))))</f>
        <v>60,000 - 60,999</v>
      </c>
      <c r="I287" s="70">
        <v>1049</v>
      </c>
      <c r="J287" s="19" t="str">
        <f>IF($C287="","",IF($I287="","-",INDEX(SETUP!$B$16:$B$22,MATCH($I287,SETUP!$A$16:$A$22,1))))</f>
        <v>ROOKIE</v>
      </c>
      <c r="K287" s="19" t="str">
        <f>IF($C287="","",IF($I287="","-",TEXT(INT($I287/1000)*1000,"#,##0")&amp;" - "&amp;TEXT(INT($I287/1000)*1000+999,"#,##0")))</f>
        <v>1,000 - 1,999</v>
      </c>
      <c r="L287" s="71">
        <v>3.65</v>
      </c>
      <c r="M287" s="19" t="str">
        <f>IF($C287="","",IF($L287="","-",INDEX(SETUP!$B$36:$B$42,MATCH($L287,SETUP!$A$36:$A$42,1))))</f>
        <v>3k - 4k</v>
      </c>
      <c r="N287" s="21">
        <f>IF($C287="","",IF(OR($G287="",$I287=""),"",ROUND(100*(SETUP!$B$4*MIN(1,$I287/SETUP!$B$9)+SETUP!$B$5*MAX(0,MIN(1,($G287-SETUP!$B$10)/(SETUP!$B$11-SETUP!$B$10)))+SETUP!$B$6*MIN(1,IF($L287="",0,$L287)/SETUP!$B$12)),1)))</f>
        <v>25.5</v>
      </c>
      <c r="O287" s="19" t="str">
        <f>IF($C287="","",IF($N287="","-",INDEX(SETUP!$B$46:$B$51,MATCH($N287,SETUP!$A$46:$A$51,1))))</f>
        <v>C</v>
      </c>
      <c r="P287" s="19">
        <f>IF($C287="","",IF($I287="","",RANK($I287,$I$4:$I$1463)+COUNTIF($I$4:$I287,$I287)-1))</f>
        <v>1266</v>
      </c>
      <c r="Q287" s="19">
        <f>IF($C287="","",COUNTIFS($B$4:$B$1463,$B287,$X$4:$X$1463,"&gt;"&amp;$X287)+COUNTIFS($B$4:$B287,$B287,$X$4:$X287,"="&amp;$X287))</f>
        <v>82</v>
      </c>
      <c r="R287" s="75">
        <f>IF($C287="","",IF($I287="","",ROUND(COUNTIF($I$4:$I$1463,"&lt;"&amp;$I287)/COUNT($I$4:$I$1463),3)))</f>
        <v>4.4999999999999998E-2</v>
      </c>
      <c r="S287" s="19" t="str">
        <f>IF($C287="","",IF($G287="","Name only",IF(OR($I287="",$L287=""),"Partial","Complete")))</f>
        <v>Complete</v>
      </c>
      <c r="T287" s="1" t="str">
        <f>IF($C287="","",TRIM(IF(COUNTIF($C$4:$C$1463,$C287)&gt;1,"Dup name; ","")&amp;IF(AND($G287&lt;&gt;"",$G287&lt;55000),"Low CR - verify; ","")&amp;IF(AND($L287&lt;&gt;"",$L287&gt;15),"Secondary - verify; ","")&amp;IF($E287="","No class; ","")))</f>
        <v/>
      </c>
      <c r="U287" s="68"/>
      <c r="V287" s="68"/>
      <c r="W287" s="68"/>
      <c r="X287" s="76">
        <f t="shared" si="22"/>
        <v>1049</v>
      </c>
      <c r="Y287" s="1" t="str">
        <f t="shared" si="23"/>
        <v>EMERALD LEAF TRIBE|82</v>
      </c>
      <c r="Z287" s="19">
        <f>IF($C287="","",IF($G287="","",RANK($G287,$G$4:$G$1463)+COUNTIF($G$4:$G287,$G287)-1))</f>
        <v>1191</v>
      </c>
      <c r="AA287" s="19">
        <f>IF($C287="","",IF($N287="","",RANK($N287,$N$4:$N$1463)+COUNTIF($N$4:$N287,$N287)-1))</f>
        <v>1236</v>
      </c>
      <c r="AB287" s="1" t="str">
        <f>IF($C287="","",IF($E287="","",$E287&amp;"#"&amp;(COUNTIFS($E$4:$E$1463,$E287,$X$4:$X$1463,"&gt;"&amp;$X287)+COUNTIFS($E$4:$E287,$E287,$X$4:$X287,"="&amp;$X287))))</f>
        <v>WIZARD#90</v>
      </c>
      <c r="AC287" s="1" t="str">
        <f>IF($C287="","",$B287&amp;"@"&amp;(COUNTIFS($B$4:$B$1463,$B287,$C$4:$C$1463,"&lt;"&amp;$C287)+COUNTIFS($B$4:$B287,$B287,$C$4:$C287,$C287)))</f>
        <v>EMERALD LEAF TRIBE@22</v>
      </c>
      <c r="AD287" s="1">
        <f t="shared" si="24"/>
        <v>284</v>
      </c>
      <c r="AE287" s="1" t="s">
        <v>1064</v>
      </c>
      <c r="AF287" s="76">
        <f t="shared" si="25"/>
        <v>60643</v>
      </c>
      <c r="AG287" s="77">
        <f t="shared" si="26"/>
        <v>3.65</v>
      </c>
      <c r="AH287" s="1" t="str">
        <f>IF($C287="","",$B287&amp;"|"&amp;(COUNTIFS($B$4:$B$1463,$B287,$AF$4:$AF$1463,"&gt;"&amp;$AF287)+COUNTIFS($B$4:$B287,$B287,$AF$4:$AF287,"="&amp;$AF287)))</f>
        <v>EMERALD LEAF TRIBE|68</v>
      </c>
      <c r="AI287" s="1" t="str">
        <f>IF($C287="","",$B287&amp;"|"&amp;(COUNTIFS($B$4:$B$1463,$B287,$AG$4:$AG$1463,"&gt;"&amp;$AG287)+COUNTIFS($B$4:$B287,$B287,$AG$4:$AG287,"="&amp;$AG287)))</f>
        <v>EMERALD LEAF TRIBE|48</v>
      </c>
    </row>
    <row r="288" spans="1:35" hidden="1">
      <c r="A288" s="69" t="s">
        <v>109</v>
      </c>
      <c r="B288" s="69" t="s">
        <v>108</v>
      </c>
      <c r="C288" s="63" t="s">
        <v>1065</v>
      </c>
      <c r="D288" s="69" t="s">
        <v>1066</v>
      </c>
      <c r="E288" s="68" t="s">
        <v>71</v>
      </c>
      <c r="F288" s="15" t="str">
        <f>IF($C288="","",IF($E288="","-",IFERROR(INDEX(SETUP!$B$55:$B$64,MATCH($E288,SETUP!$A$55:$A$64,0)),"Other")))</f>
        <v>Frontline</v>
      </c>
      <c r="G288" s="70">
        <v>62702</v>
      </c>
      <c r="H288" s="15" t="str">
        <f>IF($C288="","",IF($G288="","-",INDEX(SETUP!$B$26:$B$32,MATCH($G288,SETUP!$A$26:$A$32,1))))</f>
        <v>62,000 - 62,999</v>
      </c>
      <c r="I288" s="70">
        <v>4549</v>
      </c>
      <c r="J288" s="15" t="str">
        <f>IF($C288="","",IF($I288="","-",INDEX(SETUP!$B$16:$B$22,MATCH($I288,SETUP!$A$16:$A$22,1))))</f>
        <v>CORE</v>
      </c>
      <c r="K288" s="15" t="str">
        <f>IF($C288="","",IF($I288="","-",TEXT(INT($I288/1000)*1000,"#,##0")&amp;" - "&amp;TEXT(INT($I288/1000)*1000+999,"#,##0")))</f>
        <v>4,000 - 4,999</v>
      </c>
      <c r="L288" s="71">
        <v>5.4</v>
      </c>
      <c r="M288" s="15" t="str">
        <f>IF($C288="","",IF($L288="","-",INDEX(SETUP!$B$36:$B$42,MATCH($L288,SETUP!$A$36:$A$42,1))))</f>
        <v>5k - 6k</v>
      </c>
      <c r="N288" s="17">
        <f>IF($C288="","",IF(OR($G288="",$I288=""),"",ROUND(100*(SETUP!$B$4*MIN(1,$I288/SETUP!$B$9)+SETUP!$B$5*MAX(0,MIN(1,($G288-SETUP!$B$10)/(SETUP!$B$11-SETUP!$B$10)))+SETUP!$B$6*MIN(1,IF($L288="",0,$L288)/SETUP!$B$12)),1)))</f>
        <v>49.1</v>
      </c>
      <c r="O288" s="15" t="str">
        <f>IF($C288="","",IF($N288="","-",INDEX(SETUP!$B$46:$B$51,MATCH($N288,SETUP!$A$46:$A$51,1))))</f>
        <v>B</v>
      </c>
      <c r="P288" s="15">
        <f>IF($C288="","",IF($I288="","",RANK($I288,$I$4:$I$1463)+COUNTIF($I$4:$I288,$I288)-1))</f>
        <v>485</v>
      </c>
      <c r="Q288" s="15">
        <f>IF($C288="","",COUNTIFS($B$4:$B$1463,$B288,$X$4:$X$1463,"&gt;"&amp;$X288)+COUNTIFS($B$4:$B288,$B288,$X$4:$X288,"="&amp;$X288))</f>
        <v>62</v>
      </c>
      <c r="R288" s="72">
        <f>IF($C288="","",IF($I288="","",ROUND(COUNTIF($I$4:$I$1463,"&lt;"&amp;$I288)/COUNT($I$4:$I$1463),3)))</f>
        <v>0.63300000000000001</v>
      </c>
      <c r="S288" s="15" t="str">
        <f>IF($C288="","",IF($G288="","Name only",IF(OR($I288="",$L288=""),"Partial","Complete")))</f>
        <v>Complete</v>
      </c>
      <c r="T288" s="41" t="str">
        <f>IF($C288="","",TRIM(IF(COUNTIF($C$4:$C$1463,$C288)&gt;1,"Dup name; ","")&amp;IF(AND($G288&lt;&gt;"",$G288&lt;55000),"Low CR - verify; ","")&amp;IF(AND($L288&lt;&gt;"",$L288&gt;15),"Secondary - verify; ","")&amp;IF($E288="","No class; ","")))</f>
        <v/>
      </c>
      <c r="U288" s="68"/>
      <c r="V288" s="68"/>
      <c r="W288" s="68"/>
      <c r="X288" s="73">
        <f t="shared" si="22"/>
        <v>4549</v>
      </c>
      <c r="Y288" s="41" t="str">
        <f t="shared" si="23"/>
        <v>SBG|62</v>
      </c>
      <c r="Z288" s="15">
        <f>IF($C288="","",IF($G288="","",RANK($G288,$G$4:$G$1463)+COUNTIF($G$4:$G288,$G288)-1))</f>
        <v>562</v>
      </c>
      <c r="AA288" s="15">
        <f>IF($C288="","",IF($N288="","",RANK($N288,$N$4:$N$1463)+COUNTIF($N$4:$N288,$N288)-1))</f>
        <v>480</v>
      </c>
      <c r="AB288" s="41" t="str">
        <f>IF($C288="","",IF($E288="","",$E288&amp;"#"&amp;(COUNTIFS($E$4:$E$1463,$E288,$X$4:$X$1463,"&gt;"&amp;$X288)+COUNTIFS($E$4:$E288,$E288,$X$4:$X288,"="&amp;$X288))))</f>
        <v>BARBARIAN#95</v>
      </c>
      <c r="AC288" s="41" t="str">
        <f>IF($C288="","",$B288&amp;"@"&amp;(COUNTIFS($B$4:$B$1463,$B288,$C$4:$C$1463,"&lt;"&amp;$C288)+COUNTIFS($B$4:$B288,$B288,$C$4:$C288,$C288)))</f>
        <v>SBG@14</v>
      </c>
      <c r="AD288" s="41">
        <f t="shared" si="24"/>
        <v>285</v>
      </c>
      <c r="AE288" s="41" t="s">
        <v>1067</v>
      </c>
      <c r="AF288" s="73">
        <f t="shared" si="25"/>
        <v>62702</v>
      </c>
      <c r="AG288" s="74">
        <f t="shared" si="26"/>
        <v>5.4</v>
      </c>
      <c r="AH288" s="41" t="str">
        <f>IF($C288="","",$B288&amp;"|"&amp;(COUNTIFS($B$4:$B$1463,$B288,$AF$4:$AF$1463,"&gt;"&amp;$AF288)+COUNTIFS($B$4:$B288,$B288,$AF$4:$AF288,"="&amp;$AF288)))</f>
        <v>SBG|53</v>
      </c>
      <c r="AI288" s="41" t="str">
        <f>IF($C288="","",$B288&amp;"|"&amp;(COUNTIFS($B$4:$B$1463,$B288,$AG$4:$AG$1463,"&gt;"&amp;$AG288)+COUNTIFS($B$4:$B288,$B288,$AG$4:$AG288,"="&amp;$AG288)))</f>
        <v>SBG|59</v>
      </c>
    </row>
    <row r="289" spans="1:35">
      <c r="A289" s="69" t="s">
        <v>104</v>
      </c>
      <c r="B289" s="69" t="s">
        <v>66</v>
      </c>
      <c r="C289" s="63" t="s">
        <v>1042</v>
      </c>
      <c r="D289" s="69"/>
      <c r="E289" s="68" t="s">
        <v>79</v>
      </c>
      <c r="F289" s="19" t="str">
        <f>IF($C289="","",IF($E289="","-",IFERROR(INDEX(SETUP!$B$55:$B$64,MATCH($E289,SETUP!$A$55:$A$64,0)),"Other")))</f>
        <v>Control</v>
      </c>
      <c r="G289" s="70">
        <v>62108</v>
      </c>
      <c r="H289" s="19" t="str">
        <f>IF($C289="","",IF($G289="","-",INDEX(SETUP!$B$26:$B$32,MATCH($G289,SETUP!$A$26:$A$32,1))))</f>
        <v>62,000 - 62,999</v>
      </c>
      <c r="I289" s="70">
        <v>4488</v>
      </c>
      <c r="J289" s="19" t="str">
        <f>IF($C289="","",IF($I289="","-",INDEX(SETUP!$B$16:$B$22,MATCH($I289,SETUP!$A$16:$A$22,1))))</f>
        <v>CORE</v>
      </c>
      <c r="K289" s="19" t="str">
        <f>IF($C289="","",IF($I289="","-",TEXT(INT($I289/1000)*1000,"#,##0")&amp;" - "&amp;TEXT(INT($I289/1000)*1000+999,"#,##0")))</f>
        <v>4,000 - 4,999</v>
      </c>
      <c r="L289" s="71">
        <v>5.33</v>
      </c>
      <c r="M289" s="19" t="str">
        <f>IF($C289="","",IF($L289="","-",INDEX(SETUP!$B$36:$B$42,MATCH($L289,SETUP!$A$36:$A$42,1))))</f>
        <v>5k - 6k</v>
      </c>
      <c r="N289" s="21">
        <f>IF($C289="","",IF(OR($G289="",$I289=""),"",ROUND(100*(SETUP!$B$4*MIN(1,$I289/SETUP!$B$9)+SETUP!$B$5*MAX(0,MIN(1,($G289-SETUP!$B$10)/(SETUP!$B$11-SETUP!$B$10)))+SETUP!$B$6*MIN(1,IF($L289="",0,$L289)/SETUP!$B$12)),1)))</f>
        <v>47.2</v>
      </c>
      <c r="O289" s="19" t="str">
        <f>IF($C289="","",IF($N289="","-",INDEX(SETUP!$B$46:$B$51,MATCH($N289,SETUP!$A$46:$A$51,1))))</f>
        <v>B</v>
      </c>
      <c r="P289" s="19">
        <f>IF($C289="","",IF($I289="","",RANK($I289,$I$4:$I$1463)+COUNTIF($I$4:$I289,$I289)-1))</f>
        <v>498</v>
      </c>
      <c r="Q289" s="19">
        <f>IF($C289="","",COUNTIFS($B$4:$B$1463,$B289,$X$4:$X$1463,"&gt;"&amp;$X289)+COUNTIFS($B$4:$B289,$B289,$X$4:$X289,"="&amp;$X289))</f>
        <v>49</v>
      </c>
      <c r="R289" s="75">
        <f>IF($C289="","",IF($I289="","",ROUND(COUNTIF($I$4:$I$1463,"&lt;"&amp;$I289)/COUNT($I$4:$I$1463),3)))</f>
        <v>0.624</v>
      </c>
      <c r="S289" s="19" t="str">
        <f>IF($C289="","",IF($G289="","Name only",IF(OR($I289="",$L289=""),"Partial","Complete")))</f>
        <v>Complete</v>
      </c>
      <c r="T289" s="1" t="str">
        <f>IF($C289="","",TRIM(IF(COUNTIF($C$4:$C$1463,$C289)&gt;1,"Dup name; ","")&amp;IF(AND($G289&lt;&gt;"",$G289&lt;55000),"Low CR - verify; ","")&amp;IF(AND($L289&lt;&gt;"",$L289&gt;15),"Secondary - verify; ","")&amp;IF($E289="","No class; ","")))</f>
        <v/>
      </c>
      <c r="U289" s="68" t="s">
        <v>263</v>
      </c>
      <c r="V289" s="68" t="s">
        <v>66</v>
      </c>
      <c r="W289" s="68" t="s">
        <v>285</v>
      </c>
      <c r="X289" s="76">
        <f t="shared" si="22"/>
        <v>4488</v>
      </c>
      <c r="Y289" s="1" t="str">
        <f t="shared" si="23"/>
        <v>FUCT|49</v>
      </c>
      <c r="Z289" s="19">
        <f>IF($C289="","",IF($G289="","",RANK($G289,$G$4:$G$1463)+COUNTIF($G$4:$G289,$G289)-1))</f>
        <v>796</v>
      </c>
      <c r="AA289" s="19">
        <f>IF($C289="","",IF($N289="","",RANK($N289,$N$4:$N$1463)+COUNTIF($N$4:$N289,$N289)-1))</f>
        <v>544</v>
      </c>
      <c r="AB289" s="1" t="str">
        <f>IF($C289="","",IF($E289="","",$E289&amp;"#"&amp;(COUNTIFS($E$4:$E$1463,$E289,$X$4:$X$1463,"&gt;"&amp;$X289)+COUNTIFS($E$4:$E289,$E289,$X$4:$X289,"="&amp;$X289))))</f>
        <v>WARLOCK#114</v>
      </c>
      <c r="AC289" s="1" t="str">
        <f>IF($C289="","",$B289&amp;"@"&amp;(COUNTIFS($B$4:$B$1463,$B289,$C$4:$C$1463,"&lt;"&amp;$C289)+COUNTIFS($B$4:$B289,$B289,$C$4:$C289,$C289)))</f>
        <v>FUCT@18</v>
      </c>
      <c r="AD289" s="1">
        <f t="shared" si="24"/>
        <v>286</v>
      </c>
      <c r="AE289" s="1" t="s">
        <v>1069</v>
      </c>
      <c r="AF289" s="76">
        <f t="shared" si="25"/>
        <v>62108</v>
      </c>
      <c r="AG289" s="77">
        <f t="shared" si="26"/>
        <v>5.33</v>
      </c>
      <c r="AH289" s="1" t="str">
        <f>IF($C289="","",$B289&amp;"|"&amp;(COUNTIFS($B$4:$B$1463,$B289,$AF$4:$AF$1463,"&gt;"&amp;$AF289)+COUNTIFS($B$4:$B289,$B289,$AF$4:$AF289,"="&amp;$AF289)))</f>
        <v>FUCT|77</v>
      </c>
      <c r="AI289" s="1" t="str">
        <f>IF($C289="","",$B289&amp;"|"&amp;(COUNTIFS($B$4:$B$1463,$B289,$AG$4:$AG$1463,"&gt;"&amp;$AG289)+COUNTIFS($B$4:$B289,$B289,$AG$4:$AG289,"="&amp;$AG289)))</f>
        <v>FUCT|33</v>
      </c>
    </row>
    <row r="290" spans="1:35" hidden="1">
      <c r="A290" s="69" t="s">
        <v>109</v>
      </c>
      <c r="B290" s="69" t="s">
        <v>112</v>
      </c>
      <c r="C290" s="63" t="s">
        <v>1070</v>
      </c>
      <c r="D290" s="69" t="s">
        <v>567</v>
      </c>
      <c r="E290" s="68" t="s">
        <v>79</v>
      </c>
      <c r="F290" s="15" t="str">
        <f>IF($C290="","",IF($E290="","-",IFERROR(INDEX(SETUP!$B$55:$B$64,MATCH($E290,SETUP!$A$55:$A$64,0)),"Other")))</f>
        <v>Control</v>
      </c>
      <c r="G290" s="70">
        <v>62287</v>
      </c>
      <c r="H290" s="15" t="str">
        <f>IF($C290="","",IF($G290="","-",INDEX(SETUP!$B$26:$B$32,MATCH($G290,SETUP!$A$26:$A$32,1))))</f>
        <v>62,000 - 62,999</v>
      </c>
      <c r="I290" s="70">
        <v>5988</v>
      </c>
      <c r="J290" s="15" t="str">
        <f>IF($C290="","",IF($I290="","-",INDEX(SETUP!$B$16:$B$22,MATCH($I290,SETUP!$A$16:$A$22,1))))</f>
        <v>CORE</v>
      </c>
      <c r="K290" s="15" t="str">
        <f>IF($C290="","",IF($I290="","-",TEXT(INT($I290/1000)*1000,"#,##0")&amp;" - "&amp;TEXT(INT($I290/1000)*1000+999,"#,##0")))</f>
        <v>5,000 - 5,999</v>
      </c>
      <c r="L290" s="71">
        <v>25.1</v>
      </c>
      <c r="M290" s="15" t="str">
        <f>IF($C290="","",IF($L290="","-",INDEX(SETUP!$B$36:$B$42,MATCH($L290,SETUP!$A$36:$A$42,1))))</f>
        <v>10k +</v>
      </c>
      <c r="N290" s="17">
        <f>IF($C290="","",IF(OR($G290="",$I290=""),"",ROUND(100*(SETUP!$B$4*MIN(1,$I290/SETUP!$B$9)+SETUP!$B$5*MAX(0,MIN(1,($G290-SETUP!$B$10)/(SETUP!$B$11-SETUP!$B$10)))+SETUP!$B$6*MIN(1,IF($L290="",0,$L290)/SETUP!$B$12)),1)))</f>
        <v>65.3</v>
      </c>
      <c r="O290" s="15" t="str">
        <f>IF($C290="","",IF($N290="","-",INDEX(SETUP!$B$46:$B$51,MATCH($N290,SETUP!$A$46:$A$51,1))))</f>
        <v>S</v>
      </c>
      <c r="P290" s="15">
        <f>IF($C290="","",IF($I290="","",RANK($I290,$I$4:$I$1463)+COUNTIF($I$4:$I290,$I290)-1))</f>
        <v>289</v>
      </c>
      <c r="Q290" s="15">
        <f>IF($C290="","",COUNTIFS($B$4:$B$1463,$B290,$X$4:$X$1463,"&gt;"&amp;$X290)+COUNTIFS($B$4:$B290,$B290,$X$4:$X290,"="&amp;$X290))</f>
        <v>14</v>
      </c>
      <c r="R290" s="72">
        <f>IF($C290="","",IF($I290="","",ROUND(COUNTIF($I$4:$I$1463,"&lt;"&amp;$I290)/COUNT($I$4:$I$1463),3)))</f>
        <v>0.78200000000000003</v>
      </c>
      <c r="S290" s="15" t="str">
        <f>IF($C290="","",IF($G290="","Name only",IF(OR($I290="",$L290=""),"Partial","Complete")))</f>
        <v>Complete</v>
      </c>
      <c r="T290" s="41" t="str">
        <f>IF($C290="","",TRIM(IF(COUNTIF($C$4:$C$1463,$C290)&gt;1,"Dup name; ","")&amp;IF(AND($G290&lt;&gt;"",$G290&lt;55000),"Low CR - verify; ","")&amp;IF(AND($L290&lt;&gt;"",$L290&gt;15),"Secondary - verify; ","")&amp;IF($E290="","No class; ","")))</f>
        <v>Secondary - verify;</v>
      </c>
      <c r="U290" s="68"/>
      <c r="V290" s="68"/>
      <c r="W290" s="68"/>
      <c r="X290" s="73">
        <f t="shared" si="22"/>
        <v>5988</v>
      </c>
      <c r="Y290" s="41" t="str">
        <f t="shared" si="23"/>
        <v>ACHERON|14</v>
      </c>
      <c r="Z290" s="15">
        <f>IF($C290="","",IF($G290="","",RANK($G290,$G$4:$G$1463)+COUNTIF($G$4:$G290,$G290)-1))</f>
        <v>725</v>
      </c>
      <c r="AA290" s="15">
        <f>IF($C290="","",IF($N290="","",RANK($N290,$N$4:$N$1463)+COUNTIF($N$4:$N290,$N290)-1))</f>
        <v>173</v>
      </c>
      <c r="AB290" s="41" t="str">
        <f>IF($C290="","",IF($E290="","",$E290&amp;"#"&amp;(COUNTIFS($E$4:$E$1463,$E290,$X$4:$X$1463,"&gt;"&amp;$X290)+COUNTIFS($E$4:$E290,$E290,$X$4:$X290,"="&amp;$X290))))</f>
        <v>WARLOCK#63</v>
      </c>
      <c r="AC290" s="41" t="str">
        <f>IF($C290="","",$B290&amp;"@"&amp;(COUNTIFS($B$4:$B$1463,$B290,$C$4:$C$1463,"&lt;"&amp;$C290)+COUNTIFS($B$4:$B290,$B290,$C$4:$C290,$C290)))</f>
        <v>ACHERON@14</v>
      </c>
      <c r="AD290" s="41">
        <f t="shared" si="24"/>
        <v>287</v>
      </c>
      <c r="AE290" s="41" t="s">
        <v>1071</v>
      </c>
      <c r="AF290" s="73">
        <f t="shared" si="25"/>
        <v>62287</v>
      </c>
      <c r="AG290" s="74">
        <f t="shared" si="26"/>
        <v>25.1</v>
      </c>
      <c r="AH290" s="41" t="str">
        <f>IF($C290="","",$B290&amp;"|"&amp;(COUNTIFS($B$4:$B$1463,$B290,$AF$4:$AF$1463,"&gt;"&amp;$AF290)+COUNTIFS($B$4:$B290,$B290,$AF$4:$AF290,"="&amp;$AF290)))</f>
        <v>ACHERON|56</v>
      </c>
      <c r="AI290" s="41" t="str">
        <f>IF($C290="","",$B290&amp;"|"&amp;(COUNTIFS($B$4:$B$1463,$B290,$AG$4:$AG$1463,"&gt;"&amp;$AG290)+COUNTIFS($B$4:$B290,$B290,$AG$4:$AG290,"="&amp;$AG290)))</f>
        <v>ACHERON|1</v>
      </c>
    </row>
    <row r="291" spans="1:35">
      <c r="A291" s="69" t="s">
        <v>104</v>
      </c>
      <c r="B291" s="69" t="s">
        <v>66</v>
      </c>
      <c r="C291" s="63" t="s">
        <v>2914</v>
      </c>
      <c r="D291" s="69" t="s">
        <v>1019</v>
      </c>
      <c r="E291" s="68" t="s">
        <v>79</v>
      </c>
      <c r="F291" s="19" t="str">
        <f>IF($C291="","",IF($E291="","-",IFERROR(INDEX(SETUP!$B$55:$B$64,MATCH($E291,SETUP!$A$55:$A$64,0)),"Other")))</f>
        <v>Control</v>
      </c>
      <c r="G291" s="70">
        <v>63637</v>
      </c>
      <c r="H291" s="19" t="str">
        <f>IF($C291="","",IF($G291="","-",INDEX(SETUP!$B$26:$B$32,MATCH($G291,SETUP!$A$26:$A$32,1))))</f>
        <v>63,000 - 63,999</v>
      </c>
      <c r="I291" s="70">
        <v>8529</v>
      </c>
      <c r="J291" s="19" t="str">
        <f>IF($C291="","",IF($I291="","-",INDEX(SETUP!$B$16:$B$22,MATCH($I291,SETUP!$A$16:$A$22,1))))</f>
        <v>ELITE</v>
      </c>
      <c r="K291" s="19" t="str">
        <f>IF($C291="","",IF($I291="","-",TEXT(INT($I291/1000)*1000,"#,##0")&amp;" - "&amp;TEXT(INT($I291/1000)*1000+999,"#,##0")))</f>
        <v>8,000 - 8,999</v>
      </c>
      <c r="L291" s="71">
        <v>6.4</v>
      </c>
      <c r="M291" s="19" t="str">
        <f>IF($C291="","",IF($L291="","-",INDEX(SETUP!$B$36:$B$42,MATCH($L291,SETUP!$A$36:$A$42,1))))</f>
        <v>6k - 8k</v>
      </c>
      <c r="N291" s="21">
        <f>IF($C291="","",IF(OR($G291="",$I291=""),"",ROUND(100*(SETUP!$B$4*MIN(1,$I291/SETUP!$B$9)+SETUP!$B$5*MAX(0,MIN(1,($G291-SETUP!$B$10)/(SETUP!$B$11-SETUP!$B$10)))+SETUP!$B$6*MIN(1,IF($L291="",0,$L291)/SETUP!$B$12)),1)))</f>
        <v>70.599999999999994</v>
      </c>
      <c r="O291" s="19" t="str">
        <f>IF($C291="","",IF($N291="","-",INDEX(SETUP!$B$46:$B$51,MATCH($N291,SETUP!$A$46:$A$51,1))))</f>
        <v>S</v>
      </c>
      <c r="P291" s="19">
        <f>IF($C291="","",IF($I291="","",RANK($I291,$I$4:$I$1463)+COUNTIF($I$4:$I291,$I291)-1))</f>
        <v>117</v>
      </c>
      <c r="Q291" s="19">
        <f>IF($C291="","",COUNTIFS($B$4:$B$1463,$B291,$X$4:$X$1463,"&gt;"&amp;$X291)+COUNTIFS($B$4:$B291,$B291,$X$4:$X291,"="&amp;$X291))</f>
        <v>10</v>
      </c>
      <c r="R291" s="75">
        <f>IF($C291="","",IF($I291="","",ROUND(COUNTIF($I$4:$I$1463,"&lt;"&amp;$I291)/COUNT($I$4:$I$1463),3)))</f>
        <v>0.91100000000000003</v>
      </c>
      <c r="S291" s="19" t="str">
        <f>IF($C291="","",IF($G291="","Name only",IF(OR($I291="",$L291=""),"Partial","Complete")))</f>
        <v>Complete</v>
      </c>
      <c r="T291" s="1" t="str">
        <f>IF($C291="","",TRIM(IF(COUNTIF($C$4:$C$1463,$C291)&gt;1,"Dup name; ","")&amp;IF(AND($G291&lt;&gt;"",$G291&lt;55000),"Low CR - verify; ","")&amp;IF(AND($L291&lt;&gt;"",$L291&gt;15),"Secondary - verify; ","")&amp;IF($E291="","No class; ","")))</f>
        <v/>
      </c>
      <c r="U291" s="68" t="s">
        <v>264</v>
      </c>
      <c r="V291" s="68" t="s">
        <v>388</v>
      </c>
      <c r="W291" s="68" t="s">
        <v>285</v>
      </c>
      <c r="X291" s="76">
        <f t="shared" si="22"/>
        <v>8529</v>
      </c>
      <c r="Y291" s="1" t="str">
        <f t="shared" si="23"/>
        <v>FUCT|10</v>
      </c>
      <c r="Z291" s="19">
        <f>IF($C291="","",IF($G291="","",RANK($G291,$G$4:$G$1463)+COUNTIF($G$4:$G291,$G291)-1))</f>
        <v>157</v>
      </c>
      <c r="AA291" s="19">
        <f>IF($C291="","",IF($N291="","",RANK($N291,$N$4:$N$1463)+COUNTIF($N$4:$N291,$N291)-1))</f>
        <v>123</v>
      </c>
      <c r="AB291" s="1" t="str">
        <f>IF($C291="","",IF($E291="","",$E291&amp;"#"&amp;(COUNTIFS($E$4:$E$1463,$E291,$X$4:$X$1463,"&gt;"&amp;$X291)+COUNTIFS($E$4:$E291,$E291,$X$4:$X291,"="&amp;$X291))))</f>
        <v>WARLOCK#25</v>
      </c>
      <c r="AC291" s="1" t="str">
        <f>IF($C291="","",$B291&amp;"@"&amp;(COUNTIFS($B$4:$B$1463,$B291,$C$4:$C$1463,"&lt;"&amp;$C291)+COUNTIFS($B$4:$B291,$B291,$C$4:$C291,$C291)))</f>
        <v>FUCT@19</v>
      </c>
      <c r="AD291" s="1">
        <f t="shared" si="24"/>
        <v>288</v>
      </c>
      <c r="AE291" s="1" t="s">
        <v>1073</v>
      </c>
      <c r="AF291" s="76">
        <f t="shared" si="25"/>
        <v>63637</v>
      </c>
      <c r="AG291" s="77">
        <f t="shared" si="26"/>
        <v>6.4</v>
      </c>
      <c r="AH291" s="1" t="str">
        <f>IF($C291="","",$B291&amp;"|"&amp;(COUNTIFS($B$4:$B$1463,$B291,$AF$4:$AF$1463,"&gt;"&amp;$AF291)+COUNTIFS($B$4:$B291,$B291,$AF$4:$AF291,"="&amp;$AF291)))</f>
        <v>FUCT|17</v>
      </c>
      <c r="AI291" s="1" t="str">
        <f>IF($C291="","",$B291&amp;"|"&amp;(COUNTIFS($B$4:$B$1463,$B291,$AG$4:$AG$1463,"&gt;"&amp;$AG291)+COUNTIFS($B$4:$B291,$B291,$AG$4:$AG291,"="&amp;$AG291)))</f>
        <v>FUCT|11</v>
      </c>
    </row>
    <row r="292" spans="1:35">
      <c r="A292" s="69" t="s">
        <v>104</v>
      </c>
      <c r="B292" s="69" t="s">
        <v>66</v>
      </c>
      <c r="C292" s="63" t="s">
        <v>1068</v>
      </c>
      <c r="D292" s="69"/>
      <c r="E292" s="68" t="s">
        <v>78</v>
      </c>
      <c r="F292" s="19" t="str">
        <f>IF($C292="","",IF($E292="","-",IFERROR(INDEX(SETUP!$B$55:$B$64,MATCH($E292,SETUP!$A$55:$A$64,0)),"Other")))</f>
        <v>Melee DPS</v>
      </c>
      <c r="G292" s="70">
        <v>63098</v>
      </c>
      <c r="H292" s="19" t="str">
        <f>IF($C292="","",IF($G292="","-",INDEX(SETUP!$B$26:$B$32,MATCH($G292,SETUP!$A$26:$A$32,1))))</f>
        <v>63,000 - 63,999</v>
      </c>
      <c r="I292" s="70">
        <v>4324</v>
      </c>
      <c r="J292" s="19" t="str">
        <f>IF($C292="","",IF($I292="","-",INDEX(SETUP!$B$16:$B$22,MATCH($I292,SETUP!$A$16:$A$22,1))))</f>
        <v>CORE</v>
      </c>
      <c r="K292" s="19" t="str">
        <f>IF($C292="","",IF($I292="","-",TEXT(INT($I292/1000)*1000,"#,##0")&amp;" - "&amp;TEXT(INT($I292/1000)*1000+999,"#,##0")))</f>
        <v>4,000 - 4,999</v>
      </c>
      <c r="L292" s="71">
        <v>4.59</v>
      </c>
      <c r="M292" s="19" t="str">
        <f>IF($C292="","",IF($L292="","-",INDEX(SETUP!$B$36:$B$42,MATCH($L292,SETUP!$A$36:$A$42,1))))</f>
        <v>4k - 5k</v>
      </c>
      <c r="N292" s="21">
        <f>IF($C292="","",IF(OR($G292="",$I292=""),"",ROUND(100*(SETUP!$B$4*MIN(1,$I292/SETUP!$B$9)+SETUP!$B$5*MAX(0,MIN(1,($G292-SETUP!$B$10)/(SETUP!$B$11-SETUP!$B$10)))+SETUP!$B$6*MIN(1,IF($L292="",0,$L292)/SETUP!$B$12)),1)))</f>
        <v>47.8</v>
      </c>
      <c r="O292" s="19" t="str">
        <f>IF($C292="","",IF($N292="","-",INDEX(SETUP!$B$46:$B$51,MATCH($N292,SETUP!$A$46:$A$51,1))))</f>
        <v>B</v>
      </c>
      <c r="P292" s="19">
        <f>IF($C292="","",IF($I292="","",RANK($I292,$I$4:$I$1463)+COUNTIF($I$4:$I292,$I292)-1))</f>
        <v>526</v>
      </c>
      <c r="Q292" s="19">
        <f>IF($C292="","",COUNTIFS($B$4:$B$1463,$B292,$X$4:$X$1463,"&gt;"&amp;$X292)+COUNTIFS($B$4:$B292,$B292,$X$4:$X292,"="&amp;$X292))</f>
        <v>52</v>
      </c>
      <c r="R292" s="75">
        <f>IF($C292="","",IF($I292="","",ROUND(COUNTIF($I$4:$I$1463,"&lt;"&amp;$I292)/COUNT($I$4:$I$1463),3)))</f>
        <v>0.60299999999999998</v>
      </c>
      <c r="S292" s="19" t="str">
        <f>IF($C292="","",IF($G292="","Name only",IF(OR($I292="",$L292=""),"Partial","Complete")))</f>
        <v>Complete</v>
      </c>
      <c r="T292" s="1" t="str">
        <f>IF($C292="","",TRIM(IF(COUNTIF($C$4:$C$1463,$C292)&gt;1,"Dup name; ","")&amp;IF(AND($G292&lt;&gt;"",$G292&lt;55000),"Low CR - verify; ","")&amp;IF(AND($L292&lt;&gt;"",$L292&gt;15),"Secondary - verify; ","")&amp;IF($E292="","No class; ","")))</f>
        <v/>
      </c>
      <c r="U292" s="68"/>
      <c r="V292" s="68"/>
      <c r="W292" s="68"/>
      <c r="X292" s="73">
        <f t="shared" si="22"/>
        <v>4324</v>
      </c>
      <c r="Y292" s="41" t="str">
        <f t="shared" si="23"/>
        <v>FUCT|52</v>
      </c>
      <c r="Z292" s="15">
        <f>IF($C292="","",IF($G292="","",RANK($G292,$G$4:$G$1463)+COUNTIF($G$4:$G292,$G292)-1))</f>
        <v>380</v>
      </c>
      <c r="AA292" s="15">
        <f>IF($C292="","",IF($N292="","",RANK($N292,$N$4:$N$1463)+COUNTIF($N$4:$N292,$N292)-1))</f>
        <v>520</v>
      </c>
      <c r="AB292" s="41" t="str">
        <f>IF($C292="","",IF($E292="","",$E292&amp;"#"&amp;(COUNTIFS($E$4:$E$1463,$E292,$X$4:$X$1463,"&gt;"&amp;$X292)+COUNTIFS($E$4:$E292,$E292,$X$4:$X292,"="&amp;$X292))))</f>
        <v>TEMPEST#18</v>
      </c>
      <c r="AC292" s="41" t="str">
        <f>IF($C292="","",$B292&amp;"@"&amp;(COUNTIFS($B$4:$B$1463,$B292,$C$4:$C$1463,"&lt;"&amp;$C292)+COUNTIFS($B$4:$B292,$B292,$C$4:$C292,$C292)))</f>
        <v>FUCT@20</v>
      </c>
      <c r="AD292" s="41">
        <f t="shared" si="24"/>
        <v>289</v>
      </c>
      <c r="AE292" s="41" t="s">
        <v>1075</v>
      </c>
      <c r="AF292" s="73">
        <f t="shared" si="25"/>
        <v>63098</v>
      </c>
      <c r="AG292" s="74">
        <f t="shared" si="26"/>
        <v>4.59</v>
      </c>
      <c r="AH292" s="41" t="str">
        <f>IF($C292="","",$B292&amp;"|"&amp;(COUNTIFS($B$4:$B$1463,$B292,$AF$4:$AF$1463,"&gt;"&amp;$AF292)+COUNTIFS($B$4:$B292,$B292,$AF$4:$AF292,"="&amp;$AF292)))</f>
        <v>FUCT|37</v>
      </c>
      <c r="AI292" s="41" t="str">
        <f>IF($C292="","",$B292&amp;"|"&amp;(COUNTIFS($B$4:$B$1463,$B292,$AG$4:$AG$1463,"&gt;"&amp;$AG292)+COUNTIFS($B$4:$B292,$B292,$AG$4:$AG292,"="&amp;$AG292)))</f>
        <v>FUCT|60</v>
      </c>
    </row>
    <row r="293" spans="1:35" hidden="1">
      <c r="A293" s="69" t="s">
        <v>109</v>
      </c>
      <c r="B293" s="69" t="s">
        <v>111</v>
      </c>
      <c r="C293" s="63" t="s">
        <v>1076</v>
      </c>
      <c r="D293" s="69" t="s">
        <v>527</v>
      </c>
      <c r="E293" s="68" t="s">
        <v>79</v>
      </c>
      <c r="F293" s="19" t="str">
        <f>IF($C293="","",IF($E293="","-",IFERROR(INDEX(SETUP!$B$55:$B$64,MATCH($E293,SETUP!$A$55:$A$64,0)),"Other")))</f>
        <v>Control</v>
      </c>
      <c r="G293" s="70">
        <v>61331</v>
      </c>
      <c r="H293" s="19" t="str">
        <f>IF($C293="","",IF($G293="","-",INDEX(SETUP!$B$26:$B$32,MATCH($G293,SETUP!$A$26:$A$32,1))))</f>
        <v>61,000 - 61,999</v>
      </c>
      <c r="I293" s="70">
        <v>5524</v>
      </c>
      <c r="J293" s="19" t="str">
        <f>IF($C293="","",IF($I293="","-",INDEX(SETUP!$B$16:$B$22,MATCH($I293,SETUP!$A$16:$A$22,1))))</f>
        <v>CORE</v>
      </c>
      <c r="K293" s="19" t="str">
        <f>IF($C293="","",IF($I293="","-",TEXT(INT($I293/1000)*1000,"#,##0")&amp;" - "&amp;TEXT(INT($I293/1000)*1000+999,"#,##0")))</f>
        <v>5,000 - 5,999</v>
      </c>
      <c r="L293" s="71">
        <v>6.3</v>
      </c>
      <c r="M293" s="19" t="str">
        <f>IF($C293="","",IF($L293="","-",INDEX(SETUP!$B$36:$B$42,MATCH($L293,SETUP!$A$36:$A$42,1))))</f>
        <v>6k - 8k</v>
      </c>
      <c r="N293" s="21">
        <f>IF($C293="","",IF(OR($G293="",$I293=""),"",ROUND(100*(SETUP!$B$4*MIN(1,$I293/SETUP!$B$9)+SETUP!$B$5*MAX(0,MIN(1,($G293-SETUP!$B$10)/(SETUP!$B$11-SETUP!$B$10)))+SETUP!$B$6*MIN(1,IF($L293="",0,$L293)/SETUP!$B$12)),1)))</f>
        <v>51.3</v>
      </c>
      <c r="O293" s="19" t="str">
        <f>IF($C293="","",IF($N293="","-",INDEX(SETUP!$B$46:$B$51,MATCH($N293,SETUP!$A$46:$A$51,1))))</f>
        <v>A</v>
      </c>
      <c r="P293" s="19">
        <f>IF($C293="","",IF($I293="","",RANK($I293,$I$4:$I$1463)+COUNTIF($I$4:$I293,$I293)-1))</f>
        <v>333</v>
      </c>
      <c r="Q293" s="19">
        <f>IF($C293="","",COUNTIFS($B$4:$B$1463,$B293,$X$4:$X$1463,"&gt;"&amp;$X293)+COUNTIFS($B$4:$B293,$B293,$X$4:$X293,"="&amp;$X293))</f>
        <v>37</v>
      </c>
      <c r="R293" s="75">
        <f>IF($C293="","",IF($I293="","",ROUND(COUNTIF($I$4:$I$1463,"&lt;"&amp;$I293)/COUNT($I$4:$I$1463),3)))</f>
        <v>0.748</v>
      </c>
      <c r="S293" s="19" t="str">
        <f>IF($C293="","",IF($G293="","Name only",IF(OR($I293="",$L293=""),"Partial","Complete")))</f>
        <v>Complete</v>
      </c>
      <c r="T293" s="1" t="str">
        <f>IF($C293="","",TRIM(IF(COUNTIF($C$4:$C$1463,$C293)&gt;1,"Dup name; ","")&amp;IF(AND($G293&lt;&gt;"",$G293&lt;55000),"Low CR - verify; ","")&amp;IF(AND($L293&lt;&gt;"",$L293&gt;15),"Secondary - verify; ","")&amp;IF($E293="","No class; ","")))</f>
        <v>Dup name;</v>
      </c>
      <c r="U293" s="68"/>
      <c r="V293" s="68"/>
      <c r="W293" s="68"/>
      <c r="X293" s="76">
        <f t="shared" si="22"/>
        <v>5524</v>
      </c>
      <c r="Y293" s="1" t="str">
        <f t="shared" si="23"/>
        <v>RECKONING|37</v>
      </c>
      <c r="Z293" s="19">
        <f>IF($C293="","",IF($G293="","",RANK($G293,$G$4:$G$1463)+COUNTIF($G$4:$G293,$G293)-1))</f>
        <v>1053</v>
      </c>
      <c r="AA293" s="19">
        <f>IF($C293="","",IF($N293="","",RANK($N293,$N$4:$N$1463)+COUNTIF($N$4:$N293,$N293)-1))</f>
        <v>410</v>
      </c>
      <c r="AB293" s="1" t="str">
        <f>IF($C293="","",IF($E293="","",$E293&amp;"#"&amp;(COUNTIFS($E$4:$E$1463,$E293,$X$4:$X$1463,"&gt;"&amp;$X293)+COUNTIFS($E$4:$E293,$E293,$X$4:$X293,"="&amp;$X293))))</f>
        <v>WARLOCK#74</v>
      </c>
      <c r="AC293" s="1" t="str">
        <f>IF($C293="","",$B293&amp;"@"&amp;(COUNTIFS($B$4:$B$1463,$B293,$C$4:$C$1463,"&lt;"&amp;$C293)+COUNTIFS($B$4:$B293,$B293,$C$4:$C293,$C293)))</f>
        <v>RECKONING@17</v>
      </c>
      <c r="AD293" s="1">
        <f t="shared" si="24"/>
        <v>290</v>
      </c>
      <c r="AE293" s="1" t="s">
        <v>1077</v>
      </c>
      <c r="AF293" s="76">
        <f t="shared" si="25"/>
        <v>61331</v>
      </c>
      <c r="AG293" s="77">
        <f t="shared" si="26"/>
        <v>6.3</v>
      </c>
      <c r="AH293" s="1" t="str">
        <f>IF($C293="","",$B293&amp;"|"&amp;(COUNTIFS($B$4:$B$1463,$B293,$AF$4:$AF$1463,"&gt;"&amp;$AF293)+COUNTIFS($B$4:$B293,$B293,$AF$4:$AF293,"="&amp;$AF293)))</f>
        <v>RECKONING|87</v>
      </c>
      <c r="AI293" s="1" t="str">
        <f>IF($C293="","",$B293&amp;"|"&amp;(COUNTIFS($B$4:$B$1463,$B293,$AG$4:$AG$1463,"&gt;"&amp;$AG293)+COUNTIFS($B$4:$B293,$B293,$AG$4:$AG293,"="&amp;$AG293)))</f>
        <v>RECKONING|33</v>
      </c>
    </row>
    <row r="294" spans="1:35" hidden="1">
      <c r="A294" s="69" t="s">
        <v>106</v>
      </c>
      <c r="B294" s="69" t="s">
        <v>107</v>
      </c>
      <c r="C294" s="63" t="s">
        <v>1078</v>
      </c>
      <c r="D294" s="69"/>
      <c r="E294" s="68" t="s">
        <v>79</v>
      </c>
      <c r="F294" s="15" t="str">
        <f>IF($C294="","",IF($E294="","-",IFERROR(INDEX(SETUP!$B$55:$B$64,MATCH($E294,SETUP!$A$55:$A$64,0)),"Other")))</f>
        <v>Control</v>
      </c>
      <c r="G294" s="70">
        <v>63501</v>
      </c>
      <c r="H294" s="15" t="str">
        <f>IF($C294="","",IF($G294="","-",INDEX(SETUP!$B$26:$B$32,MATCH($G294,SETUP!$A$26:$A$32,1))))</f>
        <v>63,000 - 63,999</v>
      </c>
      <c r="I294" s="70">
        <v>8226</v>
      </c>
      <c r="J294" s="15" t="str">
        <f>IF($C294="","",IF($I294="","-",INDEX(SETUP!$B$16:$B$22,MATCH($I294,SETUP!$A$16:$A$22,1))))</f>
        <v>ELITE</v>
      </c>
      <c r="K294" s="15" t="str">
        <f>IF($C294="","",IF($I294="","-",TEXT(INT($I294/1000)*1000,"#,##0")&amp;" - "&amp;TEXT(INT($I294/1000)*1000+999,"#,##0")))</f>
        <v>8,000 - 8,999</v>
      </c>
      <c r="L294" s="71">
        <v>8.1999999999999993</v>
      </c>
      <c r="M294" s="15" t="str">
        <f>IF($C294="","",IF($L294="","-",INDEX(SETUP!$B$36:$B$42,MATCH($L294,SETUP!$A$36:$A$42,1))))</f>
        <v>8k - 10k</v>
      </c>
      <c r="N294" s="17">
        <f>IF($C294="","",IF(OR($G294="",$I294=""),"",ROUND(100*(SETUP!$B$4*MIN(1,$I294/SETUP!$B$9)+SETUP!$B$5*MAX(0,MIN(1,($G294-SETUP!$B$10)/(SETUP!$B$11-SETUP!$B$10)))+SETUP!$B$6*MIN(1,IF($L294="",0,$L294)/SETUP!$B$12)),1)))</f>
        <v>71.900000000000006</v>
      </c>
      <c r="O294" s="15" t="str">
        <f>IF($C294="","",IF($N294="","-",INDEX(SETUP!$B$46:$B$51,MATCH($N294,SETUP!$A$46:$A$51,1))))</f>
        <v>S</v>
      </c>
      <c r="P294" s="15">
        <f>IF($C294="","",IF($I294="","",RANK($I294,$I$4:$I$1463)+COUNTIF($I$4:$I294,$I294)-1))</f>
        <v>135</v>
      </c>
      <c r="Q294" s="15">
        <f>IF($C294="","",COUNTIFS($B$4:$B$1463,$B294,$X$4:$X$1463,"&gt;"&amp;$X294)+COUNTIFS($B$4:$B294,$B294,$X$4:$X294,"="&amp;$X294))</f>
        <v>7</v>
      </c>
      <c r="R294" s="72">
        <f>IF($C294="","",IF($I294="","",ROUND(COUNTIF($I$4:$I$1463,"&lt;"&amp;$I294)/COUNT($I$4:$I$1463),3)))</f>
        <v>0.89800000000000002</v>
      </c>
      <c r="S294" s="15" t="str">
        <f>IF($C294="","",IF($G294="","Name only",IF(OR($I294="",$L294=""),"Partial","Complete")))</f>
        <v>Complete</v>
      </c>
      <c r="T294" s="41" t="str">
        <f>IF($C294="","",TRIM(IF(COUNTIF($C$4:$C$1463,$C294)&gt;1,"Dup name; ","")&amp;IF(AND($G294&lt;&gt;"",$G294&lt;55000),"Low CR - verify; ","")&amp;IF(AND($L294&lt;&gt;"",$L294&gt;15),"Secondary - verify; ","")&amp;IF($E294="","No class; ","")))</f>
        <v/>
      </c>
      <c r="U294" s="68"/>
      <c r="V294" s="68"/>
      <c r="W294" s="68"/>
      <c r="X294" s="73">
        <f t="shared" si="22"/>
        <v>8226</v>
      </c>
      <c r="Y294" s="41" t="str">
        <f t="shared" si="23"/>
        <v>UNDYING|7</v>
      </c>
      <c r="Z294" s="15">
        <f>IF($C294="","",IF($G294="","",RANK($G294,$G$4:$G$1463)+COUNTIF($G$4:$G294,$G294)-1))</f>
        <v>192</v>
      </c>
      <c r="AA294" s="15">
        <f>IF($C294="","",IF($N294="","",RANK($N294,$N$4:$N$1463)+COUNTIF($N$4:$N294,$N294)-1))</f>
        <v>114</v>
      </c>
      <c r="AB294" s="41" t="str">
        <f>IF($C294="","",IF($E294="","",$E294&amp;"#"&amp;(COUNTIFS($E$4:$E$1463,$E294,$X$4:$X$1463,"&gt;"&amp;$X294)+COUNTIFS($E$4:$E294,$E294,$X$4:$X294,"="&amp;$X294))))</f>
        <v>WARLOCK#30</v>
      </c>
      <c r="AC294" s="41" t="str">
        <f>IF($C294="","",$B294&amp;"@"&amp;(COUNTIFS($B$4:$B$1463,$B294,$C$4:$C$1463,"&lt;"&amp;$C294)+COUNTIFS($B$4:$B294,$B294,$C$4:$C294,$C294)))</f>
        <v>UNDYING@32</v>
      </c>
      <c r="AD294" s="41">
        <f t="shared" si="24"/>
        <v>291</v>
      </c>
      <c r="AE294" s="41" t="s">
        <v>1079</v>
      </c>
      <c r="AF294" s="73">
        <f t="shared" si="25"/>
        <v>63501</v>
      </c>
      <c r="AG294" s="74">
        <f t="shared" si="26"/>
        <v>8.1999999999999993</v>
      </c>
      <c r="AH294" s="41" t="str">
        <f>IF($C294="","",$B294&amp;"|"&amp;(COUNTIFS($B$4:$B$1463,$B294,$AF$4:$AF$1463,"&gt;"&amp;$AF294)+COUNTIFS($B$4:$B294,$B294,$AF$4:$AF294,"="&amp;$AF294)))</f>
        <v>UNDYING|10</v>
      </c>
      <c r="AI294" s="41" t="str">
        <f>IF($C294="","",$B294&amp;"|"&amp;(COUNTIFS($B$4:$B$1463,$B294,$AG$4:$AG$1463,"&gt;"&amp;$AG294)+COUNTIFS($B$4:$B294,$B294,$AG$4:$AG294,"="&amp;$AG294)))</f>
        <v>UNDYING|5</v>
      </c>
    </row>
    <row r="295" spans="1:35" hidden="1">
      <c r="A295" s="69" t="s">
        <v>109</v>
      </c>
      <c r="B295" s="69" t="s">
        <v>116</v>
      </c>
      <c r="C295" s="63" t="s">
        <v>1080</v>
      </c>
      <c r="D295" s="69" t="s">
        <v>530</v>
      </c>
      <c r="E295" s="68" t="s">
        <v>79</v>
      </c>
      <c r="F295" s="19" t="str">
        <f>IF($C295="","",IF($E295="","-",IFERROR(INDEX(SETUP!$B$55:$B$64,MATCH($E295,SETUP!$A$55:$A$64,0)),"Other")))</f>
        <v>Control</v>
      </c>
      <c r="G295" s="70">
        <v>58462</v>
      </c>
      <c r="H295" s="19" t="str">
        <f>IF($C295="","",IF($G295="","-",INDEX(SETUP!$B$26:$B$32,MATCH($G295,SETUP!$A$26:$A$32,1))))</f>
        <v>58,000 - 59,999</v>
      </c>
      <c r="I295" s="70">
        <v>2981</v>
      </c>
      <c r="J295" s="19" t="str">
        <f>IF($C295="","",IF($I295="","-",INDEX(SETUP!$B$16:$B$22,MATCH($I295,SETUP!$A$16:$A$22,1))))</f>
        <v>DEVELOPING</v>
      </c>
      <c r="K295" s="19" t="str">
        <f>IF($C295="","",IF($I295="","-",TEXT(INT($I295/1000)*1000,"#,##0")&amp;" - "&amp;TEXT(INT($I295/1000)*1000+999,"#,##0")))</f>
        <v>2,000 - 2,999</v>
      </c>
      <c r="L295" s="71">
        <v>4</v>
      </c>
      <c r="M295" s="19" t="str">
        <f>IF($C295="","",IF($L295="","-",INDEX(SETUP!$B$36:$B$42,MATCH($L295,SETUP!$A$36:$A$42,1))))</f>
        <v>4k - 5k</v>
      </c>
      <c r="N295" s="21">
        <f>IF($C295="","",IF(OR($G295="",$I295=""),"",ROUND(100*(SETUP!$B$4*MIN(1,$I295/SETUP!$B$9)+SETUP!$B$5*MAX(0,MIN(1,($G295-SETUP!$B$10)/(SETUP!$B$11-SETUP!$B$10)))+SETUP!$B$6*MIN(1,IF($L295="",0,$L295)/SETUP!$B$12)),1)))</f>
        <v>28.8</v>
      </c>
      <c r="O295" s="19" t="str">
        <f>IF($C295="","",IF($N295="","-",INDEX(SETUP!$B$46:$B$51,MATCH($N295,SETUP!$A$46:$A$51,1))))</f>
        <v>C</v>
      </c>
      <c r="P295" s="19">
        <f>IF($C295="","",IF($I295="","",RANK($I295,$I$4:$I$1463)+COUNTIF($I$4:$I295,$I295)-1))</f>
        <v>889</v>
      </c>
      <c r="Q295" s="19">
        <f>IF($C295="","",COUNTIFS($B$4:$B$1463,$B295,$X$4:$X$1463,"&gt;"&amp;$X295)+COUNTIFS($B$4:$B295,$B295,$X$4:$X295,"="&amp;$X295))</f>
        <v>58</v>
      </c>
      <c r="R295" s="75">
        <f>IF($C295="","",IF($I295="","",ROUND(COUNTIF($I$4:$I$1463,"&lt;"&amp;$I295)/COUNT($I$4:$I$1463),3)))</f>
        <v>0.32900000000000001</v>
      </c>
      <c r="S295" s="19" t="str">
        <f>IF($C295="","",IF($G295="","Name only",IF(OR($I295="",$L295=""),"Partial","Complete")))</f>
        <v>Complete</v>
      </c>
      <c r="T295" s="1" t="str">
        <f>IF($C295="","",TRIM(IF(COUNTIF($C$4:$C$1463,$C295)&gt;1,"Dup name; ","")&amp;IF(AND($G295&lt;&gt;"",$G295&lt;55000),"Low CR - verify; ","")&amp;IF(AND($L295&lt;&gt;"",$L295&gt;15),"Secondary - verify; ","")&amp;IF($E295="","No class; ","")))</f>
        <v/>
      </c>
      <c r="U295" s="68"/>
      <c r="V295" s="68"/>
      <c r="W295" s="68"/>
      <c r="X295" s="76">
        <f t="shared" si="22"/>
        <v>2981</v>
      </c>
      <c r="Y295" s="1" t="str">
        <f t="shared" si="23"/>
        <v>VENGEANCE|58</v>
      </c>
      <c r="Z295" s="19">
        <f>IF($C295="","",IF($G295="","",RANK($G295,$G$4:$G$1463)+COUNTIF($G$4:$G295,$G295)-1))</f>
        <v>1289</v>
      </c>
      <c r="AA295" s="19">
        <f>IF($C295="","",IF($N295="","",RANK($N295,$N$4:$N$1463)+COUNTIF($N$4:$N295,$N295)-1))</f>
        <v>1174</v>
      </c>
      <c r="AB295" s="1" t="str">
        <f>IF($C295="","",IF($E295="","",$E295&amp;"#"&amp;(COUNTIFS($E$4:$E$1463,$E295,$X$4:$X$1463,"&gt;"&amp;$X295)+COUNTIFS($E$4:$E295,$E295,$X$4:$X295,"="&amp;$X295))))</f>
        <v>WARLOCK#221</v>
      </c>
      <c r="AC295" s="1" t="str">
        <f>IF($C295="","",$B295&amp;"@"&amp;(COUNTIFS($B$4:$B$1463,$B295,$C$4:$C$1463,"&lt;"&amp;$C295)+COUNTIFS($B$4:$B295,$B295,$C$4:$C295,$C295)))</f>
        <v>VENGEANCE@21</v>
      </c>
      <c r="AD295" s="1">
        <f t="shared" si="24"/>
        <v>292</v>
      </c>
      <c r="AE295" s="1" t="s">
        <v>1081</v>
      </c>
      <c r="AF295" s="76">
        <f t="shared" si="25"/>
        <v>58462</v>
      </c>
      <c r="AG295" s="77">
        <f t="shared" si="26"/>
        <v>4</v>
      </c>
      <c r="AH295" s="1" t="str">
        <f>IF($C295="","",$B295&amp;"|"&amp;(COUNTIFS($B$4:$B$1463,$B295,$AF$4:$AF$1463,"&gt;"&amp;$AF295)+COUNTIFS($B$4:$B295,$B295,$AF$4:$AF295,"="&amp;$AF295)))</f>
        <v>VENGEANCE|93</v>
      </c>
      <c r="AI295" s="1" t="str">
        <f>IF($C295="","",$B295&amp;"|"&amp;(COUNTIFS($B$4:$B$1463,$B295,$AG$4:$AG$1463,"&gt;"&amp;$AG295)+COUNTIFS($B$4:$B295,$B295,$AG$4:$AG295,"="&amp;$AG295)))</f>
        <v>VENGEANCE|65</v>
      </c>
    </row>
    <row r="296" spans="1:35" hidden="1">
      <c r="A296" s="69" t="s">
        <v>106</v>
      </c>
      <c r="B296" s="69" t="s">
        <v>86</v>
      </c>
      <c r="C296" s="63" t="s">
        <v>1082</v>
      </c>
      <c r="D296" s="69"/>
      <c r="E296" s="68" t="s">
        <v>71</v>
      </c>
      <c r="F296" s="15" t="str">
        <f>IF($C296="","",IF($E296="","-",IFERROR(INDEX(SETUP!$B$55:$B$64,MATCH($E296,SETUP!$A$55:$A$64,0)),"Other")))</f>
        <v>Frontline</v>
      </c>
      <c r="G296" s="70">
        <v>64343</v>
      </c>
      <c r="H296" s="15" t="str">
        <f>IF($C296="","",IF($G296="","-",INDEX(SETUP!$B$26:$B$32,MATCH($G296,SETUP!$A$26:$A$32,1))))</f>
        <v>64,000 +</v>
      </c>
      <c r="I296" s="70">
        <v>10306</v>
      </c>
      <c r="J296" s="15" t="str">
        <f>IF($C296="","",IF($I296="","-",INDEX(SETUP!$B$16:$B$22,MATCH($I296,SETUP!$A$16:$A$22,1))))</f>
        <v>APEX</v>
      </c>
      <c r="K296" s="15" t="str">
        <f>IF($C296="","",IF($I296="","-",TEXT(INT($I296/1000)*1000,"#,##0")&amp;" - "&amp;TEXT(INT($I296/1000)*1000+999,"#,##0")))</f>
        <v>10,000 - 10,999</v>
      </c>
      <c r="L296" s="71">
        <v>12.25</v>
      </c>
      <c r="M296" s="15" t="str">
        <f>IF($C296="","",IF($L296="","-",INDEX(SETUP!$B$36:$B$42,MATCH($L296,SETUP!$A$36:$A$42,1))))</f>
        <v>10k +</v>
      </c>
      <c r="N296" s="17">
        <f>IF($C296="","",IF(OR($G296="",$I296=""),"",ROUND(100*(SETUP!$B$4*MIN(1,$I296/SETUP!$B$9)+SETUP!$B$5*MAX(0,MIN(1,($G296-SETUP!$B$10)/(SETUP!$B$11-SETUP!$B$10)))+SETUP!$B$6*MIN(1,IF($L296="",0,$L296)/SETUP!$B$12)),1)))</f>
        <v>89.6</v>
      </c>
      <c r="O296" s="15" t="str">
        <f>IF($C296="","",IF($N296="","-",INDEX(SETUP!$B$46:$B$51,MATCH($N296,SETUP!$A$46:$A$51,1))))</f>
        <v>S+</v>
      </c>
      <c r="P296" s="15">
        <f>IF($C296="","",IF($I296="","",RANK($I296,$I$4:$I$1463)+COUNTIF($I$4:$I296,$I296)-1))</f>
        <v>34</v>
      </c>
      <c r="Q296" s="15">
        <f>IF($C296="","",COUNTIFS($B$4:$B$1463,$B296,$X$4:$X$1463,"&gt;"&amp;$X296)+COUNTIFS($B$4:$B296,$B296,$X$4:$X296,"="&amp;$X296))</f>
        <v>3</v>
      </c>
      <c r="R296" s="72">
        <f>IF($C296="","",IF($I296="","",ROUND(COUNTIF($I$4:$I$1463,"&lt;"&amp;$I296)/COUNT($I$4:$I$1463),3)))</f>
        <v>0.97399999999999998</v>
      </c>
      <c r="S296" s="15" t="str">
        <f>IF($C296="","",IF($G296="","Name only",IF(OR($I296="",$L296=""),"Partial","Complete")))</f>
        <v>Complete</v>
      </c>
      <c r="T296" s="41" t="str">
        <f>IF($C296="","",TRIM(IF(COUNTIF($C$4:$C$1463,$C296)&gt;1,"Dup name; ","")&amp;IF(AND($G296&lt;&gt;"",$G296&lt;55000),"Low CR - verify; ","")&amp;IF(AND($L296&lt;&gt;"",$L296&gt;15),"Secondary - verify; ","")&amp;IF($E296="","No class; ","")))</f>
        <v/>
      </c>
      <c r="U296" s="68"/>
      <c r="V296" s="68"/>
      <c r="W296" s="68"/>
      <c r="X296" s="73">
        <f t="shared" si="22"/>
        <v>10306</v>
      </c>
      <c r="Y296" s="41" t="str">
        <f t="shared" si="23"/>
        <v>VANGUARD|3</v>
      </c>
      <c r="Z296" s="15">
        <f>IF($C296="","",IF($G296="","",RANK($G296,$G$4:$G$1463)+COUNTIF($G$4:$G296,$G296)-1))</f>
        <v>18</v>
      </c>
      <c r="AA296" s="15">
        <f>IF($C296="","",IF($N296="","",RANK($N296,$N$4:$N$1463)+COUNTIF($N$4:$N296,$N296)-1))</f>
        <v>10</v>
      </c>
      <c r="AB296" s="41" t="str">
        <f>IF($C296="","",IF($E296="","",$E296&amp;"#"&amp;(COUNTIFS($E$4:$E$1463,$E296,$X$4:$X$1463,"&gt;"&amp;$X296)+COUNTIFS($E$4:$E296,$E296,$X$4:$X296,"="&amp;$X296))))</f>
        <v>BARBARIAN#7</v>
      </c>
      <c r="AC296" s="41" t="str">
        <f>IF($C296="","",$B296&amp;"@"&amp;(COUNTIFS($B$4:$B$1463,$B296,$C$4:$C$1463,"&lt;"&amp;$C296)+COUNTIFS($B$4:$B296,$B296,$C$4:$C296,$C296)))</f>
        <v>VANGUARD@28</v>
      </c>
      <c r="AD296" s="41">
        <f t="shared" si="24"/>
        <v>293</v>
      </c>
      <c r="AE296" s="41" t="s">
        <v>1083</v>
      </c>
      <c r="AF296" s="73">
        <f t="shared" si="25"/>
        <v>64343</v>
      </c>
      <c r="AG296" s="74">
        <f t="shared" si="26"/>
        <v>12.25</v>
      </c>
      <c r="AH296" s="41" t="str">
        <f>IF($C296="","",$B296&amp;"|"&amp;(COUNTIFS($B$4:$B$1463,$B296,$AF$4:$AF$1463,"&gt;"&amp;$AF296)+COUNTIFS($B$4:$B296,$B296,$AF$4:$AF296,"="&amp;$AF296)))</f>
        <v>VANGUARD|4</v>
      </c>
      <c r="AI296" s="41" t="str">
        <f>IF($C296="","",$B296&amp;"|"&amp;(COUNTIFS($B$4:$B$1463,$B296,$AG$4:$AG$1463,"&gt;"&amp;$AG296)+COUNTIFS($B$4:$B296,$B296,$AG$4:$AG296,"="&amp;$AG296)))</f>
        <v>VANGUARD|1</v>
      </c>
    </row>
    <row r="297" spans="1:35" hidden="1">
      <c r="A297" s="69" t="s">
        <v>109</v>
      </c>
      <c r="B297" s="69" t="s">
        <v>117</v>
      </c>
      <c r="C297" s="63" t="s">
        <v>1084</v>
      </c>
      <c r="D297" s="69"/>
      <c r="E297" s="68" t="s">
        <v>77</v>
      </c>
      <c r="F297" s="19" t="str">
        <f>IF($C297="","",IF($E297="","-",IFERROR(INDEX(SETUP!$B$55:$B$64,MATCH($E297,SETUP!$A$55:$A$64,0)),"Other")))</f>
        <v>Control</v>
      </c>
      <c r="G297" s="70">
        <v>61845</v>
      </c>
      <c r="H297" s="19" t="str">
        <f>IF($C297="","",IF($G297="","-",INDEX(SETUP!$B$26:$B$32,MATCH($G297,SETUP!$A$26:$A$32,1))))</f>
        <v>61,000 - 61,999</v>
      </c>
      <c r="I297" s="70">
        <v>860</v>
      </c>
      <c r="J297" s="19" t="str">
        <f>IF($C297="","",IF($I297="","-",INDEX(SETUP!$B$16:$B$22,MATCH($I297,SETUP!$A$16:$A$22,1))))</f>
        <v>ROOKIE</v>
      </c>
      <c r="K297" s="19" t="str">
        <f>IF($C297="","",IF($I297="","-",TEXT(INT($I297/1000)*1000,"#,##0")&amp;" - "&amp;TEXT(INT($I297/1000)*1000+999,"#,##0")))</f>
        <v>0 - 999</v>
      </c>
      <c r="L297" s="71">
        <v>3.1</v>
      </c>
      <c r="M297" s="19" t="str">
        <f>IF($C297="","",IF($L297="","-",INDEX(SETUP!$B$36:$B$42,MATCH($L297,SETUP!$A$36:$A$42,1))))</f>
        <v>3k - 4k</v>
      </c>
      <c r="N297" s="21">
        <f>IF($C297="","",IF(OR($G297="",$I297=""),"",ROUND(100*(SETUP!$B$4*MIN(1,$I297/SETUP!$B$9)+SETUP!$B$5*MAX(0,MIN(1,($G297-SETUP!$B$10)/(SETUP!$B$11-SETUP!$B$10)))+SETUP!$B$6*MIN(1,IF($L297="",0,$L297)/SETUP!$B$12)),1)))</f>
        <v>26.9</v>
      </c>
      <c r="O297" s="19" t="str">
        <f>IF($C297="","",IF($N297="","-",INDEX(SETUP!$B$46:$B$51,MATCH($N297,SETUP!$A$46:$A$51,1))))</f>
        <v>C</v>
      </c>
      <c r="P297" s="19">
        <f>IF($C297="","",IF($I297="","",RANK($I297,$I$4:$I$1463)+COUNTIF($I$4:$I297,$I297)-1))</f>
        <v>1288</v>
      </c>
      <c r="Q297" s="19">
        <f>IF($C297="","",COUNTIFS($B$4:$B$1463,$B297,$X$4:$X$1463,"&gt;"&amp;$X297)+COUNTIFS($B$4:$B297,$B297,$X$4:$X297,"="&amp;$X297))</f>
        <v>88</v>
      </c>
      <c r="R297" s="75">
        <f>IF($C297="","",IF($I297="","",ROUND(COUNTIF($I$4:$I$1463,"&lt;"&amp;$I297)/COUNT($I$4:$I$1463),3)))</f>
        <v>2.7E-2</v>
      </c>
      <c r="S297" s="19" t="str">
        <f>IF($C297="","",IF($G297="","Name only",IF(OR($I297="",$L297=""),"Partial","Complete")))</f>
        <v>Complete</v>
      </c>
      <c r="T297" s="1" t="str">
        <f>IF($C297="","",TRIM(IF(COUNTIF($C$4:$C$1463,$C297)&gt;1,"Dup name; ","")&amp;IF(AND($G297&lt;&gt;"",$G297&lt;55000),"Low CR - verify; ","")&amp;IF(AND($L297&lt;&gt;"",$L297&gt;15),"Secondary - verify; ","")&amp;IF($E297="","No class; ","")))</f>
        <v/>
      </c>
      <c r="U297" s="68"/>
      <c r="V297" s="68"/>
      <c r="W297" s="68"/>
      <c r="X297" s="76">
        <f t="shared" si="22"/>
        <v>860</v>
      </c>
      <c r="Y297" s="1" t="str">
        <f t="shared" si="23"/>
        <v>VENDETTA|88</v>
      </c>
      <c r="Z297" s="19">
        <f>IF($C297="","",IF($G297="","",RANK($G297,$G$4:$G$1463)+COUNTIF($G$4:$G297,$G297)-1))</f>
        <v>898</v>
      </c>
      <c r="AA297" s="19">
        <f>IF($C297="","",IF($N297="","",RANK($N297,$N$4:$N$1463)+COUNTIF($N$4:$N297,$N297)-1))</f>
        <v>1212</v>
      </c>
      <c r="AB297" s="1" t="str">
        <f>IF($C297="","",IF($E297="","",$E297&amp;"#"&amp;(COUNTIFS($E$4:$E$1463,$E297,$X$4:$X$1463,"&gt;"&amp;$X297)+COUNTIFS($E$4:$E297,$E297,$X$4:$X297,"="&amp;$X297))))</f>
        <v>NECROMANCER#100</v>
      </c>
      <c r="AC297" s="1" t="str">
        <f>IF($C297="","",$B297&amp;"@"&amp;(COUNTIFS($B$4:$B$1463,$B297,$C$4:$C$1463,"&lt;"&amp;$C297)+COUNTIFS($B$4:$B297,$B297,$C$4:$C297,$C297)))</f>
        <v>VENDETTA@22</v>
      </c>
      <c r="AD297" s="1">
        <f t="shared" si="24"/>
        <v>294</v>
      </c>
      <c r="AE297" s="1" t="s">
        <v>1006</v>
      </c>
      <c r="AF297" s="76">
        <f t="shared" si="25"/>
        <v>61845</v>
      </c>
      <c r="AG297" s="77">
        <f t="shared" si="26"/>
        <v>3.1</v>
      </c>
      <c r="AH297" s="1" t="str">
        <f>IF($C297="","",$B297&amp;"|"&amp;(COUNTIFS($B$4:$B$1463,$B297,$AF$4:$AF$1463,"&gt;"&amp;$AF297)+COUNTIFS($B$4:$B297,$B297,$AF$4:$AF297,"="&amp;$AF297)))</f>
        <v>VENDETTA|43</v>
      </c>
      <c r="AI297" s="1" t="str">
        <f>IF($C297="","",$B297&amp;"|"&amp;(COUNTIFS($B$4:$B$1463,$B297,$AG$4:$AG$1463,"&gt;"&amp;$AG297)+COUNTIFS($B$4:$B297,$B297,$AG$4:$AG297,"="&amp;$AG297)))</f>
        <v>VENDETTA|73</v>
      </c>
    </row>
    <row r="298" spans="1:35" hidden="1">
      <c r="A298" s="69" t="s">
        <v>109</v>
      </c>
      <c r="B298" s="69" t="s">
        <v>111</v>
      </c>
      <c r="C298" s="63" t="s">
        <v>1085</v>
      </c>
      <c r="D298" s="69" t="s">
        <v>527</v>
      </c>
      <c r="E298" s="68" t="s">
        <v>75</v>
      </c>
      <c r="F298" s="15" t="str">
        <f>IF($C298="","",IF($E298="","-",IFERROR(INDEX(SETUP!$B$55:$B$64,MATCH($E298,SETUP!$A$55:$A$64,0)),"Other")))</f>
        <v>Support</v>
      </c>
      <c r="G298" s="70">
        <v>61124</v>
      </c>
      <c r="H298" s="15" t="str">
        <f>IF($C298="","",IF($G298="","-",INDEX(SETUP!$B$26:$B$32,MATCH($G298,SETUP!$A$26:$A$32,1))))</f>
        <v>61,000 - 61,999</v>
      </c>
      <c r="I298" s="70">
        <v>2015</v>
      </c>
      <c r="J298" s="15" t="str">
        <f>IF($C298="","",IF($I298="","-",INDEX(SETUP!$B$16:$B$22,MATCH($I298,SETUP!$A$16:$A$22,1))))</f>
        <v>DEVELOPING</v>
      </c>
      <c r="K298" s="15" t="str">
        <f>IF($C298="","",IF($I298="","-",TEXT(INT($I298/1000)*1000,"#,##0")&amp;" - "&amp;TEXT(INT($I298/1000)*1000+999,"#,##0")))</f>
        <v>2,000 - 2,999</v>
      </c>
      <c r="L298" s="71">
        <v>3</v>
      </c>
      <c r="M298" s="15" t="str">
        <f>IF($C298="","",IF($L298="","-",INDEX(SETUP!$B$36:$B$42,MATCH($L298,SETUP!$A$36:$A$42,1))))</f>
        <v>3k - 4k</v>
      </c>
      <c r="N298" s="17">
        <f>IF($C298="","",IF(OR($G298="",$I298=""),"",ROUND(100*(SETUP!$B$4*MIN(1,$I298/SETUP!$B$9)+SETUP!$B$5*MAX(0,MIN(1,($G298-SETUP!$B$10)/(SETUP!$B$11-SETUP!$B$10)))+SETUP!$B$6*MIN(1,IF($L298="",0,$L298)/SETUP!$B$12)),1)))</f>
        <v>29.9</v>
      </c>
      <c r="O298" s="15" t="str">
        <f>IF($C298="","",IF($N298="","-",INDEX(SETUP!$B$46:$B$51,MATCH($N298,SETUP!$A$46:$A$51,1))))</f>
        <v>C</v>
      </c>
      <c r="P298" s="15">
        <f>IF($C298="","",IF($I298="","",RANK($I298,$I$4:$I$1463)+COUNTIF($I$4:$I298,$I298)-1))</f>
        <v>1114</v>
      </c>
      <c r="Q298" s="15">
        <f>IF($C298="","",COUNTIFS($B$4:$B$1463,$B298,$X$4:$X$1463,"&gt;"&amp;$X298)+COUNTIFS($B$4:$B298,$B298,$X$4:$X298,"="&amp;$X298))</f>
        <v>95</v>
      </c>
      <c r="R298" s="72">
        <f>IF($C298="","",IF($I298="","",ROUND(COUNTIF($I$4:$I$1463,"&lt;"&amp;$I298)/COUNT($I$4:$I$1463),3)))</f>
        <v>0.158</v>
      </c>
      <c r="S298" s="15" t="str">
        <f>IF($C298="","",IF($G298="","Name only",IF(OR($I298="",$L298=""),"Partial","Complete")))</f>
        <v>Complete</v>
      </c>
      <c r="T298" s="41" t="str">
        <f>IF($C298="","",TRIM(IF(COUNTIF($C$4:$C$1463,$C298)&gt;1,"Dup name; ","")&amp;IF(AND($G298&lt;&gt;"",$G298&lt;55000),"Low CR - verify; ","")&amp;IF(AND($L298&lt;&gt;"",$L298&gt;15),"Secondary - verify; ","")&amp;IF($E298="","No class; ","")))</f>
        <v/>
      </c>
      <c r="U298" s="68"/>
      <c r="V298" s="68"/>
      <c r="W298" s="68"/>
      <c r="X298" s="73">
        <f t="shared" si="22"/>
        <v>2015</v>
      </c>
      <c r="Y298" s="41" t="str">
        <f t="shared" si="23"/>
        <v>RECKONING|95</v>
      </c>
      <c r="Z298" s="15">
        <f>IF($C298="","",IF($G298="","",RANK($G298,$G$4:$G$1463)+COUNTIF($G$4:$G298,$G298)-1))</f>
        <v>1112</v>
      </c>
      <c r="AA298" s="15">
        <f>IF($C298="","",IF($N298="","",RANK($N298,$N$4:$N$1463)+COUNTIF($N$4:$N298,$N298)-1))</f>
        <v>1149</v>
      </c>
      <c r="AB298" s="41" t="str">
        <f>IF($C298="","",IF($E298="","",$E298&amp;"#"&amp;(COUNTIFS($E$4:$E$1463,$E298,$X$4:$X$1463,"&gt;"&amp;$X298)+COUNTIFS($E$4:$E298,$E298,$X$4:$X298,"="&amp;$X298))))</f>
        <v>DRUID#51</v>
      </c>
      <c r="AC298" s="41" t="str">
        <f>IF($C298="","",$B298&amp;"@"&amp;(COUNTIFS($B$4:$B$1463,$B298,$C$4:$C$1463,"&lt;"&amp;$C298)+COUNTIFS($B$4:$B298,$B298,$C$4:$C298,$C298)))</f>
        <v>RECKONING@18</v>
      </c>
      <c r="AD298" s="41">
        <f t="shared" si="24"/>
        <v>295</v>
      </c>
      <c r="AE298" s="41" t="s">
        <v>611</v>
      </c>
      <c r="AF298" s="73">
        <f t="shared" si="25"/>
        <v>61124</v>
      </c>
      <c r="AG298" s="74">
        <f t="shared" si="26"/>
        <v>3</v>
      </c>
      <c r="AH298" s="41" t="str">
        <f>IF($C298="","",$B298&amp;"|"&amp;(COUNTIFS($B$4:$B$1463,$B298,$AF$4:$AF$1463,"&gt;"&amp;$AF298)+COUNTIFS($B$4:$B298,$B298,$AF$4:$AF298,"="&amp;$AF298)))</f>
        <v>RECKONING|93</v>
      </c>
      <c r="AI298" s="41" t="str">
        <f>IF($C298="","",$B298&amp;"|"&amp;(COUNTIFS($B$4:$B$1463,$B298,$AG$4:$AG$1463,"&gt;"&amp;$AG298)+COUNTIFS($B$4:$B298,$B298,$AG$4:$AG298,"="&amp;$AG298)))</f>
        <v>RECKONING|96</v>
      </c>
    </row>
    <row r="299" spans="1:35" hidden="1">
      <c r="A299" s="69" t="s">
        <v>109</v>
      </c>
      <c r="B299" s="69" t="s">
        <v>112</v>
      </c>
      <c r="C299" s="63" t="s">
        <v>1086</v>
      </c>
      <c r="D299" s="69" t="s">
        <v>567</v>
      </c>
      <c r="E299" s="68" t="s">
        <v>76</v>
      </c>
      <c r="F299" s="19" t="str">
        <f>IF($C299="","",IF($E299="","-",IFERROR(INDEX(SETUP!$B$55:$B$64,MATCH($E299,SETUP!$A$55:$A$64,0)),"Other")))</f>
        <v>Support</v>
      </c>
      <c r="G299" s="70">
        <v>62268</v>
      </c>
      <c r="H299" s="19" t="str">
        <f>IF($C299="","",IF($G299="","-",INDEX(SETUP!$B$26:$B$32,MATCH($G299,SETUP!$A$26:$A$32,1))))</f>
        <v>62,000 - 62,999</v>
      </c>
      <c r="I299" s="70">
        <v>4897</v>
      </c>
      <c r="J299" s="19" t="str">
        <f>IF($C299="","",IF($I299="","-",INDEX(SETUP!$B$16:$B$22,MATCH($I299,SETUP!$A$16:$A$22,1))))</f>
        <v>CORE</v>
      </c>
      <c r="K299" s="19" t="str">
        <f>IF($C299="","",IF($I299="","-",TEXT(INT($I299/1000)*1000,"#,##0")&amp;" - "&amp;TEXT(INT($I299/1000)*1000+999,"#,##0")))</f>
        <v>4,000 - 4,999</v>
      </c>
      <c r="L299" s="71">
        <v>5</v>
      </c>
      <c r="M299" s="19" t="str">
        <f>IF($C299="","",IF($L299="","-",INDEX(SETUP!$B$36:$B$42,MATCH($L299,SETUP!$A$36:$A$42,1))))</f>
        <v>5k - 6k</v>
      </c>
      <c r="N299" s="21">
        <f>IF($C299="","",IF(OR($G299="",$I299=""),"",ROUND(100*(SETUP!$B$4*MIN(1,$I299/SETUP!$B$9)+SETUP!$B$5*MAX(0,MIN(1,($G299-SETUP!$B$10)/(SETUP!$B$11-SETUP!$B$10)))+SETUP!$B$6*MIN(1,IF($L299="",0,$L299)/SETUP!$B$12)),1)))</f>
        <v>48.8</v>
      </c>
      <c r="O299" s="19" t="str">
        <f>IF($C299="","",IF($N299="","-",INDEX(SETUP!$B$46:$B$51,MATCH($N299,SETUP!$A$46:$A$51,1))))</f>
        <v>B</v>
      </c>
      <c r="P299" s="19">
        <f>IF($C299="","",IF($I299="","",RANK($I299,$I$4:$I$1463)+COUNTIF($I$4:$I299,$I299)-1))</f>
        <v>429</v>
      </c>
      <c r="Q299" s="19">
        <f>IF($C299="","",COUNTIFS($B$4:$B$1463,$B299,$X$4:$X$1463,"&gt;"&amp;$X299)+COUNTIFS($B$4:$B299,$B299,$X$4:$X299,"="&amp;$X299))</f>
        <v>28</v>
      </c>
      <c r="R299" s="75">
        <f>IF($C299="","",IF($I299="","",ROUND(COUNTIF($I$4:$I$1463,"&lt;"&amp;$I299)/COUNT($I$4:$I$1463),3)))</f>
        <v>0.67600000000000005</v>
      </c>
      <c r="S299" s="19" t="str">
        <f>IF($C299="","",IF($G299="","Name only",IF(OR($I299="",$L299=""),"Partial","Complete")))</f>
        <v>Complete</v>
      </c>
      <c r="T299" s="1" t="str">
        <f>IF($C299="","",TRIM(IF(COUNTIF($C$4:$C$1463,$C299)&gt;1,"Dup name; ","")&amp;IF(AND($G299&lt;&gt;"",$G299&lt;55000),"Low CR - verify; ","")&amp;IF(AND($L299&lt;&gt;"",$L299&gt;15),"Secondary - verify; ","")&amp;IF($E299="","No class; ","")))</f>
        <v/>
      </c>
      <c r="U299" s="68"/>
      <c r="V299" s="68"/>
      <c r="W299" s="68"/>
      <c r="X299" s="76">
        <f t="shared" si="22"/>
        <v>4897</v>
      </c>
      <c r="Y299" s="1" t="str">
        <f t="shared" si="23"/>
        <v>ACHERON|28</v>
      </c>
      <c r="Z299" s="19">
        <f>IF($C299="","",IF($G299="","",RANK($G299,$G$4:$G$1463)+COUNTIF($G$4:$G299,$G299)-1))</f>
        <v>735</v>
      </c>
      <c r="AA299" s="19">
        <f>IF($C299="","",IF($N299="","",RANK($N299,$N$4:$N$1463)+COUNTIF($N$4:$N299,$N299)-1))</f>
        <v>490</v>
      </c>
      <c r="AB299" s="1" t="str">
        <f>IF($C299="","",IF($E299="","",$E299&amp;"#"&amp;(COUNTIFS($E$4:$E$1463,$E299,$X$4:$X$1463,"&gt;"&amp;$X299)+COUNTIFS($E$4:$E299,$E299,$X$4:$X299,"="&amp;$X299))))</f>
        <v>MONK#15</v>
      </c>
      <c r="AC299" s="1" t="str">
        <f>IF($C299="","",$B299&amp;"@"&amp;(COUNTIFS($B$4:$B$1463,$B299,$C$4:$C$1463,"&lt;"&amp;$C299)+COUNTIFS($B$4:$B299,$B299,$C$4:$C299,$C299)))</f>
        <v>ACHERON@15</v>
      </c>
      <c r="AD299" s="1">
        <f t="shared" si="24"/>
        <v>296</v>
      </c>
      <c r="AE299" s="1" t="s">
        <v>1087</v>
      </c>
      <c r="AF299" s="76">
        <f t="shared" si="25"/>
        <v>62268</v>
      </c>
      <c r="AG299" s="77">
        <f t="shared" si="26"/>
        <v>5</v>
      </c>
      <c r="AH299" s="1" t="str">
        <f>IF($C299="","",$B299&amp;"|"&amp;(COUNTIFS($B$4:$B$1463,$B299,$AF$4:$AF$1463,"&gt;"&amp;$AF299)+COUNTIFS($B$4:$B299,$B299,$AF$4:$AF299,"="&amp;$AF299)))</f>
        <v>ACHERON|58</v>
      </c>
      <c r="AI299" s="1" t="str">
        <f>IF($C299="","",$B299&amp;"|"&amp;(COUNTIFS($B$4:$B$1463,$B299,$AG$4:$AG$1463,"&gt;"&amp;$AG299)+COUNTIFS($B$4:$B299,$B299,$AG$4:$AG299,"="&amp;$AG299)))</f>
        <v>ACHERON|44</v>
      </c>
    </row>
    <row r="300" spans="1:35" hidden="1">
      <c r="A300" s="69" t="s">
        <v>109</v>
      </c>
      <c r="B300" s="69" t="s">
        <v>116</v>
      </c>
      <c r="C300" s="63" t="s">
        <v>1088</v>
      </c>
      <c r="D300" s="69" t="s">
        <v>530</v>
      </c>
      <c r="E300" s="68" t="s">
        <v>77</v>
      </c>
      <c r="F300" s="15" t="str">
        <f>IF($C300="","",IF($E300="","-",IFERROR(INDEX(SETUP!$B$55:$B$64,MATCH($E300,SETUP!$A$55:$A$64,0)),"Other")))</f>
        <v>Control</v>
      </c>
      <c r="G300" s="70">
        <v>60891</v>
      </c>
      <c r="H300" s="15" t="str">
        <f>IF($C300="","",IF($G300="","-",INDEX(SETUP!$B$26:$B$32,MATCH($G300,SETUP!$A$26:$A$32,1))))</f>
        <v>60,000 - 60,999</v>
      </c>
      <c r="I300" s="70">
        <v>1780</v>
      </c>
      <c r="J300" s="15" t="str">
        <f>IF($C300="","",IF($I300="","-",INDEX(SETUP!$B$16:$B$22,MATCH($I300,SETUP!$A$16:$A$22,1))))</f>
        <v>ROOKIE</v>
      </c>
      <c r="K300" s="15" t="str">
        <f>IF($C300="","",IF($I300="","-",TEXT(INT($I300/1000)*1000,"#,##0")&amp;" - "&amp;TEXT(INT($I300/1000)*1000+999,"#,##0")))</f>
        <v>1,000 - 1,999</v>
      </c>
      <c r="L300" s="71">
        <v>2.5</v>
      </c>
      <c r="M300" s="15" t="str">
        <f>IF($C300="","",IF($L300="","-",INDEX(SETUP!$B$36:$B$42,MATCH($L300,SETUP!$A$36:$A$42,1))))</f>
        <v>Under 3k</v>
      </c>
      <c r="N300" s="17">
        <f>IF($C300="","",IF(OR($G300="",$I300=""),"",ROUND(100*(SETUP!$B$4*MIN(1,$I300/SETUP!$B$9)+SETUP!$B$5*MAX(0,MIN(1,($G300-SETUP!$B$10)/(SETUP!$B$11-SETUP!$B$10)))+SETUP!$B$6*MIN(1,IF($L300="",0,$L300)/SETUP!$B$12)),1)))</f>
        <v>27.4</v>
      </c>
      <c r="O300" s="15" t="str">
        <f>IF($C300="","",IF($N300="","-",INDEX(SETUP!$B$46:$B$51,MATCH($N300,SETUP!$A$46:$A$51,1))))</f>
        <v>C</v>
      </c>
      <c r="P300" s="15">
        <f>IF($C300="","",IF($I300="","",RANK($I300,$I$4:$I$1463)+COUNTIF($I$4:$I300,$I300)-1))</f>
        <v>1149</v>
      </c>
      <c r="Q300" s="15">
        <f>IF($C300="","",COUNTIFS($B$4:$B$1463,$B300,$X$4:$X$1463,"&gt;"&amp;$X300)+COUNTIFS($B$4:$B300,$B300,$X$4:$X300,"="&amp;$X300))</f>
        <v>87</v>
      </c>
      <c r="R300" s="72">
        <f>IF($C300="","",IF($I300="","",ROUND(COUNTIF($I$4:$I$1463,"&lt;"&amp;$I300)/COUNT($I$4:$I$1463),3)))</f>
        <v>0.13200000000000001</v>
      </c>
      <c r="S300" s="15" t="str">
        <f>IF($C300="","",IF($G300="","Name only",IF(OR($I300="",$L300=""),"Partial","Complete")))</f>
        <v>Complete</v>
      </c>
      <c r="T300" s="41" t="str">
        <f>IF($C300="","",TRIM(IF(COUNTIF($C$4:$C$1463,$C300)&gt;1,"Dup name; ","")&amp;IF(AND($G300&lt;&gt;"",$G300&lt;55000),"Low CR - verify; ","")&amp;IF(AND($L300&lt;&gt;"",$L300&gt;15),"Secondary - verify; ","")&amp;IF($E300="","No class; ","")))</f>
        <v/>
      </c>
      <c r="U300" s="68"/>
      <c r="V300" s="68"/>
      <c r="W300" s="68"/>
      <c r="X300" s="73">
        <f t="shared" si="22"/>
        <v>1780</v>
      </c>
      <c r="Y300" s="41" t="str">
        <f t="shared" si="23"/>
        <v>VENGEANCE|87</v>
      </c>
      <c r="Z300" s="15">
        <f>IF($C300="","",IF($G300="","",RANK($G300,$G$4:$G$1463)+COUNTIF($G$4:$G300,$G300)-1))</f>
        <v>1153</v>
      </c>
      <c r="AA300" s="15">
        <f>IF($C300="","",IF($N300="","",RANK($N300,$N$4:$N$1463)+COUNTIF($N$4:$N300,$N300)-1))</f>
        <v>1204</v>
      </c>
      <c r="AB300" s="41" t="str">
        <f>IF($C300="","",IF($E300="","",$E300&amp;"#"&amp;(COUNTIFS($E$4:$E$1463,$E300,$X$4:$X$1463,"&gt;"&amp;$X300)+COUNTIFS($E$4:$E300,$E300,$X$4:$X300,"="&amp;$X300))))</f>
        <v>NECROMANCER#80</v>
      </c>
      <c r="AC300" s="41" t="str">
        <f>IF($C300="","",$B300&amp;"@"&amp;(COUNTIFS($B$4:$B$1463,$B300,$C$4:$C$1463,"&lt;"&amp;$C300)+COUNTIFS($B$4:$B300,$B300,$C$4:$C300,$C300)))</f>
        <v>VENGEANCE@22</v>
      </c>
      <c r="AD300" s="41">
        <f t="shared" si="24"/>
        <v>297</v>
      </c>
      <c r="AE300" s="41" t="s">
        <v>830</v>
      </c>
      <c r="AF300" s="73">
        <f t="shared" si="25"/>
        <v>60891</v>
      </c>
      <c r="AG300" s="74">
        <f t="shared" si="26"/>
        <v>2.5</v>
      </c>
      <c r="AH300" s="41" t="str">
        <f>IF($C300="","",$B300&amp;"|"&amp;(COUNTIFS($B$4:$B$1463,$B300,$AF$4:$AF$1463,"&gt;"&amp;$AF300)+COUNTIFS($B$4:$B300,$B300,$AF$4:$AF300,"="&amp;$AF300)))</f>
        <v>VENGEANCE|78</v>
      </c>
      <c r="AI300" s="41" t="str">
        <f>IF($C300="","",$B300&amp;"|"&amp;(COUNTIFS($B$4:$B$1463,$B300,$AG$4:$AG$1463,"&gt;"&amp;$AG300)+COUNTIFS($B$4:$B300,$B300,$AG$4:$AG300,"="&amp;$AG300)))</f>
        <v>VENGEANCE|93</v>
      </c>
    </row>
    <row r="301" spans="1:35" hidden="1">
      <c r="A301" s="69" t="s">
        <v>109</v>
      </c>
      <c r="B301" s="69" t="s">
        <v>112</v>
      </c>
      <c r="C301" s="63" t="s">
        <v>1089</v>
      </c>
      <c r="D301" s="69" t="s">
        <v>567</v>
      </c>
      <c r="E301" s="68" t="s">
        <v>80</v>
      </c>
      <c r="F301" s="19" t="str">
        <f>IF($C301="","",IF($E301="","-",IFERROR(INDEX(SETUP!$B$55:$B$64,MATCH($E301,SETUP!$A$55:$A$64,0)),"Other")))</f>
        <v>Ranged DPS</v>
      </c>
      <c r="G301" s="70">
        <v>58259</v>
      </c>
      <c r="H301" s="19" t="str">
        <f>IF($C301="","",IF($G301="","-",INDEX(SETUP!$B$26:$B$32,MATCH($G301,SETUP!$A$26:$A$32,1))))</f>
        <v>58,000 - 59,999</v>
      </c>
      <c r="I301" s="70">
        <v>2880</v>
      </c>
      <c r="J301" s="19" t="str">
        <f>IF($C301="","",IF($I301="","-",INDEX(SETUP!$B$16:$B$22,MATCH($I301,SETUP!$A$16:$A$22,1))))</f>
        <v>DEVELOPING</v>
      </c>
      <c r="K301" s="19" t="str">
        <f>IF($C301="","",IF($I301="","-",TEXT(INT($I301/1000)*1000,"#,##0")&amp;" - "&amp;TEXT(INT($I301/1000)*1000+999,"#,##0")))</f>
        <v>2,000 - 2,999</v>
      </c>
      <c r="L301" s="71">
        <v>5.3</v>
      </c>
      <c r="M301" s="19" t="str">
        <f>IF($C301="","",IF($L301="","-",INDEX(SETUP!$B$36:$B$42,MATCH($L301,SETUP!$A$36:$A$42,1))))</f>
        <v>5k - 6k</v>
      </c>
      <c r="N301" s="21">
        <f>IF($C301="","",IF(OR($G301="",$I301=""),"",ROUND(100*(SETUP!$B$4*MIN(1,$I301/SETUP!$B$9)+SETUP!$B$5*MAX(0,MIN(1,($G301-SETUP!$B$10)/(SETUP!$B$11-SETUP!$B$10)))+SETUP!$B$6*MIN(1,IF($L301="",0,$L301)/SETUP!$B$12)),1)))</f>
        <v>30</v>
      </c>
      <c r="O301" s="19" t="str">
        <f>IF($C301="","",IF($N301="","-",INDEX(SETUP!$B$46:$B$51,MATCH($N301,SETUP!$A$46:$A$51,1))))</f>
        <v>C</v>
      </c>
      <c r="P301" s="19">
        <f>IF($C301="","",IF($I301="","",RANK($I301,$I$4:$I$1463)+COUNTIF($I$4:$I301,$I301)-1))</f>
        <v>913</v>
      </c>
      <c r="Q301" s="19">
        <f>IF($C301="","",COUNTIFS($B$4:$B$1463,$B301,$X$4:$X$1463,"&gt;"&amp;$X301)+COUNTIFS($B$4:$B301,$B301,$X$4:$X301,"="&amp;$X301))</f>
        <v>70</v>
      </c>
      <c r="R301" s="75">
        <f>IF($C301="","",IF($I301="","",ROUND(COUNTIF($I$4:$I$1463,"&lt;"&amp;$I301)/COUNT($I$4:$I$1463),3)))</f>
        <v>0.31</v>
      </c>
      <c r="S301" s="19" t="str">
        <f>IF($C301="","",IF($G301="","Name only",IF(OR($I301="",$L301=""),"Partial","Complete")))</f>
        <v>Complete</v>
      </c>
      <c r="T301" s="1" t="str">
        <f>IF($C301="","",TRIM(IF(COUNTIF($C$4:$C$1463,$C301)&gt;1,"Dup name; ","")&amp;IF(AND($G301&lt;&gt;"",$G301&lt;55000),"Low CR - verify; ","")&amp;IF(AND($L301&lt;&gt;"",$L301&gt;15),"Secondary - verify; ","")&amp;IF($E301="","No class; ","")))</f>
        <v/>
      </c>
      <c r="U301" s="68"/>
      <c r="V301" s="68"/>
      <c r="W301" s="68"/>
      <c r="X301" s="76">
        <f t="shared" si="22"/>
        <v>2880</v>
      </c>
      <c r="Y301" s="1" t="str">
        <f t="shared" si="23"/>
        <v>ACHERON|70</v>
      </c>
      <c r="Z301" s="19">
        <f>IF($C301="","",IF($G301="","",RANK($G301,$G$4:$G$1463)+COUNTIF($G$4:$G301,$G301)-1))</f>
        <v>1293</v>
      </c>
      <c r="AA301" s="19">
        <f>IF($C301="","",IF($N301="","",RANK($N301,$N$4:$N$1463)+COUNTIF($N$4:$N301,$N301)-1))</f>
        <v>1147</v>
      </c>
      <c r="AB301" s="1" t="str">
        <f>IF($C301="","",IF($E301="","",$E301&amp;"#"&amp;(COUNTIFS($E$4:$E$1463,$E301,$X$4:$X$1463,"&gt;"&amp;$X301)+COUNTIFS($E$4:$E301,$E301,$X$4:$X301,"="&amp;$X301))))</f>
        <v>WIZARD#64</v>
      </c>
      <c r="AC301" s="1" t="str">
        <f>IF($C301="","",$B301&amp;"@"&amp;(COUNTIFS($B$4:$B$1463,$B301,$C$4:$C$1463,"&lt;"&amp;$C301)+COUNTIFS($B$4:$B301,$B301,$C$4:$C301,$C301)))</f>
        <v>ACHERON@16</v>
      </c>
      <c r="AD301" s="1">
        <f t="shared" si="24"/>
        <v>298</v>
      </c>
      <c r="AE301" s="1" t="s">
        <v>1090</v>
      </c>
      <c r="AF301" s="76">
        <f t="shared" si="25"/>
        <v>58259</v>
      </c>
      <c r="AG301" s="77">
        <f t="shared" si="26"/>
        <v>5.3</v>
      </c>
      <c r="AH301" s="1" t="str">
        <f>IF($C301="","",$B301&amp;"|"&amp;(COUNTIFS($B$4:$B$1463,$B301,$AF$4:$AF$1463,"&gt;"&amp;$AF301)+COUNTIFS($B$4:$B301,$B301,$AF$4:$AF301,"="&amp;$AF301)))</f>
        <v>ACHERON|93</v>
      </c>
      <c r="AI301" s="1" t="str">
        <f>IF($C301="","",$B301&amp;"|"&amp;(COUNTIFS($B$4:$B$1463,$B301,$AG$4:$AG$1463,"&gt;"&amp;$AG301)+COUNTIFS($B$4:$B301,$B301,$AG$4:$AG301,"="&amp;$AG301)))</f>
        <v>ACHERON|36</v>
      </c>
    </row>
    <row r="302" spans="1:35" hidden="1">
      <c r="A302" s="69" t="s">
        <v>109</v>
      </c>
      <c r="B302" s="69" t="s">
        <v>114</v>
      </c>
      <c r="C302" s="63" t="s">
        <v>1091</v>
      </c>
      <c r="D302" s="69"/>
      <c r="E302" s="68" t="s">
        <v>71</v>
      </c>
      <c r="F302" s="15" t="str">
        <f>IF($C302="","",IF($E302="","-",IFERROR(INDEX(SETUP!$B$55:$B$64,MATCH($E302,SETUP!$A$55:$A$64,0)),"Other")))</f>
        <v>Frontline</v>
      </c>
      <c r="G302" s="70">
        <v>61838</v>
      </c>
      <c r="H302" s="15" t="str">
        <f>IF($C302="","",IF($G302="","-",INDEX(SETUP!$B$26:$B$32,MATCH($G302,SETUP!$A$26:$A$32,1))))</f>
        <v>61,000 - 61,999</v>
      </c>
      <c r="I302" s="70">
        <v>3310</v>
      </c>
      <c r="J302" s="15" t="str">
        <f>IF($C302="","",IF($I302="","-",INDEX(SETUP!$B$16:$B$22,MATCH($I302,SETUP!$A$16:$A$22,1))))</f>
        <v>DEVELOPING</v>
      </c>
      <c r="K302" s="15" t="str">
        <f>IF($C302="","",IF($I302="","-",TEXT(INT($I302/1000)*1000,"#,##0")&amp;" - "&amp;TEXT(INT($I302/1000)*1000+999,"#,##0")))</f>
        <v>3,000 - 3,999</v>
      </c>
      <c r="L302" s="71">
        <v>4.3</v>
      </c>
      <c r="M302" s="15" t="str">
        <f>IF($C302="","",IF($L302="","-",INDEX(SETUP!$B$36:$B$42,MATCH($L302,SETUP!$A$36:$A$42,1))))</f>
        <v>4k - 5k</v>
      </c>
      <c r="N302" s="17">
        <f>IF($C302="","",IF(OR($G302="",$I302=""),"",ROUND(100*(SETUP!$B$4*MIN(1,$I302/SETUP!$B$9)+SETUP!$B$5*MAX(0,MIN(1,($G302-SETUP!$B$10)/(SETUP!$B$11-SETUP!$B$10)))+SETUP!$B$6*MIN(1,IF($L302="",0,$L302)/SETUP!$B$12)),1)))</f>
        <v>39.6</v>
      </c>
      <c r="O302" s="15" t="str">
        <f>IF($C302="","",IF($N302="","-",INDEX(SETUP!$B$46:$B$51,MATCH($N302,SETUP!$A$46:$A$51,1))))</f>
        <v>B</v>
      </c>
      <c r="P302" s="15">
        <f>IF($C302="","",IF($I302="","",RANK($I302,$I$4:$I$1463)+COUNTIF($I$4:$I302,$I302)-1))</f>
        <v>785</v>
      </c>
      <c r="Q302" s="15">
        <f>IF($C302="","",COUNTIFS($B$4:$B$1463,$B302,$X$4:$X$1463,"&gt;"&amp;$X302)+COUNTIFS($B$4:$B302,$B302,$X$4:$X302,"="&amp;$X302))</f>
        <v>20</v>
      </c>
      <c r="R302" s="72">
        <f>IF($C302="","",IF($I302="","",ROUND(COUNTIF($I$4:$I$1463,"&lt;"&amp;$I302)/COUNT($I$4:$I$1463),3)))</f>
        <v>0.40799999999999997</v>
      </c>
      <c r="S302" s="15" t="str">
        <f>IF($C302="","",IF($G302="","Name only",IF(OR($I302="",$L302=""),"Partial","Complete")))</f>
        <v>Complete</v>
      </c>
      <c r="T302" s="41" t="str">
        <f>IF($C302="","",TRIM(IF(COUNTIF($C$4:$C$1463,$C302)&gt;1,"Dup name; ","")&amp;IF(AND($G302&lt;&gt;"",$G302&lt;55000),"Low CR - verify; ","")&amp;IF(AND($L302&lt;&gt;"",$L302&gt;15),"Secondary - verify; ","")&amp;IF($E302="","No class; ","")))</f>
        <v/>
      </c>
      <c r="U302" s="68"/>
      <c r="V302" s="68"/>
      <c r="W302" s="68"/>
      <c r="X302" s="73">
        <f t="shared" si="22"/>
        <v>3310</v>
      </c>
      <c r="Y302" s="41" t="str">
        <f t="shared" si="23"/>
        <v>EMERALD LEAF TRIBE|20</v>
      </c>
      <c r="Z302" s="15">
        <f>IF($C302="","",IF($G302="","",RANK($G302,$G$4:$G$1463)+COUNTIF($G$4:$G302,$G302)-1))</f>
        <v>902</v>
      </c>
      <c r="AA302" s="15">
        <f>IF($C302="","",IF($N302="","",RANK($N302,$N$4:$N$1463)+COUNTIF($N$4:$N302,$N302)-1))</f>
        <v>834</v>
      </c>
      <c r="AB302" s="41" t="str">
        <f>IF($C302="","",IF($E302="","",$E302&amp;"#"&amp;(COUNTIFS($E$4:$E$1463,$E302,$X$4:$X$1463,"&gt;"&amp;$X302)+COUNTIFS($E$4:$E302,$E302,$X$4:$X302,"="&amp;$X302))))</f>
        <v>BARBARIAN#138</v>
      </c>
      <c r="AC302" s="41" t="str">
        <f>IF($C302="","",$B302&amp;"@"&amp;(COUNTIFS($B$4:$B$1463,$B302,$C$4:$C$1463,"&lt;"&amp;$C302)+COUNTIFS($B$4:$B302,$B302,$C$4:$C302,$C302)))</f>
        <v>EMERALD LEAF TRIBE@23</v>
      </c>
      <c r="AD302" s="41">
        <f t="shared" si="24"/>
        <v>299</v>
      </c>
      <c r="AE302" s="41" t="s">
        <v>1092</v>
      </c>
      <c r="AF302" s="73">
        <f t="shared" si="25"/>
        <v>61838</v>
      </c>
      <c r="AG302" s="74">
        <f t="shared" si="26"/>
        <v>4.3</v>
      </c>
      <c r="AH302" s="41" t="str">
        <f>IF($C302="","",$B302&amp;"|"&amp;(COUNTIFS($B$4:$B$1463,$B302,$AF$4:$AF$1463,"&gt;"&amp;$AF302)+COUNTIFS($B$4:$B302,$B302,$AF$4:$AF302,"="&amp;$AF302)))</f>
        <v>EMERALD LEAF TRIBE|30</v>
      </c>
      <c r="AI302" s="41" t="str">
        <f>IF($C302="","",$B302&amp;"|"&amp;(COUNTIFS($B$4:$B$1463,$B302,$AG$4:$AG$1463,"&gt;"&amp;$AG302)+COUNTIFS($B$4:$B302,$B302,$AG$4:$AG302,"="&amp;$AG302)))</f>
        <v>EMERALD LEAF TRIBE|23</v>
      </c>
    </row>
    <row r="303" spans="1:35" hidden="1">
      <c r="A303" s="69" t="s">
        <v>109</v>
      </c>
      <c r="B303" s="69" t="s">
        <v>108</v>
      </c>
      <c r="C303" s="63" t="s">
        <v>1093</v>
      </c>
      <c r="D303" s="69"/>
      <c r="E303" s="68" t="s">
        <v>79</v>
      </c>
      <c r="F303" s="19" t="str">
        <f>IF($C303="","",IF($E303="","-",IFERROR(INDEX(SETUP!$B$55:$B$64,MATCH($E303,SETUP!$A$55:$A$64,0)),"Other")))</f>
        <v>Control</v>
      </c>
      <c r="G303" s="70">
        <v>63205</v>
      </c>
      <c r="H303" s="19" t="str">
        <f>IF($C303="","",IF($G303="","-",INDEX(SETUP!$B$26:$B$32,MATCH($G303,SETUP!$A$26:$A$32,1))))</f>
        <v>63,000 - 63,999</v>
      </c>
      <c r="I303" s="70">
        <v>7177</v>
      </c>
      <c r="J303" s="19" t="str">
        <f>IF($C303="","",IF($I303="","-",INDEX(SETUP!$B$16:$B$22,MATCH($I303,SETUP!$A$16:$A$22,1))))</f>
        <v>VETERAN</v>
      </c>
      <c r="K303" s="19" t="str">
        <f>IF($C303="","",IF($I303="","-",TEXT(INT($I303/1000)*1000,"#,##0")&amp;" - "&amp;TEXT(INT($I303/1000)*1000+999,"#,##0")))</f>
        <v>7,000 - 7,999</v>
      </c>
      <c r="L303" s="71">
        <v>6.5</v>
      </c>
      <c r="M303" s="19" t="str">
        <f>IF($C303="","",IF($L303="","-",INDEX(SETUP!$B$36:$B$42,MATCH($L303,SETUP!$A$36:$A$42,1))))</f>
        <v>6k - 8k</v>
      </c>
      <c r="N303" s="21">
        <f>IF($C303="","",IF(OR($G303="",$I303=""),"",ROUND(100*(SETUP!$B$4*MIN(1,$I303/SETUP!$B$9)+SETUP!$B$5*MAX(0,MIN(1,($G303-SETUP!$B$10)/(SETUP!$B$11-SETUP!$B$10)))+SETUP!$B$6*MIN(1,IF($L303="",0,$L303)/SETUP!$B$12)),1)))</f>
        <v>63.8</v>
      </c>
      <c r="O303" s="19" t="str">
        <f>IF($C303="","",IF($N303="","-",INDEX(SETUP!$B$46:$B$51,MATCH($N303,SETUP!$A$46:$A$51,1))))</f>
        <v>A</v>
      </c>
      <c r="P303" s="19">
        <f>IF($C303="","",IF($I303="","",RANK($I303,$I$4:$I$1463)+COUNTIF($I$4:$I303,$I303)-1))</f>
        <v>205</v>
      </c>
      <c r="Q303" s="19">
        <f>IF($C303="","",COUNTIFS($B$4:$B$1463,$B303,$X$4:$X$1463,"&gt;"&amp;$X303)+COUNTIFS($B$4:$B303,$B303,$X$4:$X303,"="&amp;$X303))</f>
        <v>30</v>
      </c>
      <c r="R303" s="75">
        <f>IF($C303="","",IF($I303="","",ROUND(COUNTIF($I$4:$I$1463,"&lt;"&amp;$I303)/COUNT($I$4:$I$1463),3)))</f>
        <v>0.84499999999999997</v>
      </c>
      <c r="S303" s="19" t="str">
        <f>IF($C303="","",IF($G303="","Name only",IF(OR($I303="",$L303=""),"Partial","Complete")))</f>
        <v>Complete</v>
      </c>
      <c r="T303" s="1" t="str">
        <f>IF($C303="","",TRIM(IF(COUNTIF($C$4:$C$1463,$C303)&gt;1,"Dup name; ","")&amp;IF(AND($G303&lt;&gt;"",$G303&lt;55000),"Low CR - verify; ","")&amp;IF(AND($L303&lt;&gt;"",$L303&gt;15),"Secondary - verify; ","")&amp;IF($E303="","No class; ","")))</f>
        <v/>
      </c>
      <c r="U303" s="68"/>
      <c r="V303" s="68"/>
      <c r="W303" s="68"/>
      <c r="X303" s="76">
        <f t="shared" si="22"/>
        <v>7177</v>
      </c>
      <c r="Y303" s="1" t="str">
        <f t="shared" si="23"/>
        <v>SBG|30</v>
      </c>
      <c r="Z303" s="19">
        <f>IF($C303="","",IF($G303="","",RANK($G303,$G$4:$G$1463)+COUNTIF($G$4:$G303,$G303)-1))</f>
        <v>315</v>
      </c>
      <c r="AA303" s="19">
        <f>IF($C303="","",IF($N303="","",RANK($N303,$N$4:$N$1463)+COUNTIF($N$4:$N303,$N303)-1))</f>
        <v>190</v>
      </c>
      <c r="AB303" s="1" t="str">
        <f>IF($C303="","",IF($E303="","",$E303&amp;"#"&amp;(COUNTIFS($E$4:$E$1463,$E303,$X$4:$X$1463,"&gt;"&amp;$X303)+COUNTIFS($E$4:$E303,$E303,$X$4:$X303,"="&amp;$X303))))</f>
        <v>WARLOCK#43</v>
      </c>
      <c r="AC303" s="1" t="str">
        <f>IF($C303="","",$B303&amp;"@"&amp;(COUNTIFS($B$4:$B$1463,$B303,$C$4:$C$1463,"&lt;"&amp;$C303)+COUNTIFS($B$4:$B303,$B303,$C$4:$C303,$C303)))</f>
        <v>SBG@15</v>
      </c>
      <c r="AD303" s="1">
        <f t="shared" si="24"/>
        <v>300</v>
      </c>
      <c r="AE303" s="1" t="s">
        <v>1094</v>
      </c>
      <c r="AF303" s="76">
        <f t="shared" si="25"/>
        <v>63205</v>
      </c>
      <c r="AG303" s="77">
        <f t="shared" si="26"/>
        <v>6.5</v>
      </c>
      <c r="AH303" s="1" t="str">
        <f>IF($C303="","",$B303&amp;"|"&amp;(COUNTIFS($B$4:$B$1463,$B303,$AF$4:$AF$1463,"&gt;"&amp;$AF303)+COUNTIFS($B$4:$B303,$B303,$AF$4:$AF303,"="&amp;$AF303)))</f>
        <v>SBG|37</v>
      </c>
      <c r="AI303" s="1" t="str">
        <f>IF($C303="","",$B303&amp;"|"&amp;(COUNTIFS($B$4:$B$1463,$B303,$AG$4:$AG$1463,"&gt;"&amp;$AG303)+COUNTIFS($B$4:$B303,$B303,$AG$4:$AG303,"="&amp;$AG303)))</f>
        <v>SBG|29</v>
      </c>
    </row>
    <row r="304" spans="1:35" hidden="1">
      <c r="A304" s="69" t="s">
        <v>106</v>
      </c>
      <c r="B304" s="69" t="s">
        <v>105</v>
      </c>
      <c r="C304" s="63" t="s">
        <v>1095</v>
      </c>
      <c r="D304" s="69"/>
      <c r="E304" s="68" t="s">
        <v>71</v>
      </c>
      <c r="F304" s="15" t="str">
        <f>IF($C304="","",IF($E304="","-",IFERROR(INDEX(SETUP!$B$55:$B$64,MATCH($E304,SETUP!$A$55:$A$64,0)),"Other")))</f>
        <v>Frontline</v>
      </c>
      <c r="G304" s="70">
        <v>62531</v>
      </c>
      <c r="H304" s="15" t="str">
        <f>IF($C304="","",IF($G304="","-",INDEX(SETUP!$B$26:$B$32,MATCH($G304,SETUP!$A$26:$A$32,1))))</f>
        <v>62,000 - 62,999</v>
      </c>
      <c r="I304" s="70">
        <v>4843</v>
      </c>
      <c r="J304" s="15" t="str">
        <f>IF($C304="","",IF($I304="","-",INDEX(SETUP!$B$16:$B$22,MATCH($I304,SETUP!$A$16:$A$22,1))))</f>
        <v>CORE</v>
      </c>
      <c r="K304" s="15" t="str">
        <f>IF($C304="","",IF($I304="","-",TEXT(INT($I304/1000)*1000,"#,##0")&amp;" - "&amp;TEXT(INT($I304/1000)*1000+999,"#,##0")))</f>
        <v>4,000 - 4,999</v>
      </c>
      <c r="L304" s="71">
        <v>5.84</v>
      </c>
      <c r="M304" s="15" t="str">
        <f>IF($C304="","",IF($L304="","-",INDEX(SETUP!$B$36:$B$42,MATCH($L304,SETUP!$A$36:$A$42,1))))</f>
        <v>5k - 6k</v>
      </c>
      <c r="N304" s="17">
        <f>IF($C304="","",IF(OR($G304="",$I304=""),"",ROUND(100*(SETUP!$B$4*MIN(1,$I304/SETUP!$B$9)+SETUP!$B$5*MAX(0,MIN(1,($G304-SETUP!$B$10)/(SETUP!$B$11-SETUP!$B$10)))+SETUP!$B$6*MIN(1,IF($L304="",0,$L304)/SETUP!$B$12)),1)))</f>
        <v>50.7</v>
      </c>
      <c r="O304" s="15" t="str">
        <f>IF($C304="","",IF($N304="","-",INDEX(SETUP!$B$46:$B$51,MATCH($N304,SETUP!$A$46:$A$51,1))))</f>
        <v>A</v>
      </c>
      <c r="P304" s="15">
        <f>IF($C304="","",IF($I304="","",RANK($I304,$I$4:$I$1463)+COUNTIF($I$4:$I304,$I304)-1))</f>
        <v>436</v>
      </c>
      <c r="Q304" s="15">
        <f>IF($C304="","",COUNTIFS($B$4:$B$1463,$B304,$X$4:$X$1463,"&gt;"&amp;$X304)+COUNTIFS($B$4:$B304,$B304,$X$4:$X304,"="&amp;$X304))</f>
        <v>54</v>
      </c>
      <c r="R304" s="72">
        <f>IF($C304="","",IF($I304="","",ROUND(COUNTIF($I$4:$I$1463,"&lt;"&amp;$I304)/COUNT($I$4:$I$1463),3)))</f>
        <v>0.67100000000000004</v>
      </c>
      <c r="S304" s="15" t="str">
        <f>IF($C304="","",IF($G304="","Name only",IF(OR($I304="",$L304=""),"Partial","Complete")))</f>
        <v>Complete</v>
      </c>
      <c r="T304" s="41" t="str">
        <f>IF($C304="","",TRIM(IF(COUNTIF($C$4:$C$1463,$C304)&gt;1,"Dup name; ","")&amp;IF(AND($G304&lt;&gt;"",$G304&lt;55000),"Low CR - verify; ","")&amp;IF(AND($L304&lt;&gt;"",$L304&gt;15),"Secondary - verify; ","")&amp;IF($E304="","No class; ","")))</f>
        <v/>
      </c>
      <c r="U304" s="68"/>
      <c r="V304" s="68"/>
      <c r="W304" s="68"/>
      <c r="X304" s="73">
        <f t="shared" si="22"/>
        <v>4843</v>
      </c>
      <c r="Y304" s="41" t="str">
        <f t="shared" si="23"/>
        <v>LEGENDS|54</v>
      </c>
      <c r="Z304" s="15">
        <f>IF($C304="","",IF($G304="","",RANK($G304,$G$4:$G$1463)+COUNTIF($G$4:$G304,$G304)-1))</f>
        <v>640</v>
      </c>
      <c r="AA304" s="15">
        <f>IF($C304="","",IF($N304="","",RANK($N304,$N$4:$N$1463)+COUNTIF($N$4:$N304,$N304)-1))</f>
        <v>435</v>
      </c>
      <c r="AB304" s="41" t="str">
        <f>IF($C304="","",IF($E304="","",$E304&amp;"#"&amp;(COUNTIFS($E$4:$E$1463,$E304,$X$4:$X$1463,"&gt;"&amp;$X304)+COUNTIFS($E$4:$E304,$E304,$X$4:$X304,"="&amp;$X304))))</f>
        <v>BARBARIAN#83</v>
      </c>
      <c r="AC304" s="41" t="str">
        <f>IF($C304="","",$B304&amp;"@"&amp;(COUNTIFS($B$4:$B$1463,$B304,$C$4:$C$1463,"&lt;"&amp;$C304)+COUNTIFS($B$4:$B304,$B304,$C$4:$C304,$C304)))</f>
        <v>LEGENDS@31</v>
      </c>
      <c r="AD304" s="41">
        <f t="shared" si="24"/>
        <v>301</v>
      </c>
      <c r="AE304" s="41" t="s">
        <v>1096</v>
      </c>
      <c r="AF304" s="73">
        <f t="shared" si="25"/>
        <v>62531</v>
      </c>
      <c r="AG304" s="74">
        <f t="shared" si="26"/>
        <v>5.84</v>
      </c>
      <c r="AH304" s="41" t="str">
        <f>IF($C304="","",$B304&amp;"|"&amp;(COUNTIFS($B$4:$B$1463,$B304,$AF$4:$AF$1463,"&gt;"&amp;$AF304)+COUNTIFS($B$4:$B304,$B304,$AF$4:$AF304,"="&amp;$AF304)))</f>
        <v>LEGENDS|68</v>
      </c>
      <c r="AI304" s="41" t="str">
        <f>IF($C304="","",$B304&amp;"|"&amp;(COUNTIFS($B$4:$B$1463,$B304,$AG$4:$AG$1463,"&gt;"&amp;$AG304)+COUNTIFS($B$4:$B304,$B304,$AG$4:$AG304,"="&amp;$AG304)))</f>
        <v>LEGENDS|23</v>
      </c>
    </row>
    <row r="305" spans="1:35" hidden="1">
      <c r="A305" s="69" t="s">
        <v>109</v>
      </c>
      <c r="B305" s="69" t="s">
        <v>112</v>
      </c>
      <c r="C305" s="63" t="s">
        <v>1097</v>
      </c>
      <c r="D305" s="69" t="s">
        <v>567</v>
      </c>
      <c r="E305" s="68" t="s">
        <v>74</v>
      </c>
      <c r="F305" s="19" t="str">
        <f>IF($C305="","",IF($E305="","-",IFERROR(INDEX(SETUP!$B$55:$B$64,MATCH($E305,SETUP!$A$55:$A$64,0)),"Other")))</f>
        <v>Ranged DPS</v>
      </c>
      <c r="G305" s="70">
        <v>61891</v>
      </c>
      <c r="H305" s="19" t="str">
        <f>IF($C305="","",IF($G305="","-",INDEX(SETUP!$B$26:$B$32,MATCH($G305,SETUP!$A$26:$A$32,1))))</f>
        <v>61,000 - 61,999</v>
      </c>
      <c r="I305" s="70">
        <v>3470</v>
      </c>
      <c r="J305" s="19" t="str">
        <f>IF($C305="","",IF($I305="","-",INDEX(SETUP!$B$16:$B$22,MATCH($I305,SETUP!$A$16:$A$22,1))))</f>
        <v>DEVELOPING</v>
      </c>
      <c r="K305" s="19" t="str">
        <f>IF($C305="","",IF($I305="","-",TEXT(INT($I305/1000)*1000,"#,##0")&amp;" - "&amp;TEXT(INT($I305/1000)*1000+999,"#,##0")))</f>
        <v>3,000 - 3,999</v>
      </c>
      <c r="L305" s="71">
        <v>5.9</v>
      </c>
      <c r="M305" s="19" t="str">
        <f>IF($C305="","",IF($L305="","-",INDEX(SETUP!$B$36:$B$42,MATCH($L305,SETUP!$A$36:$A$42,1))))</f>
        <v>5k - 6k</v>
      </c>
      <c r="N305" s="21">
        <f>IF($C305="","",IF(OR($G305="",$I305=""),"",ROUND(100*(SETUP!$B$4*MIN(1,$I305/SETUP!$B$9)+SETUP!$B$5*MAX(0,MIN(1,($G305-SETUP!$B$10)/(SETUP!$B$11-SETUP!$B$10)))+SETUP!$B$6*MIN(1,IF($L305="",0,$L305)/SETUP!$B$12)),1)))</f>
        <v>43.1</v>
      </c>
      <c r="O305" s="19" t="str">
        <f>IF($C305="","",IF($N305="","-",INDEX(SETUP!$B$46:$B$51,MATCH($N305,SETUP!$A$46:$A$51,1))))</f>
        <v>B</v>
      </c>
      <c r="P305" s="19">
        <f>IF($C305="","",IF($I305="","",RANK($I305,$I$4:$I$1463)+COUNTIF($I$4:$I305,$I305)-1))</f>
        <v>740</v>
      </c>
      <c r="Q305" s="19">
        <f>IF($C305="","",COUNTIFS($B$4:$B$1463,$B305,$X$4:$X$1463,"&gt;"&amp;$X305)+COUNTIFS($B$4:$B305,$B305,$X$4:$X305,"="&amp;$X305))</f>
        <v>52</v>
      </c>
      <c r="R305" s="75">
        <f>IF($C305="","",IF($I305="","",ROUND(COUNTIF($I$4:$I$1463,"&lt;"&amp;$I305)/COUNT($I$4:$I$1463),3)))</f>
        <v>0.442</v>
      </c>
      <c r="S305" s="19" t="str">
        <f>IF($C305="","",IF($G305="","Name only",IF(OR($I305="",$L305=""),"Partial","Complete")))</f>
        <v>Complete</v>
      </c>
      <c r="T305" s="1" t="str">
        <f>IF($C305="","",TRIM(IF(COUNTIF($C$4:$C$1463,$C305)&gt;1,"Dup name; ","")&amp;IF(AND($G305&lt;&gt;"",$G305&lt;55000),"Low CR - verify; ","")&amp;IF(AND($L305&lt;&gt;"",$L305&gt;15),"Secondary - verify; ","")&amp;IF($E305="","No class; ","")))</f>
        <v/>
      </c>
      <c r="U305" s="68"/>
      <c r="V305" s="68"/>
      <c r="W305" s="68"/>
      <c r="X305" s="76">
        <f t="shared" si="22"/>
        <v>3470</v>
      </c>
      <c r="Y305" s="1" t="str">
        <f t="shared" si="23"/>
        <v>ACHERON|52</v>
      </c>
      <c r="Z305" s="19">
        <f>IF($C305="","",IF($G305="","",RANK($G305,$G$4:$G$1463)+COUNTIF($G$4:$G305,$G305)-1))</f>
        <v>877</v>
      </c>
      <c r="AA305" s="19">
        <f>IF($C305="","",IF($N305="","",RANK($N305,$N$4:$N$1463)+COUNTIF($N$4:$N305,$N305)-1))</f>
        <v>697</v>
      </c>
      <c r="AB305" s="1" t="str">
        <f>IF($C305="","",IF($E305="","",$E305&amp;"#"&amp;(COUNTIFS($E$4:$E$1463,$E305,$X$4:$X$1463,"&gt;"&amp;$X305)+COUNTIFS($E$4:$E305,$E305,$X$4:$X305,"="&amp;$X305))))</f>
        <v>DEMON HUNTER#119</v>
      </c>
      <c r="AC305" s="1" t="str">
        <f>IF($C305="","",$B305&amp;"@"&amp;(COUNTIFS($B$4:$B$1463,$B305,$C$4:$C$1463,"&lt;"&amp;$C305)+COUNTIFS($B$4:$B305,$B305,$C$4:$C305,$C305)))</f>
        <v>ACHERON@17</v>
      </c>
      <c r="AD305" s="1">
        <f t="shared" si="24"/>
        <v>302</v>
      </c>
      <c r="AE305" s="1" t="s">
        <v>1098</v>
      </c>
      <c r="AF305" s="76">
        <f t="shared" si="25"/>
        <v>61891</v>
      </c>
      <c r="AG305" s="77">
        <f t="shared" si="26"/>
        <v>5.9</v>
      </c>
      <c r="AH305" s="1" t="str">
        <f>IF($C305="","",$B305&amp;"|"&amp;(COUNTIFS($B$4:$B$1463,$B305,$AF$4:$AF$1463,"&gt;"&amp;$AF305)+COUNTIFS($B$4:$B305,$B305,$AF$4:$AF305,"="&amp;$AF305)))</f>
        <v>ACHERON|71</v>
      </c>
      <c r="AI305" s="1" t="str">
        <f>IF($C305="","",$B305&amp;"|"&amp;(COUNTIFS($B$4:$B$1463,$B305,$AG$4:$AG$1463,"&gt;"&amp;$AG305)+COUNTIFS($B$4:$B305,$B305,$AG$4:$AG305,"="&amp;$AG305)))</f>
        <v>ACHERON|17</v>
      </c>
    </row>
    <row r="306" spans="1:35" hidden="1">
      <c r="A306" s="69" t="s">
        <v>109</v>
      </c>
      <c r="B306" s="69" t="s">
        <v>112</v>
      </c>
      <c r="C306" s="63" t="s">
        <v>1099</v>
      </c>
      <c r="D306" s="69" t="s">
        <v>567</v>
      </c>
      <c r="E306" s="68" t="s">
        <v>75</v>
      </c>
      <c r="F306" s="15" t="str">
        <f>IF($C306="","",IF($E306="","-",IFERROR(INDEX(SETUP!$B$55:$B$64,MATCH($E306,SETUP!$A$55:$A$64,0)),"Other")))</f>
        <v>Support</v>
      </c>
      <c r="G306" s="70">
        <v>59762</v>
      </c>
      <c r="H306" s="15" t="str">
        <f>IF($C306="","",IF($G306="","-",INDEX(SETUP!$B$26:$B$32,MATCH($G306,SETUP!$A$26:$A$32,1))))</f>
        <v>58,000 - 59,999</v>
      </c>
      <c r="I306" s="70">
        <v>1271</v>
      </c>
      <c r="J306" s="15" t="str">
        <f>IF($C306="","",IF($I306="","-",INDEX(SETUP!$B$16:$B$22,MATCH($I306,SETUP!$A$16:$A$22,1))))</f>
        <v>ROOKIE</v>
      </c>
      <c r="K306" s="15" t="str">
        <f>IF($C306="","",IF($I306="","-",TEXT(INT($I306/1000)*1000,"#,##0")&amp;" - "&amp;TEXT(INT($I306/1000)*1000+999,"#,##0")))</f>
        <v>1,000 - 1,999</v>
      </c>
      <c r="L306" s="71">
        <v>3.95</v>
      </c>
      <c r="M306" s="15" t="str">
        <f>IF($C306="","",IF($L306="","-",INDEX(SETUP!$B$36:$B$42,MATCH($L306,SETUP!$A$36:$A$42,1))))</f>
        <v>3k - 4k</v>
      </c>
      <c r="N306" s="17">
        <f>IF($C306="","",IF(OR($G306="",$I306=""),"",ROUND(100*(SETUP!$B$4*MIN(1,$I306/SETUP!$B$9)+SETUP!$B$5*MAX(0,MIN(1,($G306-SETUP!$B$10)/(SETUP!$B$11-SETUP!$B$10)))+SETUP!$B$6*MIN(1,IF($L306="",0,$L306)/SETUP!$B$12)),1)))</f>
        <v>24.7</v>
      </c>
      <c r="O306" s="15" t="str">
        <f>IF($C306="","",IF($N306="","-",INDEX(SETUP!$B$46:$B$51,MATCH($N306,SETUP!$A$46:$A$51,1))))</f>
        <v>C</v>
      </c>
      <c r="P306" s="15">
        <f>IF($C306="","",IF($I306="","",RANK($I306,$I$4:$I$1463)+COUNTIF($I$4:$I306,$I306)-1))</f>
        <v>1231</v>
      </c>
      <c r="Q306" s="15">
        <f>IF($C306="","",COUNTIFS($B$4:$B$1463,$B306,$X$4:$X$1463,"&gt;"&amp;$X306)+COUNTIFS($B$4:$B306,$B306,$X$4:$X306,"="&amp;$X306))</f>
        <v>88</v>
      </c>
      <c r="R306" s="72">
        <f>IF($C306="","",IF($I306="","",ROUND(COUNTIF($I$4:$I$1463,"&lt;"&amp;$I306)/COUNT($I$4:$I$1463),3)))</f>
        <v>7.0999999999999994E-2</v>
      </c>
      <c r="S306" s="15" t="str">
        <f>IF($C306="","",IF($G306="","Name only",IF(OR($I306="",$L306=""),"Partial","Complete")))</f>
        <v>Complete</v>
      </c>
      <c r="T306" s="41" t="str">
        <f>IF($C306="","",TRIM(IF(COUNTIF($C$4:$C$1463,$C306)&gt;1,"Dup name; ","")&amp;IF(AND($G306&lt;&gt;"",$G306&lt;55000),"Low CR - verify; ","")&amp;IF(AND($L306&lt;&gt;"",$L306&gt;15),"Secondary - verify; ","")&amp;IF($E306="","No class; ","")))</f>
        <v/>
      </c>
      <c r="U306" s="68"/>
      <c r="V306" s="68"/>
      <c r="W306" s="68"/>
      <c r="X306" s="73">
        <f t="shared" si="22"/>
        <v>1271</v>
      </c>
      <c r="Y306" s="41" t="str">
        <f t="shared" si="23"/>
        <v>ACHERON|88</v>
      </c>
      <c r="Z306" s="15">
        <f>IF($C306="","",IF($G306="","",RANK($G306,$G$4:$G$1463)+COUNTIF($G$4:$G306,$G306)-1))</f>
        <v>1252</v>
      </c>
      <c r="AA306" s="15">
        <f>IF($C306="","",IF($N306="","",RANK($N306,$N$4:$N$1463)+COUNTIF($N$4:$N306,$N306)-1))</f>
        <v>1249</v>
      </c>
      <c r="AB306" s="41" t="str">
        <f>IF($C306="","",IF($E306="","",$E306&amp;"#"&amp;(COUNTIFS($E$4:$E$1463,$E306,$X$4:$X$1463,"&gt;"&amp;$X306)+COUNTIFS($E$4:$E306,$E306,$X$4:$X306,"="&amp;$X306))))</f>
        <v>DRUID#61</v>
      </c>
      <c r="AC306" s="41" t="str">
        <f>IF($C306="","",$B306&amp;"@"&amp;(COUNTIFS($B$4:$B$1463,$B306,$C$4:$C$1463,"&lt;"&amp;$C306)+COUNTIFS($B$4:$B306,$B306,$C$4:$C306,$C306)))</f>
        <v>ACHERON@18</v>
      </c>
      <c r="AD306" s="41">
        <f t="shared" si="24"/>
        <v>303</v>
      </c>
      <c r="AE306" s="41" t="s">
        <v>1100</v>
      </c>
      <c r="AF306" s="73">
        <f t="shared" si="25"/>
        <v>59762</v>
      </c>
      <c r="AG306" s="74">
        <f t="shared" si="26"/>
        <v>3.95</v>
      </c>
      <c r="AH306" s="41" t="str">
        <f>IF($C306="","",$B306&amp;"|"&amp;(COUNTIFS($B$4:$B$1463,$B306,$AF$4:$AF$1463,"&gt;"&amp;$AF306)+COUNTIFS($B$4:$B306,$B306,$AF$4:$AF306,"="&amp;$AF306)))</f>
        <v>ACHERON|91</v>
      </c>
      <c r="AI306" s="41" t="str">
        <f>IF($C306="","",$B306&amp;"|"&amp;(COUNTIFS($B$4:$B$1463,$B306,$AG$4:$AG$1463,"&gt;"&amp;$AG306)+COUNTIFS($B$4:$B306,$B306,$AG$4:$AG306,"="&amp;$AG306)))</f>
        <v>ACHERON|77</v>
      </c>
    </row>
    <row r="307" spans="1:35" hidden="1">
      <c r="A307" s="69" t="s">
        <v>106</v>
      </c>
      <c r="B307" s="69" t="s">
        <v>105</v>
      </c>
      <c r="C307" s="63" t="s">
        <v>1101</v>
      </c>
      <c r="D307" s="69"/>
      <c r="E307" s="68" t="s">
        <v>76</v>
      </c>
      <c r="F307" s="19" t="str">
        <f>IF($C307="","",IF($E307="","-",IFERROR(INDEX(SETUP!$B$55:$B$64,MATCH($E307,SETUP!$A$55:$A$64,0)),"Other")))</f>
        <v>Support</v>
      </c>
      <c r="G307" s="70">
        <v>62565</v>
      </c>
      <c r="H307" s="19" t="str">
        <f>IF($C307="","",IF($G307="","-",INDEX(SETUP!$B$26:$B$32,MATCH($G307,SETUP!$A$26:$A$32,1))))</f>
        <v>62,000 - 62,999</v>
      </c>
      <c r="I307" s="70">
        <v>3246</v>
      </c>
      <c r="J307" s="19" t="str">
        <f>IF($C307="","",IF($I307="","-",INDEX(SETUP!$B$16:$B$22,MATCH($I307,SETUP!$A$16:$A$22,1))))</f>
        <v>DEVELOPING</v>
      </c>
      <c r="K307" s="19" t="str">
        <f>IF($C307="","",IF($I307="","-",TEXT(INT($I307/1000)*1000,"#,##0")&amp;" - "&amp;TEXT(INT($I307/1000)*1000+999,"#,##0")))</f>
        <v>3,000 - 3,999</v>
      </c>
      <c r="L307" s="71">
        <v>4.59</v>
      </c>
      <c r="M307" s="19" t="str">
        <f>IF($C307="","",IF($L307="","-",INDEX(SETUP!$B$36:$B$42,MATCH($L307,SETUP!$A$36:$A$42,1))))</f>
        <v>4k - 5k</v>
      </c>
      <c r="N307" s="21">
        <f>IF($C307="","",IF(OR($G307="",$I307=""),"",ROUND(100*(SETUP!$B$4*MIN(1,$I307/SETUP!$B$9)+SETUP!$B$5*MAX(0,MIN(1,($G307-SETUP!$B$10)/(SETUP!$B$11-SETUP!$B$10)))+SETUP!$B$6*MIN(1,IF($L307="",0,$L307)/SETUP!$B$12)),1)))</f>
        <v>41.7</v>
      </c>
      <c r="O307" s="19" t="str">
        <f>IF($C307="","",IF($N307="","-",INDEX(SETUP!$B$46:$B$51,MATCH($N307,SETUP!$A$46:$A$51,1))))</f>
        <v>B</v>
      </c>
      <c r="P307" s="19">
        <f>IF($C307="","",IF($I307="","",RANK($I307,$I$4:$I$1463)+COUNTIF($I$4:$I307,$I307)-1))</f>
        <v>807</v>
      </c>
      <c r="Q307" s="19">
        <f>IF($C307="","",COUNTIFS($B$4:$B$1463,$B307,$X$4:$X$1463,"&gt;"&amp;$X307)+COUNTIFS($B$4:$B307,$B307,$X$4:$X307,"="&amp;$X307))</f>
        <v>89</v>
      </c>
      <c r="R307" s="75">
        <f>IF($C307="","",IF($I307="","",ROUND(COUNTIF($I$4:$I$1463,"&lt;"&amp;$I307)/COUNT($I$4:$I$1463),3)))</f>
        <v>0.39100000000000001</v>
      </c>
      <c r="S307" s="19" t="str">
        <f>IF($C307="","",IF($G307="","Name only",IF(OR($I307="",$L307=""),"Partial","Complete")))</f>
        <v>Complete</v>
      </c>
      <c r="T307" s="1" t="str">
        <f>IF($C307="","",TRIM(IF(COUNTIF($C$4:$C$1463,$C307)&gt;1,"Dup name; ","")&amp;IF(AND($G307&lt;&gt;"",$G307&lt;55000),"Low CR - verify; ","")&amp;IF(AND($L307&lt;&gt;"",$L307&gt;15),"Secondary - verify; ","")&amp;IF($E307="","No class; ","")))</f>
        <v/>
      </c>
      <c r="U307" s="68"/>
      <c r="V307" s="68"/>
      <c r="W307" s="68"/>
      <c r="X307" s="76">
        <f t="shared" si="22"/>
        <v>3246</v>
      </c>
      <c r="Y307" s="1" t="str">
        <f t="shared" si="23"/>
        <v>LEGENDS|89</v>
      </c>
      <c r="Z307" s="19">
        <f>IF($C307="","",IF($G307="","",RANK($G307,$G$4:$G$1463)+COUNTIF($G$4:$G307,$G307)-1))</f>
        <v>627</v>
      </c>
      <c r="AA307" s="19">
        <f>IF($C307="","",IF($N307="","",RANK($N307,$N$4:$N$1463)+COUNTIF($N$4:$N307,$N307)-1))</f>
        <v>748</v>
      </c>
      <c r="AB307" s="1" t="str">
        <f>IF($C307="","",IF($E307="","",$E307&amp;"#"&amp;(COUNTIFS($E$4:$E$1463,$E307,$X$4:$X$1463,"&gt;"&amp;$X307)+COUNTIFS($E$4:$E307,$E307,$X$4:$X307,"="&amp;$X307))))</f>
        <v>MONK#28</v>
      </c>
      <c r="AC307" s="1" t="str">
        <f>IF($C307="","",$B307&amp;"@"&amp;(COUNTIFS($B$4:$B$1463,$B307,$C$4:$C$1463,"&lt;"&amp;$C307)+COUNTIFS($B$4:$B307,$B307,$C$4:$C307,$C307)))</f>
        <v>LEGENDS@32</v>
      </c>
      <c r="AD307" s="1">
        <f t="shared" si="24"/>
        <v>304</v>
      </c>
      <c r="AE307" s="1" t="s">
        <v>1102</v>
      </c>
      <c r="AF307" s="76">
        <f t="shared" si="25"/>
        <v>62565</v>
      </c>
      <c r="AG307" s="77">
        <f t="shared" si="26"/>
        <v>4.59</v>
      </c>
      <c r="AH307" s="1" t="str">
        <f>IF($C307="","",$B307&amp;"|"&amp;(COUNTIFS($B$4:$B$1463,$B307,$AF$4:$AF$1463,"&gt;"&amp;$AF307)+COUNTIFS($B$4:$B307,$B307,$AF$4:$AF307,"="&amp;$AF307)))</f>
        <v>LEGENDS|66</v>
      </c>
      <c r="AI307" s="1" t="str">
        <f>IF($C307="","",$B307&amp;"|"&amp;(COUNTIFS($B$4:$B$1463,$B307,$AG$4:$AG$1463,"&gt;"&amp;$AG307)+COUNTIFS($B$4:$B307,$B307,$AG$4:$AG307,"="&amp;$AG307)))</f>
        <v>LEGENDS|75</v>
      </c>
    </row>
    <row r="308" spans="1:35" hidden="1">
      <c r="A308" s="69" t="s">
        <v>109</v>
      </c>
      <c r="B308" s="69" t="s">
        <v>117</v>
      </c>
      <c r="C308" s="63" t="s">
        <v>1103</v>
      </c>
      <c r="D308" s="69"/>
      <c r="E308" s="68" t="s">
        <v>77</v>
      </c>
      <c r="F308" s="15" t="str">
        <f>IF($C308="","",IF($E308="","-",IFERROR(INDEX(SETUP!$B$55:$B$64,MATCH($E308,SETUP!$A$55:$A$64,0)),"Other")))</f>
        <v>Control</v>
      </c>
      <c r="G308" s="70">
        <v>59889</v>
      </c>
      <c r="H308" s="15" t="str">
        <f>IF($C308="","",IF($G308="","-",INDEX(SETUP!$B$26:$B$32,MATCH($G308,SETUP!$A$26:$A$32,1))))</f>
        <v>58,000 - 59,999</v>
      </c>
      <c r="I308" s="70">
        <v>710</v>
      </c>
      <c r="J308" s="15" t="str">
        <f>IF($C308="","",IF($I308="","-",INDEX(SETUP!$B$16:$B$22,MATCH($I308,SETUP!$A$16:$A$22,1))))</f>
        <v>ROOKIE</v>
      </c>
      <c r="K308" s="15" t="str">
        <f>IF($C308="","",IF($I308="","-",TEXT(INT($I308/1000)*1000,"#,##0")&amp;" - "&amp;TEXT(INT($I308/1000)*1000+999,"#,##0")))</f>
        <v>0 - 999</v>
      </c>
      <c r="L308" s="71">
        <v>2.5</v>
      </c>
      <c r="M308" s="15" t="str">
        <f>IF($C308="","",IF($L308="","-",INDEX(SETUP!$B$36:$B$42,MATCH($L308,SETUP!$A$36:$A$42,1))))</f>
        <v>Under 3k</v>
      </c>
      <c r="N308" s="17">
        <f>IF($C308="","",IF(OR($G308="",$I308=""),"",ROUND(100*(SETUP!$B$4*MIN(1,$I308/SETUP!$B$9)+SETUP!$B$5*MAX(0,MIN(1,($G308-SETUP!$B$10)/(SETUP!$B$11-SETUP!$B$10)))+SETUP!$B$6*MIN(1,IF($L308="",0,$L308)/SETUP!$B$12)),1)))</f>
        <v>20.100000000000001</v>
      </c>
      <c r="O308" s="15" t="str">
        <f>IF($C308="","",IF($N308="","-",INDEX(SETUP!$B$46:$B$51,MATCH($N308,SETUP!$A$46:$A$51,1))))</f>
        <v>C</v>
      </c>
      <c r="P308" s="15">
        <f>IF($C308="","",IF($I308="","",RANK($I308,$I$4:$I$1463)+COUNTIF($I$4:$I308,$I308)-1))</f>
        <v>1304</v>
      </c>
      <c r="Q308" s="15">
        <f>IF($C308="","",COUNTIFS($B$4:$B$1463,$B308,$X$4:$X$1463,"&gt;"&amp;$X308)+COUNTIFS($B$4:$B308,$B308,$X$4:$X308,"="&amp;$X308))</f>
        <v>91</v>
      </c>
      <c r="R308" s="72">
        <f>IF($C308="","",IF($I308="","",ROUND(COUNTIF($I$4:$I$1463,"&lt;"&amp;$I308)/COUNT($I$4:$I$1463),3)))</f>
        <v>1.4999999999999999E-2</v>
      </c>
      <c r="S308" s="15" t="str">
        <f>IF($C308="","",IF($G308="","Name only",IF(OR($I308="",$L308=""),"Partial","Complete")))</f>
        <v>Complete</v>
      </c>
      <c r="T308" s="41" t="str">
        <f>IF($C308="","",TRIM(IF(COUNTIF($C$4:$C$1463,$C308)&gt;1,"Dup name; ","")&amp;IF(AND($G308&lt;&gt;"",$G308&lt;55000),"Low CR - verify; ","")&amp;IF(AND($L308&lt;&gt;"",$L308&gt;15),"Secondary - verify; ","")&amp;IF($E308="","No class; ","")))</f>
        <v/>
      </c>
      <c r="U308" s="68"/>
      <c r="V308" s="68"/>
      <c r="W308" s="68"/>
      <c r="X308" s="73">
        <f t="shared" si="22"/>
        <v>710</v>
      </c>
      <c r="Y308" s="41" t="str">
        <f t="shared" si="23"/>
        <v>VENDETTA|91</v>
      </c>
      <c r="Z308" s="15">
        <f>IF($C308="","",IF($G308="","",RANK($G308,$G$4:$G$1463)+COUNTIF($G$4:$G308,$G308)-1))</f>
        <v>1246</v>
      </c>
      <c r="AA308" s="15">
        <f>IF($C308="","",IF($N308="","",RANK($N308,$N$4:$N$1463)+COUNTIF($N$4:$N308,$N308)-1))</f>
        <v>1291</v>
      </c>
      <c r="AB308" s="41" t="str">
        <f>IF($C308="","",IF($E308="","",$E308&amp;"#"&amp;(COUNTIFS($E$4:$E$1463,$E308,$X$4:$X$1463,"&gt;"&amp;$X308)+COUNTIFS($E$4:$E308,$E308,$X$4:$X308,"="&amp;$X308))))</f>
        <v>NECROMANCER#104</v>
      </c>
      <c r="AC308" s="41" t="str">
        <f>IF($C308="","",$B308&amp;"@"&amp;(COUNTIFS($B$4:$B$1463,$B308,$C$4:$C$1463,"&lt;"&amp;$C308)+COUNTIFS($B$4:$B308,$B308,$C$4:$C308,$C308)))</f>
        <v>VENDETTA@23</v>
      </c>
      <c r="AD308" s="41">
        <f t="shared" si="24"/>
        <v>305</v>
      </c>
      <c r="AE308" s="41" t="s">
        <v>842</v>
      </c>
      <c r="AF308" s="73">
        <f t="shared" si="25"/>
        <v>59889</v>
      </c>
      <c r="AG308" s="74">
        <f t="shared" si="26"/>
        <v>2.5</v>
      </c>
      <c r="AH308" s="41" t="str">
        <f>IF($C308="","",$B308&amp;"|"&amp;(COUNTIFS($B$4:$B$1463,$B308,$AF$4:$AF$1463,"&gt;"&amp;$AF308)+COUNTIFS($B$4:$B308,$B308,$AF$4:$AF308,"="&amp;$AF308)))</f>
        <v>VENDETTA|85</v>
      </c>
      <c r="AI308" s="41" t="str">
        <f>IF($C308="","",$B308&amp;"|"&amp;(COUNTIFS($B$4:$B$1463,$B308,$AG$4:$AG$1463,"&gt;"&amp;$AG308)+COUNTIFS($B$4:$B308,$B308,$AG$4:$AG308,"="&amp;$AG308)))</f>
        <v>VENDETTA|91</v>
      </c>
    </row>
    <row r="309" spans="1:35" hidden="1">
      <c r="A309" s="69" t="s">
        <v>109</v>
      </c>
      <c r="B309" s="69" t="s">
        <v>110</v>
      </c>
      <c r="C309" s="63" t="s">
        <v>1104</v>
      </c>
      <c r="D309" s="69"/>
      <c r="E309" s="68" t="s">
        <v>78</v>
      </c>
      <c r="F309" s="19" t="str">
        <f>IF($C309="","",IF($E309="","-",IFERROR(INDEX(SETUP!$B$55:$B$64,MATCH($E309,SETUP!$A$55:$A$64,0)),"Other")))</f>
        <v>Melee DPS</v>
      </c>
      <c r="G309" s="70">
        <v>61641</v>
      </c>
      <c r="H309" s="19" t="str">
        <f>IF($C309="","",IF($G309="","-",INDEX(SETUP!$B$26:$B$32,MATCH($G309,SETUP!$A$26:$A$32,1))))</f>
        <v>61,000 - 61,999</v>
      </c>
      <c r="I309" s="70">
        <v>3205</v>
      </c>
      <c r="J309" s="19" t="str">
        <f>IF($C309="","",IF($I309="","-",INDEX(SETUP!$B$16:$B$22,MATCH($I309,SETUP!$A$16:$A$22,1))))</f>
        <v>DEVELOPING</v>
      </c>
      <c r="K309" s="19" t="str">
        <f>IF($C309="","",IF($I309="","-",TEXT(INT($I309/1000)*1000,"#,##0")&amp;" - "&amp;TEXT(INT($I309/1000)*1000+999,"#,##0")))</f>
        <v>3,000 - 3,999</v>
      </c>
      <c r="L309" s="71">
        <v>5.3</v>
      </c>
      <c r="M309" s="19" t="str">
        <f>IF($C309="","",IF($L309="","-",INDEX(SETUP!$B$36:$B$42,MATCH($L309,SETUP!$A$36:$A$42,1))))</f>
        <v>5k - 6k</v>
      </c>
      <c r="N309" s="21">
        <f>IF($C309="","",IF(OR($G309="",$I309=""),"",ROUND(100*(SETUP!$B$4*MIN(1,$I309/SETUP!$B$9)+SETUP!$B$5*MAX(0,MIN(1,($G309-SETUP!$B$10)/(SETUP!$B$11-SETUP!$B$10)))+SETUP!$B$6*MIN(1,IF($L309="",0,$L309)/SETUP!$B$12)),1)))</f>
        <v>40.299999999999997</v>
      </c>
      <c r="O309" s="19" t="str">
        <f>IF($C309="","",IF($N309="","-",INDEX(SETUP!$B$46:$B$51,MATCH($N309,SETUP!$A$46:$A$51,1))))</f>
        <v>B</v>
      </c>
      <c r="P309" s="19">
        <f>IF($C309="","",IF($I309="","",RANK($I309,$I$4:$I$1463)+COUNTIF($I$4:$I309,$I309)-1))</f>
        <v>821</v>
      </c>
      <c r="Q309" s="19">
        <f>IF($C309="","",COUNTIFS($B$4:$B$1463,$B309,$X$4:$X$1463,"&gt;"&amp;$X309)+COUNTIFS($B$4:$B309,$B309,$X$4:$X309,"="&amp;$X309))</f>
        <v>85</v>
      </c>
      <c r="R309" s="75">
        <f>IF($C309="","",IF($I309="","",ROUND(COUNTIF($I$4:$I$1463,"&lt;"&amp;$I309)/COUNT($I$4:$I$1463),3)))</f>
        <v>0.38</v>
      </c>
      <c r="S309" s="19" t="str">
        <f>IF($C309="","",IF($G309="","Name only",IF(OR($I309="",$L309=""),"Partial","Complete")))</f>
        <v>Complete</v>
      </c>
      <c r="T309" s="1" t="str">
        <f>IF($C309="","",TRIM(IF(COUNTIF($C$4:$C$1463,$C309)&gt;1,"Dup name; ","")&amp;IF(AND($G309&lt;&gt;"",$G309&lt;55000),"Low CR - verify; ","")&amp;IF(AND($L309&lt;&gt;"",$L309&gt;15),"Secondary - verify; ","")&amp;IF($E309="","No class; ","")))</f>
        <v/>
      </c>
      <c r="U309" s="68"/>
      <c r="V309" s="68"/>
      <c r="W309" s="68"/>
      <c r="X309" s="76">
        <f t="shared" si="22"/>
        <v>3205</v>
      </c>
      <c r="Y309" s="1" t="str">
        <f t="shared" si="23"/>
        <v>AZUKI|85</v>
      </c>
      <c r="Z309" s="19">
        <f>IF($C309="","",IF($G309="","",RANK($G309,$G$4:$G$1463)+COUNTIF($G$4:$G309,$G309)-1))</f>
        <v>964</v>
      </c>
      <c r="AA309" s="19">
        <f>IF($C309="","",IF($N309="","",RANK($N309,$N$4:$N$1463)+COUNTIF($N$4:$N309,$N309)-1))</f>
        <v>810</v>
      </c>
      <c r="AB309" s="1" t="str">
        <f>IF($C309="","",IF($E309="","",$E309&amp;"#"&amp;(COUNTIFS($E$4:$E$1463,$E309,$X$4:$X$1463,"&gt;"&amp;$X309)+COUNTIFS($E$4:$E309,$E309,$X$4:$X309,"="&amp;$X309))))</f>
        <v>TEMPEST#31</v>
      </c>
      <c r="AC309" s="1" t="str">
        <f>IF($C309="","",$B309&amp;"@"&amp;(COUNTIFS($B$4:$B$1463,$B309,$C$4:$C$1463,"&lt;"&amp;$C309)+COUNTIFS($B$4:$B309,$B309,$C$4:$C309,$C309)))</f>
        <v>AZUKI@28</v>
      </c>
      <c r="AD309" s="1">
        <f t="shared" si="24"/>
        <v>306</v>
      </c>
      <c r="AE309" s="1" t="s">
        <v>1105</v>
      </c>
      <c r="AF309" s="76">
        <f t="shared" si="25"/>
        <v>61641</v>
      </c>
      <c r="AG309" s="77">
        <f t="shared" si="26"/>
        <v>5.3</v>
      </c>
      <c r="AH309" s="1" t="str">
        <f>IF($C309="","",$B309&amp;"|"&amp;(COUNTIFS($B$4:$B$1463,$B309,$AF$4:$AF$1463,"&gt;"&amp;$AF309)+COUNTIFS($B$4:$B309,$B309,$AF$4:$AF309,"="&amp;$AF309)))</f>
        <v>AZUKI|90</v>
      </c>
      <c r="AI309" s="1" t="str">
        <f>IF($C309="","",$B309&amp;"|"&amp;(COUNTIFS($B$4:$B$1463,$B309,$AG$4:$AG$1463,"&gt;"&amp;$AG309)+COUNTIFS($B$4:$B309,$B309,$AG$4:$AG309,"="&amp;$AG309)))</f>
        <v>AZUKI|63</v>
      </c>
    </row>
    <row r="310" spans="1:35" hidden="1">
      <c r="A310" s="69" t="s">
        <v>109</v>
      </c>
      <c r="B310" s="69" t="s">
        <v>117</v>
      </c>
      <c r="C310" s="63" t="s">
        <v>1106</v>
      </c>
      <c r="D310" s="69"/>
      <c r="E310" s="68" t="s">
        <v>79</v>
      </c>
      <c r="F310" s="15" t="str">
        <f>IF($C310="","",IF($E310="","-",IFERROR(INDEX(SETUP!$B$55:$B$64,MATCH($E310,SETUP!$A$55:$A$64,0)),"Other")))</f>
        <v>Control</v>
      </c>
      <c r="G310" s="70">
        <v>61845</v>
      </c>
      <c r="H310" s="15" t="str">
        <f>IF($C310="","",IF($G310="","-",INDEX(SETUP!$B$26:$B$32,MATCH($G310,SETUP!$A$26:$A$32,1))))</f>
        <v>61,000 - 61,999</v>
      </c>
      <c r="I310" s="70">
        <v>3592</v>
      </c>
      <c r="J310" s="15" t="str">
        <f>IF($C310="","",IF($I310="","-",INDEX(SETUP!$B$16:$B$22,MATCH($I310,SETUP!$A$16:$A$22,1))))</f>
        <v>DEVELOPING</v>
      </c>
      <c r="K310" s="15" t="str">
        <f>IF($C310="","",IF($I310="","-",TEXT(INT($I310/1000)*1000,"#,##0")&amp;" - "&amp;TEXT(INT($I310/1000)*1000+999,"#,##0")))</f>
        <v>3,000 - 3,999</v>
      </c>
      <c r="L310" s="71">
        <v>4</v>
      </c>
      <c r="M310" s="15" t="str">
        <f>IF($C310="","",IF($L310="","-",INDEX(SETUP!$B$36:$B$42,MATCH($L310,SETUP!$A$36:$A$42,1))))</f>
        <v>4k - 5k</v>
      </c>
      <c r="N310" s="17">
        <f>IF($C310="","",IF(OR($G310="",$I310=""),"",ROUND(100*(SETUP!$B$4*MIN(1,$I310/SETUP!$B$9)+SETUP!$B$5*MAX(0,MIN(1,($G310-SETUP!$B$10)/(SETUP!$B$11-SETUP!$B$10)))+SETUP!$B$6*MIN(1,IF($L310="",0,$L310)/SETUP!$B$12)),1)))</f>
        <v>40.4</v>
      </c>
      <c r="O310" s="15" t="str">
        <f>IF($C310="","",IF($N310="","-",INDEX(SETUP!$B$46:$B$51,MATCH($N310,SETUP!$A$46:$A$51,1))))</f>
        <v>B</v>
      </c>
      <c r="P310" s="15">
        <f>IF($C310="","",IF($I310="","",RANK($I310,$I$4:$I$1463)+COUNTIF($I$4:$I310,$I310)-1))</f>
        <v>702</v>
      </c>
      <c r="Q310" s="15">
        <f>IF($C310="","",COUNTIFS($B$4:$B$1463,$B310,$X$4:$X$1463,"&gt;"&amp;$X310)+COUNTIFS($B$4:$B310,$B310,$X$4:$X310,"="&amp;$X310))</f>
        <v>5</v>
      </c>
      <c r="R310" s="72">
        <f>IF($C310="","",IF($I310="","",ROUND(COUNTIF($I$4:$I$1463,"&lt;"&amp;$I310)/COUNT($I$4:$I$1463),3)))</f>
        <v>0.47</v>
      </c>
      <c r="S310" s="15" t="str">
        <f>IF($C310="","",IF($G310="","Name only",IF(OR($I310="",$L310=""),"Partial","Complete")))</f>
        <v>Complete</v>
      </c>
      <c r="T310" s="41" t="str">
        <f>IF($C310="","",TRIM(IF(COUNTIF($C$4:$C$1463,$C310)&gt;1,"Dup name; ","")&amp;IF(AND($G310&lt;&gt;"",$G310&lt;55000),"Low CR - verify; ","")&amp;IF(AND($L310&lt;&gt;"",$L310&gt;15),"Secondary - verify; ","")&amp;IF($E310="","No class; ","")))</f>
        <v/>
      </c>
      <c r="U310" s="68"/>
      <c r="V310" s="68"/>
      <c r="W310" s="68"/>
      <c r="X310" s="73">
        <f t="shared" si="22"/>
        <v>3592</v>
      </c>
      <c r="Y310" s="41" t="str">
        <f t="shared" si="23"/>
        <v>VENDETTA|5</v>
      </c>
      <c r="Z310" s="15">
        <f>IF($C310="","",IF($G310="","",RANK($G310,$G$4:$G$1463)+COUNTIF($G$4:$G310,$G310)-1))</f>
        <v>899</v>
      </c>
      <c r="AA310" s="15">
        <f>IF($C310="","",IF($N310="","",RANK($N310,$N$4:$N$1463)+COUNTIF($N$4:$N310,$N310)-1))</f>
        <v>806</v>
      </c>
      <c r="AB310" s="41" t="str">
        <f>IF($C310="","",IF($E310="","",$E310&amp;"#"&amp;(COUNTIFS($E$4:$E$1463,$E310,$X$4:$X$1463,"&gt;"&amp;$X310)+COUNTIFS($E$4:$E310,$E310,$X$4:$X310,"="&amp;$X310))))</f>
        <v>WARLOCK#173</v>
      </c>
      <c r="AC310" s="41" t="str">
        <f>IF($C310="","",$B310&amp;"@"&amp;(COUNTIFS($B$4:$B$1463,$B310,$C$4:$C$1463,"&lt;"&amp;$C310)+COUNTIFS($B$4:$B310,$B310,$C$4:$C310,$C310)))</f>
        <v>VENDETTA@24</v>
      </c>
      <c r="AD310" s="41">
        <f t="shared" si="24"/>
        <v>307</v>
      </c>
      <c r="AE310" s="41" t="s">
        <v>1107</v>
      </c>
      <c r="AF310" s="73">
        <f t="shared" si="25"/>
        <v>61845</v>
      </c>
      <c r="AG310" s="74">
        <f t="shared" si="26"/>
        <v>4</v>
      </c>
      <c r="AH310" s="41" t="str">
        <f>IF($C310="","",$B310&amp;"|"&amp;(COUNTIFS($B$4:$B$1463,$B310,$AF$4:$AF$1463,"&gt;"&amp;$AF310)+COUNTIFS($B$4:$B310,$B310,$AF$4:$AF310,"="&amp;$AF310)))</f>
        <v>VENDETTA|44</v>
      </c>
      <c r="AI310" s="41" t="str">
        <f>IF($C310="","",$B310&amp;"|"&amp;(COUNTIFS($B$4:$B$1463,$B310,$AG$4:$AG$1463,"&gt;"&amp;$AG310)+COUNTIFS($B$4:$B310,$B310,$AG$4:$AG310,"="&amp;$AG310)))</f>
        <v>VENDETTA|37</v>
      </c>
    </row>
    <row r="311" spans="1:35" hidden="1">
      <c r="A311" s="69" t="s">
        <v>109</v>
      </c>
      <c r="B311" s="69" t="s">
        <v>115</v>
      </c>
      <c r="C311" s="63" t="s">
        <v>1108</v>
      </c>
      <c r="D311" s="69"/>
      <c r="E311" s="68" t="s">
        <v>79</v>
      </c>
      <c r="F311" s="19" t="str">
        <f>IF($C311="","",IF($E311="","-",IFERROR(INDEX(SETUP!$B$55:$B$64,MATCH($E311,SETUP!$A$55:$A$64,0)),"Other")))</f>
        <v>Control</v>
      </c>
      <c r="G311" s="70">
        <v>61814</v>
      </c>
      <c r="H311" s="19" t="str">
        <f>IF($C311="","",IF($G311="","-",INDEX(SETUP!$B$26:$B$32,MATCH($G311,SETUP!$A$26:$A$32,1))))</f>
        <v>61,000 - 61,999</v>
      </c>
      <c r="I311" s="70">
        <v>3548</v>
      </c>
      <c r="J311" s="19" t="str">
        <f>IF($C311="","",IF($I311="","-",INDEX(SETUP!$B$16:$B$22,MATCH($I311,SETUP!$A$16:$A$22,1))))</f>
        <v>DEVELOPING</v>
      </c>
      <c r="K311" s="19" t="str">
        <f>IF($C311="","",IF($I311="","-",TEXT(INT($I311/1000)*1000,"#,##0")&amp;" - "&amp;TEXT(INT($I311/1000)*1000+999,"#,##0")))</f>
        <v>3,000 - 3,999</v>
      </c>
      <c r="L311" s="71">
        <v>4.5</v>
      </c>
      <c r="M311" s="19" t="str">
        <f>IF($C311="","",IF($L311="","-",INDEX(SETUP!$B$36:$B$42,MATCH($L311,SETUP!$A$36:$A$42,1))))</f>
        <v>4k - 5k</v>
      </c>
      <c r="N311" s="21">
        <f>IF($C311="","",IF(OR($G311="",$I311=""),"",ROUND(100*(SETUP!$B$4*MIN(1,$I311/SETUP!$B$9)+SETUP!$B$5*MAX(0,MIN(1,($G311-SETUP!$B$10)/(SETUP!$B$11-SETUP!$B$10)))+SETUP!$B$6*MIN(1,IF($L311="",0,$L311)/SETUP!$B$12)),1)))</f>
        <v>40.9</v>
      </c>
      <c r="O311" s="19" t="str">
        <f>IF($C311="","",IF($N311="","-",INDEX(SETUP!$B$46:$B$51,MATCH($N311,SETUP!$A$46:$A$51,1))))</f>
        <v>B</v>
      </c>
      <c r="P311" s="19">
        <f>IF($C311="","",IF($I311="","",RANK($I311,$I$4:$I$1463)+COUNTIF($I$4:$I311,$I311)-1))</f>
        <v>714</v>
      </c>
      <c r="Q311" s="19">
        <f>IF($C311="","",COUNTIFS($B$4:$B$1463,$B311,$X$4:$X$1463,"&gt;"&amp;$X311)+COUNTIFS($B$4:$B311,$B311,$X$4:$X311,"="&amp;$X311))</f>
        <v>19</v>
      </c>
      <c r="R311" s="75">
        <f>IF($C311="","",IF($I311="","",ROUND(COUNTIF($I$4:$I$1463,"&lt;"&amp;$I311)/COUNT($I$4:$I$1463),3)))</f>
        <v>0.46100000000000002</v>
      </c>
      <c r="S311" s="19" t="str">
        <f>IF($C311="","",IF($G311="","Name only",IF(OR($I311="",$L311=""),"Partial","Complete")))</f>
        <v>Complete</v>
      </c>
      <c r="T311" s="1" t="str">
        <f>IF($C311="","",TRIM(IF(COUNTIF($C$4:$C$1463,$C311)&gt;1,"Dup name; ","")&amp;IF(AND($G311&lt;&gt;"",$G311&lt;55000),"Low CR - verify; ","")&amp;IF(AND($L311&lt;&gt;"",$L311&gt;15),"Secondary - verify; ","")&amp;IF($E311="","No class; ","")))</f>
        <v/>
      </c>
      <c r="U311" s="68"/>
      <c r="V311" s="68"/>
      <c r="W311" s="68"/>
      <c r="X311" s="76">
        <f t="shared" si="22"/>
        <v>3548</v>
      </c>
      <c r="Y311" s="1" t="str">
        <f t="shared" si="23"/>
        <v>SUB ROSA|19</v>
      </c>
      <c r="Z311" s="19">
        <f>IF($C311="","",IF($G311="","",RANK($G311,$G$4:$G$1463)+COUNTIF($G$4:$G311,$G311)-1))</f>
        <v>909</v>
      </c>
      <c r="AA311" s="19">
        <f>IF($C311="","",IF($N311="","",RANK($N311,$N$4:$N$1463)+COUNTIF($N$4:$N311,$N311)-1))</f>
        <v>781</v>
      </c>
      <c r="AB311" s="1" t="str">
        <f>IF($C311="","",IF($E311="","",$E311&amp;"#"&amp;(COUNTIFS($E$4:$E$1463,$E311,$X$4:$X$1463,"&gt;"&amp;$X311)+COUNTIFS($E$4:$E311,$E311,$X$4:$X311,"="&amp;$X311))))</f>
        <v>WARLOCK#177</v>
      </c>
      <c r="AC311" s="1" t="str">
        <f>IF($C311="","",$B311&amp;"@"&amp;(COUNTIFS($B$4:$B$1463,$B311,$C$4:$C$1463,"&lt;"&amp;$C311)+COUNTIFS($B$4:$B311,$B311,$C$4:$C311,$C311)))</f>
        <v>SUB ROSA@17</v>
      </c>
      <c r="AD311" s="1">
        <f t="shared" si="24"/>
        <v>308</v>
      </c>
      <c r="AE311" s="1" t="s">
        <v>630</v>
      </c>
      <c r="AF311" s="76">
        <f t="shared" si="25"/>
        <v>61814</v>
      </c>
      <c r="AG311" s="77">
        <f t="shared" si="26"/>
        <v>4.5</v>
      </c>
      <c r="AH311" s="1" t="str">
        <f>IF($C311="","",$B311&amp;"|"&amp;(COUNTIFS($B$4:$B$1463,$B311,$AF$4:$AF$1463,"&gt;"&amp;$AF311)+COUNTIFS($B$4:$B311,$B311,$AF$4:$AF311,"="&amp;$AF311)))</f>
        <v>SUB ROSA|37</v>
      </c>
      <c r="AI311" s="1" t="str">
        <f>IF($C311="","",$B311&amp;"|"&amp;(COUNTIFS($B$4:$B$1463,$B311,$AG$4:$AG$1463,"&gt;"&amp;$AG311)+COUNTIFS($B$4:$B311,$B311,$AG$4:$AG311,"="&amp;$AG311)))</f>
        <v>SUB ROSA|16</v>
      </c>
    </row>
    <row r="312" spans="1:35" hidden="1">
      <c r="A312" s="69" t="s">
        <v>106</v>
      </c>
      <c r="B312" s="69" t="s">
        <v>105</v>
      </c>
      <c r="C312" s="63" t="s">
        <v>1109</v>
      </c>
      <c r="D312" s="69" t="s">
        <v>691</v>
      </c>
      <c r="E312" s="68" t="s">
        <v>71</v>
      </c>
      <c r="F312" s="15" t="str">
        <f>IF($C312="","",IF($E312="","-",IFERROR(INDEX(SETUP!$B$55:$B$64,MATCH($E312,SETUP!$A$55:$A$64,0)),"Other")))</f>
        <v>Frontline</v>
      </c>
      <c r="G312" s="70">
        <v>63523</v>
      </c>
      <c r="H312" s="15" t="str">
        <f>IF($C312="","",IF($G312="","-",INDEX(SETUP!$B$26:$B$32,MATCH($G312,SETUP!$A$26:$A$32,1))))</f>
        <v>63,000 - 63,999</v>
      </c>
      <c r="I312" s="70">
        <v>6920</v>
      </c>
      <c r="J312" s="15" t="str">
        <f>IF($C312="","",IF($I312="","-",INDEX(SETUP!$B$16:$B$22,MATCH($I312,SETUP!$A$16:$A$22,1))))</f>
        <v>VETERAN</v>
      </c>
      <c r="K312" s="15" t="str">
        <f>IF($C312="","",IF($I312="","-",TEXT(INT($I312/1000)*1000,"#,##0")&amp;" - "&amp;TEXT(INT($I312/1000)*1000+999,"#,##0")))</f>
        <v>6,000 - 6,999</v>
      </c>
      <c r="L312" s="71">
        <v>5.38</v>
      </c>
      <c r="M312" s="15" t="str">
        <f>IF($C312="","",IF($L312="","-",INDEX(SETUP!$B$36:$B$42,MATCH($L312,SETUP!$A$36:$A$42,1))))</f>
        <v>5k - 6k</v>
      </c>
      <c r="N312" s="17">
        <f>IF($C312="","",IF(OR($G312="",$I312=""),"",ROUND(100*(SETUP!$B$4*MIN(1,$I312/SETUP!$B$9)+SETUP!$B$5*MAX(0,MIN(1,($G312-SETUP!$B$10)/(SETUP!$B$11-SETUP!$B$10)))+SETUP!$B$6*MIN(1,IF($L312="",0,$L312)/SETUP!$B$12)),1)))</f>
        <v>61.6</v>
      </c>
      <c r="O312" s="15" t="str">
        <f>IF($C312="","",IF($N312="","-",INDEX(SETUP!$B$46:$B$51,MATCH($N312,SETUP!$A$46:$A$51,1))))</f>
        <v>A</v>
      </c>
      <c r="P312" s="15">
        <f>IF($C312="","",IF($I312="","",RANK($I312,$I$4:$I$1463)+COUNTIF($I$4:$I312,$I312)-1))</f>
        <v>226</v>
      </c>
      <c r="Q312" s="15">
        <f>IF($C312="","",COUNTIFS($B$4:$B$1463,$B312,$X$4:$X$1463,"&gt;"&amp;$X312)+COUNTIFS($B$4:$B312,$B312,$X$4:$X312,"="&amp;$X312))</f>
        <v>22</v>
      </c>
      <c r="R312" s="72">
        <f>IF($C312="","",IF($I312="","",ROUND(COUNTIF($I$4:$I$1463,"&lt;"&amp;$I312)/COUNT($I$4:$I$1463),3)))</f>
        <v>0.82899999999999996</v>
      </c>
      <c r="S312" s="15" t="str">
        <f>IF($C312="","",IF($G312="","Name only",IF(OR($I312="",$L312=""),"Partial","Complete")))</f>
        <v>Complete</v>
      </c>
      <c r="T312" s="41" t="str">
        <f>IF($C312="","",TRIM(IF(COUNTIF($C$4:$C$1463,$C312)&gt;1,"Dup name; ","")&amp;IF(AND($G312&lt;&gt;"",$G312&lt;55000),"Low CR - verify; ","")&amp;IF(AND($L312&lt;&gt;"",$L312&gt;15),"Secondary - verify; ","")&amp;IF($E312="","No class; ","")))</f>
        <v/>
      </c>
      <c r="U312" s="68"/>
      <c r="V312" s="68"/>
      <c r="W312" s="68"/>
      <c r="X312" s="73">
        <f t="shared" si="22"/>
        <v>6920</v>
      </c>
      <c r="Y312" s="41" t="str">
        <f t="shared" si="23"/>
        <v>LEGENDS|22</v>
      </c>
      <c r="Z312" s="15">
        <f>IF($C312="","",IF($G312="","",RANK($G312,$G$4:$G$1463)+COUNTIF($G$4:$G312,$G312)-1))</f>
        <v>185</v>
      </c>
      <c r="AA312" s="15">
        <f>IF($C312="","",IF($N312="","",RANK($N312,$N$4:$N$1463)+COUNTIF($N$4:$N312,$N312)-1))</f>
        <v>219</v>
      </c>
      <c r="AB312" s="41" t="str">
        <f>IF($C312="","",IF($E312="","",$E312&amp;"#"&amp;(COUNTIFS($E$4:$E$1463,$E312,$X$4:$X$1463,"&gt;"&amp;$X312)+COUNTIFS($E$4:$E312,$E312,$X$4:$X312,"="&amp;$X312))))</f>
        <v>BARBARIAN#48</v>
      </c>
      <c r="AC312" s="41" t="str">
        <f>IF($C312="","",$B312&amp;"@"&amp;(COUNTIFS($B$4:$B$1463,$B312,$C$4:$C$1463,"&lt;"&amp;$C312)+COUNTIFS($B$4:$B312,$B312,$C$4:$C312,$C312)))</f>
        <v>LEGENDS@33</v>
      </c>
      <c r="AD312" s="41">
        <f t="shared" si="24"/>
        <v>309</v>
      </c>
      <c r="AE312" s="41" t="s">
        <v>1110</v>
      </c>
      <c r="AF312" s="73">
        <f t="shared" si="25"/>
        <v>63523</v>
      </c>
      <c r="AG312" s="74">
        <f t="shared" si="26"/>
        <v>5.38</v>
      </c>
      <c r="AH312" s="41" t="str">
        <f>IF($C312="","",$B312&amp;"|"&amp;(COUNTIFS($B$4:$B$1463,$B312,$AF$4:$AF$1463,"&gt;"&amp;$AF312)+COUNTIFS($B$4:$B312,$B312,$AF$4:$AF312,"="&amp;$AF312)))</f>
        <v>LEGENDS|23</v>
      </c>
      <c r="AI312" s="41" t="str">
        <f>IF($C312="","",$B312&amp;"|"&amp;(COUNTIFS($B$4:$B$1463,$B312,$AG$4:$AG$1463,"&gt;"&amp;$AG312)+COUNTIFS($B$4:$B312,$B312,$AG$4:$AG312,"="&amp;$AG312)))</f>
        <v>LEGENDS|45</v>
      </c>
    </row>
    <row r="313" spans="1:35" hidden="1">
      <c r="A313" s="69" t="s">
        <v>109</v>
      </c>
      <c r="B313" s="69" t="s">
        <v>111</v>
      </c>
      <c r="C313" s="63" t="s">
        <v>1111</v>
      </c>
      <c r="D313" s="69" t="s">
        <v>527</v>
      </c>
      <c r="E313" s="68" t="s">
        <v>74</v>
      </c>
      <c r="F313" s="19" t="str">
        <f>IF($C313="","",IF($E313="","-",IFERROR(INDEX(SETUP!$B$55:$B$64,MATCH($E313,SETUP!$A$55:$A$64,0)),"Other")))</f>
        <v>Ranged DPS</v>
      </c>
      <c r="G313" s="70">
        <v>61725</v>
      </c>
      <c r="H313" s="19" t="str">
        <f>IF($C313="","",IF($G313="","-",INDEX(SETUP!$B$26:$B$32,MATCH($G313,SETUP!$A$26:$A$32,1))))</f>
        <v>61,000 - 61,999</v>
      </c>
      <c r="I313" s="70">
        <v>3918</v>
      </c>
      <c r="J313" s="19" t="str">
        <f>IF($C313="","",IF($I313="","-",INDEX(SETUP!$B$16:$B$22,MATCH($I313,SETUP!$A$16:$A$22,1))))</f>
        <v>DEVELOPING</v>
      </c>
      <c r="K313" s="19" t="str">
        <f>IF($C313="","",IF($I313="","-",TEXT(INT($I313/1000)*1000,"#,##0")&amp;" - "&amp;TEXT(INT($I313/1000)*1000+999,"#,##0")))</f>
        <v>3,000 - 3,999</v>
      </c>
      <c r="L313" s="71">
        <v>4.6500000000000004</v>
      </c>
      <c r="M313" s="19" t="str">
        <f>IF($C313="","",IF($L313="","-",INDEX(SETUP!$B$36:$B$42,MATCH($L313,SETUP!$A$36:$A$42,1))))</f>
        <v>4k - 5k</v>
      </c>
      <c r="N313" s="21">
        <f>IF($C313="","",IF(OR($G313="",$I313=""),"",ROUND(100*(SETUP!$B$4*MIN(1,$I313/SETUP!$B$9)+SETUP!$B$5*MAX(0,MIN(1,($G313-SETUP!$B$10)/(SETUP!$B$11-SETUP!$B$10)))+SETUP!$B$6*MIN(1,IF($L313="",0,$L313)/SETUP!$B$12)),1)))</f>
        <v>42.5</v>
      </c>
      <c r="O313" s="19" t="str">
        <f>IF($C313="","",IF($N313="","-",INDEX(SETUP!$B$46:$B$51,MATCH($N313,SETUP!$A$46:$A$51,1))))</f>
        <v>B</v>
      </c>
      <c r="P313" s="19">
        <f>IF($C313="","",IF($I313="","",RANK($I313,$I$4:$I$1463)+COUNTIF($I$4:$I313,$I313)-1))</f>
        <v>620</v>
      </c>
      <c r="Q313" s="19">
        <f>IF($C313="","",COUNTIFS($B$4:$B$1463,$B313,$X$4:$X$1463,"&gt;"&amp;$X313)+COUNTIFS($B$4:$B313,$B313,$X$4:$X313,"="&amp;$X313))</f>
        <v>65</v>
      </c>
      <c r="R313" s="75">
        <f>IF($C313="","",IF($I313="","",ROUND(COUNTIF($I$4:$I$1463,"&lt;"&amp;$I313)/COUNT($I$4:$I$1463),3)))</f>
        <v>0.53200000000000003</v>
      </c>
      <c r="S313" s="19" t="str">
        <f>IF($C313="","",IF($G313="","Name only",IF(OR($I313="",$L313=""),"Partial","Complete")))</f>
        <v>Complete</v>
      </c>
      <c r="T313" s="1" t="str">
        <f>IF($C313="","",TRIM(IF(COUNTIF($C$4:$C$1463,$C313)&gt;1,"Dup name; ","")&amp;IF(AND($G313&lt;&gt;"",$G313&lt;55000),"Low CR - verify; ","")&amp;IF(AND($L313&lt;&gt;"",$L313&gt;15),"Secondary - verify; ","")&amp;IF($E313="","No class; ","")))</f>
        <v/>
      </c>
      <c r="U313" s="68"/>
      <c r="V313" s="68"/>
      <c r="W313" s="68"/>
      <c r="X313" s="76">
        <f t="shared" si="22"/>
        <v>3918</v>
      </c>
      <c r="Y313" s="1" t="str">
        <f t="shared" si="23"/>
        <v>RECKONING|65</v>
      </c>
      <c r="Z313" s="19">
        <f>IF($C313="","",IF($G313="","",RANK($G313,$G$4:$G$1463)+COUNTIF($G$4:$G313,$G313)-1))</f>
        <v>933</v>
      </c>
      <c r="AA313" s="19">
        <f>IF($C313="","",IF($N313="","",RANK($N313,$N$4:$N$1463)+COUNTIF($N$4:$N313,$N313)-1))</f>
        <v>725</v>
      </c>
      <c r="AB313" s="1" t="str">
        <f>IF($C313="","",IF($E313="","",$E313&amp;"#"&amp;(COUNTIFS($E$4:$E$1463,$E313,$X$4:$X$1463,"&gt;"&amp;$X313)+COUNTIFS($E$4:$E313,$E313,$X$4:$X313,"="&amp;$X313))))</f>
        <v>DEMON HUNTER#101</v>
      </c>
      <c r="AC313" s="1" t="str">
        <f>IF($C313="","",$B313&amp;"@"&amp;(COUNTIFS($B$4:$B$1463,$B313,$C$4:$C$1463,"&lt;"&amp;$C313)+COUNTIFS($B$4:$B313,$B313,$C$4:$C313,$C313)))</f>
        <v>RECKONING@19</v>
      </c>
      <c r="AD313" s="1">
        <f t="shared" si="24"/>
        <v>310</v>
      </c>
      <c r="AE313" s="1" t="s">
        <v>1112</v>
      </c>
      <c r="AF313" s="76">
        <f t="shared" si="25"/>
        <v>61725</v>
      </c>
      <c r="AG313" s="77">
        <f t="shared" si="26"/>
        <v>4.6500000000000004</v>
      </c>
      <c r="AH313" s="1" t="str">
        <f>IF($C313="","",$B313&amp;"|"&amp;(COUNTIFS($B$4:$B$1463,$B313,$AF$4:$AF$1463,"&gt;"&amp;$AF313)+COUNTIFS($B$4:$B313,$B313,$AF$4:$AF313,"="&amp;$AF313)))</f>
        <v>RECKONING|78</v>
      </c>
      <c r="AI313" s="1" t="str">
        <f>IF($C313="","",$B313&amp;"|"&amp;(COUNTIFS($B$4:$B$1463,$B313,$AG$4:$AG$1463,"&gt;"&amp;$AG313)+COUNTIFS($B$4:$B313,$B313,$AG$4:$AG313,"="&amp;$AG313)))</f>
        <v>RECKONING|75</v>
      </c>
    </row>
    <row r="314" spans="1:35" hidden="1">
      <c r="A314" s="69" t="s">
        <v>109</v>
      </c>
      <c r="B314" s="69" t="s">
        <v>118</v>
      </c>
      <c r="C314" s="63" t="s">
        <v>1113</v>
      </c>
      <c r="D314" s="69"/>
      <c r="E314" s="68" t="s">
        <v>79</v>
      </c>
      <c r="F314" s="15" t="str">
        <f>IF($C314="","",IF($E314="","-",IFERROR(INDEX(SETUP!$B$55:$B$64,MATCH($E314,SETUP!$A$55:$A$64,0)),"Other")))</f>
        <v>Control</v>
      </c>
      <c r="G314" s="70">
        <v>57237</v>
      </c>
      <c r="H314" s="15" t="str">
        <f>IF($C314="","",IF($G314="","-",INDEX(SETUP!$B$26:$B$32,MATCH($G314,SETUP!$A$26:$A$32,1))))</f>
        <v>Under 58,000</v>
      </c>
      <c r="I314" s="70">
        <v>380</v>
      </c>
      <c r="J314" s="15" t="str">
        <f>IF($C314="","",IF($I314="","-",INDEX(SETUP!$B$16:$B$22,MATCH($I314,SETUP!$A$16:$A$22,1))))</f>
        <v>ROOKIE</v>
      </c>
      <c r="K314" s="15" t="str">
        <f>IF($C314="","",IF($I314="","-",TEXT(INT($I314/1000)*1000,"#,##0")&amp;" - "&amp;TEXT(INT($I314/1000)*1000+999,"#,##0")))</f>
        <v>0 - 999</v>
      </c>
      <c r="L314" s="71">
        <v>2.7</v>
      </c>
      <c r="M314" s="15" t="str">
        <f>IF($C314="","",IF($L314="","-",INDEX(SETUP!$B$36:$B$42,MATCH($L314,SETUP!$A$36:$A$42,1))))</f>
        <v>Under 3k</v>
      </c>
      <c r="N314" s="17">
        <f>IF($C314="","",IF(OR($G314="",$I314=""),"",ROUND(100*(SETUP!$B$4*MIN(1,$I314/SETUP!$B$9)+SETUP!$B$5*MAX(0,MIN(1,($G314-SETUP!$B$10)/(SETUP!$B$11-SETUP!$B$10)))+SETUP!$B$6*MIN(1,IF($L314="",0,$L314)/SETUP!$B$12)),1)))</f>
        <v>12</v>
      </c>
      <c r="O314" s="15" t="str">
        <f>IF($C314="","",IF($N314="","-",INDEX(SETUP!$B$46:$B$51,MATCH($N314,SETUP!$A$46:$A$51,1))))</f>
        <v>D</v>
      </c>
      <c r="P314" s="15">
        <f>IF($C314="","",IF($I314="","",RANK($I314,$I$4:$I$1463)+COUNTIF($I$4:$I314,$I314)-1))</f>
        <v>1322</v>
      </c>
      <c r="Q314" s="15">
        <f>IF($C314="","",COUNTIFS($B$4:$B$1463,$B314,$X$4:$X$1463,"&gt;"&amp;$X314)+COUNTIFS($B$4:$B314,$B314,$X$4:$X314,"="&amp;$X314))</f>
        <v>98</v>
      </c>
      <c r="R314" s="72">
        <f>IF($C314="","",IF($I314="","",ROUND(COUNTIF($I$4:$I$1463,"&lt;"&amp;$I314)/COUNT($I$4:$I$1463),3)))</f>
        <v>2E-3</v>
      </c>
      <c r="S314" s="15" t="str">
        <f>IF($C314="","",IF($G314="","Name only",IF(OR($I314="",$L314=""),"Partial","Complete")))</f>
        <v>Complete</v>
      </c>
      <c r="T314" s="41" t="str">
        <f>IF($C314="","",TRIM(IF(COUNTIF($C$4:$C$1463,$C314)&gt;1,"Dup name; ","")&amp;IF(AND($G314&lt;&gt;"",$G314&lt;55000),"Low CR - verify; ","")&amp;IF(AND($L314&lt;&gt;"",$L314&gt;15),"Secondary - verify; ","")&amp;IF($E314="","No class; ","")))</f>
        <v/>
      </c>
      <c r="U314" s="68"/>
      <c r="V314" s="68"/>
      <c r="W314" s="68"/>
      <c r="X314" s="73">
        <f t="shared" si="22"/>
        <v>380</v>
      </c>
      <c r="Y314" s="41" t="str">
        <f t="shared" si="23"/>
        <v>ZOMBIES|98</v>
      </c>
      <c r="Z314" s="15">
        <f>IF($C314="","",IF($G314="","",RANK($G314,$G$4:$G$1463)+COUNTIF($G$4:$G314,$G314)-1))</f>
        <v>1309</v>
      </c>
      <c r="AA314" s="15">
        <f>IF($C314="","",IF($N314="","",RANK($N314,$N$4:$N$1463)+COUNTIF($N$4:$N314,$N314)-1))</f>
        <v>1317</v>
      </c>
      <c r="AB314" s="41" t="str">
        <f>IF($C314="","",IF($E314="","",$E314&amp;"#"&amp;(COUNTIFS($E$4:$E$1463,$E314,$X$4:$X$1463,"&gt;"&amp;$X314)+COUNTIFS($E$4:$E314,$E314,$X$4:$X314,"="&amp;$X314))))</f>
        <v>WARLOCK#325</v>
      </c>
      <c r="AC314" s="41" t="str">
        <f>IF($C314="","",$B314&amp;"@"&amp;(COUNTIFS($B$4:$B$1463,$B314,$C$4:$C$1463,"&lt;"&amp;$C314)+COUNTIFS($B$4:$B314,$B314,$C$4:$C314,$C314)))</f>
        <v>ZOMBIES@24</v>
      </c>
      <c r="AD314" s="41">
        <f t="shared" si="24"/>
        <v>311</v>
      </c>
      <c r="AE314" s="41" t="s">
        <v>570</v>
      </c>
      <c r="AF314" s="73">
        <f t="shared" si="25"/>
        <v>57237</v>
      </c>
      <c r="AG314" s="74">
        <f t="shared" si="26"/>
        <v>2.7</v>
      </c>
      <c r="AH314" s="41" t="str">
        <f>IF($C314="","",$B314&amp;"|"&amp;(COUNTIFS($B$4:$B$1463,$B314,$AF$4:$AF$1463,"&gt;"&amp;$AF314)+COUNTIFS($B$4:$B314,$B314,$AF$4:$AF314,"="&amp;$AF314)))</f>
        <v>ZOMBIES|95</v>
      </c>
      <c r="AI314" s="41" t="str">
        <f>IF($C314="","",$B314&amp;"|"&amp;(COUNTIFS($B$4:$B$1463,$B314,$AG$4:$AG$1463,"&gt;"&amp;$AG314)+COUNTIFS($B$4:$B314,$B314,$AG$4:$AG314,"="&amp;$AG314)))</f>
        <v>ZOMBIES|86</v>
      </c>
    </row>
    <row r="315" spans="1:35" hidden="1">
      <c r="A315" s="69" t="s">
        <v>109</v>
      </c>
      <c r="B315" s="69" t="s">
        <v>114</v>
      </c>
      <c r="C315" s="63" t="s">
        <v>1114</v>
      </c>
      <c r="D315" s="69"/>
      <c r="E315" s="68" t="s">
        <v>74</v>
      </c>
      <c r="F315" s="19" t="str">
        <f>IF($C315="","",IF($E315="","-",IFERROR(INDEX(SETUP!$B$55:$B$64,MATCH($E315,SETUP!$A$55:$A$64,0)),"Other")))</f>
        <v>Ranged DPS</v>
      </c>
      <c r="G315" s="70">
        <v>59944</v>
      </c>
      <c r="H315" s="19" t="str">
        <f>IF($C315="","",IF($G315="","-",INDEX(SETUP!$B$26:$B$32,MATCH($G315,SETUP!$A$26:$A$32,1))))</f>
        <v>58,000 - 59,999</v>
      </c>
      <c r="I315" s="70">
        <v>759</v>
      </c>
      <c r="J315" s="19" t="str">
        <f>IF($C315="","",IF($I315="","-",INDEX(SETUP!$B$16:$B$22,MATCH($I315,SETUP!$A$16:$A$22,1))))</f>
        <v>ROOKIE</v>
      </c>
      <c r="K315" s="19" t="str">
        <f>IF($C315="","",IF($I315="","-",TEXT(INT($I315/1000)*1000,"#,##0")&amp;" - "&amp;TEXT(INT($I315/1000)*1000+999,"#,##0")))</f>
        <v>0 - 999</v>
      </c>
      <c r="L315" s="71">
        <v>2.95</v>
      </c>
      <c r="M315" s="19" t="str">
        <f>IF($C315="","",IF($L315="","-",INDEX(SETUP!$B$36:$B$42,MATCH($L315,SETUP!$A$36:$A$42,1))))</f>
        <v>Under 3k</v>
      </c>
      <c r="N315" s="21">
        <f>IF($C315="","",IF(OR($G315="",$I315=""),"",ROUND(100*(SETUP!$B$4*MIN(1,$I315/SETUP!$B$9)+SETUP!$B$5*MAX(0,MIN(1,($G315-SETUP!$B$10)/(SETUP!$B$11-SETUP!$B$10)))+SETUP!$B$6*MIN(1,IF($L315="",0,$L315)/SETUP!$B$12)),1)))</f>
        <v>21.2</v>
      </c>
      <c r="O315" s="19" t="str">
        <f>IF($C315="","",IF($N315="","-",INDEX(SETUP!$B$46:$B$51,MATCH($N315,SETUP!$A$46:$A$51,1))))</f>
        <v>C</v>
      </c>
      <c r="P315" s="19">
        <f>IF($C315="","",IF($I315="","",RANK($I315,$I$4:$I$1463)+COUNTIF($I$4:$I315,$I315)-1))</f>
        <v>1299</v>
      </c>
      <c r="Q315" s="19">
        <f>IF($C315="","",COUNTIFS($B$4:$B$1463,$B315,$X$4:$X$1463,"&gt;"&amp;$X315)+COUNTIFS($B$4:$B315,$B315,$X$4:$X315,"="&amp;$X315))</f>
        <v>89</v>
      </c>
      <c r="R315" s="75">
        <f>IF($C315="","",IF($I315="","",ROUND(COUNTIF($I$4:$I$1463,"&lt;"&amp;$I315)/COUNT($I$4:$I$1463),3)))</f>
        <v>0.02</v>
      </c>
      <c r="S315" s="19" t="str">
        <f>IF($C315="","",IF($G315="","Name only",IF(OR($I315="",$L315=""),"Partial","Complete")))</f>
        <v>Complete</v>
      </c>
      <c r="T315" s="1" t="str">
        <f>IF($C315="","",TRIM(IF(COUNTIF($C$4:$C$1463,$C315)&gt;1,"Dup name; ","")&amp;IF(AND($G315&lt;&gt;"",$G315&lt;55000),"Low CR - verify; ","")&amp;IF(AND($L315&lt;&gt;"",$L315&gt;15),"Secondary - verify; ","")&amp;IF($E315="","No class; ","")))</f>
        <v/>
      </c>
      <c r="U315" s="68"/>
      <c r="V315" s="68"/>
      <c r="W315" s="68"/>
      <c r="X315" s="76">
        <f t="shared" si="22"/>
        <v>759</v>
      </c>
      <c r="Y315" s="1" t="str">
        <f t="shared" si="23"/>
        <v>EMERALD LEAF TRIBE|89</v>
      </c>
      <c r="Z315" s="19">
        <f>IF($C315="","",IF($G315="","",RANK($G315,$G$4:$G$1463)+COUNTIF($G$4:$G315,$G315)-1))</f>
        <v>1240</v>
      </c>
      <c r="AA315" s="19">
        <f>IF($C315="","",IF($N315="","",RANK($N315,$N$4:$N$1463)+COUNTIF($N$4:$N315,$N315)-1))</f>
        <v>1284</v>
      </c>
      <c r="AB315" s="1" t="str">
        <f>IF($C315="","",IF($E315="","",$E315&amp;"#"&amp;(COUNTIFS($E$4:$E$1463,$E315,$X$4:$X$1463,"&gt;"&amp;$X315)+COUNTIFS($E$4:$E315,$E315,$X$4:$X315,"="&amp;$X315))))</f>
        <v>DEMON HUNTER#187</v>
      </c>
      <c r="AC315" s="1" t="str">
        <f>IF($C315="","",$B315&amp;"@"&amp;(COUNTIFS($B$4:$B$1463,$B315,$C$4:$C$1463,"&lt;"&amp;$C315)+COUNTIFS($B$4:$B315,$B315,$C$4:$C315,$C315)))</f>
        <v>EMERALD LEAF TRIBE@24</v>
      </c>
      <c r="AD315" s="1">
        <f t="shared" si="24"/>
        <v>312</v>
      </c>
      <c r="AE315" s="1" t="s">
        <v>1115</v>
      </c>
      <c r="AF315" s="76">
        <f t="shared" si="25"/>
        <v>59944</v>
      </c>
      <c r="AG315" s="77">
        <f t="shared" si="26"/>
        <v>2.95</v>
      </c>
      <c r="AH315" s="1" t="str">
        <f>IF($C315="","",$B315&amp;"|"&amp;(COUNTIFS($B$4:$B$1463,$B315,$AF$4:$AF$1463,"&gt;"&amp;$AF315)+COUNTIFS($B$4:$B315,$B315,$AF$4:$AF315,"="&amp;$AF315)))</f>
        <v>EMERALD LEAF TRIBE|75</v>
      </c>
      <c r="AI315" s="1" t="str">
        <f>IF($C315="","",$B315&amp;"|"&amp;(COUNTIFS($B$4:$B$1463,$B315,$AG$4:$AG$1463,"&gt;"&amp;$AG315)+COUNTIFS($B$4:$B315,$B315,$AG$4:$AG315,"="&amp;$AG315)))</f>
        <v>EMERALD LEAF TRIBE|81</v>
      </c>
    </row>
    <row r="316" spans="1:35" hidden="1">
      <c r="A316" s="69" t="s">
        <v>109</v>
      </c>
      <c r="B316" s="69" t="s">
        <v>110</v>
      </c>
      <c r="C316" s="63" t="s">
        <v>1116</v>
      </c>
      <c r="D316" s="69"/>
      <c r="E316" s="68" t="s">
        <v>71</v>
      </c>
      <c r="F316" s="15" t="str">
        <f>IF($C316="","",IF($E316="","-",IFERROR(INDEX(SETUP!$B$55:$B$64,MATCH($E316,SETUP!$A$55:$A$64,0)),"Other")))</f>
        <v>Frontline</v>
      </c>
      <c r="G316" s="70">
        <v>62488</v>
      </c>
      <c r="H316" s="15" t="str">
        <f>IF($C316="","",IF($G316="","-",INDEX(SETUP!$B$26:$B$32,MATCH($G316,SETUP!$A$26:$A$32,1))))</f>
        <v>62,000 - 62,999</v>
      </c>
      <c r="I316" s="70">
        <v>6063</v>
      </c>
      <c r="J316" s="15" t="str">
        <f>IF($C316="","",IF($I316="","-",INDEX(SETUP!$B$16:$B$22,MATCH($I316,SETUP!$A$16:$A$22,1))))</f>
        <v>VETERAN</v>
      </c>
      <c r="K316" s="15" t="str">
        <f>IF($C316="","",IF($I316="","-",TEXT(INT($I316/1000)*1000,"#,##0")&amp;" - "&amp;TEXT(INT($I316/1000)*1000+999,"#,##0")))</f>
        <v>6,000 - 6,999</v>
      </c>
      <c r="L316" s="71">
        <v>6.4</v>
      </c>
      <c r="M316" s="15" t="str">
        <f>IF($C316="","",IF($L316="","-",INDEX(SETUP!$B$36:$B$42,MATCH($L316,SETUP!$A$36:$A$42,1))))</f>
        <v>6k - 8k</v>
      </c>
      <c r="N316" s="17">
        <f>IF($C316="","",IF(OR($G316="",$I316=""),"",ROUND(100*(SETUP!$B$4*MIN(1,$I316/SETUP!$B$9)+SETUP!$B$5*MAX(0,MIN(1,($G316-SETUP!$B$10)/(SETUP!$B$11-SETUP!$B$10)))+SETUP!$B$6*MIN(1,IF($L316="",0,$L316)/SETUP!$B$12)),1)))</f>
        <v>56.8</v>
      </c>
      <c r="O316" s="15" t="str">
        <f>IF($C316="","",IF($N316="","-",INDEX(SETUP!$B$46:$B$51,MATCH($N316,SETUP!$A$46:$A$51,1))))</f>
        <v>A</v>
      </c>
      <c r="P316" s="15">
        <f>IF($C316="","",IF($I316="","",RANK($I316,$I$4:$I$1463)+COUNTIF($I$4:$I316,$I316)-1))</f>
        <v>280</v>
      </c>
      <c r="Q316" s="15">
        <f>IF($C316="","",COUNTIFS($B$4:$B$1463,$B316,$X$4:$X$1463,"&gt;"&amp;$X316)+COUNTIFS($B$4:$B316,$B316,$X$4:$X316,"="&amp;$X316))</f>
        <v>35</v>
      </c>
      <c r="R316" s="72">
        <f>IF($C316="","",IF($I316="","",ROUND(COUNTIF($I$4:$I$1463,"&lt;"&amp;$I316)/COUNT($I$4:$I$1463),3)))</f>
        <v>0.78900000000000003</v>
      </c>
      <c r="S316" s="15" t="str">
        <f>IF($C316="","",IF($G316="","Name only",IF(OR($I316="",$L316=""),"Partial","Complete")))</f>
        <v>Complete</v>
      </c>
      <c r="T316" s="41" t="str">
        <f>IF($C316="","",TRIM(IF(COUNTIF($C$4:$C$1463,$C316)&gt;1,"Dup name; ","")&amp;IF(AND($G316&lt;&gt;"",$G316&lt;55000),"Low CR - verify; ","")&amp;IF(AND($L316&lt;&gt;"",$L316&gt;15),"Secondary - verify; ","")&amp;IF($E316="","No class; ","")))</f>
        <v/>
      </c>
      <c r="U316" s="68"/>
      <c r="V316" s="68"/>
      <c r="W316" s="68"/>
      <c r="X316" s="73">
        <f t="shared" si="22"/>
        <v>6063</v>
      </c>
      <c r="Y316" s="41" t="str">
        <f t="shared" si="23"/>
        <v>AZUKI|35</v>
      </c>
      <c r="Z316" s="15">
        <f>IF($C316="","",IF($G316="","",RANK($G316,$G$4:$G$1463)+COUNTIF($G$4:$G316,$G316)-1))</f>
        <v>657</v>
      </c>
      <c r="AA316" s="15">
        <f>IF($C316="","",IF($N316="","",RANK($N316,$N$4:$N$1463)+COUNTIF($N$4:$N316,$N316)-1))</f>
        <v>282</v>
      </c>
      <c r="AB316" s="41" t="str">
        <f>IF($C316="","",IF($E316="","",$E316&amp;"#"&amp;(COUNTIFS($E$4:$E$1463,$E316,$X$4:$X$1463,"&gt;"&amp;$X316)+COUNTIFS($E$4:$E316,$E316,$X$4:$X316,"="&amp;$X316))))</f>
        <v>BARBARIAN#56</v>
      </c>
      <c r="AC316" s="41" t="str">
        <f>IF($C316="","",$B316&amp;"@"&amp;(COUNTIFS($B$4:$B$1463,$B316,$C$4:$C$1463,"&lt;"&amp;$C316)+COUNTIFS($B$4:$B316,$B316,$C$4:$C316,$C316)))</f>
        <v>AZUKI@29</v>
      </c>
      <c r="AD316" s="41">
        <f t="shared" si="24"/>
        <v>313</v>
      </c>
      <c r="AE316" s="41" t="s">
        <v>1117</v>
      </c>
      <c r="AF316" s="73">
        <f t="shared" si="25"/>
        <v>62488</v>
      </c>
      <c r="AG316" s="74">
        <f t="shared" si="26"/>
        <v>6.4</v>
      </c>
      <c r="AH316" s="41" t="str">
        <f>IF($C316="","",$B316&amp;"|"&amp;(COUNTIFS($B$4:$B$1463,$B316,$AF$4:$AF$1463,"&gt;"&amp;$AF316)+COUNTIFS($B$4:$B316,$B316,$AF$4:$AF316,"="&amp;$AF316)))</f>
        <v>AZUKI|58</v>
      </c>
      <c r="AI316" s="41" t="str">
        <f>IF($C316="","",$B316&amp;"|"&amp;(COUNTIFS($B$4:$B$1463,$B316,$AG$4:$AG$1463,"&gt;"&amp;$AG316)+COUNTIFS($B$4:$B316,$B316,$AG$4:$AG316,"="&amp;$AG316)))</f>
        <v>AZUKI|37</v>
      </c>
    </row>
    <row r="317" spans="1:35" hidden="1">
      <c r="A317" s="69" t="s">
        <v>109</v>
      </c>
      <c r="B317" s="69" t="s">
        <v>108</v>
      </c>
      <c r="C317" s="63" t="s">
        <v>1118</v>
      </c>
      <c r="D317" s="69"/>
      <c r="E317" s="68" t="s">
        <v>79</v>
      </c>
      <c r="F317" s="19" t="str">
        <f>IF($C317="","",IF($E317="","-",IFERROR(INDEX(SETUP!$B$55:$B$64,MATCH($E317,SETUP!$A$55:$A$64,0)),"Other")))</f>
        <v>Control</v>
      </c>
      <c r="G317" s="70">
        <v>64304</v>
      </c>
      <c r="H317" s="19" t="str">
        <f>IF($C317="","",IF($G317="","-",INDEX(SETUP!$B$26:$B$32,MATCH($G317,SETUP!$A$26:$A$32,1))))</f>
        <v>64,000 +</v>
      </c>
      <c r="I317" s="70">
        <v>11000</v>
      </c>
      <c r="J317" s="19" t="str">
        <f>IF($C317="","",IF($I317="","-",INDEX(SETUP!$B$16:$B$22,MATCH($I317,SETUP!$A$16:$A$22,1))))</f>
        <v>APEX</v>
      </c>
      <c r="K317" s="19" t="str">
        <f>IF($C317="","",IF($I317="","-",TEXT(INT($I317/1000)*1000,"#,##0")&amp;" - "&amp;TEXT(INT($I317/1000)*1000+999,"#,##0")))</f>
        <v>11,000 - 11,999</v>
      </c>
      <c r="L317" s="71">
        <v>8.5</v>
      </c>
      <c r="M317" s="19" t="str">
        <f>IF($C317="","",IF($L317="","-",INDEX(SETUP!$B$36:$B$42,MATCH($L317,SETUP!$A$36:$A$42,1))))</f>
        <v>8k - 10k</v>
      </c>
      <c r="N317" s="21">
        <f>IF($C317="","",IF(OR($G317="",$I317=""),"",ROUND(100*(SETUP!$B$4*MIN(1,$I317/SETUP!$B$9)+SETUP!$B$5*MAX(0,MIN(1,($G317-SETUP!$B$10)/(SETUP!$B$11-SETUP!$B$10)))+SETUP!$B$6*MIN(1,IF($L317="",0,$L317)/SETUP!$B$12)),1)))</f>
        <v>86.7</v>
      </c>
      <c r="O317" s="19" t="str">
        <f>IF($C317="","",IF($N317="","-",INDEX(SETUP!$B$46:$B$51,MATCH($N317,SETUP!$A$46:$A$51,1))))</f>
        <v>S+</v>
      </c>
      <c r="P317" s="19">
        <f>IF($C317="","",IF($I317="","",RANK($I317,$I$4:$I$1463)+COUNTIF($I$4:$I317,$I317)-1))</f>
        <v>17</v>
      </c>
      <c r="Q317" s="19">
        <f>IF($C317="","",COUNTIFS($B$4:$B$1463,$B317,$X$4:$X$1463,"&gt;"&amp;$X317)+COUNTIFS($B$4:$B317,$B317,$X$4:$X317,"="&amp;$X317))</f>
        <v>5</v>
      </c>
      <c r="R317" s="75">
        <f>IF($C317="","",IF($I317="","",ROUND(COUNTIF($I$4:$I$1463,"&lt;"&amp;$I317)/COUNT($I$4:$I$1463),3)))</f>
        <v>0.98699999999999999</v>
      </c>
      <c r="S317" s="19" t="str">
        <f>IF($C317="","",IF($G317="","Name only",IF(OR($I317="",$L317=""),"Partial","Complete")))</f>
        <v>Complete</v>
      </c>
      <c r="T317" s="1" t="str">
        <f>IF($C317="","",TRIM(IF(COUNTIF($C$4:$C$1463,$C317)&gt;1,"Dup name; ","")&amp;IF(AND($G317&lt;&gt;"",$G317&lt;55000),"Low CR - verify; ","")&amp;IF(AND($L317&lt;&gt;"",$L317&gt;15),"Secondary - verify; ","")&amp;IF($E317="","No class; ","")))</f>
        <v/>
      </c>
      <c r="U317" s="68"/>
      <c r="V317" s="68"/>
      <c r="W317" s="68"/>
      <c r="X317" s="76">
        <f t="shared" si="22"/>
        <v>11000</v>
      </c>
      <c r="Y317" s="1" t="str">
        <f t="shared" si="23"/>
        <v>SBG|5</v>
      </c>
      <c r="Z317" s="19">
        <f>IF($C317="","",IF($G317="","",RANK($G317,$G$4:$G$1463)+COUNTIF($G$4:$G317,$G317)-1))</f>
        <v>22</v>
      </c>
      <c r="AA317" s="19">
        <f>IF($C317="","",IF($N317="","",RANK($N317,$N$4:$N$1463)+COUNTIF($N$4:$N317,$N317)-1))</f>
        <v>16</v>
      </c>
      <c r="AB317" s="1" t="str">
        <f>IF($C317="","",IF($E317="","",$E317&amp;"#"&amp;(COUNTIFS($E$4:$E$1463,$E317,$X$4:$X$1463,"&gt;"&amp;$X317)+COUNTIFS($E$4:$E317,$E317,$X$4:$X317,"="&amp;$X317))))</f>
        <v>WARLOCK#3</v>
      </c>
      <c r="AC317" s="1" t="str">
        <f>IF($C317="","",$B317&amp;"@"&amp;(COUNTIFS($B$4:$B$1463,$B317,$C$4:$C$1463,"&lt;"&amp;$C317)+COUNTIFS($B$4:$B317,$B317,$C$4:$C317,$C317)))</f>
        <v>SBG@16</v>
      </c>
      <c r="AD317" s="1">
        <f t="shared" si="24"/>
        <v>314</v>
      </c>
      <c r="AE317" s="1" t="s">
        <v>1119</v>
      </c>
      <c r="AF317" s="76">
        <f t="shared" si="25"/>
        <v>64304</v>
      </c>
      <c r="AG317" s="77">
        <f t="shared" si="26"/>
        <v>8.5</v>
      </c>
      <c r="AH317" s="1" t="str">
        <f>IF($C317="","",$B317&amp;"|"&amp;(COUNTIFS($B$4:$B$1463,$B317,$AF$4:$AF$1463,"&gt;"&amp;$AF317)+COUNTIFS($B$4:$B317,$B317,$AF$4:$AF317,"="&amp;$AF317)))</f>
        <v>SBG|5</v>
      </c>
      <c r="AI317" s="1" t="str">
        <f>IF($C317="","",$B317&amp;"|"&amp;(COUNTIFS($B$4:$B$1463,$B317,$AG$4:$AG$1463,"&gt;"&amp;$AG317)+COUNTIFS($B$4:$B317,$B317,$AG$4:$AG317,"="&amp;$AG317)))</f>
        <v>SBG|9</v>
      </c>
    </row>
    <row r="318" spans="1:35" hidden="1">
      <c r="A318" s="69" t="s">
        <v>109</v>
      </c>
      <c r="B318" s="69" t="s">
        <v>115</v>
      </c>
      <c r="C318" s="63" t="s">
        <v>1120</v>
      </c>
      <c r="D318" s="69"/>
      <c r="E318" s="68" t="s">
        <v>79</v>
      </c>
      <c r="F318" s="15" t="str">
        <f>IF($C318="","",IF($E318="","-",IFERROR(INDEX(SETUP!$B$55:$B$64,MATCH($E318,SETUP!$A$55:$A$64,0)),"Other")))</f>
        <v>Control</v>
      </c>
      <c r="G318" s="70">
        <v>61205</v>
      </c>
      <c r="H318" s="15" t="str">
        <f>IF($C318="","",IF($G318="","-",INDEX(SETUP!$B$26:$B$32,MATCH($G318,SETUP!$A$26:$A$32,1))))</f>
        <v>61,000 - 61,999</v>
      </c>
      <c r="I318" s="70">
        <v>2139</v>
      </c>
      <c r="J318" s="15" t="str">
        <f>IF($C318="","",IF($I318="","-",INDEX(SETUP!$B$16:$B$22,MATCH($I318,SETUP!$A$16:$A$22,1))))</f>
        <v>DEVELOPING</v>
      </c>
      <c r="K318" s="15" t="str">
        <f>IF($C318="","",IF($I318="","-",TEXT(INT($I318/1000)*1000,"#,##0")&amp;" - "&amp;TEXT(INT($I318/1000)*1000+999,"#,##0")))</f>
        <v>2,000 - 2,999</v>
      </c>
      <c r="L318" s="71">
        <v>4.5999999999999996</v>
      </c>
      <c r="M318" s="15" t="str">
        <f>IF($C318="","",IF($L318="","-",INDEX(SETUP!$B$36:$B$42,MATCH($L318,SETUP!$A$36:$A$42,1))))</f>
        <v>4k - 5k</v>
      </c>
      <c r="N318" s="17">
        <f>IF($C318="","",IF(OR($G318="",$I318=""),"",ROUND(100*(SETUP!$B$4*MIN(1,$I318/SETUP!$B$9)+SETUP!$B$5*MAX(0,MIN(1,($G318-SETUP!$B$10)/(SETUP!$B$11-SETUP!$B$10)))+SETUP!$B$6*MIN(1,IF($L318="",0,$L318)/SETUP!$B$12)),1)))</f>
        <v>33.299999999999997</v>
      </c>
      <c r="O318" s="15" t="str">
        <f>IF($C318="","",IF($N318="","-",INDEX(SETUP!$B$46:$B$51,MATCH($N318,SETUP!$A$46:$A$51,1))))</f>
        <v>C</v>
      </c>
      <c r="P318" s="15">
        <f>IF($C318="","",IF($I318="","",RANK($I318,$I$4:$I$1463)+COUNTIF($I$4:$I318,$I318)-1))</f>
        <v>1077</v>
      </c>
      <c r="Q318" s="15">
        <f>IF($C318="","",COUNTIFS($B$4:$B$1463,$B318,$X$4:$X$1463,"&gt;"&amp;$X318)+COUNTIFS($B$4:$B318,$B318,$X$4:$X318,"="&amp;$X318))</f>
        <v>41</v>
      </c>
      <c r="R318" s="72">
        <f>IF($C318="","",IF($I318="","",ROUND(COUNTIF($I$4:$I$1463,"&lt;"&amp;$I318)/COUNT($I$4:$I$1463),3)))</f>
        <v>0.187</v>
      </c>
      <c r="S318" s="15" t="str">
        <f>IF($C318="","",IF($G318="","Name only",IF(OR($I318="",$L318=""),"Partial","Complete")))</f>
        <v>Complete</v>
      </c>
      <c r="T318" s="41" t="str">
        <f>IF($C318="","",TRIM(IF(COUNTIF($C$4:$C$1463,$C318)&gt;1,"Dup name; ","")&amp;IF(AND($G318&lt;&gt;"",$G318&lt;55000),"Low CR - verify; ","")&amp;IF(AND($L318&lt;&gt;"",$L318&gt;15),"Secondary - verify; ","")&amp;IF($E318="","No class; ","")))</f>
        <v/>
      </c>
      <c r="U318" s="68"/>
      <c r="V318" s="68"/>
      <c r="W318" s="68"/>
      <c r="X318" s="73">
        <f t="shared" si="22"/>
        <v>2139</v>
      </c>
      <c r="Y318" s="41" t="str">
        <f t="shared" si="23"/>
        <v>SUB ROSA|41</v>
      </c>
      <c r="Z318" s="15">
        <f>IF($C318="","",IF($G318="","",RANK($G318,$G$4:$G$1463)+COUNTIF($G$4:$G318,$G318)-1))</f>
        <v>1086</v>
      </c>
      <c r="AA318" s="15">
        <f>IF($C318="","",IF($N318="","",RANK($N318,$N$4:$N$1463)+COUNTIF($N$4:$N318,$N318)-1))</f>
        <v>1058</v>
      </c>
      <c r="AB318" s="41" t="str">
        <f>IF($C318="","",IF($E318="","",$E318&amp;"#"&amp;(COUNTIFS($E$4:$E$1463,$E318,$X$4:$X$1463,"&gt;"&amp;$X318)+COUNTIFS($E$4:$E318,$E318,$X$4:$X318,"="&amp;$X318))))</f>
        <v>WARLOCK#268</v>
      </c>
      <c r="AC318" s="41" t="str">
        <f>IF($C318="","",$B318&amp;"@"&amp;(COUNTIFS($B$4:$B$1463,$B318,$C$4:$C$1463,"&lt;"&amp;$C318)+COUNTIFS($B$4:$B318,$B318,$C$4:$C318,$C318)))</f>
        <v>SUB ROSA@18</v>
      </c>
      <c r="AD318" s="41">
        <f t="shared" si="24"/>
        <v>315</v>
      </c>
      <c r="AE318" s="41" t="s">
        <v>553</v>
      </c>
      <c r="AF318" s="73">
        <f t="shared" si="25"/>
        <v>61205</v>
      </c>
      <c r="AG318" s="74">
        <f t="shared" si="26"/>
        <v>4.5999999999999996</v>
      </c>
      <c r="AH318" s="41" t="str">
        <f>IF($C318="","",$B318&amp;"|"&amp;(COUNTIFS($B$4:$B$1463,$B318,$AF$4:$AF$1463,"&gt;"&amp;$AF318)+COUNTIFS($B$4:$B318,$B318,$AF$4:$AF318,"="&amp;$AF318)))</f>
        <v>SUB ROSA|50</v>
      </c>
      <c r="AI318" s="41" t="str">
        <f>IF($C318="","",$B318&amp;"|"&amp;(COUNTIFS($B$4:$B$1463,$B318,$AG$4:$AG$1463,"&gt;"&amp;$AG318)+COUNTIFS($B$4:$B318,$B318,$AG$4:$AG318,"="&amp;$AG318)))</f>
        <v>SUB ROSA|13</v>
      </c>
    </row>
    <row r="319" spans="1:35" hidden="1">
      <c r="A319" s="69" t="s">
        <v>109</v>
      </c>
      <c r="B319" s="69" t="s">
        <v>111</v>
      </c>
      <c r="C319" s="63" t="s">
        <v>1121</v>
      </c>
      <c r="D319" s="69" t="s">
        <v>527</v>
      </c>
      <c r="E319" s="68" t="s">
        <v>78</v>
      </c>
      <c r="F319" s="19" t="str">
        <f>IF($C319="","",IF($E319="","-",IFERROR(INDEX(SETUP!$B$55:$B$64,MATCH($E319,SETUP!$A$55:$A$64,0)),"Other")))</f>
        <v>Melee DPS</v>
      </c>
      <c r="G319" s="70">
        <v>61320</v>
      </c>
      <c r="H319" s="19" t="str">
        <f>IF($C319="","",IF($G319="","-",INDEX(SETUP!$B$26:$B$32,MATCH($G319,SETUP!$A$26:$A$32,1))))</f>
        <v>61,000 - 61,999</v>
      </c>
      <c r="I319" s="70">
        <v>3948</v>
      </c>
      <c r="J319" s="19" t="str">
        <f>IF($C319="","",IF($I319="","-",INDEX(SETUP!$B$16:$B$22,MATCH($I319,SETUP!$A$16:$A$22,1))))</f>
        <v>DEVELOPING</v>
      </c>
      <c r="K319" s="19" t="str">
        <f>IF($C319="","",IF($I319="","-",TEXT(INT($I319/1000)*1000,"#,##0")&amp;" - "&amp;TEXT(INT($I319/1000)*1000+999,"#,##0")))</f>
        <v>3,000 - 3,999</v>
      </c>
      <c r="L319" s="71">
        <v>5.5</v>
      </c>
      <c r="M319" s="19" t="str">
        <f>IF($C319="","",IF($L319="","-",INDEX(SETUP!$B$36:$B$42,MATCH($L319,SETUP!$A$36:$A$42,1))))</f>
        <v>5k - 6k</v>
      </c>
      <c r="N319" s="21">
        <f>IF($C319="","",IF(OR($G319="",$I319=""),"",ROUND(100*(SETUP!$B$4*MIN(1,$I319/SETUP!$B$9)+SETUP!$B$5*MAX(0,MIN(1,($G319-SETUP!$B$10)/(SETUP!$B$11-SETUP!$B$10)))+SETUP!$B$6*MIN(1,IF($L319="",0,$L319)/SETUP!$B$12)),1)))</f>
        <v>43</v>
      </c>
      <c r="O319" s="19" t="str">
        <f>IF($C319="","",IF($N319="","-",INDEX(SETUP!$B$46:$B$51,MATCH($N319,SETUP!$A$46:$A$51,1))))</f>
        <v>B</v>
      </c>
      <c r="P319" s="19">
        <f>IF($C319="","",IF($I319="","",RANK($I319,$I$4:$I$1463)+COUNTIF($I$4:$I319,$I319)-1))</f>
        <v>611</v>
      </c>
      <c r="Q319" s="19">
        <f>IF($C319="","",COUNTIFS($B$4:$B$1463,$B319,$X$4:$X$1463,"&gt;"&amp;$X319)+COUNTIFS($B$4:$B319,$B319,$X$4:$X319,"="&amp;$X319))</f>
        <v>64</v>
      </c>
      <c r="R319" s="75">
        <f>IF($C319="","",IF($I319="","",ROUND(COUNTIF($I$4:$I$1463,"&lt;"&amp;$I319)/COUNT($I$4:$I$1463),3)))</f>
        <v>0.53800000000000003</v>
      </c>
      <c r="S319" s="19" t="str">
        <f>IF($C319="","",IF($G319="","Name only",IF(OR($I319="",$L319=""),"Partial","Complete")))</f>
        <v>Complete</v>
      </c>
      <c r="T319" s="1" t="str">
        <f>IF($C319="","",TRIM(IF(COUNTIF($C$4:$C$1463,$C319)&gt;1,"Dup name; ","")&amp;IF(AND($G319&lt;&gt;"",$G319&lt;55000),"Low CR - verify; ","")&amp;IF(AND($L319&lt;&gt;"",$L319&gt;15),"Secondary - verify; ","")&amp;IF($E319="","No class; ","")))</f>
        <v/>
      </c>
      <c r="U319" s="68"/>
      <c r="V319" s="68"/>
      <c r="W319" s="68"/>
      <c r="X319" s="76">
        <f t="shared" si="22"/>
        <v>3948</v>
      </c>
      <c r="Y319" s="1" t="str">
        <f t="shared" si="23"/>
        <v>RECKONING|64</v>
      </c>
      <c r="Z319" s="19">
        <f>IF($C319="","",IF($G319="","",RANK($G319,$G$4:$G$1463)+COUNTIF($G$4:$G319,$G319)-1))</f>
        <v>1057</v>
      </c>
      <c r="AA319" s="19">
        <f>IF($C319="","",IF($N319="","",RANK($N319,$N$4:$N$1463)+COUNTIF($N$4:$N319,$N319)-1))</f>
        <v>703</v>
      </c>
      <c r="AB319" s="1" t="str">
        <f>IF($C319="","",IF($E319="","",$E319&amp;"#"&amp;(COUNTIFS($E$4:$E$1463,$E319,$X$4:$X$1463,"&gt;"&amp;$X319)+COUNTIFS($E$4:$E319,$E319,$X$4:$X319,"="&amp;$X319))))</f>
        <v>TEMPEST#22</v>
      </c>
      <c r="AC319" s="1" t="str">
        <f>IF($C319="","",$B319&amp;"@"&amp;(COUNTIFS($B$4:$B$1463,$B319,$C$4:$C$1463,"&lt;"&amp;$C319)+COUNTIFS($B$4:$B319,$B319,$C$4:$C319,$C319)))</f>
        <v>RECKONING@20</v>
      </c>
      <c r="AD319" s="1">
        <f t="shared" si="24"/>
        <v>316</v>
      </c>
      <c r="AE319" s="1" t="s">
        <v>1122</v>
      </c>
      <c r="AF319" s="76">
        <f t="shared" si="25"/>
        <v>61320</v>
      </c>
      <c r="AG319" s="77">
        <f t="shared" si="26"/>
        <v>5.5</v>
      </c>
      <c r="AH319" s="1" t="str">
        <f>IF($C319="","",$B319&amp;"|"&amp;(COUNTIFS($B$4:$B$1463,$B319,$AF$4:$AF$1463,"&gt;"&amp;$AF319)+COUNTIFS($B$4:$B319,$B319,$AF$4:$AF319,"="&amp;$AF319)))</f>
        <v>RECKONING|88</v>
      </c>
      <c r="AI319" s="1" t="str">
        <f>IF($C319="","",$B319&amp;"|"&amp;(COUNTIFS($B$4:$B$1463,$B319,$AG$4:$AG$1463,"&gt;"&amp;$AG319)+COUNTIFS($B$4:$B319,$B319,$AG$4:$AG319,"="&amp;$AG319)))</f>
        <v>RECKONING|48</v>
      </c>
    </row>
    <row r="320" spans="1:35" hidden="1">
      <c r="A320" s="69" t="s">
        <v>106</v>
      </c>
      <c r="B320" s="69" t="s">
        <v>86</v>
      </c>
      <c r="C320" s="63" t="s">
        <v>1123</v>
      </c>
      <c r="D320" s="69"/>
      <c r="E320" s="68" t="s">
        <v>74</v>
      </c>
      <c r="F320" s="15" t="str">
        <f>IF($C320="","",IF($E320="","-",IFERROR(INDEX(SETUP!$B$55:$B$64,MATCH($E320,SETUP!$A$55:$A$64,0)),"Other")))</f>
        <v>Ranged DPS</v>
      </c>
      <c r="G320" s="70">
        <v>63429</v>
      </c>
      <c r="H320" s="15" t="str">
        <f>IF($C320="","",IF($G320="","-",INDEX(SETUP!$B$26:$B$32,MATCH($G320,SETUP!$A$26:$A$32,1))))</f>
        <v>63,000 - 63,999</v>
      </c>
      <c r="I320" s="70">
        <v>5270</v>
      </c>
      <c r="J320" s="15" t="str">
        <f>IF($C320="","",IF($I320="","-",INDEX(SETUP!$B$16:$B$22,MATCH($I320,SETUP!$A$16:$A$22,1))))</f>
        <v>CORE</v>
      </c>
      <c r="K320" s="15" t="str">
        <f>IF($C320="","",IF($I320="","-",TEXT(INT($I320/1000)*1000,"#,##0")&amp;" - "&amp;TEXT(INT($I320/1000)*1000+999,"#,##0")))</f>
        <v>5,000 - 5,999</v>
      </c>
      <c r="L320" s="71">
        <v>4.32</v>
      </c>
      <c r="M320" s="15" t="str">
        <f>IF($C320="","",IF($L320="","-",INDEX(SETUP!$B$36:$B$42,MATCH($L320,SETUP!$A$36:$A$42,1))))</f>
        <v>4k - 5k</v>
      </c>
      <c r="N320" s="17">
        <f>IF($C320="","",IF(OR($G320="",$I320=""),"",ROUND(100*(SETUP!$B$4*MIN(1,$I320/SETUP!$B$9)+SETUP!$B$5*MAX(0,MIN(1,($G320-SETUP!$B$10)/(SETUP!$B$11-SETUP!$B$10)))+SETUP!$B$6*MIN(1,IF($L320="",0,$L320)/SETUP!$B$12)),1)))</f>
        <v>52.4</v>
      </c>
      <c r="O320" s="15" t="str">
        <f>IF($C320="","",IF($N320="","-",INDEX(SETUP!$B$46:$B$51,MATCH($N320,SETUP!$A$46:$A$51,1))))</f>
        <v>A</v>
      </c>
      <c r="P320" s="15">
        <f>IF($C320="","",IF($I320="","",RANK($I320,$I$4:$I$1463)+COUNTIF($I$4:$I320,$I320)-1))</f>
        <v>367</v>
      </c>
      <c r="Q320" s="15">
        <f>IF($C320="","",COUNTIFS($B$4:$B$1463,$B320,$X$4:$X$1463,"&gt;"&amp;$X320)+COUNTIFS($B$4:$B320,$B320,$X$4:$X320,"="&amp;$X320))</f>
        <v>63</v>
      </c>
      <c r="R320" s="72">
        <f>IF($C320="","",IF($I320="","",ROUND(COUNTIF($I$4:$I$1463,"&lt;"&amp;$I320)/COUNT($I$4:$I$1463),3)))</f>
        <v>0.72299999999999998</v>
      </c>
      <c r="S320" s="15" t="str">
        <f>IF($C320="","",IF($G320="","Name only",IF(OR($I320="",$L320=""),"Partial","Complete")))</f>
        <v>Complete</v>
      </c>
      <c r="T320" s="41" t="str">
        <f>IF($C320="","",TRIM(IF(COUNTIF($C$4:$C$1463,$C320)&gt;1,"Dup name; ","")&amp;IF(AND($G320&lt;&gt;"",$G320&lt;55000),"Low CR - verify; ","")&amp;IF(AND($L320&lt;&gt;"",$L320&gt;15),"Secondary - verify; ","")&amp;IF($E320="","No class; ","")))</f>
        <v/>
      </c>
      <c r="U320" s="68"/>
      <c r="V320" s="68"/>
      <c r="W320" s="68"/>
      <c r="X320" s="73">
        <f t="shared" si="22"/>
        <v>5270</v>
      </c>
      <c r="Y320" s="41" t="str">
        <f t="shared" si="23"/>
        <v>VANGUARD|63</v>
      </c>
      <c r="Z320" s="15">
        <f>IF($C320="","",IF($G320="","",RANK($G320,$G$4:$G$1463)+COUNTIF($G$4:$G320,$G320)-1))</f>
        <v>211</v>
      </c>
      <c r="AA320" s="15">
        <f>IF($C320="","",IF($N320="","",RANK($N320,$N$4:$N$1463)+COUNTIF($N$4:$N320,$N320)-1))</f>
        <v>374</v>
      </c>
      <c r="AB320" s="41" t="str">
        <f>IF($C320="","",IF($E320="","",$E320&amp;"#"&amp;(COUNTIFS($E$4:$E$1463,$E320,$X$4:$X$1463,"&gt;"&amp;$X320)+COUNTIFS($E$4:$E320,$E320,$X$4:$X320,"="&amp;$X320))))</f>
        <v>DEMON HUNTER#59</v>
      </c>
      <c r="AC320" s="41" t="str">
        <f>IF($C320="","",$B320&amp;"@"&amp;(COUNTIFS($B$4:$B$1463,$B320,$C$4:$C$1463,"&lt;"&amp;$C320)+COUNTIFS($B$4:$B320,$B320,$C$4:$C320,$C320)))</f>
        <v>VANGUARD@29</v>
      </c>
      <c r="AD320" s="41">
        <f t="shared" si="24"/>
        <v>317</v>
      </c>
      <c r="AE320" s="41" t="s">
        <v>1124</v>
      </c>
      <c r="AF320" s="73">
        <f t="shared" si="25"/>
        <v>63429</v>
      </c>
      <c r="AG320" s="74">
        <f t="shared" si="26"/>
        <v>4.32</v>
      </c>
      <c r="AH320" s="41" t="str">
        <f>IF($C320="","",$B320&amp;"|"&amp;(COUNTIFS($B$4:$B$1463,$B320,$AF$4:$AF$1463,"&gt;"&amp;$AF320)+COUNTIFS($B$4:$B320,$B320,$AF$4:$AF320,"="&amp;$AF320)))</f>
        <v>VANGUARD|45</v>
      </c>
      <c r="AI320" s="41" t="str">
        <f>IF($C320="","",$B320&amp;"|"&amp;(COUNTIFS($B$4:$B$1463,$B320,$AG$4:$AG$1463,"&gt;"&amp;$AG320)+COUNTIFS($B$4:$B320,$B320,$AG$4:$AG320,"="&amp;$AG320)))</f>
        <v>VANGUARD|84</v>
      </c>
    </row>
    <row r="321" spans="1:35" hidden="1">
      <c r="A321" s="69" t="s">
        <v>109</v>
      </c>
      <c r="B321" s="69" t="s">
        <v>110</v>
      </c>
      <c r="C321" s="63" t="s">
        <v>1125</v>
      </c>
      <c r="D321" s="69"/>
      <c r="E321" s="68" t="s">
        <v>73</v>
      </c>
      <c r="F321" s="19" t="str">
        <f>IF($C321="","",IF($E321="","-",IFERROR(INDEX(SETUP!$B$55:$B$64,MATCH($E321,SETUP!$A$55:$A$64,0)),"Other")))</f>
        <v>Frontline</v>
      </c>
      <c r="G321" s="70">
        <v>62920</v>
      </c>
      <c r="H321" s="19" t="str">
        <f>IF($C321="","",IF($G321="","-",INDEX(SETUP!$B$26:$B$32,MATCH($G321,SETUP!$A$26:$A$32,1))))</f>
        <v>62,000 - 62,999</v>
      </c>
      <c r="I321" s="70">
        <v>5258</v>
      </c>
      <c r="J321" s="19" t="str">
        <f>IF($C321="","",IF($I321="","-",INDEX(SETUP!$B$16:$B$22,MATCH($I321,SETUP!$A$16:$A$22,1))))</f>
        <v>CORE</v>
      </c>
      <c r="K321" s="19" t="str">
        <f>IF($C321="","",IF($I321="","-",TEXT(INT($I321/1000)*1000,"#,##0")&amp;" - "&amp;TEXT(INT($I321/1000)*1000+999,"#,##0")))</f>
        <v>5,000 - 5,999</v>
      </c>
      <c r="L321" s="71">
        <v>5.5</v>
      </c>
      <c r="M321" s="19" t="str">
        <f>IF($C321="","",IF($L321="","-",INDEX(SETUP!$B$36:$B$42,MATCH($L321,SETUP!$A$36:$A$42,1))))</f>
        <v>5k - 6k</v>
      </c>
      <c r="N321" s="21">
        <f>IF($C321="","",IF(OR($G321="",$I321=""),"",ROUND(100*(SETUP!$B$4*MIN(1,$I321/SETUP!$B$9)+SETUP!$B$5*MAX(0,MIN(1,($G321-SETUP!$B$10)/(SETUP!$B$11-SETUP!$B$10)))+SETUP!$B$6*MIN(1,IF($L321="",0,$L321)/SETUP!$B$12)),1)))</f>
        <v>53</v>
      </c>
      <c r="O321" s="19" t="str">
        <f>IF($C321="","",IF($N321="","-",INDEX(SETUP!$B$46:$B$51,MATCH($N321,SETUP!$A$46:$A$51,1))))</f>
        <v>A</v>
      </c>
      <c r="P321" s="19">
        <f>IF($C321="","",IF($I321="","",RANK($I321,$I$4:$I$1463)+COUNTIF($I$4:$I321,$I321)-1))</f>
        <v>371</v>
      </c>
      <c r="Q321" s="19">
        <f>IF($C321="","",COUNTIFS($B$4:$B$1463,$B321,$X$4:$X$1463,"&gt;"&amp;$X321)+COUNTIFS($B$4:$B321,$B321,$X$4:$X321,"="&amp;$X321))</f>
        <v>44</v>
      </c>
      <c r="R321" s="75">
        <f>IF($C321="","",IF($I321="","",ROUND(COUNTIF($I$4:$I$1463,"&lt;"&amp;$I321)/COUNT($I$4:$I$1463),3)))</f>
        <v>0.72</v>
      </c>
      <c r="S321" s="19" t="str">
        <f>IF($C321="","",IF($G321="","Name only",IF(OR($I321="",$L321=""),"Partial","Complete")))</f>
        <v>Complete</v>
      </c>
      <c r="T321" s="1" t="str">
        <f>IF($C321="","",TRIM(IF(COUNTIF($C$4:$C$1463,$C321)&gt;1,"Dup name; ","")&amp;IF(AND($G321&lt;&gt;"",$G321&lt;55000),"Low CR - verify; ","")&amp;IF(AND($L321&lt;&gt;"",$L321&gt;15),"Secondary - verify; ","")&amp;IF($E321="","No class; ","")))</f>
        <v/>
      </c>
      <c r="U321" s="68"/>
      <c r="V321" s="68"/>
      <c r="W321" s="68"/>
      <c r="X321" s="76">
        <f t="shared" si="22"/>
        <v>5258</v>
      </c>
      <c r="Y321" s="1" t="str">
        <f t="shared" si="23"/>
        <v>AZUKI|44</v>
      </c>
      <c r="Z321" s="19">
        <f>IF($C321="","",IF($G321="","",RANK($G321,$G$4:$G$1463)+COUNTIF($G$4:$G321,$G321)-1))</f>
        <v>468</v>
      </c>
      <c r="AA321" s="19">
        <f>IF($C321="","",IF($N321="","",RANK($N321,$N$4:$N$1463)+COUNTIF($N$4:$N321,$N321)-1))</f>
        <v>366</v>
      </c>
      <c r="AB321" s="1" t="str">
        <f>IF($C321="","",IF($E321="","",$E321&amp;"#"&amp;(COUNTIFS($E$4:$E$1463,$E321,$X$4:$X$1463,"&gt;"&amp;$X321)+COUNTIFS($E$4:$E321,$E321,$X$4:$X321,"="&amp;$X321))))</f>
        <v>CRUSADER#47</v>
      </c>
      <c r="AC321" s="1" t="str">
        <f>IF($C321="","",$B321&amp;"@"&amp;(COUNTIFS($B$4:$B$1463,$B321,$C$4:$C$1463,"&lt;"&amp;$C321)+COUNTIFS($B$4:$B321,$B321,$C$4:$C321,$C321)))</f>
        <v>AZUKI@30</v>
      </c>
      <c r="AD321" s="1">
        <f t="shared" si="24"/>
        <v>318</v>
      </c>
      <c r="AE321" s="1" t="s">
        <v>1126</v>
      </c>
      <c r="AF321" s="76">
        <f t="shared" si="25"/>
        <v>62920</v>
      </c>
      <c r="AG321" s="77">
        <f t="shared" si="26"/>
        <v>5.5</v>
      </c>
      <c r="AH321" s="1" t="str">
        <f>IF($C321="","",$B321&amp;"|"&amp;(COUNTIFS($B$4:$B$1463,$B321,$AF$4:$AF$1463,"&gt;"&amp;$AF321)+COUNTIFS($B$4:$B321,$B321,$AF$4:$AF321,"="&amp;$AF321)))</f>
        <v>AZUKI|47</v>
      </c>
      <c r="AI321" s="1" t="str">
        <f>IF($C321="","",$B321&amp;"|"&amp;(COUNTIFS($B$4:$B$1463,$B321,$AG$4:$AG$1463,"&gt;"&amp;$AG321)+COUNTIFS($B$4:$B321,$B321,$AG$4:$AG321,"="&amp;$AG321)))</f>
        <v>AZUKI|58</v>
      </c>
    </row>
    <row r="322" spans="1:35" hidden="1">
      <c r="A322" s="69" t="s">
        <v>106</v>
      </c>
      <c r="B322" s="69" t="s">
        <v>105</v>
      </c>
      <c r="C322" s="63" t="s">
        <v>1127</v>
      </c>
      <c r="D322" s="69" t="s">
        <v>691</v>
      </c>
      <c r="E322" s="68" t="s">
        <v>75</v>
      </c>
      <c r="F322" s="15" t="str">
        <f>IF($C322="","",IF($E322="","-",IFERROR(INDEX(SETUP!$B$55:$B$64,MATCH($E322,SETUP!$A$55:$A$64,0)),"Other")))</f>
        <v>Support</v>
      </c>
      <c r="G322" s="70">
        <v>60852</v>
      </c>
      <c r="H322" s="15" t="str">
        <f>IF($C322="","",IF($G322="","-",INDEX(SETUP!$B$26:$B$32,MATCH($G322,SETUP!$A$26:$A$32,1))))</f>
        <v>60,000 - 60,999</v>
      </c>
      <c r="I322" s="70">
        <v>3751</v>
      </c>
      <c r="J322" s="15" t="str">
        <f>IF($C322="","",IF($I322="","-",INDEX(SETUP!$B$16:$B$22,MATCH($I322,SETUP!$A$16:$A$22,1))))</f>
        <v>DEVELOPING</v>
      </c>
      <c r="K322" s="15" t="str">
        <f>IF($C322="","",IF($I322="","-",TEXT(INT($I322/1000)*1000,"#,##0")&amp;" - "&amp;TEXT(INT($I322/1000)*1000+999,"#,##0")))</f>
        <v>3,000 - 3,999</v>
      </c>
      <c r="L322" s="71">
        <v>5.26</v>
      </c>
      <c r="M322" s="15" t="str">
        <f>IF($C322="","",IF($L322="","-",INDEX(SETUP!$B$36:$B$42,MATCH($L322,SETUP!$A$36:$A$42,1))))</f>
        <v>5k - 6k</v>
      </c>
      <c r="N322" s="17">
        <f>IF($C322="","",IF(OR($G322="",$I322=""),"",ROUND(100*(SETUP!$B$4*MIN(1,$I322/SETUP!$B$9)+SETUP!$B$5*MAX(0,MIN(1,($G322-SETUP!$B$10)/(SETUP!$B$11-SETUP!$B$10)))+SETUP!$B$6*MIN(1,IF($L322="",0,$L322)/SETUP!$B$12)),1)))</f>
        <v>40.5</v>
      </c>
      <c r="O322" s="15" t="str">
        <f>IF($C322="","",IF($N322="","-",INDEX(SETUP!$B$46:$B$51,MATCH($N322,SETUP!$A$46:$A$51,1))))</f>
        <v>B</v>
      </c>
      <c r="P322" s="15">
        <f>IF($C322="","",IF($I322="","",RANK($I322,$I$4:$I$1463)+COUNTIF($I$4:$I322,$I322)-1))</f>
        <v>665</v>
      </c>
      <c r="Q322" s="15">
        <f>IF($C322="","",COUNTIFS($B$4:$B$1463,$B322,$X$4:$X$1463,"&gt;"&amp;$X322)+COUNTIFS($B$4:$B322,$B322,$X$4:$X322,"="&amp;$X322))</f>
        <v>78</v>
      </c>
      <c r="R322" s="72">
        <f>IF($C322="","",IF($I322="","",ROUND(COUNTIF($I$4:$I$1463,"&lt;"&amp;$I322)/COUNT($I$4:$I$1463),3)))</f>
        <v>0.497</v>
      </c>
      <c r="S322" s="15" t="str">
        <f>IF($C322="","",IF($G322="","Name only",IF(OR($I322="",$L322=""),"Partial","Complete")))</f>
        <v>Complete</v>
      </c>
      <c r="T322" s="41" t="str">
        <f>IF($C322="","",TRIM(IF(COUNTIF($C$4:$C$1463,$C322)&gt;1,"Dup name; ","")&amp;IF(AND($G322&lt;&gt;"",$G322&lt;55000),"Low CR - verify; ","")&amp;IF(AND($L322&lt;&gt;"",$L322&gt;15),"Secondary - verify; ","")&amp;IF($E322="","No class; ","")))</f>
        <v/>
      </c>
      <c r="U322" s="68"/>
      <c r="V322" s="68"/>
      <c r="W322" s="68"/>
      <c r="X322" s="73">
        <f t="shared" si="22"/>
        <v>3751</v>
      </c>
      <c r="Y322" s="41" t="str">
        <f t="shared" si="23"/>
        <v>LEGENDS|78</v>
      </c>
      <c r="Z322" s="15">
        <f>IF($C322="","",IF($G322="","",RANK($G322,$G$4:$G$1463)+COUNTIF($G$4:$G322,$G322)-1))</f>
        <v>1164</v>
      </c>
      <c r="AA322" s="15">
        <f>IF($C322="","",IF($N322="","",RANK($N322,$N$4:$N$1463)+COUNTIF($N$4:$N322,$N322)-1))</f>
        <v>802</v>
      </c>
      <c r="AB322" s="41" t="str">
        <f>IF($C322="","",IF($E322="","",$E322&amp;"#"&amp;(COUNTIFS($E$4:$E$1463,$E322,$X$4:$X$1463,"&gt;"&amp;$X322)+COUNTIFS($E$4:$E322,$E322,$X$4:$X322,"="&amp;$X322))))</f>
        <v>DRUID#32</v>
      </c>
      <c r="AC322" s="41" t="str">
        <f>IF($C322="","",$B322&amp;"@"&amp;(COUNTIFS($B$4:$B$1463,$B322,$C$4:$C$1463,"&lt;"&amp;$C322)+COUNTIFS($B$4:$B322,$B322,$C$4:$C322,$C322)))</f>
        <v>LEGENDS@34</v>
      </c>
      <c r="AD322" s="41">
        <f t="shared" si="24"/>
        <v>319</v>
      </c>
      <c r="AE322" s="41" t="s">
        <v>1128</v>
      </c>
      <c r="AF322" s="73">
        <f t="shared" si="25"/>
        <v>60852</v>
      </c>
      <c r="AG322" s="74">
        <f t="shared" si="26"/>
        <v>5.26</v>
      </c>
      <c r="AH322" s="41" t="str">
        <f>IF($C322="","",$B322&amp;"|"&amp;(COUNTIFS($B$4:$B$1463,$B322,$AF$4:$AF$1463,"&gt;"&amp;$AF322)+COUNTIFS($B$4:$B322,$B322,$AF$4:$AF322,"="&amp;$AF322)))</f>
        <v>LEGENDS|95</v>
      </c>
      <c r="AI322" s="41" t="str">
        <f>IF($C322="","",$B322&amp;"|"&amp;(COUNTIFS($B$4:$B$1463,$B322,$AG$4:$AG$1463,"&gt;"&amp;$AG322)+COUNTIFS($B$4:$B322,$B322,$AG$4:$AG322,"="&amp;$AG322)))</f>
        <v>LEGENDS|52</v>
      </c>
    </row>
    <row r="323" spans="1:35" hidden="1">
      <c r="A323" s="69" t="s">
        <v>109</v>
      </c>
      <c r="B323" s="69" t="s">
        <v>115</v>
      </c>
      <c r="C323" s="63" t="s">
        <v>1129</v>
      </c>
      <c r="D323" s="69"/>
      <c r="E323" s="68" t="s">
        <v>71</v>
      </c>
      <c r="F323" s="19" t="str">
        <f>IF($C323="","",IF($E323="","-",IFERROR(INDEX(SETUP!$B$55:$B$64,MATCH($E323,SETUP!$A$55:$A$64,0)),"Other")))</f>
        <v>Frontline</v>
      </c>
      <c r="G323" s="70">
        <v>61414</v>
      </c>
      <c r="H323" s="19" t="str">
        <f>IF($C323="","",IF($G323="","-",INDEX(SETUP!$B$26:$B$32,MATCH($G323,SETUP!$A$26:$A$32,1))))</f>
        <v>61,000 - 61,999</v>
      </c>
      <c r="I323" s="70">
        <v>1910</v>
      </c>
      <c r="J323" s="19" t="str">
        <f>IF($C323="","",IF($I323="","-",INDEX(SETUP!$B$16:$B$22,MATCH($I323,SETUP!$A$16:$A$22,1))))</f>
        <v>ROOKIE</v>
      </c>
      <c r="K323" s="19" t="str">
        <f>IF($C323="","",IF($I323="","-",TEXT(INT($I323/1000)*1000,"#,##0")&amp;" - "&amp;TEXT(INT($I323/1000)*1000+999,"#,##0")))</f>
        <v>1,000 - 1,999</v>
      </c>
      <c r="L323" s="71">
        <v>3.2</v>
      </c>
      <c r="M323" s="19" t="str">
        <f>IF($C323="","",IF($L323="","-",INDEX(SETUP!$B$36:$B$42,MATCH($L323,SETUP!$A$36:$A$42,1))))</f>
        <v>3k - 4k</v>
      </c>
      <c r="N323" s="21">
        <f>IF($C323="","",IF(OR($G323="",$I323=""),"",ROUND(100*(SETUP!$B$4*MIN(1,$I323/SETUP!$B$9)+SETUP!$B$5*MAX(0,MIN(1,($G323-SETUP!$B$10)/(SETUP!$B$11-SETUP!$B$10)))+SETUP!$B$6*MIN(1,IF($L323="",0,$L323)/SETUP!$B$12)),1)))</f>
        <v>30.5</v>
      </c>
      <c r="O323" s="19" t="str">
        <f>IF($C323="","",IF($N323="","-",INDEX(SETUP!$B$46:$B$51,MATCH($N323,SETUP!$A$46:$A$51,1))))</f>
        <v>C</v>
      </c>
      <c r="P323" s="19">
        <f>IF($C323="","",IF($I323="","",RANK($I323,$I$4:$I$1463)+COUNTIF($I$4:$I323,$I323)-1))</f>
        <v>1131</v>
      </c>
      <c r="Q323" s="19">
        <f>IF($C323="","",COUNTIFS($B$4:$B$1463,$B323,$X$4:$X$1463,"&gt;"&amp;$X323)+COUNTIFS($B$4:$B323,$B323,$X$4:$X323,"="&amp;$X323))</f>
        <v>48</v>
      </c>
      <c r="R323" s="75">
        <f>IF($C323="","",IF($I323="","",ROUND(COUNTIF($I$4:$I$1463,"&lt;"&amp;$I323)/COUNT($I$4:$I$1463),3)))</f>
        <v>0.14599999999999999</v>
      </c>
      <c r="S323" s="19" t="str">
        <f>IF($C323="","",IF($G323="","Name only",IF(OR($I323="",$L323=""),"Partial","Complete")))</f>
        <v>Complete</v>
      </c>
      <c r="T323" s="1" t="str">
        <f>IF($C323="","",TRIM(IF(COUNTIF($C$4:$C$1463,$C323)&gt;1,"Dup name; ","")&amp;IF(AND($G323&lt;&gt;"",$G323&lt;55000),"Low CR - verify; ","")&amp;IF(AND($L323&lt;&gt;"",$L323&gt;15),"Secondary - verify; ","")&amp;IF($E323="","No class; ","")))</f>
        <v/>
      </c>
      <c r="U323" s="68"/>
      <c r="V323" s="68"/>
      <c r="W323" s="68"/>
      <c r="X323" s="76">
        <f t="shared" si="22"/>
        <v>1910</v>
      </c>
      <c r="Y323" s="1" t="str">
        <f t="shared" si="23"/>
        <v>SUB ROSA|48</v>
      </c>
      <c r="Z323" s="19">
        <f>IF($C323="","",IF($G323="","",RANK($G323,$G$4:$G$1463)+COUNTIF($G$4:$G323,$G323)-1))</f>
        <v>1027</v>
      </c>
      <c r="AA323" s="19">
        <f>IF($C323="","",IF($N323="","",RANK($N323,$N$4:$N$1463)+COUNTIF($N$4:$N323,$N323)-1))</f>
        <v>1132</v>
      </c>
      <c r="AB323" s="1" t="str">
        <f>IF($C323="","",IF($E323="","",$E323&amp;"#"&amp;(COUNTIFS($E$4:$E$1463,$E323,$X$4:$X$1463,"&gt;"&amp;$X323)+COUNTIFS($E$4:$E323,$E323,$X$4:$X323,"="&amp;$X323))))</f>
        <v>BARBARIAN#192</v>
      </c>
      <c r="AC323" s="1" t="str">
        <f>IF($C323="","",$B323&amp;"@"&amp;(COUNTIFS($B$4:$B$1463,$B323,$C$4:$C$1463,"&lt;"&amp;$C323)+COUNTIFS($B$4:$B323,$B323,$C$4:$C323,$C323)))</f>
        <v>SUB ROSA@19</v>
      </c>
      <c r="AD323" s="1">
        <f t="shared" si="24"/>
        <v>320</v>
      </c>
      <c r="AE323" s="1" t="s">
        <v>685</v>
      </c>
      <c r="AF323" s="76">
        <f t="shared" si="25"/>
        <v>61414</v>
      </c>
      <c r="AG323" s="77">
        <f t="shared" si="26"/>
        <v>3.2</v>
      </c>
      <c r="AH323" s="1" t="str">
        <f>IF($C323="","",$B323&amp;"|"&amp;(COUNTIFS($B$4:$B$1463,$B323,$AF$4:$AF$1463,"&gt;"&amp;$AF323)+COUNTIFS($B$4:$B323,$B323,$AF$4:$AF323,"="&amp;$AF323)))</f>
        <v>SUB ROSA|47</v>
      </c>
      <c r="AI323" s="1" t="str">
        <f>IF($C323="","",$B323&amp;"|"&amp;(COUNTIFS($B$4:$B$1463,$B323,$AG$4:$AG$1463,"&gt;"&amp;$AG323)+COUNTIFS($B$4:$B323,$B323,$AG$4:$AG323,"="&amp;$AG323)))</f>
        <v>SUB ROSA|50</v>
      </c>
    </row>
    <row r="324" spans="1:35" hidden="1">
      <c r="A324" s="69" t="s">
        <v>109</v>
      </c>
      <c r="B324" s="69" t="s">
        <v>108</v>
      </c>
      <c r="C324" s="63" t="s">
        <v>1130</v>
      </c>
      <c r="D324" s="69"/>
      <c r="E324" s="68" t="s">
        <v>76</v>
      </c>
      <c r="F324" s="15" t="str">
        <f>IF($C324="","",IF($E324="","-",IFERROR(INDEX(SETUP!$B$55:$B$64,MATCH($E324,SETUP!$A$55:$A$64,0)),"Other")))</f>
        <v>Support</v>
      </c>
      <c r="G324" s="70">
        <v>55554</v>
      </c>
      <c r="H324" s="15" t="str">
        <f>IF($C324="","",IF($G324="","-",INDEX(SETUP!$B$26:$B$32,MATCH($G324,SETUP!$A$26:$A$32,1))))</f>
        <v>Under 58,000</v>
      </c>
      <c r="I324" s="70">
        <v>3824</v>
      </c>
      <c r="J324" s="15" t="str">
        <f>IF($C324="","",IF($I324="","-",INDEX(SETUP!$B$16:$B$22,MATCH($I324,SETUP!$A$16:$A$22,1))))</f>
        <v>DEVELOPING</v>
      </c>
      <c r="K324" s="15" t="str">
        <f>IF($C324="","",IF($I324="","-",TEXT(INT($I324/1000)*1000,"#,##0")&amp;" - "&amp;TEXT(INT($I324/1000)*1000+999,"#,##0")))</f>
        <v>3,000 - 3,999</v>
      </c>
      <c r="L324" s="71">
        <v>5.15</v>
      </c>
      <c r="M324" s="15" t="str">
        <f>IF($C324="","",IF($L324="","-",INDEX(SETUP!$B$36:$B$42,MATCH($L324,SETUP!$A$36:$A$42,1))))</f>
        <v>5k - 6k</v>
      </c>
      <c r="N324" s="17">
        <f>IF($C324="","",IF(OR($G324="",$I324=""),"",ROUND(100*(SETUP!$B$4*MIN(1,$I324/SETUP!$B$9)+SETUP!$B$5*MAX(0,MIN(1,($G324-SETUP!$B$10)/(SETUP!$B$11-SETUP!$B$10)))+SETUP!$B$6*MIN(1,IF($L324="",0,$L324)/SETUP!$B$12)),1)))</f>
        <v>26.7</v>
      </c>
      <c r="O324" s="15" t="str">
        <f>IF($C324="","",IF($N324="","-",INDEX(SETUP!$B$46:$B$51,MATCH($N324,SETUP!$A$46:$A$51,1))))</f>
        <v>C</v>
      </c>
      <c r="P324" s="15">
        <f>IF($C324="","",IF($I324="","",RANK($I324,$I$4:$I$1463)+COUNTIF($I$4:$I324,$I324)-1))</f>
        <v>641</v>
      </c>
      <c r="Q324" s="15">
        <f>IF($C324="","",COUNTIFS($B$4:$B$1463,$B324,$X$4:$X$1463,"&gt;"&amp;$X324)+COUNTIFS($B$4:$B324,$B324,$X$4:$X324,"="&amp;$X324))</f>
        <v>78</v>
      </c>
      <c r="R324" s="72">
        <f>IF($C324="","",IF($I324="","",ROUND(COUNTIF($I$4:$I$1463,"&lt;"&amp;$I324)/COUNT($I$4:$I$1463),3)))</f>
        <v>0.51600000000000001</v>
      </c>
      <c r="S324" s="15" t="str">
        <f>IF($C324="","",IF($G324="","Name only",IF(OR($I324="",$L324=""),"Partial","Complete")))</f>
        <v>Complete</v>
      </c>
      <c r="T324" s="41" t="str">
        <f>IF($C324="","",TRIM(IF(COUNTIF($C$4:$C$1463,$C324)&gt;1,"Dup name; ","")&amp;IF(AND($G324&lt;&gt;"",$G324&lt;55000),"Low CR - verify; ","")&amp;IF(AND($L324&lt;&gt;"",$L324&gt;15),"Secondary - verify; ","")&amp;IF($E324="","No class; ","")))</f>
        <v/>
      </c>
      <c r="U324" s="68"/>
      <c r="V324" s="68"/>
      <c r="W324" s="68"/>
      <c r="X324" s="73">
        <f t="shared" ref="X324:X387" si="27">IF($C324="","",IF($I324="",-1,$I324))</f>
        <v>3824</v>
      </c>
      <c r="Y324" s="41" t="str">
        <f t="shared" ref="Y324:Y387" si="28">IF($C324="","",$B324&amp;"|"&amp;$Q324)</f>
        <v>SBG|78</v>
      </c>
      <c r="Z324" s="15">
        <f>IF($C324="","",IF($G324="","",RANK($G324,$G$4:$G$1463)+COUNTIF($G$4:$G324,$G324)-1))</f>
        <v>1315</v>
      </c>
      <c r="AA324" s="15">
        <f>IF($C324="","",IF($N324="","",RANK($N324,$N$4:$N$1463)+COUNTIF($N$4:$N324,$N324)-1))</f>
        <v>1214</v>
      </c>
      <c r="AB324" s="41" t="str">
        <f>IF($C324="","",IF($E324="","",$E324&amp;"#"&amp;(COUNTIFS($E$4:$E$1463,$E324,$X$4:$X$1463,"&gt;"&amp;$X324)+COUNTIFS($E$4:$E324,$E324,$X$4:$X324,"="&amp;$X324))))</f>
        <v>MONK#23</v>
      </c>
      <c r="AC324" s="41" t="str">
        <f>IF($C324="","",$B324&amp;"@"&amp;(COUNTIFS($B$4:$B$1463,$B324,$C$4:$C$1463,"&lt;"&amp;$C324)+COUNTIFS($B$4:$B324,$B324,$C$4:$C324,$C324)))</f>
        <v>SBG@17</v>
      </c>
      <c r="AD324" s="41">
        <f t="shared" ref="AD324:AD387" si="29">IF($C324="","",ROW()-4+1)</f>
        <v>321</v>
      </c>
      <c r="AE324" s="41" t="s">
        <v>1131</v>
      </c>
      <c r="AF324" s="73">
        <f t="shared" ref="AF324:AF387" si="30">IF($C324="","",IF($G324="",-1,$G324))</f>
        <v>55554</v>
      </c>
      <c r="AG324" s="74">
        <f t="shared" ref="AG324:AG387" si="31">IF($C324="","",IF($L324="",-1,$L324))</f>
        <v>5.15</v>
      </c>
      <c r="AH324" s="41" t="str">
        <f>IF($C324="","",$B324&amp;"|"&amp;(COUNTIFS($B$4:$B$1463,$B324,$AF$4:$AF$1463,"&gt;"&amp;$AF324)+COUNTIFS($B$4:$B324,$B324,$AF$4:$AF324,"="&amp;$AF324)))</f>
        <v>SBG|97</v>
      </c>
      <c r="AI324" s="41" t="str">
        <f>IF($C324="","",$B324&amp;"|"&amp;(COUNTIFS($B$4:$B$1463,$B324,$AG$4:$AG$1463,"&gt;"&amp;$AG324)+COUNTIFS($B$4:$B324,$B324,$AG$4:$AG324,"="&amp;$AG324)))</f>
        <v>SBG|70</v>
      </c>
    </row>
    <row r="325" spans="1:35" hidden="1">
      <c r="A325" s="69" t="s">
        <v>109</v>
      </c>
      <c r="B325" s="69" t="s">
        <v>111</v>
      </c>
      <c r="C325" s="63" t="s">
        <v>1132</v>
      </c>
      <c r="D325" s="69" t="s">
        <v>527</v>
      </c>
      <c r="E325" s="68" t="s">
        <v>78</v>
      </c>
      <c r="F325" s="19" t="str">
        <f>IF($C325="","",IF($E325="","-",IFERROR(INDEX(SETUP!$B$55:$B$64,MATCH($E325,SETUP!$A$55:$A$64,0)),"Other")))</f>
        <v>Melee DPS</v>
      </c>
      <c r="G325" s="70">
        <v>64197</v>
      </c>
      <c r="H325" s="19" t="str">
        <f>IF($C325="","",IF($G325="","-",INDEX(SETUP!$B$26:$B$32,MATCH($G325,SETUP!$A$26:$A$32,1))))</f>
        <v>64,000 +</v>
      </c>
      <c r="I325" s="70">
        <v>10388</v>
      </c>
      <c r="J325" s="19" t="str">
        <f>IF($C325="","",IF($I325="","-",INDEX(SETUP!$B$16:$B$22,MATCH($I325,SETUP!$A$16:$A$22,1))))</f>
        <v>APEX</v>
      </c>
      <c r="K325" s="19" t="str">
        <f>IF($C325="","",IF($I325="","-",TEXT(INT($I325/1000)*1000,"#,##0")&amp;" - "&amp;TEXT(INT($I325/1000)*1000+999,"#,##0")))</f>
        <v>10,000 - 10,999</v>
      </c>
      <c r="L325" s="71">
        <v>10</v>
      </c>
      <c r="M325" s="19" t="str">
        <f>IF($C325="","",IF($L325="","-",INDEX(SETUP!$B$36:$B$42,MATCH($L325,SETUP!$A$36:$A$42,1))))</f>
        <v>10k +</v>
      </c>
      <c r="N325" s="21">
        <f>IF($C325="","",IF(OR($G325="",$I325=""),"",ROUND(100*(SETUP!$B$4*MIN(1,$I325/SETUP!$B$9)+SETUP!$B$5*MAX(0,MIN(1,($G325-SETUP!$B$10)/(SETUP!$B$11-SETUP!$B$10)))+SETUP!$B$6*MIN(1,IF($L325="",0,$L325)/SETUP!$B$12)),1)))</f>
        <v>86.2</v>
      </c>
      <c r="O325" s="19" t="str">
        <f>IF($C325="","",IF($N325="","-",INDEX(SETUP!$B$46:$B$51,MATCH($N325,SETUP!$A$46:$A$51,1))))</f>
        <v>S+</v>
      </c>
      <c r="P325" s="19">
        <f>IF($C325="","",IF($I325="","",RANK($I325,$I$4:$I$1463)+COUNTIF($I$4:$I325,$I325)-1))</f>
        <v>26</v>
      </c>
      <c r="Q325" s="19">
        <f>IF($C325="","",COUNTIFS($B$4:$B$1463,$B325,$X$4:$X$1463,"&gt;"&amp;$X325)+COUNTIFS($B$4:$B325,$B325,$X$4:$X325,"="&amp;$X325))</f>
        <v>5</v>
      </c>
      <c r="R325" s="75">
        <f>IF($C325="","",IF($I325="","",ROUND(COUNTIF($I$4:$I$1463,"&lt;"&amp;$I325)/COUNT($I$4:$I$1463),3)))</f>
        <v>0.98</v>
      </c>
      <c r="S325" s="19" t="str">
        <f>IF($C325="","",IF($G325="","Name only",IF(OR($I325="",$L325=""),"Partial","Complete")))</f>
        <v>Complete</v>
      </c>
      <c r="T325" s="1" t="str">
        <f>IF($C325="","",TRIM(IF(COUNTIF($C$4:$C$1463,$C325)&gt;1,"Dup name; ","")&amp;IF(AND($G325&lt;&gt;"",$G325&lt;55000),"Low CR - verify; ","")&amp;IF(AND($L325&lt;&gt;"",$L325&gt;15),"Secondary - verify; ","")&amp;IF($E325="","No class; ","")))</f>
        <v/>
      </c>
      <c r="U325" s="68"/>
      <c r="V325" s="68"/>
      <c r="W325" s="68"/>
      <c r="X325" s="76">
        <f t="shared" si="27"/>
        <v>10388</v>
      </c>
      <c r="Y325" s="1" t="str">
        <f t="shared" si="28"/>
        <v>RECKONING|5</v>
      </c>
      <c r="Z325" s="19">
        <f>IF($C325="","",IF($G325="","",RANK($G325,$G$4:$G$1463)+COUNTIF($G$4:$G325,$G325)-1))</f>
        <v>44</v>
      </c>
      <c r="AA325" s="19">
        <f>IF($C325="","",IF($N325="","",RANK($N325,$N$4:$N$1463)+COUNTIF($N$4:$N325,$N325)-1))</f>
        <v>18</v>
      </c>
      <c r="AB325" s="1" t="str">
        <f>IF($C325="","",IF($E325="","",$E325&amp;"#"&amp;(COUNTIFS($E$4:$E$1463,$E325,$X$4:$X$1463,"&gt;"&amp;$X325)+COUNTIFS($E$4:$E325,$E325,$X$4:$X325,"="&amp;$X325))))</f>
        <v>TEMPEST#1</v>
      </c>
      <c r="AC325" s="1" t="str">
        <f>IF($C325="","",$B325&amp;"@"&amp;(COUNTIFS($B$4:$B$1463,$B325,$C$4:$C$1463,"&lt;"&amp;$C325)+COUNTIFS($B$4:$B325,$B325,$C$4:$C325,$C325)))</f>
        <v>RECKONING@21</v>
      </c>
      <c r="AD325" s="1">
        <f t="shared" si="29"/>
        <v>322</v>
      </c>
      <c r="AE325" s="1" t="s">
        <v>1133</v>
      </c>
      <c r="AF325" s="76">
        <f t="shared" si="30"/>
        <v>64197</v>
      </c>
      <c r="AG325" s="77">
        <f t="shared" si="31"/>
        <v>10</v>
      </c>
      <c r="AH325" s="1" t="str">
        <f>IF($C325="","",$B325&amp;"|"&amp;(COUNTIFS($B$4:$B$1463,$B325,$AF$4:$AF$1463,"&gt;"&amp;$AF325)+COUNTIFS($B$4:$B325,$B325,$AF$4:$AF325,"="&amp;$AF325)))</f>
        <v>RECKONING|4</v>
      </c>
      <c r="AI325" s="1" t="str">
        <f>IF($C325="","",$B325&amp;"|"&amp;(COUNTIFS($B$4:$B$1463,$B325,$AG$4:$AG$1463,"&gt;"&amp;$AG325)+COUNTIFS($B$4:$B325,$B325,$AG$4:$AG325,"="&amp;$AG325)))</f>
        <v>RECKONING|1</v>
      </c>
    </row>
    <row r="326" spans="1:35" hidden="1">
      <c r="A326" s="69" t="s">
        <v>109</v>
      </c>
      <c r="B326" s="69" t="s">
        <v>112</v>
      </c>
      <c r="C326" s="63" t="s">
        <v>1134</v>
      </c>
      <c r="D326" s="69"/>
      <c r="E326" s="68" t="s">
        <v>80</v>
      </c>
      <c r="F326" s="15" t="str">
        <f>IF($C326="","",IF($E326="","-",IFERROR(INDEX(SETUP!$B$55:$B$64,MATCH($E326,SETUP!$A$55:$A$64,0)),"Other")))</f>
        <v>Ranged DPS</v>
      </c>
      <c r="G326" s="70">
        <v>62341</v>
      </c>
      <c r="H326" s="15" t="str">
        <f>IF($C326="","",IF($G326="","-",INDEX(SETUP!$B$26:$B$32,MATCH($G326,SETUP!$A$26:$A$32,1))))</f>
        <v>62,000 - 62,999</v>
      </c>
      <c r="I326" s="70">
        <v>1440</v>
      </c>
      <c r="J326" s="15" t="str">
        <f>IF($C326="","",IF($I326="","-",INDEX(SETUP!$B$16:$B$22,MATCH($I326,SETUP!$A$16:$A$22,1))))</f>
        <v>ROOKIE</v>
      </c>
      <c r="K326" s="15" t="str">
        <f>IF($C326="","",IF($I326="","-",TEXT(INT($I326/1000)*1000,"#,##0")&amp;" - "&amp;TEXT(INT($I326/1000)*1000+999,"#,##0")))</f>
        <v>1,000 - 1,999</v>
      </c>
      <c r="L326" s="71">
        <v>5</v>
      </c>
      <c r="M326" s="15" t="str">
        <f>IF($C326="","",IF($L326="","-",INDEX(SETUP!$B$36:$B$42,MATCH($L326,SETUP!$A$36:$A$42,1))))</f>
        <v>5k - 6k</v>
      </c>
      <c r="N326" s="17">
        <f>IF($C326="","",IF(OR($G326="",$I326=""),"",ROUND(100*(SETUP!$B$4*MIN(1,$I326/SETUP!$B$9)+SETUP!$B$5*MAX(0,MIN(1,($G326-SETUP!$B$10)/(SETUP!$B$11-SETUP!$B$10)))+SETUP!$B$6*MIN(1,IF($L326="",0,$L326)/SETUP!$B$12)),1)))</f>
        <v>33.9</v>
      </c>
      <c r="O326" s="15" t="str">
        <f>IF($C326="","",IF($N326="","-",INDEX(SETUP!$B$46:$B$51,MATCH($N326,SETUP!$A$46:$A$51,1))))</f>
        <v>C</v>
      </c>
      <c r="P326" s="15">
        <f>IF($C326="","",IF($I326="","",RANK($I326,$I$4:$I$1463)+COUNTIF($I$4:$I326,$I326)-1))</f>
        <v>1202</v>
      </c>
      <c r="Q326" s="15">
        <f>IF($C326="","",COUNTIFS($B$4:$B$1463,$B326,$X$4:$X$1463,"&gt;"&amp;$X326)+COUNTIFS($B$4:$B326,$B326,$X$4:$X326,"="&amp;$X326))</f>
        <v>87</v>
      </c>
      <c r="R326" s="72">
        <f>IF($C326="","",IF($I326="","",ROUND(COUNTIF($I$4:$I$1463,"&lt;"&amp;$I326)/COUNT($I$4:$I$1463),3)))</f>
        <v>9.2999999999999999E-2</v>
      </c>
      <c r="S326" s="15" t="str">
        <f>IF($C326="","",IF($G326="","Name only",IF(OR($I326="",$L326=""),"Partial","Complete")))</f>
        <v>Complete</v>
      </c>
      <c r="T326" s="41" t="str">
        <f>IF($C326="","",TRIM(IF(COUNTIF($C$4:$C$1463,$C326)&gt;1,"Dup name; ","")&amp;IF(AND($G326&lt;&gt;"",$G326&lt;55000),"Low CR - verify; ","")&amp;IF(AND($L326&lt;&gt;"",$L326&gt;15),"Secondary - verify; ","")&amp;IF($E326="","No class; ","")))</f>
        <v/>
      </c>
      <c r="U326" s="68"/>
      <c r="V326" s="68"/>
      <c r="W326" s="68"/>
      <c r="X326" s="73">
        <f t="shared" si="27"/>
        <v>1440</v>
      </c>
      <c r="Y326" s="41" t="str">
        <f t="shared" si="28"/>
        <v>ACHERON|87</v>
      </c>
      <c r="Z326" s="15">
        <f>IF($C326="","",IF($G326="","",RANK($G326,$G$4:$G$1463)+COUNTIF($G$4:$G326,$G326)-1))</f>
        <v>714</v>
      </c>
      <c r="AA326" s="15">
        <f>IF($C326="","",IF($N326="","",RANK($N326,$N$4:$N$1463)+COUNTIF($N$4:$N326,$N326)-1))</f>
        <v>1045</v>
      </c>
      <c r="AB326" s="41" t="str">
        <f>IF($C326="","",IF($E326="","",$E326&amp;"#"&amp;(COUNTIFS($E$4:$E$1463,$E326,$X$4:$X$1463,"&gt;"&amp;$X326)+COUNTIFS($E$4:$E326,$E326,$X$4:$X326,"="&amp;$X326))))</f>
        <v>WIZARD#85</v>
      </c>
      <c r="AC326" s="41" t="str">
        <f>IF($C326="","",$B326&amp;"@"&amp;(COUNTIFS($B$4:$B$1463,$B326,$C$4:$C$1463,"&lt;"&amp;$C326)+COUNTIFS($B$4:$B326,$B326,$C$4:$C326,$C326)))</f>
        <v>ACHERON@20</v>
      </c>
      <c r="AD326" s="41">
        <f t="shared" si="29"/>
        <v>323</v>
      </c>
      <c r="AE326" s="41" t="s">
        <v>1135</v>
      </c>
      <c r="AF326" s="73">
        <f t="shared" si="30"/>
        <v>62341</v>
      </c>
      <c r="AG326" s="74">
        <f t="shared" si="31"/>
        <v>5</v>
      </c>
      <c r="AH326" s="41" t="str">
        <f>IF($C326="","",$B326&amp;"|"&amp;(COUNTIFS($B$4:$B$1463,$B326,$AF$4:$AF$1463,"&gt;"&amp;$AF326)+COUNTIFS($B$4:$B326,$B326,$AF$4:$AF326,"="&amp;$AF326)))</f>
        <v>ACHERON|54</v>
      </c>
      <c r="AI326" s="41" t="str">
        <f>IF($C326="","",$B326&amp;"|"&amp;(COUNTIFS($B$4:$B$1463,$B326,$AG$4:$AG$1463,"&gt;"&amp;$AG326)+COUNTIFS($B$4:$B326,$B326,$AG$4:$AG326,"="&amp;$AG326)))</f>
        <v>ACHERON|45</v>
      </c>
    </row>
    <row r="327" spans="1:35" hidden="1">
      <c r="A327" s="69" t="s">
        <v>109</v>
      </c>
      <c r="B327" s="69" t="s">
        <v>108</v>
      </c>
      <c r="C327" s="63" t="s">
        <v>1136</v>
      </c>
      <c r="D327" s="69"/>
      <c r="E327" s="68" t="s">
        <v>73</v>
      </c>
      <c r="F327" s="19" t="str">
        <f>IF($C327="","",IF($E327="","-",IFERROR(INDEX(SETUP!$B$55:$B$64,MATCH($E327,SETUP!$A$55:$A$64,0)),"Other")))</f>
        <v>Frontline</v>
      </c>
      <c r="G327" s="70">
        <v>63056</v>
      </c>
      <c r="H327" s="19" t="str">
        <f>IF($C327="","",IF($G327="","-",INDEX(SETUP!$B$26:$B$32,MATCH($G327,SETUP!$A$26:$A$32,1))))</f>
        <v>63,000 - 63,999</v>
      </c>
      <c r="I327" s="70">
        <v>4151</v>
      </c>
      <c r="J327" s="19" t="str">
        <f>IF($C327="","",IF($I327="","-",INDEX(SETUP!$B$16:$B$22,MATCH($I327,SETUP!$A$16:$A$22,1))))</f>
        <v>CORE</v>
      </c>
      <c r="K327" s="19" t="str">
        <f>IF($C327="","",IF($I327="","-",TEXT(INT($I327/1000)*1000,"#,##0")&amp;" - "&amp;TEXT(INT($I327/1000)*1000+999,"#,##0")))</f>
        <v>4,000 - 4,999</v>
      </c>
      <c r="L327" s="71">
        <v>5.3</v>
      </c>
      <c r="M327" s="19" t="str">
        <f>IF($C327="","",IF($L327="","-",INDEX(SETUP!$B$36:$B$42,MATCH($L327,SETUP!$A$36:$A$42,1))))</f>
        <v>5k - 6k</v>
      </c>
      <c r="N327" s="21">
        <f>IF($C327="","",IF(OR($G327="",$I327=""),"",ROUND(100*(SETUP!$B$4*MIN(1,$I327/SETUP!$B$9)+SETUP!$B$5*MAX(0,MIN(1,($G327-SETUP!$B$10)/(SETUP!$B$11-SETUP!$B$10)))+SETUP!$B$6*MIN(1,IF($L327="",0,$L327)/SETUP!$B$12)),1)))</f>
        <v>48.2</v>
      </c>
      <c r="O327" s="19" t="str">
        <f>IF($C327="","",IF($N327="","-",INDEX(SETUP!$B$46:$B$51,MATCH($N327,SETUP!$A$46:$A$51,1))))</f>
        <v>B</v>
      </c>
      <c r="P327" s="19">
        <f>IF($C327="","",IF($I327="","",RANK($I327,$I$4:$I$1463)+COUNTIF($I$4:$I327,$I327)-1))</f>
        <v>569</v>
      </c>
      <c r="Q327" s="19">
        <f>IF($C327="","",COUNTIFS($B$4:$B$1463,$B327,$X$4:$X$1463,"&gt;"&amp;$X327)+COUNTIFS($B$4:$B327,$B327,$X$4:$X327,"="&amp;$X327))</f>
        <v>67</v>
      </c>
      <c r="R327" s="75">
        <f>IF($C327="","",IF($I327="","",ROUND(COUNTIF($I$4:$I$1463,"&lt;"&amp;$I327)/COUNT($I$4:$I$1463),3)))</f>
        <v>0.57099999999999995</v>
      </c>
      <c r="S327" s="19" t="str">
        <f>IF($C327="","",IF($G327="","Name only",IF(OR($I327="",$L327=""),"Partial","Complete")))</f>
        <v>Complete</v>
      </c>
      <c r="T327" s="1" t="str">
        <f>IF($C327="","",TRIM(IF(COUNTIF($C$4:$C$1463,$C327)&gt;1,"Dup name; ","")&amp;IF(AND($G327&lt;&gt;"",$G327&lt;55000),"Low CR - verify; ","")&amp;IF(AND($L327&lt;&gt;"",$L327&gt;15),"Secondary - verify; ","")&amp;IF($E327="","No class; ","")))</f>
        <v/>
      </c>
      <c r="U327" s="68"/>
      <c r="V327" s="68"/>
      <c r="W327" s="68"/>
      <c r="X327" s="76">
        <f t="shared" si="27"/>
        <v>4151</v>
      </c>
      <c r="Y327" s="1" t="str">
        <f t="shared" si="28"/>
        <v>SBG|67</v>
      </c>
      <c r="Z327" s="19">
        <f>IF($C327="","",IF($G327="","",RANK($G327,$G$4:$G$1463)+COUNTIF($G$4:$G327,$G327)-1))</f>
        <v>398</v>
      </c>
      <c r="AA327" s="19">
        <f>IF($C327="","",IF($N327="","",RANK($N327,$N$4:$N$1463)+COUNTIF($N$4:$N327,$N327)-1))</f>
        <v>511</v>
      </c>
      <c r="AB327" s="1" t="str">
        <f>IF($C327="","",IF($E327="","",$E327&amp;"#"&amp;(COUNTIFS($E$4:$E$1463,$E327,$X$4:$X$1463,"&gt;"&amp;$X327)+COUNTIFS($E$4:$E327,$E327,$X$4:$X327,"="&amp;$X327))))</f>
        <v>CRUSADER#69</v>
      </c>
      <c r="AC327" s="1" t="str">
        <f>IF($C327="","",$B327&amp;"@"&amp;(COUNTIFS($B$4:$B$1463,$B327,$C$4:$C$1463,"&lt;"&amp;$C327)+COUNTIFS($B$4:$B327,$B327,$C$4:$C327,$C327)))</f>
        <v>SBG@18</v>
      </c>
      <c r="AD327" s="1">
        <f t="shared" si="29"/>
        <v>324</v>
      </c>
      <c r="AE327" s="1" t="s">
        <v>1137</v>
      </c>
      <c r="AF327" s="76">
        <f t="shared" si="30"/>
        <v>63056</v>
      </c>
      <c r="AG327" s="77">
        <f t="shared" si="31"/>
        <v>5.3</v>
      </c>
      <c r="AH327" s="1" t="str">
        <f>IF($C327="","",$B327&amp;"|"&amp;(COUNTIFS($B$4:$B$1463,$B327,$AF$4:$AF$1463,"&gt;"&amp;$AF327)+COUNTIFS($B$4:$B327,$B327,$AF$4:$AF327,"="&amp;$AF327)))</f>
        <v>SBG|46</v>
      </c>
      <c r="AI327" s="1" t="str">
        <f>IF($C327="","",$B327&amp;"|"&amp;(COUNTIFS($B$4:$B$1463,$B327,$AG$4:$AG$1463,"&gt;"&amp;$AG327)+COUNTIFS($B$4:$B327,$B327,$AG$4:$AG327,"="&amp;$AG327)))</f>
        <v>SBG|63</v>
      </c>
    </row>
    <row r="328" spans="1:35" hidden="1">
      <c r="A328" s="69" t="s">
        <v>109</v>
      </c>
      <c r="B328" s="69" t="s">
        <v>117</v>
      </c>
      <c r="C328" s="63" t="s">
        <v>1138</v>
      </c>
      <c r="D328" s="69"/>
      <c r="E328" s="68" t="s">
        <v>77</v>
      </c>
      <c r="F328" s="15" t="str">
        <f>IF($C328="","",IF($E328="","-",IFERROR(INDEX(SETUP!$B$55:$B$64,MATCH($E328,SETUP!$A$55:$A$64,0)),"Other")))</f>
        <v>Control</v>
      </c>
      <c r="G328" s="70">
        <v>62212</v>
      </c>
      <c r="H328" s="15" t="str">
        <f>IF($C328="","",IF($G328="","-",INDEX(SETUP!$B$26:$B$32,MATCH($G328,SETUP!$A$26:$A$32,1))))</f>
        <v>62,000 - 62,999</v>
      </c>
      <c r="I328" s="70">
        <v>740</v>
      </c>
      <c r="J328" s="15" t="str">
        <f>IF($C328="","",IF($I328="","-",INDEX(SETUP!$B$16:$B$22,MATCH($I328,SETUP!$A$16:$A$22,1))))</f>
        <v>ROOKIE</v>
      </c>
      <c r="K328" s="15" t="str">
        <f>IF($C328="","",IF($I328="","-",TEXT(INT($I328/1000)*1000,"#,##0")&amp;" - "&amp;TEXT(INT($I328/1000)*1000+999,"#,##0")))</f>
        <v>0 - 999</v>
      </c>
      <c r="L328" s="71">
        <v>3</v>
      </c>
      <c r="M328" s="15" t="str">
        <f>IF($C328="","",IF($L328="","-",INDEX(SETUP!$B$36:$B$42,MATCH($L328,SETUP!$A$36:$A$42,1))))</f>
        <v>3k - 4k</v>
      </c>
      <c r="N328" s="17">
        <f>IF($C328="","",IF(OR($G328="",$I328=""),"",ROUND(100*(SETUP!$B$4*MIN(1,$I328/SETUP!$B$9)+SETUP!$B$5*MAX(0,MIN(1,($G328-SETUP!$B$10)/(SETUP!$B$11-SETUP!$B$10)))+SETUP!$B$6*MIN(1,IF($L328="",0,$L328)/SETUP!$B$12)),1)))</f>
        <v>27.2</v>
      </c>
      <c r="O328" s="15" t="str">
        <f>IF($C328="","",IF($N328="","-",INDEX(SETUP!$B$46:$B$51,MATCH($N328,SETUP!$A$46:$A$51,1))))</f>
        <v>C</v>
      </c>
      <c r="P328" s="15">
        <f>IF($C328="","",IF($I328="","",RANK($I328,$I$4:$I$1463)+COUNTIF($I$4:$I328,$I328)-1))</f>
        <v>1301</v>
      </c>
      <c r="Q328" s="15">
        <f>IF($C328="","",COUNTIFS($B$4:$B$1463,$B328,$X$4:$X$1463,"&gt;"&amp;$X328)+COUNTIFS($B$4:$B328,$B328,$X$4:$X328,"="&amp;$X328))</f>
        <v>90</v>
      </c>
      <c r="R328" s="72">
        <f>IF($C328="","",IF($I328="","",ROUND(COUNTIF($I$4:$I$1463,"&lt;"&amp;$I328)/COUNT($I$4:$I$1463),3)))</f>
        <v>1.7000000000000001E-2</v>
      </c>
      <c r="S328" s="15" t="str">
        <f>IF($C328="","",IF($G328="","Name only",IF(OR($I328="",$L328=""),"Partial","Complete")))</f>
        <v>Complete</v>
      </c>
      <c r="T328" s="41" t="str">
        <f>IF($C328="","",TRIM(IF(COUNTIF($C$4:$C$1463,$C328)&gt;1,"Dup name; ","")&amp;IF(AND($G328&lt;&gt;"",$G328&lt;55000),"Low CR - verify; ","")&amp;IF(AND($L328&lt;&gt;"",$L328&gt;15),"Secondary - verify; ","")&amp;IF($E328="","No class; ","")))</f>
        <v/>
      </c>
      <c r="U328" s="68"/>
      <c r="V328" s="68"/>
      <c r="W328" s="68"/>
      <c r="X328" s="73">
        <f t="shared" si="27"/>
        <v>740</v>
      </c>
      <c r="Y328" s="41" t="str">
        <f t="shared" si="28"/>
        <v>VENDETTA|90</v>
      </c>
      <c r="Z328" s="15">
        <f>IF($C328="","",IF($G328="","",RANK($G328,$G$4:$G$1463)+COUNTIF($G$4:$G328,$G328)-1))</f>
        <v>753</v>
      </c>
      <c r="AA328" s="15">
        <f>IF($C328="","",IF($N328="","",RANK($N328,$N$4:$N$1463)+COUNTIF($N$4:$N328,$N328)-1))</f>
        <v>1206</v>
      </c>
      <c r="AB328" s="41" t="str">
        <f>IF($C328="","",IF($E328="","",$E328&amp;"#"&amp;(COUNTIFS($E$4:$E$1463,$E328,$X$4:$X$1463,"&gt;"&amp;$X328)+COUNTIFS($E$4:$E328,$E328,$X$4:$X328,"="&amp;$X328))))</f>
        <v>NECROMANCER#103</v>
      </c>
      <c r="AC328" s="41" t="str">
        <f>IF($C328="","",$B328&amp;"@"&amp;(COUNTIFS($B$4:$B$1463,$B328,$C$4:$C$1463,"&lt;"&amp;$C328)+COUNTIFS($B$4:$B328,$B328,$C$4:$C328,$C328)))</f>
        <v>VENDETTA@25</v>
      </c>
      <c r="AD328" s="41">
        <f t="shared" si="29"/>
        <v>325</v>
      </c>
      <c r="AE328" s="41" t="s">
        <v>1139</v>
      </c>
      <c r="AF328" s="73">
        <f t="shared" si="30"/>
        <v>62212</v>
      </c>
      <c r="AG328" s="74">
        <f t="shared" si="31"/>
        <v>3</v>
      </c>
      <c r="AH328" s="41" t="str">
        <f>IF($C328="","",$B328&amp;"|"&amp;(COUNTIFS($B$4:$B$1463,$B328,$AF$4:$AF$1463,"&gt;"&amp;$AF328)+COUNTIFS($B$4:$B328,$B328,$AF$4:$AF328,"="&amp;$AF328)))</f>
        <v>VENDETTA|30</v>
      </c>
      <c r="AI328" s="41" t="str">
        <f>IF($C328="","",$B328&amp;"|"&amp;(COUNTIFS($B$4:$B$1463,$B328,$AG$4:$AG$1463,"&gt;"&amp;$AG328)+COUNTIFS($B$4:$B328,$B328,$AG$4:$AG328,"="&amp;$AG328)))</f>
        <v>VENDETTA|77</v>
      </c>
    </row>
    <row r="329" spans="1:35" hidden="1">
      <c r="A329" s="69" t="s">
        <v>106</v>
      </c>
      <c r="B329" s="69" t="s">
        <v>107</v>
      </c>
      <c r="C329" s="63" t="s">
        <v>1140</v>
      </c>
      <c r="D329" s="69" t="s">
        <v>932</v>
      </c>
      <c r="E329" s="68" t="s">
        <v>75</v>
      </c>
      <c r="F329" s="19" t="str">
        <f>IF($C329="","",IF($E329="","-",IFERROR(INDEX(SETUP!$B$55:$B$64,MATCH($E329,SETUP!$A$55:$A$64,0)),"Other")))</f>
        <v>Support</v>
      </c>
      <c r="G329" s="70">
        <v>63447</v>
      </c>
      <c r="H329" s="19" t="str">
        <f>IF($C329="","",IF($G329="","-",INDEX(SETUP!$B$26:$B$32,MATCH($G329,SETUP!$A$26:$A$32,1))))</f>
        <v>63,000 - 63,999</v>
      </c>
      <c r="I329" s="70">
        <v>5831</v>
      </c>
      <c r="J329" s="19" t="str">
        <f>IF($C329="","",IF($I329="","-",INDEX(SETUP!$B$16:$B$22,MATCH($I329,SETUP!$A$16:$A$22,1))))</f>
        <v>CORE</v>
      </c>
      <c r="K329" s="19" t="str">
        <f>IF($C329="","",IF($I329="","-",TEXT(INT($I329/1000)*1000,"#,##0")&amp;" - "&amp;TEXT(INT($I329/1000)*1000+999,"#,##0")))</f>
        <v>5,000 - 5,999</v>
      </c>
      <c r="L329" s="71">
        <v>6.14</v>
      </c>
      <c r="M329" s="19" t="str">
        <f>IF($C329="","",IF($L329="","-",INDEX(SETUP!$B$36:$B$42,MATCH($L329,SETUP!$A$36:$A$42,1))))</f>
        <v>6k - 8k</v>
      </c>
      <c r="N329" s="21">
        <f>IF($C329="","",IF(OR($G329="",$I329=""),"",ROUND(100*(SETUP!$B$4*MIN(1,$I329/SETUP!$B$9)+SETUP!$B$5*MAX(0,MIN(1,($G329-SETUP!$B$10)/(SETUP!$B$11-SETUP!$B$10)))+SETUP!$B$6*MIN(1,IF($L329="",0,$L329)/SETUP!$B$12)),1)))</f>
        <v>57.9</v>
      </c>
      <c r="O329" s="19" t="str">
        <f>IF($C329="","",IF($N329="","-",INDEX(SETUP!$B$46:$B$51,MATCH($N329,SETUP!$A$46:$A$51,1))))</f>
        <v>A</v>
      </c>
      <c r="P329" s="19">
        <f>IF($C329="","",IF($I329="","",RANK($I329,$I$4:$I$1463)+COUNTIF($I$4:$I329,$I329)-1))</f>
        <v>303</v>
      </c>
      <c r="Q329" s="19">
        <f>IF($C329="","",COUNTIFS($B$4:$B$1463,$B329,$X$4:$X$1463,"&gt;"&amp;$X329)+COUNTIFS($B$4:$B329,$B329,$X$4:$X329,"="&amp;$X329))</f>
        <v>21</v>
      </c>
      <c r="R329" s="75">
        <f>IF($C329="","",IF($I329="","",ROUND(COUNTIF($I$4:$I$1463,"&lt;"&amp;$I329)/COUNT($I$4:$I$1463),3)))</f>
        <v>0.77100000000000002</v>
      </c>
      <c r="S329" s="19" t="str">
        <f>IF($C329="","",IF($G329="","Name only",IF(OR($I329="",$L329=""),"Partial","Complete")))</f>
        <v>Complete</v>
      </c>
      <c r="T329" s="1" t="str">
        <f>IF($C329="","",TRIM(IF(COUNTIF($C$4:$C$1463,$C329)&gt;1,"Dup name; ","")&amp;IF(AND($G329&lt;&gt;"",$G329&lt;55000),"Low CR - verify; ","")&amp;IF(AND($L329&lt;&gt;"",$L329&gt;15),"Secondary - verify; ","")&amp;IF($E329="","No class; ","")))</f>
        <v/>
      </c>
      <c r="U329" s="68"/>
      <c r="V329" s="68"/>
      <c r="W329" s="68"/>
      <c r="X329" s="76">
        <f t="shared" si="27"/>
        <v>5831</v>
      </c>
      <c r="Y329" s="1" t="str">
        <f t="shared" si="28"/>
        <v>UNDYING|21</v>
      </c>
      <c r="Z329" s="19">
        <f>IF($C329="","",IF($G329="","",RANK($G329,$G$4:$G$1463)+COUNTIF($G$4:$G329,$G329)-1))</f>
        <v>207</v>
      </c>
      <c r="AA329" s="19">
        <f>IF($C329="","",IF($N329="","",RANK($N329,$N$4:$N$1463)+COUNTIF($N$4:$N329,$N329)-1))</f>
        <v>267</v>
      </c>
      <c r="AB329" s="1" t="str">
        <f>IF($C329="","",IF($E329="","",$E329&amp;"#"&amp;(COUNTIFS($E$4:$E$1463,$E329,$X$4:$X$1463,"&gt;"&amp;$X329)+COUNTIFS($E$4:$E329,$E329,$X$4:$X329,"="&amp;$X329))))</f>
        <v>DRUID#16</v>
      </c>
      <c r="AC329" s="1" t="str">
        <f>IF($C329="","",$B329&amp;"@"&amp;(COUNTIFS($B$4:$B$1463,$B329,$C$4:$C$1463,"&lt;"&amp;$C329)+COUNTIFS($B$4:$B329,$B329,$C$4:$C329,$C329)))</f>
        <v>UNDYING@33</v>
      </c>
      <c r="AD329" s="1">
        <f t="shared" si="29"/>
        <v>326</v>
      </c>
      <c r="AE329" s="1" t="s">
        <v>1141</v>
      </c>
      <c r="AF329" s="76">
        <f t="shared" si="30"/>
        <v>63447</v>
      </c>
      <c r="AG329" s="77">
        <f t="shared" si="31"/>
        <v>6.14</v>
      </c>
      <c r="AH329" s="1" t="str">
        <f>IF($C329="","",$B329&amp;"|"&amp;(COUNTIFS($B$4:$B$1463,$B329,$AF$4:$AF$1463,"&gt;"&amp;$AF329)+COUNTIFS($B$4:$B329,$B329,$AF$4:$AF329,"="&amp;$AF329)))</f>
        <v>UNDYING|12</v>
      </c>
      <c r="AI329" s="1" t="str">
        <f>IF($C329="","",$B329&amp;"|"&amp;(COUNTIFS($B$4:$B$1463,$B329,$AG$4:$AG$1463,"&gt;"&amp;$AG329)+COUNTIFS($B$4:$B329,$B329,$AG$4:$AG329,"="&amp;$AG329)))</f>
        <v>UNDYING|23</v>
      </c>
    </row>
    <row r="330" spans="1:35">
      <c r="A330" s="69" t="s">
        <v>104</v>
      </c>
      <c r="B330" s="69" t="s">
        <v>66</v>
      </c>
      <c r="C330" s="63" t="s">
        <v>1072</v>
      </c>
      <c r="D330" s="69"/>
      <c r="E330" s="68" t="s">
        <v>79</v>
      </c>
      <c r="F330" s="19" t="str">
        <f>IF($C330="","",IF($E330="","-",IFERROR(INDEX(SETUP!$B$55:$B$64,MATCH($E330,SETUP!$A$55:$A$64,0)),"Other")))</f>
        <v>Control</v>
      </c>
      <c r="G330" s="70">
        <v>62116</v>
      </c>
      <c r="H330" s="19" t="str">
        <f>IF($C330="","",IF($G330="","-",INDEX(SETUP!$B$26:$B$32,MATCH($G330,SETUP!$A$26:$A$32,1))))</f>
        <v>62,000 - 62,999</v>
      </c>
      <c r="I330" s="70">
        <v>3244</v>
      </c>
      <c r="J330" s="19" t="str">
        <f>IF($C330="","",IF($I330="","-",INDEX(SETUP!$B$16:$B$22,MATCH($I330,SETUP!$A$16:$A$22,1))))</f>
        <v>DEVELOPING</v>
      </c>
      <c r="K330" s="19" t="str">
        <f>IF($C330="","",IF($I330="","-",TEXT(INT($I330/1000)*1000,"#,##0")&amp;" - "&amp;TEXT(INT($I330/1000)*1000+999,"#,##0")))</f>
        <v>3,000 - 3,999</v>
      </c>
      <c r="L330" s="71">
        <v>3.9</v>
      </c>
      <c r="M330" s="19" t="str">
        <f>IF($C330="","",IF($L330="","-",INDEX(SETUP!$B$36:$B$42,MATCH($L330,SETUP!$A$36:$A$42,1))))</f>
        <v>3k - 4k</v>
      </c>
      <c r="N330" s="21">
        <f>IF($C330="","",IF(OR($G330="",$I330=""),"",ROUND(100*(SETUP!$B$4*MIN(1,$I330/SETUP!$B$9)+SETUP!$B$5*MAX(0,MIN(1,($G330-SETUP!$B$10)/(SETUP!$B$11-SETUP!$B$10)))+SETUP!$B$6*MIN(1,IF($L330="",0,$L330)/SETUP!$B$12)),1)))</f>
        <v>39.4</v>
      </c>
      <c r="O330" s="19" t="str">
        <f>IF($C330="","",IF($N330="","-",INDEX(SETUP!$B$46:$B$51,MATCH($N330,SETUP!$A$46:$A$51,1))))</f>
        <v>B</v>
      </c>
      <c r="P330" s="19">
        <f>IF($C330="","",IF($I330="","",RANK($I330,$I$4:$I$1463)+COUNTIF($I$4:$I330,$I330)-1))</f>
        <v>808</v>
      </c>
      <c r="Q330" s="19">
        <f>IF($C330="","",COUNTIFS($B$4:$B$1463,$B330,$X$4:$X$1463,"&gt;"&amp;$X330)+COUNTIFS($B$4:$B330,$B330,$X$4:$X330,"="&amp;$X330))</f>
        <v>81</v>
      </c>
      <c r="R330" s="75">
        <f>IF($C330="","",IF($I330="","",ROUND(COUNTIF($I$4:$I$1463,"&lt;"&amp;$I330)/COUNT($I$4:$I$1463),3)))</f>
        <v>0.39</v>
      </c>
      <c r="S330" s="19" t="str">
        <f>IF($C330="","",IF($G330="","Name only",IF(OR($I330="",$L330=""),"Partial","Complete")))</f>
        <v>Complete</v>
      </c>
      <c r="T330" s="1" t="str">
        <f>IF($C330="","",TRIM(IF(COUNTIF($C$4:$C$1463,$C330)&gt;1,"Dup name; ","")&amp;IF(AND($G330&lt;&gt;"",$G330&lt;55000),"Low CR - verify; ","")&amp;IF(AND($L330&lt;&gt;"",$L330&gt;15),"Secondary - verify; ","")&amp;IF($E330="","No class; ","")))</f>
        <v/>
      </c>
      <c r="U330" s="68" t="s">
        <v>266</v>
      </c>
      <c r="V330" s="68" t="s">
        <v>66</v>
      </c>
      <c r="W330" s="68" t="s">
        <v>285</v>
      </c>
      <c r="X330" s="73">
        <f t="shared" si="27"/>
        <v>3244</v>
      </c>
      <c r="Y330" s="41" t="str">
        <f t="shared" si="28"/>
        <v>FUCT|81</v>
      </c>
      <c r="Z330" s="15">
        <f>IF($C330="","",IF($G330="","",RANK($G330,$G$4:$G$1463)+COUNTIF($G$4:$G330,$G330)-1))</f>
        <v>793</v>
      </c>
      <c r="AA330" s="15">
        <f>IF($C330="","",IF($N330="","",RANK($N330,$N$4:$N$1463)+COUNTIF($N$4:$N330,$N330)-1))</f>
        <v>843</v>
      </c>
      <c r="AB330" s="41" t="str">
        <f>IF($C330="","",IF($E330="","",$E330&amp;"#"&amp;(COUNTIFS($E$4:$E$1463,$E330,$X$4:$X$1463,"&gt;"&amp;$X330)+COUNTIFS($E$4:$E330,$E330,$X$4:$X330,"="&amp;$X330))))</f>
        <v>WARLOCK#198</v>
      </c>
      <c r="AC330" s="41" t="str">
        <f>IF($C330="","",$B330&amp;"@"&amp;(COUNTIFS($B$4:$B$1463,$B330,$C$4:$C$1463,"&lt;"&amp;$C330)+COUNTIFS($B$4:$B330,$B330,$C$4:$C330,$C330)))</f>
        <v>FUCT@21</v>
      </c>
      <c r="AD330" s="41">
        <f t="shared" si="29"/>
        <v>327</v>
      </c>
      <c r="AE330" s="41" t="s">
        <v>1142</v>
      </c>
      <c r="AF330" s="73">
        <f t="shared" si="30"/>
        <v>62116</v>
      </c>
      <c r="AG330" s="74">
        <f t="shared" si="31"/>
        <v>3.9</v>
      </c>
      <c r="AH330" s="41" t="str">
        <f>IF($C330="","",$B330&amp;"|"&amp;(COUNTIFS($B$4:$B$1463,$B330,$AF$4:$AF$1463,"&gt;"&amp;$AF330)+COUNTIFS($B$4:$B330,$B330,$AF$4:$AF330,"="&amp;$AF330)))</f>
        <v>FUCT|76</v>
      </c>
      <c r="AI330" s="41" t="str">
        <f>IF($C330="","",$B330&amp;"|"&amp;(COUNTIFS($B$4:$B$1463,$B330,$AG$4:$AG$1463,"&gt;"&amp;$AG330)+COUNTIFS($B$4:$B330,$B330,$AG$4:$AG330,"="&amp;$AG330)))</f>
        <v>FUCT|86</v>
      </c>
    </row>
    <row r="331" spans="1:35" hidden="1">
      <c r="A331" s="69" t="s">
        <v>109</v>
      </c>
      <c r="B331" s="69" t="s">
        <v>113</v>
      </c>
      <c r="C331" s="63" t="s">
        <v>1143</v>
      </c>
      <c r="D331" s="69" t="s">
        <v>548</v>
      </c>
      <c r="E331" s="68" t="s">
        <v>79</v>
      </c>
      <c r="F331" s="19" t="str">
        <f>IF($C331="","",IF($E331="","-",IFERROR(INDEX(SETUP!$B$55:$B$64,MATCH($E331,SETUP!$A$55:$A$64,0)),"Other")))</f>
        <v>Control</v>
      </c>
      <c r="G331" s="70">
        <v>63596</v>
      </c>
      <c r="H331" s="19" t="str">
        <f>IF($C331="","",IF($G331="","-",INDEX(SETUP!$B$26:$B$32,MATCH($G331,SETUP!$A$26:$A$32,1))))</f>
        <v>63,000 - 63,999</v>
      </c>
      <c r="I331" s="70">
        <v>7152</v>
      </c>
      <c r="J331" s="19" t="str">
        <f>IF($C331="","",IF($I331="","-",INDEX(SETUP!$B$16:$B$22,MATCH($I331,SETUP!$A$16:$A$22,1))))</f>
        <v>VETERAN</v>
      </c>
      <c r="K331" s="19" t="str">
        <f>IF($C331="","",IF($I331="","-",TEXT(INT($I331/1000)*1000,"#,##0")&amp;" - "&amp;TEXT(INT($I331/1000)*1000+999,"#,##0")))</f>
        <v>7,000 - 7,999</v>
      </c>
      <c r="L331" s="71">
        <v>6.15</v>
      </c>
      <c r="M331" s="19" t="str">
        <f>IF($C331="","",IF($L331="","-",INDEX(SETUP!$B$36:$B$42,MATCH($L331,SETUP!$A$36:$A$42,1))))</f>
        <v>6k - 8k</v>
      </c>
      <c r="N331" s="21">
        <f>IF($C331="","",IF(OR($G331="",$I331=""),"",ROUND(100*(SETUP!$B$4*MIN(1,$I331/SETUP!$B$9)+SETUP!$B$5*MAX(0,MIN(1,($G331-SETUP!$B$10)/(SETUP!$B$11-SETUP!$B$10)))+SETUP!$B$6*MIN(1,IF($L331="",0,$L331)/SETUP!$B$12)),1)))</f>
        <v>64.099999999999994</v>
      </c>
      <c r="O331" s="19" t="str">
        <f>IF($C331="","",IF($N331="","-",INDEX(SETUP!$B$46:$B$51,MATCH($N331,SETUP!$A$46:$A$51,1))))</f>
        <v>A</v>
      </c>
      <c r="P331" s="19">
        <f>IF($C331="","",IF($I331="","",RANK($I331,$I$4:$I$1463)+COUNTIF($I$4:$I331,$I331)-1))</f>
        <v>210</v>
      </c>
      <c r="Q331" s="19">
        <f>IF($C331="","",COUNTIFS($B$4:$B$1463,$B331,$X$4:$X$1463,"&gt;"&amp;$X331)+COUNTIFS($B$4:$B331,$B331,$X$4:$X331,"="&amp;$X331))</f>
        <v>6</v>
      </c>
      <c r="R331" s="75">
        <f>IF($C331="","",IF($I331="","",ROUND(COUNTIF($I$4:$I$1463,"&lt;"&amp;$I331)/COUNT($I$4:$I$1463),3)))</f>
        <v>0.84199999999999997</v>
      </c>
      <c r="S331" s="19" t="str">
        <f>IF($C331="","",IF($G331="","Name only",IF(OR($I331="",$L331=""),"Partial","Complete")))</f>
        <v>Complete</v>
      </c>
      <c r="T331" s="1" t="str">
        <f>IF($C331="","",TRIM(IF(COUNTIF($C$4:$C$1463,$C331)&gt;1,"Dup name; ","")&amp;IF(AND($G331&lt;&gt;"",$G331&lt;55000),"Low CR - verify; ","")&amp;IF(AND($L331&lt;&gt;"",$L331&gt;15),"Secondary - verify; ","")&amp;IF($E331="","No class; ","")))</f>
        <v/>
      </c>
      <c r="U331" s="68"/>
      <c r="V331" s="68"/>
      <c r="W331" s="68"/>
      <c r="X331" s="76">
        <f t="shared" si="27"/>
        <v>7152</v>
      </c>
      <c r="Y331" s="1" t="str">
        <f t="shared" si="28"/>
        <v>INVICTUS|6</v>
      </c>
      <c r="Z331" s="19">
        <f>IF($C331="","",IF($G331="","",RANK($G331,$G$4:$G$1463)+COUNTIF($G$4:$G331,$G331)-1))</f>
        <v>171</v>
      </c>
      <c r="AA331" s="19">
        <f>IF($C331="","",IF($N331="","",RANK($N331,$N$4:$N$1463)+COUNTIF($N$4:$N331,$N331)-1))</f>
        <v>186</v>
      </c>
      <c r="AB331" s="1" t="str">
        <f>IF($C331="","",IF($E331="","",$E331&amp;"#"&amp;(COUNTIFS($E$4:$E$1463,$E331,$X$4:$X$1463,"&gt;"&amp;$X331)+COUNTIFS($E$4:$E331,$E331,$X$4:$X331,"="&amp;$X331))))</f>
        <v>WARLOCK#45</v>
      </c>
      <c r="AC331" s="1" t="str">
        <f>IF($C331="","",$B331&amp;"@"&amp;(COUNTIFS($B$4:$B$1463,$B331,$C$4:$C$1463,"&lt;"&amp;$C331)+COUNTIFS($B$4:$B331,$B331,$C$4:$C331,$C331)))</f>
        <v>INVICTUS@21</v>
      </c>
      <c r="AD331" s="1">
        <f t="shared" si="29"/>
        <v>328</v>
      </c>
      <c r="AE331" s="1" t="s">
        <v>1144</v>
      </c>
      <c r="AF331" s="76">
        <f t="shared" si="30"/>
        <v>63596</v>
      </c>
      <c r="AG331" s="77">
        <f t="shared" si="31"/>
        <v>6.15</v>
      </c>
      <c r="AH331" s="1" t="str">
        <f>IF($C331="","",$B331&amp;"|"&amp;(COUNTIFS($B$4:$B$1463,$B331,$AF$4:$AF$1463,"&gt;"&amp;$AF331)+COUNTIFS($B$4:$B331,$B331,$AF$4:$AF331,"="&amp;$AF331)))</f>
        <v>INVICTUS|4</v>
      </c>
      <c r="AI331" s="1" t="str">
        <f>IF($C331="","",$B331&amp;"|"&amp;(COUNTIFS($B$4:$B$1463,$B331,$AG$4:$AG$1463,"&gt;"&amp;$AG331)+COUNTIFS($B$4:$B331,$B331,$AG$4:$AG331,"="&amp;$AG331)))</f>
        <v>INVICTUS|10</v>
      </c>
    </row>
    <row r="332" spans="1:35" hidden="1">
      <c r="A332" s="69" t="s">
        <v>106</v>
      </c>
      <c r="B332" s="69" t="s">
        <v>105</v>
      </c>
      <c r="C332" s="63" t="s">
        <v>1145</v>
      </c>
      <c r="D332" s="69" t="s">
        <v>691</v>
      </c>
      <c r="E332" s="68" t="s">
        <v>75</v>
      </c>
      <c r="F332" s="15" t="str">
        <f>IF($C332="","",IF($E332="","-",IFERROR(INDEX(SETUP!$B$55:$B$64,MATCH($E332,SETUP!$A$55:$A$64,0)),"Other")))</f>
        <v>Support</v>
      </c>
      <c r="G332" s="70">
        <v>63608</v>
      </c>
      <c r="H332" s="15" t="str">
        <f>IF($C332="","",IF($G332="","-",INDEX(SETUP!$B$26:$B$32,MATCH($G332,SETUP!$A$26:$A$32,1))))</f>
        <v>63,000 - 63,999</v>
      </c>
      <c r="I332" s="70">
        <v>6768</v>
      </c>
      <c r="J332" s="15" t="str">
        <f>IF($C332="","",IF($I332="","-",INDEX(SETUP!$B$16:$B$22,MATCH($I332,SETUP!$A$16:$A$22,1))))</f>
        <v>VETERAN</v>
      </c>
      <c r="K332" s="15" t="str">
        <f>IF($C332="","",IF($I332="","-",TEXT(INT($I332/1000)*1000,"#,##0")&amp;" - "&amp;TEXT(INT($I332/1000)*1000+999,"#,##0")))</f>
        <v>6,000 - 6,999</v>
      </c>
      <c r="L332" s="71">
        <v>5.48</v>
      </c>
      <c r="M332" s="15" t="str">
        <f>IF($C332="","",IF($L332="","-",INDEX(SETUP!$B$36:$B$42,MATCH($L332,SETUP!$A$36:$A$42,1))))</f>
        <v>5k - 6k</v>
      </c>
      <c r="N332" s="17">
        <f>IF($C332="","",IF(OR($G332="",$I332=""),"",ROUND(100*(SETUP!$B$4*MIN(1,$I332/SETUP!$B$9)+SETUP!$B$5*MAX(0,MIN(1,($G332-SETUP!$B$10)/(SETUP!$B$11-SETUP!$B$10)))+SETUP!$B$6*MIN(1,IF($L332="",0,$L332)/SETUP!$B$12)),1)))</f>
        <v>61.3</v>
      </c>
      <c r="O332" s="15" t="str">
        <f>IF($C332="","",IF($N332="","-",INDEX(SETUP!$B$46:$B$51,MATCH($N332,SETUP!$A$46:$A$51,1))))</f>
        <v>A</v>
      </c>
      <c r="P332" s="15">
        <f>IF($C332="","",IF($I332="","",RANK($I332,$I$4:$I$1463)+COUNTIF($I$4:$I332,$I332)-1))</f>
        <v>237</v>
      </c>
      <c r="Q332" s="15">
        <f>IF($C332="","",COUNTIFS($B$4:$B$1463,$B332,$X$4:$X$1463,"&gt;"&amp;$X332)+COUNTIFS($B$4:$B332,$B332,$X$4:$X332,"="&amp;$X332))</f>
        <v>24</v>
      </c>
      <c r="R332" s="72">
        <f>IF($C332="","",IF($I332="","",ROUND(COUNTIF($I$4:$I$1463,"&lt;"&amp;$I332)/COUNT($I$4:$I$1463),3)))</f>
        <v>0.82099999999999995</v>
      </c>
      <c r="S332" s="15" t="str">
        <f>IF($C332="","",IF($G332="","Name only",IF(OR($I332="",$L332=""),"Partial","Complete")))</f>
        <v>Complete</v>
      </c>
      <c r="T332" s="41" t="str">
        <f>IF($C332="","",TRIM(IF(COUNTIF($C$4:$C$1463,$C332)&gt;1,"Dup name; ","")&amp;IF(AND($G332&lt;&gt;"",$G332&lt;55000),"Low CR - verify; ","")&amp;IF(AND($L332&lt;&gt;"",$L332&gt;15),"Secondary - verify; ","")&amp;IF($E332="","No class; ","")))</f>
        <v/>
      </c>
      <c r="U332" s="68"/>
      <c r="V332" s="68"/>
      <c r="W332" s="68"/>
      <c r="X332" s="73">
        <f t="shared" si="27"/>
        <v>6768</v>
      </c>
      <c r="Y332" s="41" t="str">
        <f t="shared" si="28"/>
        <v>LEGENDS|24</v>
      </c>
      <c r="Z332" s="15">
        <f>IF($C332="","",IF($G332="","",RANK($G332,$G$4:$G$1463)+COUNTIF($G$4:$G332,$G332)-1))</f>
        <v>167</v>
      </c>
      <c r="AA332" s="15">
        <f>IF($C332="","",IF($N332="","",RANK($N332,$N$4:$N$1463)+COUNTIF($N$4:$N332,$N332)-1))</f>
        <v>223</v>
      </c>
      <c r="AB332" s="41" t="str">
        <f>IF($C332="","",IF($E332="","",$E332&amp;"#"&amp;(COUNTIFS($E$4:$E$1463,$E332,$X$4:$X$1463,"&gt;"&amp;$X332)+COUNTIFS($E$4:$E332,$E332,$X$4:$X332,"="&amp;$X332))))</f>
        <v>DRUID#11</v>
      </c>
      <c r="AC332" s="41" t="str">
        <f>IF($C332="","",$B332&amp;"@"&amp;(COUNTIFS($B$4:$B$1463,$B332,$C$4:$C$1463,"&lt;"&amp;$C332)+COUNTIFS($B$4:$B332,$B332,$C$4:$C332,$C332)))</f>
        <v>LEGENDS@35</v>
      </c>
      <c r="AD332" s="41">
        <f t="shared" si="29"/>
        <v>329</v>
      </c>
      <c r="AE332" s="41" t="s">
        <v>1146</v>
      </c>
      <c r="AF332" s="73">
        <f t="shared" si="30"/>
        <v>63608</v>
      </c>
      <c r="AG332" s="74">
        <f t="shared" si="31"/>
        <v>5.48</v>
      </c>
      <c r="AH332" s="41" t="str">
        <f>IF($C332="","",$B332&amp;"|"&amp;(COUNTIFS($B$4:$B$1463,$B332,$AF$4:$AF$1463,"&gt;"&amp;$AF332)+COUNTIFS($B$4:$B332,$B332,$AF$4:$AF332,"="&amp;$AF332)))</f>
        <v>LEGENDS|19</v>
      </c>
      <c r="AI332" s="41" t="str">
        <f>IF($C332="","",$B332&amp;"|"&amp;(COUNTIFS($B$4:$B$1463,$B332,$AG$4:$AG$1463,"&gt;"&amp;$AG332)+COUNTIFS($B$4:$B332,$B332,$AG$4:$AG332,"="&amp;$AG332)))</f>
        <v>LEGENDS|39</v>
      </c>
    </row>
    <row r="333" spans="1:35" hidden="1">
      <c r="A333" s="69" t="s">
        <v>109</v>
      </c>
      <c r="B333" s="69" t="s">
        <v>118</v>
      </c>
      <c r="C333" s="63" t="s">
        <v>1147</v>
      </c>
      <c r="D333" s="69"/>
      <c r="E333" s="68" t="s">
        <v>74</v>
      </c>
      <c r="F333" s="19" t="str">
        <f>IF($C333="","",IF($E333="","-",IFERROR(INDEX(SETUP!$B$55:$B$64,MATCH($E333,SETUP!$A$55:$A$64,0)),"Other")))</f>
        <v>Ranged DPS</v>
      </c>
      <c r="G333" s="70">
        <v>59893</v>
      </c>
      <c r="H333" s="19" t="str">
        <f>IF($C333="","",IF($G333="","-",INDEX(SETUP!$B$26:$B$32,MATCH($G333,SETUP!$A$26:$A$32,1))))</f>
        <v>58,000 - 59,999</v>
      </c>
      <c r="I333" s="70">
        <v>3762</v>
      </c>
      <c r="J333" s="19" t="str">
        <f>IF($C333="","",IF($I333="","-",INDEX(SETUP!$B$16:$B$22,MATCH($I333,SETUP!$A$16:$A$22,1))))</f>
        <v>DEVELOPING</v>
      </c>
      <c r="K333" s="19" t="str">
        <f>IF($C333="","",IF($I333="","-",TEXT(INT($I333/1000)*1000,"#,##0")&amp;" - "&amp;TEXT(INT($I333/1000)*1000+999,"#,##0")))</f>
        <v>3,000 - 3,999</v>
      </c>
      <c r="L333" s="71">
        <v>5</v>
      </c>
      <c r="M333" s="19" t="str">
        <f>IF($C333="","",IF($L333="","-",INDEX(SETUP!$B$36:$B$42,MATCH($L333,SETUP!$A$36:$A$42,1))))</f>
        <v>5k - 6k</v>
      </c>
      <c r="N333" s="21">
        <f>IF($C333="","",IF(OR($G333="",$I333=""),"",ROUND(100*(SETUP!$B$4*MIN(1,$I333/SETUP!$B$9)+SETUP!$B$5*MAX(0,MIN(1,($G333-SETUP!$B$10)/(SETUP!$B$11-SETUP!$B$10)))+SETUP!$B$6*MIN(1,IF($L333="",0,$L333)/SETUP!$B$12)),1)))</f>
        <v>37.6</v>
      </c>
      <c r="O333" s="19" t="str">
        <f>IF($C333="","",IF($N333="","-",INDEX(SETUP!$B$46:$B$51,MATCH($N333,SETUP!$A$46:$A$51,1))))</f>
        <v>B</v>
      </c>
      <c r="P333" s="19">
        <f>IF($C333="","",IF($I333="","",RANK($I333,$I$4:$I$1463)+COUNTIF($I$4:$I333,$I333)-1))</f>
        <v>658</v>
      </c>
      <c r="Q333" s="19">
        <f>IF($C333="","",COUNTIFS($B$4:$B$1463,$B333,$X$4:$X$1463,"&gt;"&amp;$X333)+COUNTIFS($B$4:$B333,$B333,$X$4:$X333,"="&amp;$X333))</f>
        <v>8</v>
      </c>
      <c r="R333" s="75">
        <f>IF($C333="","",IF($I333="","",ROUND(COUNTIF($I$4:$I$1463,"&lt;"&amp;$I333)/COUNT($I$4:$I$1463),3)))</f>
        <v>0.502</v>
      </c>
      <c r="S333" s="19" t="str">
        <f>IF($C333="","",IF($G333="","Name only",IF(OR($I333="",$L333=""),"Partial","Complete")))</f>
        <v>Complete</v>
      </c>
      <c r="T333" s="1" t="str">
        <f>IF($C333="","",TRIM(IF(COUNTIF($C$4:$C$1463,$C333)&gt;1,"Dup name; ","")&amp;IF(AND($G333&lt;&gt;"",$G333&lt;55000),"Low CR - verify; ","")&amp;IF(AND($L333&lt;&gt;"",$L333&gt;15),"Secondary - verify; ","")&amp;IF($E333="","No class; ","")))</f>
        <v/>
      </c>
      <c r="U333" s="68"/>
      <c r="V333" s="68"/>
      <c r="W333" s="68"/>
      <c r="X333" s="76">
        <f t="shared" si="27"/>
        <v>3762</v>
      </c>
      <c r="Y333" s="1" t="str">
        <f t="shared" si="28"/>
        <v>ZOMBIES|8</v>
      </c>
      <c r="Z333" s="19">
        <f>IF($C333="","",IF($G333="","",RANK($G333,$G$4:$G$1463)+COUNTIF($G$4:$G333,$G333)-1))</f>
        <v>1245</v>
      </c>
      <c r="AA333" s="19">
        <f>IF($C333="","",IF($N333="","",RANK($N333,$N$4:$N$1463)+COUNTIF($N$4:$N333,$N333)-1))</f>
        <v>911</v>
      </c>
      <c r="AB333" s="1" t="str">
        <f>IF($C333="","",IF($E333="","",$E333&amp;"#"&amp;(COUNTIFS($E$4:$E$1463,$E333,$X$4:$X$1463,"&gt;"&amp;$X333)+COUNTIFS($E$4:$E333,$E333,$X$4:$X333,"="&amp;$X333))))</f>
        <v>DEMON HUNTER#107</v>
      </c>
      <c r="AC333" s="1" t="str">
        <f>IF($C333="","",$B333&amp;"@"&amp;(COUNTIFS($B$4:$B$1463,$B333,$C$4:$C$1463,"&lt;"&amp;$C333)+COUNTIFS($B$4:$B333,$B333,$C$4:$C333,$C333)))</f>
        <v>ZOMBIES@25</v>
      </c>
      <c r="AD333" s="1">
        <f t="shared" si="29"/>
        <v>330</v>
      </c>
      <c r="AE333" s="1" t="s">
        <v>790</v>
      </c>
      <c r="AF333" s="76">
        <f t="shared" si="30"/>
        <v>59893</v>
      </c>
      <c r="AG333" s="77">
        <f t="shared" si="31"/>
        <v>5</v>
      </c>
      <c r="AH333" s="1" t="str">
        <f>IF($C333="","",$B333&amp;"|"&amp;(COUNTIFS($B$4:$B$1463,$B333,$AF$4:$AF$1463,"&gt;"&amp;$AF333)+COUNTIFS($B$4:$B333,$B333,$AF$4:$AF333,"="&amp;$AF333)))</f>
        <v>ZOMBIES|82</v>
      </c>
      <c r="AI333" s="1" t="str">
        <f>IF($C333="","",$B333&amp;"|"&amp;(COUNTIFS($B$4:$B$1463,$B333,$AG$4:$AG$1463,"&gt;"&amp;$AG333)+COUNTIFS($B$4:$B333,$B333,$AG$4:$AG333,"="&amp;$AG333)))</f>
        <v>ZOMBIES|12</v>
      </c>
    </row>
    <row r="334" spans="1:35" hidden="1">
      <c r="A334" s="69" t="s">
        <v>109</v>
      </c>
      <c r="B334" s="69" t="s">
        <v>116</v>
      </c>
      <c r="C334" s="63" t="s">
        <v>1148</v>
      </c>
      <c r="D334" s="69" t="s">
        <v>530</v>
      </c>
      <c r="E334" s="68" t="s">
        <v>71</v>
      </c>
      <c r="F334" s="15" t="str">
        <f>IF($C334="","",IF($E334="","-",IFERROR(INDEX(SETUP!$B$55:$B$64,MATCH($E334,SETUP!$A$55:$A$64,0)),"Other")))</f>
        <v>Frontline</v>
      </c>
      <c r="G334" s="70">
        <v>62348</v>
      </c>
      <c r="H334" s="15" t="str">
        <f>IF($C334="","",IF($G334="","-",INDEX(SETUP!$B$26:$B$32,MATCH($G334,SETUP!$A$26:$A$32,1))))</f>
        <v>62,000 - 62,999</v>
      </c>
      <c r="I334" s="70">
        <v>4332</v>
      </c>
      <c r="J334" s="15" t="str">
        <f>IF($C334="","",IF($I334="","-",INDEX(SETUP!$B$16:$B$22,MATCH($I334,SETUP!$A$16:$A$22,1))))</f>
        <v>CORE</v>
      </c>
      <c r="K334" s="15" t="str">
        <f>IF($C334="","",IF($I334="","-",TEXT(INT($I334/1000)*1000,"#,##0")&amp;" - "&amp;TEXT(INT($I334/1000)*1000+999,"#,##0")))</f>
        <v>4,000 - 4,999</v>
      </c>
      <c r="L334" s="71">
        <v>3.8</v>
      </c>
      <c r="M334" s="15" t="str">
        <f>IF($C334="","",IF($L334="","-",INDEX(SETUP!$B$36:$B$42,MATCH($L334,SETUP!$A$36:$A$42,1))))</f>
        <v>3k - 4k</v>
      </c>
      <c r="N334" s="17">
        <f>IF($C334="","",IF(OR($G334="",$I334=""),"",ROUND(100*(SETUP!$B$4*MIN(1,$I334/SETUP!$B$9)+SETUP!$B$5*MAX(0,MIN(1,($G334-SETUP!$B$10)/(SETUP!$B$11-SETUP!$B$10)))+SETUP!$B$6*MIN(1,IF($L334="",0,$L334)/SETUP!$B$12)),1)))</f>
        <v>44.6</v>
      </c>
      <c r="O334" s="15" t="str">
        <f>IF($C334="","",IF($N334="","-",INDEX(SETUP!$B$46:$B$51,MATCH($N334,SETUP!$A$46:$A$51,1))))</f>
        <v>B</v>
      </c>
      <c r="P334" s="15">
        <f>IF($C334="","",IF($I334="","",RANK($I334,$I$4:$I$1463)+COUNTIF($I$4:$I334,$I334)-1))</f>
        <v>522</v>
      </c>
      <c r="Q334" s="15">
        <f>IF($C334="","",COUNTIFS($B$4:$B$1463,$B334,$X$4:$X$1463,"&gt;"&amp;$X334)+COUNTIFS($B$4:$B334,$B334,$X$4:$X334,"="&amp;$X334))</f>
        <v>25</v>
      </c>
      <c r="R334" s="72">
        <f>IF($C334="","",IF($I334="","",ROUND(COUNTIF($I$4:$I$1463,"&lt;"&amp;$I334)/COUNT($I$4:$I$1463),3)))</f>
        <v>0.60499999999999998</v>
      </c>
      <c r="S334" s="15" t="str">
        <f>IF($C334="","",IF($G334="","Name only",IF(OR($I334="",$L334=""),"Partial","Complete")))</f>
        <v>Complete</v>
      </c>
      <c r="T334" s="41" t="str">
        <f>IF($C334="","",TRIM(IF(COUNTIF($C$4:$C$1463,$C334)&gt;1,"Dup name; ","")&amp;IF(AND($G334&lt;&gt;"",$G334&lt;55000),"Low CR - verify; ","")&amp;IF(AND($L334&lt;&gt;"",$L334&gt;15),"Secondary - verify; ","")&amp;IF($E334="","No class; ","")))</f>
        <v/>
      </c>
      <c r="U334" s="68"/>
      <c r="V334" s="68"/>
      <c r="W334" s="68"/>
      <c r="X334" s="73">
        <f t="shared" si="27"/>
        <v>4332</v>
      </c>
      <c r="Y334" s="41" t="str">
        <f t="shared" si="28"/>
        <v>VENGEANCE|25</v>
      </c>
      <c r="Z334" s="15">
        <f>IF($C334="","",IF($G334="","",RANK($G334,$G$4:$G$1463)+COUNTIF($G$4:$G334,$G334)-1))</f>
        <v>710</v>
      </c>
      <c r="AA334" s="15">
        <f>IF($C334="","",IF($N334="","",RANK($N334,$N$4:$N$1463)+COUNTIF($N$4:$N334,$N334)-1))</f>
        <v>635</v>
      </c>
      <c r="AB334" s="41" t="str">
        <f>IF($C334="","",IF($E334="","",$E334&amp;"#"&amp;(COUNTIFS($E$4:$E$1463,$E334,$X$4:$X$1463,"&gt;"&amp;$X334)+COUNTIFS($E$4:$E334,$E334,$X$4:$X334,"="&amp;$X334))))</f>
        <v>BARBARIAN#100</v>
      </c>
      <c r="AC334" s="41" t="str">
        <f>IF($C334="","",$B334&amp;"@"&amp;(COUNTIFS($B$4:$B$1463,$B334,$C$4:$C$1463,"&lt;"&amp;$C334)+COUNTIFS($B$4:$B334,$B334,$C$4:$C334,$C334)))</f>
        <v>VENGEANCE@23</v>
      </c>
      <c r="AD334" s="41">
        <f t="shared" si="29"/>
        <v>331</v>
      </c>
      <c r="AE334" s="41" t="s">
        <v>531</v>
      </c>
      <c r="AF334" s="73">
        <f t="shared" si="30"/>
        <v>62348</v>
      </c>
      <c r="AG334" s="74">
        <f t="shared" si="31"/>
        <v>3.8</v>
      </c>
      <c r="AH334" s="41" t="str">
        <f>IF($C334="","",$B334&amp;"|"&amp;(COUNTIFS($B$4:$B$1463,$B334,$AF$4:$AF$1463,"&gt;"&amp;$AF334)+COUNTIFS($B$4:$B334,$B334,$AF$4:$AF334,"="&amp;$AF334)))</f>
        <v>VENGEANCE|45</v>
      </c>
      <c r="AI334" s="41" t="str">
        <f>IF($C334="","",$B334&amp;"|"&amp;(COUNTIFS($B$4:$B$1463,$B334,$AG$4:$AG$1463,"&gt;"&amp;$AG334)+COUNTIFS($B$4:$B334,$B334,$AG$4:$AG334,"="&amp;$AG334)))</f>
        <v>VENGEANCE|69</v>
      </c>
    </row>
    <row r="335" spans="1:35" hidden="1">
      <c r="A335" s="69" t="s">
        <v>109</v>
      </c>
      <c r="B335" s="69" t="s">
        <v>115</v>
      </c>
      <c r="C335" s="63" t="s">
        <v>1149</v>
      </c>
      <c r="D335" s="69"/>
      <c r="E335" s="68" t="s">
        <v>73</v>
      </c>
      <c r="F335" s="19" t="str">
        <f>IF($C335="","",IF($E335="","-",IFERROR(INDEX(SETUP!$B$55:$B$64,MATCH($E335,SETUP!$A$55:$A$64,0)),"Other")))</f>
        <v>Frontline</v>
      </c>
      <c r="G335" s="70">
        <v>64435</v>
      </c>
      <c r="H335" s="19" t="str">
        <f>IF($C335="","",IF($G335="","-",INDEX(SETUP!$B$26:$B$32,MATCH($G335,SETUP!$A$26:$A$32,1))))</f>
        <v>64,000 +</v>
      </c>
      <c r="I335" s="70">
        <v>11094</v>
      </c>
      <c r="J335" s="19" t="str">
        <f>IF($C335="","",IF($I335="","-",INDEX(SETUP!$B$16:$B$22,MATCH($I335,SETUP!$A$16:$A$22,1))))</f>
        <v>APEX</v>
      </c>
      <c r="K335" s="19" t="str">
        <f>IF($C335="","",IF($I335="","-",TEXT(INT($I335/1000)*1000,"#,##0")&amp;" - "&amp;TEXT(INT($I335/1000)*1000+999,"#,##0")))</f>
        <v>11,000 - 11,999</v>
      </c>
      <c r="L335" s="71">
        <v>6.75</v>
      </c>
      <c r="M335" s="19" t="str">
        <f>IF($C335="","",IF($L335="","-",INDEX(SETUP!$B$36:$B$42,MATCH($L335,SETUP!$A$36:$A$42,1))))</f>
        <v>6k - 8k</v>
      </c>
      <c r="N335" s="21">
        <f>IF($C335="","",IF(OR($G335="",$I335=""),"",ROUND(100*(SETUP!$B$4*MIN(1,$I335/SETUP!$B$9)+SETUP!$B$5*MAX(0,MIN(1,($G335-SETUP!$B$10)/(SETUP!$B$11-SETUP!$B$10)))+SETUP!$B$6*MIN(1,IF($L335="",0,$L335)/SETUP!$B$12)),1)))</f>
        <v>84.5</v>
      </c>
      <c r="O335" s="19" t="str">
        <f>IF($C335="","",IF($N335="","-",INDEX(SETUP!$B$46:$B$51,MATCH($N335,SETUP!$A$46:$A$51,1))))</f>
        <v>S+</v>
      </c>
      <c r="P335" s="19">
        <f>IF($C335="","",IF($I335="","",RANK($I335,$I$4:$I$1463)+COUNTIF($I$4:$I335,$I335)-1))</f>
        <v>13</v>
      </c>
      <c r="Q335" s="19">
        <f>IF($C335="","",COUNTIFS($B$4:$B$1463,$B335,$X$4:$X$1463,"&gt;"&amp;$X335)+COUNTIFS($B$4:$B335,$B335,$X$4:$X335,"="&amp;$X335))</f>
        <v>1</v>
      </c>
      <c r="R335" s="75">
        <f>IF($C335="","",IF($I335="","",ROUND(COUNTIF($I$4:$I$1463,"&lt;"&amp;$I335)/COUNT($I$4:$I$1463),3)))</f>
        <v>0.99</v>
      </c>
      <c r="S335" s="19" t="str">
        <f>IF($C335="","",IF($G335="","Name only",IF(OR($I335="",$L335=""),"Partial","Complete")))</f>
        <v>Complete</v>
      </c>
      <c r="T335" s="1" t="str">
        <f>IF($C335="","",TRIM(IF(COUNTIF($C$4:$C$1463,$C335)&gt;1,"Dup name; ","")&amp;IF(AND($G335&lt;&gt;"",$G335&lt;55000),"Low CR - verify; ","")&amp;IF(AND($L335&lt;&gt;"",$L335&gt;15),"Secondary - verify; ","")&amp;IF($E335="","No class; ","")))</f>
        <v/>
      </c>
      <c r="U335" s="68"/>
      <c r="V335" s="68"/>
      <c r="W335" s="68"/>
      <c r="X335" s="76">
        <f t="shared" si="27"/>
        <v>11094</v>
      </c>
      <c r="Y335" s="1" t="str">
        <f t="shared" si="28"/>
        <v>SUB ROSA|1</v>
      </c>
      <c r="Z335" s="19">
        <f>IF($C335="","",IF($G335="","",RANK($G335,$G$4:$G$1463)+COUNTIF($G$4:$G335,$G335)-1))</f>
        <v>4</v>
      </c>
      <c r="AA335" s="19">
        <f>IF($C335="","",IF($N335="","",RANK($N335,$N$4:$N$1463)+COUNTIF($N$4:$N335,$N335)-1))</f>
        <v>23</v>
      </c>
      <c r="AB335" s="1" t="str">
        <f>IF($C335="","",IF($E335="","",$E335&amp;"#"&amp;(COUNTIFS($E$4:$E$1463,$E335,$X$4:$X$1463,"&gt;"&amp;$X335)+COUNTIFS($E$4:$E335,$E335,$X$4:$X335,"="&amp;$X335))))</f>
        <v>CRUSADER#5</v>
      </c>
      <c r="AC335" s="1" t="str">
        <f>IF($C335="","",$B335&amp;"@"&amp;(COUNTIFS($B$4:$B$1463,$B335,$C$4:$C$1463,"&lt;"&amp;$C335)+COUNTIFS($B$4:$B335,$B335,$C$4:$C335,$C335)))</f>
        <v>SUB ROSA@20</v>
      </c>
      <c r="AD335" s="1">
        <f t="shared" si="29"/>
        <v>332</v>
      </c>
      <c r="AE335" s="1" t="s">
        <v>984</v>
      </c>
      <c r="AF335" s="76">
        <f t="shared" si="30"/>
        <v>64435</v>
      </c>
      <c r="AG335" s="77">
        <f t="shared" si="31"/>
        <v>6.75</v>
      </c>
      <c r="AH335" s="1" t="str">
        <f>IF($C335="","",$B335&amp;"|"&amp;(COUNTIFS($B$4:$B$1463,$B335,$AF$4:$AF$1463,"&gt;"&amp;$AF335)+COUNTIFS($B$4:$B335,$B335,$AF$4:$AF335,"="&amp;$AF335)))</f>
        <v>SUB ROSA|1</v>
      </c>
      <c r="AI335" s="1" t="str">
        <f>IF($C335="","",$B335&amp;"|"&amp;(COUNTIFS($B$4:$B$1463,$B335,$AG$4:$AG$1463,"&gt;"&amp;$AG335)+COUNTIFS($B$4:$B335,$B335,$AG$4:$AG335,"="&amp;$AG335)))</f>
        <v>SUB ROSA|4</v>
      </c>
    </row>
    <row r="336" spans="1:35" hidden="1">
      <c r="A336" s="69" t="s">
        <v>109</v>
      </c>
      <c r="B336" s="69" t="s">
        <v>114</v>
      </c>
      <c r="C336" s="63" t="s">
        <v>1150</v>
      </c>
      <c r="D336" s="69"/>
      <c r="E336" s="68" t="s">
        <v>80</v>
      </c>
      <c r="F336" s="15" t="str">
        <f>IF($C336="","",IF($E336="","-",IFERROR(INDEX(SETUP!$B$55:$B$64,MATCH($E336,SETUP!$A$55:$A$64,0)),"Other")))</f>
        <v>Ranged DPS</v>
      </c>
      <c r="G336" s="70">
        <v>55894</v>
      </c>
      <c r="H336" s="15" t="str">
        <f>IF($C336="","",IF($G336="","-",INDEX(SETUP!$B$26:$B$32,MATCH($G336,SETUP!$A$26:$A$32,1))))</f>
        <v>Under 58,000</v>
      </c>
      <c r="I336" s="70">
        <v>1645</v>
      </c>
      <c r="J336" s="15" t="str">
        <f>IF($C336="","",IF($I336="","-",INDEX(SETUP!$B$16:$B$22,MATCH($I336,SETUP!$A$16:$A$22,1))))</f>
        <v>ROOKIE</v>
      </c>
      <c r="K336" s="15" t="str">
        <f>IF($C336="","",IF($I336="","-",TEXT(INT($I336/1000)*1000,"#,##0")&amp;" - "&amp;TEXT(INT($I336/1000)*1000+999,"#,##0")))</f>
        <v>1,000 - 1,999</v>
      </c>
      <c r="L336" s="71">
        <v>3.3</v>
      </c>
      <c r="M336" s="15" t="str">
        <f>IF($C336="","",IF($L336="","-",INDEX(SETUP!$B$36:$B$42,MATCH($L336,SETUP!$A$36:$A$42,1))))</f>
        <v>3k - 4k</v>
      </c>
      <c r="N336" s="17">
        <f>IF($C336="","",IF(OR($G336="",$I336=""),"",ROUND(100*(SETUP!$B$4*MIN(1,$I336/SETUP!$B$9)+SETUP!$B$5*MAX(0,MIN(1,($G336-SETUP!$B$10)/(SETUP!$B$11-SETUP!$B$10)))+SETUP!$B$6*MIN(1,IF($L336="",0,$L336)/SETUP!$B$12)),1)))</f>
        <v>15</v>
      </c>
      <c r="O336" s="15" t="str">
        <f>IF($C336="","",IF($N336="","-",INDEX(SETUP!$B$46:$B$51,MATCH($N336,SETUP!$A$46:$A$51,1))))</f>
        <v>D</v>
      </c>
      <c r="P336" s="15">
        <f>IF($C336="","",IF($I336="","",RANK($I336,$I$4:$I$1463)+COUNTIF($I$4:$I336,$I336)-1))</f>
        <v>1168</v>
      </c>
      <c r="Q336" s="15">
        <f>IF($C336="","",COUNTIFS($B$4:$B$1463,$B336,$X$4:$X$1463,"&gt;"&amp;$X336)+COUNTIFS($B$4:$B336,$B336,$X$4:$X336,"="&amp;$X336))</f>
        <v>65</v>
      </c>
      <c r="R336" s="72">
        <f>IF($C336="","",IF($I336="","",ROUND(COUNTIF($I$4:$I$1463,"&lt;"&amp;$I336)/COUNT($I$4:$I$1463),3)))</f>
        <v>0.11799999999999999</v>
      </c>
      <c r="S336" s="15" t="str">
        <f>IF($C336="","",IF($G336="","Name only",IF(OR($I336="",$L336=""),"Partial","Complete")))</f>
        <v>Complete</v>
      </c>
      <c r="T336" s="41" t="str">
        <f>IF($C336="","",TRIM(IF(COUNTIF($C$4:$C$1463,$C336)&gt;1,"Dup name; ","")&amp;IF(AND($G336&lt;&gt;"",$G336&lt;55000),"Low CR - verify; ","")&amp;IF(AND($L336&lt;&gt;"",$L336&gt;15),"Secondary - verify; ","")&amp;IF($E336="","No class; ","")))</f>
        <v/>
      </c>
      <c r="U336" s="68"/>
      <c r="V336" s="68"/>
      <c r="W336" s="68"/>
      <c r="X336" s="73">
        <f t="shared" si="27"/>
        <v>1645</v>
      </c>
      <c r="Y336" s="41" t="str">
        <f t="shared" si="28"/>
        <v>EMERALD LEAF TRIBE|65</v>
      </c>
      <c r="Z336" s="15">
        <f>IF($C336="","",IF($G336="","",RANK($G336,$G$4:$G$1463)+COUNTIF($G$4:$G336,$G336)-1))</f>
        <v>1314</v>
      </c>
      <c r="AA336" s="15">
        <f>IF($C336="","",IF($N336="","",RANK($N336,$N$4:$N$1463)+COUNTIF($N$4:$N336,$N336)-1))</f>
        <v>1308</v>
      </c>
      <c r="AB336" s="41" t="str">
        <f>IF($C336="","",IF($E336="","",$E336&amp;"#"&amp;(COUNTIFS($E$4:$E$1463,$E336,$X$4:$X$1463,"&gt;"&amp;$X336)+COUNTIFS($E$4:$E336,$E336,$X$4:$X336,"="&amp;$X336))))</f>
        <v>WIZARD#82</v>
      </c>
      <c r="AC336" s="41" t="str">
        <f>IF($C336="","",$B336&amp;"@"&amp;(COUNTIFS($B$4:$B$1463,$B336,$C$4:$C$1463,"&lt;"&amp;$C336)+COUNTIFS($B$4:$B336,$B336,$C$4:$C336,$C336)))</f>
        <v>EMERALD LEAF TRIBE@25</v>
      </c>
      <c r="AD336" s="41">
        <f t="shared" si="29"/>
        <v>333</v>
      </c>
      <c r="AE336" s="41" t="s">
        <v>1151</v>
      </c>
      <c r="AF336" s="73">
        <f t="shared" si="30"/>
        <v>55894</v>
      </c>
      <c r="AG336" s="74">
        <f t="shared" si="31"/>
        <v>3.3</v>
      </c>
      <c r="AH336" s="41" t="str">
        <f>IF($C336="","",$B336&amp;"|"&amp;(COUNTIFS($B$4:$B$1463,$B336,$AF$4:$AF$1463,"&gt;"&amp;$AF336)+COUNTIFS($B$4:$B336,$B336,$AF$4:$AF336,"="&amp;$AF336)))</f>
        <v>EMERALD LEAF TRIBE|95</v>
      </c>
      <c r="AI336" s="41" t="str">
        <f>IF($C336="","",$B336&amp;"|"&amp;(COUNTIFS($B$4:$B$1463,$B336,$AG$4:$AG$1463,"&gt;"&amp;$AG336)+COUNTIFS($B$4:$B336,$B336,$AG$4:$AG336,"="&amp;$AG336)))</f>
        <v>EMERALD LEAF TRIBE|65</v>
      </c>
    </row>
    <row r="337" spans="1:35" hidden="1">
      <c r="A337" s="69" t="s">
        <v>109</v>
      </c>
      <c r="B337" s="69" t="s">
        <v>114</v>
      </c>
      <c r="C337" s="63" t="s">
        <v>1152</v>
      </c>
      <c r="D337" s="69"/>
      <c r="E337" s="68" t="s">
        <v>72</v>
      </c>
      <c r="F337" s="19" t="str">
        <f>IF($C337="","",IF($E337="","-",IFERROR(INDEX(SETUP!$B$55:$B$64,MATCH($E337,SETUP!$A$55:$A$64,0)),"Other")))</f>
        <v>Frontline</v>
      </c>
      <c r="G337" s="70">
        <v>58793</v>
      </c>
      <c r="H337" s="19" t="str">
        <f>IF($C337="","",IF($G337="","-",INDEX(SETUP!$B$26:$B$32,MATCH($G337,SETUP!$A$26:$A$32,1))))</f>
        <v>58,000 - 59,999</v>
      </c>
      <c r="I337" s="70">
        <v>1543</v>
      </c>
      <c r="J337" s="19" t="str">
        <f>IF($C337="","",IF($I337="","-",INDEX(SETUP!$B$16:$B$22,MATCH($I337,SETUP!$A$16:$A$22,1))))</f>
        <v>ROOKIE</v>
      </c>
      <c r="K337" s="19" t="str">
        <f>IF($C337="","",IF($I337="","-",TEXT(INT($I337/1000)*1000,"#,##0")&amp;" - "&amp;TEXT(INT($I337/1000)*1000+999,"#,##0")))</f>
        <v>1,000 - 1,999</v>
      </c>
      <c r="L337" s="71">
        <v>3.25</v>
      </c>
      <c r="M337" s="19" t="str">
        <f>IF($C337="","",IF($L337="","-",INDEX(SETUP!$B$36:$B$42,MATCH($L337,SETUP!$A$36:$A$42,1))))</f>
        <v>3k - 4k</v>
      </c>
      <c r="N337" s="21">
        <f>IF($C337="","",IF(OR($G337="",$I337=""),"",ROUND(100*(SETUP!$B$4*MIN(1,$I337/SETUP!$B$9)+SETUP!$B$5*MAX(0,MIN(1,($G337-SETUP!$B$10)/(SETUP!$B$11-SETUP!$B$10)))+SETUP!$B$6*MIN(1,IF($L337="",0,$L337)/SETUP!$B$12)),1)))</f>
        <v>22.1</v>
      </c>
      <c r="O337" s="19" t="str">
        <f>IF($C337="","",IF($N337="","-",INDEX(SETUP!$B$46:$B$51,MATCH($N337,SETUP!$A$46:$A$51,1))))</f>
        <v>C</v>
      </c>
      <c r="P337" s="19">
        <f>IF($C337="","",IF($I337="","",RANK($I337,$I$4:$I$1463)+COUNTIF($I$4:$I337,$I337)-1))</f>
        <v>1181</v>
      </c>
      <c r="Q337" s="19">
        <f>IF($C337="","",COUNTIFS($B$4:$B$1463,$B337,$X$4:$X$1463,"&gt;"&amp;$X337)+COUNTIFS($B$4:$B337,$B337,$X$4:$X337,"="&amp;$X337))</f>
        <v>68</v>
      </c>
      <c r="R337" s="75">
        <f>IF($C337="","",IF($I337="","",ROUND(COUNTIF($I$4:$I$1463,"&lt;"&amp;$I337)/COUNT($I$4:$I$1463),3)))</f>
        <v>0.109</v>
      </c>
      <c r="S337" s="19" t="str">
        <f>IF($C337="","",IF($G337="","Name only",IF(OR($I337="",$L337=""),"Partial","Complete")))</f>
        <v>Complete</v>
      </c>
      <c r="T337" s="1" t="str">
        <f>IF($C337="","",TRIM(IF(COUNTIF($C$4:$C$1463,$C337)&gt;1,"Dup name; ","")&amp;IF(AND($G337&lt;&gt;"",$G337&lt;55000),"Low CR - verify; ","")&amp;IF(AND($L337&lt;&gt;"",$L337&gt;15),"Secondary - verify; ","")&amp;IF($E337="","No class; ","")))</f>
        <v/>
      </c>
      <c r="U337" s="68"/>
      <c r="V337" s="68"/>
      <c r="W337" s="68"/>
      <c r="X337" s="76">
        <f t="shared" si="27"/>
        <v>1543</v>
      </c>
      <c r="Y337" s="1" t="str">
        <f t="shared" si="28"/>
        <v>EMERALD LEAF TRIBE|68</v>
      </c>
      <c r="Z337" s="19">
        <f>IF($C337="","",IF($G337="","",RANK($G337,$G$4:$G$1463)+COUNTIF($G$4:$G337,$G337)-1))</f>
        <v>1281</v>
      </c>
      <c r="AA337" s="19">
        <f>IF($C337="","",IF($N337="","",RANK($N337,$N$4:$N$1463)+COUNTIF($N$4:$N337,$N337)-1))</f>
        <v>1279</v>
      </c>
      <c r="AB337" s="1" t="str">
        <f>IF($C337="","",IF($E337="","",$E337&amp;"#"&amp;(COUNTIFS($E$4:$E$1463,$E337,$X$4:$X$1463,"&gt;"&amp;$X337)+COUNTIFS($E$4:$E337,$E337,$X$4:$X337,"="&amp;$X337))))</f>
        <v>BLOOD KNIGHT#81</v>
      </c>
      <c r="AC337" s="1" t="str">
        <f>IF($C337="","",$B337&amp;"@"&amp;(COUNTIFS($B$4:$B$1463,$B337,$C$4:$C$1463,"&lt;"&amp;$C337)+COUNTIFS($B$4:$B337,$B337,$C$4:$C337,$C337)))</f>
        <v>EMERALD LEAF TRIBE@26</v>
      </c>
      <c r="AD337" s="1">
        <f t="shared" si="29"/>
        <v>334</v>
      </c>
      <c r="AE337" s="1" t="s">
        <v>1153</v>
      </c>
      <c r="AF337" s="76">
        <f t="shared" si="30"/>
        <v>58793</v>
      </c>
      <c r="AG337" s="77">
        <f t="shared" si="31"/>
        <v>3.25</v>
      </c>
      <c r="AH337" s="1" t="str">
        <f>IF($C337="","",$B337&amp;"|"&amp;(COUNTIFS($B$4:$B$1463,$B337,$AF$4:$AF$1463,"&gt;"&amp;$AF337)+COUNTIFS($B$4:$B337,$B337,$AF$4:$AF337,"="&amp;$AF337)))</f>
        <v>EMERALD LEAF TRIBE|84</v>
      </c>
      <c r="AI337" s="1" t="str">
        <f>IF($C337="","",$B337&amp;"|"&amp;(COUNTIFS($B$4:$B$1463,$B337,$AG$4:$AG$1463,"&gt;"&amp;$AG337)+COUNTIFS($B$4:$B337,$B337,$AG$4:$AG337,"="&amp;$AG337)))</f>
        <v>EMERALD LEAF TRIBE|67</v>
      </c>
    </row>
    <row r="338" spans="1:35" hidden="1">
      <c r="A338" s="69" t="s">
        <v>109</v>
      </c>
      <c r="B338" s="69" t="s">
        <v>111</v>
      </c>
      <c r="C338" s="63" t="s">
        <v>1154</v>
      </c>
      <c r="D338" s="69" t="s">
        <v>527</v>
      </c>
      <c r="E338" s="68" t="s">
        <v>71</v>
      </c>
      <c r="F338" s="15" t="str">
        <f>IF($C338="","",IF($E338="","-",IFERROR(INDEX(SETUP!$B$55:$B$64,MATCH($E338,SETUP!$A$55:$A$64,0)),"Other")))</f>
        <v>Frontline</v>
      </c>
      <c r="G338" s="70">
        <v>62481</v>
      </c>
      <c r="H338" s="15" t="str">
        <f>IF($C338="","",IF($G338="","-",INDEX(SETUP!$B$26:$B$32,MATCH($G338,SETUP!$A$26:$A$32,1))))</f>
        <v>62,000 - 62,999</v>
      </c>
      <c r="I338" s="70">
        <v>10376</v>
      </c>
      <c r="J338" s="15" t="str">
        <f>IF($C338="","",IF($I338="","-",INDEX(SETUP!$B$16:$B$22,MATCH($I338,SETUP!$A$16:$A$22,1))))</f>
        <v>APEX</v>
      </c>
      <c r="K338" s="15" t="str">
        <f>IF($C338="","",IF($I338="","-",TEXT(INT($I338/1000)*1000,"#,##0")&amp;" - "&amp;TEXT(INT($I338/1000)*1000+999,"#,##0")))</f>
        <v>10,000 - 10,999</v>
      </c>
      <c r="L338" s="71">
        <v>7.3</v>
      </c>
      <c r="M338" s="15" t="str">
        <f>IF($C338="","",IF($L338="","-",INDEX(SETUP!$B$36:$B$42,MATCH($L338,SETUP!$A$36:$A$42,1))))</f>
        <v>6k - 8k</v>
      </c>
      <c r="N338" s="17">
        <f>IF($C338="","",IF(OR($G338="",$I338=""),"",ROUND(100*(SETUP!$B$4*MIN(1,$I338/SETUP!$B$9)+SETUP!$B$5*MAX(0,MIN(1,($G338-SETUP!$B$10)/(SETUP!$B$11-SETUP!$B$10)))+SETUP!$B$6*MIN(1,IF($L338="",0,$L338)/SETUP!$B$12)),1)))</f>
        <v>77.099999999999994</v>
      </c>
      <c r="O338" s="15" t="str">
        <f>IF($C338="","",IF($N338="","-",INDEX(SETUP!$B$46:$B$51,MATCH($N338,SETUP!$A$46:$A$51,1))))</f>
        <v>S</v>
      </c>
      <c r="P338" s="15">
        <f>IF($C338="","",IF($I338="","",RANK($I338,$I$4:$I$1463)+COUNTIF($I$4:$I338,$I338)-1))</f>
        <v>28</v>
      </c>
      <c r="Q338" s="15">
        <f>IF($C338="","",COUNTIFS($B$4:$B$1463,$B338,$X$4:$X$1463,"&gt;"&amp;$X338)+COUNTIFS($B$4:$B338,$B338,$X$4:$X338,"="&amp;$X338))</f>
        <v>6</v>
      </c>
      <c r="R338" s="72">
        <f>IF($C338="","",IF($I338="","",ROUND(COUNTIF($I$4:$I$1463,"&lt;"&amp;$I338)/COUNT($I$4:$I$1463),3)))</f>
        <v>0.97899999999999998</v>
      </c>
      <c r="S338" s="15" t="str">
        <f>IF($C338="","",IF($G338="","Name only",IF(OR($I338="",$L338=""),"Partial","Complete")))</f>
        <v>Complete</v>
      </c>
      <c r="T338" s="41" t="str">
        <f>IF($C338="","",TRIM(IF(COUNTIF($C$4:$C$1463,$C338)&gt;1,"Dup name; ","")&amp;IF(AND($G338&lt;&gt;"",$G338&lt;55000),"Low CR - verify; ","")&amp;IF(AND($L338&lt;&gt;"",$L338&gt;15),"Secondary - verify; ","")&amp;IF($E338="","No class; ","")))</f>
        <v/>
      </c>
      <c r="U338" s="68"/>
      <c r="V338" s="68"/>
      <c r="W338" s="68"/>
      <c r="X338" s="73">
        <f t="shared" si="27"/>
        <v>10376</v>
      </c>
      <c r="Y338" s="41" t="str">
        <f t="shared" si="28"/>
        <v>RECKONING|6</v>
      </c>
      <c r="Z338" s="15">
        <f>IF($C338="","",IF($G338="","",RANK($G338,$G$4:$G$1463)+COUNTIF($G$4:$G338,$G338)-1))</f>
        <v>660</v>
      </c>
      <c r="AA338" s="15">
        <f>IF($C338="","",IF($N338="","",RANK($N338,$N$4:$N$1463)+COUNTIF($N$4:$N338,$N338)-1))</f>
        <v>76</v>
      </c>
      <c r="AB338" s="41" t="str">
        <f>IF($C338="","",IF($E338="","",$E338&amp;"#"&amp;(COUNTIFS($E$4:$E$1463,$E338,$X$4:$X$1463,"&gt;"&amp;$X338)+COUNTIFS($E$4:$E338,$E338,$X$4:$X338,"="&amp;$X338))))</f>
        <v>BARBARIAN#5</v>
      </c>
      <c r="AC338" s="41" t="str">
        <f>IF($C338="","",$B338&amp;"@"&amp;(COUNTIFS($B$4:$B$1463,$B338,$C$4:$C$1463,"&lt;"&amp;$C338)+COUNTIFS($B$4:$B338,$B338,$C$4:$C338,$C338)))</f>
        <v>RECKONING@16</v>
      </c>
      <c r="AD338" s="41">
        <f t="shared" si="29"/>
        <v>335</v>
      </c>
      <c r="AE338" s="41" t="s">
        <v>1155</v>
      </c>
      <c r="AF338" s="73">
        <f t="shared" si="30"/>
        <v>62481</v>
      </c>
      <c r="AG338" s="74">
        <f t="shared" si="31"/>
        <v>7.3</v>
      </c>
      <c r="AH338" s="41" t="str">
        <f>IF($C338="","",$B338&amp;"|"&amp;(COUNTIFS($B$4:$B$1463,$B338,$AF$4:$AF$1463,"&gt;"&amp;$AF338)+COUNTIFS($B$4:$B338,$B338,$AF$4:$AF338,"="&amp;$AF338)))</f>
        <v>RECKONING|60</v>
      </c>
      <c r="AI338" s="41" t="str">
        <f>IF($C338="","",$B338&amp;"|"&amp;(COUNTIFS($B$4:$B$1463,$B338,$AG$4:$AG$1463,"&gt;"&amp;$AG338)+COUNTIFS($B$4:$B338,$B338,$AG$4:$AG338,"="&amp;$AG338)))</f>
        <v>RECKONING|20</v>
      </c>
    </row>
    <row r="339" spans="1:35" hidden="1">
      <c r="A339" s="69" t="s">
        <v>109</v>
      </c>
      <c r="B339" s="69" t="s">
        <v>112</v>
      </c>
      <c r="C339" s="63" t="s">
        <v>1156</v>
      </c>
      <c r="D339" s="69" t="s">
        <v>567</v>
      </c>
      <c r="E339" s="68" t="s">
        <v>71</v>
      </c>
      <c r="F339" s="19" t="str">
        <f>IF($C339="","",IF($E339="","-",IFERROR(INDEX(SETUP!$B$55:$B$64,MATCH($E339,SETUP!$A$55:$A$64,0)),"Other")))</f>
        <v>Frontline</v>
      </c>
      <c r="G339" s="70">
        <v>62030</v>
      </c>
      <c r="H339" s="19" t="str">
        <f>IF($C339="","",IF($G339="","-",INDEX(SETUP!$B$26:$B$32,MATCH($G339,SETUP!$A$26:$A$32,1))))</f>
        <v>62,000 - 62,999</v>
      </c>
      <c r="I339" s="70">
        <v>7214</v>
      </c>
      <c r="J339" s="19" t="str">
        <f>IF($C339="","",IF($I339="","-",INDEX(SETUP!$B$16:$B$22,MATCH($I339,SETUP!$A$16:$A$22,1))))</f>
        <v>VETERAN</v>
      </c>
      <c r="K339" s="19" t="str">
        <f>IF($C339="","",IF($I339="","-",TEXT(INT($I339/1000)*1000,"#,##0")&amp;" - "&amp;TEXT(INT($I339/1000)*1000+999,"#,##0")))</f>
        <v>7,000 - 7,999</v>
      </c>
      <c r="L339" s="71">
        <v>6.7</v>
      </c>
      <c r="M339" s="19" t="str">
        <f>IF($C339="","",IF($L339="","-",INDEX(SETUP!$B$36:$B$42,MATCH($L339,SETUP!$A$36:$A$42,1))))</f>
        <v>6k - 8k</v>
      </c>
      <c r="N339" s="21">
        <f>IF($C339="","",IF(OR($G339="",$I339=""),"",ROUND(100*(SETUP!$B$4*MIN(1,$I339/SETUP!$B$9)+SETUP!$B$5*MAX(0,MIN(1,($G339-SETUP!$B$10)/(SETUP!$B$11-SETUP!$B$10)))+SETUP!$B$6*MIN(1,IF($L339="",0,$L339)/SETUP!$B$12)),1)))</f>
        <v>61.2</v>
      </c>
      <c r="O339" s="19" t="str">
        <f>IF($C339="","",IF($N339="","-",INDEX(SETUP!$B$46:$B$51,MATCH($N339,SETUP!$A$46:$A$51,1))))</f>
        <v>A</v>
      </c>
      <c r="P339" s="19">
        <f>IF($C339="","",IF($I339="","",RANK($I339,$I$4:$I$1463)+COUNTIF($I$4:$I339,$I339)-1))</f>
        <v>203</v>
      </c>
      <c r="Q339" s="19">
        <f>IF($C339="","",COUNTIFS($B$4:$B$1463,$B339,$X$4:$X$1463,"&gt;"&amp;$X339)+COUNTIFS($B$4:$B339,$B339,$X$4:$X339,"="&amp;$X339))</f>
        <v>10</v>
      </c>
      <c r="R339" s="75">
        <f>IF($C339="","",IF($I339="","",ROUND(COUNTIF($I$4:$I$1463,"&lt;"&amp;$I339)/COUNT($I$4:$I$1463),3)))</f>
        <v>0.84699999999999998</v>
      </c>
      <c r="S339" s="19" t="str">
        <f>IF($C339="","",IF($G339="","Name only",IF(OR($I339="",$L339=""),"Partial","Complete")))</f>
        <v>Complete</v>
      </c>
      <c r="T339" s="1" t="str">
        <f>IF($C339="","",TRIM(IF(COUNTIF($C$4:$C$1463,$C339)&gt;1,"Dup name; ","")&amp;IF(AND($G339&lt;&gt;"",$G339&lt;55000),"Low CR - verify; ","")&amp;IF(AND($L339&lt;&gt;"",$L339&gt;15),"Secondary - verify; ","")&amp;IF($E339="","No class; ","")))</f>
        <v/>
      </c>
      <c r="U339" s="68"/>
      <c r="V339" s="68"/>
      <c r="W339" s="68"/>
      <c r="X339" s="76">
        <f t="shared" si="27"/>
        <v>7214</v>
      </c>
      <c r="Y339" s="1" t="str">
        <f t="shared" si="28"/>
        <v>ACHERON|10</v>
      </c>
      <c r="Z339" s="19">
        <f>IF($C339="","",IF($G339="","",RANK($G339,$G$4:$G$1463)+COUNTIF($G$4:$G339,$G339)-1))</f>
        <v>825</v>
      </c>
      <c r="AA339" s="19">
        <f>IF($C339="","",IF($N339="","",RANK($N339,$N$4:$N$1463)+COUNTIF($N$4:$N339,$N339)-1))</f>
        <v>224</v>
      </c>
      <c r="AB339" s="1" t="str">
        <f>IF($C339="","",IF($E339="","",$E339&amp;"#"&amp;(COUNTIFS($E$4:$E$1463,$E339,$X$4:$X$1463,"&gt;"&amp;$X339)+COUNTIFS($E$4:$E339,$E339,$X$4:$X339,"="&amp;$X339))))</f>
        <v>BARBARIAN#44</v>
      </c>
      <c r="AC339" s="1" t="str">
        <f>IF($C339="","",$B339&amp;"@"&amp;(COUNTIFS($B$4:$B$1463,$B339,$C$4:$C$1463,"&lt;"&amp;$C339)+COUNTIFS($B$4:$B339,$B339,$C$4:$C339,$C339)))</f>
        <v>ACHERON@19</v>
      </c>
      <c r="AD339" s="1">
        <f t="shared" si="29"/>
        <v>336</v>
      </c>
      <c r="AE339" s="1" t="s">
        <v>1157</v>
      </c>
      <c r="AF339" s="76">
        <f t="shared" si="30"/>
        <v>62030</v>
      </c>
      <c r="AG339" s="77">
        <f t="shared" si="31"/>
        <v>6.7</v>
      </c>
      <c r="AH339" s="1" t="str">
        <f>IF($C339="","",$B339&amp;"|"&amp;(COUNTIFS($B$4:$B$1463,$B339,$AF$4:$AF$1463,"&gt;"&amp;$AF339)+COUNTIFS($B$4:$B339,$B339,$AF$4:$AF339,"="&amp;$AF339)))</f>
        <v>ACHERON|67</v>
      </c>
      <c r="AI339" s="1" t="str">
        <f>IF($C339="","",$B339&amp;"|"&amp;(COUNTIFS($B$4:$B$1463,$B339,$AG$4:$AG$1463,"&gt;"&amp;$AG339)+COUNTIFS($B$4:$B339,$B339,$AG$4:$AG339,"="&amp;$AG339)))</f>
        <v>ACHERON|10</v>
      </c>
    </row>
    <row r="340" spans="1:35" hidden="1">
      <c r="A340" s="69" t="s">
        <v>109</v>
      </c>
      <c r="B340" s="69" t="s">
        <v>118</v>
      </c>
      <c r="C340" s="63" t="s">
        <v>1158</v>
      </c>
      <c r="D340" s="69"/>
      <c r="E340" s="68" t="s">
        <v>74</v>
      </c>
      <c r="F340" s="15" t="str">
        <f>IF($C340="","",IF($E340="","-",IFERROR(INDEX(SETUP!$B$55:$B$64,MATCH($E340,SETUP!$A$55:$A$64,0)),"Other")))</f>
        <v>Ranged DPS</v>
      </c>
      <c r="G340" s="70">
        <v>60991</v>
      </c>
      <c r="H340" s="15" t="str">
        <f>IF($C340="","",IF($G340="","-",INDEX(SETUP!$B$26:$B$32,MATCH($G340,SETUP!$A$26:$A$32,1))))</f>
        <v>60,000 - 60,999</v>
      </c>
      <c r="I340" s="70">
        <v>1405</v>
      </c>
      <c r="J340" s="15" t="str">
        <f>IF($C340="","",IF($I340="","-",INDEX(SETUP!$B$16:$B$22,MATCH($I340,SETUP!$A$16:$A$22,1))))</f>
        <v>ROOKIE</v>
      </c>
      <c r="K340" s="15" t="str">
        <f>IF($C340="","",IF($I340="","-",TEXT(INT($I340/1000)*1000,"#,##0")&amp;" - "&amp;TEXT(INT($I340/1000)*1000+999,"#,##0")))</f>
        <v>1,000 - 1,999</v>
      </c>
      <c r="L340" s="71">
        <v>3</v>
      </c>
      <c r="M340" s="15" t="str">
        <f>IF($C340="","",IF($L340="","-",INDEX(SETUP!$B$36:$B$42,MATCH($L340,SETUP!$A$36:$A$42,1))))</f>
        <v>3k - 4k</v>
      </c>
      <c r="N340" s="17">
        <f>IF($C340="","",IF(OR($G340="",$I340=""),"",ROUND(100*(SETUP!$B$4*MIN(1,$I340/SETUP!$B$9)+SETUP!$B$5*MAX(0,MIN(1,($G340-SETUP!$B$10)/(SETUP!$B$11-SETUP!$B$10)))+SETUP!$B$6*MIN(1,IF($L340="",0,$L340)/SETUP!$B$12)),1)))</f>
        <v>26.9</v>
      </c>
      <c r="O340" s="15" t="str">
        <f>IF($C340="","",IF($N340="","-",INDEX(SETUP!$B$46:$B$51,MATCH($N340,SETUP!$A$46:$A$51,1))))</f>
        <v>C</v>
      </c>
      <c r="P340" s="15">
        <f>IF($C340="","",IF($I340="","",RANK($I340,$I$4:$I$1463)+COUNTIF($I$4:$I340,$I340)-1))</f>
        <v>1211</v>
      </c>
      <c r="Q340" s="15">
        <f>IF($C340="","",COUNTIFS($B$4:$B$1463,$B340,$X$4:$X$1463,"&gt;"&amp;$X340)+COUNTIFS($B$4:$B340,$B340,$X$4:$X340,"="&amp;$X340))</f>
        <v>64</v>
      </c>
      <c r="R340" s="72">
        <f>IF($C340="","",IF($I340="","",ROUND(COUNTIF($I$4:$I$1463,"&lt;"&amp;$I340)/COUNT($I$4:$I$1463),3)))</f>
        <v>8.5999999999999993E-2</v>
      </c>
      <c r="S340" s="15" t="str">
        <f>IF($C340="","",IF($G340="","Name only",IF(OR($I340="",$L340=""),"Partial","Complete")))</f>
        <v>Complete</v>
      </c>
      <c r="T340" s="41" t="str">
        <f>IF($C340="","",TRIM(IF(COUNTIF($C$4:$C$1463,$C340)&gt;1,"Dup name; ","")&amp;IF(AND($G340&lt;&gt;"",$G340&lt;55000),"Low CR - verify; ","")&amp;IF(AND($L340&lt;&gt;"",$L340&gt;15),"Secondary - verify; ","")&amp;IF($E340="","No class; ","")))</f>
        <v/>
      </c>
      <c r="U340" s="68"/>
      <c r="V340" s="68"/>
      <c r="W340" s="68"/>
      <c r="X340" s="73">
        <f t="shared" si="27"/>
        <v>1405</v>
      </c>
      <c r="Y340" s="41" t="str">
        <f t="shared" si="28"/>
        <v>ZOMBIES|64</v>
      </c>
      <c r="Z340" s="15">
        <f>IF($C340="","",IF($G340="","",RANK($G340,$G$4:$G$1463)+COUNTIF($G$4:$G340,$G340)-1))</f>
        <v>1133</v>
      </c>
      <c r="AA340" s="15">
        <f>IF($C340="","",IF($N340="","",RANK($N340,$N$4:$N$1463)+COUNTIF($N$4:$N340,$N340)-1))</f>
        <v>1213</v>
      </c>
      <c r="AB340" s="41" t="str">
        <f>IF($C340="","",IF($E340="","",$E340&amp;"#"&amp;(COUNTIFS($E$4:$E$1463,$E340,$X$4:$X$1463,"&gt;"&amp;$X340)+COUNTIFS($E$4:$E340,$E340,$X$4:$X340,"="&amp;$X340))))</f>
        <v>DEMON HUNTER#181</v>
      </c>
      <c r="AC340" s="41" t="str">
        <f>IF($C340="","",$B340&amp;"@"&amp;(COUNTIFS($B$4:$B$1463,$B340,$C$4:$C$1463,"&lt;"&amp;$C340)+COUNTIFS($B$4:$B340,$B340,$C$4:$C340,$C340)))</f>
        <v>ZOMBIES@26</v>
      </c>
      <c r="AD340" s="41">
        <f t="shared" si="29"/>
        <v>337</v>
      </c>
      <c r="AE340" s="41" t="s">
        <v>611</v>
      </c>
      <c r="AF340" s="73">
        <f t="shared" si="30"/>
        <v>60991</v>
      </c>
      <c r="AG340" s="74">
        <f t="shared" si="31"/>
        <v>3</v>
      </c>
      <c r="AH340" s="41" t="str">
        <f>IF($C340="","",$B340&amp;"|"&amp;(COUNTIFS($B$4:$B$1463,$B340,$AF$4:$AF$1463,"&gt;"&amp;$AF340)+COUNTIFS($B$4:$B340,$B340,$AF$4:$AF340,"="&amp;$AF340)))</f>
        <v>ZOMBIES|53</v>
      </c>
      <c r="AI340" s="41" t="str">
        <f>IF($C340="","",$B340&amp;"|"&amp;(COUNTIFS($B$4:$B$1463,$B340,$AG$4:$AG$1463,"&gt;"&amp;$AG340)+COUNTIFS($B$4:$B340,$B340,$AG$4:$AG340,"="&amp;$AG340)))</f>
        <v>ZOMBIES|71</v>
      </c>
    </row>
    <row r="341" spans="1:35" hidden="1">
      <c r="A341" s="69" t="s">
        <v>109</v>
      </c>
      <c r="B341" s="69" t="s">
        <v>117</v>
      </c>
      <c r="C341" s="63" t="s">
        <v>1159</v>
      </c>
      <c r="D341" s="69"/>
      <c r="E341" s="68" t="s">
        <v>77</v>
      </c>
      <c r="F341" s="19" t="str">
        <f>IF($C341="","",IF($E341="","-",IFERROR(INDEX(SETUP!$B$55:$B$64,MATCH($E341,SETUP!$A$55:$A$64,0)),"Other")))</f>
        <v>Control</v>
      </c>
      <c r="G341" s="70">
        <v>60945</v>
      </c>
      <c r="H341" s="19" t="str">
        <f>IF($C341="","",IF($G341="","-",INDEX(SETUP!$B$26:$B$32,MATCH($G341,SETUP!$A$26:$A$32,1))))</f>
        <v>60,000 - 60,999</v>
      </c>
      <c r="I341" s="70">
        <v>2030</v>
      </c>
      <c r="J341" s="19" t="str">
        <f>IF($C341="","",IF($I341="","-",INDEX(SETUP!$B$16:$B$22,MATCH($I341,SETUP!$A$16:$A$22,1))))</f>
        <v>DEVELOPING</v>
      </c>
      <c r="K341" s="19" t="str">
        <f>IF($C341="","",IF($I341="","-",TEXT(INT($I341/1000)*1000,"#,##0")&amp;" - "&amp;TEXT(INT($I341/1000)*1000+999,"#,##0")))</f>
        <v>2,000 - 2,999</v>
      </c>
      <c r="L341" s="71">
        <v>3.2</v>
      </c>
      <c r="M341" s="19" t="str">
        <f>IF($C341="","",IF($L341="","-",INDEX(SETUP!$B$36:$B$42,MATCH($L341,SETUP!$A$36:$A$42,1))))</f>
        <v>3k - 4k</v>
      </c>
      <c r="N341" s="21">
        <f>IF($C341="","",IF(OR($G341="",$I341=""),"",ROUND(100*(SETUP!$B$4*MIN(1,$I341/SETUP!$B$9)+SETUP!$B$5*MAX(0,MIN(1,($G341-SETUP!$B$10)/(SETUP!$B$11-SETUP!$B$10)))+SETUP!$B$6*MIN(1,IF($L341="",0,$L341)/SETUP!$B$12)),1)))</f>
        <v>29.8</v>
      </c>
      <c r="O341" s="19" t="str">
        <f>IF($C341="","",IF($N341="","-",INDEX(SETUP!$B$46:$B$51,MATCH($N341,SETUP!$A$46:$A$51,1))))</f>
        <v>C</v>
      </c>
      <c r="P341" s="19">
        <f>IF($C341="","",IF($I341="","",RANK($I341,$I$4:$I$1463)+COUNTIF($I$4:$I341,$I341)-1))</f>
        <v>1107</v>
      </c>
      <c r="Q341" s="19">
        <f>IF($C341="","",COUNTIFS($B$4:$B$1463,$B341,$X$4:$X$1463,"&gt;"&amp;$X341)+COUNTIFS($B$4:$B341,$B341,$X$4:$X341,"="&amp;$X341))</f>
        <v>47</v>
      </c>
      <c r="R341" s="75">
        <f>IF($C341="","",IF($I341="","",ROUND(COUNTIF($I$4:$I$1463,"&lt;"&amp;$I341)/COUNT($I$4:$I$1463),3)))</f>
        <v>0.16200000000000001</v>
      </c>
      <c r="S341" s="19" t="str">
        <f>IF($C341="","",IF($G341="","Name only",IF(OR($I341="",$L341=""),"Partial","Complete")))</f>
        <v>Complete</v>
      </c>
      <c r="T341" s="1" t="str">
        <f>IF($C341="","",TRIM(IF(COUNTIF($C$4:$C$1463,$C341)&gt;1,"Dup name; ","")&amp;IF(AND($G341&lt;&gt;"",$G341&lt;55000),"Low CR - verify; ","")&amp;IF(AND($L341&lt;&gt;"",$L341&gt;15),"Secondary - verify; ","")&amp;IF($E341="","No class; ","")))</f>
        <v/>
      </c>
      <c r="U341" s="68"/>
      <c r="V341" s="68"/>
      <c r="W341" s="68"/>
      <c r="X341" s="76">
        <f t="shared" si="27"/>
        <v>2030</v>
      </c>
      <c r="Y341" s="1" t="str">
        <f t="shared" si="28"/>
        <v>VENDETTA|47</v>
      </c>
      <c r="Z341" s="19">
        <f>IF($C341="","",IF($G341="","",RANK($G341,$G$4:$G$1463)+COUNTIF($G$4:$G341,$G341)-1))</f>
        <v>1144</v>
      </c>
      <c r="AA341" s="19">
        <f>IF($C341="","",IF($N341="","",RANK($N341,$N$4:$N$1463)+COUNTIF($N$4:$N341,$N341)-1))</f>
        <v>1151</v>
      </c>
      <c r="AB341" s="1" t="str">
        <f>IF($C341="","",IF($E341="","",$E341&amp;"#"&amp;(COUNTIFS($E$4:$E$1463,$E341,$X$4:$X$1463,"&gt;"&amp;$X341)+COUNTIFS($E$4:$E341,$E341,$X$4:$X341,"="&amp;$X341))))</f>
        <v>NECROMANCER#74</v>
      </c>
      <c r="AC341" s="1" t="str">
        <f>IF($C341="","",$B341&amp;"@"&amp;(COUNTIFS($B$4:$B$1463,$B341,$C$4:$C$1463,"&lt;"&amp;$C341)+COUNTIFS($B$4:$B341,$B341,$C$4:$C341,$C341)))</f>
        <v>VENDETTA@26</v>
      </c>
      <c r="AD341" s="1">
        <f t="shared" si="29"/>
        <v>338</v>
      </c>
      <c r="AE341" s="1" t="s">
        <v>1160</v>
      </c>
      <c r="AF341" s="76">
        <f t="shared" si="30"/>
        <v>60945</v>
      </c>
      <c r="AG341" s="77">
        <f t="shared" si="31"/>
        <v>3.2</v>
      </c>
      <c r="AH341" s="1" t="str">
        <f>IF($C341="","",$B341&amp;"|"&amp;(COUNTIFS($B$4:$B$1463,$B341,$AF$4:$AF$1463,"&gt;"&amp;$AF341)+COUNTIFS($B$4:$B341,$B341,$AF$4:$AF341,"="&amp;$AF341)))</f>
        <v>VENDETTA|66</v>
      </c>
      <c r="AI341" s="1" t="str">
        <f>IF($C341="","",$B341&amp;"|"&amp;(COUNTIFS($B$4:$B$1463,$B341,$AG$4:$AG$1463,"&gt;"&amp;$AG341)+COUNTIFS($B$4:$B341,$B341,$AG$4:$AG341,"="&amp;$AG341)))</f>
        <v>VENDETTA|67</v>
      </c>
    </row>
    <row r="342" spans="1:35" hidden="1">
      <c r="A342" s="69" t="s">
        <v>106</v>
      </c>
      <c r="B342" s="69" t="s">
        <v>86</v>
      </c>
      <c r="C342" s="63" t="s">
        <v>1161</v>
      </c>
      <c r="D342" s="69"/>
      <c r="E342" s="68" t="s">
        <v>71</v>
      </c>
      <c r="F342" s="15" t="str">
        <f>IF($C342="","",IF($E342="","-",IFERROR(INDEX(SETUP!$B$55:$B$64,MATCH($E342,SETUP!$A$55:$A$64,0)),"Other")))</f>
        <v>Frontline</v>
      </c>
      <c r="G342" s="70">
        <v>64168</v>
      </c>
      <c r="H342" s="15" t="str">
        <f>IF($C342="","",IF($G342="","-",INDEX(SETUP!$B$26:$B$32,MATCH($G342,SETUP!$A$26:$A$32,1))))</f>
        <v>64,000 +</v>
      </c>
      <c r="I342" s="70">
        <v>9441</v>
      </c>
      <c r="J342" s="15" t="str">
        <f>IF($C342="","",IF($I342="","-",INDEX(SETUP!$B$16:$B$22,MATCH($I342,SETUP!$A$16:$A$22,1))))</f>
        <v>ELITE</v>
      </c>
      <c r="K342" s="15" t="str">
        <f>IF($C342="","",IF($I342="","-",TEXT(INT($I342/1000)*1000,"#,##0")&amp;" - "&amp;TEXT(INT($I342/1000)*1000+999,"#,##0")))</f>
        <v>9,000 - 9,999</v>
      </c>
      <c r="L342" s="71">
        <v>6.8</v>
      </c>
      <c r="M342" s="15" t="str">
        <f>IF($C342="","",IF($L342="","-",INDEX(SETUP!$B$36:$B$42,MATCH($L342,SETUP!$A$36:$A$42,1))))</f>
        <v>6k - 8k</v>
      </c>
      <c r="N342" s="17">
        <f>IF($C342="","",IF(OR($G342="",$I342=""),"",ROUND(100*(SETUP!$B$4*MIN(1,$I342/SETUP!$B$9)+SETUP!$B$5*MAX(0,MIN(1,($G342-SETUP!$B$10)/(SETUP!$B$11-SETUP!$B$10)))+SETUP!$B$6*MIN(1,IF($L342="",0,$L342)/SETUP!$B$12)),1)))</f>
        <v>76.7</v>
      </c>
      <c r="O342" s="15" t="str">
        <f>IF($C342="","",IF($N342="","-",INDEX(SETUP!$B$46:$B$51,MATCH($N342,SETUP!$A$46:$A$51,1))))</f>
        <v>S</v>
      </c>
      <c r="P342" s="15">
        <f>IF($C342="","",IF($I342="","",RANK($I342,$I$4:$I$1463)+COUNTIF($I$4:$I342,$I342)-1))</f>
        <v>72</v>
      </c>
      <c r="Q342" s="15">
        <f>IF($C342="","",COUNTIFS($B$4:$B$1463,$B342,$X$4:$X$1463,"&gt;"&amp;$X342)+COUNTIFS($B$4:$B342,$B342,$X$4:$X342,"="&amp;$X342))</f>
        <v>16</v>
      </c>
      <c r="R342" s="72">
        <f>IF($C342="","",IF($I342="","",ROUND(COUNTIF($I$4:$I$1463,"&lt;"&amp;$I342)/COUNT($I$4:$I$1463),3)))</f>
        <v>0.94599999999999995</v>
      </c>
      <c r="S342" s="15" t="str">
        <f>IF($C342="","",IF($G342="","Name only",IF(OR($I342="",$L342=""),"Partial","Complete")))</f>
        <v>Complete</v>
      </c>
      <c r="T342" s="41" t="str">
        <f>IF($C342="","",TRIM(IF(COUNTIF($C$4:$C$1463,$C342)&gt;1,"Dup name; ","")&amp;IF(AND($G342&lt;&gt;"",$G342&lt;55000),"Low CR - verify; ","")&amp;IF(AND($L342&lt;&gt;"",$L342&gt;15),"Secondary - verify; ","")&amp;IF($E342="","No class; ","")))</f>
        <v/>
      </c>
      <c r="U342" s="68"/>
      <c r="V342" s="68"/>
      <c r="W342" s="68"/>
      <c r="X342" s="73">
        <f t="shared" si="27"/>
        <v>9441</v>
      </c>
      <c r="Y342" s="41" t="str">
        <f t="shared" si="28"/>
        <v>VANGUARD|16</v>
      </c>
      <c r="Z342" s="15">
        <f>IF($C342="","",IF($G342="","",RANK($G342,$G$4:$G$1463)+COUNTIF($G$4:$G342,$G342)-1))</f>
        <v>50</v>
      </c>
      <c r="AA342" s="15">
        <f>IF($C342="","",IF($N342="","",RANK($N342,$N$4:$N$1463)+COUNTIF($N$4:$N342,$N342)-1))</f>
        <v>78</v>
      </c>
      <c r="AB342" s="41" t="str">
        <f>IF($C342="","",IF($E342="","",$E342&amp;"#"&amp;(COUNTIFS($E$4:$E$1463,$E342,$X$4:$X$1463,"&gt;"&amp;$X342)+COUNTIFS($E$4:$E342,$E342,$X$4:$X342,"="&amp;$X342))))</f>
        <v>BARBARIAN#16</v>
      </c>
      <c r="AC342" s="41" t="str">
        <f>IF($C342="","",$B342&amp;"@"&amp;(COUNTIFS($B$4:$B$1463,$B342,$C$4:$C$1463,"&lt;"&amp;$C342)+COUNTIFS($B$4:$B342,$B342,$C$4:$C342,$C342)))</f>
        <v>VANGUARD@30</v>
      </c>
      <c r="AD342" s="41">
        <f t="shared" si="29"/>
        <v>339</v>
      </c>
      <c r="AE342" s="41" t="s">
        <v>1162</v>
      </c>
      <c r="AF342" s="73">
        <f t="shared" si="30"/>
        <v>64168</v>
      </c>
      <c r="AG342" s="74">
        <f t="shared" si="31"/>
        <v>6.8</v>
      </c>
      <c r="AH342" s="41" t="str">
        <f>IF($C342="","",$B342&amp;"|"&amp;(COUNTIFS($B$4:$B$1463,$B342,$AF$4:$AF$1463,"&gt;"&amp;$AF342)+COUNTIFS($B$4:$B342,$B342,$AF$4:$AF342,"="&amp;$AF342)))</f>
        <v>VANGUARD|14</v>
      </c>
      <c r="AI342" s="41" t="str">
        <f>IF($C342="","",$B342&amp;"|"&amp;(COUNTIFS($B$4:$B$1463,$B342,$AG$4:$AG$1463,"&gt;"&amp;$AG342)+COUNTIFS($B$4:$B342,$B342,$AG$4:$AG342,"="&amp;$AG342)))</f>
        <v>VANGUARD|22</v>
      </c>
    </row>
    <row r="343" spans="1:35">
      <c r="A343" s="69" t="s">
        <v>104</v>
      </c>
      <c r="B343" s="69" t="s">
        <v>66</v>
      </c>
      <c r="C343" s="63" t="s">
        <v>1074</v>
      </c>
      <c r="D343" s="69" t="s">
        <v>1019</v>
      </c>
      <c r="E343" s="68" t="s">
        <v>79</v>
      </c>
      <c r="F343" s="15" t="str">
        <f>IF($C343="","",IF($E343="","-",IFERROR(INDEX(SETUP!$B$55:$B$64,MATCH($E343,SETUP!$A$55:$A$64,0)),"Other")))</f>
        <v>Control</v>
      </c>
      <c r="G343" s="70">
        <v>61331</v>
      </c>
      <c r="H343" s="15" t="str">
        <f>IF($C343="","",IF($G343="","-",INDEX(SETUP!$B$26:$B$32,MATCH($G343,SETUP!$A$26:$A$32,1))))</f>
        <v>61,000 - 61,999</v>
      </c>
      <c r="I343" s="70">
        <v>5524</v>
      </c>
      <c r="J343" s="15" t="str">
        <f>IF($C343="","",IF($I343="","-",INDEX(SETUP!$B$16:$B$22,MATCH($I343,SETUP!$A$16:$A$22,1))))</f>
        <v>CORE</v>
      </c>
      <c r="K343" s="15" t="str">
        <f>IF($C343="","",IF($I343="","-",TEXT(INT($I343/1000)*1000,"#,##0")&amp;" - "&amp;TEXT(INT($I343/1000)*1000+999,"#,##0")))</f>
        <v>5,000 - 5,999</v>
      </c>
      <c r="L343" s="71">
        <v>6.2</v>
      </c>
      <c r="M343" s="15" t="str">
        <f>IF($C343="","",IF($L343="","-",INDEX(SETUP!$B$36:$B$42,MATCH($L343,SETUP!$A$36:$A$42,1))))</f>
        <v>6k - 8k</v>
      </c>
      <c r="N343" s="17">
        <f>IF($C343="","",IF(OR($G343="",$I343=""),"",ROUND(100*(SETUP!$B$4*MIN(1,$I343/SETUP!$B$9)+SETUP!$B$5*MAX(0,MIN(1,($G343-SETUP!$B$10)/(SETUP!$B$11-SETUP!$B$10)))+SETUP!$B$6*MIN(1,IF($L343="",0,$L343)/SETUP!$B$12)),1)))</f>
        <v>51.1</v>
      </c>
      <c r="O343" s="15" t="str">
        <f>IF($C343="","",IF($N343="","-",INDEX(SETUP!$B$46:$B$51,MATCH($N343,SETUP!$A$46:$A$51,1))))</f>
        <v>A</v>
      </c>
      <c r="P343" s="15">
        <f>IF($C343="","",IF($I343="","",RANK($I343,$I$4:$I$1463)+COUNTIF($I$4:$I343,$I343)-1))</f>
        <v>334</v>
      </c>
      <c r="Q343" s="15">
        <f>IF($C343="","",COUNTIFS($B$4:$B$1463,$B343,$X$4:$X$1463,"&gt;"&amp;$X343)+COUNTIFS($B$4:$B343,$B343,$X$4:$X343,"="&amp;$X343))</f>
        <v>34</v>
      </c>
      <c r="R343" s="72">
        <f>IF($C343="","",IF($I343="","",ROUND(COUNTIF($I$4:$I$1463,"&lt;"&amp;$I343)/COUNT($I$4:$I$1463),3)))</f>
        <v>0.748</v>
      </c>
      <c r="S343" s="15" t="str">
        <f>IF($C343="","",IF($G343="","Name only",IF(OR($I343="",$L343=""),"Partial","Complete")))</f>
        <v>Complete</v>
      </c>
      <c r="T343" s="41" t="str">
        <f>IF($C343="","",TRIM(IF(COUNTIF($C$4:$C$1463,$C343)&gt;1,"Dup name; ","")&amp;IF(AND($G343&lt;&gt;"",$G343&lt;55000),"Low CR - verify; ","")&amp;IF(AND($L343&lt;&gt;"",$L343&gt;15),"Secondary - verify; ","")&amp;IF($E343="","No class; ","")))</f>
        <v>Dup name;</v>
      </c>
      <c r="U343" s="68"/>
      <c r="V343" s="68"/>
      <c r="W343" s="68"/>
      <c r="X343" s="76">
        <f t="shared" si="27"/>
        <v>5524</v>
      </c>
      <c r="Y343" s="1" t="str">
        <f t="shared" si="28"/>
        <v>FUCT|34</v>
      </c>
      <c r="Z343" s="19">
        <f>IF($C343="","",IF($G343="","",RANK($G343,$G$4:$G$1463)+COUNTIF($G$4:$G343,$G343)-1))</f>
        <v>1054</v>
      </c>
      <c r="AA343" s="19">
        <f>IF($C343="","",IF($N343="","",RANK($N343,$N$4:$N$1463)+COUNTIF($N$4:$N343,$N343)-1))</f>
        <v>421</v>
      </c>
      <c r="AB343" s="1" t="str">
        <f>IF($C343="","",IF($E343="","",$E343&amp;"#"&amp;(COUNTIFS($E$4:$E$1463,$E343,$X$4:$X$1463,"&gt;"&amp;$X343)+COUNTIFS($E$4:$E343,$E343,$X$4:$X343,"="&amp;$X343))))</f>
        <v>WARLOCK#75</v>
      </c>
      <c r="AC343" s="1" t="str">
        <f>IF($C343="","",$B343&amp;"@"&amp;(COUNTIFS($B$4:$B$1463,$B343,$C$4:$C$1463,"&lt;"&amp;$C343)+COUNTIFS($B$4:$B343,$B343,$C$4:$C343,$C343)))</f>
        <v>FUCT@22</v>
      </c>
      <c r="AD343" s="1">
        <f t="shared" si="29"/>
        <v>340</v>
      </c>
      <c r="AE343" s="1" t="s">
        <v>1163</v>
      </c>
      <c r="AF343" s="76">
        <f t="shared" si="30"/>
        <v>61331</v>
      </c>
      <c r="AG343" s="77">
        <f t="shared" si="31"/>
        <v>6.2</v>
      </c>
      <c r="AH343" s="1" t="str">
        <f>IF($C343="","",$B343&amp;"|"&amp;(COUNTIFS($B$4:$B$1463,$B343,$AF$4:$AF$1463,"&gt;"&amp;$AF343)+COUNTIFS($B$4:$B343,$B343,$AF$4:$AF343,"="&amp;$AF343)))</f>
        <v>FUCT|94</v>
      </c>
      <c r="AI343" s="1" t="str">
        <f>IF($C343="","",$B343&amp;"|"&amp;(COUNTIFS($B$4:$B$1463,$B343,$AG$4:$AG$1463,"&gt;"&amp;$AG343)+COUNTIFS($B$4:$B343,$B343,$AG$4:$AG343,"="&amp;$AG343)))</f>
        <v>FUCT|16</v>
      </c>
    </row>
    <row r="344" spans="1:35" hidden="1">
      <c r="A344" s="69" t="s">
        <v>109</v>
      </c>
      <c r="B344" s="69" t="s">
        <v>114</v>
      </c>
      <c r="C344" s="63" t="s">
        <v>1164</v>
      </c>
      <c r="D344" s="69"/>
      <c r="E344" s="68" t="s">
        <v>73</v>
      </c>
      <c r="F344" s="15" t="str">
        <f>IF($C344="","",IF($E344="","-",IFERROR(INDEX(SETUP!$B$55:$B$64,MATCH($E344,SETUP!$A$55:$A$64,0)),"Other")))</f>
        <v>Frontline</v>
      </c>
      <c r="G344" s="70">
        <v>57564</v>
      </c>
      <c r="H344" s="15" t="str">
        <f>IF($C344="","",IF($G344="","-",INDEX(SETUP!$B$26:$B$32,MATCH($G344,SETUP!$A$26:$A$32,1))))</f>
        <v>Under 58,000</v>
      </c>
      <c r="I344" s="70">
        <v>685</v>
      </c>
      <c r="J344" s="15" t="str">
        <f>IF($C344="","",IF($I344="","-",INDEX(SETUP!$B$16:$B$22,MATCH($I344,SETUP!$A$16:$A$22,1))))</f>
        <v>ROOKIE</v>
      </c>
      <c r="K344" s="15" t="str">
        <f>IF($C344="","",IF($I344="","-",TEXT(INT($I344/1000)*1000,"#,##0")&amp;" - "&amp;TEXT(INT($I344/1000)*1000+999,"#,##0")))</f>
        <v>0 - 999</v>
      </c>
      <c r="L344" s="71">
        <v>2.35</v>
      </c>
      <c r="M344" s="15" t="str">
        <f>IF($C344="","",IF($L344="","-",INDEX(SETUP!$B$36:$B$42,MATCH($L344,SETUP!$A$36:$A$42,1))))</f>
        <v>Under 3k</v>
      </c>
      <c r="N344" s="17">
        <f>IF($C344="","",IF(OR($G344="",$I344=""),"",ROUND(100*(SETUP!$B$4*MIN(1,$I344/SETUP!$B$9)+SETUP!$B$5*MAX(0,MIN(1,($G344-SETUP!$B$10)/(SETUP!$B$11-SETUP!$B$10)))+SETUP!$B$6*MIN(1,IF($L344="",0,$L344)/SETUP!$B$12)),1)))</f>
        <v>13.7</v>
      </c>
      <c r="O344" s="15" t="str">
        <f>IF($C344="","",IF($N344="","-",INDEX(SETUP!$B$46:$B$51,MATCH($N344,SETUP!$A$46:$A$51,1))))</f>
        <v>D</v>
      </c>
      <c r="P344" s="15">
        <f>IF($C344="","",IF($I344="","",RANK($I344,$I$4:$I$1463)+COUNTIF($I$4:$I344,$I344)-1))</f>
        <v>1307</v>
      </c>
      <c r="Q344" s="15">
        <f>IF($C344="","",COUNTIFS($B$4:$B$1463,$B344,$X$4:$X$1463,"&gt;"&amp;$X344)+COUNTIFS($B$4:$B344,$B344,$X$4:$X344,"="&amp;$X344))</f>
        <v>92</v>
      </c>
      <c r="R344" s="72">
        <f>IF($C344="","",IF($I344="","",ROUND(COUNTIF($I$4:$I$1463,"&lt;"&amp;$I344)/COUNT($I$4:$I$1463),3)))</f>
        <v>1.2999999999999999E-2</v>
      </c>
      <c r="S344" s="15" t="str">
        <f>IF($C344="","",IF($G344="","Name only",IF(OR($I344="",$L344=""),"Partial","Complete")))</f>
        <v>Complete</v>
      </c>
      <c r="T344" s="41" t="str">
        <f>IF($C344="","",TRIM(IF(COUNTIF($C$4:$C$1463,$C344)&gt;1,"Dup name; ","")&amp;IF(AND($G344&lt;&gt;"",$G344&lt;55000),"Low CR - verify; ","")&amp;IF(AND($L344&lt;&gt;"",$L344&gt;15),"Secondary - verify; ","")&amp;IF($E344="","No class; ","")))</f>
        <v/>
      </c>
      <c r="U344" s="68"/>
      <c r="V344" s="68"/>
      <c r="W344" s="68"/>
      <c r="X344" s="73">
        <f t="shared" si="27"/>
        <v>685</v>
      </c>
      <c r="Y344" s="41" t="str">
        <f t="shared" si="28"/>
        <v>EMERALD LEAF TRIBE|92</v>
      </c>
      <c r="Z344" s="15">
        <f>IF($C344="","",IF($G344="","",RANK($G344,$G$4:$G$1463)+COUNTIF($G$4:$G344,$G344)-1))</f>
        <v>1306</v>
      </c>
      <c r="AA344" s="15">
        <f>IF($C344="","",IF($N344="","",RANK($N344,$N$4:$N$1463)+COUNTIF($N$4:$N344,$N344)-1))</f>
        <v>1312</v>
      </c>
      <c r="AB344" s="41" t="str">
        <f>IF($C344="","",IF($E344="","",$E344&amp;"#"&amp;(COUNTIFS($E$4:$E$1463,$E344,$X$4:$X$1463,"&gt;"&amp;$X344)+COUNTIFS($E$4:$E344,$E344,$X$4:$X344,"="&amp;$X344))))</f>
        <v>CRUSADER#123</v>
      </c>
      <c r="AC344" s="41" t="str">
        <f>IF($C344="","",$B344&amp;"@"&amp;(COUNTIFS($B$4:$B$1463,$B344,$C$4:$C$1463,"&lt;"&amp;$C344)+COUNTIFS($B$4:$B344,$B344,$C$4:$C344,$C344)))</f>
        <v>EMERALD LEAF TRIBE@27</v>
      </c>
      <c r="AD344" s="41">
        <f t="shared" si="29"/>
        <v>341</v>
      </c>
      <c r="AE344" s="41" t="s">
        <v>1165</v>
      </c>
      <c r="AF344" s="73">
        <f t="shared" si="30"/>
        <v>57564</v>
      </c>
      <c r="AG344" s="74">
        <f t="shared" si="31"/>
        <v>2.35</v>
      </c>
      <c r="AH344" s="41" t="str">
        <f>IF($C344="","",$B344&amp;"|"&amp;(COUNTIFS($B$4:$B$1463,$B344,$AF$4:$AF$1463,"&gt;"&amp;$AF344)+COUNTIFS($B$4:$B344,$B344,$AF$4:$AF344,"="&amp;$AF344)))</f>
        <v>EMERALD LEAF TRIBE|92</v>
      </c>
      <c r="AI344" s="41" t="str">
        <f>IF($C344="","",$B344&amp;"|"&amp;(COUNTIFS($B$4:$B$1463,$B344,$AG$4:$AG$1463,"&gt;"&amp;$AG344)+COUNTIFS($B$4:$B344,$B344,$AG$4:$AG344,"="&amp;$AG344)))</f>
        <v>EMERALD LEAF TRIBE|93</v>
      </c>
    </row>
    <row r="345" spans="1:35" hidden="1">
      <c r="A345" s="69" t="s">
        <v>109</v>
      </c>
      <c r="B345" s="69" t="s">
        <v>116</v>
      </c>
      <c r="C345" s="63" t="s">
        <v>1166</v>
      </c>
      <c r="D345" s="69" t="s">
        <v>530</v>
      </c>
      <c r="E345" s="68" t="s">
        <v>80</v>
      </c>
      <c r="F345" s="19" t="str">
        <f>IF($C345="","",IF($E345="","-",IFERROR(INDEX(SETUP!$B$55:$B$64,MATCH($E345,SETUP!$A$55:$A$64,0)),"Other")))</f>
        <v>Ranged DPS</v>
      </c>
      <c r="G345" s="70">
        <v>61931</v>
      </c>
      <c r="H345" s="19" t="str">
        <f>IF($C345="","",IF($G345="","-",INDEX(SETUP!$B$26:$B$32,MATCH($G345,SETUP!$A$26:$A$32,1))))</f>
        <v>61,000 - 61,999</v>
      </c>
      <c r="I345" s="70">
        <v>3408</v>
      </c>
      <c r="J345" s="19" t="str">
        <f>IF($C345="","",IF($I345="","-",INDEX(SETUP!$B$16:$B$22,MATCH($I345,SETUP!$A$16:$A$22,1))))</f>
        <v>DEVELOPING</v>
      </c>
      <c r="K345" s="19" t="str">
        <f>IF($C345="","",IF($I345="","-",TEXT(INT($I345/1000)*1000,"#,##0")&amp;" - "&amp;TEXT(INT($I345/1000)*1000+999,"#,##0")))</f>
        <v>3,000 - 3,999</v>
      </c>
      <c r="L345" s="71">
        <v>4.9800000000000004</v>
      </c>
      <c r="M345" s="19" t="str">
        <f>IF($C345="","",IF($L345="","-",INDEX(SETUP!$B$36:$B$42,MATCH($L345,SETUP!$A$36:$A$42,1))))</f>
        <v>4k - 5k</v>
      </c>
      <c r="N345" s="21">
        <f>IF($C345="","",IF(OR($G345="",$I345=""),"",ROUND(100*(SETUP!$B$4*MIN(1,$I345/SETUP!$B$9)+SETUP!$B$5*MAX(0,MIN(1,($G345-SETUP!$B$10)/(SETUP!$B$11-SETUP!$B$10)))+SETUP!$B$6*MIN(1,IF($L345="",0,$L345)/SETUP!$B$12)),1)))</f>
        <v>41.4</v>
      </c>
      <c r="O345" s="19" t="str">
        <f>IF($C345="","",IF($N345="","-",INDEX(SETUP!$B$46:$B$51,MATCH($N345,SETUP!$A$46:$A$51,1))))</f>
        <v>B</v>
      </c>
      <c r="P345" s="19">
        <f>IF($C345="","",IF($I345="","",RANK($I345,$I$4:$I$1463)+COUNTIF($I$4:$I345,$I345)-1))</f>
        <v>755</v>
      </c>
      <c r="Q345" s="19">
        <f>IF($C345="","",COUNTIFS($B$4:$B$1463,$B345,$X$4:$X$1463,"&gt;"&amp;$X345)+COUNTIFS($B$4:$B345,$B345,$X$4:$X345,"="&amp;$X345))</f>
        <v>48</v>
      </c>
      <c r="R345" s="75">
        <f>IF($C345="","",IF($I345="","",ROUND(COUNTIF($I$4:$I$1463,"&lt;"&amp;$I345)/COUNT($I$4:$I$1463),3)))</f>
        <v>0.42899999999999999</v>
      </c>
      <c r="S345" s="19" t="str">
        <f>IF($C345="","",IF($G345="","Name only",IF(OR($I345="",$L345=""),"Partial","Complete")))</f>
        <v>Complete</v>
      </c>
      <c r="T345" s="1" t="str">
        <f>IF($C345="","",TRIM(IF(COUNTIF($C$4:$C$1463,$C345)&gt;1,"Dup name; ","")&amp;IF(AND($G345&lt;&gt;"",$G345&lt;55000),"Low CR - verify; ","")&amp;IF(AND($L345&lt;&gt;"",$L345&gt;15),"Secondary - verify; ","")&amp;IF($E345="","No class; ","")))</f>
        <v/>
      </c>
      <c r="U345" s="68"/>
      <c r="V345" s="68"/>
      <c r="W345" s="68"/>
      <c r="X345" s="76">
        <f t="shared" si="27"/>
        <v>3408</v>
      </c>
      <c r="Y345" s="1" t="str">
        <f t="shared" si="28"/>
        <v>VENGEANCE|48</v>
      </c>
      <c r="Z345" s="19">
        <f>IF($C345="","",IF($G345="","",RANK($G345,$G$4:$G$1463)+COUNTIF($G$4:$G345,$G345)-1))</f>
        <v>859</v>
      </c>
      <c r="AA345" s="19">
        <f>IF($C345="","",IF($N345="","",RANK($N345,$N$4:$N$1463)+COUNTIF($N$4:$N345,$N345)-1))</f>
        <v>759</v>
      </c>
      <c r="AB345" s="1" t="str">
        <f>IF($C345="","",IF($E345="","",$E345&amp;"#"&amp;(COUNTIFS($E$4:$E$1463,$E345,$X$4:$X$1463,"&gt;"&amp;$X345)+COUNTIFS($E$4:$E345,$E345,$X$4:$X345,"="&amp;$X345))))</f>
        <v>WIZARD#57</v>
      </c>
      <c r="AC345" s="1" t="str">
        <f>IF($C345="","",$B345&amp;"@"&amp;(COUNTIFS($B$4:$B$1463,$B345,$C$4:$C$1463,"&lt;"&amp;$C345)+COUNTIFS($B$4:$B345,$B345,$C$4:$C345,$C345)))</f>
        <v>VENGEANCE@24</v>
      </c>
      <c r="AD345" s="1">
        <f t="shared" si="29"/>
        <v>342</v>
      </c>
      <c r="AE345" s="1" t="s">
        <v>1167</v>
      </c>
      <c r="AF345" s="76">
        <f t="shared" si="30"/>
        <v>61931</v>
      </c>
      <c r="AG345" s="77">
        <f t="shared" si="31"/>
        <v>4.9800000000000004</v>
      </c>
      <c r="AH345" s="1" t="str">
        <f>IF($C345="","",$B345&amp;"|"&amp;(COUNTIFS($B$4:$B$1463,$B345,$AF$4:$AF$1463,"&gt;"&amp;$AF345)+COUNTIFS($B$4:$B345,$B345,$AF$4:$AF345,"="&amp;$AF345)))</f>
        <v>VENGEANCE|53</v>
      </c>
      <c r="AI345" s="1" t="str">
        <f>IF($C345="","",$B345&amp;"|"&amp;(COUNTIFS($B$4:$B$1463,$B345,$AG$4:$AG$1463,"&gt;"&amp;$AG345)+COUNTIFS($B$4:$B345,$B345,$AG$4:$AG345,"="&amp;$AG345)))</f>
        <v>VENGEANCE|33</v>
      </c>
    </row>
    <row r="346" spans="1:35" hidden="1">
      <c r="A346" s="69" t="s">
        <v>106</v>
      </c>
      <c r="B346" s="69" t="s">
        <v>107</v>
      </c>
      <c r="C346" s="63" t="s">
        <v>1168</v>
      </c>
      <c r="D346" s="69"/>
      <c r="E346" s="68" t="s">
        <v>79</v>
      </c>
      <c r="F346" s="15" t="str">
        <f>IF($C346="","",IF($E346="","-",IFERROR(INDEX(SETUP!$B$55:$B$64,MATCH($E346,SETUP!$A$55:$A$64,0)),"Other")))</f>
        <v>Control</v>
      </c>
      <c r="G346" s="70">
        <v>62921</v>
      </c>
      <c r="H346" s="15" t="str">
        <f>IF($C346="","",IF($G346="","-",INDEX(SETUP!$B$26:$B$32,MATCH($G346,SETUP!$A$26:$A$32,1))))</f>
        <v>62,000 - 62,999</v>
      </c>
      <c r="I346" s="70">
        <v>3342</v>
      </c>
      <c r="J346" s="15" t="str">
        <f>IF($C346="","",IF($I346="","-",INDEX(SETUP!$B$16:$B$22,MATCH($I346,SETUP!$A$16:$A$22,1))))</f>
        <v>DEVELOPING</v>
      </c>
      <c r="K346" s="15" t="str">
        <f>IF($C346="","",IF($I346="","-",TEXT(INT($I346/1000)*1000,"#,##0")&amp;" - "&amp;TEXT(INT($I346/1000)*1000+999,"#,##0")))</f>
        <v>3,000 - 3,999</v>
      </c>
      <c r="L346" s="71">
        <v>4.5999999999999996</v>
      </c>
      <c r="M346" s="15" t="str">
        <f>IF($C346="","",IF($L346="","-",INDEX(SETUP!$B$36:$B$42,MATCH($L346,SETUP!$A$36:$A$42,1))))</f>
        <v>4k - 5k</v>
      </c>
      <c r="N346" s="17">
        <f>IF($C346="","",IF(OR($G346="",$I346=""),"",ROUND(100*(SETUP!$B$4*MIN(1,$I346/SETUP!$B$9)+SETUP!$B$5*MAX(0,MIN(1,($G346-SETUP!$B$10)/(SETUP!$B$11-SETUP!$B$10)))+SETUP!$B$6*MIN(1,IF($L346="",0,$L346)/SETUP!$B$12)),1)))</f>
        <v>43.1</v>
      </c>
      <c r="O346" s="15" t="str">
        <f>IF($C346="","",IF($N346="","-",INDEX(SETUP!$B$46:$B$51,MATCH($N346,SETUP!$A$46:$A$51,1))))</f>
        <v>B</v>
      </c>
      <c r="P346" s="15">
        <f>IF($C346="","",IF($I346="","",RANK($I346,$I$4:$I$1463)+COUNTIF($I$4:$I346,$I346)-1))</f>
        <v>774</v>
      </c>
      <c r="Q346" s="15">
        <f>IF($C346="","",COUNTIFS($B$4:$B$1463,$B346,$X$4:$X$1463,"&gt;"&amp;$X346)+COUNTIFS($B$4:$B346,$B346,$X$4:$X346,"="&amp;$X346))</f>
        <v>73</v>
      </c>
      <c r="R346" s="72">
        <f>IF($C346="","",IF($I346="","",ROUND(COUNTIF($I$4:$I$1463,"&lt;"&amp;$I346)/COUNT($I$4:$I$1463),3)))</f>
        <v>0.41599999999999998</v>
      </c>
      <c r="S346" s="15" t="str">
        <f>IF($C346="","",IF($G346="","Name only",IF(OR($I346="",$L346=""),"Partial","Complete")))</f>
        <v>Complete</v>
      </c>
      <c r="T346" s="41" t="str">
        <f>IF($C346="","",TRIM(IF(COUNTIF($C$4:$C$1463,$C346)&gt;1,"Dup name; ","")&amp;IF(AND($G346&lt;&gt;"",$G346&lt;55000),"Low CR - verify; ","")&amp;IF(AND($L346&lt;&gt;"",$L346&gt;15),"Secondary - verify; ","")&amp;IF($E346="","No class; ","")))</f>
        <v/>
      </c>
      <c r="U346" s="68"/>
      <c r="V346" s="68"/>
      <c r="W346" s="68"/>
      <c r="X346" s="73">
        <f t="shared" si="27"/>
        <v>3342</v>
      </c>
      <c r="Y346" s="41" t="str">
        <f t="shared" si="28"/>
        <v>UNDYING|73</v>
      </c>
      <c r="Z346" s="15">
        <f>IF($C346="","",IF($G346="","",RANK($G346,$G$4:$G$1463)+COUNTIF($G$4:$G346,$G346)-1))</f>
        <v>467</v>
      </c>
      <c r="AA346" s="15">
        <f>IF($C346="","",IF($N346="","",RANK($N346,$N$4:$N$1463)+COUNTIF($N$4:$N346,$N346)-1))</f>
        <v>698</v>
      </c>
      <c r="AB346" s="41" t="str">
        <f>IF($C346="","",IF($E346="","",$E346&amp;"#"&amp;(COUNTIFS($E$4:$E$1463,$E346,$X$4:$X$1463,"&gt;"&amp;$X346)+COUNTIFS($E$4:$E346,$E346,$X$4:$X346,"="&amp;$X346))))</f>
        <v>WARLOCK#187</v>
      </c>
      <c r="AC346" s="41" t="str">
        <f>IF($C346="","",$B346&amp;"@"&amp;(COUNTIFS($B$4:$B$1463,$B346,$C$4:$C$1463,"&lt;"&amp;$C346)+COUNTIFS($B$4:$B346,$B346,$C$4:$C346,$C346)))</f>
        <v>UNDYING@34</v>
      </c>
      <c r="AD346" s="41">
        <f t="shared" si="29"/>
        <v>343</v>
      </c>
      <c r="AE346" s="41" t="s">
        <v>553</v>
      </c>
      <c r="AF346" s="73">
        <f t="shared" si="30"/>
        <v>62921</v>
      </c>
      <c r="AG346" s="74">
        <f t="shared" si="31"/>
        <v>4.5999999999999996</v>
      </c>
      <c r="AH346" s="41" t="str">
        <f>IF($C346="","",$B346&amp;"|"&amp;(COUNTIFS($B$4:$B$1463,$B346,$AF$4:$AF$1463,"&gt;"&amp;$AF346)+COUNTIFS($B$4:$B346,$B346,$AF$4:$AF346,"="&amp;$AF346)))</f>
        <v>UNDYING|47</v>
      </c>
      <c r="AI346" s="41" t="str">
        <f>IF($C346="","",$B346&amp;"|"&amp;(COUNTIFS($B$4:$B$1463,$B346,$AG$4:$AG$1463,"&gt;"&amp;$AG346)+COUNTIFS($B$4:$B346,$B346,$AG$4:$AG346,"="&amp;$AG346)))</f>
        <v>UNDYING|66</v>
      </c>
    </row>
    <row r="347" spans="1:35" hidden="1">
      <c r="A347" s="69" t="s">
        <v>106</v>
      </c>
      <c r="B347" s="69" t="s">
        <v>86</v>
      </c>
      <c r="C347" s="63" t="s">
        <v>1169</v>
      </c>
      <c r="D347" s="69"/>
      <c r="E347" s="68" t="s">
        <v>74</v>
      </c>
      <c r="F347" s="19" t="str">
        <f>IF($C347="","",IF($E347="","-",IFERROR(INDEX(SETUP!$B$55:$B$64,MATCH($E347,SETUP!$A$55:$A$64,0)),"Other")))</f>
        <v>Ranged DPS</v>
      </c>
      <c r="G347" s="70">
        <v>62691</v>
      </c>
      <c r="H347" s="19" t="str">
        <f>IF($C347="","",IF($G347="","-",INDEX(SETUP!$B$26:$B$32,MATCH($G347,SETUP!$A$26:$A$32,1))))</f>
        <v>62,000 - 62,999</v>
      </c>
      <c r="I347" s="70">
        <v>7454</v>
      </c>
      <c r="J347" s="19" t="str">
        <f>IF($C347="","",IF($I347="","-",INDEX(SETUP!$B$16:$B$22,MATCH($I347,SETUP!$A$16:$A$22,1))))</f>
        <v>VETERAN</v>
      </c>
      <c r="K347" s="19" t="str">
        <f>IF($C347="","",IF($I347="","-",TEXT(INT($I347/1000)*1000,"#,##0")&amp;" - "&amp;TEXT(INT($I347/1000)*1000+999,"#,##0")))</f>
        <v>7,000 - 7,999</v>
      </c>
      <c r="L347" s="71">
        <v>4.8499999999999996</v>
      </c>
      <c r="M347" s="19" t="str">
        <f>IF($C347="","",IF($L347="","-",INDEX(SETUP!$B$36:$B$42,MATCH($L347,SETUP!$A$36:$A$42,1))))</f>
        <v>4k - 5k</v>
      </c>
      <c r="N347" s="21">
        <f>IF($C347="","",IF(OR($G347="",$I347=""),"",ROUND(100*(SETUP!$B$4*MIN(1,$I347/SETUP!$B$9)+SETUP!$B$5*MAX(0,MIN(1,($G347-SETUP!$B$10)/(SETUP!$B$11-SETUP!$B$10)))+SETUP!$B$6*MIN(1,IF($L347="",0,$L347)/SETUP!$B$12)),1)))</f>
        <v>60.9</v>
      </c>
      <c r="O347" s="19" t="str">
        <f>IF($C347="","",IF($N347="","-",INDEX(SETUP!$B$46:$B$51,MATCH($N347,SETUP!$A$46:$A$51,1))))</f>
        <v>A</v>
      </c>
      <c r="P347" s="19">
        <f>IF($C347="","",IF($I347="","",RANK($I347,$I$4:$I$1463)+COUNTIF($I$4:$I347,$I347)-1))</f>
        <v>174</v>
      </c>
      <c r="Q347" s="19">
        <f>IF($C347="","",COUNTIFS($B$4:$B$1463,$B347,$X$4:$X$1463,"&gt;"&amp;$X347)+COUNTIFS($B$4:$B347,$B347,$X$4:$X347,"="&amp;$X347))</f>
        <v>39</v>
      </c>
      <c r="R347" s="75">
        <f>IF($C347="","",IF($I347="","",ROUND(COUNTIF($I$4:$I$1463,"&lt;"&amp;$I347)/COUNT($I$4:$I$1463),3)))</f>
        <v>0.86899999999999999</v>
      </c>
      <c r="S347" s="19" t="str">
        <f>IF($C347="","",IF($G347="","Name only",IF(OR($I347="",$L347=""),"Partial","Complete")))</f>
        <v>Complete</v>
      </c>
      <c r="T347" s="1" t="str">
        <f>IF($C347="","",TRIM(IF(COUNTIF($C$4:$C$1463,$C347)&gt;1,"Dup name; ","")&amp;IF(AND($G347&lt;&gt;"",$G347&lt;55000),"Low CR - verify; ","")&amp;IF(AND($L347&lt;&gt;"",$L347&gt;15),"Secondary - verify; ","")&amp;IF($E347="","No class; ","")))</f>
        <v/>
      </c>
      <c r="U347" s="68"/>
      <c r="V347" s="68"/>
      <c r="W347" s="68"/>
      <c r="X347" s="76">
        <f t="shared" si="27"/>
        <v>7454</v>
      </c>
      <c r="Y347" s="1" t="str">
        <f t="shared" si="28"/>
        <v>VANGUARD|39</v>
      </c>
      <c r="Z347" s="19">
        <f>IF($C347="","",IF($G347="","",RANK($G347,$G$4:$G$1463)+COUNTIF($G$4:$G347,$G347)-1))</f>
        <v>568</v>
      </c>
      <c r="AA347" s="19">
        <f>IF($C347="","",IF($N347="","",RANK($N347,$N$4:$N$1463)+COUNTIF($N$4:$N347,$N347)-1))</f>
        <v>226</v>
      </c>
      <c r="AB347" s="1" t="str">
        <f>IF($C347="","",IF($E347="","",$E347&amp;"#"&amp;(COUNTIFS($E$4:$E$1463,$E347,$X$4:$X$1463,"&gt;"&amp;$X347)+COUNTIFS($E$4:$E347,$E347,$X$4:$X347,"="&amp;$X347))))</f>
        <v>DEMON HUNTER#32</v>
      </c>
      <c r="AC347" s="1" t="str">
        <f>IF($C347="","",$B347&amp;"@"&amp;(COUNTIFS($B$4:$B$1463,$B347,$C$4:$C$1463,"&lt;"&amp;$C347)+COUNTIFS($B$4:$B347,$B347,$C$4:$C347,$C347)))</f>
        <v>VANGUARD@31</v>
      </c>
      <c r="AD347" s="1">
        <f t="shared" si="29"/>
        <v>344</v>
      </c>
      <c r="AE347" s="1" t="s">
        <v>946</v>
      </c>
      <c r="AF347" s="76">
        <f t="shared" si="30"/>
        <v>62691</v>
      </c>
      <c r="AG347" s="77">
        <f t="shared" si="31"/>
        <v>4.8499999999999996</v>
      </c>
      <c r="AH347" s="1" t="str">
        <f>IF($C347="","",$B347&amp;"|"&amp;(COUNTIFS($B$4:$B$1463,$B347,$AF$4:$AF$1463,"&gt;"&amp;$AF347)+COUNTIFS($B$4:$B347,$B347,$AF$4:$AF347,"="&amp;$AF347)))</f>
        <v>VANGUARD|77</v>
      </c>
      <c r="AI347" s="1" t="str">
        <f>IF($C347="","",$B347&amp;"|"&amp;(COUNTIFS($B$4:$B$1463,$B347,$AG$4:$AG$1463,"&gt;"&amp;$AG347)+COUNTIFS($B$4:$B347,$B347,$AG$4:$AG347,"="&amp;$AG347)))</f>
        <v>VANGUARD|70</v>
      </c>
    </row>
    <row r="348" spans="1:35" hidden="1">
      <c r="A348" s="69" t="s">
        <v>109</v>
      </c>
      <c r="B348" s="69" t="s">
        <v>112</v>
      </c>
      <c r="C348" s="63" t="s">
        <v>1170</v>
      </c>
      <c r="D348" s="69" t="s">
        <v>567</v>
      </c>
      <c r="E348" s="68" t="s">
        <v>72</v>
      </c>
      <c r="F348" s="15" t="str">
        <f>IF($C348="","",IF($E348="","-",IFERROR(INDEX(SETUP!$B$55:$B$64,MATCH($E348,SETUP!$A$55:$A$64,0)),"Other")))</f>
        <v>Frontline</v>
      </c>
      <c r="G348" s="70">
        <v>62993</v>
      </c>
      <c r="H348" s="15" t="str">
        <f>IF($C348="","",IF($G348="","-",INDEX(SETUP!$B$26:$B$32,MATCH($G348,SETUP!$A$26:$A$32,1))))</f>
        <v>62,000 - 62,999</v>
      </c>
      <c r="I348" s="70">
        <v>3023</v>
      </c>
      <c r="J348" s="15" t="str">
        <f>IF($C348="","",IF($I348="","-",INDEX(SETUP!$B$16:$B$22,MATCH($I348,SETUP!$A$16:$A$22,1))))</f>
        <v>DEVELOPING</v>
      </c>
      <c r="K348" s="15" t="str">
        <f>IF($C348="","",IF($I348="","-",TEXT(INT($I348/1000)*1000,"#,##0")&amp;" - "&amp;TEXT(INT($I348/1000)*1000+999,"#,##0")))</f>
        <v>3,000 - 3,999</v>
      </c>
      <c r="L348" s="71">
        <v>4</v>
      </c>
      <c r="M348" s="15" t="str">
        <f>IF($C348="","",IF($L348="","-",INDEX(SETUP!$B$36:$B$42,MATCH($L348,SETUP!$A$36:$A$42,1))))</f>
        <v>4k - 5k</v>
      </c>
      <c r="N348" s="17">
        <f>IF($C348="","",IF(OR($G348="",$I348=""),"",ROUND(100*(SETUP!$B$4*MIN(1,$I348/SETUP!$B$9)+SETUP!$B$5*MAX(0,MIN(1,($G348-SETUP!$B$10)/(SETUP!$B$11-SETUP!$B$10)))+SETUP!$B$6*MIN(1,IF($L348="",0,$L348)/SETUP!$B$12)),1)))</f>
        <v>40.9</v>
      </c>
      <c r="O348" s="15" t="str">
        <f>IF($C348="","",IF($N348="","-",INDEX(SETUP!$B$46:$B$51,MATCH($N348,SETUP!$A$46:$A$51,1))))</f>
        <v>B</v>
      </c>
      <c r="P348" s="15">
        <f>IF($C348="","",IF($I348="","",RANK($I348,$I$4:$I$1463)+COUNTIF($I$4:$I348,$I348)-1))</f>
        <v>873</v>
      </c>
      <c r="Q348" s="15">
        <f>IF($C348="","",COUNTIFS($B$4:$B$1463,$B348,$X$4:$X$1463,"&gt;"&amp;$X348)+COUNTIFS($B$4:$B348,$B348,$X$4:$X348,"="&amp;$X348))</f>
        <v>67</v>
      </c>
      <c r="R348" s="72">
        <f>IF($C348="","",IF($I348="","",ROUND(COUNTIF($I$4:$I$1463,"&lt;"&amp;$I348)/COUNT($I$4:$I$1463),3)))</f>
        <v>0.34100000000000003</v>
      </c>
      <c r="S348" s="15" t="str">
        <f>IF($C348="","",IF($G348="","Name only",IF(OR($I348="",$L348=""),"Partial","Complete")))</f>
        <v>Complete</v>
      </c>
      <c r="T348" s="41" t="str">
        <f>IF($C348="","",TRIM(IF(COUNTIF($C$4:$C$1463,$C348)&gt;1,"Dup name; ","")&amp;IF(AND($G348&lt;&gt;"",$G348&lt;55000),"Low CR - verify; ","")&amp;IF(AND($L348&lt;&gt;"",$L348&gt;15),"Secondary - verify; ","")&amp;IF($E348="","No class; ","")))</f>
        <v/>
      </c>
      <c r="U348" s="68"/>
      <c r="V348" s="68"/>
      <c r="W348" s="68"/>
      <c r="X348" s="73">
        <f t="shared" si="27"/>
        <v>3023</v>
      </c>
      <c r="Y348" s="41" t="str">
        <f t="shared" si="28"/>
        <v>ACHERON|67</v>
      </c>
      <c r="Z348" s="15">
        <f>IF($C348="","",IF($G348="","",RANK($G348,$G$4:$G$1463)+COUNTIF($G$4:$G348,$G348)-1))</f>
        <v>431</v>
      </c>
      <c r="AA348" s="15">
        <f>IF($C348="","",IF($N348="","",RANK($N348,$N$4:$N$1463)+COUNTIF($N$4:$N348,$N348)-1))</f>
        <v>782</v>
      </c>
      <c r="AB348" s="41" t="str">
        <f>IF($C348="","",IF($E348="","",$E348&amp;"#"&amp;(COUNTIFS($E$4:$E$1463,$E348,$X$4:$X$1463,"&gt;"&amp;$X348)+COUNTIFS($E$4:$E348,$E348,$X$4:$X348,"="&amp;$X348))))</f>
        <v>BLOOD KNIGHT#63</v>
      </c>
      <c r="AC348" s="41" t="str">
        <f>IF($C348="","",$B348&amp;"@"&amp;(COUNTIFS($B$4:$B$1463,$B348,$C$4:$C$1463,"&lt;"&amp;$C348)+COUNTIFS($B$4:$B348,$B348,$C$4:$C348,$C348)))</f>
        <v>ACHERON@21</v>
      </c>
      <c r="AD348" s="41">
        <f t="shared" si="29"/>
        <v>345</v>
      </c>
      <c r="AE348" s="41" t="s">
        <v>1171</v>
      </c>
      <c r="AF348" s="73">
        <f t="shared" si="30"/>
        <v>62993</v>
      </c>
      <c r="AG348" s="74">
        <f t="shared" si="31"/>
        <v>4</v>
      </c>
      <c r="AH348" s="41" t="str">
        <f>IF($C348="","",$B348&amp;"|"&amp;(COUNTIFS($B$4:$B$1463,$B348,$AF$4:$AF$1463,"&gt;"&amp;$AF348)+COUNTIFS($B$4:$B348,$B348,$AF$4:$AF348,"="&amp;$AF348)))</f>
        <v>ACHERON|31</v>
      </c>
      <c r="AI348" s="41" t="str">
        <f>IF($C348="","",$B348&amp;"|"&amp;(COUNTIFS($B$4:$B$1463,$B348,$AG$4:$AG$1463,"&gt;"&amp;$AG348)+COUNTIFS($B$4:$B348,$B348,$AG$4:$AG348,"="&amp;$AG348)))</f>
        <v>ACHERON|75</v>
      </c>
    </row>
    <row r="349" spans="1:35" hidden="1">
      <c r="A349" s="69" t="s">
        <v>106</v>
      </c>
      <c r="B349" s="69" t="s">
        <v>105</v>
      </c>
      <c r="C349" s="63" t="s">
        <v>1172</v>
      </c>
      <c r="D349" s="69" t="s">
        <v>691</v>
      </c>
      <c r="E349" s="68" t="s">
        <v>79</v>
      </c>
      <c r="F349" s="19" t="str">
        <f>IF($C349="","",IF($E349="","-",IFERROR(INDEX(SETUP!$B$55:$B$64,MATCH($E349,SETUP!$A$55:$A$64,0)),"Other")))</f>
        <v>Control</v>
      </c>
      <c r="G349" s="70">
        <v>63057</v>
      </c>
      <c r="H349" s="19" t="str">
        <f>IF($C349="","",IF($G349="","-",INDEX(SETUP!$B$26:$B$32,MATCH($G349,SETUP!$A$26:$A$32,1))))</f>
        <v>63,000 - 63,999</v>
      </c>
      <c r="I349" s="70">
        <v>7447</v>
      </c>
      <c r="J349" s="19" t="str">
        <f>IF($C349="","",IF($I349="","-",INDEX(SETUP!$B$16:$B$22,MATCH($I349,SETUP!$A$16:$A$22,1))))</f>
        <v>VETERAN</v>
      </c>
      <c r="K349" s="19" t="str">
        <f>IF($C349="","",IF($I349="","-",TEXT(INT($I349/1000)*1000,"#,##0")&amp;" - "&amp;TEXT(INT($I349/1000)*1000+999,"#,##0")))</f>
        <v>7,000 - 7,999</v>
      </c>
      <c r="L349" s="71">
        <v>6.6</v>
      </c>
      <c r="M349" s="19" t="str">
        <f>IF($C349="","",IF($L349="","-",INDEX(SETUP!$B$36:$B$42,MATCH($L349,SETUP!$A$36:$A$42,1))))</f>
        <v>6k - 8k</v>
      </c>
      <c r="N349" s="21">
        <f>IF($C349="","",IF(OR($G349="",$I349=""),"",ROUND(100*(SETUP!$B$4*MIN(1,$I349/SETUP!$B$9)+SETUP!$B$5*MAX(0,MIN(1,($G349-SETUP!$B$10)/(SETUP!$B$11-SETUP!$B$10)))+SETUP!$B$6*MIN(1,IF($L349="",0,$L349)/SETUP!$B$12)),1)))</f>
        <v>64.7</v>
      </c>
      <c r="O349" s="19" t="str">
        <f>IF($C349="","",IF($N349="","-",INDEX(SETUP!$B$46:$B$51,MATCH($N349,SETUP!$A$46:$A$51,1))))</f>
        <v>A</v>
      </c>
      <c r="P349" s="19">
        <f>IF($C349="","",IF($I349="","",RANK($I349,$I$4:$I$1463)+COUNTIF($I$4:$I349,$I349)-1))</f>
        <v>175</v>
      </c>
      <c r="Q349" s="19">
        <f>IF($C349="","",COUNTIFS($B$4:$B$1463,$B349,$X$4:$X$1463,"&gt;"&amp;$X349)+COUNTIFS($B$4:$B349,$B349,$X$4:$X349,"="&amp;$X349))</f>
        <v>17</v>
      </c>
      <c r="R349" s="75">
        <f>IF($C349="","",IF($I349="","",ROUND(COUNTIF($I$4:$I$1463,"&lt;"&amp;$I349)/COUNT($I$4:$I$1463),3)))</f>
        <v>0.86799999999999999</v>
      </c>
      <c r="S349" s="19" t="str">
        <f>IF($C349="","",IF($G349="","Name only",IF(OR($I349="",$L349=""),"Partial","Complete")))</f>
        <v>Complete</v>
      </c>
      <c r="T349" s="1" t="str">
        <f>IF($C349="","",TRIM(IF(COUNTIF($C$4:$C$1463,$C349)&gt;1,"Dup name; ","")&amp;IF(AND($G349&lt;&gt;"",$G349&lt;55000),"Low CR - verify; ","")&amp;IF(AND($L349&lt;&gt;"",$L349&gt;15),"Secondary - verify; ","")&amp;IF($E349="","No class; ","")))</f>
        <v/>
      </c>
      <c r="U349" s="68"/>
      <c r="V349" s="68"/>
      <c r="W349" s="68"/>
      <c r="X349" s="76">
        <f t="shared" si="27"/>
        <v>7447</v>
      </c>
      <c r="Y349" s="1" t="str">
        <f t="shared" si="28"/>
        <v>LEGENDS|17</v>
      </c>
      <c r="Z349" s="19">
        <f>IF($C349="","",IF($G349="","",RANK($G349,$G$4:$G$1463)+COUNTIF($G$4:$G349,$G349)-1))</f>
        <v>397</v>
      </c>
      <c r="AA349" s="19">
        <f>IF($C349="","",IF($N349="","",RANK($N349,$N$4:$N$1463)+COUNTIF($N$4:$N349,$N349)-1))</f>
        <v>181</v>
      </c>
      <c r="AB349" s="1" t="str">
        <f>IF($C349="","",IF($E349="","",$E349&amp;"#"&amp;(COUNTIFS($E$4:$E$1463,$E349,$X$4:$X$1463,"&gt;"&amp;$X349)+COUNTIFS($E$4:$E349,$E349,$X$4:$X349,"="&amp;$X349))))</f>
        <v>WARLOCK#35</v>
      </c>
      <c r="AC349" s="1" t="str">
        <f>IF($C349="","",$B349&amp;"@"&amp;(COUNTIFS($B$4:$B$1463,$B349,$C$4:$C$1463,"&lt;"&amp;$C349)+COUNTIFS($B$4:$B349,$B349,$C$4:$C349,$C349)))</f>
        <v>LEGENDS@36</v>
      </c>
      <c r="AD349" s="1">
        <f t="shared" si="29"/>
        <v>346</v>
      </c>
      <c r="AE349" s="1" t="s">
        <v>1173</v>
      </c>
      <c r="AF349" s="76">
        <f t="shared" si="30"/>
        <v>63057</v>
      </c>
      <c r="AG349" s="77">
        <f t="shared" si="31"/>
        <v>6.6</v>
      </c>
      <c r="AH349" s="1" t="str">
        <f>IF($C349="","",$B349&amp;"|"&amp;(COUNTIFS($B$4:$B$1463,$B349,$AF$4:$AF$1463,"&gt;"&amp;$AF349)+COUNTIFS($B$4:$B349,$B349,$AF$4:$AF349,"="&amp;$AF349)))</f>
        <v>LEGENDS|46</v>
      </c>
      <c r="AI349" s="1" t="str">
        <f>IF($C349="","",$B349&amp;"|"&amp;(COUNTIFS($B$4:$B$1463,$B349,$AG$4:$AG$1463,"&gt;"&amp;$AG349)+COUNTIFS($B$4:$B349,$B349,$AG$4:$AG349,"="&amp;$AG349)))</f>
        <v>LEGENDS|8</v>
      </c>
    </row>
    <row r="350" spans="1:35" hidden="1">
      <c r="A350" s="69" t="s">
        <v>109</v>
      </c>
      <c r="B350" s="69" t="s">
        <v>117</v>
      </c>
      <c r="C350" s="63" t="s">
        <v>1174</v>
      </c>
      <c r="D350" s="69"/>
      <c r="E350" s="68" t="s">
        <v>80</v>
      </c>
      <c r="F350" s="15" t="str">
        <f>IF($C350="","",IF($E350="","-",IFERROR(INDEX(SETUP!$B$55:$B$64,MATCH($E350,SETUP!$A$55:$A$64,0)),"Other")))</f>
        <v>Ranged DPS</v>
      </c>
      <c r="G350" s="70">
        <v>62929</v>
      </c>
      <c r="H350" s="15" t="str">
        <f>IF($C350="","",IF($G350="","-",INDEX(SETUP!$B$26:$B$32,MATCH($G350,SETUP!$A$26:$A$32,1))))</f>
        <v>62,000 - 62,999</v>
      </c>
      <c r="I350" s="70">
        <v>2088</v>
      </c>
      <c r="J350" s="15" t="str">
        <f>IF($C350="","",IF($I350="","-",INDEX(SETUP!$B$16:$B$22,MATCH($I350,SETUP!$A$16:$A$22,1))))</f>
        <v>DEVELOPING</v>
      </c>
      <c r="K350" s="15" t="str">
        <f>IF($C350="","",IF($I350="","-",TEXT(INT($I350/1000)*1000,"#,##0")&amp;" - "&amp;TEXT(INT($I350/1000)*1000+999,"#,##0")))</f>
        <v>2,000 - 2,999</v>
      </c>
      <c r="L350" s="71">
        <v>3.5</v>
      </c>
      <c r="M350" s="15" t="str">
        <f>IF($C350="","",IF($L350="","-",INDEX(SETUP!$B$36:$B$42,MATCH($L350,SETUP!$A$36:$A$42,1))))</f>
        <v>3k - 4k</v>
      </c>
      <c r="N350" s="17">
        <f>IF($C350="","",IF(OR($G350="",$I350=""),"",ROUND(100*(SETUP!$B$4*MIN(1,$I350/SETUP!$B$9)+SETUP!$B$5*MAX(0,MIN(1,($G350-SETUP!$B$10)/(SETUP!$B$11-SETUP!$B$10)))+SETUP!$B$6*MIN(1,IF($L350="",0,$L350)/SETUP!$B$12)),1)))</f>
        <v>35.799999999999997</v>
      </c>
      <c r="O350" s="15" t="str">
        <f>IF($C350="","",IF($N350="","-",INDEX(SETUP!$B$46:$B$51,MATCH($N350,SETUP!$A$46:$A$51,1))))</f>
        <v>B</v>
      </c>
      <c r="P350" s="15">
        <f>IF($C350="","",IF($I350="","",RANK($I350,$I$4:$I$1463)+COUNTIF($I$4:$I350,$I350)-1))</f>
        <v>1092</v>
      </c>
      <c r="Q350" s="15">
        <f>IF($C350="","",COUNTIFS($B$4:$B$1463,$B350,$X$4:$X$1463,"&gt;"&amp;$X350)+COUNTIFS($B$4:$B350,$B350,$X$4:$X350,"="&amp;$X350))</f>
        <v>43</v>
      </c>
      <c r="R350" s="72">
        <f>IF($C350="","",IF($I350="","",ROUND(COUNTIF($I$4:$I$1463,"&lt;"&amp;$I350)/COUNT($I$4:$I$1463),3)))</f>
        <v>0.17599999999999999</v>
      </c>
      <c r="S350" s="15" t="str">
        <f>IF($C350="","",IF($G350="","Name only",IF(OR($I350="",$L350=""),"Partial","Complete")))</f>
        <v>Complete</v>
      </c>
      <c r="T350" s="41" t="str">
        <f>IF($C350="","",TRIM(IF(COUNTIF($C$4:$C$1463,$C350)&gt;1,"Dup name; ","")&amp;IF(AND($G350&lt;&gt;"",$G350&lt;55000),"Low CR - verify; ","")&amp;IF(AND($L350&lt;&gt;"",$L350&gt;15),"Secondary - verify; ","")&amp;IF($E350="","No class; ","")))</f>
        <v/>
      </c>
      <c r="U350" s="68"/>
      <c r="V350" s="68"/>
      <c r="W350" s="68"/>
      <c r="X350" s="73">
        <f t="shared" si="27"/>
        <v>2088</v>
      </c>
      <c r="Y350" s="41" t="str">
        <f t="shared" si="28"/>
        <v>VENDETTA|43</v>
      </c>
      <c r="Z350" s="15">
        <f>IF($C350="","",IF($G350="","",RANK($G350,$G$4:$G$1463)+COUNTIF($G$4:$G350,$G350)-1))</f>
        <v>463</v>
      </c>
      <c r="AA350" s="15">
        <f>IF($C350="","",IF($N350="","",RANK($N350,$N$4:$N$1463)+COUNTIF($N$4:$N350,$N350)-1))</f>
        <v>978</v>
      </c>
      <c r="AB350" s="41" t="str">
        <f>IF($C350="","",IF($E350="","",$E350&amp;"#"&amp;(COUNTIFS($E$4:$E$1463,$E350,$X$4:$X$1463,"&gt;"&amp;$X350)+COUNTIFS($E$4:$E350,$E350,$X$4:$X350,"="&amp;$X350))))</f>
        <v>WIZARD#78</v>
      </c>
      <c r="AC350" s="41" t="str">
        <f>IF($C350="","",$B350&amp;"@"&amp;(COUNTIFS($B$4:$B$1463,$B350,$C$4:$C$1463,"&lt;"&amp;$C350)+COUNTIFS($B$4:$B350,$B350,$C$4:$C350,$C350)))</f>
        <v>VENDETTA@27</v>
      </c>
      <c r="AD350" s="41">
        <f t="shared" si="29"/>
        <v>347</v>
      </c>
      <c r="AE350" s="41" t="s">
        <v>568</v>
      </c>
      <c r="AF350" s="73">
        <f t="shared" si="30"/>
        <v>62929</v>
      </c>
      <c r="AG350" s="74">
        <f t="shared" si="31"/>
        <v>3.5</v>
      </c>
      <c r="AH350" s="41" t="str">
        <f>IF($C350="","",$B350&amp;"|"&amp;(COUNTIFS($B$4:$B$1463,$B350,$AF$4:$AF$1463,"&gt;"&amp;$AF350)+COUNTIFS($B$4:$B350,$B350,$AF$4:$AF350,"="&amp;$AF350)))</f>
        <v>VENDETTA|6</v>
      </c>
      <c r="AI350" s="41" t="str">
        <f>IF($C350="","",$B350&amp;"|"&amp;(COUNTIFS($B$4:$B$1463,$B350,$AG$4:$AG$1463,"&gt;"&amp;$AG350)+COUNTIFS($B$4:$B350,$B350,$AG$4:$AG350,"="&amp;$AG350)))</f>
        <v>VENDETTA|54</v>
      </c>
    </row>
    <row r="351" spans="1:35" hidden="1">
      <c r="A351" s="69" t="s">
        <v>109</v>
      </c>
      <c r="B351" s="69" t="s">
        <v>111</v>
      </c>
      <c r="C351" s="63" t="s">
        <v>1175</v>
      </c>
      <c r="D351" s="69" t="s">
        <v>527</v>
      </c>
      <c r="E351" s="68" t="s">
        <v>71</v>
      </c>
      <c r="F351" s="19" t="str">
        <f>IF($C351="","",IF($E351="","-",IFERROR(INDEX(SETUP!$B$55:$B$64,MATCH($E351,SETUP!$A$55:$A$64,0)),"Other")))</f>
        <v>Frontline</v>
      </c>
      <c r="G351" s="70">
        <v>63525</v>
      </c>
      <c r="H351" s="19" t="str">
        <f>IF($C351="","",IF($G351="","-",INDEX(SETUP!$B$26:$B$32,MATCH($G351,SETUP!$A$26:$A$32,1))))</f>
        <v>63,000 - 63,999</v>
      </c>
      <c r="I351" s="70">
        <v>4771</v>
      </c>
      <c r="J351" s="19" t="str">
        <f>IF($C351="","",IF($I351="","-",INDEX(SETUP!$B$16:$B$22,MATCH($I351,SETUP!$A$16:$A$22,1))))</f>
        <v>CORE</v>
      </c>
      <c r="K351" s="19" t="str">
        <f>IF($C351="","",IF($I351="","-",TEXT(INT($I351/1000)*1000,"#,##0")&amp;" - "&amp;TEXT(INT($I351/1000)*1000+999,"#,##0")))</f>
        <v>4,000 - 4,999</v>
      </c>
      <c r="L351" s="71">
        <v>5</v>
      </c>
      <c r="M351" s="19" t="str">
        <f>IF($C351="","",IF($L351="","-",INDEX(SETUP!$B$36:$B$42,MATCH($L351,SETUP!$A$36:$A$42,1))))</f>
        <v>5k - 6k</v>
      </c>
      <c r="N351" s="21">
        <f>IF($C351="","",IF(OR($G351="",$I351=""),"",ROUND(100*(SETUP!$B$4*MIN(1,$I351/SETUP!$B$9)+SETUP!$B$5*MAX(0,MIN(1,($G351-SETUP!$B$10)/(SETUP!$B$11-SETUP!$B$10)))+SETUP!$B$6*MIN(1,IF($L351="",0,$L351)/SETUP!$B$12)),1)))</f>
        <v>51.6</v>
      </c>
      <c r="O351" s="19" t="str">
        <f>IF($C351="","",IF($N351="","-",INDEX(SETUP!$B$46:$B$51,MATCH($N351,SETUP!$A$46:$A$51,1))))</f>
        <v>A</v>
      </c>
      <c r="P351" s="19">
        <f>IF($C351="","",IF($I351="","",RANK($I351,$I$4:$I$1463)+COUNTIF($I$4:$I351,$I351)-1))</f>
        <v>442</v>
      </c>
      <c r="Q351" s="19">
        <f>IF($C351="","",COUNTIFS($B$4:$B$1463,$B351,$X$4:$X$1463,"&gt;"&amp;$X351)+COUNTIFS($B$4:$B351,$B351,$X$4:$X351,"="&amp;$X351))</f>
        <v>51</v>
      </c>
      <c r="R351" s="75">
        <f>IF($C351="","",IF($I351="","",ROUND(COUNTIF($I$4:$I$1463,"&lt;"&amp;$I351)/COUNT($I$4:$I$1463),3)))</f>
        <v>0.66600000000000004</v>
      </c>
      <c r="S351" s="19" t="str">
        <f>IF($C351="","",IF($G351="","Name only",IF(OR($I351="",$L351=""),"Partial","Complete")))</f>
        <v>Complete</v>
      </c>
      <c r="T351" s="1" t="str">
        <f>IF($C351="","",TRIM(IF(COUNTIF($C$4:$C$1463,$C351)&gt;1,"Dup name; ","")&amp;IF(AND($G351&lt;&gt;"",$G351&lt;55000),"Low CR - verify; ","")&amp;IF(AND($L351&lt;&gt;"",$L351&gt;15),"Secondary - verify; ","")&amp;IF($E351="","No class; ","")))</f>
        <v/>
      </c>
      <c r="U351" s="68"/>
      <c r="V351" s="68"/>
      <c r="W351" s="68"/>
      <c r="X351" s="76">
        <f t="shared" si="27"/>
        <v>4771</v>
      </c>
      <c r="Y351" s="1" t="str">
        <f t="shared" si="28"/>
        <v>RECKONING|51</v>
      </c>
      <c r="Z351" s="19">
        <f>IF($C351="","",IF($G351="","",RANK($G351,$G$4:$G$1463)+COUNTIF($G$4:$G351,$G351)-1))</f>
        <v>183</v>
      </c>
      <c r="AA351" s="19">
        <f>IF($C351="","",IF($N351="","",RANK($N351,$N$4:$N$1463)+COUNTIF($N$4:$N351,$N351)-1))</f>
        <v>400</v>
      </c>
      <c r="AB351" s="1" t="str">
        <f>IF($C351="","",IF($E351="","",$E351&amp;"#"&amp;(COUNTIFS($E$4:$E$1463,$E351,$X$4:$X$1463,"&gt;"&amp;$X351)+COUNTIFS($E$4:$E351,$E351,$X$4:$X351,"="&amp;$X351))))</f>
        <v>BARBARIAN#87</v>
      </c>
      <c r="AC351" s="1" t="str">
        <f>IF($C351="","",$B351&amp;"@"&amp;(COUNTIFS($B$4:$B$1463,$B351,$C$4:$C$1463,"&lt;"&amp;$C351)+COUNTIFS($B$4:$B351,$B351,$C$4:$C351,$C351)))</f>
        <v>RECKONING@23</v>
      </c>
      <c r="AD351" s="1">
        <f t="shared" si="29"/>
        <v>348</v>
      </c>
      <c r="AE351" s="1" t="s">
        <v>790</v>
      </c>
      <c r="AF351" s="76">
        <f t="shared" si="30"/>
        <v>63525</v>
      </c>
      <c r="AG351" s="77">
        <f t="shared" si="31"/>
        <v>5</v>
      </c>
      <c r="AH351" s="1" t="str">
        <f>IF($C351="","",$B351&amp;"|"&amp;(COUNTIFS($B$4:$B$1463,$B351,$AF$4:$AF$1463,"&gt;"&amp;$AF351)+COUNTIFS($B$4:$B351,$B351,$AF$4:$AF351,"="&amp;$AF351)))</f>
        <v>RECKONING|21</v>
      </c>
      <c r="AI351" s="1" t="str">
        <f>IF($C351="","",$B351&amp;"|"&amp;(COUNTIFS($B$4:$B$1463,$B351,$AG$4:$AG$1463,"&gt;"&amp;$AG351)+COUNTIFS($B$4:$B351,$B351,$AG$4:$AG351,"="&amp;$AG351)))</f>
        <v>RECKONING|64</v>
      </c>
    </row>
    <row r="352" spans="1:35" hidden="1">
      <c r="A352" s="69" t="s">
        <v>109</v>
      </c>
      <c r="B352" s="69" t="s">
        <v>114</v>
      </c>
      <c r="C352" s="63" t="s">
        <v>1176</v>
      </c>
      <c r="D352" s="69"/>
      <c r="E352" s="68" t="s">
        <v>75</v>
      </c>
      <c r="F352" s="15" t="str">
        <f>IF($C352="","",IF($E352="","-",IFERROR(INDEX(SETUP!$B$55:$B$64,MATCH($E352,SETUP!$A$55:$A$64,0)),"Other")))</f>
        <v>Support</v>
      </c>
      <c r="G352" s="70">
        <v>58984</v>
      </c>
      <c r="H352" s="15" t="str">
        <f>IF($C352="","",IF($G352="","-",INDEX(SETUP!$B$26:$B$32,MATCH($G352,SETUP!$A$26:$A$32,1))))</f>
        <v>58,000 - 59,999</v>
      </c>
      <c r="I352" s="70">
        <v>1020</v>
      </c>
      <c r="J352" s="15" t="str">
        <f>IF($C352="","",IF($I352="","-",INDEX(SETUP!$B$16:$B$22,MATCH($I352,SETUP!$A$16:$A$22,1))))</f>
        <v>ROOKIE</v>
      </c>
      <c r="K352" s="15" t="str">
        <f>IF($C352="","",IF($I352="","-",TEXT(INT($I352/1000)*1000,"#,##0")&amp;" - "&amp;TEXT(INT($I352/1000)*1000+999,"#,##0")))</f>
        <v>1,000 - 1,999</v>
      </c>
      <c r="L352" s="71">
        <v>3.05</v>
      </c>
      <c r="M352" s="15" t="str">
        <f>IF($C352="","",IF($L352="","-",INDEX(SETUP!$B$36:$B$42,MATCH($L352,SETUP!$A$36:$A$42,1))))</f>
        <v>3k - 4k</v>
      </c>
      <c r="N352" s="17">
        <f>IF($C352="","",IF(OR($G352="",$I352=""),"",ROUND(100*(SETUP!$B$4*MIN(1,$I352/SETUP!$B$9)+SETUP!$B$5*MAX(0,MIN(1,($G352-SETUP!$B$10)/(SETUP!$B$11-SETUP!$B$10)))+SETUP!$B$6*MIN(1,IF($L352="",0,$L352)/SETUP!$B$12)),1)))</f>
        <v>20</v>
      </c>
      <c r="O352" s="15" t="str">
        <f>IF($C352="","",IF($N352="","-",INDEX(SETUP!$B$46:$B$51,MATCH($N352,SETUP!$A$46:$A$51,1))))</f>
        <v>C</v>
      </c>
      <c r="P352" s="15">
        <f>IF($C352="","",IF($I352="","",RANK($I352,$I$4:$I$1463)+COUNTIF($I$4:$I352,$I352)-1))</f>
        <v>1271</v>
      </c>
      <c r="Q352" s="15">
        <f>IF($C352="","",COUNTIFS($B$4:$B$1463,$B352,$X$4:$X$1463,"&gt;"&amp;$X352)+COUNTIFS($B$4:$B352,$B352,$X$4:$X352,"="&amp;$X352))</f>
        <v>83</v>
      </c>
      <c r="R352" s="72">
        <f>IF($C352="","",IF($I352="","",ROUND(COUNTIF($I$4:$I$1463,"&lt;"&amp;$I352)/COUNT($I$4:$I$1463),3)))</f>
        <v>4.1000000000000002E-2</v>
      </c>
      <c r="S352" s="15" t="str">
        <f>IF($C352="","",IF($G352="","Name only",IF(OR($I352="",$L352=""),"Partial","Complete")))</f>
        <v>Complete</v>
      </c>
      <c r="T352" s="41" t="str">
        <f>IF($C352="","",TRIM(IF(COUNTIF($C$4:$C$1463,$C352)&gt;1,"Dup name; ","")&amp;IF(AND($G352&lt;&gt;"",$G352&lt;55000),"Low CR - verify; ","")&amp;IF(AND($L352&lt;&gt;"",$L352&gt;15),"Secondary - verify; ","")&amp;IF($E352="","No class; ","")))</f>
        <v/>
      </c>
      <c r="U352" s="68"/>
      <c r="V352" s="68"/>
      <c r="W352" s="68"/>
      <c r="X352" s="73">
        <f t="shared" si="27"/>
        <v>1020</v>
      </c>
      <c r="Y352" s="41" t="str">
        <f t="shared" si="28"/>
        <v>EMERALD LEAF TRIBE|83</v>
      </c>
      <c r="Z352" s="15">
        <f>IF($C352="","",IF($G352="","",RANK($G352,$G$4:$G$1463)+COUNTIF($G$4:$G352,$G352)-1))</f>
        <v>1279</v>
      </c>
      <c r="AA352" s="15">
        <f>IF($C352="","",IF($N352="","",RANK($N352,$N$4:$N$1463)+COUNTIF($N$4:$N352,$N352)-1))</f>
        <v>1292</v>
      </c>
      <c r="AB352" s="41" t="str">
        <f>IF($C352="","",IF($E352="","",$E352&amp;"#"&amp;(COUNTIFS($E$4:$E$1463,$E352,$X$4:$X$1463,"&gt;"&amp;$X352)+COUNTIFS($E$4:$E352,$E352,$X$4:$X352,"="&amp;$X352))))</f>
        <v>DRUID#66</v>
      </c>
      <c r="AC352" s="41" t="str">
        <f>IF($C352="","",$B352&amp;"@"&amp;(COUNTIFS($B$4:$B$1463,$B352,$C$4:$C$1463,"&lt;"&amp;$C352)+COUNTIFS($B$4:$B352,$B352,$C$4:$C352,$C352)))</f>
        <v>EMERALD LEAF TRIBE@28</v>
      </c>
      <c r="AD352" s="41">
        <f t="shared" si="29"/>
        <v>349</v>
      </c>
      <c r="AE352" s="41" t="s">
        <v>1177</v>
      </c>
      <c r="AF352" s="73">
        <f t="shared" si="30"/>
        <v>58984</v>
      </c>
      <c r="AG352" s="74">
        <f t="shared" si="31"/>
        <v>3.05</v>
      </c>
      <c r="AH352" s="41" t="str">
        <f>IF($C352="","",$B352&amp;"|"&amp;(COUNTIFS($B$4:$B$1463,$B352,$AF$4:$AF$1463,"&gt;"&amp;$AF352)+COUNTIFS($B$4:$B352,$B352,$AF$4:$AF352,"="&amp;$AF352)))</f>
        <v>EMERALD LEAF TRIBE|83</v>
      </c>
      <c r="AI352" s="41" t="str">
        <f>IF($C352="","",$B352&amp;"|"&amp;(COUNTIFS($B$4:$B$1463,$B352,$AG$4:$AG$1463,"&gt;"&amp;$AG352)+COUNTIFS($B$4:$B352,$B352,$AG$4:$AG352,"="&amp;$AG352)))</f>
        <v>EMERALD LEAF TRIBE|76</v>
      </c>
    </row>
    <row r="353" spans="1:35" hidden="1">
      <c r="A353" s="69" t="s">
        <v>109</v>
      </c>
      <c r="B353" s="69" t="s">
        <v>108</v>
      </c>
      <c r="C353" s="63" t="s">
        <v>1178</v>
      </c>
      <c r="D353" s="69"/>
      <c r="E353" s="68" t="s">
        <v>71</v>
      </c>
      <c r="F353" s="19" t="str">
        <f>IF($C353="","",IF($E353="","-",IFERROR(INDEX(SETUP!$B$55:$B$64,MATCH($E353,SETUP!$A$55:$A$64,0)),"Other")))</f>
        <v>Frontline</v>
      </c>
      <c r="G353" s="70">
        <v>63256</v>
      </c>
      <c r="H353" s="19" t="str">
        <f>IF($C353="","",IF($G353="","-",INDEX(SETUP!$B$26:$B$32,MATCH($G353,SETUP!$A$26:$A$32,1))))</f>
        <v>63,000 - 63,999</v>
      </c>
      <c r="I353" s="70">
        <v>4408</v>
      </c>
      <c r="J353" s="19" t="str">
        <f>IF($C353="","",IF($I353="","-",INDEX(SETUP!$B$16:$B$22,MATCH($I353,SETUP!$A$16:$A$22,1))))</f>
        <v>CORE</v>
      </c>
      <c r="K353" s="19" t="str">
        <f>IF($C353="","",IF($I353="","-",TEXT(INT($I353/1000)*1000,"#,##0")&amp;" - "&amp;TEXT(INT($I353/1000)*1000+999,"#,##0")))</f>
        <v>4,000 - 4,999</v>
      </c>
      <c r="L353" s="71">
        <v>4.3</v>
      </c>
      <c r="M353" s="19" t="str">
        <f>IF($C353="","",IF($L353="","-",INDEX(SETUP!$B$36:$B$42,MATCH($L353,SETUP!$A$36:$A$42,1))))</f>
        <v>4k - 5k</v>
      </c>
      <c r="N353" s="21">
        <f>IF($C353="","",IF(OR($G353="",$I353=""),"",ROUND(100*(SETUP!$B$4*MIN(1,$I353/SETUP!$B$9)+SETUP!$B$5*MAX(0,MIN(1,($G353-SETUP!$B$10)/(SETUP!$B$11-SETUP!$B$10)))+SETUP!$B$6*MIN(1,IF($L353="",0,$L353)/SETUP!$B$12)),1)))</f>
        <v>48.1</v>
      </c>
      <c r="O353" s="19" t="str">
        <f>IF($C353="","",IF($N353="","-",INDEX(SETUP!$B$46:$B$51,MATCH($N353,SETUP!$A$46:$A$51,1))))</f>
        <v>B</v>
      </c>
      <c r="P353" s="19">
        <f>IF($C353="","",IF($I353="","",RANK($I353,$I$4:$I$1463)+COUNTIF($I$4:$I353,$I353)-1))</f>
        <v>512</v>
      </c>
      <c r="Q353" s="19">
        <f>IF($C353="","",COUNTIFS($B$4:$B$1463,$B353,$X$4:$X$1463,"&gt;"&amp;$X353)+COUNTIFS($B$4:$B353,$B353,$X$4:$X353,"="&amp;$X353))</f>
        <v>64</v>
      </c>
      <c r="R353" s="75">
        <f>IF($C353="","",IF($I353="","",ROUND(COUNTIF($I$4:$I$1463,"&lt;"&amp;$I353)/COUNT($I$4:$I$1463),3)))</f>
        <v>0.61299999999999999</v>
      </c>
      <c r="S353" s="19" t="str">
        <f>IF($C353="","",IF($G353="","Name only",IF(OR($I353="",$L353=""),"Partial","Complete")))</f>
        <v>Complete</v>
      </c>
      <c r="T353" s="1" t="str">
        <f>IF($C353="","",TRIM(IF(COUNTIF($C$4:$C$1463,$C353)&gt;1,"Dup name; ","")&amp;IF(AND($G353&lt;&gt;"",$G353&lt;55000),"Low CR - verify; ","")&amp;IF(AND($L353&lt;&gt;"",$L353&gt;15),"Secondary - verify; ","")&amp;IF($E353="","No class; ","")))</f>
        <v/>
      </c>
      <c r="U353" s="68"/>
      <c r="V353" s="68"/>
      <c r="W353" s="68"/>
      <c r="X353" s="76">
        <f t="shared" si="27"/>
        <v>4408</v>
      </c>
      <c r="Y353" s="1" t="str">
        <f t="shared" si="28"/>
        <v>SBG|64</v>
      </c>
      <c r="Z353" s="19">
        <f>IF($C353="","",IF($G353="","",RANK($G353,$G$4:$G$1463)+COUNTIF($G$4:$G353,$G353)-1))</f>
        <v>286</v>
      </c>
      <c r="AA353" s="19">
        <f>IF($C353="","",IF($N353="","",RANK($N353,$N$4:$N$1463)+COUNTIF($N$4:$N353,$N353)-1))</f>
        <v>514</v>
      </c>
      <c r="AB353" s="1" t="str">
        <f>IF($C353="","",IF($E353="","",$E353&amp;"#"&amp;(COUNTIFS($E$4:$E$1463,$E353,$X$4:$X$1463,"&gt;"&amp;$X353)+COUNTIFS($E$4:$E353,$E353,$X$4:$X353,"="&amp;$X353))))</f>
        <v>BARBARIAN#98</v>
      </c>
      <c r="AC353" s="1" t="str">
        <f>IF($C353="","",$B353&amp;"@"&amp;(COUNTIFS($B$4:$B$1463,$B353,$C$4:$C$1463,"&lt;"&amp;$C353)+COUNTIFS($B$4:$B353,$B353,$C$4:$C353,$C353)))</f>
        <v>SBG@19</v>
      </c>
      <c r="AD353" s="1">
        <f t="shared" si="29"/>
        <v>350</v>
      </c>
      <c r="AE353" s="1" t="s">
        <v>956</v>
      </c>
      <c r="AF353" s="76">
        <f t="shared" si="30"/>
        <v>63256</v>
      </c>
      <c r="AG353" s="77">
        <f t="shared" si="31"/>
        <v>4.3</v>
      </c>
      <c r="AH353" s="1" t="str">
        <f>IF($C353="","",$B353&amp;"|"&amp;(COUNTIFS($B$4:$B$1463,$B353,$AF$4:$AF$1463,"&gt;"&amp;$AF353)+COUNTIFS($B$4:$B353,$B353,$AF$4:$AF353,"="&amp;$AF353)))</f>
        <v>SBG|35</v>
      </c>
      <c r="AI353" s="1" t="str">
        <f>IF($C353="","",$B353&amp;"|"&amp;(COUNTIFS($B$4:$B$1463,$B353,$AG$4:$AG$1463,"&gt;"&amp;$AG353)+COUNTIFS($B$4:$B353,$B353,$AG$4:$AG353,"="&amp;$AG353)))</f>
        <v>SBG|87</v>
      </c>
    </row>
    <row r="354" spans="1:35" hidden="1">
      <c r="A354" s="69" t="s">
        <v>106</v>
      </c>
      <c r="B354" s="69" t="s">
        <v>86</v>
      </c>
      <c r="C354" s="63" t="s">
        <v>1179</v>
      </c>
      <c r="D354" s="69"/>
      <c r="E354" s="68" t="s">
        <v>74</v>
      </c>
      <c r="F354" s="15" t="str">
        <f>IF($C354="","",IF($E354="","-",IFERROR(INDEX(SETUP!$B$55:$B$64,MATCH($E354,SETUP!$A$55:$A$64,0)),"Other")))</f>
        <v>Ranged DPS</v>
      </c>
      <c r="G354" s="70">
        <v>63126</v>
      </c>
      <c r="H354" s="15" t="str">
        <f>IF($C354="","",IF($G354="","-",INDEX(SETUP!$B$26:$B$32,MATCH($G354,SETUP!$A$26:$A$32,1))))</f>
        <v>63,000 - 63,999</v>
      </c>
      <c r="I354" s="70">
        <v>8353</v>
      </c>
      <c r="J354" s="15" t="str">
        <f>IF($C354="","",IF($I354="","-",INDEX(SETUP!$B$16:$B$22,MATCH($I354,SETUP!$A$16:$A$22,1))))</f>
        <v>ELITE</v>
      </c>
      <c r="K354" s="15" t="str">
        <f>IF($C354="","",IF($I354="","-",TEXT(INT($I354/1000)*1000,"#,##0")&amp;" - "&amp;TEXT(INT($I354/1000)*1000+999,"#,##0")))</f>
        <v>8,000 - 8,999</v>
      </c>
      <c r="L354" s="71">
        <v>5.13</v>
      </c>
      <c r="M354" s="15" t="str">
        <f>IF($C354="","",IF($L354="","-",INDEX(SETUP!$B$36:$B$42,MATCH($L354,SETUP!$A$36:$A$42,1))))</f>
        <v>5k - 6k</v>
      </c>
      <c r="N354" s="17">
        <f>IF($C354="","",IF(OR($G354="",$I354=""),"",ROUND(100*(SETUP!$B$4*MIN(1,$I354/SETUP!$B$9)+SETUP!$B$5*MAX(0,MIN(1,($G354-SETUP!$B$10)/(SETUP!$B$11-SETUP!$B$10)))+SETUP!$B$6*MIN(1,IF($L354="",0,$L354)/SETUP!$B$12)),1)))</f>
        <v>66.400000000000006</v>
      </c>
      <c r="O354" s="15" t="str">
        <f>IF($C354="","",IF($N354="","-",INDEX(SETUP!$B$46:$B$51,MATCH($N354,SETUP!$A$46:$A$51,1))))</f>
        <v>S</v>
      </c>
      <c r="P354" s="15">
        <f>IF($C354="","",IF($I354="","",RANK($I354,$I$4:$I$1463)+COUNTIF($I$4:$I354,$I354)-1))</f>
        <v>128</v>
      </c>
      <c r="Q354" s="15">
        <f>IF($C354="","",COUNTIFS($B$4:$B$1463,$B354,$X$4:$X$1463,"&gt;"&amp;$X354)+COUNTIFS($B$4:$B354,$B354,$X$4:$X354,"="&amp;$X354))</f>
        <v>30</v>
      </c>
      <c r="R354" s="72">
        <f>IF($C354="","",IF($I354="","",ROUND(COUNTIF($I$4:$I$1463,"&lt;"&amp;$I354)/COUNT($I$4:$I$1463),3)))</f>
        <v>0.90300000000000002</v>
      </c>
      <c r="S354" s="15" t="str">
        <f>IF($C354="","",IF($G354="","Name only",IF(OR($I354="",$L354=""),"Partial","Complete")))</f>
        <v>Complete</v>
      </c>
      <c r="T354" s="41" t="str">
        <f>IF($C354="","",TRIM(IF(COUNTIF($C$4:$C$1463,$C354)&gt;1,"Dup name; ","")&amp;IF(AND($G354&lt;&gt;"",$G354&lt;55000),"Low CR - verify; ","")&amp;IF(AND($L354&lt;&gt;"",$L354&gt;15),"Secondary - verify; ","")&amp;IF($E354="","No class; ","")))</f>
        <v/>
      </c>
      <c r="U354" s="68"/>
      <c r="V354" s="68"/>
      <c r="W354" s="68"/>
      <c r="X354" s="73">
        <f t="shared" si="27"/>
        <v>8353</v>
      </c>
      <c r="Y354" s="41" t="str">
        <f t="shared" si="28"/>
        <v>VANGUARD|30</v>
      </c>
      <c r="Z354" s="15">
        <f>IF($C354="","",IF($G354="","",RANK($G354,$G$4:$G$1463)+COUNTIF($G$4:$G354,$G354)-1))</f>
        <v>359</v>
      </c>
      <c r="AA354" s="15">
        <f>IF($C354="","",IF($N354="","",RANK($N354,$N$4:$N$1463)+COUNTIF($N$4:$N354,$N354)-1))</f>
        <v>163</v>
      </c>
      <c r="AB354" s="41" t="str">
        <f>IF($C354="","",IF($E354="","",$E354&amp;"#"&amp;(COUNTIFS($E$4:$E$1463,$E354,$X$4:$X$1463,"&gt;"&amp;$X354)+COUNTIFS($E$4:$E354,$E354,$X$4:$X354,"="&amp;$X354))))</f>
        <v>DEMON HUNTER#24</v>
      </c>
      <c r="AC354" s="41" t="str">
        <f>IF($C354="","",$B354&amp;"@"&amp;(COUNTIFS($B$4:$B$1463,$B354,$C$4:$C$1463,"&lt;"&amp;$C354)+COUNTIFS($B$4:$B354,$B354,$C$4:$C354,$C354)))</f>
        <v>VANGUARD@32</v>
      </c>
      <c r="AD354" s="41">
        <f t="shared" si="29"/>
        <v>351</v>
      </c>
      <c r="AE354" s="41" t="s">
        <v>1180</v>
      </c>
      <c r="AF354" s="73">
        <f t="shared" si="30"/>
        <v>63126</v>
      </c>
      <c r="AG354" s="74">
        <f t="shared" si="31"/>
        <v>5.13</v>
      </c>
      <c r="AH354" s="41" t="str">
        <f>IF($C354="","",$B354&amp;"|"&amp;(COUNTIFS($B$4:$B$1463,$B354,$AF$4:$AF$1463,"&gt;"&amp;$AF354)+COUNTIFS($B$4:$B354,$B354,$AF$4:$AF354,"="&amp;$AF354)))</f>
        <v>VANGUARD|58</v>
      </c>
      <c r="AI354" s="41" t="str">
        <f>IF($C354="","",$B354&amp;"|"&amp;(COUNTIFS($B$4:$B$1463,$B354,$AG$4:$AG$1463,"&gt;"&amp;$AG354)+COUNTIFS($B$4:$B354,$B354,$AG$4:$AG354,"="&amp;$AG354)))</f>
        <v>VANGUARD|64</v>
      </c>
    </row>
    <row r="355" spans="1:35" hidden="1">
      <c r="A355" s="69" t="s">
        <v>109</v>
      </c>
      <c r="B355" s="69" t="s">
        <v>110</v>
      </c>
      <c r="C355" s="63" t="s">
        <v>1181</v>
      </c>
      <c r="D355" s="69" t="s">
        <v>1182</v>
      </c>
      <c r="E355" s="68" t="s">
        <v>77</v>
      </c>
      <c r="F355" s="19" t="str">
        <f>IF($C355="","",IF($E355="","-",IFERROR(INDEX(SETUP!$B$55:$B$64,MATCH($E355,SETUP!$A$55:$A$64,0)),"Other")))</f>
        <v>Control</v>
      </c>
      <c r="G355" s="70">
        <v>62639</v>
      </c>
      <c r="H355" s="19" t="str">
        <f>IF($C355="","",IF($G355="","-",INDEX(SETUP!$B$26:$B$32,MATCH($G355,SETUP!$A$26:$A$32,1))))</f>
        <v>62,000 - 62,999</v>
      </c>
      <c r="I355" s="70">
        <v>3500</v>
      </c>
      <c r="J355" s="19" t="str">
        <f>IF($C355="","",IF($I355="","-",INDEX(SETUP!$B$16:$B$22,MATCH($I355,SETUP!$A$16:$A$22,1))))</f>
        <v>DEVELOPING</v>
      </c>
      <c r="K355" s="19" t="str">
        <f>IF($C355="","",IF($I355="","-",TEXT(INT($I355/1000)*1000,"#,##0")&amp;" - "&amp;TEXT(INT($I355/1000)*1000+999,"#,##0")))</f>
        <v>3,000 - 3,999</v>
      </c>
      <c r="L355" s="71">
        <v>4.5</v>
      </c>
      <c r="M355" s="19" t="str">
        <f>IF($C355="","",IF($L355="","-",INDEX(SETUP!$B$36:$B$42,MATCH($L355,SETUP!$A$36:$A$42,1))))</f>
        <v>4k - 5k</v>
      </c>
      <c r="N355" s="21">
        <f>IF($C355="","",IF(OR($G355="",$I355=""),"",ROUND(100*(SETUP!$B$4*MIN(1,$I355/SETUP!$B$9)+SETUP!$B$5*MAX(0,MIN(1,($G355-SETUP!$B$10)/(SETUP!$B$11-SETUP!$B$10)))+SETUP!$B$6*MIN(1,IF($L355="",0,$L355)/SETUP!$B$12)),1)))</f>
        <v>42.9</v>
      </c>
      <c r="O355" s="19" t="str">
        <f>IF($C355="","",IF($N355="","-",INDEX(SETUP!$B$46:$B$51,MATCH($N355,SETUP!$A$46:$A$51,1))))</f>
        <v>B</v>
      </c>
      <c r="P355" s="19">
        <f>IF($C355="","",IF($I355="","",RANK($I355,$I$4:$I$1463)+COUNTIF($I$4:$I355,$I355)-1))</f>
        <v>729</v>
      </c>
      <c r="Q355" s="19">
        <f>IF($C355="","",COUNTIFS($B$4:$B$1463,$B355,$X$4:$X$1463,"&gt;"&amp;$X355)+COUNTIFS($B$4:$B355,$B355,$X$4:$X355,"="&amp;$X355))</f>
        <v>75</v>
      </c>
      <c r="R355" s="75">
        <f>IF($C355="","",IF($I355="","",ROUND(COUNTIF($I$4:$I$1463,"&lt;"&amp;$I355)/COUNT($I$4:$I$1463),3)))</f>
        <v>0.44900000000000001</v>
      </c>
      <c r="S355" s="19" t="str">
        <f>IF($C355="","",IF($G355="","Name only",IF(OR($I355="",$L355=""),"Partial","Complete")))</f>
        <v>Complete</v>
      </c>
      <c r="T355" s="1" t="str">
        <f>IF($C355="","",TRIM(IF(COUNTIF($C$4:$C$1463,$C355)&gt;1,"Dup name; ","")&amp;IF(AND($G355&lt;&gt;"",$G355&lt;55000),"Low CR - verify; ","")&amp;IF(AND($L355&lt;&gt;"",$L355&gt;15),"Secondary - verify; ","")&amp;IF($E355="","No class; ","")))</f>
        <v/>
      </c>
      <c r="U355" s="68"/>
      <c r="V355" s="68"/>
      <c r="W355" s="68"/>
      <c r="X355" s="76">
        <f t="shared" si="27"/>
        <v>3500</v>
      </c>
      <c r="Y355" s="1" t="str">
        <f t="shared" si="28"/>
        <v>AZUKI|75</v>
      </c>
      <c r="Z355" s="19">
        <f>IF($C355="","",IF($G355="","",RANK($G355,$G$4:$G$1463)+COUNTIF($G$4:$G355,$G355)-1))</f>
        <v>592</v>
      </c>
      <c r="AA355" s="19">
        <f>IF($C355="","",IF($N355="","",RANK($N355,$N$4:$N$1463)+COUNTIF($N$4:$N355,$N355)-1))</f>
        <v>705</v>
      </c>
      <c r="AB355" s="1" t="str">
        <f>IF($C355="","",IF($E355="","",$E355&amp;"#"&amp;(COUNTIFS($E$4:$E$1463,$E355,$X$4:$X$1463,"&gt;"&amp;$X355)+COUNTIFS($E$4:$E355,$E355,$X$4:$X355,"="&amp;$X355))))</f>
        <v>NECROMANCER#38</v>
      </c>
      <c r="AC355" s="1" t="str">
        <f>IF($C355="","",$B355&amp;"@"&amp;(COUNTIFS($B$4:$B$1463,$B355,$C$4:$C$1463,"&lt;"&amp;$C355)+COUNTIFS($B$4:$B355,$B355,$C$4:$C355,$C355)))</f>
        <v>AZUKI@31</v>
      </c>
      <c r="AD355" s="1">
        <f t="shared" si="29"/>
        <v>352</v>
      </c>
      <c r="AE355" s="1" t="s">
        <v>528</v>
      </c>
      <c r="AF355" s="76">
        <f t="shared" si="30"/>
        <v>62639</v>
      </c>
      <c r="AG355" s="77">
        <f t="shared" si="31"/>
        <v>4.5</v>
      </c>
      <c r="AH355" s="1" t="str">
        <f>IF($C355="","",$B355&amp;"|"&amp;(COUNTIFS($B$4:$B$1463,$B355,$AF$4:$AF$1463,"&gt;"&amp;$AF355)+COUNTIFS($B$4:$B355,$B355,$AF$4:$AF355,"="&amp;$AF355)))</f>
        <v>AZUKI|53</v>
      </c>
      <c r="AI355" s="1" t="str">
        <f>IF($C355="","",$B355&amp;"|"&amp;(COUNTIFS($B$4:$B$1463,$B355,$AG$4:$AG$1463,"&gt;"&amp;$AG355)+COUNTIFS($B$4:$B355,$B355,$AG$4:$AG355,"="&amp;$AG355)))</f>
        <v>AZUKI|80</v>
      </c>
    </row>
    <row r="356" spans="1:35" hidden="1">
      <c r="A356" s="69" t="s">
        <v>109</v>
      </c>
      <c r="B356" s="69" t="s">
        <v>111</v>
      </c>
      <c r="C356" s="63" t="s">
        <v>1183</v>
      </c>
      <c r="D356" s="69" t="s">
        <v>527</v>
      </c>
      <c r="E356" s="68" t="s">
        <v>74</v>
      </c>
      <c r="F356" s="15" t="str">
        <f>IF($C356="","",IF($E356="","-",IFERROR(INDEX(SETUP!$B$55:$B$64,MATCH($E356,SETUP!$A$55:$A$64,0)),"Other")))</f>
        <v>Ranged DPS</v>
      </c>
      <c r="G356" s="70">
        <v>62977</v>
      </c>
      <c r="H356" s="15" t="str">
        <f>IF($C356="","",IF($G356="","-",INDEX(SETUP!$B$26:$B$32,MATCH($G356,SETUP!$A$26:$A$32,1))))</f>
        <v>62,000 - 62,999</v>
      </c>
      <c r="I356" s="70">
        <v>5045</v>
      </c>
      <c r="J356" s="15" t="str">
        <f>IF($C356="","",IF($I356="","-",INDEX(SETUP!$B$16:$B$22,MATCH($I356,SETUP!$A$16:$A$22,1))))</f>
        <v>CORE</v>
      </c>
      <c r="K356" s="15" t="str">
        <f>IF($C356="","",IF($I356="","-",TEXT(INT($I356/1000)*1000,"#,##0")&amp;" - "&amp;TEXT(INT($I356/1000)*1000+999,"#,##0")))</f>
        <v>5,000 - 5,999</v>
      </c>
      <c r="L356" s="71">
        <v>5.35</v>
      </c>
      <c r="M356" s="15" t="str">
        <f>IF($C356="","",IF($L356="","-",INDEX(SETUP!$B$36:$B$42,MATCH($L356,SETUP!$A$36:$A$42,1))))</f>
        <v>5k - 6k</v>
      </c>
      <c r="N356" s="17">
        <f>IF($C356="","",IF(OR($G356="",$I356=""),"",ROUND(100*(SETUP!$B$4*MIN(1,$I356/SETUP!$B$9)+SETUP!$B$5*MAX(0,MIN(1,($G356-SETUP!$B$10)/(SETUP!$B$11-SETUP!$B$10)))+SETUP!$B$6*MIN(1,IF($L356="",0,$L356)/SETUP!$B$12)),1)))</f>
        <v>51.9</v>
      </c>
      <c r="O356" s="15" t="str">
        <f>IF($C356="","",IF($N356="","-",INDEX(SETUP!$B$46:$B$51,MATCH($N356,SETUP!$A$46:$A$51,1))))</f>
        <v>A</v>
      </c>
      <c r="P356" s="15">
        <f>IF($C356="","",IF($I356="","",RANK($I356,$I$4:$I$1463)+COUNTIF($I$4:$I356,$I356)-1))</f>
        <v>408</v>
      </c>
      <c r="Q356" s="15">
        <f>IF($C356="","",COUNTIFS($B$4:$B$1463,$B356,$X$4:$X$1463,"&gt;"&amp;$X356)+COUNTIFS($B$4:$B356,$B356,$X$4:$X356,"="&amp;$X356))</f>
        <v>47</v>
      </c>
      <c r="R356" s="72">
        <f>IF($C356="","",IF($I356="","",ROUND(COUNTIF($I$4:$I$1463,"&lt;"&amp;$I356)/COUNT($I$4:$I$1463),3)))</f>
        <v>0.69199999999999995</v>
      </c>
      <c r="S356" s="15" t="str">
        <f>IF($C356="","",IF($G356="","Name only",IF(OR($I356="",$L356=""),"Partial","Complete")))</f>
        <v>Complete</v>
      </c>
      <c r="T356" s="41" t="str">
        <f>IF($C356="","",TRIM(IF(COUNTIF($C$4:$C$1463,$C356)&gt;1,"Dup name; ","")&amp;IF(AND($G356&lt;&gt;"",$G356&lt;55000),"Low CR - verify; ","")&amp;IF(AND($L356&lt;&gt;"",$L356&gt;15),"Secondary - verify; ","")&amp;IF($E356="","No class; ","")))</f>
        <v/>
      </c>
      <c r="U356" s="68"/>
      <c r="V356" s="68"/>
      <c r="W356" s="68"/>
      <c r="X356" s="73">
        <f t="shared" si="27"/>
        <v>5045</v>
      </c>
      <c r="Y356" s="41" t="str">
        <f t="shared" si="28"/>
        <v>RECKONING|47</v>
      </c>
      <c r="Z356" s="15">
        <f>IF($C356="","",IF($G356="","",RANK($G356,$G$4:$G$1463)+COUNTIF($G$4:$G356,$G356)-1))</f>
        <v>435</v>
      </c>
      <c r="AA356" s="15">
        <f>IF($C356="","",IF($N356="","",RANK($N356,$N$4:$N$1463)+COUNTIF($N$4:$N356,$N356)-1))</f>
        <v>396</v>
      </c>
      <c r="AB356" s="41" t="str">
        <f>IF($C356="","",IF($E356="","",$E356&amp;"#"&amp;(COUNTIFS($E$4:$E$1463,$E356,$X$4:$X$1463,"&gt;"&amp;$X356)+COUNTIFS($E$4:$E356,$E356,$X$4:$X356,"="&amp;$X356))))</f>
        <v>DEMON HUNTER#66</v>
      </c>
      <c r="AC356" s="41" t="str">
        <f>IF($C356="","",$B356&amp;"@"&amp;(COUNTIFS($B$4:$B$1463,$B356,$C$4:$C$1463,"&lt;"&amp;$C356)+COUNTIFS($B$4:$B356,$B356,$C$4:$C356,$C356)))</f>
        <v>RECKONING@24</v>
      </c>
      <c r="AD356" s="41">
        <f t="shared" si="29"/>
        <v>353</v>
      </c>
      <c r="AE356" s="41" t="s">
        <v>1184</v>
      </c>
      <c r="AF356" s="73">
        <f t="shared" si="30"/>
        <v>62977</v>
      </c>
      <c r="AG356" s="74">
        <f t="shared" si="31"/>
        <v>5.35</v>
      </c>
      <c r="AH356" s="41" t="str">
        <f>IF($C356="","",$B356&amp;"|"&amp;(COUNTIFS($B$4:$B$1463,$B356,$AF$4:$AF$1463,"&gt;"&amp;$AF356)+COUNTIFS($B$4:$B356,$B356,$AF$4:$AF356,"="&amp;$AF356)))</f>
        <v>RECKONING|42</v>
      </c>
      <c r="AI356" s="41" t="str">
        <f>IF($C356="","",$B356&amp;"|"&amp;(COUNTIFS($B$4:$B$1463,$B356,$AG$4:$AG$1463,"&gt;"&amp;$AG356)+COUNTIFS($B$4:$B356,$B356,$AG$4:$AG356,"="&amp;$AG356)))</f>
        <v>RECKONING|50</v>
      </c>
    </row>
    <row r="357" spans="1:35" hidden="1">
      <c r="A357" s="69" t="s">
        <v>109</v>
      </c>
      <c r="B357" s="69" t="s">
        <v>115</v>
      </c>
      <c r="C357" s="63" t="s">
        <v>1185</v>
      </c>
      <c r="D357" s="69"/>
      <c r="E357" s="68" t="s">
        <v>74</v>
      </c>
      <c r="F357" s="19" t="str">
        <f>IF($C357="","",IF($E357="","-",IFERROR(INDEX(SETUP!$B$55:$B$64,MATCH($E357,SETUP!$A$55:$A$64,0)),"Other")))</f>
        <v>Ranged DPS</v>
      </c>
      <c r="G357" s="70">
        <v>61587</v>
      </c>
      <c r="H357" s="19" t="str">
        <f>IF($C357="","",IF($G357="","-",INDEX(SETUP!$B$26:$B$32,MATCH($G357,SETUP!$A$26:$A$32,1))))</f>
        <v>61,000 - 61,999</v>
      </c>
      <c r="I357" s="70">
        <v>1842</v>
      </c>
      <c r="J357" s="19" t="str">
        <f>IF($C357="","",IF($I357="","-",INDEX(SETUP!$B$16:$B$22,MATCH($I357,SETUP!$A$16:$A$22,1))))</f>
        <v>ROOKIE</v>
      </c>
      <c r="K357" s="19" t="str">
        <f>IF($C357="","",IF($I357="","-",TEXT(INT($I357/1000)*1000,"#,##0")&amp;" - "&amp;TEXT(INT($I357/1000)*1000+999,"#,##0")))</f>
        <v>1,000 - 1,999</v>
      </c>
      <c r="L357" s="71">
        <v>4.5999999999999996</v>
      </c>
      <c r="M357" s="19" t="str">
        <f>IF($C357="","",IF($L357="","-",INDEX(SETUP!$B$36:$B$42,MATCH($L357,SETUP!$A$36:$A$42,1))))</f>
        <v>4k - 5k</v>
      </c>
      <c r="N357" s="21">
        <f>IF($C357="","",IF(OR($G357="",$I357=""),"",ROUND(100*(SETUP!$B$4*MIN(1,$I357/SETUP!$B$9)+SETUP!$B$5*MAX(0,MIN(1,($G357-SETUP!$B$10)/(SETUP!$B$11-SETUP!$B$10)))+SETUP!$B$6*MIN(1,IF($L357="",0,$L357)/SETUP!$B$12)),1)))</f>
        <v>33</v>
      </c>
      <c r="O357" s="19" t="str">
        <f>IF($C357="","",IF($N357="","-",INDEX(SETUP!$B$46:$B$51,MATCH($N357,SETUP!$A$46:$A$51,1))))</f>
        <v>C</v>
      </c>
      <c r="P357" s="19">
        <f>IF($C357="","",IF($I357="","",RANK($I357,$I$4:$I$1463)+COUNTIF($I$4:$I357,$I357)-1))</f>
        <v>1140</v>
      </c>
      <c r="Q357" s="19">
        <f>IF($C357="","",COUNTIFS($B$4:$B$1463,$B357,$X$4:$X$1463,"&gt;"&amp;$X357)+COUNTIFS($B$4:$B357,$B357,$X$4:$X357,"="&amp;$X357))</f>
        <v>49</v>
      </c>
      <c r="R357" s="75">
        <f>IF($C357="","",IF($I357="","",ROUND(COUNTIF($I$4:$I$1463,"&lt;"&amp;$I357)/COUNT($I$4:$I$1463),3)))</f>
        <v>0.14000000000000001</v>
      </c>
      <c r="S357" s="19" t="str">
        <f>IF($C357="","",IF($G357="","Name only",IF(OR($I357="",$L357=""),"Partial","Complete")))</f>
        <v>Complete</v>
      </c>
      <c r="T357" s="1" t="str">
        <f>IF($C357="","",TRIM(IF(COUNTIF($C$4:$C$1463,$C357)&gt;1,"Dup name; ","")&amp;IF(AND($G357&lt;&gt;"",$G357&lt;55000),"Low CR - verify; ","")&amp;IF(AND($L357&lt;&gt;"",$L357&gt;15),"Secondary - verify; ","")&amp;IF($E357="","No class; ","")))</f>
        <v/>
      </c>
      <c r="U357" s="68"/>
      <c r="V357" s="68"/>
      <c r="W357" s="68"/>
      <c r="X357" s="76">
        <f t="shared" si="27"/>
        <v>1842</v>
      </c>
      <c r="Y357" s="1" t="str">
        <f t="shared" si="28"/>
        <v>SUB ROSA|49</v>
      </c>
      <c r="Z357" s="19">
        <f>IF($C357="","",IF($G357="","",RANK($G357,$G$4:$G$1463)+COUNTIF($G$4:$G357,$G357)-1))</f>
        <v>981</v>
      </c>
      <c r="AA357" s="19">
        <f>IF($C357="","",IF($N357="","",RANK($N357,$N$4:$N$1463)+COUNTIF($N$4:$N357,$N357)-1))</f>
        <v>1065</v>
      </c>
      <c r="AB357" s="1" t="str">
        <f>IF($C357="","",IF($E357="","",$E357&amp;"#"&amp;(COUNTIFS($E$4:$E$1463,$E357,$X$4:$X$1463,"&gt;"&amp;$X357)+COUNTIFS($E$4:$E357,$E357,$X$4:$X357,"="&amp;$X357))))</f>
        <v>DEMON HUNTER#175</v>
      </c>
      <c r="AC357" s="1" t="str">
        <f>IF($C357="","",$B357&amp;"@"&amp;(COUNTIFS($B$4:$B$1463,$B357,$C$4:$C$1463,"&lt;"&amp;$C357)+COUNTIFS($B$4:$B357,$B357,$C$4:$C357,$C357)))</f>
        <v>SUB ROSA@21</v>
      </c>
      <c r="AD357" s="1">
        <f t="shared" si="29"/>
        <v>354</v>
      </c>
      <c r="AE357" s="1" t="s">
        <v>553</v>
      </c>
      <c r="AF357" s="76">
        <f t="shared" si="30"/>
        <v>61587</v>
      </c>
      <c r="AG357" s="77">
        <f t="shared" si="31"/>
        <v>4.5999999999999996</v>
      </c>
      <c r="AH357" s="1" t="str">
        <f>IF($C357="","",$B357&amp;"|"&amp;(COUNTIFS($B$4:$B$1463,$B357,$AF$4:$AF$1463,"&gt;"&amp;$AF357)+COUNTIFS($B$4:$B357,$B357,$AF$4:$AF357,"="&amp;$AF357)))</f>
        <v>SUB ROSA|41</v>
      </c>
      <c r="AI357" s="1" t="str">
        <f>IF($C357="","",$B357&amp;"|"&amp;(COUNTIFS($B$4:$B$1463,$B357,$AG$4:$AG$1463,"&gt;"&amp;$AG357)+COUNTIFS($B$4:$B357,$B357,$AG$4:$AG357,"="&amp;$AG357)))</f>
        <v>SUB ROSA|14</v>
      </c>
    </row>
    <row r="358" spans="1:35" hidden="1">
      <c r="A358" s="69" t="s">
        <v>109</v>
      </c>
      <c r="B358" s="69" t="s">
        <v>118</v>
      </c>
      <c r="C358" s="63" t="s">
        <v>1186</v>
      </c>
      <c r="D358" s="69"/>
      <c r="E358" s="68" t="s">
        <v>79</v>
      </c>
      <c r="F358" s="15" t="str">
        <f>IF($C358="","",IF($E358="","-",IFERROR(INDEX(SETUP!$B$55:$B$64,MATCH($E358,SETUP!$A$55:$A$64,0)),"Other")))</f>
        <v>Control</v>
      </c>
      <c r="G358" s="70">
        <v>61294</v>
      </c>
      <c r="H358" s="15" t="str">
        <f>IF($C358="","",IF($G358="","-",INDEX(SETUP!$B$26:$B$32,MATCH($G358,SETUP!$A$26:$A$32,1))))</f>
        <v>61,000 - 61,999</v>
      </c>
      <c r="I358" s="70">
        <v>1420</v>
      </c>
      <c r="J358" s="15" t="str">
        <f>IF($C358="","",IF($I358="","-",INDEX(SETUP!$B$16:$B$22,MATCH($I358,SETUP!$A$16:$A$22,1))))</f>
        <v>ROOKIE</v>
      </c>
      <c r="K358" s="15" t="str">
        <f>IF($C358="","",IF($I358="","-",TEXT(INT($I358/1000)*1000,"#,##0")&amp;" - "&amp;TEXT(INT($I358/1000)*1000+999,"#,##0")))</f>
        <v>1,000 - 1,999</v>
      </c>
      <c r="L358" s="71">
        <v>3.1</v>
      </c>
      <c r="M358" s="15" t="str">
        <f>IF($C358="","",IF($L358="","-",INDEX(SETUP!$B$36:$B$42,MATCH($L358,SETUP!$A$36:$A$42,1))))</f>
        <v>3k - 4k</v>
      </c>
      <c r="N358" s="17">
        <f>IF($C358="","",IF(OR($G358="",$I358=""),"",ROUND(100*(SETUP!$B$4*MIN(1,$I358/SETUP!$B$9)+SETUP!$B$5*MAX(0,MIN(1,($G358-SETUP!$B$10)/(SETUP!$B$11-SETUP!$B$10)))+SETUP!$B$6*MIN(1,IF($L358="",0,$L358)/SETUP!$B$12)),1)))</f>
        <v>27.9</v>
      </c>
      <c r="O358" s="15" t="str">
        <f>IF($C358="","",IF($N358="","-",INDEX(SETUP!$B$46:$B$51,MATCH($N358,SETUP!$A$46:$A$51,1))))</f>
        <v>C</v>
      </c>
      <c r="P358" s="15">
        <f>IF($C358="","",IF($I358="","",RANK($I358,$I$4:$I$1463)+COUNTIF($I$4:$I358,$I358)-1))</f>
        <v>1208</v>
      </c>
      <c r="Q358" s="15">
        <f>IF($C358="","",COUNTIFS($B$4:$B$1463,$B358,$X$4:$X$1463,"&gt;"&amp;$X358)+COUNTIFS($B$4:$B358,$B358,$X$4:$X358,"="&amp;$X358))</f>
        <v>62</v>
      </c>
      <c r="R358" s="72">
        <f>IF($C358="","",IF($I358="","",ROUND(COUNTIF($I$4:$I$1463,"&lt;"&amp;$I358)/COUNT($I$4:$I$1463),3)))</f>
        <v>8.7999999999999995E-2</v>
      </c>
      <c r="S358" s="15" t="str">
        <f>IF($C358="","",IF($G358="","Name only",IF(OR($I358="",$L358=""),"Partial","Complete")))</f>
        <v>Complete</v>
      </c>
      <c r="T358" s="41" t="str">
        <f>IF($C358="","",TRIM(IF(COUNTIF($C$4:$C$1463,$C358)&gt;1,"Dup name; ","")&amp;IF(AND($G358&lt;&gt;"",$G358&lt;55000),"Low CR - verify; ","")&amp;IF(AND($L358&lt;&gt;"",$L358&gt;15),"Secondary - verify; ","")&amp;IF($E358="","No class; ","")))</f>
        <v/>
      </c>
      <c r="U358" s="68"/>
      <c r="V358" s="68"/>
      <c r="W358" s="68"/>
      <c r="X358" s="73">
        <f t="shared" si="27"/>
        <v>1420</v>
      </c>
      <c r="Y358" s="41" t="str">
        <f t="shared" si="28"/>
        <v>ZOMBIES|62</v>
      </c>
      <c r="Z358" s="15">
        <f>IF($C358="","",IF($G358="","",RANK($G358,$G$4:$G$1463)+COUNTIF($G$4:$G358,$G358)-1))</f>
        <v>1063</v>
      </c>
      <c r="AA358" s="15">
        <f>IF($C358="","",IF($N358="","",RANK($N358,$N$4:$N$1463)+COUNTIF($N$4:$N358,$N358)-1))</f>
        <v>1193</v>
      </c>
      <c r="AB358" s="41" t="str">
        <f>IF($C358="","",IF($E358="","",$E358&amp;"#"&amp;(COUNTIFS($E$4:$E$1463,$E358,$X$4:$X$1463,"&gt;"&amp;$X358)+COUNTIFS($E$4:$E358,$E358,$X$4:$X358,"="&amp;$X358))))</f>
        <v>WARLOCK#300</v>
      </c>
      <c r="AC358" s="41" t="str">
        <f>IF($C358="","",$B358&amp;"@"&amp;(COUNTIFS($B$4:$B$1463,$B358,$C$4:$C$1463,"&lt;"&amp;$C358)+COUNTIFS($B$4:$B358,$B358,$C$4:$C358,$C358)))</f>
        <v>ZOMBIES@27</v>
      </c>
      <c r="AD358" s="41">
        <f t="shared" si="29"/>
        <v>355</v>
      </c>
      <c r="AE358" s="41" t="s">
        <v>1006</v>
      </c>
      <c r="AF358" s="73">
        <f t="shared" si="30"/>
        <v>61294</v>
      </c>
      <c r="AG358" s="74">
        <f t="shared" si="31"/>
        <v>3.1</v>
      </c>
      <c r="AH358" s="41" t="str">
        <f>IF($C358="","",$B358&amp;"|"&amp;(COUNTIFS($B$4:$B$1463,$B358,$AF$4:$AF$1463,"&gt;"&amp;$AF358)+COUNTIFS($B$4:$B358,$B358,$AF$4:$AF358,"="&amp;$AF358)))</f>
        <v>ZOMBIES|44</v>
      </c>
      <c r="AI358" s="41" t="str">
        <f>IF($C358="","",$B358&amp;"|"&amp;(COUNTIFS($B$4:$B$1463,$B358,$AG$4:$AG$1463,"&gt;"&amp;$AG358)+COUNTIFS($B$4:$B358,$B358,$AG$4:$AG358,"="&amp;$AG358)))</f>
        <v>ZOMBIES|65</v>
      </c>
    </row>
    <row r="359" spans="1:35" hidden="1">
      <c r="A359" s="69" t="s">
        <v>106</v>
      </c>
      <c r="B359" s="69" t="s">
        <v>86</v>
      </c>
      <c r="C359" s="63" t="s">
        <v>1187</v>
      </c>
      <c r="D359" s="69"/>
      <c r="E359" s="68" t="s">
        <v>80</v>
      </c>
      <c r="F359" s="19" t="str">
        <f>IF($C359="","",IF($E359="","-",IFERROR(INDEX(SETUP!$B$55:$B$64,MATCH($E359,SETUP!$A$55:$A$64,0)),"Other")))</f>
        <v>Ranged DPS</v>
      </c>
      <c r="G359" s="70">
        <v>62392</v>
      </c>
      <c r="H359" s="19" t="str">
        <f>IF($C359="","",IF($G359="","-",INDEX(SETUP!$B$26:$B$32,MATCH($G359,SETUP!$A$26:$A$32,1))))</f>
        <v>62,000 - 62,999</v>
      </c>
      <c r="I359" s="70">
        <v>4602</v>
      </c>
      <c r="J359" s="19" t="str">
        <f>IF($C359="","",IF($I359="","-",INDEX(SETUP!$B$16:$B$22,MATCH($I359,SETUP!$A$16:$A$22,1))))</f>
        <v>CORE</v>
      </c>
      <c r="K359" s="19" t="str">
        <f>IF($C359="","",IF($I359="","-",TEXT(INT($I359/1000)*1000,"#,##0")&amp;" - "&amp;TEXT(INT($I359/1000)*1000+999,"#,##0")))</f>
        <v>4,000 - 4,999</v>
      </c>
      <c r="L359" s="71">
        <v>5.5</v>
      </c>
      <c r="M359" s="19" t="str">
        <f>IF($C359="","",IF($L359="","-",INDEX(SETUP!$B$36:$B$42,MATCH($L359,SETUP!$A$36:$A$42,1))))</f>
        <v>5k - 6k</v>
      </c>
      <c r="N359" s="21">
        <f>IF($C359="","",IF(OR($G359="",$I359=""),"",ROUND(100*(SETUP!$B$4*MIN(1,$I359/SETUP!$B$9)+SETUP!$B$5*MAX(0,MIN(1,($G359-SETUP!$B$10)/(SETUP!$B$11-SETUP!$B$10)))+SETUP!$B$6*MIN(1,IF($L359="",0,$L359)/SETUP!$B$12)),1)))</f>
        <v>48.7</v>
      </c>
      <c r="O359" s="19" t="str">
        <f>IF($C359="","",IF($N359="","-",INDEX(SETUP!$B$46:$B$51,MATCH($N359,SETUP!$A$46:$A$51,1))))</f>
        <v>B</v>
      </c>
      <c r="P359" s="19">
        <f>IF($C359="","",IF($I359="","",RANK($I359,$I$4:$I$1463)+COUNTIF($I$4:$I359,$I359)-1))</f>
        <v>474</v>
      </c>
      <c r="Q359" s="19">
        <f>IF($C359="","",COUNTIFS($B$4:$B$1463,$B359,$X$4:$X$1463,"&gt;"&amp;$X359)+COUNTIFS($B$4:$B359,$B359,$X$4:$X359,"="&amp;$X359))</f>
        <v>70</v>
      </c>
      <c r="R359" s="75">
        <f>IF($C359="","",IF($I359="","",ROUND(COUNTIF($I$4:$I$1463,"&lt;"&amp;$I359)/COUNT($I$4:$I$1463),3)))</f>
        <v>0.64200000000000002</v>
      </c>
      <c r="S359" s="19" t="str">
        <f>IF($C359="","",IF($G359="","Name only",IF(OR($I359="",$L359=""),"Partial","Complete")))</f>
        <v>Complete</v>
      </c>
      <c r="T359" s="1" t="str">
        <f>IF($C359="","",TRIM(IF(COUNTIF($C$4:$C$1463,$C359)&gt;1,"Dup name; ","")&amp;IF(AND($G359&lt;&gt;"",$G359&lt;55000),"Low CR - verify; ","")&amp;IF(AND($L359&lt;&gt;"",$L359&gt;15),"Secondary - verify; ","")&amp;IF($E359="","No class; ","")))</f>
        <v/>
      </c>
      <c r="U359" s="68"/>
      <c r="V359" s="68"/>
      <c r="W359" s="68"/>
      <c r="X359" s="76">
        <f t="shared" si="27"/>
        <v>4602</v>
      </c>
      <c r="Y359" s="1" t="str">
        <f t="shared" si="28"/>
        <v>VANGUARD|70</v>
      </c>
      <c r="Z359" s="19">
        <f>IF($C359="","",IF($G359="","",RANK($G359,$G$4:$G$1463)+COUNTIF($G$4:$G359,$G359)-1))</f>
        <v>695</v>
      </c>
      <c r="AA359" s="19">
        <f>IF($C359="","",IF($N359="","",RANK($N359,$N$4:$N$1463)+COUNTIF($N$4:$N359,$N359)-1))</f>
        <v>493</v>
      </c>
      <c r="AB359" s="1" t="str">
        <f>IF($C359="","",IF($E359="","",$E359&amp;"#"&amp;(COUNTIFS($E$4:$E$1463,$E359,$X$4:$X$1463,"&gt;"&amp;$X359)+COUNTIFS($E$4:$E359,$E359,$X$4:$X359,"="&amp;$X359))))</f>
        <v>WIZARD#32</v>
      </c>
      <c r="AC359" s="1" t="str">
        <f>IF($C359="","",$B359&amp;"@"&amp;(COUNTIFS($B$4:$B$1463,$B359,$C$4:$C$1463,"&lt;"&amp;$C359)+COUNTIFS($B$4:$B359,$B359,$C$4:$C359,$C359)))</f>
        <v>VANGUARD@33</v>
      </c>
      <c r="AD359" s="1">
        <f t="shared" si="29"/>
        <v>356</v>
      </c>
      <c r="AE359" s="1" t="s">
        <v>602</v>
      </c>
      <c r="AF359" s="76">
        <f t="shared" si="30"/>
        <v>62392</v>
      </c>
      <c r="AG359" s="77">
        <f t="shared" si="31"/>
        <v>5.5</v>
      </c>
      <c r="AH359" s="1" t="str">
        <f>IF($C359="","",$B359&amp;"|"&amp;(COUNTIFS($B$4:$B$1463,$B359,$AF$4:$AF$1463,"&gt;"&amp;$AF359)+COUNTIFS($B$4:$B359,$B359,$AF$4:$AF359,"="&amp;$AF359)))</f>
        <v>VANGUARD|80</v>
      </c>
      <c r="AI359" s="1" t="str">
        <f>IF($C359="","",$B359&amp;"|"&amp;(COUNTIFS($B$4:$B$1463,$B359,$AG$4:$AG$1463,"&gt;"&amp;$AG359)+COUNTIFS($B$4:$B359,$B359,$AG$4:$AG359,"="&amp;$AG359)))</f>
        <v>VANGUARD|54</v>
      </c>
    </row>
    <row r="360" spans="1:35" hidden="1">
      <c r="A360" s="69" t="s">
        <v>109</v>
      </c>
      <c r="B360" s="69" t="s">
        <v>112</v>
      </c>
      <c r="C360" s="63" t="s">
        <v>1188</v>
      </c>
      <c r="D360" s="69" t="s">
        <v>567</v>
      </c>
      <c r="E360" s="68" t="s">
        <v>73</v>
      </c>
      <c r="F360" s="15" t="str">
        <f>IF($C360="","",IF($E360="","-",IFERROR(INDEX(SETUP!$B$55:$B$64,MATCH($E360,SETUP!$A$55:$A$64,0)),"Other")))</f>
        <v>Frontline</v>
      </c>
      <c r="G360" s="70">
        <v>63339</v>
      </c>
      <c r="H360" s="15" t="str">
        <f>IF($C360="","",IF($G360="","-",INDEX(SETUP!$B$26:$B$32,MATCH($G360,SETUP!$A$26:$A$32,1))))</f>
        <v>63,000 - 63,999</v>
      </c>
      <c r="I360" s="70">
        <v>3863</v>
      </c>
      <c r="J360" s="15" t="str">
        <f>IF($C360="","",IF($I360="","-",INDEX(SETUP!$B$16:$B$22,MATCH($I360,SETUP!$A$16:$A$22,1))))</f>
        <v>DEVELOPING</v>
      </c>
      <c r="K360" s="15" t="str">
        <f>IF($C360="","",IF($I360="","-",TEXT(INT($I360/1000)*1000,"#,##0")&amp;" - "&amp;TEXT(INT($I360/1000)*1000+999,"#,##0")))</f>
        <v>3,000 - 3,999</v>
      </c>
      <c r="L360" s="71">
        <v>5.25</v>
      </c>
      <c r="M360" s="15" t="str">
        <f>IF($C360="","",IF($L360="","-",INDEX(SETUP!$B$36:$B$42,MATCH($L360,SETUP!$A$36:$A$42,1))))</f>
        <v>5k - 6k</v>
      </c>
      <c r="N360" s="17">
        <f>IF($C360="","",IF(OR($G360="",$I360=""),"",ROUND(100*(SETUP!$B$4*MIN(1,$I360/SETUP!$B$9)+SETUP!$B$5*MAX(0,MIN(1,($G360-SETUP!$B$10)/(SETUP!$B$11-SETUP!$B$10)))+SETUP!$B$6*MIN(1,IF($L360="",0,$L360)/SETUP!$B$12)),1)))</f>
        <v>47.6</v>
      </c>
      <c r="O360" s="15" t="str">
        <f>IF($C360="","",IF($N360="","-",INDEX(SETUP!$B$46:$B$51,MATCH($N360,SETUP!$A$46:$A$51,1))))</f>
        <v>B</v>
      </c>
      <c r="P360" s="15">
        <f>IF($C360="","",IF($I360="","",RANK($I360,$I$4:$I$1463)+COUNTIF($I$4:$I360,$I360)-1))</f>
        <v>631</v>
      </c>
      <c r="Q360" s="15">
        <f>IF($C360="","",COUNTIFS($B$4:$B$1463,$B360,$X$4:$X$1463,"&gt;"&amp;$X360)+COUNTIFS($B$4:$B360,$B360,$X$4:$X360,"="&amp;$X360))</f>
        <v>48</v>
      </c>
      <c r="R360" s="72">
        <f>IF($C360="","",IF($I360="","",ROUND(COUNTIF($I$4:$I$1463,"&lt;"&amp;$I360)/COUNT($I$4:$I$1463),3)))</f>
        <v>0.52400000000000002</v>
      </c>
      <c r="S360" s="15" t="str">
        <f>IF($C360="","",IF($G360="","Name only",IF(OR($I360="",$L360=""),"Partial","Complete")))</f>
        <v>Complete</v>
      </c>
      <c r="T360" s="41" t="str">
        <f>IF($C360="","",TRIM(IF(COUNTIF($C$4:$C$1463,$C360)&gt;1,"Dup name; ","")&amp;IF(AND($G360&lt;&gt;"",$G360&lt;55000),"Low CR - verify; ","")&amp;IF(AND($L360&lt;&gt;"",$L360&gt;15),"Secondary - verify; ","")&amp;IF($E360="","No class; ","")))</f>
        <v/>
      </c>
      <c r="U360" s="68"/>
      <c r="V360" s="68"/>
      <c r="W360" s="68"/>
      <c r="X360" s="73">
        <f t="shared" si="27"/>
        <v>3863</v>
      </c>
      <c r="Y360" s="41" t="str">
        <f t="shared" si="28"/>
        <v>ACHERON|48</v>
      </c>
      <c r="Z360" s="15">
        <f>IF($C360="","",IF($G360="","",RANK($G360,$G$4:$G$1463)+COUNTIF($G$4:$G360,$G360)-1))</f>
        <v>245</v>
      </c>
      <c r="AA360" s="15">
        <f>IF($C360="","",IF($N360="","",RANK($N360,$N$4:$N$1463)+COUNTIF($N$4:$N360,$N360)-1))</f>
        <v>530</v>
      </c>
      <c r="AB360" s="41" t="str">
        <f>IF($C360="","",IF($E360="","",$E360&amp;"#"&amp;(COUNTIFS($E$4:$E$1463,$E360,$X$4:$X$1463,"&gt;"&amp;$X360)+COUNTIFS($E$4:$E360,$E360,$X$4:$X360,"="&amp;$X360))))</f>
        <v>CRUSADER#74</v>
      </c>
      <c r="AC360" s="41" t="str">
        <f>IF($C360="","",$B360&amp;"@"&amp;(COUNTIFS($B$4:$B$1463,$B360,$C$4:$C$1463,"&lt;"&amp;$C360)+COUNTIFS($B$4:$B360,$B360,$C$4:$C360,$C360)))</f>
        <v>ACHERON@22</v>
      </c>
      <c r="AD360" s="41">
        <f t="shared" si="29"/>
        <v>357</v>
      </c>
      <c r="AE360" s="41" t="s">
        <v>1189</v>
      </c>
      <c r="AF360" s="73">
        <f t="shared" si="30"/>
        <v>63339</v>
      </c>
      <c r="AG360" s="74">
        <f t="shared" si="31"/>
        <v>5.25</v>
      </c>
      <c r="AH360" s="41" t="str">
        <f>IF($C360="","",$B360&amp;"|"&amp;(COUNTIFS($B$4:$B$1463,$B360,$AF$4:$AF$1463,"&gt;"&amp;$AF360)+COUNTIFS($B$4:$B360,$B360,$AF$4:$AF360,"="&amp;$AF360)))</f>
        <v>ACHERON|16</v>
      </c>
      <c r="AI360" s="41" t="str">
        <f>IF($C360="","",$B360&amp;"|"&amp;(COUNTIFS($B$4:$B$1463,$B360,$AG$4:$AG$1463,"&gt;"&amp;$AG360)+COUNTIFS($B$4:$B360,$B360,$AG$4:$AG360,"="&amp;$AG360)))</f>
        <v>ACHERON|40</v>
      </c>
    </row>
    <row r="361" spans="1:35" hidden="1">
      <c r="A361" s="69" t="s">
        <v>109</v>
      </c>
      <c r="B361" s="69" t="s">
        <v>118</v>
      </c>
      <c r="C361" s="63" t="s">
        <v>1190</v>
      </c>
      <c r="D361" s="69"/>
      <c r="E361" s="68" t="s">
        <v>80</v>
      </c>
      <c r="F361" s="19" t="str">
        <f>IF($C361="","",IF($E361="","-",IFERROR(INDEX(SETUP!$B$55:$B$64,MATCH($E361,SETUP!$A$55:$A$64,0)),"Other")))</f>
        <v>Ranged DPS</v>
      </c>
      <c r="G361" s="70">
        <v>58451</v>
      </c>
      <c r="H361" s="19" t="str">
        <f>IF($C361="","",IF($G361="","-",INDEX(SETUP!$B$26:$B$32,MATCH($G361,SETUP!$A$26:$A$32,1))))</f>
        <v>58,000 - 59,999</v>
      </c>
      <c r="I361" s="70">
        <v>6533</v>
      </c>
      <c r="J361" s="19" t="str">
        <f>IF($C361="","",IF($I361="","-",INDEX(SETUP!$B$16:$B$22,MATCH($I361,SETUP!$A$16:$A$22,1))))</f>
        <v>VETERAN</v>
      </c>
      <c r="K361" s="19" t="str">
        <f>IF($C361="","",IF($I361="","-",TEXT(INT($I361/1000)*1000,"#,##0")&amp;" - "&amp;TEXT(INT($I361/1000)*1000+999,"#,##0")))</f>
        <v>6,000 - 6,999</v>
      </c>
      <c r="L361" s="71">
        <v>3.9</v>
      </c>
      <c r="M361" s="19" t="str">
        <f>IF($C361="","",IF($L361="","-",INDEX(SETUP!$B$36:$B$42,MATCH($L361,SETUP!$A$36:$A$42,1))))</f>
        <v>3k - 4k</v>
      </c>
      <c r="N361" s="21">
        <f>IF($C361="","",IF(OR($G361="",$I361=""),"",ROUND(100*(SETUP!$B$4*MIN(1,$I361/SETUP!$B$9)+SETUP!$B$5*MAX(0,MIN(1,($G361-SETUP!$B$10)/(SETUP!$B$11-SETUP!$B$10)))+SETUP!$B$6*MIN(1,IF($L361="",0,$L361)/SETUP!$B$12)),1)))</f>
        <v>44.1</v>
      </c>
      <c r="O361" s="19" t="str">
        <f>IF($C361="","",IF($N361="","-",INDEX(SETUP!$B$46:$B$51,MATCH($N361,SETUP!$A$46:$A$51,1))))</f>
        <v>B</v>
      </c>
      <c r="P361" s="19">
        <f>IF($C361="","",IF($I361="","",RANK($I361,$I$4:$I$1463)+COUNTIF($I$4:$I361,$I361)-1))</f>
        <v>245</v>
      </c>
      <c r="Q361" s="19">
        <f>IF($C361="","",COUNTIFS($B$4:$B$1463,$B361,$X$4:$X$1463,"&gt;"&amp;$X361)+COUNTIFS($B$4:$B361,$B361,$X$4:$X361,"="&amp;$X361))</f>
        <v>4</v>
      </c>
      <c r="R361" s="75">
        <f>IF($C361="","",IF($I361="","",ROUND(COUNTIF($I$4:$I$1463,"&lt;"&amp;$I361)/COUNT($I$4:$I$1463),3)))</f>
        <v>0.81499999999999995</v>
      </c>
      <c r="S361" s="19" t="str">
        <f>IF($C361="","",IF($G361="","Name only",IF(OR($I361="",$L361=""),"Partial","Complete")))</f>
        <v>Complete</v>
      </c>
      <c r="T361" s="1" t="str">
        <f>IF($C361="","",TRIM(IF(COUNTIF($C$4:$C$1463,$C361)&gt;1,"Dup name; ","")&amp;IF(AND($G361&lt;&gt;"",$G361&lt;55000),"Low CR - verify; ","")&amp;IF(AND($L361&lt;&gt;"",$L361&gt;15),"Secondary - verify; ","")&amp;IF($E361="","No class; ","")))</f>
        <v/>
      </c>
      <c r="U361" s="68"/>
      <c r="V361" s="68"/>
      <c r="W361" s="68"/>
      <c r="X361" s="76">
        <f t="shared" si="27"/>
        <v>6533</v>
      </c>
      <c r="Y361" s="1" t="str">
        <f t="shared" si="28"/>
        <v>ZOMBIES|4</v>
      </c>
      <c r="Z361" s="19">
        <f>IF($C361="","",IF($G361="","",RANK($G361,$G$4:$G$1463)+COUNTIF($G$4:$G361,$G361)-1))</f>
        <v>1290</v>
      </c>
      <c r="AA361" s="19">
        <f>IF($C361="","",IF($N361="","",RANK($N361,$N$4:$N$1463)+COUNTIF($N$4:$N361,$N361)-1))</f>
        <v>662</v>
      </c>
      <c r="AB361" s="1" t="str">
        <f>IF($C361="","",IF($E361="","",$E361&amp;"#"&amp;(COUNTIFS($E$4:$E$1463,$E361,$X$4:$X$1463,"&gt;"&amp;$X361)+COUNTIFS($E$4:$E361,$E361,$X$4:$X361,"="&amp;$X361))))</f>
        <v>WIZARD#18</v>
      </c>
      <c r="AC361" s="1" t="str">
        <f>IF($C361="","",$B361&amp;"@"&amp;(COUNTIFS($B$4:$B$1463,$B361,$C$4:$C$1463,"&lt;"&amp;$C361)+COUNTIFS($B$4:$B361,$B361,$C$4:$C361,$C361)))</f>
        <v>ZOMBIES@28</v>
      </c>
      <c r="AD361" s="1">
        <f t="shared" si="29"/>
        <v>358</v>
      </c>
      <c r="AE361" s="1" t="s">
        <v>1191</v>
      </c>
      <c r="AF361" s="76">
        <f t="shared" si="30"/>
        <v>58451</v>
      </c>
      <c r="AG361" s="77">
        <f t="shared" si="31"/>
        <v>3.9</v>
      </c>
      <c r="AH361" s="1" t="str">
        <f>IF($C361="","",$B361&amp;"|"&amp;(COUNTIFS($B$4:$B$1463,$B361,$AF$4:$AF$1463,"&gt;"&amp;$AF361)+COUNTIFS($B$4:$B361,$B361,$AF$4:$AF361,"="&amp;$AF361)))</f>
        <v>ZOMBIES|91</v>
      </c>
      <c r="AI361" s="1" t="str">
        <f>IF($C361="","",$B361&amp;"|"&amp;(COUNTIFS($B$4:$B$1463,$B361,$AG$4:$AG$1463,"&gt;"&amp;$AG361)+COUNTIFS($B$4:$B361,$B361,$AG$4:$AG361,"="&amp;$AG361)))</f>
        <v>ZOMBIES|34</v>
      </c>
    </row>
    <row r="362" spans="1:35" hidden="1">
      <c r="A362" s="69" t="s">
        <v>109</v>
      </c>
      <c r="B362" s="69" t="s">
        <v>111</v>
      </c>
      <c r="C362" s="63" t="s">
        <v>1192</v>
      </c>
      <c r="D362" s="69" t="s">
        <v>527</v>
      </c>
      <c r="E362" s="68" t="s">
        <v>73</v>
      </c>
      <c r="F362" s="15" t="str">
        <f>IF($C362="","",IF($E362="","-",IFERROR(INDEX(SETUP!$B$55:$B$64,MATCH($E362,SETUP!$A$55:$A$64,0)),"Other")))</f>
        <v>Frontline</v>
      </c>
      <c r="G362" s="70">
        <v>62236</v>
      </c>
      <c r="H362" s="15" t="str">
        <f>IF($C362="","",IF($G362="","-",INDEX(SETUP!$B$26:$B$32,MATCH($G362,SETUP!$A$26:$A$32,1))))</f>
        <v>62,000 - 62,999</v>
      </c>
      <c r="I362" s="70">
        <v>4872</v>
      </c>
      <c r="J362" s="15" t="str">
        <f>IF($C362="","",IF($I362="","-",INDEX(SETUP!$B$16:$B$22,MATCH($I362,SETUP!$A$16:$A$22,1))))</f>
        <v>CORE</v>
      </c>
      <c r="K362" s="15" t="str">
        <f>IF($C362="","",IF($I362="","-",TEXT(INT($I362/1000)*1000,"#,##0")&amp;" - "&amp;TEXT(INT($I362/1000)*1000+999,"#,##0")))</f>
        <v>4,000 - 4,999</v>
      </c>
      <c r="L362" s="71">
        <v>4.8499999999999996</v>
      </c>
      <c r="M362" s="15" t="str">
        <f>IF($C362="","",IF($L362="","-",INDEX(SETUP!$B$36:$B$42,MATCH($L362,SETUP!$A$36:$A$42,1))))</f>
        <v>4k - 5k</v>
      </c>
      <c r="N362" s="17">
        <f>IF($C362="","",IF(OR($G362="",$I362=""),"",ROUND(100*(SETUP!$B$4*MIN(1,$I362/SETUP!$B$9)+SETUP!$B$5*MAX(0,MIN(1,($G362-SETUP!$B$10)/(SETUP!$B$11-SETUP!$B$10)))+SETUP!$B$6*MIN(1,IF($L362="",0,$L362)/SETUP!$B$12)),1)))</f>
        <v>48.4</v>
      </c>
      <c r="O362" s="15" t="str">
        <f>IF($C362="","",IF($N362="","-",INDEX(SETUP!$B$46:$B$51,MATCH($N362,SETUP!$A$46:$A$51,1))))</f>
        <v>B</v>
      </c>
      <c r="P362" s="15">
        <f>IF($C362="","",IF($I362="","",RANK($I362,$I$4:$I$1463)+COUNTIF($I$4:$I362,$I362)-1))</f>
        <v>434</v>
      </c>
      <c r="Q362" s="15">
        <f>IF($C362="","",COUNTIFS($B$4:$B$1463,$B362,$X$4:$X$1463,"&gt;"&amp;$X362)+COUNTIFS($B$4:$B362,$B362,$X$4:$X362,"="&amp;$X362))</f>
        <v>48</v>
      </c>
      <c r="R362" s="72">
        <f>IF($C362="","",IF($I362="","",ROUND(COUNTIF($I$4:$I$1463,"&lt;"&amp;$I362)/COUNT($I$4:$I$1463),3)))</f>
        <v>0.67200000000000004</v>
      </c>
      <c r="S362" s="15" t="str">
        <f>IF($C362="","",IF($G362="","Name only",IF(OR($I362="",$L362=""),"Partial","Complete")))</f>
        <v>Complete</v>
      </c>
      <c r="T362" s="41" t="str">
        <f>IF($C362="","",TRIM(IF(COUNTIF($C$4:$C$1463,$C362)&gt;1,"Dup name; ","")&amp;IF(AND($G362&lt;&gt;"",$G362&lt;55000),"Low CR - verify; ","")&amp;IF(AND($L362&lt;&gt;"",$L362&gt;15),"Secondary - verify; ","")&amp;IF($E362="","No class; ","")))</f>
        <v/>
      </c>
      <c r="U362" s="68"/>
      <c r="V362" s="68"/>
      <c r="W362" s="68"/>
      <c r="X362" s="73">
        <f t="shared" si="27"/>
        <v>4872</v>
      </c>
      <c r="Y362" s="41" t="str">
        <f t="shared" si="28"/>
        <v>RECKONING|48</v>
      </c>
      <c r="Z362" s="15">
        <f>IF($C362="","",IF($G362="","",RANK($G362,$G$4:$G$1463)+COUNTIF($G$4:$G362,$G362)-1))</f>
        <v>748</v>
      </c>
      <c r="AA362" s="15">
        <f>IF($C362="","",IF($N362="","",RANK($N362,$N$4:$N$1463)+COUNTIF($N$4:$N362,$N362)-1))</f>
        <v>504</v>
      </c>
      <c r="AB362" s="41" t="str">
        <f>IF($C362="","",IF($E362="","",$E362&amp;"#"&amp;(COUNTIFS($E$4:$E$1463,$E362,$X$4:$X$1463,"&gt;"&amp;$X362)+COUNTIFS($E$4:$E362,$E362,$X$4:$X362,"="&amp;$X362))))</f>
        <v>CRUSADER#52</v>
      </c>
      <c r="AC362" s="41" t="str">
        <f>IF($C362="","",$B362&amp;"@"&amp;(COUNTIFS($B$4:$B$1463,$B362,$C$4:$C$1463,"&lt;"&amp;$C362)+COUNTIFS($B$4:$B362,$B362,$C$4:$C362,$C362)))</f>
        <v>RECKONING@25</v>
      </c>
      <c r="AD362" s="41">
        <f t="shared" si="29"/>
        <v>359</v>
      </c>
      <c r="AE362" s="41" t="s">
        <v>1193</v>
      </c>
      <c r="AF362" s="73">
        <f t="shared" si="30"/>
        <v>62236</v>
      </c>
      <c r="AG362" s="74">
        <f t="shared" si="31"/>
        <v>4.8499999999999996</v>
      </c>
      <c r="AH362" s="41" t="str">
        <f>IF($C362="","",$B362&amp;"|"&amp;(COUNTIFS($B$4:$B$1463,$B362,$AF$4:$AF$1463,"&gt;"&amp;$AF362)+COUNTIFS($B$4:$B362,$B362,$AF$4:$AF362,"="&amp;$AF362)))</f>
        <v>RECKONING|68</v>
      </c>
      <c r="AI362" s="41" t="str">
        <f>IF($C362="","",$B362&amp;"|"&amp;(COUNTIFS($B$4:$B$1463,$B362,$AG$4:$AG$1463,"&gt;"&amp;$AG362)+COUNTIFS($B$4:$B362,$B362,$AG$4:$AG362,"="&amp;$AG362)))</f>
        <v>RECKONING|73</v>
      </c>
    </row>
    <row r="363" spans="1:35" hidden="1">
      <c r="A363" s="69" t="s">
        <v>109</v>
      </c>
      <c r="B363" s="69" t="s">
        <v>110</v>
      </c>
      <c r="C363" s="63" t="s">
        <v>1194</v>
      </c>
      <c r="D363" s="69"/>
      <c r="E363" s="68" t="s">
        <v>74</v>
      </c>
      <c r="F363" s="19" t="str">
        <f>IF($C363="","",IF($E363="","-",IFERROR(INDEX(SETUP!$B$55:$B$64,MATCH($E363,SETUP!$A$55:$A$64,0)),"Other")))</f>
        <v>Ranged DPS</v>
      </c>
      <c r="G363" s="70">
        <v>64010</v>
      </c>
      <c r="H363" s="19" t="str">
        <f>IF($C363="","",IF($G363="","-",INDEX(SETUP!$B$26:$B$32,MATCH($G363,SETUP!$A$26:$A$32,1))))</f>
        <v>64,000 +</v>
      </c>
      <c r="I363" s="70">
        <v>9398</v>
      </c>
      <c r="J363" s="19" t="str">
        <f>IF($C363="","",IF($I363="","-",INDEX(SETUP!$B$16:$B$22,MATCH($I363,SETUP!$A$16:$A$22,1))))</f>
        <v>ELITE</v>
      </c>
      <c r="K363" s="19" t="str">
        <f>IF($C363="","",IF($I363="","-",TEXT(INT($I363/1000)*1000,"#,##0")&amp;" - "&amp;TEXT(INT($I363/1000)*1000+999,"#,##0")))</f>
        <v>9,000 - 9,999</v>
      </c>
      <c r="L363" s="71">
        <v>9.4</v>
      </c>
      <c r="M363" s="19" t="str">
        <f>IF($C363="","",IF($L363="","-",INDEX(SETUP!$B$36:$B$42,MATCH($L363,SETUP!$A$36:$A$42,1))))</f>
        <v>8k - 10k</v>
      </c>
      <c r="N363" s="21">
        <f>IF($C363="","",IF(OR($G363="",$I363=""),"",ROUND(100*(SETUP!$B$4*MIN(1,$I363/SETUP!$B$9)+SETUP!$B$5*MAX(0,MIN(1,($G363-SETUP!$B$10)/(SETUP!$B$11-SETUP!$B$10)))+SETUP!$B$6*MIN(1,IF($L363="",0,$L363)/SETUP!$B$12)),1)))</f>
        <v>80.400000000000006</v>
      </c>
      <c r="O363" s="19" t="str">
        <f>IF($C363="","",IF($N363="","-",INDEX(SETUP!$B$46:$B$51,MATCH($N363,SETUP!$A$46:$A$51,1))))</f>
        <v>S+</v>
      </c>
      <c r="P363" s="19">
        <f>IF($C363="","",IF($I363="","",RANK($I363,$I$4:$I$1463)+COUNTIF($I$4:$I363,$I363)-1))</f>
        <v>77</v>
      </c>
      <c r="Q363" s="19">
        <f>IF($C363="","",COUNTIFS($B$4:$B$1463,$B363,$X$4:$X$1463,"&gt;"&amp;$X363)+COUNTIFS($B$4:$B363,$B363,$X$4:$X363,"="&amp;$X363))</f>
        <v>17</v>
      </c>
      <c r="R363" s="75">
        <f>IF($C363="","",IF($I363="","",ROUND(COUNTIF($I$4:$I$1463,"&lt;"&amp;$I363)/COUNT($I$4:$I$1463),3)))</f>
        <v>0.94099999999999995</v>
      </c>
      <c r="S363" s="19" t="str">
        <f>IF($C363="","",IF($G363="","Name only",IF(OR($I363="",$L363=""),"Partial","Complete")))</f>
        <v>Complete</v>
      </c>
      <c r="T363" s="1" t="str">
        <f>IF($C363="","",TRIM(IF(COUNTIF($C$4:$C$1463,$C363)&gt;1,"Dup name; ","")&amp;IF(AND($G363&lt;&gt;"",$G363&lt;55000),"Low CR - verify; ","")&amp;IF(AND($L363&lt;&gt;"",$L363&gt;15),"Secondary - verify; ","")&amp;IF($E363="","No class; ","")))</f>
        <v>Dup name;</v>
      </c>
      <c r="U363" s="68"/>
      <c r="V363" s="68"/>
      <c r="W363" s="68"/>
      <c r="X363" s="76">
        <f t="shared" si="27"/>
        <v>9398</v>
      </c>
      <c r="Y363" s="1" t="str">
        <f t="shared" si="28"/>
        <v>AZUKI|17</v>
      </c>
      <c r="Z363" s="19">
        <f>IF($C363="","",IF($G363="","",RANK($G363,$G$4:$G$1463)+COUNTIF($G$4:$G363,$G363)-1))</f>
        <v>70</v>
      </c>
      <c r="AA363" s="19">
        <f>IF($C363="","",IF($N363="","",RANK($N363,$N$4:$N$1463)+COUNTIF($N$4:$N363,$N363)-1))</f>
        <v>47</v>
      </c>
      <c r="AB363" s="1" t="str">
        <f>IF($C363="","",IF($E363="","",$E363&amp;"#"&amp;(COUNTIFS($E$4:$E$1463,$E363,$X$4:$X$1463,"&gt;"&amp;$X363)+COUNTIFS($E$4:$E363,$E363,$X$4:$X363,"="&amp;$X363))))</f>
        <v>DEMON HUNTER#12</v>
      </c>
      <c r="AC363" s="1" t="str">
        <f>IF($C363="","",$B363&amp;"@"&amp;(COUNTIFS($B$4:$B$1463,$B363,$C$4:$C$1463,"&lt;"&amp;$C363)+COUNTIFS($B$4:$B363,$B363,$C$4:$C363,$C363)))</f>
        <v>AZUKI@32</v>
      </c>
      <c r="AD363" s="1">
        <f t="shared" si="29"/>
        <v>360</v>
      </c>
      <c r="AE363" s="1" t="s">
        <v>1195</v>
      </c>
      <c r="AF363" s="76">
        <f t="shared" si="30"/>
        <v>64010</v>
      </c>
      <c r="AG363" s="77">
        <f t="shared" si="31"/>
        <v>9.4</v>
      </c>
      <c r="AH363" s="1" t="str">
        <f>IF($C363="","",$B363&amp;"|"&amp;(COUNTIFS($B$4:$B$1463,$B363,$AF$4:$AF$1463,"&gt;"&amp;$AF363)+COUNTIFS($B$4:$B363,$B363,$AF$4:$AF363,"="&amp;$AF363)))</f>
        <v>AZUKI|15</v>
      </c>
      <c r="AI363" s="1" t="str">
        <f>IF($C363="","",$B363&amp;"|"&amp;(COUNTIFS($B$4:$B$1463,$B363,$AG$4:$AG$1463,"&gt;"&amp;$AG363)+COUNTIFS($B$4:$B363,$B363,$AG$4:$AG363,"="&amp;$AG363)))</f>
        <v>AZUKI|10</v>
      </c>
    </row>
    <row r="364" spans="1:35" hidden="1">
      <c r="A364" s="69" t="s">
        <v>109</v>
      </c>
      <c r="B364" s="69" t="s">
        <v>111</v>
      </c>
      <c r="C364" s="63" t="s">
        <v>1194</v>
      </c>
      <c r="D364" s="69" t="s">
        <v>527</v>
      </c>
      <c r="E364" s="68" t="s">
        <v>74</v>
      </c>
      <c r="F364" s="15" t="str">
        <f>IF($C364="","",IF($E364="","-",IFERROR(INDEX(SETUP!$B$55:$B$64,MATCH($E364,SETUP!$A$55:$A$64,0)),"Other")))</f>
        <v>Ranged DPS</v>
      </c>
      <c r="G364" s="70">
        <v>64010</v>
      </c>
      <c r="H364" s="15" t="str">
        <f>IF($C364="","",IF($G364="","-",INDEX(SETUP!$B$26:$B$32,MATCH($G364,SETUP!$A$26:$A$32,1))))</f>
        <v>64,000 +</v>
      </c>
      <c r="I364" s="70">
        <v>9398</v>
      </c>
      <c r="J364" s="15" t="str">
        <f>IF($C364="","",IF($I364="","-",INDEX(SETUP!$B$16:$B$22,MATCH($I364,SETUP!$A$16:$A$22,1))))</f>
        <v>ELITE</v>
      </c>
      <c r="K364" s="15" t="str">
        <f>IF($C364="","",IF($I364="","-",TEXT(INT($I364/1000)*1000,"#,##0")&amp;" - "&amp;TEXT(INT($I364/1000)*1000+999,"#,##0")))</f>
        <v>9,000 - 9,999</v>
      </c>
      <c r="L364" s="71">
        <v>9.6</v>
      </c>
      <c r="M364" s="15" t="str">
        <f>IF($C364="","",IF($L364="","-",INDEX(SETUP!$B$36:$B$42,MATCH($L364,SETUP!$A$36:$A$42,1))))</f>
        <v>8k - 10k</v>
      </c>
      <c r="N364" s="17">
        <f>IF($C364="","",IF(OR($G364="",$I364=""),"",ROUND(100*(SETUP!$B$4*MIN(1,$I364/SETUP!$B$9)+SETUP!$B$5*MAX(0,MIN(1,($G364-SETUP!$B$10)/(SETUP!$B$11-SETUP!$B$10)))+SETUP!$B$6*MIN(1,IF($L364="",0,$L364)/SETUP!$B$12)),1)))</f>
        <v>80.7</v>
      </c>
      <c r="O364" s="15" t="str">
        <f>IF($C364="","",IF($N364="","-",INDEX(SETUP!$B$46:$B$51,MATCH($N364,SETUP!$A$46:$A$51,1))))</f>
        <v>S+</v>
      </c>
      <c r="P364" s="15">
        <f>IF($C364="","",IF($I364="","",RANK($I364,$I$4:$I$1463)+COUNTIF($I$4:$I364,$I364)-1))</f>
        <v>78</v>
      </c>
      <c r="Q364" s="15">
        <f>IF($C364="","",COUNTIFS($B$4:$B$1463,$B364,$X$4:$X$1463,"&gt;"&amp;$X364)+COUNTIFS($B$4:$B364,$B364,$X$4:$X364,"="&amp;$X364))</f>
        <v>12</v>
      </c>
      <c r="R364" s="72">
        <f>IF($C364="","",IF($I364="","",ROUND(COUNTIF($I$4:$I$1463,"&lt;"&amp;$I364)/COUNT($I$4:$I$1463),3)))</f>
        <v>0.94099999999999995</v>
      </c>
      <c r="S364" s="15" t="str">
        <f>IF($C364="","",IF($G364="","Name only",IF(OR($I364="",$L364=""),"Partial","Complete")))</f>
        <v>Complete</v>
      </c>
      <c r="T364" s="41" t="str">
        <f>IF($C364="","",TRIM(IF(COUNTIF($C$4:$C$1463,$C364)&gt;1,"Dup name; ","")&amp;IF(AND($G364&lt;&gt;"",$G364&lt;55000),"Low CR - verify; ","")&amp;IF(AND($L364&lt;&gt;"",$L364&gt;15),"Secondary - verify; ","")&amp;IF($E364="","No class; ","")))</f>
        <v>Dup name;</v>
      </c>
      <c r="U364" s="68"/>
      <c r="V364" s="68"/>
      <c r="W364" s="68"/>
      <c r="X364" s="73">
        <f t="shared" si="27"/>
        <v>9398</v>
      </c>
      <c r="Y364" s="41" t="str">
        <f t="shared" si="28"/>
        <v>RECKONING|12</v>
      </c>
      <c r="Z364" s="15">
        <f>IF($C364="","",IF($G364="","",RANK($G364,$G$4:$G$1463)+COUNTIF($G$4:$G364,$G364)-1))</f>
        <v>71</v>
      </c>
      <c r="AA364" s="15">
        <f>IF($C364="","",IF($N364="","",RANK($N364,$N$4:$N$1463)+COUNTIF($N$4:$N364,$N364)-1))</f>
        <v>43</v>
      </c>
      <c r="AB364" s="41" t="str">
        <f>IF($C364="","",IF($E364="","",$E364&amp;"#"&amp;(COUNTIFS($E$4:$E$1463,$E364,$X$4:$X$1463,"&gt;"&amp;$X364)+COUNTIFS($E$4:$E364,$E364,$X$4:$X364,"="&amp;$X364))))</f>
        <v>DEMON HUNTER#13</v>
      </c>
      <c r="AC364" s="41" t="str">
        <f>IF($C364="","",$B364&amp;"@"&amp;(COUNTIFS($B$4:$B$1463,$B364,$C$4:$C$1463,"&lt;"&amp;$C364)+COUNTIFS($B$4:$B364,$B364,$C$4:$C364,$C364)))</f>
        <v>RECKONING@26</v>
      </c>
      <c r="AD364" s="41">
        <f t="shared" si="29"/>
        <v>361</v>
      </c>
      <c r="AE364" s="41" t="s">
        <v>1196</v>
      </c>
      <c r="AF364" s="73">
        <f t="shared" si="30"/>
        <v>64010</v>
      </c>
      <c r="AG364" s="74">
        <f t="shared" si="31"/>
        <v>9.6</v>
      </c>
      <c r="AH364" s="41" t="str">
        <f>IF($C364="","",$B364&amp;"|"&amp;(COUNTIFS($B$4:$B$1463,$B364,$AF$4:$AF$1463,"&gt;"&amp;$AF364)+COUNTIFS($B$4:$B364,$B364,$AF$4:$AF364,"="&amp;$AF364)))</f>
        <v>RECKONING|8</v>
      </c>
      <c r="AI364" s="41" t="str">
        <f>IF($C364="","",$B364&amp;"|"&amp;(COUNTIFS($B$4:$B$1463,$B364,$AG$4:$AG$1463,"&gt;"&amp;$AG364)+COUNTIFS($B$4:$B364,$B364,$AG$4:$AG364,"="&amp;$AG364)))</f>
        <v>RECKONING|3</v>
      </c>
    </row>
    <row r="365" spans="1:35" hidden="1">
      <c r="A365" s="69" t="s">
        <v>109</v>
      </c>
      <c r="B365" s="69" t="s">
        <v>112</v>
      </c>
      <c r="C365" s="63" t="s">
        <v>1197</v>
      </c>
      <c r="D365" s="69" t="s">
        <v>567</v>
      </c>
      <c r="E365" s="68" t="s">
        <v>79</v>
      </c>
      <c r="F365" s="19" t="str">
        <f>IF($C365="","",IF($E365="","-",IFERROR(INDEX(SETUP!$B$55:$B$64,MATCH($E365,SETUP!$A$55:$A$64,0)),"Other")))</f>
        <v>Control</v>
      </c>
      <c r="G365" s="70">
        <v>63082</v>
      </c>
      <c r="H365" s="19" t="str">
        <f>IF($C365="","",IF($G365="","-",INDEX(SETUP!$B$26:$B$32,MATCH($G365,SETUP!$A$26:$A$32,1))))</f>
        <v>63,000 - 63,999</v>
      </c>
      <c r="I365" s="70">
        <v>3214</v>
      </c>
      <c r="J365" s="19" t="str">
        <f>IF($C365="","",IF($I365="","-",INDEX(SETUP!$B$16:$B$22,MATCH($I365,SETUP!$A$16:$A$22,1))))</f>
        <v>DEVELOPING</v>
      </c>
      <c r="K365" s="19" t="str">
        <f>IF($C365="","",IF($I365="","-",TEXT(INT($I365/1000)*1000,"#,##0")&amp;" - "&amp;TEXT(INT($I365/1000)*1000+999,"#,##0")))</f>
        <v>3,000 - 3,999</v>
      </c>
      <c r="L365" s="71">
        <v>3.5</v>
      </c>
      <c r="M365" s="19" t="str">
        <f>IF($C365="","",IF($L365="","-",INDEX(SETUP!$B$36:$B$42,MATCH($L365,SETUP!$A$36:$A$42,1))))</f>
        <v>3k - 4k</v>
      </c>
      <c r="N365" s="21">
        <f>IF($C365="","",IF(OR($G365="",$I365=""),"",ROUND(100*(SETUP!$B$4*MIN(1,$I365/SETUP!$B$9)+SETUP!$B$5*MAX(0,MIN(1,($G365-SETUP!$B$10)/(SETUP!$B$11-SETUP!$B$10)))+SETUP!$B$6*MIN(1,IF($L365="",0,$L365)/SETUP!$B$12)),1)))</f>
        <v>41.1</v>
      </c>
      <c r="O365" s="19" t="str">
        <f>IF($C365="","",IF($N365="","-",INDEX(SETUP!$B$46:$B$51,MATCH($N365,SETUP!$A$46:$A$51,1))))</f>
        <v>B</v>
      </c>
      <c r="P365" s="19">
        <f>IF($C365="","",IF($I365="","",RANK($I365,$I$4:$I$1463)+COUNTIF($I$4:$I365,$I365)-1))</f>
        <v>819</v>
      </c>
      <c r="Q365" s="19">
        <f>IF($C365="","",COUNTIFS($B$4:$B$1463,$B365,$X$4:$X$1463,"&gt;"&amp;$X365)+COUNTIFS($B$4:$B365,$B365,$X$4:$X365,"="&amp;$X365))</f>
        <v>61</v>
      </c>
      <c r="R365" s="75">
        <f>IF($C365="","",IF($I365="","",ROUND(COUNTIF($I$4:$I$1463,"&lt;"&amp;$I365)/COUNT($I$4:$I$1463),3)))</f>
        <v>0.38200000000000001</v>
      </c>
      <c r="S365" s="19" t="str">
        <f>IF($C365="","",IF($G365="","Name only",IF(OR($I365="",$L365=""),"Partial","Complete")))</f>
        <v>Complete</v>
      </c>
      <c r="T365" s="1" t="str">
        <f>IF($C365="","",TRIM(IF(COUNTIF($C$4:$C$1463,$C365)&gt;1,"Dup name; ","")&amp;IF(AND($G365&lt;&gt;"",$G365&lt;55000),"Low CR - verify; ","")&amp;IF(AND($L365&lt;&gt;"",$L365&gt;15),"Secondary - verify; ","")&amp;IF($E365="","No class; ","")))</f>
        <v/>
      </c>
      <c r="U365" s="68"/>
      <c r="V365" s="68"/>
      <c r="W365" s="68"/>
      <c r="X365" s="76">
        <f t="shared" si="27"/>
        <v>3214</v>
      </c>
      <c r="Y365" s="1" t="str">
        <f t="shared" si="28"/>
        <v>ACHERON|61</v>
      </c>
      <c r="Z365" s="19">
        <f>IF($C365="","",IF($G365="","",RANK($G365,$G$4:$G$1463)+COUNTIF($G$4:$G365,$G365)-1))</f>
        <v>388</v>
      </c>
      <c r="AA365" s="19">
        <f>IF($C365="","",IF($N365="","",RANK($N365,$N$4:$N$1463)+COUNTIF($N$4:$N365,$N365)-1))</f>
        <v>769</v>
      </c>
      <c r="AB365" s="1" t="str">
        <f>IF($C365="","",IF($E365="","",$E365&amp;"#"&amp;(COUNTIFS($E$4:$E$1463,$E365,$X$4:$X$1463,"&gt;"&amp;$X365)+COUNTIFS($E$4:$E365,$E365,$X$4:$X365,"="&amp;$X365))))</f>
        <v>WARLOCK#201</v>
      </c>
      <c r="AC365" s="1" t="str">
        <f>IF($C365="","",$B365&amp;"@"&amp;(COUNTIFS($B$4:$B$1463,$B365,$C$4:$C$1463,"&lt;"&amp;$C365)+COUNTIFS($B$4:$B365,$B365,$C$4:$C365,$C365)))</f>
        <v>ACHERON@23</v>
      </c>
      <c r="AD365" s="1">
        <f t="shared" si="29"/>
        <v>362</v>
      </c>
      <c r="AE365" s="1" t="s">
        <v>1198</v>
      </c>
      <c r="AF365" s="76">
        <f t="shared" si="30"/>
        <v>63082</v>
      </c>
      <c r="AG365" s="77">
        <f t="shared" si="31"/>
        <v>3.5</v>
      </c>
      <c r="AH365" s="1" t="str">
        <f>IF($C365="","",$B365&amp;"|"&amp;(COUNTIFS($B$4:$B$1463,$B365,$AF$4:$AF$1463,"&gt;"&amp;$AF365)+COUNTIFS($B$4:$B365,$B365,$AF$4:$AF365,"="&amp;$AF365)))</f>
        <v>ACHERON|28</v>
      </c>
      <c r="AI365" s="1" t="str">
        <f>IF($C365="","",$B365&amp;"|"&amp;(COUNTIFS($B$4:$B$1463,$B365,$AG$4:$AG$1463,"&gt;"&amp;$AG365)+COUNTIFS($B$4:$B365,$B365,$AG$4:$AG365,"="&amp;$AG365)))</f>
        <v>ACHERON|89</v>
      </c>
    </row>
    <row r="366" spans="1:35" hidden="1">
      <c r="A366" s="69" t="s">
        <v>109</v>
      </c>
      <c r="B366" s="69" t="s">
        <v>110</v>
      </c>
      <c r="C366" s="63" t="s">
        <v>1199</v>
      </c>
      <c r="D366" s="69" t="s">
        <v>1200</v>
      </c>
      <c r="E366" s="68" t="s">
        <v>72</v>
      </c>
      <c r="F366" s="15" t="str">
        <f>IF($C366="","",IF($E366="","-",IFERROR(INDEX(SETUP!$B$55:$B$64,MATCH($E366,SETUP!$A$55:$A$64,0)),"Other")))</f>
        <v>Frontline</v>
      </c>
      <c r="G366" s="70">
        <v>63239</v>
      </c>
      <c r="H366" s="15" t="str">
        <f>IF($C366="","",IF($G366="","-",INDEX(SETUP!$B$26:$B$32,MATCH($G366,SETUP!$A$26:$A$32,1))))</f>
        <v>63,000 - 63,999</v>
      </c>
      <c r="I366" s="70">
        <v>5068</v>
      </c>
      <c r="J366" s="15" t="str">
        <f>IF($C366="","",IF($I366="","-",INDEX(SETUP!$B$16:$B$22,MATCH($I366,SETUP!$A$16:$A$22,1))))</f>
        <v>CORE</v>
      </c>
      <c r="K366" s="15" t="str">
        <f>IF($C366="","",IF($I366="","-",TEXT(INT($I366/1000)*1000,"#,##0")&amp;" - "&amp;TEXT(INT($I366/1000)*1000+999,"#,##0")))</f>
        <v>5,000 - 5,999</v>
      </c>
      <c r="L366" s="71">
        <v>6</v>
      </c>
      <c r="M366" s="15" t="str">
        <f>IF($C366="","",IF($L366="","-",INDEX(SETUP!$B$36:$B$42,MATCH($L366,SETUP!$A$36:$A$42,1))))</f>
        <v>6k - 8k</v>
      </c>
      <c r="N366" s="17">
        <f>IF($C366="","",IF(OR($G366="",$I366=""),"",ROUND(100*(SETUP!$B$4*MIN(1,$I366/SETUP!$B$9)+SETUP!$B$5*MAX(0,MIN(1,($G366-SETUP!$B$10)/(SETUP!$B$11-SETUP!$B$10)))+SETUP!$B$6*MIN(1,IF($L366="",0,$L366)/SETUP!$B$12)),1)))</f>
        <v>53.8</v>
      </c>
      <c r="O366" s="15" t="str">
        <f>IF($C366="","",IF($N366="","-",INDEX(SETUP!$B$46:$B$51,MATCH($N366,SETUP!$A$46:$A$51,1))))</f>
        <v>A</v>
      </c>
      <c r="P366" s="15">
        <f>IF($C366="","",IF($I366="","",RANK($I366,$I$4:$I$1463)+COUNTIF($I$4:$I366,$I366)-1))</f>
        <v>402</v>
      </c>
      <c r="Q366" s="15">
        <f>IF($C366="","",COUNTIFS($B$4:$B$1463,$B366,$X$4:$X$1463,"&gt;"&amp;$X366)+COUNTIFS($B$4:$B366,$B366,$X$4:$X366,"="&amp;$X366))</f>
        <v>47</v>
      </c>
      <c r="R366" s="72">
        <f>IF($C366="","",IF($I366="","",ROUND(COUNTIF($I$4:$I$1463,"&lt;"&amp;$I366)/COUNT($I$4:$I$1463),3)))</f>
        <v>0.69699999999999995</v>
      </c>
      <c r="S366" s="15" t="str">
        <f>IF($C366="","",IF($G366="","Name only",IF(OR($I366="",$L366=""),"Partial","Complete")))</f>
        <v>Complete</v>
      </c>
      <c r="T366" s="41" t="str">
        <f>IF($C366="","",TRIM(IF(COUNTIF($C$4:$C$1463,$C366)&gt;1,"Dup name; ","")&amp;IF(AND($G366&lt;&gt;"",$G366&lt;55000),"Low CR - verify; ","")&amp;IF(AND($L366&lt;&gt;"",$L366&gt;15),"Secondary - verify; ","")&amp;IF($E366="","No class; ","")))</f>
        <v/>
      </c>
      <c r="U366" s="68"/>
      <c r="V366" s="68"/>
      <c r="W366" s="68"/>
      <c r="X366" s="73">
        <f t="shared" si="27"/>
        <v>5068</v>
      </c>
      <c r="Y366" s="41" t="str">
        <f t="shared" si="28"/>
        <v>AZUKI|47</v>
      </c>
      <c r="Z366" s="15">
        <f>IF($C366="","",IF($G366="","",RANK($G366,$G$4:$G$1463)+COUNTIF($G$4:$G366,$G366)-1))</f>
        <v>296</v>
      </c>
      <c r="AA366" s="15">
        <f>IF($C366="","",IF($N366="","",RANK($N366,$N$4:$N$1463)+COUNTIF($N$4:$N366,$N366)-1))</f>
        <v>339</v>
      </c>
      <c r="AB366" s="41" t="str">
        <f>IF($C366="","",IF($E366="","",$E366&amp;"#"&amp;(COUNTIFS($E$4:$E$1463,$E366,$X$4:$X$1463,"&gt;"&amp;$X366)+COUNTIFS($E$4:$E366,$E366,$X$4:$X366,"="&amp;$X366))))</f>
        <v>BLOOD KNIGHT#27</v>
      </c>
      <c r="AC366" s="41" t="str">
        <f>IF($C366="","",$B366&amp;"@"&amp;(COUNTIFS($B$4:$B$1463,$B366,$C$4:$C$1463,"&lt;"&amp;$C366)+COUNTIFS($B$4:$B366,$B366,$C$4:$C366,$C366)))</f>
        <v>AZUKI@33</v>
      </c>
      <c r="AD366" s="41">
        <f t="shared" si="29"/>
        <v>363</v>
      </c>
      <c r="AE366" s="41" t="s">
        <v>1201</v>
      </c>
      <c r="AF366" s="73">
        <f t="shared" si="30"/>
        <v>63239</v>
      </c>
      <c r="AG366" s="74">
        <f t="shared" si="31"/>
        <v>6</v>
      </c>
      <c r="AH366" s="41" t="str">
        <f>IF($C366="","",$B366&amp;"|"&amp;(COUNTIFS($B$4:$B$1463,$B366,$AF$4:$AF$1463,"&gt;"&amp;$AF366)+COUNTIFS($B$4:$B366,$B366,$AF$4:$AF366,"="&amp;$AF366)))</f>
        <v>AZUKI|32</v>
      </c>
      <c r="AI366" s="41" t="str">
        <f>IF($C366="","",$B366&amp;"|"&amp;(COUNTIFS($B$4:$B$1463,$B366,$AG$4:$AG$1463,"&gt;"&amp;$AG366)+COUNTIFS($B$4:$B366,$B366,$AG$4:$AG366,"="&amp;$AG366)))</f>
        <v>AZUKI|45</v>
      </c>
    </row>
    <row r="367" spans="1:35" hidden="1">
      <c r="A367" s="69" t="s">
        <v>109</v>
      </c>
      <c r="B367" s="69" t="s">
        <v>118</v>
      </c>
      <c r="C367" s="63" t="s">
        <v>1202</v>
      </c>
      <c r="D367" s="69"/>
      <c r="E367" s="68" t="s">
        <v>73</v>
      </c>
      <c r="F367" s="19" t="str">
        <f>IF($C367="","",IF($E367="","-",IFERROR(INDEX(SETUP!$B$55:$B$64,MATCH($E367,SETUP!$A$55:$A$64,0)),"Other")))</f>
        <v>Frontline</v>
      </c>
      <c r="G367" s="70">
        <v>60774</v>
      </c>
      <c r="H367" s="19" t="str">
        <f>IF($C367="","",IF($G367="","-",INDEX(SETUP!$B$26:$B$32,MATCH($G367,SETUP!$A$26:$A$32,1))))</f>
        <v>60,000 - 60,999</v>
      </c>
      <c r="I367" s="70">
        <v>785</v>
      </c>
      <c r="J367" s="19" t="str">
        <f>IF($C367="","",IF($I367="","-",INDEX(SETUP!$B$16:$B$22,MATCH($I367,SETUP!$A$16:$A$22,1))))</f>
        <v>ROOKIE</v>
      </c>
      <c r="K367" s="19" t="str">
        <f>IF($C367="","",IF($I367="","-",TEXT(INT($I367/1000)*1000,"#,##0")&amp;" - "&amp;TEXT(INT($I367/1000)*1000+999,"#,##0")))</f>
        <v>0 - 999</v>
      </c>
      <c r="L367" s="71">
        <v>3</v>
      </c>
      <c r="M367" s="19" t="str">
        <f>IF($C367="","",IF($L367="","-",INDEX(SETUP!$B$36:$B$42,MATCH($L367,SETUP!$A$36:$A$42,1))))</f>
        <v>3k - 4k</v>
      </c>
      <c r="N367" s="21">
        <f>IF($C367="","",IF(OR($G367="",$I367=""),"",ROUND(100*(SETUP!$B$4*MIN(1,$I367/SETUP!$B$9)+SETUP!$B$5*MAX(0,MIN(1,($G367-SETUP!$B$10)/(SETUP!$B$11-SETUP!$B$10)))+SETUP!$B$6*MIN(1,IF($L367="",0,$L367)/SETUP!$B$12)),1)))</f>
        <v>23.6</v>
      </c>
      <c r="O367" s="19" t="str">
        <f>IF($C367="","",IF($N367="","-",INDEX(SETUP!$B$46:$B$51,MATCH($N367,SETUP!$A$46:$A$51,1))))</f>
        <v>C</v>
      </c>
      <c r="P367" s="19">
        <f>IF($C367="","",IF($I367="","",RANK($I367,$I$4:$I$1463)+COUNTIF($I$4:$I367,$I367)-1))</f>
        <v>1296</v>
      </c>
      <c r="Q367" s="19">
        <f>IF($C367="","",COUNTIFS($B$4:$B$1463,$B367,$X$4:$X$1463,"&gt;"&amp;$X367)+COUNTIFS($B$4:$B367,$B367,$X$4:$X367,"="&amp;$X367))</f>
        <v>89</v>
      </c>
      <c r="R367" s="75">
        <f>IF($C367="","",IF($I367="","",ROUND(COUNTIF($I$4:$I$1463,"&lt;"&amp;$I367)/COUNT($I$4:$I$1463),3)))</f>
        <v>2.1999999999999999E-2</v>
      </c>
      <c r="S367" s="19" t="str">
        <f>IF($C367="","",IF($G367="","Name only",IF(OR($I367="",$L367=""),"Partial","Complete")))</f>
        <v>Complete</v>
      </c>
      <c r="T367" s="1" t="str">
        <f>IF($C367="","",TRIM(IF(COUNTIF($C$4:$C$1463,$C367)&gt;1,"Dup name; ","")&amp;IF(AND($G367&lt;&gt;"",$G367&lt;55000),"Low CR - verify; ","")&amp;IF(AND($L367&lt;&gt;"",$L367&gt;15),"Secondary - verify; ","")&amp;IF($E367="","No class; ","")))</f>
        <v/>
      </c>
      <c r="U367" s="68"/>
      <c r="V367" s="68"/>
      <c r="W367" s="68"/>
      <c r="X367" s="76">
        <f t="shared" si="27"/>
        <v>785</v>
      </c>
      <c r="Y367" s="1" t="str">
        <f t="shared" si="28"/>
        <v>ZOMBIES|89</v>
      </c>
      <c r="Z367" s="19">
        <f>IF($C367="","",IF($G367="","",RANK($G367,$G$4:$G$1463)+COUNTIF($G$4:$G367,$G367)-1))</f>
        <v>1176</v>
      </c>
      <c r="AA367" s="19">
        <f>IF($C367="","",IF($N367="","",RANK($N367,$N$4:$N$1463)+COUNTIF($N$4:$N367,$N367)-1))</f>
        <v>1261</v>
      </c>
      <c r="AB367" s="1" t="str">
        <f>IF($C367="","",IF($E367="","",$E367&amp;"#"&amp;(COUNTIFS($E$4:$E$1463,$E367,$X$4:$X$1463,"&gt;"&amp;$X367)+COUNTIFS($E$4:$E367,$E367,$X$4:$X367,"="&amp;$X367))))</f>
        <v>CRUSADER#122</v>
      </c>
      <c r="AC367" s="1" t="str">
        <f>IF($C367="","",$B367&amp;"@"&amp;(COUNTIFS($B$4:$B$1463,$B367,$C$4:$C$1463,"&lt;"&amp;$C367)+COUNTIFS($B$4:$B367,$B367,$C$4:$C367,$C367)))</f>
        <v>ZOMBIES@29</v>
      </c>
      <c r="AD367" s="1">
        <f t="shared" si="29"/>
        <v>364</v>
      </c>
      <c r="AE367" s="1" t="s">
        <v>611</v>
      </c>
      <c r="AF367" s="76">
        <f t="shared" si="30"/>
        <v>60774</v>
      </c>
      <c r="AG367" s="77">
        <f t="shared" si="31"/>
        <v>3</v>
      </c>
      <c r="AH367" s="1" t="str">
        <f>IF($C367="","",$B367&amp;"|"&amp;(COUNTIFS($B$4:$B$1463,$B367,$AF$4:$AF$1463,"&gt;"&amp;$AF367)+COUNTIFS($B$4:$B367,$B367,$AF$4:$AF367,"="&amp;$AF367)))</f>
        <v>ZOMBIES|65</v>
      </c>
      <c r="AI367" s="1" t="str">
        <f>IF($C367="","",$B367&amp;"|"&amp;(COUNTIFS($B$4:$B$1463,$B367,$AG$4:$AG$1463,"&gt;"&amp;$AG367)+COUNTIFS($B$4:$B367,$B367,$AG$4:$AG367,"="&amp;$AG367)))</f>
        <v>ZOMBIES|72</v>
      </c>
    </row>
    <row r="368" spans="1:35" hidden="1">
      <c r="A368" s="69" t="s">
        <v>109</v>
      </c>
      <c r="B368" s="69" t="s">
        <v>115</v>
      </c>
      <c r="C368" s="63" t="s">
        <v>1203</v>
      </c>
      <c r="D368" s="69"/>
      <c r="E368" s="68" t="s">
        <v>79</v>
      </c>
      <c r="F368" s="15" t="str">
        <f>IF($C368="","",IF($E368="","-",IFERROR(INDEX(SETUP!$B$55:$B$64,MATCH($E368,SETUP!$A$55:$A$64,0)),"Other")))</f>
        <v>Control</v>
      </c>
      <c r="G368" s="70">
        <v>62797</v>
      </c>
      <c r="H368" s="15" t="str">
        <f>IF($C368="","",IF($G368="","-",INDEX(SETUP!$B$26:$B$32,MATCH($G368,SETUP!$A$26:$A$32,1))))</f>
        <v>62,000 - 62,999</v>
      </c>
      <c r="I368" s="70">
        <v>2650</v>
      </c>
      <c r="J368" s="15" t="str">
        <f>IF($C368="","",IF($I368="","-",INDEX(SETUP!$B$16:$B$22,MATCH($I368,SETUP!$A$16:$A$22,1))))</f>
        <v>DEVELOPING</v>
      </c>
      <c r="K368" s="15" t="str">
        <f>IF($C368="","",IF($I368="","-",TEXT(INT($I368/1000)*1000,"#,##0")&amp;" - "&amp;TEXT(INT($I368/1000)*1000+999,"#,##0")))</f>
        <v>2,000 - 2,999</v>
      </c>
      <c r="L368" s="71">
        <v>5.13</v>
      </c>
      <c r="M368" s="15" t="str">
        <f>IF($C368="","",IF($L368="","-",INDEX(SETUP!$B$36:$B$42,MATCH($L368,SETUP!$A$36:$A$42,1))))</f>
        <v>5k - 6k</v>
      </c>
      <c r="N368" s="17">
        <f>IF($C368="","",IF(OR($G368="",$I368=""),"",ROUND(100*(SETUP!$B$4*MIN(1,$I368/SETUP!$B$9)+SETUP!$B$5*MAX(0,MIN(1,($G368-SETUP!$B$10)/(SETUP!$B$11-SETUP!$B$10)))+SETUP!$B$6*MIN(1,IF($L368="",0,$L368)/SETUP!$B$12)),1)))</f>
        <v>40.6</v>
      </c>
      <c r="O368" s="15" t="str">
        <f>IF($C368="","",IF($N368="","-",INDEX(SETUP!$B$46:$B$51,MATCH($N368,SETUP!$A$46:$A$51,1))))</f>
        <v>B</v>
      </c>
      <c r="P368" s="15">
        <f>IF($C368="","",IF($I368="","",RANK($I368,$I$4:$I$1463)+COUNTIF($I$4:$I368,$I368)-1))</f>
        <v>964</v>
      </c>
      <c r="Q368" s="15">
        <f>IF($C368="","",COUNTIFS($B$4:$B$1463,$B368,$X$4:$X$1463,"&gt;"&amp;$X368)+COUNTIFS($B$4:$B368,$B368,$X$4:$X368,"="&amp;$X368))</f>
        <v>31</v>
      </c>
      <c r="R368" s="72">
        <f>IF($C368="","",IF($I368="","",ROUND(COUNTIF($I$4:$I$1463,"&lt;"&amp;$I368)/COUNT($I$4:$I$1463),3)))</f>
        <v>0.27200000000000002</v>
      </c>
      <c r="S368" s="15" t="str">
        <f>IF($C368="","",IF($G368="","Name only",IF(OR($I368="",$L368=""),"Partial","Complete")))</f>
        <v>Complete</v>
      </c>
      <c r="T368" s="41" t="str">
        <f>IF($C368="","",TRIM(IF(COUNTIF($C$4:$C$1463,$C368)&gt;1,"Dup name; ","")&amp;IF(AND($G368&lt;&gt;"",$G368&lt;55000),"Low CR - verify; ","")&amp;IF(AND($L368&lt;&gt;"",$L368&gt;15),"Secondary - verify; ","")&amp;IF($E368="","No class; ","")))</f>
        <v/>
      </c>
      <c r="U368" s="68"/>
      <c r="V368" s="68"/>
      <c r="W368" s="68"/>
      <c r="X368" s="73">
        <f t="shared" si="27"/>
        <v>2650</v>
      </c>
      <c r="Y368" s="41" t="str">
        <f t="shared" si="28"/>
        <v>SUB ROSA|31</v>
      </c>
      <c r="Z368" s="15">
        <f>IF($C368="","",IF($G368="","",RANK($G368,$G$4:$G$1463)+COUNTIF($G$4:$G368,$G368)-1))</f>
        <v>521</v>
      </c>
      <c r="AA368" s="15">
        <f>IF($C368="","",IF($N368="","",RANK($N368,$N$4:$N$1463)+COUNTIF($N$4:$N368,$N368)-1))</f>
        <v>795</v>
      </c>
      <c r="AB368" s="41" t="str">
        <f>IF($C368="","",IF($E368="","",$E368&amp;"#"&amp;(COUNTIFS($E$4:$E$1463,$E368,$X$4:$X$1463,"&gt;"&amp;$X368)+COUNTIFS($E$4:$E368,$E368,$X$4:$X368,"="&amp;$X368))))</f>
        <v>WARLOCK#241</v>
      </c>
      <c r="AC368" s="41" t="str">
        <f>IF($C368="","",$B368&amp;"@"&amp;(COUNTIFS($B$4:$B$1463,$B368,$C$4:$C$1463,"&lt;"&amp;$C368)+COUNTIFS($B$4:$B368,$B368,$C$4:$C368,$C368)))</f>
        <v>SUB ROSA@22</v>
      </c>
      <c r="AD368" s="41">
        <f t="shared" si="29"/>
        <v>365</v>
      </c>
      <c r="AE368" s="41" t="s">
        <v>1204</v>
      </c>
      <c r="AF368" s="73">
        <f t="shared" si="30"/>
        <v>62797</v>
      </c>
      <c r="AG368" s="74">
        <f t="shared" si="31"/>
        <v>5.13</v>
      </c>
      <c r="AH368" s="41" t="str">
        <f>IF($C368="","",$B368&amp;"|"&amp;(COUNTIFS($B$4:$B$1463,$B368,$AF$4:$AF$1463,"&gt;"&amp;$AF368)+COUNTIFS($B$4:$B368,$B368,$AF$4:$AF368,"="&amp;$AF368)))</f>
        <v>SUB ROSA|15</v>
      </c>
      <c r="AI368" s="41" t="str">
        <f>IF($C368="","",$B368&amp;"|"&amp;(COUNTIFS($B$4:$B$1463,$B368,$AG$4:$AG$1463,"&gt;"&amp;$AG368)+COUNTIFS($B$4:$B368,$B368,$AG$4:$AG368,"="&amp;$AG368)))</f>
        <v>SUB ROSA|10</v>
      </c>
    </row>
    <row r="369" spans="1:35" hidden="1">
      <c r="A369" s="69" t="s">
        <v>109</v>
      </c>
      <c r="B369" s="69" t="s">
        <v>112</v>
      </c>
      <c r="C369" s="63" t="s">
        <v>1205</v>
      </c>
      <c r="D369" s="69" t="s">
        <v>567</v>
      </c>
      <c r="E369" s="68" t="s">
        <v>77</v>
      </c>
      <c r="F369" s="19" t="str">
        <f>IF($C369="","",IF($E369="","-",IFERROR(INDEX(SETUP!$B$55:$B$64,MATCH($E369,SETUP!$A$55:$A$64,0)),"Other")))</f>
        <v>Control</v>
      </c>
      <c r="G369" s="70">
        <v>62734</v>
      </c>
      <c r="H369" s="19" t="str">
        <f>IF($C369="","",IF($G369="","-",INDEX(SETUP!$B$26:$B$32,MATCH($G369,SETUP!$A$26:$A$32,1))))</f>
        <v>62,000 - 62,999</v>
      </c>
      <c r="I369" s="70">
        <v>4559</v>
      </c>
      <c r="J369" s="19" t="str">
        <f>IF($C369="","",IF($I369="","-",INDEX(SETUP!$B$16:$B$22,MATCH($I369,SETUP!$A$16:$A$22,1))))</f>
        <v>CORE</v>
      </c>
      <c r="K369" s="19" t="str">
        <f>IF($C369="","",IF($I369="","-",TEXT(INT($I369/1000)*1000,"#,##0")&amp;" - "&amp;TEXT(INT($I369/1000)*1000+999,"#,##0")))</f>
        <v>4,000 - 4,999</v>
      </c>
      <c r="L369" s="71">
        <v>6.65</v>
      </c>
      <c r="M369" s="19" t="str">
        <f>IF($C369="","",IF($L369="","-",INDEX(SETUP!$B$36:$B$42,MATCH($L369,SETUP!$A$36:$A$42,1))))</f>
        <v>6k - 8k</v>
      </c>
      <c r="N369" s="21">
        <f>IF($C369="","",IF(OR($G369="",$I369=""),"",ROUND(100*(SETUP!$B$4*MIN(1,$I369/SETUP!$B$9)+SETUP!$B$5*MAX(0,MIN(1,($G369-SETUP!$B$10)/(SETUP!$B$11-SETUP!$B$10)))+SETUP!$B$6*MIN(1,IF($L369="",0,$L369)/SETUP!$B$12)),1)))</f>
        <v>51.3</v>
      </c>
      <c r="O369" s="19" t="str">
        <f>IF($C369="","",IF($N369="","-",INDEX(SETUP!$B$46:$B$51,MATCH($N369,SETUP!$A$46:$A$51,1))))</f>
        <v>A</v>
      </c>
      <c r="P369" s="19">
        <f>IF($C369="","",IF($I369="","",RANK($I369,$I$4:$I$1463)+COUNTIF($I$4:$I369,$I369)-1))</f>
        <v>482</v>
      </c>
      <c r="Q369" s="19">
        <f>IF($C369="","",COUNTIFS($B$4:$B$1463,$B369,$X$4:$X$1463,"&gt;"&amp;$X369)+COUNTIFS($B$4:$B369,$B369,$X$4:$X369,"="&amp;$X369))</f>
        <v>34</v>
      </c>
      <c r="R369" s="75">
        <f>IF($C369="","",IF($I369="","",ROUND(COUNTIF($I$4:$I$1463,"&lt;"&amp;$I369)/COUNT($I$4:$I$1463),3)))</f>
        <v>0.63600000000000001</v>
      </c>
      <c r="S369" s="19" t="str">
        <f>IF($C369="","",IF($G369="","Name only",IF(OR($I369="",$L369=""),"Partial","Complete")))</f>
        <v>Complete</v>
      </c>
      <c r="T369" s="1" t="str">
        <f>IF($C369="","",TRIM(IF(COUNTIF($C$4:$C$1463,$C369)&gt;1,"Dup name; ","")&amp;IF(AND($G369&lt;&gt;"",$G369&lt;55000),"Low CR - verify; ","")&amp;IF(AND($L369&lt;&gt;"",$L369&gt;15),"Secondary - verify; ","")&amp;IF($E369="","No class; ","")))</f>
        <v/>
      </c>
      <c r="U369" s="68"/>
      <c r="V369" s="68"/>
      <c r="W369" s="68"/>
      <c r="X369" s="76">
        <f t="shared" si="27"/>
        <v>4559</v>
      </c>
      <c r="Y369" s="1" t="str">
        <f t="shared" si="28"/>
        <v>ACHERON|34</v>
      </c>
      <c r="Z369" s="19">
        <f>IF($C369="","",IF($G369="","",RANK($G369,$G$4:$G$1463)+COUNTIF($G$4:$G369,$G369)-1))</f>
        <v>553</v>
      </c>
      <c r="AA369" s="19">
        <f>IF($C369="","",IF($N369="","",RANK($N369,$N$4:$N$1463)+COUNTIF($N$4:$N369,$N369)-1))</f>
        <v>411</v>
      </c>
      <c r="AB369" s="1" t="str">
        <f>IF($C369="","",IF($E369="","",$E369&amp;"#"&amp;(COUNTIFS($E$4:$E$1463,$E369,$X$4:$X$1463,"&gt;"&amp;$X369)+COUNTIFS($E$4:$E369,$E369,$X$4:$X369,"="&amp;$X369))))</f>
        <v>NECROMANCER#24</v>
      </c>
      <c r="AC369" s="1" t="str">
        <f>IF($C369="","",$B369&amp;"@"&amp;(COUNTIFS($B$4:$B$1463,$B369,$C$4:$C$1463,"&lt;"&amp;$C369)+COUNTIFS($B$4:$B369,$B369,$C$4:$C369,$C369)))</f>
        <v>ACHERON@24</v>
      </c>
      <c r="AD369" s="1">
        <f t="shared" si="29"/>
        <v>366</v>
      </c>
      <c r="AE369" s="1" t="s">
        <v>1206</v>
      </c>
      <c r="AF369" s="76">
        <f t="shared" si="30"/>
        <v>62734</v>
      </c>
      <c r="AG369" s="77">
        <f t="shared" si="31"/>
        <v>6.65</v>
      </c>
      <c r="AH369" s="1" t="str">
        <f>IF($C369="","",$B369&amp;"|"&amp;(COUNTIFS($B$4:$B$1463,$B369,$AF$4:$AF$1463,"&gt;"&amp;$AF369)+COUNTIFS($B$4:$B369,$B369,$AF$4:$AF369,"="&amp;$AF369)))</f>
        <v>ACHERON|42</v>
      </c>
      <c r="AI369" s="1" t="str">
        <f>IF($C369="","",$B369&amp;"|"&amp;(COUNTIFS($B$4:$B$1463,$B369,$AG$4:$AG$1463,"&gt;"&amp;$AG369)+COUNTIFS($B$4:$B369,$B369,$AG$4:$AG369,"="&amp;$AG369)))</f>
        <v>ACHERON|12</v>
      </c>
    </row>
    <row r="370" spans="1:35" hidden="1">
      <c r="A370" s="69" t="s">
        <v>109</v>
      </c>
      <c r="B370" s="69" t="s">
        <v>115</v>
      </c>
      <c r="C370" s="63" t="s">
        <v>1207</v>
      </c>
      <c r="D370" s="69"/>
      <c r="E370" s="68" t="s">
        <v>74</v>
      </c>
      <c r="F370" s="15" t="str">
        <f>IF($C370="","",IF($E370="","-",IFERROR(INDEX(SETUP!$B$55:$B$64,MATCH($E370,SETUP!$A$55:$A$64,0)),"Other")))</f>
        <v>Ranged DPS</v>
      </c>
      <c r="G370" s="70">
        <v>61555</v>
      </c>
      <c r="H370" s="15" t="str">
        <f>IF($C370="","",IF($G370="","-",INDEX(SETUP!$B$26:$B$32,MATCH($G370,SETUP!$A$26:$A$32,1))))</f>
        <v>61,000 - 61,999</v>
      </c>
      <c r="I370" s="70">
        <v>1100</v>
      </c>
      <c r="J370" s="15" t="str">
        <f>IF($C370="","",IF($I370="","-",INDEX(SETUP!$B$16:$B$22,MATCH($I370,SETUP!$A$16:$A$22,1))))</f>
        <v>ROOKIE</v>
      </c>
      <c r="K370" s="15" t="str">
        <f>IF($C370="","",IF($I370="","-",TEXT(INT($I370/1000)*1000,"#,##0")&amp;" - "&amp;TEXT(INT($I370/1000)*1000+999,"#,##0")))</f>
        <v>1,000 - 1,999</v>
      </c>
      <c r="L370" s="71">
        <v>2.95</v>
      </c>
      <c r="M370" s="15" t="str">
        <f>IF($C370="","",IF($L370="","-",INDEX(SETUP!$B$36:$B$42,MATCH($L370,SETUP!$A$36:$A$42,1))))</f>
        <v>Under 3k</v>
      </c>
      <c r="N370" s="17">
        <f>IF($C370="","",IF(OR($G370="",$I370=""),"",ROUND(100*(SETUP!$B$4*MIN(1,$I370/SETUP!$B$9)+SETUP!$B$5*MAX(0,MIN(1,($G370-SETUP!$B$10)/(SETUP!$B$11-SETUP!$B$10)))+SETUP!$B$6*MIN(1,IF($L370="",0,$L370)/SETUP!$B$12)),1)))</f>
        <v>27</v>
      </c>
      <c r="O370" s="15" t="str">
        <f>IF($C370="","",IF($N370="","-",INDEX(SETUP!$B$46:$B$51,MATCH($N370,SETUP!$A$46:$A$51,1))))</f>
        <v>C</v>
      </c>
      <c r="P370" s="15">
        <f>IF($C370="","",IF($I370="","",RANK($I370,$I$4:$I$1463)+COUNTIF($I$4:$I370,$I370)-1))</f>
        <v>1255</v>
      </c>
      <c r="Q370" s="15">
        <f>IF($C370="","",COUNTIFS($B$4:$B$1463,$B370,$X$4:$X$1463,"&gt;"&amp;$X370)+COUNTIFS($B$4:$B370,$B370,$X$4:$X370,"="&amp;$X370))</f>
        <v>59</v>
      </c>
      <c r="R370" s="72">
        <f>IF($C370="","",IF($I370="","",ROUND(COUNTIF($I$4:$I$1463,"&lt;"&amp;$I370)/COUNT($I$4:$I$1463),3)))</f>
        <v>5.2999999999999999E-2</v>
      </c>
      <c r="S370" s="15" t="str">
        <f>IF($C370="","",IF($G370="","Name only",IF(OR($I370="",$L370=""),"Partial","Complete")))</f>
        <v>Complete</v>
      </c>
      <c r="T370" s="41" t="str">
        <f>IF($C370="","",TRIM(IF(COUNTIF($C$4:$C$1463,$C370)&gt;1,"Dup name; ","")&amp;IF(AND($G370&lt;&gt;"",$G370&lt;55000),"Low CR - verify; ","")&amp;IF(AND($L370&lt;&gt;"",$L370&gt;15),"Secondary - verify; ","")&amp;IF($E370="","No class; ","")))</f>
        <v/>
      </c>
      <c r="U370" s="68"/>
      <c r="V370" s="68"/>
      <c r="W370" s="68"/>
      <c r="X370" s="73">
        <f t="shared" si="27"/>
        <v>1100</v>
      </c>
      <c r="Y370" s="41" t="str">
        <f t="shared" si="28"/>
        <v>SUB ROSA|59</v>
      </c>
      <c r="Z370" s="15">
        <f>IF($C370="","",IF($G370="","",RANK($G370,$G$4:$G$1463)+COUNTIF($G$4:$G370,$G370)-1))</f>
        <v>989</v>
      </c>
      <c r="AA370" s="15">
        <f>IF($C370="","",IF($N370="","",RANK($N370,$N$4:$N$1463)+COUNTIF($N$4:$N370,$N370)-1))</f>
        <v>1209</v>
      </c>
      <c r="AB370" s="41" t="str">
        <f>IF($C370="","",IF($E370="","",$E370&amp;"#"&amp;(COUNTIFS($E$4:$E$1463,$E370,$X$4:$X$1463,"&gt;"&amp;$X370)+COUNTIFS($E$4:$E370,$E370,$X$4:$X370,"="&amp;$X370))))</f>
        <v>DEMON HUNTER#183</v>
      </c>
      <c r="AC370" s="41" t="str">
        <f>IF($C370="","",$B370&amp;"@"&amp;(COUNTIFS($B$4:$B$1463,$B370,$C$4:$C$1463,"&lt;"&amp;$C370)+COUNTIFS($B$4:$B370,$B370,$C$4:$C370,$C370)))</f>
        <v>SUB ROSA@23</v>
      </c>
      <c r="AD370" s="41">
        <f t="shared" si="29"/>
        <v>367</v>
      </c>
      <c r="AE370" s="41" t="s">
        <v>1208</v>
      </c>
      <c r="AF370" s="73">
        <f t="shared" si="30"/>
        <v>61555</v>
      </c>
      <c r="AG370" s="74">
        <f t="shared" si="31"/>
        <v>2.95</v>
      </c>
      <c r="AH370" s="41" t="str">
        <f>IF($C370="","",$B370&amp;"|"&amp;(COUNTIFS($B$4:$B$1463,$B370,$AF$4:$AF$1463,"&gt;"&amp;$AF370)+COUNTIFS($B$4:$B370,$B370,$AF$4:$AF370,"="&amp;$AF370)))</f>
        <v>SUB ROSA|44</v>
      </c>
      <c r="AI370" s="41" t="str">
        <f>IF($C370="","",$B370&amp;"|"&amp;(COUNTIFS($B$4:$B$1463,$B370,$AG$4:$AG$1463,"&gt;"&amp;$AG370)+COUNTIFS($B$4:$B370,$B370,$AG$4:$AG370,"="&amp;$AG370)))</f>
        <v>SUB ROSA|55</v>
      </c>
    </row>
    <row r="371" spans="1:35" hidden="1">
      <c r="A371" s="69" t="s">
        <v>109</v>
      </c>
      <c r="B371" s="69" t="s">
        <v>108</v>
      </c>
      <c r="C371" s="63" t="s">
        <v>1209</v>
      </c>
      <c r="D371" s="69"/>
      <c r="E371" s="68" t="s">
        <v>74</v>
      </c>
      <c r="F371" s="19" t="str">
        <f>IF($C371="","",IF($E371="","-",IFERROR(INDEX(SETUP!$B$55:$B$64,MATCH($E371,SETUP!$A$55:$A$64,0)),"Other")))</f>
        <v>Ranged DPS</v>
      </c>
      <c r="G371" s="70">
        <v>63153</v>
      </c>
      <c r="H371" s="19" t="str">
        <f>IF($C371="","",IF($G371="","-",INDEX(SETUP!$B$26:$B$32,MATCH($G371,SETUP!$A$26:$A$32,1))))</f>
        <v>63,000 - 63,999</v>
      </c>
      <c r="I371" s="70">
        <v>5902</v>
      </c>
      <c r="J371" s="19" t="str">
        <f>IF($C371="","",IF($I371="","-",INDEX(SETUP!$B$16:$B$22,MATCH($I371,SETUP!$A$16:$A$22,1))))</f>
        <v>CORE</v>
      </c>
      <c r="K371" s="19" t="str">
        <f>IF($C371="","",IF($I371="","-",TEXT(INT($I371/1000)*1000,"#,##0")&amp;" - "&amp;TEXT(INT($I371/1000)*1000+999,"#,##0")))</f>
        <v>5,000 - 5,999</v>
      </c>
      <c r="L371" s="71">
        <v>5.75</v>
      </c>
      <c r="M371" s="19" t="str">
        <f>IF($C371="","",IF($L371="","-",INDEX(SETUP!$B$36:$B$42,MATCH($L371,SETUP!$A$36:$A$42,1))))</f>
        <v>5k - 6k</v>
      </c>
      <c r="N371" s="21">
        <f>IF($C371="","",IF(OR($G371="",$I371=""),"",ROUND(100*(SETUP!$B$4*MIN(1,$I371/SETUP!$B$9)+SETUP!$B$5*MAX(0,MIN(1,($G371-SETUP!$B$10)/(SETUP!$B$11-SETUP!$B$10)))+SETUP!$B$6*MIN(1,IF($L371="",0,$L371)/SETUP!$B$12)),1)))</f>
        <v>56.8</v>
      </c>
      <c r="O371" s="19" t="str">
        <f>IF($C371="","",IF($N371="","-",INDEX(SETUP!$B$46:$B$51,MATCH($N371,SETUP!$A$46:$A$51,1))))</f>
        <v>A</v>
      </c>
      <c r="P371" s="19">
        <f>IF($C371="","",IF($I371="","",RANK($I371,$I$4:$I$1463)+COUNTIF($I$4:$I371,$I371)-1))</f>
        <v>299</v>
      </c>
      <c r="Q371" s="19">
        <f>IF($C371="","",COUNTIFS($B$4:$B$1463,$B371,$X$4:$X$1463,"&gt;"&amp;$X371)+COUNTIFS($B$4:$B371,$B371,$X$4:$X371,"="&amp;$X371))</f>
        <v>47</v>
      </c>
      <c r="R371" s="75">
        <f>IF($C371="","",IF($I371="","",ROUND(COUNTIF($I$4:$I$1463,"&lt;"&amp;$I371)/COUNT($I$4:$I$1463),3)))</f>
        <v>0.77400000000000002</v>
      </c>
      <c r="S371" s="19" t="str">
        <f>IF($C371="","",IF($G371="","Name only",IF(OR($I371="",$L371=""),"Partial","Complete")))</f>
        <v>Complete</v>
      </c>
      <c r="T371" s="1" t="str">
        <f>IF($C371="","",TRIM(IF(COUNTIF($C$4:$C$1463,$C371)&gt;1,"Dup name; ","")&amp;IF(AND($G371&lt;&gt;"",$G371&lt;55000),"Low CR - verify; ","")&amp;IF(AND($L371&lt;&gt;"",$L371&gt;15),"Secondary - verify; ","")&amp;IF($E371="","No class; ","")))</f>
        <v/>
      </c>
      <c r="U371" s="68"/>
      <c r="V371" s="68"/>
      <c r="W371" s="68"/>
      <c r="X371" s="76">
        <f t="shared" si="27"/>
        <v>5902</v>
      </c>
      <c r="Y371" s="1" t="str">
        <f t="shared" si="28"/>
        <v>SBG|47</v>
      </c>
      <c r="Z371" s="19">
        <f>IF($C371="","",IF($G371="","",RANK($G371,$G$4:$G$1463)+COUNTIF($G$4:$G371,$G371)-1))</f>
        <v>342</v>
      </c>
      <c r="AA371" s="19">
        <f>IF($C371="","",IF($N371="","",RANK($N371,$N$4:$N$1463)+COUNTIF($N$4:$N371,$N371)-1))</f>
        <v>283</v>
      </c>
      <c r="AB371" s="1" t="str">
        <f>IF($C371="","",IF($E371="","",$E371&amp;"#"&amp;(COUNTIFS($E$4:$E$1463,$E371,$X$4:$X$1463,"&gt;"&amp;$X371)+COUNTIFS($E$4:$E371,$E371,$X$4:$X371,"="&amp;$X371))))</f>
        <v>DEMON HUNTER#51</v>
      </c>
      <c r="AC371" s="1" t="str">
        <f>IF($C371="","",$B371&amp;"@"&amp;(COUNTIFS($B$4:$B$1463,$B371,$C$4:$C$1463,"&lt;"&amp;$C371)+COUNTIFS($B$4:$B371,$B371,$C$4:$C371,$C371)))</f>
        <v>SBG@20</v>
      </c>
      <c r="AD371" s="1">
        <f t="shared" si="29"/>
        <v>368</v>
      </c>
      <c r="AE371" s="1" t="s">
        <v>1210</v>
      </c>
      <c r="AF371" s="76">
        <f t="shared" si="30"/>
        <v>63153</v>
      </c>
      <c r="AG371" s="77">
        <f t="shared" si="31"/>
        <v>5.75</v>
      </c>
      <c r="AH371" s="1" t="str">
        <f>IF($C371="","",$B371&amp;"|"&amp;(COUNTIFS($B$4:$B$1463,$B371,$AF$4:$AF$1463,"&gt;"&amp;$AF371)+COUNTIFS($B$4:$B371,$B371,$AF$4:$AF371,"="&amp;$AF371)))</f>
        <v>SBG|42</v>
      </c>
      <c r="AI371" s="1" t="str">
        <f>IF($C371="","",$B371&amp;"|"&amp;(COUNTIFS($B$4:$B$1463,$B371,$AG$4:$AG$1463,"&gt;"&amp;$AG371)+COUNTIFS($B$4:$B371,$B371,$AG$4:$AG371,"="&amp;$AG371)))</f>
        <v>SBG|48</v>
      </c>
    </row>
    <row r="372" spans="1:35" hidden="1">
      <c r="A372" s="69" t="s">
        <v>109</v>
      </c>
      <c r="B372" s="69" t="s">
        <v>110</v>
      </c>
      <c r="C372" s="63" t="s">
        <v>1211</v>
      </c>
      <c r="D372" s="69"/>
      <c r="E372" s="68" t="s">
        <v>71</v>
      </c>
      <c r="F372" s="15" t="str">
        <f>IF($C372="","",IF($E372="","-",IFERROR(INDEX(SETUP!$B$55:$B$64,MATCH($E372,SETUP!$A$55:$A$64,0)),"Other")))</f>
        <v>Frontline</v>
      </c>
      <c r="G372" s="70">
        <v>61906</v>
      </c>
      <c r="H372" s="15" t="str">
        <f>IF($C372="","",IF($G372="","-",INDEX(SETUP!$B$26:$B$32,MATCH($G372,SETUP!$A$26:$A$32,1))))</f>
        <v>61,000 - 61,999</v>
      </c>
      <c r="I372" s="70">
        <v>4580</v>
      </c>
      <c r="J372" s="15" t="str">
        <f>IF($C372="","",IF($I372="","-",INDEX(SETUP!$B$16:$B$22,MATCH($I372,SETUP!$A$16:$A$22,1))))</f>
        <v>CORE</v>
      </c>
      <c r="K372" s="15" t="str">
        <f>IF($C372="","",IF($I372="","-",TEXT(INT($I372/1000)*1000,"#,##0")&amp;" - "&amp;TEXT(INT($I372/1000)*1000+999,"#,##0")))</f>
        <v>4,000 - 4,999</v>
      </c>
      <c r="L372" s="71">
        <v>4</v>
      </c>
      <c r="M372" s="15" t="str">
        <f>IF($C372="","",IF($L372="","-",INDEX(SETUP!$B$36:$B$42,MATCH($L372,SETUP!$A$36:$A$42,1))))</f>
        <v>4k - 5k</v>
      </c>
      <c r="N372" s="17">
        <f>IF($C372="","",IF(OR($G372="",$I372=""),"",ROUND(100*(SETUP!$B$4*MIN(1,$I372/SETUP!$B$9)+SETUP!$B$5*MAX(0,MIN(1,($G372-SETUP!$B$10)/(SETUP!$B$11-SETUP!$B$10)))+SETUP!$B$6*MIN(1,IF($L372="",0,$L372)/SETUP!$B$12)),1)))</f>
        <v>44.8</v>
      </c>
      <c r="O372" s="15" t="str">
        <f>IF($C372="","",IF($N372="","-",INDEX(SETUP!$B$46:$B$51,MATCH($N372,SETUP!$A$46:$A$51,1))))</f>
        <v>B</v>
      </c>
      <c r="P372" s="15">
        <f>IF($C372="","",IF($I372="","",RANK($I372,$I$4:$I$1463)+COUNTIF($I$4:$I372,$I372)-1))</f>
        <v>479</v>
      </c>
      <c r="Q372" s="15">
        <f>IF($C372="","",COUNTIFS($B$4:$B$1463,$B372,$X$4:$X$1463,"&gt;"&amp;$X372)+COUNTIFS($B$4:$B372,$B372,$X$4:$X372,"="&amp;$X372))</f>
        <v>55</v>
      </c>
      <c r="R372" s="72">
        <f>IF($C372="","",IF($I372="","",ROUND(COUNTIF($I$4:$I$1463,"&lt;"&amp;$I372)/COUNT($I$4:$I$1463),3)))</f>
        <v>0.63800000000000001</v>
      </c>
      <c r="S372" s="15" t="str">
        <f>IF($C372="","",IF($G372="","Name only",IF(OR($I372="",$L372=""),"Partial","Complete")))</f>
        <v>Complete</v>
      </c>
      <c r="T372" s="41" t="str">
        <f>IF($C372="","",TRIM(IF(COUNTIF($C$4:$C$1463,$C372)&gt;1,"Dup name; ","")&amp;IF(AND($G372&lt;&gt;"",$G372&lt;55000),"Low CR - verify; ","")&amp;IF(AND($L372&lt;&gt;"",$L372&gt;15),"Secondary - verify; ","")&amp;IF($E372="","No class; ","")))</f>
        <v/>
      </c>
      <c r="U372" s="68"/>
      <c r="V372" s="68"/>
      <c r="W372" s="68"/>
      <c r="X372" s="73">
        <f t="shared" si="27"/>
        <v>4580</v>
      </c>
      <c r="Y372" s="41" t="str">
        <f t="shared" si="28"/>
        <v>AZUKI|55</v>
      </c>
      <c r="Z372" s="15">
        <f>IF($C372="","",IF($G372="","",RANK($G372,$G$4:$G$1463)+COUNTIF($G$4:$G372,$G372)-1))</f>
        <v>872</v>
      </c>
      <c r="AA372" s="15">
        <f>IF($C372="","",IF($N372="","",RANK($N372,$N$4:$N$1463)+COUNTIF($N$4:$N372,$N372)-1))</f>
        <v>629</v>
      </c>
      <c r="AB372" s="41" t="str">
        <f>IF($C372="","",IF($E372="","",$E372&amp;"#"&amp;(COUNTIFS($E$4:$E$1463,$E372,$X$4:$X$1463,"&gt;"&amp;$X372)+COUNTIFS($E$4:$E372,$E372,$X$4:$X372,"="&amp;$X372))))</f>
        <v>BARBARIAN#94</v>
      </c>
      <c r="AC372" s="41" t="str">
        <f>IF($C372="","",$B372&amp;"@"&amp;(COUNTIFS($B$4:$B$1463,$B372,$C$4:$C$1463,"&lt;"&amp;$C372)+COUNTIFS($B$4:$B372,$B372,$C$4:$C372,$C372)))</f>
        <v>AZUKI@34</v>
      </c>
      <c r="AD372" s="41">
        <f t="shared" si="29"/>
        <v>369</v>
      </c>
      <c r="AE372" s="41" t="s">
        <v>851</v>
      </c>
      <c r="AF372" s="73">
        <f t="shared" si="30"/>
        <v>61906</v>
      </c>
      <c r="AG372" s="74">
        <f t="shared" si="31"/>
        <v>4</v>
      </c>
      <c r="AH372" s="41" t="str">
        <f>IF($C372="","",$B372&amp;"|"&amp;(COUNTIFS($B$4:$B$1463,$B372,$AF$4:$AF$1463,"&gt;"&amp;$AF372)+COUNTIFS($B$4:$B372,$B372,$AF$4:$AF372,"="&amp;$AF372)))</f>
        <v>AZUKI|81</v>
      </c>
      <c r="AI372" s="41" t="str">
        <f>IF($C372="","",$B372&amp;"|"&amp;(COUNTIFS($B$4:$B$1463,$B372,$AG$4:$AG$1463,"&gt;"&amp;$AG372)+COUNTIFS($B$4:$B372,$B372,$AG$4:$AG372,"="&amp;$AG372)))</f>
        <v>AZUKI|93</v>
      </c>
    </row>
    <row r="373" spans="1:35" hidden="1">
      <c r="A373" s="69" t="s">
        <v>109</v>
      </c>
      <c r="B373" s="69" t="s">
        <v>114</v>
      </c>
      <c r="C373" s="63" t="s">
        <v>1212</v>
      </c>
      <c r="D373" s="69"/>
      <c r="E373" s="68" t="s">
        <v>77</v>
      </c>
      <c r="F373" s="19" t="str">
        <f>IF($C373="","",IF($E373="","-",IFERROR(INDEX(SETUP!$B$55:$B$64,MATCH($E373,SETUP!$A$55:$A$64,0)),"Other")))</f>
        <v>Control</v>
      </c>
      <c r="G373" s="70">
        <v>61173</v>
      </c>
      <c r="H373" s="19" t="str">
        <f>IF($C373="","",IF($G373="","-",INDEX(SETUP!$B$26:$B$32,MATCH($G373,SETUP!$A$26:$A$32,1))))</f>
        <v>61,000 - 61,999</v>
      </c>
      <c r="I373" s="70">
        <v>1676</v>
      </c>
      <c r="J373" s="19" t="str">
        <f>IF($C373="","",IF($I373="","-",INDEX(SETUP!$B$16:$B$22,MATCH($I373,SETUP!$A$16:$A$22,1))))</f>
        <v>ROOKIE</v>
      </c>
      <c r="K373" s="19" t="str">
        <f>IF($C373="","",IF($I373="","-",TEXT(INT($I373/1000)*1000,"#,##0")&amp;" - "&amp;TEXT(INT($I373/1000)*1000+999,"#,##0")))</f>
        <v>1,000 - 1,999</v>
      </c>
      <c r="L373" s="71">
        <v>4.0999999999999996</v>
      </c>
      <c r="M373" s="19" t="str">
        <f>IF($C373="","",IF($L373="","-",INDEX(SETUP!$B$36:$B$42,MATCH($L373,SETUP!$A$36:$A$42,1))))</f>
        <v>4k - 5k</v>
      </c>
      <c r="N373" s="21">
        <f>IF($C373="","",IF(OR($G373="",$I373=""),"",ROUND(100*(SETUP!$B$4*MIN(1,$I373/SETUP!$B$9)+SETUP!$B$5*MAX(0,MIN(1,($G373-SETUP!$B$10)/(SETUP!$B$11-SETUP!$B$10)))+SETUP!$B$6*MIN(1,IF($L373="",0,$L373)/SETUP!$B$12)),1)))</f>
        <v>30.4</v>
      </c>
      <c r="O373" s="19" t="str">
        <f>IF($C373="","",IF($N373="","-",INDEX(SETUP!$B$46:$B$51,MATCH($N373,SETUP!$A$46:$A$51,1))))</f>
        <v>C</v>
      </c>
      <c r="P373" s="19">
        <f>IF($C373="","",IF($I373="","",RANK($I373,$I$4:$I$1463)+COUNTIF($I$4:$I373,$I373)-1))</f>
        <v>1165</v>
      </c>
      <c r="Q373" s="19">
        <f>IF($C373="","",COUNTIFS($B$4:$B$1463,$B373,$X$4:$X$1463,"&gt;"&amp;$X373)+COUNTIFS($B$4:$B373,$B373,$X$4:$X373,"="&amp;$X373))</f>
        <v>63</v>
      </c>
      <c r="R373" s="75">
        <f>IF($C373="","",IF($I373="","",ROUND(COUNTIF($I$4:$I$1463,"&lt;"&amp;$I373)/COUNT($I$4:$I$1463),3)))</f>
        <v>0.121</v>
      </c>
      <c r="S373" s="19" t="str">
        <f>IF($C373="","",IF($G373="","Name only",IF(OR($I373="",$L373=""),"Partial","Complete")))</f>
        <v>Complete</v>
      </c>
      <c r="T373" s="1" t="str">
        <f>IF($C373="","",TRIM(IF(COUNTIF($C$4:$C$1463,$C373)&gt;1,"Dup name; ","")&amp;IF(AND($G373&lt;&gt;"",$G373&lt;55000),"Low CR - verify; ","")&amp;IF(AND($L373&lt;&gt;"",$L373&gt;15),"Secondary - verify; ","")&amp;IF($E373="","No class; ","")))</f>
        <v/>
      </c>
      <c r="U373" s="68"/>
      <c r="V373" s="68"/>
      <c r="W373" s="68"/>
      <c r="X373" s="76">
        <f t="shared" si="27"/>
        <v>1676</v>
      </c>
      <c r="Y373" s="1" t="str">
        <f t="shared" si="28"/>
        <v>EMERALD LEAF TRIBE|63</v>
      </c>
      <c r="Z373" s="19">
        <f>IF($C373="","",IF($G373="","",RANK($G373,$G$4:$G$1463)+COUNTIF($G$4:$G373,$G373)-1))</f>
        <v>1101</v>
      </c>
      <c r="AA373" s="19">
        <f>IF($C373="","",IF($N373="","",RANK($N373,$N$4:$N$1463)+COUNTIF($N$4:$N373,$N373)-1))</f>
        <v>1140</v>
      </c>
      <c r="AB373" s="1" t="str">
        <f>IF($C373="","",IF($E373="","",$E373&amp;"#"&amp;(COUNTIFS($E$4:$E$1463,$E373,$X$4:$X$1463,"&gt;"&amp;$X373)+COUNTIFS($E$4:$E373,$E373,$X$4:$X373,"="&amp;$X373))))</f>
        <v>NECROMANCER#83</v>
      </c>
      <c r="AC373" s="1" t="str">
        <f>IF($C373="","",$B373&amp;"@"&amp;(COUNTIFS($B$4:$B$1463,$B373,$C$4:$C$1463,"&lt;"&amp;$C373)+COUNTIFS($B$4:$B373,$B373,$C$4:$C373,$C373)))</f>
        <v>EMERALD LEAF TRIBE@29</v>
      </c>
      <c r="AD373" s="1">
        <f t="shared" si="29"/>
        <v>370</v>
      </c>
      <c r="AE373" s="1" t="s">
        <v>1213</v>
      </c>
      <c r="AF373" s="76">
        <f t="shared" si="30"/>
        <v>61173</v>
      </c>
      <c r="AG373" s="77">
        <f t="shared" si="31"/>
        <v>4.0999999999999996</v>
      </c>
      <c r="AH373" s="1" t="str">
        <f>IF($C373="","",$B373&amp;"|"&amp;(COUNTIFS($B$4:$B$1463,$B373,$AF$4:$AF$1463,"&gt;"&amp;$AF373)+COUNTIFS($B$4:$B373,$B373,$AF$4:$AF373,"="&amp;$AF373)))</f>
        <v>EMERALD LEAF TRIBE|52</v>
      </c>
      <c r="AI373" s="1" t="str">
        <f>IF($C373="","",$B373&amp;"|"&amp;(COUNTIFS($B$4:$B$1463,$B373,$AG$4:$AG$1463,"&gt;"&amp;$AG373)+COUNTIFS($B$4:$B373,$B373,$AG$4:$AG373,"="&amp;$AG373)))</f>
        <v>EMERALD LEAF TRIBE|29</v>
      </c>
    </row>
    <row r="374" spans="1:35" hidden="1">
      <c r="A374" s="69" t="s">
        <v>109</v>
      </c>
      <c r="B374" s="69" t="s">
        <v>117</v>
      </c>
      <c r="C374" s="63" t="s">
        <v>1214</v>
      </c>
      <c r="D374" s="69"/>
      <c r="E374" s="68" t="s">
        <v>79</v>
      </c>
      <c r="F374" s="15" t="str">
        <f>IF($C374="","",IF($E374="","-",IFERROR(INDEX(SETUP!$B$55:$B$64,MATCH($E374,SETUP!$A$55:$A$64,0)),"Other")))</f>
        <v>Control</v>
      </c>
      <c r="G374" s="70">
        <v>62423</v>
      </c>
      <c r="H374" s="15" t="str">
        <f>IF($C374="","",IF($G374="","-",INDEX(SETUP!$B$26:$B$32,MATCH($G374,SETUP!$A$26:$A$32,1))))</f>
        <v>62,000 - 62,999</v>
      </c>
      <c r="I374" s="70">
        <v>2036</v>
      </c>
      <c r="J374" s="15" t="str">
        <f>IF($C374="","",IF($I374="","-",INDEX(SETUP!$B$16:$B$22,MATCH($I374,SETUP!$A$16:$A$22,1))))</f>
        <v>DEVELOPING</v>
      </c>
      <c r="K374" s="15" t="str">
        <f>IF($C374="","",IF($I374="","-",TEXT(INT($I374/1000)*1000,"#,##0")&amp;" - "&amp;TEXT(INT($I374/1000)*1000+999,"#,##0")))</f>
        <v>2,000 - 2,999</v>
      </c>
      <c r="L374" s="71">
        <v>3.5</v>
      </c>
      <c r="M374" s="15" t="str">
        <f>IF($C374="","",IF($L374="","-",INDEX(SETUP!$B$36:$B$42,MATCH($L374,SETUP!$A$36:$A$42,1))))</f>
        <v>3k - 4k</v>
      </c>
      <c r="N374" s="17">
        <f>IF($C374="","",IF(OR($G374="",$I374=""),"",ROUND(100*(SETUP!$B$4*MIN(1,$I374/SETUP!$B$9)+SETUP!$B$5*MAX(0,MIN(1,($G374-SETUP!$B$10)/(SETUP!$B$11-SETUP!$B$10)))+SETUP!$B$6*MIN(1,IF($L374="",0,$L374)/SETUP!$B$12)),1)))</f>
        <v>34.299999999999997</v>
      </c>
      <c r="O374" s="15" t="str">
        <f>IF($C374="","",IF($N374="","-",INDEX(SETUP!$B$46:$B$51,MATCH($N374,SETUP!$A$46:$A$51,1))))</f>
        <v>C</v>
      </c>
      <c r="P374" s="15">
        <f>IF($C374="","",IF($I374="","",RANK($I374,$I$4:$I$1463)+COUNTIF($I$4:$I374,$I374)-1))</f>
        <v>1106</v>
      </c>
      <c r="Q374" s="15">
        <f>IF($C374="","",COUNTIFS($B$4:$B$1463,$B374,$X$4:$X$1463,"&gt;"&amp;$X374)+COUNTIFS($B$4:$B374,$B374,$X$4:$X374,"="&amp;$X374))</f>
        <v>46</v>
      </c>
      <c r="R374" s="72">
        <f>IF($C374="","",IF($I374="","",ROUND(COUNTIF($I$4:$I$1463,"&lt;"&amp;$I374)/COUNT($I$4:$I$1463),3)))</f>
        <v>0.16500000000000001</v>
      </c>
      <c r="S374" s="15" t="str">
        <f>IF($C374="","",IF($G374="","Name only",IF(OR($I374="",$L374=""),"Partial","Complete")))</f>
        <v>Complete</v>
      </c>
      <c r="T374" s="41" t="str">
        <f>IF($C374="","",TRIM(IF(COUNTIF($C$4:$C$1463,$C374)&gt;1,"Dup name; ","")&amp;IF(AND($G374&lt;&gt;"",$G374&lt;55000),"Low CR - verify; ","")&amp;IF(AND($L374&lt;&gt;"",$L374&gt;15),"Secondary - verify; ","")&amp;IF($E374="","No class; ","")))</f>
        <v/>
      </c>
      <c r="U374" s="68"/>
      <c r="V374" s="68"/>
      <c r="W374" s="68"/>
      <c r="X374" s="73">
        <f t="shared" si="27"/>
        <v>2036</v>
      </c>
      <c r="Y374" s="41" t="str">
        <f t="shared" si="28"/>
        <v>VENDETTA|46</v>
      </c>
      <c r="Z374" s="15">
        <f>IF($C374="","",IF($G374="","",RANK($G374,$G$4:$G$1463)+COUNTIF($G$4:$G374,$G374)-1))</f>
        <v>679</v>
      </c>
      <c r="AA374" s="15">
        <f>IF($C374="","",IF($N374="","",RANK($N374,$N$4:$N$1463)+COUNTIF($N$4:$N374,$N374)-1))</f>
        <v>1031</v>
      </c>
      <c r="AB374" s="41" t="str">
        <f>IF($C374="","",IF($E374="","",$E374&amp;"#"&amp;(COUNTIFS($E$4:$E$1463,$E374,$X$4:$X$1463,"&gt;"&amp;$X374)+COUNTIFS($E$4:$E374,$E374,$X$4:$X374,"="&amp;$X374))))</f>
        <v>WARLOCK#277</v>
      </c>
      <c r="AC374" s="41" t="str">
        <f>IF($C374="","",$B374&amp;"@"&amp;(COUNTIFS($B$4:$B$1463,$B374,$C$4:$C$1463,"&lt;"&amp;$C374)+COUNTIFS($B$4:$B374,$B374,$C$4:$C374,$C374)))</f>
        <v>VENDETTA@28</v>
      </c>
      <c r="AD374" s="41">
        <f t="shared" si="29"/>
        <v>371</v>
      </c>
      <c r="AE374" s="41" t="s">
        <v>568</v>
      </c>
      <c r="AF374" s="73">
        <f t="shared" si="30"/>
        <v>62423</v>
      </c>
      <c r="AG374" s="74">
        <f t="shared" si="31"/>
        <v>3.5</v>
      </c>
      <c r="AH374" s="41" t="str">
        <f>IF($C374="","",$B374&amp;"|"&amp;(COUNTIFS($B$4:$B$1463,$B374,$AF$4:$AF$1463,"&gt;"&amp;$AF374)+COUNTIFS($B$4:$B374,$B374,$AF$4:$AF374,"="&amp;$AF374)))</f>
        <v>VENDETTA|24</v>
      </c>
      <c r="AI374" s="41" t="str">
        <f>IF($C374="","",$B374&amp;"|"&amp;(COUNTIFS($B$4:$B$1463,$B374,$AG$4:$AG$1463,"&gt;"&amp;$AG374)+COUNTIFS($B$4:$B374,$B374,$AG$4:$AG374,"="&amp;$AG374)))</f>
        <v>VENDETTA|55</v>
      </c>
    </row>
    <row r="375" spans="1:35" hidden="1">
      <c r="A375" s="69" t="s">
        <v>109</v>
      </c>
      <c r="B375" s="69" t="s">
        <v>117</v>
      </c>
      <c r="C375" s="63" t="s">
        <v>1215</v>
      </c>
      <c r="D375" s="69"/>
      <c r="E375" s="68" t="s">
        <v>79</v>
      </c>
      <c r="F375" s="19" t="str">
        <f>IF($C375="","",IF($E375="","-",IFERROR(INDEX(SETUP!$B$55:$B$64,MATCH($E375,SETUP!$A$55:$A$64,0)),"Other")))</f>
        <v>Control</v>
      </c>
      <c r="G375" s="70">
        <v>61464</v>
      </c>
      <c r="H375" s="19" t="str">
        <f>IF($C375="","",IF($G375="","-",INDEX(SETUP!$B$26:$B$32,MATCH($G375,SETUP!$A$26:$A$32,1))))</f>
        <v>61,000 - 61,999</v>
      </c>
      <c r="I375" s="70">
        <v>1947</v>
      </c>
      <c r="J375" s="19" t="str">
        <f>IF($C375="","",IF($I375="","-",INDEX(SETUP!$B$16:$B$22,MATCH($I375,SETUP!$A$16:$A$22,1))))</f>
        <v>ROOKIE</v>
      </c>
      <c r="K375" s="19" t="str">
        <f>IF($C375="","",IF($I375="","-",TEXT(INT($I375/1000)*1000,"#,##0")&amp;" - "&amp;TEXT(INT($I375/1000)*1000+999,"#,##0")))</f>
        <v>1,000 - 1,999</v>
      </c>
      <c r="L375" s="71">
        <v>3.5</v>
      </c>
      <c r="M375" s="19" t="str">
        <f>IF($C375="","",IF($L375="","-",INDEX(SETUP!$B$36:$B$42,MATCH($L375,SETUP!$A$36:$A$42,1))))</f>
        <v>3k - 4k</v>
      </c>
      <c r="N375" s="21">
        <f>IF($C375="","",IF(OR($G375="",$I375=""),"",ROUND(100*(SETUP!$B$4*MIN(1,$I375/SETUP!$B$9)+SETUP!$B$5*MAX(0,MIN(1,($G375-SETUP!$B$10)/(SETUP!$B$11-SETUP!$B$10)))+SETUP!$B$6*MIN(1,IF($L375="",0,$L375)/SETUP!$B$12)),1)))</f>
        <v>31.3</v>
      </c>
      <c r="O375" s="19" t="str">
        <f>IF($C375="","",IF($N375="","-",INDEX(SETUP!$B$46:$B$51,MATCH($N375,SETUP!$A$46:$A$51,1))))</f>
        <v>C</v>
      </c>
      <c r="P375" s="19">
        <f>IF($C375="","",IF($I375="","",RANK($I375,$I$4:$I$1463)+COUNTIF($I$4:$I375,$I375)-1))</f>
        <v>1127</v>
      </c>
      <c r="Q375" s="19">
        <f>IF($C375="","",COUNTIFS($B$4:$B$1463,$B375,$X$4:$X$1463,"&gt;"&amp;$X375)+COUNTIFS($B$4:$B375,$B375,$X$4:$X375,"="&amp;$X375))</f>
        <v>51</v>
      </c>
      <c r="R375" s="75">
        <f>IF($C375="","",IF($I375="","",ROUND(COUNTIF($I$4:$I$1463,"&lt;"&amp;$I375)/COUNT($I$4:$I$1463),3)))</f>
        <v>0.14899999999999999</v>
      </c>
      <c r="S375" s="19" t="str">
        <f>IF($C375="","",IF($G375="","Name only",IF(OR($I375="",$L375=""),"Partial","Complete")))</f>
        <v>Complete</v>
      </c>
      <c r="T375" s="1" t="str">
        <f>IF($C375="","",TRIM(IF(COUNTIF($C$4:$C$1463,$C375)&gt;1,"Dup name; ","")&amp;IF(AND($G375&lt;&gt;"",$G375&lt;55000),"Low CR - verify; ","")&amp;IF(AND($L375&lt;&gt;"",$L375&gt;15),"Secondary - verify; ","")&amp;IF($E375="","No class; ","")))</f>
        <v/>
      </c>
      <c r="U375" s="68"/>
      <c r="V375" s="68"/>
      <c r="W375" s="68"/>
      <c r="X375" s="76">
        <f t="shared" si="27"/>
        <v>1947</v>
      </c>
      <c r="Y375" s="1" t="str">
        <f t="shared" si="28"/>
        <v>VENDETTA|51</v>
      </c>
      <c r="Z375" s="19">
        <f>IF($C375="","",IF($G375="","",RANK($G375,$G$4:$G$1463)+COUNTIF($G$4:$G375,$G375)-1))</f>
        <v>1011</v>
      </c>
      <c r="AA375" s="19">
        <f>IF($C375="","",IF($N375="","",RANK($N375,$N$4:$N$1463)+COUNTIF($N$4:$N375,$N375)-1))</f>
        <v>1115</v>
      </c>
      <c r="AB375" s="1" t="str">
        <f>IF($C375="","",IF($E375="","",$E375&amp;"#"&amp;(COUNTIFS($E$4:$E$1463,$E375,$X$4:$X$1463,"&gt;"&amp;$X375)+COUNTIFS($E$4:$E375,$E375,$X$4:$X375,"="&amp;$X375))))</f>
        <v>WARLOCK#283</v>
      </c>
      <c r="AC375" s="1" t="str">
        <f>IF($C375="","",$B375&amp;"@"&amp;(COUNTIFS($B$4:$B$1463,$B375,$C$4:$C$1463,"&lt;"&amp;$C375)+COUNTIFS($B$4:$B375,$B375,$C$4:$C375,$C375)))</f>
        <v>VENDETTA@29</v>
      </c>
      <c r="AD375" s="1">
        <f t="shared" si="29"/>
        <v>372</v>
      </c>
      <c r="AE375" s="1" t="s">
        <v>568</v>
      </c>
      <c r="AF375" s="76">
        <f t="shared" si="30"/>
        <v>61464</v>
      </c>
      <c r="AG375" s="77">
        <f t="shared" si="31"/>
        <v>3.5</v>
      </c>
      <c r="AH375" s="1" t="str">
        <f>IF($C375="","",$B375&amp;"|"&amp;(COUNTIFS($B$4:$B$1463,$B375,$AF$4:$AF$1463,"&gt;"&amp;$AF375)+COUNTIFS($B$4:$B375,$B375,$AF$4:$AF375,"="&amp;$AF375)))</f>
        <v>VENDETTA|51</v>
      </c>
      <c r="AI375" s="1" t="str">
        <f>IF($C375="","",$B375&amp;"|"&amp;(COUNTIFS($B$4:$B$1463,$B375,$AG$4:$AG$1463,"&gt;"&amp;$AG375)+COUNTIFS($B$4:$B375,$B375,$AG$4:$AG375,"="&amp;$AG375)))</f>
        <v>VENDETTA|56</v>
      </c>
    </row>
    <row r="376" spans="1:35" hidden="1">
      <c r="A376" s="69" t="s">
        <v>109</v>
      </c>
      <c r="B376" s="69" t="s">
        <v>115</v>
      </c>
      <c r="C376" s="63" t="s">
        <v>1216</v>
      </c>
      <c r="D376" s="69"/>
      <c r="E376" s="68" t="s">
        <v>78</v>
      </c>
      <c r="F376" s="15" t="str">
        <f>IF($C376="","",IF($E376="","-",IFERROR(INDEX(SETUP!$B$55:$B$64,MATCH($E376,SETUP!$A$55:$A$64,0)),"Other")))</f>
        <v>Melee DPS</v>
      </c>
      <c r="G376" s="70">
        <v>61844</v>
      </c>
      <c r="H376" s="15" t="str">
        <f>IF($C376="","",IF($G376="","-",INDEX(SETUP!$B$26:$B$32,MATCH($G376,SETUP!$A$26:$A$32,1))))</f>
        <v>61,000 - 61,999</v>
      </c>
      <c r="I376" s="70">
        <v>7463</v>
      </c>
      <c r="J376" s="15" t="str">
        <f>IF($C376="","",IF($I376="","-",INDEX(SETUP!$B$16:$B$22,MATCH($I376,SETUP!$A$16:$A$22,1))))</f>
        <v>VETERAN</v>
      </c>
      <c r="K376" s="15" t="str">
        <f>IF($C376="","",IF($I376="","-",TEXT(INT($I376/1000)*1000,"#,##0")&amp;" - "&amp;TEXT(INT($I376/1000)*1000+999,"#,##0")))</f>
        <v>7,000 - 7,999</v>
      </c>
      <c r="L376" s="71">
        <v>4.5</v>
      </c>
      <c r="M376" s="15" t="str">
        <f>IF($C376="","",IF($L376="","-",INDEX(SETUP!$B$36:$B$42,MATCH($L376,SETUP!$A$36:$A$42,1))))</f>
        <v>4k - 5k</v>
      </c>
      <c r="N376" s="17">
        <f>IF($C376="","",IF(OR($G376="",$I376=""),"",ROUND(100*(SETUP!$B$4*MIN(1,$I376/SETUP!$B$9)+SETUP!$B$5*MAX(0,MIN(1,($G376-SETUP!$B$10)/(SETUP!$B$11-SETUP!$B$10)))+SETUP!$B$6*MIN(1,IF($L376="",0,$L376)/SETUP!$B$12)),1)))</f>
        <v>58.1</v>
      </c>
      <c r="O376" s="15" t="str">
        <f>IF($C376="","",IF($N376="","-",INDEX(SETUP!$B$46:$B$51,MATCH($N376,SETUP!$A$46:$A$51,1))))</f>
        <v>A</v>
      </c>
      <c r="P376" s="15">
        <f>IF($C376="","",IF($I376="","",RANK($I376,$I$4:$I$1463)+COUNTIF($I$4:$I376,$I376)-1))</f>
        <v>173</v>
      </c>
      <c r="Q376" s="15">
        <f>IF($C376="","",COUNTIFS($B$4:$B$1463,$B376,$X$4:$X$1463,"&gt;"&amp;$X376)+COUNTIFS($B$4:$B376,$B376,$X$4:$X376,"="&amp;$X376))</f>
        <v>4</v>
      </c>
      <c r="R376" s="72">
        <f>IF($C376="","",IF($I376="","",ROUND(COUNTIF($I$4:$I$1463,"&lt;"&amp;$I376)/COUNT($I$4:$I$1463),3)))</f>
        <v>0.86899999999999999</v>
      </c>
      <c r="S376" s="15" t="str">
        <f>IF($C376="","",IF($G376="","Name only",IF(OR($I376="",$L376=""),"Partial","Complete")))</f>
        <v>Complete</v>
      </c>
      <c r="T376" s="41" t="str">
        <f>IF($C376="","",TRIM(IF(COUNTIF($C$4:$C$1463,$C376)&gt;1,"Dup name; ","")&amp;IF(AND($G376&lt;&gt;"",$G376&lt;55000),"Low CR - verify; ","")&amp;IF(AND($L376&lt;&gt;"",$L376&gt;15),"Secondary - verify; ","")&amp;IF($E376="","No class; ","")))</f>
        <v/>
      </c>
      <c r="U376" s="68"/>
      <c r="V376" s="68"/>
      <c r="W376" s="68"/>
      <c r="X376" s="73">
        <f t="shared" si="27"/>
        <v>7463</v>
      </c>
      <c r="Y376" s="41" t="str">
        <f t="shared" si="28"/>
        <v>SUB ROSA|4</v>
      </c>
      <c r="Z376" s="15">
        <f>IF($C376="","",IF($G376="","",RANK($G376,$G$4:$G$1463)+COUNTIF($G$4:$G376,$G376)-1))</f>
        <v>900</v>
      </c>
      <c r="AA376" s="15">
        <f>IF($C376="","",IF($N376="","",RANK($N376,$N$4:$N$1463)+COUNTIF($N$4:$N376,$N376)-1))</f>
        <v>262</v>
      </c>
      <c r="AB376" s="41" t="str">
        <f>IF($C376="","",IF($E376="","",$E376&amp;"#"&amp;(COUNTIFS($E$4:$E$1463,$E376,$X$4:$X$1463,"&gt;"&amp;$X376)+COUNTIFS($E$4:$E376,$E376,$X$4:$X376,"="&amp;$X376))))</f>
        <v>TEMPEST#6</v>
      </c>
      <c r="AC376" s="41" t="str">
        <f>IF($C376="","",$B376&amp;"@"&amp;(COUNTIFS($B$4:$B$1463,$B376,$C$4:$C$1463,"&lt;"&amp;$C376)+COUNTIFS($B$4:$B376,$B376,$C$4:$C376,$C376)))</f>
        <v>SUB ROSA@24</v>
      </c>
      <c r="AD376" s="41">
        <f t="shared" si="29"/>
        <v>373</v>
      </c>
      <c r="AE376" s="41" t="s">
        <v>630</v>
      </c>
      <c r="AF376" s="73">
        <f t="shared" si="30"/>
        <v>61844</v>
      </c>
      <c r="AG376" s="74">
        <f t="shared" si="31"/>
        <v>4.5</v>
      </c>
      <c r="AH376" s="41" t="str">
        <f>IF($C376="","",$B376&amp;"|"&amp;(COUNTIFS($B$4:$B$1463,$B376,$AF$4:$AF$1463,"&gt;"&amp;$AF376)+COUNTIFS($B$4:$B376,$B376,$AF$4:$AF376,"="&amp;$AF376)))</f>
        <v>SUB ROSA|36</v>
      </c>
      <c r="AI376" s="41" t="str">
        <f>IF($C376="","",$B376&amp;"|"&amp;(COUNTIFS($B$4:$B$1463,$B376,$AG$4:$AG$1463,"&gt;"&amp;$AG376)+COUNTIFS($B$4:$B376,$B376,$AG$4:$AG376,"="&amp;$AG376)))</f>
        <v>SUB ROSA|17</v>
      </c>
    </row>
    <row r="377" spans="1:35" hidden="1">
      <c r="A377" s="69" t="s">
        <v>109</v>
      </c>
      <c r="B377" s="69" t="s">
        <v>116</v>
      </c>
      <c r="C377" s="63" t="s">
        <v>1217</v>
      </c>
      <c r="D377" s="69" t="s">
        <v>530</v>
      </c>
      <c r="E377" s="68" t="s">
        <v>72</v>
      </c>
      <c r="F377" s="19" t="str">
        <f>IF($C377="","",IF($E377="","-",IFERROR(INDEX(SETUP!$B$55:$B$64,MATCH($E377,SETUP!$A$55:$A$64,0)),"Other")))</f>
        <v>Frontline</v>
      </c>
      <c r="G377" s="70">
        <v>61733</v>
      </c>
      <c r="H377" s="19" t="str">
        <f>IF($C377="","",IF($G377="","-",INDEX(SETUP!$B$26:$B$32,MATCH($G377,SETUP!$A$26:$A$32,1))))</f>
        <v>61,000 - 61,999</v>
      </c>
      <c r="I377" s="70">
        <v>2219</v>
      </c>
      <c r="J377" s="19" t="str">
        <f>IF($C377="","",IF($I377="","-",INDEX(SETUP!$B$16:$B$22,MATCH($I377,SETUP!$A$16:$A$22,1))))</f>
        <v>DEVELOPING</v>
      </c>
      <c r="K377" s="19" t="str">
        <f>IF($C377="","",IF($I377="","-",TEXT(INT($I377/1000)*1000,"#,##0")&amp;" - "&amp;TEXT(INT($I377/1000)*1000+999,"#,##0")))</f>
        <v>2,000 - 2,999</v>
      </c>
      <c r="L377" s="71">
        <v>3.5</v>
      </c>
      <c r="M377" s="19" t="str">
        <f>IF($C377="","",IF($L377="","-",INDEX(SETUP!$B$36:$B$42,MATCH($L377,SETUP!$A$36:$A$42,1))))</f>
        <v>3k - 4k</v>
      </c>
      <c r="N377" s="21">
        <f>IF($C377="","",IF(OR($G377="",$I377=""),"",ROUND(100*(SETUP!$B$4*MIN(1,$I377/SETUP!$B$9)+SETUP!$B$5*MAX(0,MIN(1,($G377-SETUP!$B$10)/(SETUP!$B$11-SETUP!$B$10)))+SETUP!$B$6*MIN(1,IF($L377="",0,$L377)/SETUP!$B$12)),1)))</f>
        <v>33.200000000000003</v>
      </c>
      <c r="O377" s="19" t="str">
        <f>IF($C377="","",IF($N377="","-",INDEX(SETUP!$B$46:$B$51,MATCH($N377,SETUP!$A$46:$A$51,1))))</f>
        <v>C</v>
      </c>
      <c r="P377" s="19">
        <f>IF($C377="","",IF($I377="","",RANK($I377,$I$4:$I$1463)+COUNTIF($I$4:$I377,$I377)-1))</f>
        <v>1062</v>
      </c>
      <c r="Q377" s="19">
        <f>IF($C377="","",COUNTIFS($B$4:$B$1463,$B377,$X$4:$X$1463,"&gt;"&amp;$X377)+COUNTIFS($B$4:$B377,$B377,$X$4:$X377,"="&amp;$X377))</f>
        <v>78</v>
      </c>
      <c r="R377" s="75">
        <f>IF($C377="","",IF($I377="","",ROUND(COUNTIF($I$4:$I$1463,"&lt;"&amp;$I377)/COUNT($I$4:$I$1463),3)))</f>
        <v>0.19800000000000001</v>
      </c>
      <c r="S377" s="19" t="str">
        <f>IF($C377="","",IF($G377="","Name only",IF(OR($I377="",$L377=""),"Partial","Complete")))</f>
        <v>Complete</v>
      </c>
      <c r="T377" s="1" t="str">
        <f>IF($C377="","",TRIM(IF(COUNTIF($C$4:$C$1463,$C377)&gt;1,"Dup name; ","")&amp;IF(AND($G377&lt;&gt;"",$G377&lt;55000),"Low CR - verify; ","")&amp;IF(AND($L377&lt;&gt;"",$L377&gt;15),"Secondary - verify; ","")&amp;IF($E377="","No class; ","")))</f>
        <v/>
      </c>
      <c r="U377" s="68"/>
      <c r="V377" s="68"/>
      <c r="W377" s="68"/>
      <c r="X377" s="76">
        <f t="shared" si="27"/>
        <v>2219</v>
      </c>
      <c r="Y377" s="1" t="str">
        <f t="shared" si="28"/>
        <v>VENGEANCE|78</v>
      </c>
      <c r="Z377" s="19">
        <f>IF($C377="","",IF($G377="","",RANK($G377,$G$4:$G$1463)+COUNTIF($G$4:$G377,$G377)-1))</f>
        <v>931</v>
      </c>
      <c r="AA377" s="19">
        <f>IF($C377="","",IF($N377="","",RANK($N377,$N$4:$N$1463)+COUNTIF($N$4:$N377,$N377)-1))</f>
        <v>1061</v>
      </c>
      <c r="AB377" s="1" t="str">
        <f>IF($C377="","",IF($E377="","",$E377&amp;"#"&amp;(COUNTIFS($E$4:$E$1463,$E377,$X$4:$X$1463,"&gt;"&amp;$X377)+COUNTIFS($E$4:$E377,$E377,$X$4:$X377,"="&amp;$X377))))</f>
        <v>BLOOD KNIGHT#72</v>
      </c>
      <c r="AC377" s="1" t="str">
        <f>IF($C377="","",$B377&amp;"@"&amp;(COUNTIFS($B$4:$B$1463,$B377,$C$4:$C$1463,"&lt;"&amp;$C377)+COUNTIFS($B$4:$B377,$B377,$C$4:$C377,$C377)))</f>
        <v>VENGEANCE@25</v>
      </c>
      <c r="AD377" s="1">
        <f t="shared" si="29"/>
        <v>374</v>
      </c>
      <c r="AE377" s="1" t="s">
        <v>1057</v>
      </c>
      <c r="AF377" s="76">
        <f t="shared" si="30"/>
        <v>61733</v>
      </c>
      <c r="AG377" s="77">
        <f t="shared" si="31"/>
        <v>3.5</v>
      </c>
      <c r="AH377" s="1" t="str">
        <f>IF($C377="","",$B377&amp;"|"&amp;(COUNTIFS($B$4:$B$1463,$B377,$AF$4:$AF$1463,"&gt;"&amp;$AF377)+COUNTIFS($B$4:$B377,$B377,$AF$4:$AF377,"="&amp;$AF377)))</f>
        <v>VENGEANCE|58</v>
      </c>
      <c r="AI377" s="1" t="str">
        <f>IF($C377="","",$B377&amp;"|"&amp;(COUNTIFS($B$4:$B$1463,$B377,$AG$4:$AG$1463,"&gt;"&amp;$AG377)+COUNTIFS($B$4:$B377,$B377,$AG$4:$AG377,"="&amp;$AG377)))</f>
        <v>VENGEANCE|80</v>
      </c>
    </row>
    <row r="378" spans="1:35" hidden="1">
      <c r="A378" s="69" t="s">
        <v>109</v>
      </c>
      <c r="B378" s="69" t="s">
        <v>117</v>
      </c>
      <c r="C378" s="63" t="s">
        <v>1218</v>
      </c>
      <c r="D378" s="69"/>
      <c r="E378" s="68" t="s">
        <v>77</v>
      </c>
      <c r="F378" s="15" t="str">
        <f>IF($C378="","",IF($E378="","-",IFERROR(INDEX(SETUP!$B$55:$B$64,MATCH($E378,SETUP!$A$55:$A$64,0)),"Other")))</f>
        <v>Control</v>
      </c>
      <c r="G378" s="70">
        <v>61187</v>
      </c>
      <c r="H378" s="15" t="str">
        <f>IF($C378="","",IF($G378="","-",INDEX(SETUP!$B$26:$B$32,MATCH($G378,SETUP!$A$26:$A$32,1))))</f>
        <v>61,000 - 61,999</v>
      </c>
      <c r="I378" s="70">
        <v>1134</v>
      </c>
      <c r="J378" s="15" t="str">
        <f>IF($C378="","",IF($I378="","-",INDEX(SETUP!$B$16:$B$22,MATCH($I378,SETUP!$A$16:$A$22,1))))</f>
        <v>ROOKIE</v>
      </c>
      <c r="K378" s="15" t="str">
        <f>IF($C378="","",IF($I378="","-",TEXT(INT($I378/1000)*1000,"#,##0")&amp;" - "&amp;TEXT(INT($I378/1000)*1000+999,"#,##0")))</f>
        <v>1,000 - 1,999</v>
      </c>
      <c r="L378" s="71">
        <v>3.6</v>
      </c>
      <c r="M378" s="15" t="str">
        <f>IF($C378="","",IF($L378="","-",INDEX(SETUP!$B$36:$B$42,MATCH($L378,SETUP!$A$36:$A$42,1))))</f>
        <v>3k - 4k</v>
      </c>
      <c r="N378" s="17">
        <f>IF($C378="","",IF(OR($G378="",$I378=""),"",ROUND(100*(SETUP!$B$4*MIN(1,$I378/SETUP!$B$9)+SETUP!$B$5*MAX(0,MIN(1,($G378-SETUP!$B$10)/(SETUP!$B$11-SETUP!$B$10)))+SETUP!$B$6*MIN(1,IF($L378="",0,$L378)/SETUP!$B$12)),1)))</f>
        <v>27.2</v>
      </c>
      <c r="O378" s="15" t="str">
        <f>IF($C378="","",IF($N378="","-",INDEX(SETUP!$B$46:$B$51,MATCH($N378,SETUP!$A$46:$A$51,1))))</f>
        <v>C</v>
      </c>
      <c r="P378" s="15">
        <f>IF($C378="","",IF($I378="","",RANK($I378,$I$4:$I$1463)+COUNTIF($I$4:$I378,$I378)-1))</f>
        <v>1250</v>
      </c>
      <c r="Q378" s="15">
        <f>IF($C378="","",COUNTIFS($B$4:$B$1463,$B378,$X$4:$X$1463,"&gt;"&amp;$X378)+COUNTIFS($B$4:$B378,$B378,$X$4:$X378,"="&amp;$X378))</f>
        <v>81</v>
      </c>
      <c r="R378" s="72">
        <f>IF($C378="","",IF($I378="","",ROUND(COUNTIF($I$4:$I$1463,"&lt;"&amp;$I378)/COUNT($I$4:$I$1463),3)))</f>
        <v>5.7000000000000002E-2</v>
      </c>
      <c r="S378" s="15" t="str">
        <f>IF($C378="","",IF($G378="","Name only",IF(OR($I378="",$L378=""),"Partial","Complete")))</f>
        <v>Complete</v>
      </c>
      <c r="T378" s="41" t="str">
        <f>IF($C378="","",TRIM(IF(COUNTIF($C$4:$C$1463,$C378)&gt;1,"Dup name; ","")&amp;IF(AND($G378&lt;&gt;"",$G378&lt;55000),"Low CR - verify; ","")&amp;IF(AND($L378&lt;&gt;"",$L378&gt;15),"Secondary - verify; ","")&amp;IF($E378="","No class; ","")))</f>
        <v/>
      </c>
      <c r="U378" s="68"/>
      <c r="V378" s="68"/>
      <c r="W378" s="68"/>
      <c r="X378" s="73">
        <f t="shared" si="27"/>
        <v>1134</v>
      </c>
      <c r="Y378" s="41" t="str">
        <f t="shared" si="28"/>
        <v>VENDETTA|81</v>
      </c>
      <c r="Z378" s="15">
        <f>IF($C378="","",IF($G378="","",RANK($G378,$G$4:$G$1463)+COUNTIF($G$4:$G378,$G378)-1))</f>
        <v>1094</v>
      </c>
      <c r="AA378" s="15">
        <f>IF($C378="","",IF($N378="","",RANK($N378,$N$4:$N$1463)+COUNTIF($N$4:$N378,$N378)-1))</f>
        <v>1207</v>
      </c>
      <c r="AB378" s="41" t="str">
        <f>IF($C378="","",IF($E378="","",$E378&amp;"#"&amp;(COUNTIFS($E$4:$E$1463,$E378,$X$4:$X$1463,"&gt;"&amp;$X378)+COUNTIFS($E$4:$E378,$E378,$X$4:$X378,"="&amp;$X378))))</f>
        <v>NECROMANCER#97</v>
      </c>
      <c r="AC378" s="41" t="str">
        <f>IF($C378="","",$B378&amp;"@"&amp;(COUNTIFS($B$4:$B$1463,$B378,$C$4:$C$1463,"&lt;"&amp;$C378)+COUNTIFS($B$4:$B378,$B378,$C$4:$C378,$C378)))</f>
        <v>VENDETTA@30</v>
      </c>
      <c r="AD378" s="41">
        <f t="shared" si="29"/>
        <v>375</v>
      </c>
      <c r="AE378" s="41" t="s">
        <v>1219</v>
      </c>
      <c r="AF378" s="73">
        <f t="shared" si="30"/>
        <v>61187</v>
      </c>
      <c r="AG378" s="74">
        <f t="shared" si="31"/>
        <v>3.6</v>
      </c>
      <c r="AH378" s="41" t="str">
        <f>IF($C378="","",$B378&amp;"|"&amp;(COUNTIFS($B$4:$B$1463,$B378,$AF$4:$AF$1463,"&gt;"&amp;$AF378)+COUNTIFS($B$4:$B378,$B378,$AF$4:$AF378,"="&amp;$AF378)))</f>
        <v>VENDETTA|58</v>
      </c>
      <c r="AI378" s="41" t="str">
        <f>IF($C378="","",$B378&amp;"|"&amp;(COUNTIFS($B$4:$B$1463,$B378,$AG$4:$AG$1463,"&gt;"&amp;$AG378)+COUNTIFS($B$4:$B378,$B378,$AG$4:$AG378,"="&amp;$AG378)))</f>
        <v>VENDETTA|50</v>
      </c>
    </row>
    <row r="379" spans="1:35" hidden="1">
      <c r="A379" s="69" t="s">
        <v>109</v>
      </c>
      <c r="B379" s="69" t="s">
        <v>108</v>
      </c>
      <c r="C379" s="63" t="s">
        <v>1220</v>
      </c>
      <c r="D379" s="69"/>
      <c r="E379" s="68" t="s">
        <v>73</v>
      </c>
      <c r="F379" s="19" t="str">
        <f>IF($C379="","",IF($E379="","-",IFERROR(INDEX(SETUP!$B$55:$B$64,MATCH($E379,SETUP!$A$55:$A$64,0)),"Other")))</f>
        <v>Frontline</v>
      </c>
      <c r="G379" s="70">
        <v>62452</v>
      </c>
      <c r="H379" s="19" t="str">
        <f>IF($C379="","",IF($G379="","-",INDEX(SETUP!$B$26:$B$32,MATCH($G379,SETUP!$A$26:$A$32,1))))</f>
        <v>62,000 - 62,999</v>
      </c>
      <c r="I379" s="70">
        <v>7034</v>
      </c>
      <c r="J379" s="19" t="str">
        <f>IF($C379="","",IF($I379="","-",INDEX(SETUP!$B$16:$B$22,MATCH($I379,SETUP!$A$16:$A$22,1))))</f>
        <v>VETERAN</v>
      </c>
      <c r="K379" s="19" t="str">
        <f>IF($C379="","",IF($I379="","-",TEXT(INT($I379/1000)*1000,"#,##0")&amp;" - "&amp;TEXT(INT($I379/1000)*1000+999,"#,##0")))</f>
        <v>7,000 - 7,999</v>
      </c>
      <c r="L379" s="71">
        <v>5.45</v>
      </c>
      <c r="M379" s="19" t="str">
        <f>IF($C379="","",IF($L379="","-",INDEX(SETUP!$B$36:$B$42,MATCH($L379,SETUP!$A$36:$A$42,1))))</f>
        <v>5k - 6k</v>
      </c>
      <c r="N379" s="21">
        <f>IF($C379="","",IF(OR($G379="",$I379=""),"",ROUND(100*(SETUP!$B$4*MIN(1,$I379/SETUP!$B$9)+SETUP!$B$5*MAX(0,MIN(1,($G379-SETUP!$B$10)/(SETUP!$B$11-SETUP!$B$10)))+SETUP!$B$6*MIN(1,IF($L379="",0,$L379)/SETUP!$B$12)),1)))</f>
        <v>59.4</v>
      </c>
      <c r="O379" s="19" t="str">
        <f>IF($C379="","",IF($N379="","-",INDEX(SETUP!$B$46:$B$51,MATCH($N379,SETUP!$A$46:$A$51,1))))</f>
        <v>A</v>
      </c>
      <c r="P379" s="19">
        <f>IF($C379="","",IF($I379="","",RANK($I379,$I$4:$I$1463)+COUNTIF($I$4:$I379,$I379)-1))</f>
        <v>221</v>
      </c>
      <c r="Q379" s="19">
        <f>IF($C379="","",COUNTIFS($B$4:$B$1463,$B379,$X$4:$X$1463,"&gt;"&amp;$X379)+COUNTIFS($B$4:$B379,$B379,$X$4:$X379,"="&amp;$X379))</f>
        <v>35</v>
      </c>
      <c r="R379" s="75">
        <f>IF($C379="","",IF($I379="","",ROUND(COUNTIF($I$4:$I$1463,"&lt;"&amp;$I379)/COUNT($I$4:$I$1463),3)))</f>
        <v>0.83299999999999996</v>
      </c>
      <c r="S379" s="19" t="str">
        <f>IF($C379="","",IF($G379="","Name only",IF(OR($I379="",$L379=""),"Partial","Complete")))</f>
        <v>Complete</v>
      </c>
      <c r="T379" s="1" t="str">
        <f>IF($C379="","",TRIM(IF(COUNTIF($C$4:$C$1463,$C379)&gt;1,"Dup name; ","")&amp;IF(AND($G379&lt;&gt;"",$G379&lt;55000),"Low CR - verify; ","")&amp;IF(AND($L379&lt;&gt;"",$L379&gt;15),"Secondary - verify; ","")&amp;IF($E379="","No class; ","")))</f>
        <v/>
      </c>
      <c r="U379" s="68"/>
      <c r="V379" s="68"/>
      <c r="W379" s="68"/>
      <c r="X379" s="76">
        <f t="shared" si="27"/>
        <v>7034</v>
      </c>
      <c r="Y379" s="1" t="str">
        <f t="shared" si="28"/>
        <v>SBG|35</v>
      </c>
      <c r="Z379" s="19">
        <f>IF($C379="","",IF($G379="","",RANK($G379,$G$4:$G$1463)+COUNTIF($G$4:$G379,$G379)-1))</f>
        <v>671</v>
      </c>
      <c r="AA379" s="19">
        <f>IF($C379="","",IF($N379="","",RANK($N379,$N$4:$N$1463)+COUNTIF($N$4:$N379,$N379)-1))</f>
        <v>244</v>
      </c>
      <c r="AB379" s="1" t="str">
        <f>IF($C379="","",IF($E379="","",$E379&amp;"#"&amp;(COUNTIFS($E$4:$E$1463,$E379,$X$4:$X$1463,"&gt;"&amp;$X379)+COUNTIFS($E$4:$E379,$E379,$X$4:$X379,"="&amp;$X379))))</f>
        <v>CRUSADER#34</v>
      </c>
      <c r="AC379" s="1" t="str">
        <f>IF($C379="","",$B379&amp;"@"&amp;(COUNTIFS($B$4:$B$1463,$B379,$C$4:$C$1463,"&lt;"&amp;$C379)+COUNTIFS($B$4:$B379,$B379,$C$4:$C379,$C379)))</f>
        <v>SBG@21</v>
      </c>
      <c r="AD379" s="1">
        <f t="shared" si="29"/>
        <v>376</v>
      </c>
      <c r="AE379" s="1" t="s">
        <v>1221</v>
      </c>
      <c r="AF379" s="76">
        <f t="shared" si="30"/>
        <v>62452</v>
      </c>
      <c r="AG379" s="77">
        <f t="shared" si="31"/>
        <v>5.45</v>
      </c>
      <c r="AH379" s="1" t="str">
        <f>IF($C379="","",$B379&amp;"|"&amp;(COUNTIFS($B$4:$B$1463,$B379,$AF$4:$AF$1463,"&gt;"&amp;$AF379)+COUNTIFS($B$4:$B379,$B379,$AF$4:$AF379,"="&amp;$AF379)))</f>
        <v>SBG|60</v>
      </c>
      <c r="AI379" s="1" t="str">
        <f>IF($C379="","",$B379&amp;"|"&amp;(COUNTIFS($B$4:$B$1463,$B379,$AG$4:$AG$1463,"&gt;"&amp;$AG379)+COUNTIFS($B$4:$B379,$B379,$AG$4:$AG379,"="&amp;$AG379)))</f>
        <v>SBG|57</v>
      </c>
    </row>
    <row r="380" spans="1:35" hidden="1">
      <c r="A380" s="69" t="s">
        <v>109</v>
      </c>
      <c r="B380" s="69" t="s">
        <v>111</v>
      </c>
      <c r="C380" s="63" t="s">
        <v>1222</v>
      </c>
      <c r="D380" s="69" t="s">
        <v>527</v>
      </c>
      <c r="E380" s="68" t="s">
        <v>79</v>
      </c>
      <c r="F380" s="15" t="str">
        <f>IF($C380="","",IF($E380="","-",IFERROR(INDEX(SETUP!$B$55:$B$64,MATCH($E380,SETUP!$A$55:$A$64,0)),"Other")))</f>
        <v>Control</v>
      </c>
      <c r="G380" s="70">
        <v>63112</v>
      </c>
      <c r="H380" s="15" t="str">
        <f>IF($C380="","",IF($G380="","-",INDEX(SETUP!$B$26:$B$32,MATCH($G380,SETUP!$A$26:$A$32,1))))</f>
        <v>63,000 - 63,999</v>
      </c>
      <c r="I380" s="70">
        <v>4209</v>
      </c>
      <c r="J380" s="15" t="str">
        <f>IF($C380="","",IF($I380="","-",INDEX(SETUP!$B$16:$B$22,MATCH($I380,SETUP!$A$16:$A$22,1))))</f>
        <v>CORE</v>
      </c>
      <c r="K380" s="15" t="str">
        <f>IF($C380="","",IF($I380="","-",TEXT(INT($I380/1000)*1000,"#,##0")&amp;" - "&amp;TEXT(INT($I380/1000)*1000+999,"#,##0")))</f>
        <v>4,000 - 4,999</v>
      </c>
      <c r="L380" s="71">
        <v>7</v>
      </c>
      <c r="M380" s="15" t="str">
        <f>IF($C380="","",IF($L380="","-",INDEX(SETUP!$B$36:$B$42,MATCH($L380,SETUP!$A$36:$A$42,1))))</f>
        <v>6k - 8k</v>
      </c>
      <c r="N380" s="17">
        <f>IF($C380="","",IF(OR($G380="",$I380=""),"",ROUND(100*(SETUP!$B$4*MIN(1,$I380/SETUP!$B$9)+SETUP!$B$5*MAX(0,MIN(1,($G380-SETUP!$B$10)/(SETUP!$B$11-SETUP!$B$10)))+SETUP!$B$6*MIN(1,IF($L380="",0,$L380)/SETUP!$B$12)),1)))</f>
        <v>51.4</v>
      </c>
      <c r="O380" s="15" t="str">
        <f>IF($C380="","",IF($N380="","-",INDEX(SETUP!$B$46:$B$51,MATCH($N380,SETUP!$A$46:$A$51,1))))</f>
        <v>A</v>
      </c>
      <c r="P380" s="15">
        <f>IF($C380="","",IF($I380="","",RANK($I380,$I$4:$I$1463)+COUNTIF($I$4:$I380,$I380)-1))</f>
        <v>555</v>
      </c>
      <c r="Q380" s="15">
        <f>IF($C380="","",COUNTIFS($B$4:$B$1463,$B380,$X$4:$X$1463,"&gt;"&amp;$X380)+COUNTIFS($B$4:$B380,$B380,$X$4:$X380,"="&amp;$X380))</f>
        <v>59</v>
      </c>
      <c r="R380" s="72">
        <f>IF($C380="","",IF($I380="","",ROUND(COUNTIF($I$4:$I$1463,"&lt;"&amp;$I380)/COUNT($I$4:$I$1463),3)))</f>
        <v>0.58099999999999996</v>
      </c>
      <c r="S380" s="15" t="str">
        <f>IF($C380="","",IF($G380="","Name only",IF(OR($I380="",$L380=""),"Partial","Complete")))</f>
        <v>Complete</v>
      </c>
      <c r="T380" s="41" t="str">
        <f>IF($C380="","",TRIM(IF(COUNTIF($C$4:$C$1463,$C380)&gt;1,"Dup name; ","")&amp;IF(AND($G380&lt;&gt;"",$G380&lt;55000),"Low CR - verify; ","")&amp;IF(AND($L380&lt;&gt;"",$L380&gt;15),"Secondary - verify; ","")&amp;IF($E380="","No class; ","")))</f>
        <v/>
      </c>
      <c r="U380" s="68"/>
      <c r="V380" s="68"/>
      <c r="W380" s="68"/>
      <c r="X380" s="73">
        <f t="shared" si="27"/>
        <v>4209</v>
      </c>
      <c r="Y380" s="41" t="str">
        <f t="shared" si="28"/>
        <v>RECKONING|59</v>
      </c>
      <c r="Z380" s="15">
        <f>IF($C380="","",IF($G380="","",RANK($G380,$G$4:$G$1463)+COUNTIF($G$4:$G380,$G380)-1))</f>
        <v>370</v>
      </c>
      <c r="AA380" s="15">
        <f>IF($C380="","",IF($N380="","",RANK($N380,$N$4:$N$1463)+COUNTIF($N$4:$N380,$N380)-1))</f>
        <v>406</v>
      </c>
      <c r="AB380" s="41" t="str">
        <f>IF($C380="","",IF($E380="","",$E380&amp;"#"&amp;(COUNTIFS($E$4:$E$1463,$E380,$X$4:$X$1463,"&gt;"&amp;$X380)+COUNTIFS($E$4:$E380,$E380,$X$4:$X380,"="&amp;$X380))))</f>
        <v>WARLOCK#131</v>
      </c>
      <c r="AC380" s="41" t="str">
        <f>IF($C380="","",$B380&amp;"@"&amp;(COUNTIFS($B$4:$B$1463,$B380,$C$4:$C$1463,"&lt;"&amp;$C380)+COUNTIFS($B$4:$B380,$B380,$C$4:$C380,$C380)))</f>
        <v>RECKONING@22</v>
      </c>
      <c r="AD380" s="41">
        <f t="shared" si="29"/>
        <v>377</v>
      </c>
      <c r="AE380" s="41" t="s">
        <v>1223</v>
      </c>
      <c r="AF380" s="73">
        <f t="shared" si="30"/>
        <v>63112</v>
      </c>
      <c r="AG380" s="74">
        <f t="shared" si="31"/>
        <v>7</v>
      </c>
      <c r="AH380" s="41" t="str">
        <f>IF($C380="","",$B380&amp;"|"&amp;(COUNTIFS($B$4:$B$1463,$B380,$AF$4:$AF$1463,"&gt;"&amp;$AF380)+COUNTIFS($B$4:$B380,$B380,$AF$4:$AF380,"="&amp;$AF380)))</f>
        <v>RECKONING|39</v>
      </c>
      <c r="AI380" s="41" t="str">
        <f>IF($C380="","",$B380&amp;"|"&amp;(COUNTIFS($B$4:$B$1463,$B380,$AG$4:$AG$1463,"&gt;"&amp;$AG380)+COUNTIFS($B$4:$B380,$B380,$AG$4:$AG380,"="&amp;$AG380)))</f>
        <v>RECKONING|23</v>
      </c>
    </row>
    <row r="381" spans="1:35" hidden="1">
      <c r="A381" s="69" t="s">
        <v>106</v>
      </c>
      <c r="B381" s="69" t="s">
        <v>107</v>
      </c>
      <c r="C381" s="63" t="s">
        <v>1224</v>
      </c>
      <c r="D381" s="69"/>
      <c r="E381" s="68" t="s">
        <v>77</v>
      </c>
      <c r="F381" s="19" t="str">
        <f>IF($C381="","",IF($E381="","-",IFERROR(INDEX(SETUP!$B$55:$B$64,MATCH($E381,SETUP!$A$55:$A$64,0)),"Other")))</f>
        <v>Control</v>
      </c>
      <c r="G381" s="70">
        <v>63003</v>
      </c>
      <c r="H381" s="19" t="str">
        <f>IF($C381="","",IF($G381="","-",INDEX(SETUP!$B$26:$B$32,MATCH($G381,SETUP!$A$26:$A$32,1))))</f>
        <v>63,000 - 63,999</v>
      </c>
      <c r="I381" s="70">
        <v>4319</v>
      </c>
      <c r="J381" s="19" t="str">
        <f>IF($C381="","",IF($I381="","-",INDEX(SETUP!$B$16:$B$22,MATCH($I381,SETUP!$A$16:$A$22,1))))</f>
        <v>CORE</v>
      </c>
      <c r="K381" s="19" t="str">
        <f>IF($C381="","",IF($I381="","-",TEXT(INT($I381/1000)*1000,"#,##0")&amp;" - "&amp;TEXT(INT($I381/1000)*1000+999,"#,##0")))</f>
        <v>4,000 - 4,999</v>
      </c>
      <c r="L381" s="71">
        <v>6.2</v>
      </c>
      <c r="M381" s="19" t="str">
        <f>IF($C381="","",IF($L381="","-",INDEX(SETUP!$B$36:$B$42,MATCH($L381,SETUP!$A$36:$A$42,1))))</f>
        <v>6k - 8k</v>
      </c>
      <c r="N381" s="21">
        <f>IF($C381="","",IF(OR($G381="",$I381=""),"",ROUND(100*(SETUP!$B$4*MIN(1,$I381/SETUP!$B$9)+SETUP!$B$5*MAX(0,MIN(1,($G381-SETUP!$B$10)/(SETUP!$B$11-SETUP!$B$10)))+SETUP!$B$6*MIN(1,IF($L381="",0,$L381)/SETUP!$B$12)),1)))</f>
        <v>50.2</v>
      </c>
      <c r="O381" s="19" t="str">
        <f>IF($C381="","",IF($N381="","-",INDEX(SETUP!$B$46:$B$51,MATCH($N381,SETUP!$A$46:$A$51,1))))</f>
        <v>A</v>
      </c>
      <c r="P381" s="19">
        <f>IF($C381="","",IF($I381="","",RANK($I381,$I$4:$I$1463)+COUNTIF($I$4:$I381,$I381)-1))</f>
        <v>527</v>
      </c>
      <c r="Q381" s="19">
        <f>IF($C381="","",COUNTIFS($B$4:$B$1463,$B381,$X$4:$X$1463,"&gt;"&amp;$X381)+COUNTIFS($B$4:$B381,$B381,$X$4:$X381,"="&amp;$X381))</f>
        <v>42</v>
      </c>
      <c r="R381" s="75">
        <f>IF($C381="","",IF($I381="","",ROUND(COUNTIF($I$4:$I$1463,"&lt;"&amp;$I381)/COUNT($I$4:$I$1463),3)))</f>
        <v>0.60199999999999998</v>
      </c>
      <c r="S381" s="19" t="str">
        <f>IF($C381="","",IF($G381="","Name only",IF(OR($I381="",$L381=""),"Partial","Complete")))</f>
        <v>Complete</v>
      </c>
      <c r="T381" s="1" t="str">
        <f>IF($C381="","",TRIM(IF(COUNTIF($C$4:$C$1463,$C381)&gt;1,"Dup name; ","")&amp;IF(AND($G381&lt;&gt;"",$G381&lt;55000),"Low CR - verify; ","")&amp;IF(AND($L381&lt;&gt;"",$L381&gt;15),"Secondary - verify; ","")&amp;IF($E381="","No class; ","")))</f>
        <v/>
      </c>
      <c r="U381" s="68"/>
      <c r="V381" s="68"/>
      <c r="W381" s="68"/>
      <c r="X381" s="76">
        <f t="shared" si="27"/>
        <v>4319</v>
      </c>
      <c r="Y381" s="1" t="str">
        <f t="shared" si="28"/>
        <v>UNDYING|42</v>
      </c>
      <c r="Z381" s="19">
        <f>IF($C381="","",IF($G381="","",RANK($G381,$G$4:$G$1463)+COUNTIF($G$4:$G381,$G381)-1))</f>
        <v>426</v>
      </c>
      <c r="AA381" s="19">
        <f>IF($C381="","",IF($N381="","",RANK($N381,$N$4:$N$1463)+COUNTIF($N$4:$N381,$N381)-1))</f>
        <v>452</v>
      </c>
      <c r="AB381" s="1" t="str">
        <f>IF($C381="","",IF($E381="","",$E381&amp;"#"&amp;(COUNTIFS($E$4:$E$1463,$E381,$X$4:$X$1463,"&gt;"&amp;$X381)+COUNTIFS($E$4:$E381,$E381,$X$4:$X381,"="&amp;$X381))))</f>
        <v>NECROMANCER#26</v>
      </c>
      <c r="AC381" s="1" t="str">
        <f>IF($C381="","",$B381&amp;"@"&amp;(COUNTIFS($B$4:$B$1463,$B381,$C$4:$C$1463,"&lt;"&amp;$C381)+COUNTIFS($B$4:$B381,$B381,$C$4:$C381,$C381)))</f>
        <v>UNDYING@35</v>
      </c>
      <c r="AD381" s="1">
        <f t="shared" si="29"/>
        <v>378</v>
      </c>
      <c r="AE381" s="1" t="s">
        <v>1075</v>
      </c>
      <c r="AF381" s="76">
        <f t="shared" si="30"/>
        <v>63003</v>
      </c>
      <c r="AG381" s="77">
        <f t="shared" si="31"/>
        <v>6.2</v>
      </c>
      <c r="AH381" s="1" t="str">
        <f>IF($C381="","",$B381&amp;"|"&amp;(COUNTIFS($B$4:$B$1463,$B381,$AF$4:$AF$1463,"&gt;"&amp;$AF381)+COUNTIFS($B$4:$B381,$B381,$AF$4:$AF381,"="&amp;$AF381)))</f>
        <v>UNDYING|42</v>
      </c>
      <c r="AI381" s="1" t="str">
        <f>IF($C381="","",$B381&amp;"|"&amp;(COUNTIFS($B$4:$B$1463,$B381,$AG$4:$AG$1463,"&gt;"&amp;$AG381)+COUNTIFS($B$4:$B381,$B381,$AG$4:$AG381,"="&amp;$AG381)))</f>
        <v>UNDYING|20</v>
      </c>
    </row>
    <row r="382" spans="1:35" hidden="1">
      <c r="A382" s="69" t="s">
        <v>109</v>
      </c>
      <c r="B382" s="69" t="s">
        <v>110</v>
      </c>
      <c r="C382" s="63" t="s">
        <v>1225</v>
      </c>
      <c r="D382" s="69"/>
      <c r="E382" s="68" t="s">
        <v>74</v>
      </c>
      <c r="F382" s="15" t="str">
        <f>IF($C382="","",IF($E382="","-",IFERROR(INDEX(SETUP!$B$55:$B$64,MATCH($E382,SETUP!$A$55:$A$64,0)),"Other")))</f>
        <v>Ranged DPS</v>
      </c>
      <c r="G382" s="70">
        <v>64126</v>
      </c>
      <c r="H382" s="15" t="str">
        <f>IF($C382="","",IF($G382="","-",INDEX(SETUP!$B$26:$B$32,MATCH($G382,SETUP!$A$26:$A$32,1))))</f>
        <v>64,000 +</v>
      </c>
      <c r="I382" s="70">
        <v>10490</v>
      </c>
      <c r="J382" s="15" t="str">
        <f>IF($C382="","",IF($I382="","-",INDEX(SETUP!$B$16:$B$22,MATCH($I382,SETUP!$A$16:$A$22,1))))</f>
        <v>APEX</v>
      </c>
      <c r="K382" s="15" t="str">
        <f>IF($C382="","",IF($I382="","-",TEXT(INT($I382/1000)*1000,"#,##0")&amp;" - "&amp;TEXT(INT($I382/1000)*1000+999,"#,##0")))</f>
        <v>10,000 - 10,999</v>
      </c>
      <c r="L382" s="71">
        <v>10.199999999999999</v>
      </c>
      <c r="M382" s="15" t="str">
        <f>IF($C382="","",IF($L382="","-",INDEX(SETUP!$B$36:$B$42,MATCH($L382,SETUP!$A$36:$A$42,1))))</f>
        <v>10k +</v>
      </c>
      <c r="N382" s="17">
        <f>IF($C382="","",IF(OR($G382="",$I382=""),"",ROUND(100*(SETUP!$B$4*MIN(1,$I382/SETUP!$B$9)+SETUP!$B$5*MAX(0,MIN(1,($G382-SETUP!$B$10)/(SETUP!$B$11-SETUP!$B$10)))+SETUP!$B$6*MIN(1,IF($L382="",0,$L382)/SETUP!$B$12)),1)))</f>
        <v>86.8</v>
      </c>
      <c r="O382" s="15" t="str">
        <f>IF($C382="","",IF($N382="","-",INDEX(SETUP!$B$46:$B$51,MATCH($N382,SETUP!$A$46:$A$51,1))))</f>
        <v>S+</v>
      </c>
      <c r="P382" s="15">
        <f>IF($C382="","",IF($I382="","",RANK($I382,$I$4:$I$1463)+COUNTIF($I$4:$I382,$I382)-1))</f>
        <v>23</v>
      </c>
      <c r="Q382" s="15">
        <f>IF($C382="","",COUNTIFS($B$4:$B$1463,$B382,$X$4:$X$1463,"&gt;"&amp;$X382)+COUNTIFS($B$4:$B382,$B382,$X$4:$X382,"="&amp;$X382))</f>
        <v>9</v>
      </c>
      <c r="R382" s="72">
        <f>IF($C382="","",IF($I382="","",ROUND(COUNTIF($I$4:$I$1463,"&lt;"&amp;$I382)/COUNT($I$4:$I$1463),3)))</f>
        <v>0.98299999999999998</v>
      </c>
      <c r="S382" s="15" t="str">
        <f>IF($C382="","",IF($G382="","Name only",IF(OR($I382="",$L382=""),"Partial","Complete")))</f>
        <v>Complete</v>
      </c>
      <c r="T382" s="41" t="str">
        <f>IF($C382="","",TRIM(IF(COUNTIF($C$4:$C$1463,$C382)&gt;1,"Dup name; ","")&amp;IF(AND($G382&lt;&gt;"",$G382&lt;55000),"Low CR - verify; ","")&amp;IF(AND($L382&lt;&gt;"",$L382&gt;15),"Secondary - verify; ","")&amp;IF($E382="","No class; ","")))</f>
        <v/>
      </c>
      <c r="U382" s="68"/>
      <c r="V382" s="68"/>
      <c r="W382" s="68"/>
      <c r="X382" s="73">
        <f t="shared" si="27"/>
        <v>10490</v>
      </c>
      <c r="Y382" s="41" t="str">
        <f t="shared" si="28"/>
        <v>AZUKI|9</v>
      </c>
      <c r="Z382" s="15">
        <f>IF($C382="","",IF($G382="","",RANK($G382,$G$4:$G$1463)+COUNTIF($G$4:$G382,$G382)-1))</f>
        <v>55</v>
      </c>
      <c r="AA382" s="15">
        <f>IF($C382="","",IF($N382="","",RANK($N382,$N$4:$N$1463)+COUNTIF($N$4:$N382,$N382)-1))</f>
        <v>15</v>
      </c>
      <c r="AB382" s="41" t="str">
        <f>IF($C382="","",IF($E382="","",$E382&amp;"#"&amp;(COUNTIFS($E$4:$E$1463,$E382,$X$4:$X$1463,"&gt;"&amp;$X382)+COUNTIFS($E$4:$E382,$E382,$X$4:$X382,"="&amp;$X382))))</f>
        <v>DEMON HUNTER#4</v>
      </c>
      <c r="AC382" s="41" t="str">
        <f>IF($C382="","",$B382&amp;"@"&amp;(COUNTIFS($B$4:$B$1463,$B382,$C$4:$C$1463,"&lt;"&amp;$C382)+COUNTIFS($B$4:$B382,$B382,$C$4:$C382,$C382)))</f>
        <v>AZUKI@35</v>
      </c>
      <c r="AD382" s="41">
        <f t="shared" si="29"/>
        <v>379</v>
      </c>
      <c r="AE382" s="41" t="s">
        <v>1226</v>
      </c>
      <c r="AF382" s="73">
        <f t="shared" si="30"/>
        <v>64126</v>
      </c>
      <c r="AG382" s="74">
        <f t="shared" si="31"/>
        <v>10.199999999999999</v>
      </c>
      <c r="AH382" s="41" t="str">
        <f>IF($C382="","",$B382&amp;"|"&amp;(COUNTIFS($B$4:$B$1463,$B382,$AF$4:$AF$1463,"&gt;"&amp;$AF382)+COUNTIFS($B$4:$B382,$B382,$AF$4:$AF382,"="&amp;$AF382)))</f>
        <v>AZUKI|13</v>
      </c>
      <c r="AI382" s="41" t="str">
        <f>IF($C382="","",$B382&amp;"|"&amp;(COUNTIFS($B$4:$B$1463,$B382,$AG$4:$AG$1463,"&gt;"&amp;$AG382)+COUNTIFS($B$4:$B382,$B382,$AG$4:$AG382,"="&amp;$AG382)))</f>
        <v>AZUKI|4</v>
      </c>
    </row>
    <row r="383" spans="1:35" hidden="1">
      <c r="A383" s="69" t="s">
        <v>109</v>
      </c>
      <c r="B383" s="69" t="s">
        <v>110</v>
      </c>
      <c r="C383" s="63" t="s">
        <v>1227</v>
      </c>
      <c r="D383" s="69"/>
      <c r="E383" s="68" t="s">
        <v>71</v>
      </c>
      <c r="F383" s="19" t="str">
        <f>IF($C383="","",IF($E383="","-",IFERROR(INDEX(SETUP!$B$55:$B$64,MATCH($E383,SETUP!$A$55:$A$64,0)),"Other")))</f>
        <v>Frontline</v>
      </c>
      <c r="G383" s="70">
        <v>63716</v>
      </c>
      <c r="H383" s="19" t="str">
        <f>IF($C383="","",IF($G383="","-",INDEX(SETUP!$B$26:$B$32,MATCH($G383,SETUP!$A$26:$A$32,1))))</f>
        <v>63,000 - 63,999</v>
      </c>
      <c r="I383" s="70">
        <v>7741</v>
      </c>
      <c r="J383" s="19" t="str">
        <f>IF($C383="","",IF($I383="","-",INDEX(SETUP!$B$16:$B$22,MATCH($I383,SETUP!$A$16:$A$22,1))))</f>
        <v>VETERAN</v>
      </c>
      <c r="K383" s="19" t="str">
        <f>IF($C383="","",IF($I383="","-",TEXT(INT($I383/1000)*1000,"#,##0")&amp;" - "&amp;TEXT(INT($I383/1000)*1000+999,"#,##0")))</f>
        <v>7,000 - 7,999</v>
      </c>
      <c r="L383" s="71">
        <v>6.85</v>
      </c>
      <c r="M383" s="19" t="str">
        <f>IF($C383="","",IF($L383="","-",INDEX(SETUP!$B$36:$B$42,MATCH($L383,SETUP!$A$36:$A$42,1))))</f>
        <v>6k - 8k</v>
      </c>
      <c r="N383" s="21">
        <f>IF($C383="","",IF(OR($G383="",$I383=""),"",ROUND(100*(SETUP!$B$4*MIN(1,$I383/SETUP!$B$9)+SETUP!$B$5*MAX(0,MIN(1,($G383-SETUP!$B$10)/(SETUP!$B$11-SETUP!$B$10)))+SETUP!$B$6*MIN(1,IF($L383="",0,$L383)/SETUP!$B$12)),1)))</f>
        <v>68.099999999999994</v>
      </c>
      <c r="O383" s="19" t="str">
        <f>IF($C383="","",IF($N383="","-",INDEX(SETUP!$B$46:$B$51,MATCH($N383,SETUP!$A$46:$A$51,1))))</f>
        <v>S</v>
      </c>
      <c r="P383" s="19">
        <f>IF($C383="","",IF($I383="","",RANK($I383,$I$4:$I$1463)+COUNTIF($I$4:$I383,$I383)-1))</f>
        <v>159</v>
      </c>
      <c r="Q383" s="19">
        <f>IF($C383="","",COUNTIFS($B$4:$B$1463,$B383,$X$4:$X$1463,"&gt;"&amp;$X383)+COUNTIFS($B$4:$B383,$B383,$X$4:$X383,"="&amp;$X383))</f>
        <v>25</v>
      </c>
      <c r="R383" s="75">
        <f>IF($C383="","",IF($I383="","",ROUND(COUNTIF($I$4:$I$1463,"&lt;"&amp;$I383)/COUNT($I$4:$I$1463),3)))</f>
        <v>0.88</v>
      </c>
      <c r="S383" s="19" t="str">
        <f>IF($C383="","",IF($G383="","Name only",IF(OR($I383="",$L383=""),"Partial","Complete")))</f>
        <v>Complete</v>
      </c>
      <c r="T383" s="1" t="str">
        <f>IF($C383="","",TRIM(IF(COUNTIF($C$4:$C$1463,$C383)&gt;1,"Dup name; ","")&amp;IF(AND($G383&lt;&gt;"",$G383&lt;55000),"Low CR - verify; ","")&amp;IF(AND($L383&lt;&gt;"",$L383&gt;15),"Secondary - verify; ","")&amp;IF($E383="","No class; ","")))</f>
        <v/>
      </c>
      <c r="U383" s="68"/>
      <c r="V383" s="68"/>
      <c r="W383" s="68"/>
      <c r="X383" s="76">
        <f t="shared" si="27"/>
        <v>7741</v>
      </c>
      <c r="Y383" s="1" t="str">
        <f t="shared" si="28"/>
        <v>AZUKI|25</v>
      </c>
      <c r="Z383" s="19">
        <f>IF($C383="","",IF($G383="","",RANK($G383,$G$4:$G$1463)+COUNTIF($G$4:$G383,$G383)-1))</f>
        <v>134</v>
      </c>
      <c r="AA383" s="19">
        <f>IF($C383="","",IF($N383="","",RANK($N383,$N$4:$N$1463)+COUNTIF($N$4:$N383,$N383)-1))</f>
        <v>146</v>
      </c>
      <c r="AB383" s="1" t="str">
        <f>IF($C383="","",IF($E383="","",$E383&amp;"#"&amp;(COUNTIFS($E$4:$E$1463,$E383,$X$4:$X$1463,"&gt;"&amp;$X383)+COUNTIFS($E$4:$E383,$E383,$X$4:$X383,"="&amp;$X383))))</f>
        <v>BARBARIAN#36</v>
      </c>
      <c r="AC383" s="1" t="str">
        <f>IF($C383="","",$B383&amp;"@"&amp;(COUNTIFS($B$4:$B$1463,$B383,$C$4:$C$1463,"&lt;"&amp;$C383)+COUNTIFS($B$4:$B383,$B383,$C$4:$C383,$C383)))</f>
        <v>AZUKI@36</v>
      </c>
      <c r="AD383" s="1">
        <f t="shared" si="29"/>
        <v>380</v>
      </c>
      <c r="AE383" s="1" t="s">
        <v>1228</v>
      </c>
      <c r="AF383" s="76">
        <f t="shared" si="30"/>
        <v>63716</v>
      </c>
      <c r="AG383" s="77">
        <f t="shared" si="31"/>
        <v>6.85</v>
      </c>
      <c r="AH383" s="1" t="str">
        <f>IF($C383="","",$B383&amp;"|"&amp;(COUNTIFS($B$4:$B$1463,$B383,$AF$4:$AF$1463,"&gt;"&amp;$AF383)+COUNTIFS($B$4:$B383,$B383,$AF$4:$AF383,"="&amp;$AF383)))</f>
        <v>AZUKI|22</v>
      </c>
      <c r="AI383" s="1" t="str">
        <f>IF($C383="","",$B383&amp;"|"&amp;(COUNTIFS($B$4:$B$1463,$B383,$AG$4:$AG$1463,"&gt;"&amp;$AG383)+COUNTIFS($B$4:$B383,$B383,$AG$4:$AG383,"="&amp;$AG383)))</f>
        <v>AZUKI|31</v>
      </c>
    </row>
    <row r="384" spans="1:35" hidden="1">
      <c r="A384" s="69" t="s">
        <v>109</v>
      </c>
      <c r="B384" s="69" t="s">
        <v>118</v>
      </c>
      <c r="C384" s="63" t="s">
        <v>1229</v>
      </c>
      <c r="D384" s="69"/>
      <c r="E384" s="68" t="s">
        <v>71</v>
      </c>
      <c r="F384" s="15" t="str">
        <f>IF($C384="","",IF($E384="","-",IFERROR(INDEX(SETUP!$B$55:$B$64,MATCH($E384,SETUP!$A$55:$A$64,0)),"Other")))</f>
        <v>Frontline</v>
      </c>
      <c r="G384" s="70">
        <v>60240</v>
      </c>
      <c r="H384" s="15" t="str">
        <f>IF($C384="","",IF($G384="","-",INDEX(SETUP!$B$26:$B$32,MATCH($G384,SETUP!$A$26:$A$32,1))))</f>
        <v>60,000 - 60,999</v>
      </c>
      <c r="I384" s="70">
        <v>1382</v>
      </c>
      <c r="J384" s="15" t="str">
        <f>IF($C384="","",IF($I384="","-",INDEX(SETUP!$B$16:$B$22,MATCH($I384,SETUP!$A$16:$A$22,1))))</f>
        <v>ROOKIE</v>
      </c>
      <c r="K384" s="15" t="str">
        <f>IF($C384="","",IF($I384="","-",TEXT(INT($I384/1000)*1000,"#,##0")&amp;" - "&amp;TEXT(INT($I384/1000)*1000+999,"#,##0")))</f>
        <v>1,000 - 1,999</v>
      </c>
      <c r="L384" s="71">
        <v>2.6</v>
      </c>
      <c r="M384" s="15" t="str">
        <f>IF($C384="","",IF($L384="","-",INDEX(SETUP!$B$36:$B$42,MATCH($L384,SETUP!$A$36:$A$42,1))))</f>
        <v>Under 3k</v>
      </c>
      <c r="N384" s="17">
        <f>IF($C384="","",IF(OR($G384="",$I384=""),"",ROUND(100*(SETUP!$B$4*MIN(1,$I384/SETUP!$B$9)+SETUP!$B$5*MAX(0,MIN(1,($G384-SETUP!$B$10)/(SETUP!$B$11-SETUP!$B$10)))+SETUP!$B$6*MIN(1,IF($L384="",0,$L384)/SETUP!$B$12)),1)))</f>
        <v>24.2</v>
      </c>
      <c r="O384" s="15" t="str">
        <f>IF($C384="","",IF($N384="","-",INDEX(SETUP!$B$46:$B$51,MATCH($N384,SETUP!$A$46:$A$51,1))))</f>
        <v>C</v>
      </c>
      <c r="P384" s="15">
        <f>IF($C384="","",IF($I384="","",RANK($I384,$I$4:$I$1463)+COUNTIF($I$4:$I384,$I384)-1))</f>
        <v>1220</v>
      </c>
      <c r="Q384" s="15">
        <f>IF($C384="","",COUNTIFS($B$4:$B$1463,$B384,$X$4:$X$1463,"&gt;"&amp;$X384)+COUNTIFS($B$4:$B384,$B384,$X$4:$X384,"="&amp;$X384))</f>
        <v>66</v>
      </c>
      <c r="R384" s="72">
        <f>IF($C384="","",IF($I384="","",ROUND(COUNTIF($I$4:$I$1463,"&lt;"&amp;$I384)/COUNT($I$4:$I$1463),3)))</f>
        <v>7.9000000000000001E-2</v>
      </c>
      <c r="S384" s="15" t="str">
        <f>IF($C384="","",IF($G384="","Name only",IF(OR($I384="",$L384=""),"Partial","Complete")))</f>
        <v>Complete</v>
      </c>
      <c r="T384" s="41" t="str">
        <f>IF($C384="","",TRIM(IF(COUNTIF($C$4:$C$1463,$C384)&gt;1,"Dup name; ","")&amp;IF(AND($G384&lt;&gt;"",$G384&lt;55000),"Low CR - verify; ","")&amp;IF(AND($L384&lt;&gt;"",$L384&gt;15),"Secondary - verify; ","")&amp;IF($E384="","No class; ","")))</f>
        <v/>
      </c>
      <c r="U384" s="68"/>
      <c r="V384" s="68"/>
      <c r="W384" s="68"/>
      <c r="X384" s="73">
        <f t="shared" si="27"/>
        <v>1382</v>
      </c>
      <c r="Y384" s="41" t="str">
        <f t="shared" si="28"/>
        <v>ZOMBIES|66</v>
      </c>
      <c r="Z384" s="15">
        <f>IF($C384="","",IF($G384="","",RANK($G384,$G$4:$G$1463)+COUNTIF($G$4:$G384,$G384)-1))</f>
        <v>1224</v>
      </c>
      <c r="AA384" s="15">
        <f>IF($C384="","",IF($N384="","",RANK($N384,$N$4:$N$1463)+COUNTIF($N$4:$N384,$N384)-1))</f>
        <v>1256</v>
      </c>
      <c r="AB384" s="41" t="str">
        <f>IF($C384="","",IF($E384="","",$E384&amp;"#"&amp;(COUNTIFS($E$4:$E$1463,$E384,$X$4:$X$1463,"&gt;"&amp;$X384)+COUNTIFS($E$4:$E384,$E384,$X$4:$X384,"="&amp;$X384))))</f>
        <v>BARBARIAN#202</v>
      </c>
      <c r="AC384" s="41" t="str">
        <f>IF($C384="","",$B384&amp;"@"&amp;(COUNTIFS($B$4:$B$1463,$B384,$C$4:$C$1463,"&lt;"&amp;$C384)+COUNTIFS($B$4:$B384,$B384,$C$4:$C384,$C384)))</f>
        <v>ZOMBIES@30</v>
      </c>
      <c r="AD384" s="41">
        <f t="shared" si="29"/>
        <v>381</v>
      </c>
      <c r="AE384" s="41" t="s">
        <v>1230</v>
      </c>
      <c r="AF384" s="73">
        <f t="shared" si="30"/>
        <v>60240</v>
      </c>
      <c r="AG384" s="74">
        <f t="shared" si="31"/>
        <v>2.6</v>
      </c>
      <c r="AH384" s="41" t="str">
        <f>IF($C384="","",$B384&amp;"|"&amp;(COUNTIFS($B$4:$B$1463,$B384,$AF$4:$AF$1463,"&gt;"&amp;$AF384)+COUNTIFS($B$4:$B384,$B384,$AF$4:$AF384,"="&amp;$AF384)))</f>
        <v>ZOMBIES|75</v>
      </c>
      <c r="AI384" s="41" t="str">
        <f>IF($C384="","",$B384&amp;"|"&amp;(COUNTIFS($B$4:$B$1463,$B384,$AG$4:$AG$1463,"&gt;"&amp;$AG384)+COUNTIFS($B$4:$B384,$B384,$AG$4:$AG384,"="&amp;$AG384)))</f>
        <v>ZOMBIES|92</v>
      </c>
    </row>
    <row r="385" spans="1:35" hidden="1">
      <c r="A385" s="69" t="s">
        <v>109</v>
      </c>
      <c r="B385" s="69" t="s">
        <v>112</v>
      </c>
      <c r="C385" s="63" t="s">
        <v>1231</v>
      </c>
      <c r="D385" s="69" t="s">
        <v>567</v>
      </c>
      <c r="E385" s="68" t="s">
        <v>71</v>
      </c>
      <c r="F385" s="19" t="str">
        <f>IF($C385="","",IF($E385="","-",IFERROR(INDEX(SETUP!$B$55:$B$64,MATCH($E385,SETUP!$A$55:$A$64,0)),"Other")))</f>
        <v>Frontline</v>
      </c>
      <c r="G385" s="70">
        <v>62145</v>
      </c>
      <c r="H385" s="19" t="str">
        <f>IF($C385="","",IF($G385="","-",INDEX(SETUP!$B$26:$B$32,MATCH($G385,SETUP!$A$26:$A$32,1))))</f>
        <v>62,000 - 62,999</v>
      </c>
      <c r="I385" s="70">
        <v>3166</v>
      </c>
      <c r="J385" s="19" t="str">
        <f>IF($C385="","",IF($I385="","-",INDEX(SETUP!$B$16:$B$22,MATCH($I385,SETUP!$A$16:$A$22,1))))</f>
        <v>DEVELOPING</v>
      </c>
      <c r="K385" s="19" t="str">
        <f>IF($C385="","",IF($I385="","-",TEXT(INT($I385/1000)*1000,"#,##0")&amp;" - "&amp;TEXT(INT($I385/1000)*1000+999,"#,##0")))</f>
        <v>3,000 - 3,999</v>
      </c>
      <c r="L385" s="71">
        <v>5.25</v>
      </c>
      <c r="M385" s="19" t="str">
        <f>IF($C385="","",IF($L385="","-",INDEX(SETUP!$B$36:$B$42,MATCH($L385,SETUP!$A$36:$A$42,1))))</f>
        <v>5k - 6k</v>
      </c>
      <c r="N385" s="21">
        <f>IF($C385="","",IF(OR($G385="",$I385=""),"",ROUND(100*(SETUP!$B$4*MIN(1,$I385/SETUP!$B$9)+SETUP!$B$5*MAX(0,MIN(1,($G385-SETUP!$B$10)/(SETUP!$B$11-SETUP!$B$10)))+SETUP!$B$6*MIN(1,IF($L385="",0,$L385)/SETUP!$B$12)),1)))</f>
        <v>41.4</v>
      </c>
      <c r="O385" s="19" t="str">
        <f>IF($C385="","",IF($N385="","-",INDEX(SETUP!$B$46:$B$51,MATCH($N385,SETUP!$A$46:$A$51,1))))</f>
        <v>B</v>
      </c>
      <c r="P385" s="19">
        <f>IF($C385="","",IF($I385="","",RANK($I385,$I$4:$I$1463)+COUNTIF($I$4:$I385,$I385)-1))</f>
        <v>832</v>
      </c>
      <c r="Q385" s="19">
        <f>IF($C385="","",COUNTIFS($B$4:$B$1463,$B385,$X$4:$X$1463,"&gt;"&amp;$X385)+COUNTIFS($B$4:$B385,$B385,$X$4:$X385,"="&amp;$X385))</f>
        <v>63</v>
      </c>
      <c r="R385" s="75">
        <f>IF($C385="","",IF($I385="","",ROUND(COUNTIF($I$4:$I$1463,"&lt;"&amp;$I385)/COUNT($I$4:$I$1463),3)))</f>
        <v>0.372</v>
      </c>
      <c r="S385" s="19" t="str">
        <f>IF($C385="","",IF($G385="","Name only",IF(OR($I385="",$L385=""),"Partial","Complete")))</f>
        <v>Complete</v>
      </c>
      <c r="T385" s="1" t="str">
        <f>IF($C385="","",TRIM(IF(COUNTIF($C$4:$C$1463,$C385)&gt;1,"Dup name; ","")&amp;IF(AND($G385&lt;&gt;"",$G385&lt;55000),"Low CR - verify; ","")&amp;IF(AND($L385&lt;&gt;"",$L385&gt;15),"Secondary - verify; ","")&amp;IF($E385="","No class; ","")))</f>
        <v/>
      </c>
      <c r="U385" s="68"/>
      <c r="V385" s="68"/>
      <c r="W385" s="68"/>
      <c r="X385" s="76">
        <f t="shared" si="27"/>
        <v>3166</v>
      </c>
      <c r="Y385" s="1" t="str">
        <f t="shared" si="28"/>
        <v>ACHERON|63</v>
      </c>
      <c r="Z385" s="19">
        <f>IF($C385="","",IF($G385="","",RANK($G385,$G$4:$G$1463)+COUNTIF($G$4:$G385,$G385)-1))</f>
        <v>780</v>
      </c>
      <c r="AA385" s="19">
        <f>IF($C385="","",IF($N385="","",RANK($N385,$N$4:$N$1463)+COUNTIF($N$4:$N385,$N385)-1))</f>
        <v>760</v>
      </c>
      <c r="AB385" s="1" t="str">
        <f>IF($C385="","",IF($E385="","",$E385&amp;"#"&amp;(COUNTIFS($E$4:$E$1463,$E385,$X$4:$X$1463,"&gt;"&amp;$X385)+COUNTIFS($E$4:$E385,$E385,$X$4:$X385,"="&amp;$X385))))</f>
        <v>BARBARIAN#149</v>
      </c>
      <c r="AC385" s="1" t="str">
        <f>IF($C385="","",$B385&amp;"@"&amp;(COUNTIFS($B$4:$B$1463,$B385,$C$4:$C$1463,"&lt;"&amp;$C385)+COUNTIFS($B$4:$B385,$B385,$C$4:$C385,$C385)))</f>
        <v>ACHERON@25</v>
      </c>
      <c r="AD385" s="1">
        <f t="shared" si="29"/>
        <v>382</v>
      </c>
      <c r="AE385" s="1" t="s">
        <v>1232</v>
      </c>
      <c r="AF385" s="76">
        <f t="shared" si="30"/>
        <v>62145</v>
      </c>
      <c r="AG385" s="77">
        <f t="shared" si="31"/>
        <v>5.25</v>
      </c>
      <c r="AH385" s="1" t="str">
        <f>IF($C385="","",$B385&amp;"|"&amp;(COUNTIFS($B$4:$B$1463,$B385,$AF$4:$AF$1463,"&gt;"&amp;$AF385)+COUNTIFS($B$4:$B385,$B385,$AF$4:$AF385,"="&amp;$AF385)))</f>
        <v>ACHERON|64</v>
      </c>
      <c r="AI385" s="1" t="str">
        <f>IF($C385="","",$B385&amp;"|"&amp;(COUNTIFS($B$4:$B$1463,$B385,$AG$4:$AG$1463,"&gt;"&amp;$AG385)+COUNTIFS($B$4:$B385,$B385,$AG$4:$AG385,"="&amp;$AG385)))</f>
        <v>ACHERON|41</v>
      </c>
    </row>
    <row r="386" spans="1:35" hidden="1">
      <c r="A386" s="69" t="s">
        <v>106</v>
      </c>
      <c r="B386" s="69" t="s">
        <v>105</v>
      </c>
      <c r="C386" s="63" t="s">
        <v>1233</v>
      </c>
      <c r="D386" s="69"/>
      <c r="E386" s="68"/>
      <c r="F386" s="15" t="str">
        <f>IF($C386="","",IF($E386="","-",IFERROR(INDEX(SETUP!$B$55:$B$64,MATCH($E386,SETUP!$A$55:$A$64,0)),"Other")))</f>
        <v>-</v>
      </c>
      <c r="G386" s="70"/>
      <c r="H386" s="15" t="str">
        <f>IF($C386="","",IF($G386="","-",INDEX(SETUP!$B$26:$B$32,MATCH($G386,SETUP!$A$26:$A$32,1))))</f>
        <v>-</v>
      </c>
      <c r="I386" s="70"/>
      <c r="J386" s="15" t="str">
        <f>IF($C386="","",IF($I386="","-",INDEX(SETUP!$B$16:$B$22,MATCH($I386,SETUP!$A$16:$A$22,1))))</f>
        <v>-</v>
      </c>
      <c r="K386" s="15" t="str">
        <f>IF($C386="","",IF($I386="","-",TEXT(INT($I386/1000)*1000,"#,##0")&amp;" - "&amp;TEXT(INT($I386/1000)*1000+999,"#,##0")))</f>
        <v>-</v>
      </c>
      <c r="L386" s="71"/>
      <c r="M386" s="15" t="str">
        <f>IF($C386="","",IF($L386="","-",INDEX(SETUP!$B$36:$B$42,MATCH($L386,SETUP!$A$36:$A$42,1))))</f>
        <v>-</v>
      </c>
      <c r="N386" s="17" t="str">
        <f>IF($C386="","",IF(OR($G386="",$I386=""),"",ROUND(100*(SETUP!$B$4*MIN(1,$I386/SETUP!$B$9)+SETUP!$B$5*MAX(0,MIN(1,($G386-SETUP!$B$10)/(SETUP!$B$11-SETUP!$B$10)))+SETUP!$B$6*MIN(1,IF($L386="",0,$L386)/SETUP!$B$12)),1)))</f>
        <v/>
      </c>
      <c r="O386" s="15" t="str">
        <f>IF($C386="","",IF($N386="","-",INDEX(SETUP!$B$46:$B$51,MATCH($N386,SETUP!$A$46:$A$51,1))))</f>
        <v>-</v>
      </c>
      <c r="P386" s="15" t="str">
        <f>IF($C386="","",IF($I386="","",RANK($I386,$I$4:$I$1463)+COUNTIF($I$4:$I386,$I386)-1))</f>
        <v/>
      </c>
      <c r="Q386" s="15">
        <f>IF($C386="","",COUNTIFS($B$4:$B$1463,$B386,$X$4:$X$1463,"&gt;"&amp;$X386)+COUNTIFS($B$4:$B386,$B386,$X$4:$X386,"="&amp;$X386))</f>
        <v>98</v>
      </c>
      <c r="R386" s="72" t="str">
        <f>IF($C386="","",IF($I386="","",ROUND(COUNTIF($I$4:$I$1463,"&lt;"&amp;$I386)/COUNT($I$4:$I$1463),3)))</f>
        <v/>
      </c>
      <c r="S386" s="15" t="str">
        <f>IF($C386="","",IF($G386="","Name only",IF(OR($I386="",$L386=""),"Partial","Complete")))</f>
        <v>Name only</v>
      </c>
      <c r="T386" s="41" t="str">
        <f>IF($C386="","",TRIM(IF(COUNTIF($C$4:$C$1463,$C386)&gt;1,"Dup name; ","")&amp;IF(AND($G386&lt;&gt;"",$G386&lt;55000),"Low CR - verify; ","")&amp;IF(AND($L386&lt;&gt;"",$L386&gt;15),"Secondary - verify; ","")&amp;IF($E386="","No class; ","")))</f>
        <v>No class;</v>
      </c>
      <c r="U386" s="68"/>
      <c r="V386" s="68"/>
      <c r="W386" s="68"/>
      <c r="X386" s="41">
        <f t="shared" si="27"/>
        <v>-1</v>
      </c>
      <c r="Y386" s="41" t="str">
        <f t="shared" si="28"/>
        <v>LEGENDS|98</v>
      </c>
      <c r="Z386" s="15" t="str">
        <f>IF($C386="","",IF($G386="","",RANK($G386,$G$4:$G$1463)+COUNTIF($G$4:$G386,$G386)-1))</f>
        <v/>
      </c>
      <c r="AA386" s="15" t="str">
        <f>IF($C386="","",IF($N386="","",RANK($N386,$N$4:$N$1463)+COUNTIF($N$4:$N386,$N386)-1))</f>
        <v/>
      </c>
      <c r="AB386" s="41" t="str">
        <f>IF($C386="","",IF($E386="","",$E386&amp;"#"&amp;(COUNTIFS($E$4:$E$1463,$E386,$X$4:$X$1463,"&gt;"&amp;$X386)+COUNTIFS($E$4:$E386,$E386,$X$4:$X386,"="&amp;$X386))))</f>
        <v/>
      </c>
      <c r="AC386" s="41" t="str">
        <f>IF($C386="","",$B386&amp;"@"&amp;(COUNTIFS($B$4:$B$1463,$B386,$C$4:$C$1463,"&lt;"&amp;$C386)+COUNTIFS($B$4:$B386,$B386,$C$4:$C386,$C386)))</f>
        <v>LEGENDS@37</v>
      </c>
      <c r="AD386" s="41">
        <f t="shared" si="29"/>
        <v>383</v>
      </c>
      <c r="AE386" s="41"/>
      <c r="AF386" s="41">
        <f t="shared" si="30"/>
        <v>-1</v>
      </c>
      <c r="AG386" s="41">
        <f t="shared" si="31"/>
        <v>-1</v>
      </c>
      <c r="AH386" s="41" t="str">
        <f>IF($C386="","",$B386&amp;"|"&amp;(COUNTIFS($B$4:$B$1463,$B386,$AF$4:$AF$1463,"&gt;"&amp;$AF386)+COUNTIFS($B$4:$B386,$B386,$AF$4:$AF386,"="&amp;$AF386)))</f>
        <v>LEGENDS|98</v>
      </c>
      <c r="AI386" s="41" t="str">
        <f>IF($C386="","",$B386&amp;"|"&amp;(COUNTIFS($B$4:$B$1463,$B386,$AG$4:$AG$1463,"&gt;"&amp;$AG386)+COUNTIFS($B$4:$B386,$B386,$AG$4:$AG386,"="&amp;$AG386)))</f>
        <v>LEGENDS|98</v>
      </c>
    </row>
    <row r="387" spans="1:35" hidden="1">
      <c r="A387" s="69" t="s">
        <v>106</v>
      </c>
      <c r="B387" s="69" t="s">
        <v>105</v>
      </c>
      <c r="C387" s="63" t="s">
        <v>1234</v>
      </c>
      <c r="D387" s="69"/>
      <c r="E387" s="68" t="s">
        <v>71</v>
      </c>
      <c r="F387" s="19" t="str">
        <f>IF($C387="","",IF($E387="","-",IFERROR(INDEX(SETUP!$B$55:$B$64,MATCH($E387,SETUP!$A$55:$A$64,0)),"Other")))</f>
        <v>Frontline</v>
      </c>
      <c r="G387" s="70">
        <v>63297</v>
      </c>
      <c r="H387" s="19" t="str">
        <f>IF($C387="","",IF($G387="","-",INDEX(SETUP!$B$26:$B$32,MATCH($G387,SETUP!$A$26:$A$32,1))))</f>
        <v>63,000 - 63,999</v>
      </c>
      <c r="I387" s="70">
        <v>4156</v>
      </c>
      <c r="J387" s="19" t="str">
        <f>IF($C387="","",IF($I387="","-",INDEX(SETUP!$B$16:$B$22,MATCH($I387,SETUP!$A$16:$A$22,1))))</f>
        <v>CORE</v>
      </c>
      <c r="K387" s="19" t="str">
        <f>IF($C387="","",IF($I387="","-",TEXT(INT($I387/1000)*1000,"#,##0")&amp;" - "&amp;TEXT(INT($I387/1000)*1000+999,"#,##0")))</f>
        <v>4,000 - 4,999</v>
      </c>
      <c r="L387" s="71">
        <v>5.54</v>
      </c>
      <c r="M387" s="19" t="str">
        <f>IF($C387="","",IF($L387="","-",INDEX(SETUP!$B$36:$B$42,MATCH($L387,SETUP!$A$36:$A$42,1))))</f>
        <v>5k - 6k</v>
      </c>
      <c r="N387" s="21">
        <f>IF($C387="","",IF(OR($G387="",$I387=""),"",ROUND(100*(SETUP!$B$4*MIN(1,$I387/SETUP!$B$9)+SETUP!$B$5*MAX(0,MIN(1,($G387-SETUP!$B$10)/(SETUP!$B$11-SETUP!$B$10)))+SETUP!$B$6*MIN(1,IF($L387="",0,$L387)/SETUP!$B$12)),1)))</f>
        <v>49.2</v>
      </c>
      <c r="O387" s="19" t="str">
        <f>IF($C387="","",IF($N387="","-",INDEX(SETUP!$B$46:$B$51,MATCH($N387,SETUP!$A$46:$A$51,1))))</f>
        <v>B</v>
      </c>
      <c r="P387" s="19">
        <f>IF($C387="","",IF($I387="","",RANK($I387,$I$4:$I$1463)+COUNTIF($I$4:$I387,$I387)-1))</f>
        <v>567</v>
      </c>
      <c r="Q387" s="19">
        <f>IF($C387="","",COUNTIFS($B$4:$B$1463,$B387,$X$4:$X$1463,"&gt;"&amp;$X387)+COUNTIFS($B$4:$B387,$B387,$X$4:$X387,"="&amp;$X387))</f>
        <v>73</v>
      </c>
      <c r="R387" s="75">
        <f>IF($C387="","",IF($I387="","",ROUND(COUNTIF($I$4:$I$1463,"&lt;"&amp;$I387)/COUNT($I$4:$I$1463),3)))</f>
        <v>0.57199999999999995</v>
      </c>
      <c r="S387" s="19" t="str">
        <f>IF($C387="","",IF($G387="","Name only",IF(OR($I387="",$L387=""),"Partial","Complete")))</f>
        <v>Complete</v>
      </c>
      <c r="T387" s="1" t="str">
        <f>IF($C387="","",TRIM(IF(COUNTIF($C$4:$C$1463,$C387)&gt;1,"Dup name; ","")&amp;IF(AND($G387&lt;&gt;"",$G387&lt;55000),"Low CR - verify; ","")&amp;IF(AND($L387&lt;&gt;"",$L387&gt;15),"Secondary - verify; ","")&amp;IF($E387="","No class; ","")))</f>
        <v/>
      </c>
      <c r="U387" s="68"/>
      <c r="V387" s="68"/>
      <c r="W387" s="68"/>
      <c r="X387" s="76">
        <f t="shared" si="27"/>
        <v>4156</v>
      </c>
      <c r="Y387" s="1" t="str">
        <f t="shared" si="28"/>
        <v>LEGENDS|73</v>
      </c>
      <c r="Z387" s="19">
        <f>IF($C387="","",IF($G387="","",RANK($G387,$G$4:$G$1463)+COUNTIF($G$4:$G387,$G387)-1))</f>
        <v>263</v>
      </c>
      <c r="AA387" s="19">
        <f>IF($C387="","",IF($N387="","",RANK($N387,$N$4:$N$1463)+COUNTIF($N$4:$N387,$N387)-1))</f>
        <v>474</v>
      </c>
      <c r="AB387" s="1" t="str">
        <f>IF($C387="","",IF($E387="","",$E387&amp;"#"&amp;(COUNTIFS($E$4:$E$1463,$E387,$X$4:$X$1463,"&gt;"&amp;$X387)+COUNTIFS($E$4:$E387,$E387,$X$4:$X387,"="&amp;$X387))))</f>
        <v>BARBARIAN#109</v>
      </c>
      <c r="AC387" s="1" t="str">
        <f>IF($C387="","",$B387&amp;"@"&amp;(COUNTIFS($B$4:$B$1463,$B387,$C$4:$C$1463,"&lt;"&amp;$C387)+COUNTIFS($B$4:$B387,$B387,$C$4:$C387,$C387)))</f>
        <v>LEGENDS@38</v>
      </c>
      <c r="AD387" s="1">
        <f t="shared" si="29"/>
        <v>384</v>
      </c>
      <c r="AE387" s="1" t="s">
        <v>1235</v>
      </c>
      <c r="AF387" s="76">
        <f t="shared" si="30"/>
        <v>63297</v>
      </c>
      <c r="AG387" s="77">
        <f t="shared" si="31"/>
        <v>5.54</v>
      </c>
      <c r="AH387" s="1" t="str">
        <f>IF($C387="","",$B387&amp;"|"&amp;(COUNTIFS($B$4:$B$1463,$B387,$AF$4:$AF$1463,"&gt;"&amp;$AF387)+COUNTIFS($B$4:$B387,$B387,$AF$4:$AF387,"="&amp;$AF387)))</f>
        <v>LEGENDS|36</v>
      </c>
      <c r="AI387" s="1" t="str">
        <f>IF($C387="","",$B387&amp;"|"&amp;(COUNTIFS($B$4:$B$1463,$B387,$AG$4:$AG$1463,"&gt;"&amp;$AG387)+COUNTIFS($B$4:$B387,$B387,$AG$4:$AG387,"="&amp;$AG387)))</f>
        <v>LEGENDS|36</v>
      </c>
    </row>
    <row r="388" spans="1:35" hidden="1">
      <c r="A388" s="69" t="s">
        <v>106</v>
      </c>
      <c r="B388" s="69" t="s">
        <v>105</v>
      </c>
      <c r="C388" s="63" t="s">
        <v>1236</v>
      </c>
      <c r="D388" s="69"/>
      <c r="E388" s="68" t="s">
        <v>74</v>
      </c>
      <c r="F388" s="15" t="str">
        <f>IF($C388="","",IF($E388="","-",IFERROR(INDEX(SETUP!$B$55:$B$64,MATCH($E388,SETUP!$A$55:$A$64,0)),"Other")))</f>
        <v>Ranged DPS</v>
      </c>
      <c r="G388" s="70">
        <v>63233</v>
      </c>
      <c r="H388" s="15" t="str">
        <f>IF($C388="","",IF($G388="","-",INDEX(SETUP!$B$26:$B$32,MATCH($G388,SETUP!$A$26:$A$32,1))))</f>
        <v>63,000 - 63,999</v>
      </c>
      <c r="I388" s="70">
        <v>7112</v>
      </c>
      <c r="J388" s="15" t="str">
        <f>IF($C388="","",IF($I388="","-",INDEX(SETUP!$B$16:$B$22,MATCH($I388,SETUP!$A$16:$A$22,1))))</f>
        <v>VETERAN</v>
      </c>
      <c r="K388" s="15" t="str">
        <f>IF($C388="","",IF($I388="","-",TEXT(INT($I388/1000)*1000,"#,##0")&amp;" - "&amp;TEXT(INT($I388/1000)*1000+999,"#,##0")))</f>
        <v>7,000 - 7,999</v>
      </c>
      <c r="L388" s="71">
        <v>5.61</v>
      </c>
      <c r="M388" s="15" t="str">
        <f>IF($C388="","",IF($L388="","-",INDEX(SETUP!$B$36:$B$42,MATCH($L388,SETUP!$A$36:$A$42,1))))</f>
        <v>5k - 6k</v>
      </c>
      <c r="N388" s="17">
        <f>IF($C388="","",IF(OR($G388="",$I388=""),"",ROUND(100*(SETUP!$B$4*MIN(1,$I388/SETUP!$B$9)+SETUP!$B$5*MAX(0,MIN(1,($G388-SETUP!$B$10)/(SETUP!$B$11-SETUP!$B$10)))+SETUP!$B$6*MIN(1,IF($L388="",0,$L388)/SETUP!$B$12)),1)))</f>
        <v>62.1</v>
      </c>
      <c r="O388" s="15" t="str">
        <f>IF($C388="","",IF($N388="","-",INDEX(SETUP!$B$46:$B$51,MATCH($N388,SETUP!$A$46:$A$51,1))))</f>
        <v>A</v>
      </c>
      <c r="P388" s="15">
        <f>IF($C388="","",IF($I388="","",RANK($I388,$I$4:$I$1463)+COUNTIF($I$4:$I388,$I388)-1))</f>
        <v>216</v>
      </c>
      <c r="Q388" s="15">
        <f>IF($C388="","",COUNTIFS($B$4:$B$1463,$B388,$X$4:$X$1463,"&gt;"&amp;$X388)+COUNTIFS($B$4:$B388,$B388,$X$4:$X388,"="&amp;$X388))</f>
        <v>20</v>
      </c>
      <c r="R388" s="72">
        <f>IF($C388="","",IF($I388="","",ROUND(COUNTIF($I$4:$I$1463,"&lt;"&amp;$I388)/COUNT($I$4:$I$1463),3)))</f>
        <v>0.83699999999999997</v>
      </c>
      <c r="S388" s="15" t="str">
        <f>IF($C388="","",IF($G388="","Name only",IF(OR($I388="",$L388=""),"Partial","Complete")))</f>
        <v>Complete</v>
      </c>
      <c r="T388" s="41" t="str">
        <f>IF($C388="","",TRIM(IF(COUNTIF($C$4:$C$1463,$C388)&gt;1,"Dup name; ","")&amp;IF(AND($G388&lt;&gt;"",$G388&lt;55000),"Low CR - verify; ","")&amp;IF(AND($L388&lt;&gt;"",$L388&gt;15),"Secondary - verify; ","")&amp;IF($E388="","No class; ","")))</f>
        <v/>
      </c>
      <c r="U388" s="68"/>
      <c r="V388" s="68"/>
      <c r="W388" s="68"/>
      <c r="X388" s="73">
        <f t="shared" ref="X388:X451" si="32">IF($C388="","",IF($I388="",-1,$I388))</f>
        <v>7112</v>
      </c>
      <c r="Y388" s="41" t="str">
        <f t="shared" ref="Y388:Y451" si="33">IF($C388="","",$B388&amp;"|"&amp;$Q388)</f>
        <v>LEGENDS|20</v>
      </c>
      <c r="Z388" s="15">
        <f>IF($C388="","",IF($G388="","",RANK($G388,$G$4:$G$1463)+COUNTIF($G$4:$G388,$G388)-1))</f>
        <v>299</v>
      </c>
      <c r="AA388" s="15">
        <f>IF($C388="","",IF($N388="","",RANK($N388,$N$4:$N$1463)+COUNTIF($N$4:$N388,$N388)-1))</f>
        <v>214</v>
      </c>
      <c r="AB388" s="41" t="str">
        <f>IF($C388="","",IF($E388="","",$E388&amp;"#"&amp;(COUNTIFS($E$4:$E$1463,$E388,$X$4:$X$1463,"&gt;"&amp;$X388)+COUNTIFS($E$4:$E388,$E388,$X$4:$X388,"="&amp;$X388))))</f>
        <v>DEMON HUNTER#37</v>
      </c>
      <c r="AC388" s="41" t="str">
        <f>IF($C388="","",$B388&amp;"@"&amp;(COUNTIFS($B$4:$B$1463,$B388,$C$4:$C$1463,"&lt;"&amp;$C388)+COUNTIFS($B$4:$B388,$B388,$C$4:$C388,$C388)))</f>
        <v>LEGENDS@39</v>
      </c>
      <c r="AD388" s="41">
        <f t="shared" ref="AD388:AD451" si="34">IF($C388="","",ROW()-4+1)</f>
        <v>385</v>
      </c>
      <c r="AE388" s="41" t="s">
        <v>1237</v>
      </c>
      <c r="AF388" s="73">
        <f t="shared" ref="AF388:AF451" si="35">IF($C388="","",IF($G388="",-1,$G388))</f>
        <v>63233</v>
      </c>
      <c r="AG388" s="74">
        <f t="shared" ref="AG388:AG451" si="36">IF($C388="","",IF($L388="",-1,$L388))</f>
        <v>5.61</v>
      </c>
      <c r="AH388" s="41" t="str">
        <f>IF($C388="","",$B388&amp;"|"&amp;(COUNTIFS($B$4:$B$1463,$B388,$AF$4:$AF$1463,"&gt;"&amp;$AF388)+COUNTIFS($B$4:$B388,$B388,$AF$4:$AF388,"="&amp;$AF388)))</f>
        <v>LEGENDS|39</v>
      </c>
      <c r="AI388" s="41" t="str">
        <f>IF($C388="","",$B388&amp;"|"&amp;(COUNTIFS($B$4:$B$1463,$B388,$AG$4:$AG$1463,"&gt;"&amp;$AG388)+COUNTIFS($B$4:$B388,$B388,$AG$4:$AG388,"="&amp;$AG388)))</f>
        <v>LEGENDS|33</v>
      </c>
    </row>
    <row r="389" spans="1:35" hidden="1">
      <c r="A389" s="69" t="s">
        <v>109</v>
      </c>
      <c r="B389" s="69" t="s">
        <v>116</v>
      </c>
      <c r="C389" s="63" t="s">
        <v>1238</v>
      </c>
      <c r="D389" s="69" t="s">
        <v>530</v>
      </c>
      <c r="E389" s="68" t="s">
        <v>79</v>
      </c>
      <c r="F389" s="19" t="str">
        <f>IF($C389="","",IF($E389="","-",IFERROR(INDEX(SETUP!$B$55:$B$64,MATCH($E389,SETUP!$A$55:$A$64,0)),"Other")))</f>
        <v>Control</v>
      </c>
      <c r="G389" s="70">
        <v>60167</v>
      </c>
      <c r="H389" s="19" t="str">
        <f>IF($C389="","",IF($G389="","-",INDEX(SETUP!$B$26:$B$32,MATCH($G389,SETUP!$A$26:$A$32,1))))</f>
        <v>60,000 - 60,999</v>
      </c>
      <c r="I389" s="70">
        <v>3299</v>
      </c>
      <c r="J389" s="19" t="str">
        <f>IF($C389="","",IF($I389="","-",INDEX(SETUP!$B$16:$B$22,MATCH($I389,SETUP!$A$16:$A$22,1))))</f>
        <v>DEVELOPING</v>
      </c>
      <c r="K389" s="19" t="str">
        <f>IF($C389="","",IF($I389="","-",TEXT(INT($I389/1000)*1000,"#,##0")&amp;" - "&amp;TEXT(INT($I389/1000)*1000+999,"#,##0")))</f>
        <v>3,000 - 3,999</v>
      </c>
      <c r="L389" s="71">
        <v>4.5</v>
      </c>
      <c r="M389" s="19" t="str">
        <f>IF($C389="","",IF($L389="","-",INDEX(SETUP!$B$36:$B$42,MATCH($L389,SETUP!$A$36:$A$42,1))))</f>
        <v>4k - 5k</v>
      </c>
      <c r="N389" s="21">
        <f>IF($C389="","",IF(OR($G389="",$I389=""),"",ROUND(100*(SETUP!$B$4*MIN(1,$I389/SETUP!$B$9)+SETUP!$B$5*MAX(0,MIN(1,($G389-SETUP!$B$10)/(SETUP!$B$11-SETUP!$B$10)))+SETUP!$B$6*MIN(1,IF($L389="",0,$L389)/SETUP!$B$12)),1)))</f>
        <v>35.5</v>
      </c>
      <c r="O389" s="19" t="str">
        <f>IF($C389="","",IF($N389="","-",INDEX(SETUP!$B$46:$B$51,MATCH($N389,SETUP!$A$46:$A$51,1))))</f>
        <v>B</v>
      </c>
      <c r="P389" s="19">
        <f>IF($C389="","",IF($I389="","",RANK($I389,$I$4:$I$1463)+COUNTIF($I$4:$I389,$I389)-1))</f>
        <v>792</v>
      </c>
      <c r="Q389" s="19">
        <f>IF($C389="","",COUNTIFS($B$4:$B$1463,$B389,$X$4:$X$1463,"&gt;"&amp;$X389)+COUNTIFS($B$4:$B389,$B389,$X$4:$X389,"="&amp;$X389))</f>
        <v>51</v>
      </c>
      <c r="R389" s="75">
        <f>IF($C389="","",IF($I389="","",ROUND(COUNTIF($I$4:$I$1463,"&lt;"&amp;$I389)/COUNT($I$4:$I$1463),3)))</f>
        <v>0.40200000000000002</v>
      </c>
      <c r="S389" s="19" t="str">
        <f>IF($C389="","",IF($G389="","Name only",IF(OR($I389="",$L389=""),"Partial","Complete")))</f>
        <v>Complete</v>
      </c>
      <c r="T389" s="1" t="str">
        <f>IF($C389="","",TRIM(IF(COUNTIF($C$4:$C$1463,$C389)&gt;1,"Dup name; ","")&amp;IF(AND($G389&lt;&gt;"",$G389&lt;55000),"Low CR - verify; ","")&amp;IF(AND($L389&lt;&gt;"",$L389&gt;15),"Secondary - verify; ","")&amp;IF($E389="","No class; ","")))</f>
        <v/>
      </c>
      <c r="U389" s="68"/>
      <c r="V389" s="68"/>
      <c r="W389" s="68"/>
      <c r="X389" s="76">
        <f t="shared" si="32"/>
        <v>3299</v>
      </c>
      <c r="Y389" s="1" t="str">
        <f t="shared" si="33"/>
        <v>VENGEANCE|51</v>
      </c>
      <c r="Z389" s="19">
        <f>IF($C389="","",IF($G389="","",RANK($G389,$G$4:$G$1463)+COUNTIF($G$4:$G389,$G389)-1))</f>
        <v>1228</v>
      </c>
      <c r="AA389" s="19">
        <f>IF($C389="","",IF($N389="","",RANK($N389,$N$4:$N$1463)+COUNTIF($N$4:$N389,$N389)-1))</f>
        <v>987</v>
      </c>
      <c r="AB389" s="1" t="str">
        <f>IF($C389="","",IF($E389="","",$E389&amp;"#"&amp;(COUNTIFS($E$4:$E$1463,$E389,$X$4:$X$1463,"&gt;"&amp;$X389)+COUNTIFS($E$4:$E389,$E389,$X$4:$X389,"="&amp;$X389))))</f>
        <v>WARLOCK#193</v>
      </c>
      <c r="AC389" s="1" t="str">
        <f>IF($C389="","",$B389&amp;"@"&amp;(COUNTIFS($B$4:$B$1463,$B389,$C$4:$C$1463,"&lt;"&amp;$C389)+COUNTIFS($B$4:$B389,$B389,$C$4:$C389,$C389)))</f>
        <v>VENGEANCE@26</v>
      </c>
      <c r="AD389" s="1">
        <f t="shared" si="34"/>
        <v>386</v>
      </c>
      <c r="AE389" s="1" t="s">
        <v>630</v>
      </c>
      <c r="AF389" s="76">
        <f t="shared" si="35"/>
        <v>60167</v>
      </c>
      <c r="AG389" s="77">
        <f t="shared" si="36"/>
        <v>4.5</v>
      </c>
      <c r="AH389" s="1" t="str">
        <f>IF($C389="","",$B389&amp;"|"&amp;(COUNTIFS($B$4:$B$1463,$B389,$AF$4:$AF$1463,"&gt;"&amp;$AF389)+COUNTIFS($B$4:$B389,$B389,$AF$4:$AF389,"="&amp;$AF389)))</f>
        <v>VENGEANCE|86</v>
      </c>
      <c r="AI389" s="1" t="str">
        <f>IF($C389="","",$B389&amp;"|"&amp;(COUNTIFS($B$4:$B$1463,$B389,$AG$4:$AG$1463,"&gt;"&amp;$AG389)+COUNTIFS($B$4:$B389,$B389,$AG$4:$AG389,"="&amp;$AG389)))</f>
        <v>VENGEANCE|53</v>
      </c>
    </row>
    <row r="390" spans="1:35" hidden="1">
      <c r="A390" s="69" t="s">
        <v>109</v>
      </c>
      <c r="B390" s="69" t="s">
        <v>110</v>
      </c>
      <c r="C390" s="63" t="s">
        <v>1239</v>
      </c>
      <c r="D390" s="69"/>
      <c r="E390" s="68" t="s">
        <v>80</v>
      </c>
      <c r="F390" s="15" t="str">
        <f>IF($C390="","",IF($E390="","-",IFERROR(INDEX(SETUP!$B$55:$B$64,MATCH($E390,SETUP!$A$55:$A$64,0)),"Other")))</f>
        <v>Ranged DPS</v>
      </c>
      <c r="G390" s="70">
        <v>62121</v>
      </c>
      <c r="H390" s="15" t="str">
        <f>IF($C390="","",IF($G390="","-",INDEX(SETUP!$B$26:$B$32,MATCH($G390,SETUP!$A$26:$A$32,1))))</f>
        <v>62,000 - 62,999</v>
      </c>
      <c r="I390" s="70">
        <v>4034</v>
      </c>
      <c r="J390" s="15" t="str">
        <f>IF($C390="","",IF($I390="","-",INDEX(SETUP!$B$16:$B$22,MATCH($I390,SETUP!$A$16:$A$22,1))))</f>
        <v>CORE</v>
      </c>
      <c r="K390" s="15" t="str">
        <f>IF($C390="","",IF($I390="","-",TEXT(INT($I390/1000)*1000,"#,##0")&amp;" - "&amp;TEXT(INT($I390/1000)*1000+999,"#,##0")))</f>
        <v>4,000 - 4,999</v>
      </c>
      <c r="L390" s="71">
        <v>5.4</v>
      </c>
      <c r="M390" s="15" t="str">
        <f>IF($C390="","",IF($L390="","-",INDEX(SETUP!$B$36:$B$42,MATCH($L390,SETUP!$A$36:$A$42,1))))</f>
        <v>5k - 6k</v>
      </c>
      <c r="N390" s="17">
        <f>IF($C390="","",IF(OR($G390="",$I390=""),"",ROUND(100*(SETUP!$B$4*MIN(1,$I390/SETUP!$B$9)+SETUP!$B$5*MAX(0,MIN(1,($G390-SETUP!$B$10)/(SETUP!$B$11-SETUP!$B$10)))+SETUP!$B$6*MIN(1,IF($L390="",0,$L390)/SETUP!$B$12)),1)))</f>
        <v>45.3</v>
      </c>
      <c r="O390" s="15" t="str">
        <f>IF($C390="","",IF($N390="","-",INDEX(SETUP!$B$46:$B$51,MATCH($N390,SETUP!$A$46:$A$51,1))))</f>
        <v>B</v>
      </c>
      <c r="P390" s="15">
        <f>IF($C390="","",IF($I390="","",RANK($I390,$I$4:$I$1463)+COUNTIF($I$4:$I390,$I390)-1))</f>
        <v>592</v>
      </c>
      <c r="Q390" s="15">
        <f>IF($C390="","",COUNTIFS($B$4:$B$1463,$B390,$X$4:$X$1463,"&gt;"&amp;$X390)+COUNTIFS($B$4:$B390,$B390,$X$4:$X390,"="&amp;$X390))</f>
        <v>63</v>
      </c>
      <c r="R390" s="72">
        <f>IF($C390="","",IF($I390="","",ROUND(COUNTIF($I$4:$I$1463,"&lt;"&amp;$I390)/COUNT($I$4:$I$1463),3)))</f>
        <v>0.55300000000000005</v>
      </c>
      <c r="S390" s="15" t="str">
        <f>IF($C390="","",IF($G390="","Name only",IF(OR($I390="",$L390=""),"Partial","Complete")))</f>
        <v>Complete</v>
      </c>
      <c r="T390" s="41" t="str">
        <f>IF($C390="","",TRIM(IF(COUNTIF($C$4:$C$1463,$C390)&gt;1,"Dup name; ","")&amp;IF(AND($G390&lt;&gt;"",$G390&lt;55000),"Low CR - verify; ","")&amp;IF(AND($L390&lt;&gt;"",$L390&gt;15),"Secondary - verify; ","")&amp;IF($E390="","No class; ","")))</f>
        <v/>
      </c>
      <c r="U390" s="68"/>
      <c r="V390" s="68"/>
      <c r="W390" s="68"/>
      <c r="X390" s="73">
        <f t="shared" si="32"/>
        <v>4034</v>
      </c>
      <c r="Y390" s="41" t="str">
        <f t="shared" si="33"/>
        <v>AZUKI|63</v>
      </c>
      <c r="Z390" s="15">
        <f>IF($C390="","",IF($G390="","",RANK($G390,$G$4:$G$1463)+COUNTIF($G$4:$G390,$G390)-1))</f>
        <v>790</v>
      </c>
      <c r="AA390" s="15">
        <f>IF($C390="","",IF($N390="","",RANK($N390,$N$4:$N$1463)+COUNTIF($N$4:$N390,$N390)-1))</f>
        <v>611</v>
      </c>
      <c r="AB390" s="41" t="str">
        <f>IF($C390="","",IF($E390="","",$E390&amp;"#"&amp;(COUNTIFS($E$4:$E$1463,$E390,$X$4:$X$1463,"&gt;"&amp;$X390)+COUNTIFS($E$4:$E390,$E390,$X$4:$X390,"="&amp;$X390))))</f>
        <v>WIZARD#42</v>
      </c>
      <c r="AC390" s="41" t="str">
        <f>IF($C390="","",$B390&amp;"@"&amp;(COUNTIFS($B$4:$B$1463,$B390,$C$4:$C$1463,"&lt;"&amp;$C390)+COUNTIFS($B$4:$B390,$B390,$C$4:$C390,$C390)))</f>
        <v>AZUKI@37</v>
      </c>
      <c r="AD390" s="41">
        <f t="shared" si="34"/>
        <v>387</v>
      </c>
      <c r="AE390" s="41" t="s">
        <v>1240</v>
      </c>
      <c r="AF390" s="73">
        <f t="shared" si="35"/>
        <v>62121</v>
      </c>
      <c r="AG390" s="74">
        <f t="shared" si="36"/>
        <v>5.4</v>
      </c>
      <c r="AH390" s="41" t="str">
        <f>IF($C390="","",$B390&amp;"|"&amp;(COUNTIFS($B$4:$B$1463,$B390,$AF$4:$AF$1463,"&gt;"&amp;$AF390)+COUNTIFS($B$4:$B390,$B390,$AF$4:$AF390,"="&amp;$AF390)))</f>
        <v>AZUKI|73</v>
      </c>
      <c r="AI390" s="41" t="str">
        <f>IF($C390="","",$B390&amp;"|"&amp;(COUNTIFS($B$4:$B$1463,$B390,$AG$4:$AG$1463,"&gt;"&amp;$AG390)+COUNTIFS($B$4:$B390,$B390,$AG$4:$AG390,"="&amp;$AG390)))</f>
        <v>AZUKI|60</v>
      </c>
    </row>
    <row r="391" spans="1:35" hidden="1">
      <c r="A391" s="69" t="s">
        <v>109</v>
      </c>
      <c r="B391" s="69" t="s">
        <v>117</v>
      </c>
      <c r="C391" s="63" t="s">
        <v>1241</v>
      </c>
      <c r="D391" s="69"/>
      <c r="E391" s="68" t="s">
        <v>74</v>
      </c>
      <c r="F391" s="19" t="str">
        <f>IF($C391="","",IF($E391="","-",IFERROR(INDEX(SETUP!$B$55:$B$64,MATCH($E391,SETUP!$A$55:$A$64,0)),"Other")))</f>
        <v>Ranged DPS</v>
      </c>
      <c r="G391" s="70">
        <v>61118</v>
      </c>
      <c r="H391" s="19" t="str">
        <f>IF($C391="","",IF($G391="","-",INDEX(SETUP!$B$26:$B$32,MATCH($G391,SETUP!$A$26:$A$32,1))))</f>
        <v>61,000 - 61,999</v>
      </c>
      <c r="I391" s="70">
        <v>1755</v>
      </c>
      <c r="J391" s="19" t="str">
        <f>IF($C391="","",IF($I391="","-",INDEX(SETUP!$B$16:$B$22,MATCH($I391,SETUP!$A$16:$A$22,1))))</f>
        <v>ROOKIE</v>
      </c>
      <c r="K391" s="19" t="str">
        <f>IF($C391="","",IF($I391="","-",TEXT(INT($I391/1000)*1000,"#,##0")&amp;" - "&amp;TEXT(INT($I391/1000)*1000+999,"#,##0")))</f>
        <v>1,000 - 1,999</v>
      </c>
      <c r="L391" s="71">
        <v>3.65</v>
      </c>
      <c r="M391" s="19" t="str">
        <f>IF($C391="","",IF($L391="","-",INDEX(SETUP!$B$36:$B$42,MATCH($L391,SETUP!$A$36:$A$42,1))))</f>
        <v>3k - 4k</v>
      </c>
      <c r="N391" s="21">
        <f>IF($C391="","",IF(OR($G391="",$I391=""),"",ROUND(100*(SETUP!$B$4*MIN(1,$I391/SETUP!$B$9)+SETUP!$B$5*MAX(0,MIN(1,($G391-SETUP!$B$10)/(SETUP!$B$11-SETUP!$B$10)))+SETUP!$B$6*MIN(1,IF($L391="",0,$L391)/SETUP!$B$12)),1)))</f>
        <v>29.8</v>
      </c>
      <c r="O391" s="19" t="str">
        <f>IF($C391="","",IF($N391="","-",INDEX(SETUP!$B$46:$B$51,MATCH($N391,SETUP!$A$46:$A$51,1))))</f>
        <v>C</v>
      </c>
      <c r="P391" s="19">
        <f>IF($C391="","",IF($I391="","",RANK($I391,$I$4:$I$1463)+COUNTIF($I$4:$I391,$I391)-1))</f>
        <v>1152</v>
      </c>
      <c r="Q391" s="19">
        <f>IF($C391="","",COUNTIFS($B$4:$B$1463,$B391,$X$4:$X$1463,"&gt;"&amp;$X391)+COUNTIFS($B$4:$B391,$B391,$X$4:$X391,"="&amp;$X391))</f>
        <v>56</v>
      </c>
      <c r="R391" s="75">
        <f>IF($C391="","",IF($I391="","",ROUND(COUNTIF($I$4:$I$1463,"&lt;"&amp;$I391)/COUNT($I$4:$I$1463),3)))</f>
        <v>0.13100000000000001</v>
      </c>
      <c r="S391" s="19" t="str">
        <f>IF($C391="","",IF($G391="","Name only",IF(OR($I391="",$L391=""),"Partial","Complete")))</f>
        <v>Complete</v>
      </c>
      <c r="T391" s="1" t="str">
        <f>IF($C391="","",TRIM(IF(COUNTIF($C$4:$C$1463,$C391)&gt;1,"Dup name; ","")&amp;IF(AND($G391&lt;&gt;"",$G391&lt;55000),"Low CR - verify; ","")&amp;IF(AND($L391&lt;&gt;"",$L391&gt;15),"Secondary - verify; ","")&amp;IF($E391="","No class; ","")))</f>
        <v/>
      </c>
      <c r="U391" s="68"/>
      <c r="V391" s="68"/>
      <c r="W391" s="68"/>
      <c r="X391" s="76">
        <f t="shared" si="32"/>
        <v>1755</v>
      </c>
      <c r="Y391" s="1" t="str">
        <f t="shared" si="33"/>
        <v>VENDETTA|56</v>
      </c>
      <c r="Z391" s="19">
        <f>IF($C391="","",IF($G391="","",RANK($G391,$G$4:$G$1463)+COUNTIF($G$4:$G391,$G391)-1))</f>
        <v>1113</v>
      </c>
      <c r="AA391" s="19">
        <f>IF($C391="","",IF($N391="","",RANK($N391,$N$4:$N$1463)+COUNTIF($N$4:$N391,$N391)-1))</f>
        <v>1152</v>
      </c>
      <c r="AB391" s="1" t="str">
        <f>IF($C391="","",IF($E391="","",$E391&amp;"#"&amp;(COUNTIFS($E$4:$E$1463,$E391,$X$4:$X$1463,"&gt;"&amp;$X391)+COUNTIFS($E$4:$E391,$E391,$X$4:$X391,"="&amp;$X391))))</f>
        <v>DEMON HUNTER#178</v>
      </c>
      <c r="AC391" s="1" t="str">
        <f>IF($C391="","",$B391&amp;"@"&amp;(COUNTIFS($B$4:$B$1463,$B391,$C$4:$C$1463,"&lt;"&amp;$C391)+COUNTIFS($B$4:$B391,$B391,$C$4:$C391,$C391)))</f>
        <v>VENDETTA@31</v>
      </c>
      <c r="AD391" s="1">
        <f t="shared" si="34"/>
        <v>388</v>
      </c>
      <c r="AE391" s="1" t="s">
        <v>1242</v>
      </c>
      <c r="AF391" s="76">
        <f t="shared" si="35"/>
        <v>61118</v>
      </c>
      <c r="AG391" s="77">
        <f t="shared" si="36"/>
        <v>3.65</v>
      </c>
      <c r="AH391" s="1" t="str">
        <f>IF($C391="","",$B391&amp;"|"&amp;(COUNTIFS($B$4:$B$1463,$B391,$AF$4:$AF$1463,"&gt;"&amp;$AF391)+COUNTIFS($B$4:$B391,$B391,$AF$4:$AF391,"="&amp;$AF391)))</f>
        <v>VENDETTA|61</v>
      </c>
      <c r="AI391" s="1" t="str">
        <f>IF($C391="","",$B391&amp;"|"&amp;(COUNTIFS($B$4:$B$1463,$B391,$AG$4:$AG$1463,"&gt;"&amp;$AG391)+COUNTIFS($B$4:$B391,$B391,$AG$4:$AG391,"="&amp;$AG391)))</f>
        <v>VENDETTA|49</v>
      </c>
    </row>
    <row r="392" spans="1:35" hidden="1">
      <c r="A392" s="69" t="s">
        <v>109</v>
      </c>
      <c r="B392" s="69" t="s">
        <v>108</v>
      </c>
      <c r="C392" s="63" t="s">
        <v>1243</v>
      </c>
      <c r="D392" s="69"/>
      <c r="E392" s="68" t="s">
        <v>79</v>
      </c>
      <c r="F392" s="15" t="str">
        <f>IF($C392="","",IF($E392="","-",IFERROR(INDEX(SETUP!$B$55:$B$64,MATCH($E392,SETUP!$A$55:$A$64,0)),"Other")))</f>
        <v>Control</v>
      </c>
      <c r="G392" s="70">
        <v>63167</v>
      </c>
      <c r="H392" s="15" t="str">
        <f>IF($C392="","",IF($G392="","-",INDEX(SETUP!$B$26:$B$32,MATCH($G392,SETUP!$A$26:$A$32,1))))</f>
        <v>63,000 - 63,999</v>
      </c>
      <c r="I392" s="70">
        <v>5788</v>
      </c>
      <c r="J392" s="15" t="str">
        <f>IF($C392="","",IF($I392="","-",INDEX(SETUP!$B$16:$B$22,MATCH($I392,SETUP!$A$16:$A$22,1))))</f>
        <v>CORE</v>
      </c>
      <c r="K392" s="15" t="str">
        <f>IF($C392="","",IF($I392="","-",TEXT(INT($I392/1000)*1000,"#,##0")&amp;" - "&amp;TEXT(INT($I392/1000)*1000+999,"#,##0")))</f>
        <v>5,000 - 5,999</v>
      </c>
      <c r="L392" s="71">
        <v>6.3</v>
      </c>
      <c r="M392" s="15" t="str">
        <f>IF($C392="","",IF($L392="","-",INDEX(SETUP!$B$36:$B$42,MATCH($L392,SETUP!$A$36:$A$42,1))))</f>
        <v>6k - 8k</v>
      </c>
      <c r="N392" s="17">
        <f>IF($C392="","",IF(OR($G392="",$I392=""),"",ROUND(100*(SETUP!$B$4*MIN(1,$I392/SETUP!$B$9)+SETUP!$B$5*MAX(0,MIN(1,($G392-SETUP!$B$10)/(SETUP!$B$11-SETUP!$B$10)))+SETUP!$B$6*MIN(1,IF($L392="",0,$L392)/SETUP!$B$12)),1)))</f>
        <v>57.3</v>
      </c>
      <c r="O392" s="15" t="str">
        <f>IF($C392="","",IF($N392="","-",INDEX(SETUP!$B$46:$B$51,MATCH($N392,SETUP!$A$46:$A$51,1))))</f>
        <v>A</v>
      </c>
      <c r="P392" s="15">
        <f>IF($C392="","",IF($I392="","",RANK($I392,$I$4:$I$1463)+COUNTIF($I$4:$I392,$I392)-1))</f>
        <v>305</v>
      </c>
      <c r="Q392" s="15">
        <f>IF($C392="","",COUNTIFS($B$4:$B$1463,$B392,$X$4:$X$1463,"&gt;"&amp;$X392)+COUNTIFS($B$4:$B392,$B392,$X$4:$X392,"="&amp;$X392))</f>
        <v>48</v>
      </c>
      <c r="R392" s="72">
        <f>IF($C392="","",IF($I392="","",ROUND(COUNTIF($I$4:$I$1463,"&lt;"&amp;$I392)/COUNT($I$4:$I$1463),3)))</f>
        <v>0.76900000000000002</v>
      </c>
      <c r="S392" s="15" t="str">
        <f>IF($C392="","",IF($G392="","Name only",IF(OR($I392="",$L392=""),"Partial","Complete")))</f>
        <v>Complete</v>
      </c>
      <c r="T392" s="41" t="str">
        <f>IF($C392="","",TRIM(IF(COUNTIF($C$4:$C$1463,$C392)&gt;1,"Dup name; ","")&amp;IF(AND($G392&lt;&gt;"",$G392&lt;55000),"Low CR - verify; ","")&amp;IF(AND($L392&lt;&gt;"",$L392&gt;15),"Secondary - verify; ","")&amp;IF($E392="","No class; ","")))</f>
        <v/>
      </c>
      <c r="U392" s="68"/>
      <c r="V392" s="68"/>
      <c r="W392" s="68"/>
      <c r="X392" s="73">
        <f t="shared" si="32"/>
        <v>5788</v>
      </c>
      <c r="Y392" s="41" t="str">
        <f t="shared" si="33"/>
        <v>SBG|48</v>
      </c>
      <c r="Z392" s="15">
        <f>IF($C392="","",IF($G392="","",RANK($G392,$G$4:$G$1463)+COUNTIF($G$4:$G392,$G392)-1))</f>
        <v>336</v>
      </c>
      <c r="AA392" s="15">
        <f>IF($C392="","",IF($N392="","",RANK($N392,$N$4:$N$1463)+COUNTIF($N$4:$N392,$N392)-1))</f>
        <v>274</v>
      </c>
      <c r="AB392" s="41" t="str">
        <f>IF($C392="","",IF($E392="","",$E392&amp;"#"&amp;(COUNTIFS($E$4:$E$1463,$E392,$X$4:$X$1463,"&gt;"&amp;$X392)+COUNTIFS($E$4:$E392,$E392,$X$4:$X392,"="&amp;$X392))))</f>
        <v>WARLOCK#65</v>
      </c>
      <c r="AC392" s="41" t="str">
        <f>IF($C392="","",$B392&amp;"@"&amp;(COUNTIFS($B$4:$B$1463,$B392,$C$4:$C$1463,"&lt;"&amp;$C392)+COUNTIFS($B$4:$B392,$B392,$C$4:$C392,$C392)))</f>
        <v>SBG@22</v>
      </c>
      <c r="AD392" s="41">
        <f t="shared" si="34"/>
        <v>389</v>
      </c>
      <c r="AE392" s="41" t="s">
        <v>1244</v>
      </c>
      <c r="AF392" s="73">
        <f t="shared" si="35"/>
        <v>63167</v>
      </c>
      <c r="AG392" s="74">
        <f t="shared" si="36"/>
        <v>6.3</v>
      </c>
      <c r="AH392" s="41" t="str">
        <f>IF($C392="","",$B392&amp;"|"&amp;(COUNTIFS($B$4:$B$1463,$B392,$AF$4:$AF$1463,"&gt;"&amp;$AF392)+COUNTIFS($B$4:$B392,$B392,$AF$4:$AF392,"="&amp;$AF392)))</f>
        <v>SBG|40</v>
      </c>
      <c r="AI392" s="41" t="str">
        <f>IF($C392="","",$B392&amp;"|"&amp;(COUNTIFS($B$4:$B$1463,$B392,$AG$4:$AG$1463,"&gt;"&amp;$AG392)+COUNTIFS($B$4:$B392,$B392,$AG$4:$AG392,"="&amp;$AG392)))</f>
        <v>SBG|33</v>
      </c>
    </row>
    <row r="393" spans="1:35" hidden="1">
      <c r="A393" s="69" t="s">
        <v>109</v>
      </c>
      <c r="B393" s="69" t="s">
        <v>110</v>
      </c>
      <c r="C393" s="63" t="s">
        <v>1245</v>
      </c>
      <c r="D393" s="69"/>
      <c r="E393" s="68" t="s">
        <v>79</v>
      </c>
      <c r="F393" s="19" t="str">
        <f>IF($C393="","",IF($E393="","-",IFERROR(INDEX(SETUP!$B$55:$B$64,MATCH($E393,SETUP!$A$55:$A$64,0)),"Other")))</f>
        <v>Control</v>
      </c>
      <c r="G393" s="70">
        <v>61375</v>
      </c>
      <c r="H393" s="19" t="str">
        <f>IF($C393="","",IF($G393="","-",INDEX(SETUP!$B$26:$B$32,MATCH($G393,SETUP!$A$26:$A$32,1))))</f>
        <v>61,000 - 61,999</v>
      </c>
      <c r="I393" s="70">
        <v>3106</v>
      </c>
      <c r="J393" s="19" t="str">
        <f>IF($C393="","",IF($I393="","-",INDEX(SETUP!$B$16:$B$22,MATCH($I393,SETUP!$A$16:$A$22,1))))</f>
        <v>DEVELOPING</v>
      </c>
      <c r="K393" s="19" t="str">
        <f>IF($C393="","",IF($I393="","-",TEXT(INT($I393/1000)*1000,"#,##0")&amp;" - "&amp;TEXT(INT($I393/1000)*1000+999,"#,##0")))</f>
        <v>3,000 - 3,999</v>
      </c>
      <c r="L393" s="71">
        <v>4.5</v>
      </c>
      <c r="M393" s="19" t="str">
        <f>IF($C393="","",IF($L393="","-",INDEX(SETUP!$B$36:$B$42,MATCH($L393,SETUP!$A$36:$A$42,1))))</f>
        <v>4k - 5k</v>
      </c>
      <c r="N393" s="21">
        <f>IF($C393="","",IF(OR($G393="",$I393=""),"",ROUND(100*(SETUP!$B$4*MIN(1,$I393/SETUP!$B$9)+SETUP!$B$5*MAX(0,MIN(1,($G393-SETUP!$B$10)/(SETUP!$B$11-SETUP!$B$10)))+SETUP!$B$6*MIN(1,IF($L393="",0,$L393)/SETUP!$B$12)),1)))</f>
        <v>37.799999999999997</v>
      </c>
      <c r="O393" s="19" t="str">
        <f>IF($C393="","",IF($N393="","-",INDEX(SETUP!$B$46:$B$51,MATCH($N393,SETUP!$A$46:$A$51,1))))</f>
        <v>B</v>
      </c>
      <c r="P393" s="19">
        <f>IF($C393="","",IF($I393="","",RANK($I393,$I$4:$I$1463)+COUNTIF($I$4:$I393,$I393)-1))</f>
        <v>851</v>
      </c>
      <c r="Q393" s="19">
        <f>IF($C393="","",COUNTIFS($B$4:$B$1463,$B393,$X$4:$X$1463,"&gt;"&amp;$X393)+COUNTIFS($B$4:$B393,$B393,$X$4:$X393,"="&amp;$X393))</f>
        <v>86</v>
      </c>
      <c r="R393" s="75">
        <f>IF($C393="","",IF($I393="","",ROUND(COUNTIF($I$4:$I$1463,"&lt;"&amp;$I393)/COUNT($I$4:$I$1463),3)))</f>
        <v>0.35799999999999998</v>
      </c>
      <c r="S393" s="19" t="str">
        <f>IF($C393="","",IF($G393="","Name only",IF(OR($I393="",$L393=""),"Partial","Complete")))</f>
        <v>Complete</v>
      </c>
      <c r="T393" s="1" t="str">
        <f>IF($C393="","",TRIM(IF(COUNTIF($C$4:$C$1463,$C393)&gt;1,"Dup name; ","")&amp;IF(AND($G393&lt;&gt;"",$G393&lt;55000),"Low CR - verify; ","")&amp;IF(AND($L393&lt;&gt;"",$L393&gt;15),"Secondary - verify; ","")&amp;IF($E393="","No class; ","")))</f>
        <v/>
      </c>
      <c r="U393" s="68"/>
      <c r="V393" s="68"/>
      <c r="W393" s="68"/>
      <c r="X393" s="76">
        <f t="shared" si="32"/>
        <v>3106</v>
      </c>
      <c r="Y393" s="1" t="str">
        <f t="shared" si="33"/>
        <v>AZUKI|86</v>
      </c>
      <c r="Z393" s="19">
        <f>IF($C393="","",IF($G393="","",RANK($G393,$G$4:$G$1463)+COUNTIF($G$4:$G393,$G393)-1))</f>
        <v>1041</v>
      </c>
      <c r="AA393" s="19">
        <f>IF($C393="","",IF($N393="","",RANK($N393,$N$4:$N$1463)+COUNTIF($N$4:$N393,$N393)-1))</f>
        <v>905</v>
      </c>
      <c r="AB393" s="1" t="str">
        <f>IF($C393="","",IF($E393="","",$E393&amp;"#"&amp;(COUNTIFS($E$4:$E$1463,$E393,$X$4:$X$1463,"&gt;"&amp;$X393)+COUNTIFS($E$4:$E393,$E393,$X$4:$X393,"="&amp;$X393))))</f>
        <v>WARLOCK#211</v>
      </c>
      <c r="AC393" s="1" t="str">
        <f>IF($C393="","",$B393&amp;"@"&amp;(COUNTIFS($B$4:$B$1463,$B393,$C$4:$C$1463,"&lt;"&amp;$C393)+COUNTIFS($B$4:$B393,$B393,$C$4:$C393,$C393)))</f>
        <v>AZUKI@38</v>
      </c>
      <c r="AD393" s="1">
        <f t="shared" si="34"/>
        <v>390</v>
      </c>
      <c r="AE393" s="1" t="s">
        <v>1246</v>
      </c>
      <c r="AF393" s="76">
        <f t="shared" si="35"/>
        <v>61375</v>
      </c>
      <c r="AG393" s="77">
        <f t="shared" si="36"/>
        <v>4.5</v>
      </c>
      <c r="AH393" s="1" t="str">
        <f>IF($C393="","",$B393&amp;"|"&amp;(COUNTIFS($B$4:$B$1463,$B393,$AF$4:$AF$1463,"&gt;"&amp;$AF393)+COUNTIFS($B$4:$B393,$B393,$AF$4:$AF393,"="&amp;$AF393)))</f>
        <v>AZUKI|94</v>
      </c>
      <c r="AI393" s="1" t="str">
        <f>IF($C393="","",$B393&amp;"|"&amp;(COUNTIFS($B$4:$B$1463,$B393,$AG$4:$AG$1463,"&gt;"&amp;$AG393)+COUNTIFS($B$4:$B393,$B393,$AG$4:$AG393,"="&amp;$AG393)))</f>
        <v>AZUKI|81</v>
      </c>
    </row>
    <row r="394" spans="1:35" hidden="1">
      <c r="A394" s="69" t="s">
        <v>106</v>
      </c>
      <c r="B394" s="69" t="s">
        <v>105</v>
      </c>
      <c r="C394" s="63" t="s">
        <v>1247</v>
      </c>
      <c r="D394" s="69"/>
      <c r="E394" s="68" t="s">
        <v>73</v>
      </c>
      <c r="F394" s="15" t="str">
        <f>IF($C394="","",IF($E394="","-",IFERROR(INDEX(SETUP!$B$55:$B$64,MATCH($E394,SETUP!$A$55:$A$64,0)),"Other")))</f>
        <v>Frontline</v>
      </c>
      <c r="G394" s="70">
        <v>63979</v>
      </c>
      <c r="H394" s="15" t="str">
        <f>IF($C394="","",IF($G394="","-",INDEX(SETUP!$B$26:$B$32,MATCH($G394,SETUP!$A$26:$A$32,1))))</f>
        <v>63,000 - 63,999</v>
      </c>
      <c r="I394" s="70">
        <v>7701</v>
      </c>
      <c r="J394" s="15" t="str">
        <f>IF($C394="","",IF($I394="","-",INDEX(SETUP!$B$16:$B$22,MATCH($I394,SETUP!$A$16:$A$22,1))))</f>
        <v>VETERAN</v>
      </c>
      <c r="K394" s="15" t="str">
        <f>IF($C394="","",IF($I394="","-",TEXT(INT($I394/1000)*1000,"#,##0")&amp;" - "&amp;TEXT(INT($I394/1000)*1000+999,"#,##0")))</f>
        <v>7,000 - 7,999</v>
      </c>
      <c r="L394" s="71">
        <v>5.85</v>
      </c>
      <c r="M394" s="15" t="str">
        <f>IF($C394="","",IF($L394="","-",INDEX(SETUP!$B$36:$B$42,MATCH($L394,SETUP!$A$36:$A$42,1))))</f>
        <v>5k - 6k</v>
      </c>
      <c r="N394" s="17">
        <f>IF($C394="","",IF(OR($G394="",$I394=""),"",ROUND(100*(SETUP!$B$4*MIN(1,$I394/SETUP!$B$9)+SETUP!$B$5*MAX(0,MIN(1,($G394-SETUP!$B$10)/(SETUP!$B$11-SETUP!$B$10)))+SETUP!$B$6*MIN(1,IF($L394="",0,$L394)/SETUP!$B$12)),1)))</f>
        <v>67</v>
      </c>
      <c r="O394" s="15" t="str">
        <f>IF($C394="","",IF($N394="","-",INDEX(SETUP!$B$46:$B$51,MATCH($N394,SETUP!$A$46:$A$51,1))))</f>
        <v>S</v>
      </c>
      <c r="P394" s="15">
        <f>IF($C394="","",IF($I394="","",RANK($I394,$I$4:$I$1463)+COUNTIF($I$4:$I394,$I394)-1))</f>
        <v>160</v>
      </c>
      <c r="Q394" s="15">
        <f>IF($C394="","",COUNTIFS($B$4:$B$1463,$B394,$X$4:$X$1463,"&gt;"&amp;$X394)+COUNTIFS($B$4:$B394,$B394,$X$4:$X394,"="&amp;$X394))</f>
        <v>15</v>
      </c>
      <c r="R394" s="72">
        <f>IF($C394="","",IF($I394="","",ROUND(COUNTIF($I$4:$I$1463,"&lt;"&amp;$I394)/COUNT($I$4:$I$1463),3)))</f>
        <v>0.879</v>
      </c>
      <c r="S394" s="15" t="str">
        <f>IF($C394="","",IF($G394="","Name only",IF(OR($I394="",$L394=""),"Partial","Complete")))</f>
        <v>Complete</v>
      </c>
      <c r="T394" s="41" t="str">
        <f>IF($C394="","",TRIM(IF(COUNTIF($C$4:$C$1463,$C394)&gt;1,"Dup name; ","")&amp;IF(AND($G394&lt;&gt;"",$G394&lt;55000),"Low CR - verify; ","")&amp;IF(AND($L394&lt;&gt;"",$L394&gt;15),"Secondary - verify; ","")&amp;IF($E394="","No class; ","")))</f>
        <v/>
      </c>
      <c r="U394" s="68"/>
      <c r="V394" s="68"/>
      <c r="W394" s="68"/>
      <c r="X394" s="73">
        <f t="shared" si="32"/>
        <v>7701</v>
      </c>
      <c r="Y394" s="41" t="str">
        <f t="shared" si="33"/>
        <v>LEGENDS|15</v>
      </c>
      <c r="Z394" s="15">
        <f>IF($C394="","",IF($G394="","",RANK($G394,$G$4:$G$1463)+COUNTIF($G$4:$G394,$G394)-1))</f>
        <v>77</v>
      </c>
      <c r="AA394" s="15">
        <f>IF($C394="","",IF($N394="","",RANK($N394,$N$4:$N$1463)+COUNTIF($N$4:$N394,$N394)-1))</f>
        <v>157</v>
      </c>
      <c r="AB394" s="41" t="str">
        <f>IF($C394="","",IF($E394="","",$E394&amp;"#"&amp;(COUNTIFS($E$4:$E$1463,$E394,$X$4:$X$1463,"&gt;"&amp;$X394)+COUNTIFS($E$4:$E394,$E394,$X$4:$X394,"="&amp;$X394))))</f>
        <v>CRUSADER#25</v>
      </c>
      <c r="AC394" s="41" t="str">
        <f>IF($C394="","",$B394&amp;"@"&amp;(COUNTIFS($B$4:$B$1463,$B394,$C$4:$C$1463,"&lt;"&amp;$C394)+COUNTIFS($B$4:$B394,$B394,$C$4:$C394,$C394)))</f>
        <v>LEGENDS@40</v>
      </c>
      <c r="AD394" s="41">
        <f t="shared" si="34"/>
        <v>391</v>
      </c>
      <c r="AE394" s="41" t="s">
        <v>1248</v>
      </c>
      <c r="AF394" s="73">
        <f t="shared" si="35"/>
        <v>63979</v>
      </c>
      <c r="AG394" s="74">
        <f t="shared" si="36"/>
        <v>5.85</v>
      </c>
      <c r="AH394" s="41" t="str">
        <f>IF($C394="","",$B394&amp;"|"&amp;(COUNTIFS($B$4:$B$1463,$B394,$AF$4:$AF$1463,"&gt;"&amp;$AF394)+COUNTIFS($B$4:$B394,$B394,$AF$4:$AF394,"="&amp;$AF394)))</f>
        <v>LEGENDS|6</v>
      </c>
      <c r="AI394" s="41" t="str">
        <f>IF($C394="","",$B394&amp;"|"&amp;(COUNTIFS($B$4:$B$1463,$B394,$AG$4:$AG$1463,"&gt;"&amp;$AG394)+COUNTIFS($B$4:$B394,$B394,$AG$4:$AG394,"="&amp;$AG394)))</f>
        <v>LEGENDS|22</v>
      </c>
    </row>
    <row r="395" spans="1:35" hidden="1">
      <c r="A395" s="69" t="s">
        <v>106</v>
      </c>
      <c r="B395" s="69" t="s">
        <v>86</v>
      </c>
      <c r="C395" s="63" t="s">
        <v>1249</v>
      </c>
      <c r="D395" s="69"/>
      <c r="E395" s="68" t="s">
        <v>79</v>
      </c>
      <c r="F395" s="19" t="str">
        <f>IF($C395="","",IF($E395="","-",IFERROR(INDEX(SETUP!$B$55:$B$64,MATCH($E395,SETUP!$A$55:$A$64,0)),"Other")))</f>
        <v>Control</v>
      </c>
      <c r="G395" s="70">
        <v>63938</v>
      </c>
      <c r="H395" s="19" t="str">
        <f>IF($C395="","",IF($G395="","-",INDEX(SETUP!$B$26:$B$32,MATCH($G395,SETUP!$A$26:$A$32,1))))</f>
        <v>63,000 - 63,999</v>
      </c>
      <c r="I395" s="70">
        <v>8377</v>
      </c>
      <c r="J395" s="19" t="str">
        <f>IF($C395="","",IF($I395="","-",INDEX(SETUP!$B$16:$B$22,MATCH($I395,SETUP!$A$16:$A$22,1))))</f>
        <v>ELITE</v>
      </c>
      <c r="K395" s="19" t="str">
        <f>IF($C395="","",IF($I395="","-",TEXT(INT($I395/1000)*1000,"#,##0")&amp;" - "&amp;TEXT(INT($I395/1000)*1000+999,"#,##0")))</f>
        <v>8,000 - 8,999</v>
      </c>
      <c r="L395" s="71">
        <v>5.6</v>
      </c>
      <c r="M395" s="19" t="str">
        <f>IF($C395="","",IF($L395="","-",INDEX(SETUP!$B$36:$B$42,MATCH($L395,SETUP!$A$36:$A$42,1))))</f>
        <v>5k - 6k</v>
      </c>
      <c r="N395" s="21">
        <f>IF($C395="","",IF(OR($G395="",$I395=""),"",ROUND(100*(SETUP!$B$4*MIN(1,$I395/SETUP!$B$9)+SETUP!$B$5*MAX(0,MIN(1,($G395-SETUP!$B$10)/(SETUP!$B$11-SETUP!$B$10)))+SETUP!$B$6*MIN(1,IF($L395="",0,$L395)/SETUP!$B$12)),1)))</f>
        <v>69.400000000000006</v>
      </c>
      <c r="O395" s="19" t="str">
        <f>IF($C395="","",IF($N395="","-",INDEX(SETUP!$B$46:$B$51,MATCH($N395,SETUP!$A$46:$A$51,1))))</f>
        <v>S</v>
      </c>
      <c r="P395" s="19">
        <f>IF($C395="","",IF($I395="","",RANK($I395,$I$4:$I$1463)+COUNTIF($I$4:$I395,$I395)-1))</f>
        <v>125</v>
      </c>
      <c r="Q395" s="19">
        <f>IF($C395="","",COUNTIFS($B$4:$B$1463,$B395,$X$4:$X$1463,"&gt;"&amp;$X395)+COUNTIFS($B$4:$B395,$B395,$X$4:$X395,"="&amp;$X395))</f>
        <v>28</v>
      </c>
      <c r="R395" s="75">
        <f>IF($C395="","",IF($I395="","",ROUND(COUNTIF($I$4:$I$1463,"&lt;"&amp;$I395)/COUNT($I$4:$I$1463),3)))</f>
        <v>0.90600000000000003</v>
      </c>
      <c r="S395" s="19" t="str">
        <f>IF($C395="","",IF($G395="","Name only",IF(OR($I395="",$L395=""),"Partial","Complete")))</f>
        <v>Complete</v>
      </c>
      <c r="T395" s="1" t="str">
        <f>IF($C395="","",TRIM(IF(COUNTIF($C$4:$C$1463,$C395)&gt;1,"Dup name; ","")&amp;IF(AND($G395&lt;&gt;"",$G395&lt;55000),"Low CR - verify; ","")&amp;IF(AND($L395&lt;&gt;"",$L395&gt;15),"Secondary - verify; ","")&amp;IF($E395="","No class; ","")))</f>
        <v/>
      </c>
      <c r="U395" s="68"/>
      <c r="V395" s="68"/>
      <c r="W395" s="68"/>
      <c r="X395" s="76">
        <f t="shared" si="32"/>
        <v>8377</v>
      </c>
      <c r="Y395" s="1" t="str">
        <f t="shared" si="33"/>
        <v>VANGUARD|28</v>
      </c>
      <c r="Z395" s="19">
        <f>IF($C395="","",IF($G395="","",RANK($G395,$G$4:$G$1463)+COUNTIF($G$4:$G395,$G395)-1))</f>
        <v>86</v>
      </c>
      <c r="AA395" s="19">
        <f>IF($C395="","",IF($N395="","",RANK($N395,$N$4:$N$1463)+COUNTIF($N$4:$N395,$N395)-1))</f>
        <v>134</v>
      </c>
      <c r="AB395" s="1" t="str">
        <f>IF($C395="","",IF($E395="","",$E395&amp;"#"&amp;(COUNTIFS($E$4:$E$1463,$E395,$X$4:$X$1463,"&gt;"&amp;$X395)+COUNTIFS($E$4:$E395,$E395,$X$4:$X395,"="&amp;$X395))))</f>
        <v>WARLOCK#26</v>
      </c>
      <c r="AC395" s="1" t="str">
        <f>IF($C395="","",$B395&amp;"@"&amp;(COUNTIFS($B$4:$B$1463,$B395,$C$4:$C$1463,"&lt;"&amp;$C395)+COUNTIFS($B$4:$B395,$B395,$C$4:$C395,$C395)))</f>
        <v>VANGUARD@34</v>
      </c>
      <c r="AD395" s="1">
        <f t="shared" si="34"/>
        <v>392</v>
      </c>
      <c r="AE395" s="1" t="s">
        <v>998</v>
      </c>
      <c r="AF395" s="76">
        <f t="shared" si="35"/>
        <v>63938</v>
      </c>
      <c r="AG395" s="77">
        <f t="shared" si="36"/>
        <v>5.6</v>
      </c>
      <c r="AH395" s="1" t="str">
        <f>IF($C395="","",$B395&amp;"|"&amp;(COUNTIFS($B$4:$B$1463,$B395,$AF$4:$AF$1463,"&gt;"&amp;$AF395)+COUNTIFS($B$4:$B395,$B395,$AF$4:$AF395,"="&amp;$AF395)))</f>
        <v>VANGUARD|21</v>
      </c>
      <c r="AI395" s="1" t="str">
        <f>IF($C395="","",$B395&amp;"|"&amp;(COUNTIFS($B$4:$B$1463,$B395,$AG$4:$AG$1463,"&gt;"&amp;$AG395)+COUNTIFS($B$4:$B395,$B395,$AG$4:$AG395,"="&amp;$AG395)))</f>
        <v>VANGUARD|51</v>
      </c>
    </row>
    <row r="396" spans="1:35" hidden="1">
      <c r="A396" s="69" t="s">
        <v>109</v>
      </c>
      <c r="B396" s="69" t="s">
        <v>108</v>
      </c>
      <c r="C396" s="63" t="s">
        <v>1250</v>
      </c>
      <c r="D396" s="69"/>
      <c r="E396" s="68" t="s">
        <v>76</v>
      </c>
      <c r="F396" s="15" t="str">
        <f>IF($C396="","",IF($E396="","-",IFERROR(INDEX(SETUP!$B$55:$B$64,MATCH($E396,SETUP!$A$55:$A$64,0)),"Other")))</f>
        <v>Support</v>
      </c>
      <c r="G396" s="70">
        <v>62095</v>
      </c>
      <c r="H396" s="15" t="str">
        <f>IF($C396="","",IF($G396="","-",INDEX(SETUP!$B$26:$B$32,MATCH($G396,SETUP!$A$26:$A$32,1))))</f>
        <v>62,000 - 62,999</v>
      </c>
      <c r="I396" s="70">
        <v>5030</v>
      </c>
      <c r="J396" s="15" t="str">
        <f>IF($C396="","",IF($I396="","-",INDEX(SETUP!$B$16:$B$22,MATCH($I396,SETUP!$A$16:$A$22,1))))</f>
        <v>CORE</v>
      </c>
      <c r="K396" s="15" t="str">
        <f>IF($C396="","",IF($I396="","-",TEXT(INT($I396/1000)*1000,"#,##0")&amp;" - "&amp;TEXT(INT($I396/1000)*1000+999,"#,##0")))</f>
        <v>5,000 - 5,999</v>
      </c>
      <c r="L396" s="71">
        <v>5.4</v>
      </c>
      <c r="M396" s="15" t="str">
        <f>IF($C396="","",IF($L396="","-",INDEX(SETUP!$B$36:$B$42,MATCH($L396,SETUP!$A$36:$A$42,1))))</f>
        <v>5k - 6k</v>
      </c>
      <c r="N396" s="17">
        <f>IF($C396="","",IF(OR($G396="",$I396=""),"",ROUND(100*(SETUP!$B$4*MIN(1,$I396/SETUP!$B$9)+SETUP!$B$5*MAX(0,MIN(1,($G396-SETUP!$B$10)/(SETUP!$B$11-SETUP!$B$10)))+SETUP!$B$6*MIN(1,IF($L396="",0,$L396)/SETUP!$B$12)),1)))</f>
        <v>49.6</v>
      </c>
      <c r="O396" s="15" t="str">
        <f>IF($C396="","",IF($N396="","-",INDEX(SETUP!$B$46:$B$51,MATCH($N396,SETUP!$A$46:$A$51,1))))</f>
        <v>B</v>
      </c>
      <c r="P396" s="15">
        <f>IF($C396="","",IF($I396="","",RANK($I396,$I$4:$I$1463)+COUNTIF($I$4:$I396,$I396)-1))</f>
        <v>410</v>
      </c>
      <c r="Q396" s="15">
        <f>IF($C396="","",COUNTIFS($B$4:$B$1463,$B396,$X$4:$X$1463,"&gt;"&amp;$X396)+COUNTIFS($B$4:$B396,$B396,$X$4:$X396,"="&amp;$X396))</f>
        <v>58</v>
      </c>
      <c r="R396" s="72">
        <f>IF($C396="","",IF($I396="","",ROUND(COUNTIF($I$4:$I$1463,"&lt;"&amp;$I396)/COUNT($I$4:$I$1463),3)))</f>
        <v>0.69</v>
      </c>
      <c r="S396" s="15" t="str">
        <f>IF($C396="","",IF($G396="","Name only",IF(OR($I396="",$L396=""),"Partial","Complete")))</f>
        <v>Complete</v>
      </c>
      <c r="T396" s="41" t="str">
        <f>IF($C396="","",TRIM(IF(COUNTIF($C$4:$C$1463,$C396)&gt;1,"Dup name; ","")&amp;IF(AND($G396&lt;&gt;"",$G396&lt;55000),"Low CR - verify; ","")&amp;IF(AND($L396&lt;&gt;"",$L396&gt;15),"Secondary - verify; ","")&amp;IF($E396="","No class; ","")))</f>
        <v/>
      </c>
      <c r="U396" s="68"/>
      <c r="V396" s="68"/>
      <c r="W396" s="68"/>
      <c r="X396" s="73">
        <f t="shared" si="32"/>
        <v>5030</v>
      </c>
      <c r="Y396" s="41" t="str">
        <f t="shared" si="33"/>
        <v>SBG|58</v>
      </c>
      <c r="Z396" s="15">
        <f>IF($C396="","",IF($G396="","",RANK($G396,$G$4:$G$1463)+COUNTIF($G$4:$G396,$G396)-1))</f>
        <v>801</v>
      </c>
      <c r="AA396" s="15">
        <f>IF($C396="","",IF($N396="","",RANK($N396,$N$4:$N$1463)+COUNTIF($N$4:$N396,$N396)-1))</f>
        <v>467</v>
      </c>
      <c r="AB396" s="41" t="str">
        <f>IF($C396="","",IF($E396="","",$E396&amp;"#"&amp;(COUNTIFS($E$4:$E$1463,$E396,$X$4:$X$1463,"&gt;"&amp;$X396)+COUNTIFS($E$4:$E396,$E396,$X$4:$X396,"="&amp;$X396))))</f>
        <v>MONK#12</v>
      </c>
      <c r="AC396" s="41" t="str">
        <f>IF($C396="","",$B396&amp;"@"&amp;(COUNTIFS($B$4:$B$1463,$B396,$C$4:$C$1463,"&lt;"&amp;$C396)+COUNTIFS($B$4:$B396,$B396,$C$4:$C396,$C396)))</f>
        <v>SBG@23</v>
      </c>
      <c r="AD396" s="41">
        <f t="shared" si="34"/>
        <v>393</v>
      </c>
      <c r="AE396" s="41" t="s">
        <v>1251</v>
      </c>
      <c r="AF396" s="73">
        <f t="shared" si="35"/>
        <v>62095</v>
      </c>
      <c r="AG396" s="74">
        <f t="shared" si="36"/>
        <v>5.4</v>
      </c>
      <c r="AH396" s="41" t="str">
        <f>IF($C396="","",$B396&amp;"|"&amp;(COUNTIFS($B$4:$B$1463,$B396,$AF$4:$AF$1463,"&gt;"&amp;$AF396)+COUNTIFS($B$4:$B396,$B396,$AF$4:$AF396,"="&amp;$AF396)))</f>
        <v>SBG|70</v>
      </c>
      <c r="AI396" s="41" t="str">
        <f>IF($C396="","",$B396&amp;"|"&amp;(COUNTIFS($B$4:$B$1463,$B396,$AG$4:$AG$1463,"&gt;"&amp;$AG396)+COUNTIFS($B$4:$B396,$B396,$AG$4:$AG396,"="&amp;$AG396)))</f>
        <v>SBG|60</v>
      </c>
    </row>
    <row r="397" spans="1:35" hidden="1">
      <c r="A397" s="69" t="s">
        <v>109</v>
      </c>
      <c r="B397" s="69" t="s">
        <v>118</v>
      </c>
      <c r="C397" s="63" t="s">
        <v>1252</v>
      </c>
      <c r="D397" s="69"/>
      <c r="E397" s="68" t="s">
        <v>71</v>
      </c>
      <c r="F397" s="19" t="str">
        <f>IF($C397="","",IF($E397="","-",IFERROR(INDEX(SETUP!$B$55:$B$64,MATCH($E397,SETUP!$A$55:$A$64,0)),"Other")))</f>
        <v>Frontline</v>
      </c>
      <c r="G397" s="70">
        <v>61105</v>
      </c>
      <c r="H397" s="19" t="str">
        <f>IF($C397="","",IF($G397="","-",INDEX(SETUP!$B$26:$B$32,MATCH($G397,SETUP!$A$26:$A$32,1))))</f>
        <v>61,000 - 61,999</v>
      </c>
      <c r="I397" s="70">
        <v>1686</v>
      </c>
      <c r="J397" s="19" t="str">
        <f>IF($C397="","",IF($I397="","-",INDEX(SETUP!$B$16:$B$22,MATCH($I397,SETUP!$A$16:$A$22,1))))</f>
        <v>ROOKIE</v>
      </c>
      <c r="K397" s="19" t="str">
        <f>IF($C397="","",IF($I397="","-",TEXT(INT($I397/1000)*1000,"#,##0")&amp;" - "&amp;TEXT(INT($I397/1000)*1000+999,"#,##0")))</f>
        <v>1,000 - 1,999</v>
      </c>
      <c r="L397" s="71">
        <v>2.7</v>
      </c>
      <c r="M397" s="19" t="str">
        <f>IF($C397="","",IF($L397="","-",INDEX(SETUP!$B$36:$B$42,MATCH($L397,SETUP!$A$36:$A$42,1))))</f>
        <v>Under 3k</v>
      </c>
      <c r="N397" s="21">
        <f>IF($C397="","",IF(OR($G397="",$I397=""),"",ROUND(100*(SETUP!$B$4*MIN(1,$I397/SETUP!$B$9)+SETUP!$B$5*MAX(0,MIN(1,($G397-SETUP!$B$10)/(SETUP!$B$11-SETUP!$B$10)))+SETUP!$B$6*MIN(1,IF($L397="",0,$L397)/SETUP!$B$12)),1)))</f>
        <v>27.9</v>
      </c>
      <c r="O397" s="19" t="str">
        <f>IF($C397="","",IF($N397="","-",INDEX(SETUP!$B$46:$B$51,MATCH($N397,SETUP!$A$46:$A$51,1))))</f>
        <v>C</v>
      </c>
      <c r="P397" s="19">
        <f>IF($C397="","",IF($I397="","",RANK($I397,$I$4:$I$1463)+COUNTIF($I$4:$I397,$I397)-1))</f>
        <v>1159</v>
      </c>
      <c r="Q397" s="19">
        <f>IF($C397="","",COUNTIFS($B$4:$B$1463,$B397,$X$4:$X$1463,"&gt;"&amp;$X397)+COUNTIFS($B$4:$B397,$B397,$X$4:$X397,"="&amp;$X397))</f>
        <v>51</v>
      </c>
      <c r="R397" s="75">
        <f>IF($C397="","",IF($I397="","",ROUND(COUNTIF($I$4:$I$1463,"&lt;"&amp;$I397)/COUNT($I$4:$I$1463),3)))</f>
        <v>0.125</v>
      </c>
      <c r="S397" s="19" t="str">
        <f>IF($C397="","",IF($G397="","Name only",IF(OR($I397="",$L397=""),"Partial","Complete")))</f>
        <v>Complete</v>
      </c>
      <c r="T397" s="1" t="str">
        <f>IF($C397="","",TRIM(IF(COUNTIF($C$4:$C$1463,$C397)&gt;1,"Dup name; ","")&amp;IF(AND($G397&lt;&gt;"",$G397&lt;55000),"Low CR - verify; ","")&amp;IF(AND($L397&lt;&gt;"",$L397&gt;15),"Secondary - verify; ","")&amp;IF($E397="","No class; ","")))</f>
        <v/>
      </c>
      <c r="U397" s="68"/>
      <c r="V397" s="68"/>
      <c r="W397" s="68"/>
      <c r="X397" s="76">
        <f t="shared" si="32"/>
        <v>1686</v>
      </c>
      <c r="Y397" s="1" t="str">
        <f t="shared" si="33"/>
        <v>ZOMBIES|51</v>
      </c>
      <c r="Z397" s="19">
        <f>IF($C397="","",IF($G397="","",RANK($G397,$G$4:$G$1463)+COUNTIF($G$4:$G397,$G397)-1))</f>
        <v>1116</v>
      </c>
      <c r="AA397" s="19">
        <f>IF($C397="","",IF($N397="","",RANK($N397,$N$4:$N$1463)+COUNTIF($N$4:$N397,$N397)-1))</f>
        <v>1194</v>
      </c>
      <c r="AB397" s="1" t="str">
        <f>IF($C397="","",IF($E397="","",$E397&amp;"#"&amp;(COUNTIFS($E$4:$E$1463,$E397,$X$4:$X$1463,"&gt;"&amp;$X397)+COUNTIFS($E$4:$E397,$E397,$X$4:$X397,"="&amp;$X397))))</f>
        <v>BARBARIAN#198</v>
      </c>
      <c r="AC397" s="1" t="str">
        <f>IF($C397="","",$B397&amp;"@"&amp;(COUNTIFS($B$4:$B$1463,$B397,$C$4:$C$1463,"&lt;"&amp;$C397)+COUNTIFS($B$4:$B397,$B397,$C$4:$C397,$C397)))</f>
        <v>ZOMBIES@31</v>
      </c>
      <c r="AD397" s="1">
        <f t="shared" si="34"/>
        <v>394</v>
      </c>
      <c r="AE397" s="1" t="s">
        <v>570</v>
      </c>
      <c r="AF397" s="76">
        <f t="shared" si="35"/>
        <v>61105</v>
      </c>
      <c r="AG397" s="77">
        <f t="shared" si="36"/>
        <v>2.7</v>
      </c>
      <c r="AH397" s="1" t="str">
        <f>IF($C397="","",$B397&amp;"|"&amp;(COUNTIFS($B$4:$B$1463,$B397,$AF$4:$AF$1463,"&gt;"&amp;$AF397)+COUNTIFS($B$4:$B397,$B397,$AF$4:$AF397,"="&amp;$AF397)))</f>
        <v>ZOMBIES|52</v>
      </c>
      <c r="AI397" s="1" t="str">
        <f>IF($C397="","",$B397&amp;"|"&amp;(COUNTIFS($B$4:$B$1463,$B397,$AG$4:$AG$1463,"&gt;"&amp;$AG397)+COUNTIFS($B$4:$B397,$B397,$AG$4:$AG397,"="&amp;$AG397)))</f>
        <v>ZOMBIES|87</v>
      </c>
    </row>
    <row r="398" spans="1:35" hidden="1">
      <c r="A398" s="69" t="s">
        <v>109</v>
      </c>
      <c r="B398" s="69" t="s">
        <v>108</v>
      </c>
      <c r="C398" s="63" t="s">
        <v>1253</v>
      </c>
      <c r="D398" s="69"/>
      <c r="E398" s="68" t="s">
        <v>80</v>
      </c>
      <c r="F398" s="15" t="str">
        <f>IF($C398="","",IF($E398="","-",IFERROR(INDEX(SETUP!$B$55:$B$64,MATCH($E398,SETUP!$A$55:$A$64,0)),"Other")))</f>
        <v>Ranged DPS</v>
      </c>
      <c r="G398" s="70">
        <v>63721</v>
      </c>
      <c r="H398" s="15" t="str">
        <f>IF($C398="","",IF($G398="","-",INDEX(SETUP!$B$26:$B$32,MATCH($G398,SETUP!$A$26:$A$32,1))))</f>
        <v>63,000 - 63,999</v>
      </c>
      <c r="I398" s="70">
        <v>6953</v>
      </c>
      <c r="J398" s="15" t="str">
        <f>IF($C398="","",IF($I398="","-",INDEX(SETUP!$B$16:$B$22,MATCH($I398,SETUP!$A$16:$A$22,1))))</f>
        <v>VETERAN</v>
      </c>
      <c r="K398" s="15" t="str">
        <f>IF($C398="","",IF($I398="","-",TEXT(INT($I398/1000)*1000,"#,##0")&amp;" - "&amp;TEXT(INT($I398/1000)*1000+999,"#,##0")))</f>
        <v>6,000 - 6,999</v>
      </c>
      <c r="L398" s="71">
        <v>6</v>
      </c>
      <c r="M398" s="15" t="str">
        <f>IF($C398="","",IF($L398="","-",INDEX(SETUP!$B$36:$B$42,MATCH($L398,SETUP!$A$36:$A$42,1))))</f>
        <v>6k - 8k</v>
      </c>
      <c r="N398" s="17">
        <f>IF($C398="","",IF(OR($G398="",$I398=""),"",ROUND(100*(SETUP!$B$4*MIN(1,$I398/SETUP!$B$9)+SETUP!$B$5*MAX(0,MIN(1,($G398-SETUP!$B$10)/(SETUP!$B$11-SETUP!$B$10)))+SETUP!$B$6*MIN(1,IF($L398="",0,$L398)/SETUP!$B$12)),1)))</f>
        <v>63.3</v>
      </c>
      <c r="O398" s="15" t="str">
        <f>IF($C398="","",IF($N398="","-",INDEX(SETUP!$B$46:$B$51,MATCH($N398,SETUP!$A$46:$A$51,1))))</f>
        <v>A</v>
      </c>
      <c r="P398" s="15">
        <f>IF($C398="","",IF($I398="","",RANK($I398,$I$4:$I$1463)+COUNTIF($I$4:$I398,$I398)-1))</f>
        <v>224</v>
      </c>
      <c r="Q398" s="15">
        <f>IF($C398="","",COUNTIFS($B$4:$B$1463,$B398,$X$4:$X$1463,"&gt;"&amp;$X398)+COUNTIFS($B$4:$B398,$B398,$X$4:$X398,"="&amp;$X398))</f>
        <v>37</v>
      </c>
      <c r="R398" s="72">
        <f>IF($C398="","",IF($I398="","",ROUND(COUNTIF($I$4:$I$1463,"&lt;"&amp;$I398)/COUNT($I$4:$I$1463),3)))</f>
        <v>0.83099999999999996</v>
      </c>
      <c r="S398" s="15" t="str">
        <f>IF($C398="","",IF($G398="","Name only",IF(OR($I398="",$L398=""),"Partial","Complete")))</f>
        <v>Complete</v>
      </c>
      <c r="T398" s="41" t="str">
        <f>IF($C398="","",TRIM(IF(COUNTIF($C$4:$C$1463,$C398)&gt;1,"Dup name; ","")&amp;IF(AND($G398&lt;&gt;"",$G398&lt;55000),"Low CR - verify; ","")&amp;IF(AND($L398&lt;&gt;"",$L398&gt;15),"Secondary - verify; ","")&amp;IF($E398="","No class; ","")))</f>
        <v/>
      </c>
      <c r="U398" s="68"/>
      <c r="V398" s="68"/>
      <c r="W398" s="68"/>
      <c r="X398" s="73">
        <f t="shared" si="32"/>
        <v>6953</v>
      </c>
      <c r="Y398" s="41" t="str">
        <f t="shared" si="33"/>
        <v>SBG|37</v>
      </c>
      <c r="Z398" s="15">
        <f>IF($C398="","",IF($G398="","",RANK($G398,$G$4:$G$1463)+COUNTIF($G$4:$G398,$G398)-1))</f>
        <v>132</v>
      </c>
      <c r="AA398" s="15">
        <f>IF($C398="","",IF($N398="","",RANK($N398,$N$4:$N$1463)+COUNTIF($N$4:$N398,$N398)-1))</f>
        <v>200</v>
      </c>
      <c r="AB398" s="41" t="str">
        <f>IF($C398="","",IF($E398="","",$E398&amp;"#"&amp;(COUNTIFS($E$4:$E$1463,$E398,$X$4:$X$1463,"&gt;"&amp;$X398)+COUNTIFS($E$4:$E398,$E398,$X$4:$X398,"="&amp;$X398))))</f>
        <v>WIZARD#14</v>
      </c>
      <c r="AC398" s="41" t="str">
        <f>IF($C398="","",$B398&amp;"@"&amp;(COUNTIFS($B$4:$B$1463,$B398,$C$4:$C$1463,"&lt;"&amp;$C398)+COUNTIFS($B$4:$B398,$B398,$C$4:$C398,$C398)))</f>
        <v>SBG@24</v>
      </c>
      <c r="AD398" s="41">
        <f t="shared" si="34"/>
        <v>395</v>
      </c>
      <c r="AE398" s="41" t="s">
        <v>1201</v>
      </c>
      <c r="AF398" s="73">
        <f t="shared" si="35"/>
        <v>63721</v>
      </c>
      <c r="AG398" s="74">
        <f t="shared" si="36"/>
        <v>6</v>
      </c>
      <c r="AH398" s="41" t="str">
        <f>IF($C398="","",$B398&amp;"|"&amp;(COUNTIFS($B$4:$B$1463,$B398,$AF$4:$AF$1463,"&gt;"&amp;$AF398)+COUNTIFS($B$4:$B398,$B398,$AF$4:$AF398,"="&amp;$AF398)))</f>
        <v>SBG|23</v>
      </c>
      <c r="AI398" s="41" t="str">
        <f>IF($C398="","",$B398&amp;"|"&amp;(COUNTIFS($B$4:$B$1463,$B398,$AG$4:$AG$1463,"&gt;"&amp;$AG398)+COUNTIFS($B$4:$B398,$B398,$AG$4:$AG398,"="&amp;$AG398)))</f>
        <v>SBG|41</v>
      </c>
    </row>
    <row r="399" spans="1:35">
      <c r="A399" s="69" t="s">
        <v>104</v>
      </c>
      <c r="B399" s="69" t="s">
        <v>66</v>
      </c>
      <c r="C399" s="63" t="s">
        <v>315</v>
      </c>
      <c r="D399" s="69"/>
      <c r="E399" s="68" t="s">
        <v>74</v>
      </c>
      <c r="F399" s="15" t="str">
        <f>IF($C399="","",IF($E399="","-",IFERROR(INDEX(SETUP!$B$55:$B$64,MATCH($E399,SETUP!$A$55:$A$64,0)),"Other")))</f>
        <v>Ranged DPS</v>
      </c>
      <c r="G399" s="70">
        <v>61494</v>
      </c>
      <c r="H399" s="15" t="str">
        <f>IF($C399="","",IF($G399="","-",INDEX(SETUP!$B$26:$B$32,MATCH($G399,SETUP!$A$26:$A$32,1))))</f>
        <v>61,000 - 61,999</v>
      </c>
      <c r="I399" s="70">
        <v>3165</v>
      </c>
      <c r="J399" s="15" t="str">
        <f>IF($C399="","",IF($I399="","-",INDEX(SETUP!$B$16:$B$22,MATCH($I399,SETUP!$A$16:$A$22,1))))</f>
        <v>DEVELOPING</v>
      </c>
      <c r="K399" s="15" t="str">
        <f>IF($C399="","",IF($I399="","-",TEXT(INT($I399/1000)*1000,"#,##0")&amp;" - "&amp;TEXT(INT($I399/1000)*1000+999,"#,##0")))</f>
        <v>3,000 - 3,999</v>
      </c>
      <c r="L399" s="71">
        <v>5.89</v>
      </c>
      <c r="M399" s="15" t="str">
        <f>IF($C399="","",IF($L399="","-",INDEX(SETUP!$B$36:$B$42,MATCH($L399,SETUP!$A$36:$A$42,1))))</f>
        <v>5k - 6k</v>
      </c>
      <c r="N399" s="17">
        <f>IF($C399="","",IF(OR($G399="",$I399=""),"",ROUND(100*(SETUP!$B$4*MIN(1,$I399/SETUP!$B$9)+SETUP!$B$5*MAX(0,MIN(1,($G399-SETUP!$B$10)/(SETUP!$B$11-SETUP!$B$10)))+SETUP!$B$6*MIN(1,IF($L399="",0,$L399)/SETUP!$B$12)),1)))</f>
        <v>40.700000000000003</v>
      </c>
      <c r="O399" s="15" t="str">
        <f>IF($C399="","",IF($N399="","-",INDEX(SETUP!$B$46:$B$51,MATCH($N399,SETUP!$A$46:$A$51,1))))</f>
        <v>B</v>
      </c>
      <c r="P399" s="15">
        <f>IF($C399="","",IF($I399="","",RANK($I399,$I$4:$I$1463)+COUNTIF($I$4:$I399,$I399)-1))</f>
        <v>833</v>
      </c>
      <c r="Q399" s="15">
        <f>IF($C399="","",COUNTIFS($B$4:$B$1463,$B399,$X$4:$X$1463,"&gt;"&amp;$X399)+COUNTIFS($B$4:$B399,$B399,$X$4:$X399,"="&amp;$X399))</f>
        <v>88</v>
      </c>
      <c r="R399" s="72">
        <f>IF($C399="","",IF($I399="","",ROUND(COUNTIF($I$4:$I$1463,"&lt;"&amp;$I399)/COUNT($I$4:$I$1463),3)))</f>
        <v>0.371</v>
      </c>
      <c r="S399" s="15" t="str">
        <f>IF($C399="","",IF($G399="","Name only",IF(OR($I399="",$L399=""),"Partial","Complete")))</f>
        <v>Complete</v>
      </c>
      <c r="T399" s="41" t="str">
        <f>IF($C399="","",TRIM(IF(COUNTIF($C$4:$C$1463,$C399)&gt;1,"Dup name; ","")&amp;IF(AND($G399&lt;&gt;"",$G399&lt;55000),"Low CR - verify; ","")&amp;IF(AND($L399&lt;&gt;"",$L399&gt;15),"Secondary - verify; ","")&amp;IF($E399="","No class; ","")))</f>
        <v/>
      </c>
      <c r="U399" s="68" t="s">
        <v>270</v>
      </c>
      <c r="V399" s="68" t="s">
        <v>66</v>
      </c>
      <c r="W399" s="68" t="s">
        <v>285</v>
      </c>
      <c r="X399" s="76">
        <f t="shared" si="32"/>
        <v>3165</v>
      </c>
      <c r="Y399" s="1" t="str">
        <f t="shared" si="33"/>
        <v>FUCT|88</v>
      </c>
      <c r="Z399" s="19">
        <f>IF($C399="","",IF($G399="","",RANK($G399,$G$4:$G$1463)+COUNTIF($G$4:$G399,$G399)-1))</f>
        <v>1005</v>
      </c>
      <c r="AA399" s="19">
        <f>IF($C399="","",IF($N399="","",RANK($N399,$N$4:$N$1463)+COUNTIF($N$4:$N399,$N399)-1))</f>
        <v>790</v>
      </c>
      <c r="AB399" s="1" t="str">
        <f>IF($C399="","",IF($E399="","",$E399&amp;"#"&amp;(COUNTIFS($E$4:$E$1463,$E399,$X$4:$X$1463,"&gt;"&amp;$X399)+COUNTIFS($E$4:$E399,$E399,$X$4:$X399,"="&amp;$X399))))</f>
        <v>DEMON HUNTER#134</v>
      </c>
      <c r="AC399" s="1" t="str">
        <f>IF($C399="","",$B399&amp;"@"&amp;(COUNTIFS($B$4:$B$1463,$B399,$C$4:$C$1463,"&lt;"&amp;$C399)+COUNTIFS($B$4:$B399,$B399,$C$4:$C399,$C399)))</f>
        <v>FUCT@23</v>
      </c>
      <c r="AD399" s="1">
        <f t="shared" si="34"/>
        <v>396</v>
      </c>
      <c r="AE399" s="1" t="s">
        <v>1255</v>
      </c>
      <c r="AF399" s="76">
        <f t="shared" si="35"/>
        <v>61494</v>
      </c>
      <c r="AG399" s="77">
        <f t="shared" si="36"/>
        <v>5.89</v>
      </c>
      <c r="AH399" s="1" t="str">
        <f>IF($C399="","",$B399&amp;"|"&amp;(COUNTIFS($B$4:$B$1463,$B399,$AF$4:$AF$1463,"&gt;"&amp;$AF399)+COUNTIFS($B$4:$B399,$B399,$AF$4:$AF399,"="&amp;$AF399)))</f>
        <v>FUCT|91</v>
      </c>
      <c r="AI399" s="1" t="str">
        <f>IF($C399="","",$B399&amp;"|"&amp;(COUNTIFS($B$4:$B$1463,$B399,$AG$4:$AG$1463,"&gt;"&amp;$AG399)+COUNTIFS($B$4:$B399,$B399,$AG$4:$AG399,"="&amp;$AG399)))</f>
        <v>FUCT|22</v>
      </c>
    </row>
    <row r="400" spans="1:35" hidden="1">
      <c r="A400" s="69" t="s">
        <v>109</v>
      </c>
      <c r="B400" s="69" t="s">
        <v>116</v>
      </c>
      <c r="C400" s="63" t="s">
        <v>1256</v>
      </c>
      <c r="D400" s="69" t="s">
        <v>530</v>
      </c>
      <c r="E400" s="68" t="s">
        <v>78</v>
      </c>
      <c r="F400" s="15" t="str">
        <f>IF($C400="","",IF($E400="","-",IFERROR(INDEX(SETUP!$B$55:$B$64,MATCH($E400,SETUP!$A$55:$A$64,0)),"Other")))</f>
        <v>Melee DPS</v>
      </c>
      <c r="G400" s="70">
        <v>63209</v>
      </c>
      <c r="H400" s="15" t="str">
        <f>IF($C400="","",IF($G400="","-",INDEX(SETUP!$B$26:$B$32,MATCH($G400,SETUP!$A$26:$A$32,1))))</f>
        <v>63,000 - 63,999</v>
      </c>
      <c r="I400" s="70">
        <v>4069</v>
      </c>
      <c r="J400" s="15" t="str">
        <f>IF($C400="","",IF($I400="","-",INDEX(SETUP!$B$16:$B$22,MATCH($I400,SETUP!$A$16:$A$22,1))))</f>
        <v>CORE</v>
      </c>
      <c r="K400" s="15" t="str">
        <f>IF($C400="","",IF($I400="","-",TEXT(INT($I400/1000)*1000,"#,##0")&amp;" - "&amp;TEXT(INT($I400/1000)*1000+999,"#,##0")))</f>
        <v>4,000 - 4,999</v>
      </c>
      <c r="L400" s="71">
        <v>4.88</v>
      </c>
      <c r="M400" s="15" t="str">
        <f>IF($C400="","",IF($L400="","-",INDEX(SETUP!$B$36:$B$42,MATCH($L400,SETUP!$A$36:$A$42,1))))</f>
        <v>4k - 5k</v>
      </c>
      <c r="N400" s="17">
        <f>IF($C400="","",IF(OR($G400="",$I400=""),"",ROUND(100*(SETUP!$B$4*MIN(1,$I400/SETUP!$B$9)+SETUP!$B$5*MAX(0,MIN(1,($G400-SETUP!$B$10)/(SETUP!$B$11-SETUP!$B$10)))+SETUP!$B$6*MIN(1,IF($L400="",0,$L400)/SETUP!$B$12)),1)))</f>
        <v>47.5</v>
      </c>
      <c r="O400" s="15" t="str">
        <f>IF($C400="","",IF($N400="","-",INDEX(SETUP!$B$46:$B$51,MATCH($N400,SETUP!$A$46:$A$51,1))))</f>
        <v>B</v>
      </c>
      <c r="P400" s="15">
        <f>IF($C400="","",IF($I400="","",RANK($I400,$I$4:$I$1463)+COUNTIF($I$4:$I400,$I400)-1))</f>
        <v>583</v>
      </c>
      <c r="Q400" s="15">
        <f>IF($C400="","",COUNTIFS($B$4:$B$1463,$B400,$X$4:$X$1463,"&gt;"&amp;$X400)+COUNTIFS($B$4:$B400,$B400,$X$4:$X400,"="&amp;$X400))</f>
        <v>31</v>
      </c>
      <c r="R400" s="72">
        <f>IF($C400="","",IF($I400="","",ROUND(COUNTIF($I$4:$I$1463,"&lt;"&amp;$I400)/COUNT($I$4:$I$1463),3)))</f>
        <v>0.56000000000000005</v>
      </c>
      <c r="S400" s="15" t="str">
        <f>IF($C400="","",IF($G400="","Name only",IF(OR($I400="",$L400=""),"Partial","Complete")))</f>
        <v>Complete</v>
      </c>
      <c r="T400" s="41" t="str">
        <f>IF($C400="","",TRIM(IF(COUNTIF($C$4:$C$1463,$C400)&gt;1,"Dup name; ","")&amp;IF(AND($G400&lt;&gt;"",$G400&lt;55000),"Low CR - verify; ","")&amp;IF(AND($L400&lt;&gt;"",$L400&gt;15),"Secondary - verify; ","")&amp;IF($E400="","No class; ","")))</f>
        <v/>
      </c>
      <c r="U400" s="68"/>
      <c r="V400" s="68"/>
      <c r="W400" s="68"/>
      <c r="X400" s="73">
        <f t="shared" si="32"/>
        <v>4069</v>
      </c>
      <c r="Y400" s="41" t="str">
        <f t="shared" si="33"/>
        <v>VENGEANCE|31</v>
      </c>
      <c r="Z400" s="15">
        <f>IF($C400="","",IF($G400="","",RANK($G400,$G$4:$G$1463)+COUNTIF($G$4:$G400,$G400)-1))</f>
        <v>312</v>
      </c>
      <c r="AA400" s="15">
        <f>IF($C400="","",IF($N400="","",RANK($N400,$N$4:$N$1463)+COUNTIF($N$4:$N400,$N400)-1))</f>
        <v>533</v>
      </c>
      <c r="AB400" s="41" t="str">
        <f>IF($C400="","",IF($E400="","",$E400&amp;"#"&amp;(COUNTIFS($E$4:$E$1463,$E400,$X$4:$X$1463,"&gt;"&amp;$X400)+COUNTIFS($E$4:$E400,$E400,$X$4:$X400,"="&amp;$X400))))</f>
        <v>TEMPEST#20</v>
      </c>
      <c r="AC400" s="41" t="str">
        <f>IF($C400="","",$B400&amp;"@"&amp;(COUNTIFS($B$4:$B$1463,$B400,$C$4:$C$1463,"&lt;"&amp;$C400)+COUNTIFS($B$4:$B400,$B400,$C$4:$C400,$C400)))</f>
        <v>VENGEANCE@27</v>
      </c>
      <c r="AD400" s="41">
        <f t="shared" si="34"/>
        <v>397</v>
      </c>
      <c r="AE400" s="41" t="s">
        <v>1257</v>
      </c>
      <c r="AF400" s="73">
        <f t="shared" si="35"/>
        <v>63209</v>
      </c>
      <c r="AG400" s="74">
        <f t="shared" si="36"/>
        <v>4.88</v>
      </c>
      <c r="AH400" s="41" t="str">
        <f>IF($C400="","",$B400&amp;"|"&amp;(COUNTIFS($B$4:$B$1463,$B400,$AF$4:$AF$1463,"&gt;"&amp;$AF400)+COUNTIFS($B$4:$B400,$B400,$AF$4:$AF400,"="&amp;$AF400)))</f>
        <v>VENGEANCE|12</v>
      </c>
      <c r="AI400" s="41" t="str">
        <f>IF($C400="","",$B400&amp;"|"&amp;(COUNTIFS($B$4:$B$1463,$B400,$AG$4:$AG$1463,"&gt;"&amp;$AG400)+COUNTIFS($B$4:$B400,$B400,$AG$4:$AG400,"="&amp;$AG400)))</f>
        <v>VENGEANCE|37</v>
      </c>
    </row>
    <row r="401" spans="1:35" hidden="1">
      <c r="A401" s="69" t="s">
        <v>106</v>
      </c>
      <c r="B401" s="69" t="s">
        <v>86</v>
      </c>
      <c r="C401" s="63" t="s">
        <v>1258</v>
      </c>
      <c r="D401" s="69"/>
      <c r="E401" s="68" t="s">
        <v>80</v>
      </c>
      <c r="F401" s="19" t="str">
        <f>IF($C401="","",IF($E401="","-",IFERROR(INDEX(SETUP!$B$55:$B$64,MATCH($E401,SETUP!$A$55:$A$64,0)),"Other")))</f>
        <v>Ranged DPS</v>
      </c>
      <c r="G401" s="70">
        <v>61363</v>
      </c>
      <c r="H401" s="19" t="str">
        <f>IF($C401="","",IF($G401="","-",INDEX(SETUP!$B$26:$B$32,MATCH($G401,SETUP!$A$26:$A$32,1))))</f>
        <v>61,000 - 61,999</v>
      </c>
      <c r="I401" s="70">
        <v>6343</v>
      </c>
      <c r="J401" s="19" t="str">
        <f>IF($C401="","",IF($I401="","-",INDEX(SETUP!$B$16:$B$22,MATCH($I401,SETUP!$A$16:$A$22,1))))</f>
        <v>VETERAN</v>
      </c>
      <c r="K401" s="19" t="str">
        <f>IF($C401="","",IF($I401="","-",TEXT(INT($I401/1000)*1000,"#,##0")&amp;" - "&amp;TEXT(INT($I401/1000)*1000+999,"#,##0")))</f>
        <v>6,000 - 6,999</v>
      </c>
      <c r="L401" s="71">
        <v>6.87</v>
      </c>
      <c r="M401" s="19" t="str">
        <f>IF($C401="","",IF($L401="","-",INDEX(SETUP!$B$36:$B$42,MATCH($L401,SETUP!$A$36:$A$42,1))))</f>
        <v>6k - 8k</v>
      </c>
      <c r="N401" s="21">
        <f>IF($C401="","",IF(OR($G401="",$I401=""),"",ROUND(100*(SETUP!$B$4*MIN(1,$I401/SETUP!$B$9)+SETUP!$B$5*MAX(0,MIN(1,($G401-SETUP!$B$10)/(SETUP!$B$11-SETUP!$B$10)))+SETUP!$B$6*MIN(1,IF($L401="",0,$L401)/SETUP!$B$12)),1)))</f>
        <v>55.9</v>
      </c>
      <c r="O401" s="19" t="str">
        <f>IF($C401="","",IF($N401="","-",INDEX(SETUP!$B$46:$B$51,MATCH($N401,SETUP!$A$46:$A$51,1))))</f>
        <v>A</v>
      </c>
      <c r="P401" s="19">
        <f>IF($C401="","",IF($I401="","",RANK($I401,$I$4:$I$1463)+COUNTIF($I$4:$I401,$I401)-1))</f>
        <v>254</v>
      </c>
      <c r="Q401" s="19">
        <f>IF($C401="","",COUNTIFS($B$4:$B$1463,$B401,$X$4:$X$1463,"&gt;"&amp;$X401)+COUNTIFS($B$4:$B401,$B401,$X$4:$X401,"="&amp;$X401))</f>
        <v>51</v>
      </c>
      <c r="R401" s="75">
        <f>IF($C401="","",IF($I401="","",ROUND(COUNTIF($I$4:$I$1463,"&lt;"&amp;$I401)/COUNT($I$4:$I$1463),3)))</f>
        <v>0.80800000000000005</v>
      </c>
      <c r="S401" s="19" t="str">
        <f>IF($C401="","",IF($G401="","Name only",IF(OR($I401="",$L401=""),"Partial","Complete")))</f>
        <v>Complete</v>
      </c>
      <c r="T401" s="1" t="str">
        <f>IF($C401="","",TRIM(IF(COUNTIF($C$4:$C$1463,$C401)&gt;1,"Dup name; ","")&amp;IF(AND($G401&lt;&gt;"",$G401&lt;55000),"Low CR - verify; ","")&amp;IF(AND($L401&lt;&gt;"",$L401&gt;15),"Secondary - verify; ","")&amp;IF($E401="","No class; ","")))</f>
        <v/>
      </c>
      <c r="U401" s="68"/>
      <c r="V401" s="68"/>
      <c r="W401" s="68"/>
      <c r="X401" s="76">
        <f t="shared" si="32"/>
        <v>6343</v>
      </c>
      <c r="Y401" s="1" t="str">
        <f t="shared" si="33"/>
        <v>VANGUARD|51</v>
      </c>
      <c r="Z401" s="19">
        <f>IF($C401="","",IF($G401="","",RANK($G401,$G$4:$G$1463)+COUNTIF($G$4:$G401,$G401)-1))</f>
        <v>1047</v>
      </c>
      <c r="AA401" s="19">
        <f>IF($C401="","",IF($N401="","",RANK($N401,$N$4:$N$1463)+COUNTIF($N$4:$N401,$N401)-1))</f>
        <v>294</v>
      </c>
      <c r="AB401" s="1" t="str">
        <f>IF($C401="","",IF($E401="","",$E401&amp;"#"&amp;(COUNTIFS($E$4:$E$1463,$E401,$X$4:$X$1463,"&gt;"&amp;$X401)+COUNTIFS($E$4:$E401,$E401,$X$4:$X401,"="&amp;$X401))))</f>
        <v>WIZARD#19</v>
      </c>
      <c r="AC401" s="1" t="str">
        <f>IF($C401="","",$B401&amp;"@"&amp;(COUNTIFS($B$4:$B$1463,$B401,$C$4:$C$1463,"&lt;"&amp;$C401)+COUNTIFS($B$4:$B401,$B401,$C$4:$C401,$C401)))</f>
        <v>VANGUARD@35</v>
      </c>
      <c r="AD401" s="1">
        <f t="shared" si="34"/>
        <v>398</v>
      </c>
      <c r="AE401" s="1" t="s">
        <v>1259</v>
      </c>
      <c r="AF401" s="76">
        <f t="shared" si="35"/>
        <v>61363</v>
      </c>
      <c r="AG401" s="77">
        <f t="shared" si="36"/>
        <v>6.87</v>
      </c>
      <c r="AH401" s="1" t="str">
        <f>IF($C401="","",$B401&amp;"|"&amp;(COUNTIFS($B$4:$B$1463,$B401,$AF$4:$AF$1463,"&gt;"&amp;$AF401)+COUNTIFS($B$4:$B401,$B401,$AF$4:$AF401,"="&amp;$AF401)))</f>
        <v>VANGUARD|93</v>
      </c>
      <c r="AI401" s="1" t="str">
        <f>IF($C401="","",$B401&amp;"|"&amp;(COUNTIFS($B$4:$B$1463,$B401,$AG$4:$AG$1463,"&gt;"&amp;$AG401)+COUNTIFS($B$4:$B401,$B401,$AG$4:$AG401,"="&amp;$AG401)))</f>
        <v>VANGUARD|19</v>
      </c>
    </row>
    <row r="402" spans="1:35" hidden="1">
      <c r="A402" s="69" t="s">
        <v>106</v>
      </c>
      <c r="B402" s="69" t="s">
        <v>107</v>
      </c>
      <c r="C402" s="63" t="s">
        <v>1260</v>
      </c>
      <c r="D402" s="69"/>
      <c r="E402" s="68" t="s">
        <v>74</v>
      </c>
      <c r="F402" s="15" t="str">
        <f>IF($C402="","",IF($E402="","-",IFERROR(INDEX(SETUP!$B$55:$B$64,MATCH($E402,SETUP!$A$55:$A$64,0)),"Other")))</f>
        <v>Ranged DPS</v>
      </c>
      <c r="G402" s="70">
        <v>62670</v>
      </c>
      <c r="H402" s="15" t="str">
        <f>IF($C402="","",IF($G402="","-",INDEX(SETUP!$B$26:$B$32,MATCH($G402,SETUP!$A$26:$A$32,1))))</f>
        <v>62,000 - 62,999</v>
      </c>
      <c r="I402" s="70">
        <v>2885</v>
      </c>
      <c r="J402" s="15" t="str">
        <f>IF($C402="","",IF($I402="","-",INDEX(SETUP!$B$16:$B$22,MATCH($I402,SETUP!$A$16:$A$22,1))))</f>
        <v>DEVELOPING</v>
      </c>
      <c r="K402" s="15" t="str">
        <f>IF($C402="","",IF($I402="","-",TEXT(INT($I402/1000)*1000,"#,##0")&amp;" - "&amp;TEXT(INT($I402/1000)*1000+999,"#,##0")))</f>
        <v>2,000 - 2,999</v>
      </c>
      <c r="L402" s="71">
        <v>4.8</v>
      </c>
      <c r="M402" s="15" t="str">
        <f>IF($C402="","",IF($L402="","-",INDEX(SETUP!$B$36:$B$42,MATCH($L402,SETUP!$A$36:$A$42,1))))</f>
        <v>4k - 5k</v>
      </c>
      <c r="N402" s="17">
        <f>IF($C402="","",IF(OR($G402="",$I402=""),"",ROUND(100*(SETUP!$B$4*MIN(1,$I402/SETUP!$B$9)+SETUP!$B$5*MAX(0,MIN(1,($G402-SETUP!$B$10)/(SETUP!$B$11-SETUP!$B$10)))+SETUP!$B$6*MIN(1,IF($L402="",0,$L402)/SETUP!$B$12)),1)))</f>
        <v>40.799999999999997</v>
      </c>
      <c r="O402" s="15" t="str">
        <f>IF($C402="","",IF($N402="","-",INDEX(SETUP!$B$46:$B$51,MATCH($N402,SETUP!$A$46:$A$51,1))))</f>
        <v>B</v>
      </c>
      <c r="P402" s="15">
        <f>IF($C402="","",IF($I402="","",RANK($I402,$I$4:$I$1463)+COUNTIF($I$4:$I402,$I402)-1))</f>
        <v>910</v>
      </c>
      <c r="Q402" s="15">
        <f>IF($C402="","",COUNTIFS($B$4:$B$1463,$B402,$X$4:$X$1463,"&gt;"&amp;$X402)+COUNTIFS($B$4:$B402,$B402,$X$4:$X402,"="&amp;$X402))</f>
        <v>84</v>
      </c>
      <c r="R402" s="72">
        <f>IF($C402="","",IF($I402="","",ROUND(COUNTIF($I$4:$I$1463,"&lt;"&amp;$I402)/COUNT($I$4:$I$1463),3)))</f>
        <v>0.313</v>
      </c>
      <c r="S402" s="15" t="str">
        <f>IF($C402="","",IF($G402="","Name only",IF(OR($I402="",$L402=""),"Partial","Complete")))</f>
        <v>Complete</v>
      </c>
      <c r="T402" s="41" t="str">
        <f>IF($C402="","",TRIM(IF(COUNTIF($C$4:$C$1463,$C402)&gt;1,"Dup name; ","")&amp;IF(AND($G402&lt;&gt;"",$G402&lt;55000),"Low CR - verify; ","")&amp;IF(AND($L402&lt;&gt;"",$L402&gt;15),"Secondary - verify; ","")&amp;IF($E402="","No class; ","")))</f>
        <v/>
      </c>
      <c r="U402" s="68"/>
      <c r="V402" s="68"/>
      <c r="W402" s="68"/>
      <c r="X402" s="73">
        <f t="shared" si="32"/>
        <v>2885</v>
      </c>
      <c r="Y402" s="41" t="str">
        <f t="shared" si="33"/>
        <v>UNDYING|84</v>
      </c>
      <c r="Z402" s="15">
        <f>IF($C402="","",IF($G402="","",RANK($G402,$G$4:$G$1463)+COUNTIF($G$4:$G402,$G402)-1))</f>
        <v>579</v>
      </c>
      <c r="AA402" s="15">
        <f>IF($C402="","",IF($N402="","",RANK($N402,$N$4:$N$1463)+COUNTIF($N$4:$N402,$N402)-1))</f>
        <v>786</v>
      </c>
      <c r="AB402" s="41" t="str">
        <f>IF($C402="","",IF($E402="","",$E402&amp;"#"&amp;(COUNTIFS($E$4:$E$1463,$E402,$X$4:$X$1463,"&gt;"&amp;$X402)+COUNTIFS($E$4:$E402,$E402,$X$4:$X402,"="&amp;$X402))))</f>
        <v>DEMON HUNTER#145</v>
      </c>
      <c r="AC402" s="41" t="str">
        <f>IF($C402="","",$B402&amp;"@"&amp;(COUNTIFS($B$4:$B$1463,$B402,$C$4:$C$1463,"&lt;"&amp;$C402)+COUNTIFS($B$4:$B402,$B402,$C$4:$C402,$C402)))</f>
        <v>UNDYING@36</v>
      </c>
      <c r="AD402" s="41">
        <f t="shared" si="34"/>
        <v>399</v>
      </c>
      <c r="AE402" s="41" t="s">
        <v>986</v>
      </c>
      <c r="AF402" s="73">
        <f t="shared" si="35"/>
        <v>62670</v>
      </c>
      <c r="AG402" s="74">
        <f t="shared" si="36"/>
        <v>4.8</v>
      </c>
      <c r="AH402" s="41" t="str">
        <f>IF($C402="","",$B402&amp;"|"&amp;(COUNTIFS($B$4:$B$1463,$B402,$AF$4:$AF$1463,"&gt;"&amp;$AF402)+COUNTIFS($B$4:$B402,$B402,$AF$4:$AF402,"="&amp;$AF402)))</f>
        <v>UNDYING|58</v>
      </c>
      <c r="AI402" s="41" t="str">
        <f>IF($C402="","",$B402&amp;"|"&amp;(COUNTIFS($B$4:$B$1463,$B402,$AG$4:$AG$1463,"&gt;"&amp;$AG402)+COUNTIFS($B$4:$B402,$B402,$AG$4:$AG402,"="&amp;$AG402)))</f>
        <v>UNDYING|58</v>
      </c>
    </row>
    <row r="403" spans="1:35">
      <c r="A403" s="69" t="s">
        <v>104</v>
      </c>
      <c r="B403" s="69" t="s">
        <v>66</v>
      </c>
      <c r="C403" s="63" t="s">
        <v>316</v>
      </c>
      <c r="D403" s="69"/>
      <c r="E403" s="68" t="s">
        <v>78</v>
      </c>
      <c r="F403" s="19" t="str">
        <f>IF($C403="","",IF($E403="","-",IFERROR(INDEX(SETUP!$B$55:$B$64,MATCH($E403,SETUP!$A$55:$A$64,0)),"Other")))</f>
        <v>Melee DPS</v>
      </c>
      <c r="G403" s="70">
        <v>63860</v>
      </c>
      <c r="H403" s="19" t="str">
        <f>IF($C403="","",IF($G403="","-",INDEX(SETUP!$B$26:$B$32,MATCH($G403,SETUP!$A$26:$A$32,1))))</f>
        <v>63,000 - 63,999</v>
      </c>
      <c r="I403" s="70">
        <v>6522</v>
      </c>
      <c r="J403" s="19" t="str">
        <f>IF($C403="","",IF($I403="","-",INDEX(SETUP!$B$16:$B$22,MATCH($I403,SETUP!$A$16:$A$22,1))))</f>
        <v>VETERAN</v>
      </c>
      <c r="K403" s="19" t="str">
        <f>IF($C403="","",IF($I403="","-",TEXT(INT($I403/1000)*1000,"#,##0")&amp;" - "&amp;TEXT(INT($I403/1000)*1000+999,"#,##0")))</f>
        <v>6,000 - 6,999</v>
      </c>
      <c r="L403" s="71">
        <v>4.93</v>
      </c>
      <c r="M403" s="19" t="str">
        <f>IF($C403="","",IF($L403="","-",INDEX(SETUP!$B$36:$B$42,MATCH($L403,SETUP!$A$36:$A$42,1))))</f>
        <v>4k - 5k</v>
      </c>
      <c r="N403" s="21">
        <f>IF($C403="","",IF(OR($G403="",$I403=""),"",ROUND(100*(SETUP!$B$4*MIN(1,$I403/SETUP!$B$9)+SETUP!$B$5*MAX(0,MIN(1,($G403-SETUP!$B$10)/(SETUP!$B$11-SETUP!$B$10)))+SETUP!$B$6*MIN(1,IF($L403="",0,$L403)/SETUP!$B$12)),1)))</f>
        <v>60</v>
      </c>
      <c r="O403" s="19" t="str">
        <f>IF($C403="","",IF($N403="","-",INDEX(SETUP!$B$46:$B$51,MATCH($N403,SETUP!$A$46:$A$51,1))))</f>
        <v>A</v>
      </c>
      <c r="P403" s="19">
        <f>IF($C403="","",IF($I403="","",RANK($I403,$I$4:$I$1463)+COUNTIF($I$4:$I403,$I403)-1))</f>
        <v>246</v>
      </c>
      <c r="Q403" s="19">
        <f>IF($C403="","",COUNTIFS($B$4:$B$1463,$B403,$X$4:$X$1463,"&gt;"&amp;$X403)+COUNTIFS($B$4:$B403,$B403,$X$4:$X403,"="&amp;$X403))</f>
        <v>26</v>
      </c>
      <c r="R403" s="75">
        <f>IF($C403="","",IF($I403="","",ROUND(COUNTIF($I$4:$I$1463,"&lt;"&amp;$I403)/COUNT($I$4:$I$1463),3)))</f>
        <v>0.81399999999999995</v>
      </c>
      <c r="S403" s="19" t="str">
        <f>IF($C403="","",IF($G403="","Name only",IF(OR($I403="",$L403=""),"Partial","Complete")))</f>
        <v>Complete</v>
      </c>
      <c r="T403" s="1" t="str">
        <f>IF($C403="","",TRIM(IF(COUNTIF($C$4:$C$1463,$C403)&gt;1,"Dup name; ","")&amp;IF(AND($G403&lt;&gt;"",$G403&lt;55000),"Low CR - verify; ","")&amp;IF(AND($L403&lt;&gt;"",$L403&gt;15),"Secondary - verify; ","")&amp;IF($E403="","No class; ","")))</f>
        <v/>
      </c>
      <c r="U403" s="68" t="s">
        <v>268</v>
      </c>
      <c r="V403" s="68" t="s">
        <v>66</v>
      </c>
      <c r="W403" s="68" t="s">
        <v>285</v>
      </c>
      <c r="X403" s="76">
        <f t="shared" si="32"/>
        <v>6522</v>
      </c>
      <c r="Y403" s="1" t="str">
        <f t="shared" si="33"/>
        <v>FUCT|26</v>
      </c>
      <c r="Z403" s="19">
        <f>IF($C403="","",IF($G403="","",RANK($G403,$G$4:$G$1463)+COUNTIF($G$4:$G403,$G403)-1))</f>
        <v>109</v>
      </c>
      <c r="AA403" s="19">
        <f>IF($C403="","",IF($N403="","",RANK($N403,$N$4:$N$1463)+COUNTIF($N$4:$N403,$N403)-1))</f>
        <v>236</v>
      </c>
      <c r="AB403" s="1" t="str">
        <f>IF($C403="","",IF($E403="","",$E403&amp;"#"&amp;(COUNTIFS($E$4:$E$1463,$E403,$X$4:$X$1463,"&gt;"&amp;$X403)+COUNTIFS($E$4:$E403,$E403,$X$4:$X403,"="&amp;$X403))))</f>
        <v>TEMPEST#8</v>
      </c>
      <c r="AC403" s="1" t="str">
        <f>IF($C403="","",$B403&amp;"@"&amp;(COUNTIFS($B$4:$B$1463,$B403,$C$4:$C$1463,"&lt;"&amp;$C403)+COUNTIFS($B$4:$B403,$B403,$C$4:$C403,$C403)))</f>
        <v>FUCT@24</v>
      </c>
      <c r="AD403" s="1">
        <f t="shared" si="34"/>
        <v>400</v>
      </c>
      <c r="AE403" s="1" t="s">
        <v>1262</v>
      </c>
      <c r="AF403" s="76">
        <f t="shared" si="35"/>
        <v>63860</v>
      </c>
      <c r="AG403" s="77">
        <f t="shared" si="36"/>
        <v>4.93</v>
      </c>
      <c r="AH403" s="1" t="str">
        <f>IF($C403="","",$B403&amp;"|"&amp;(COUNTIFS($B$4:$B$1463,$B403,$AF$4:$AF$1463,"&gt;"&amp;$AF403)+COUNTIFS($B$4:$B403,$B403,$AF$4:$AF403,"="&amp;$AF403)))</f>
        <v>FUCT|10</v>
      </c>
      <c r="AI403" s="1" t="str">
        <f>IF($C403="","",$B403&amp;"|"&amp;(COUNTIFS($B$4:$B$1463,$B403,$AG$4:$AG$1463,"&gt;"&amp;$AG403)+COUNTIFS($B$4:$B403,$B403,$AG$4:$AG403,"="&amp;$AG403)))</f>
        <v>FUCT|52</v>
      </c>
    </row>
    <row r="404" spans="1:35" hidden="1">
      <c r="A404" s="69" t="s">
        <v>109</v>
      </c>
      <c r="B404" s="69" t="s">
        <v>116</v>
      </c>
      <c r="C404" s="63" t="s">
        <v>1263</v>
      </c>
      <c r="D404" s="69" t="s">
        <v>530</v>
      </c>
      <c r="E404" s="68" t="s">
        <v>79</v>
      </c>
      <c r="F404" s="15" t="str">
        <f>IF($C404="","",IF($E404="","-",IFERROR(INDEX(SETUP!$B$55:$B$64,MATCH($E404,SETUP!$A$55:$A$64,0)),"Other")))</f>
        <v>Control</v>
      </c>
      <c r="G404" s="70">
        <v>63288</v>
      </c>
      <c r="H404" s="15" t="str">
        <f>IF($C404="","",IF($G404="","-",INDEX(SETUP!$B$26:$B$32,MATCH($G404,SETUP!$A$26:$A$32,1))))</f>
        <v>63,000 - 63,999</v>
      </c>
      <c r="I404" s="70">
        <v>4629</v>
      </c>
      <c r="J404" s="15" t="str">
        <f>IF($C404="","",IF($I404="","-",INDEX(SETUP!$B$16:$B$22,MATCH($I404,SETUP!$A$16:$A$22,1))))</f>
        <v>CORE</v>
      </c>
      <c r="K404" s="15" t="str">
        <f>IF($C404="","",IF($I404="","-",TEXT(INT($I404/1000)*1000,"#,##0")&amp;" - "&amp;TEXT(INT($I404/1000)*1000+999,"#,##0")))</f>
        <v>4,000 - 4,999</v>
      </c>
      <c r="L404" s="71">
        <v>4.9000000000000004</v>
      </c>
      <c r="M404" s="15" t="str">
        <f>IF($C404="","",IF($L404="","-",INDEX(SETUP!$B$36:$B$42,MATCH($L404,SETUP!$A$36:$A$42,1))))</f>
        <v>4k - 5k</v>
      </c>
      <c r="N404" s="17">
        <f>IF($C404="","",IF(OR($G404="",$I404=""),"",ROUND(100*(SETUP!$B$4*MIN(1,$I404/SETUP!$B$9)+SETUP!$B$5*MAX(0,MIN(1,($G404-SETUP!$B$10)/(SETUP!$B$11-SETUP!$B$10)))+SETUP!$B$6*MIN(1,IF($L404="",0,$L404)/SETUP!$B$12)),1)))</f>
        <v>50.2</v>
      </c>
      <c r="O404" s="15" t="str">
        <f>IF($C404="","",IF($N404="","-",INDEX(SETUP!$B$46:$B$51,MATCH($N404,SETUP!$A$46:$A$51,1))))</f>
        <v>A</v>
      </c>
      <c r="P404" s="15">
        <f>IF($C404="","",IF($I404="","",RANK($I404,$I$4:$I$1463)+COUNTIF($I$4:$I404,$I404)-1))</f>
        <v>466</v>
      </c>
      <c r="Q404" s="15">
        <f>IF($C404="","",COUNTIFS($B$4:$B$1463,$B404,$X$4:$X$1463,"&gt;"&amp;$X404)+COUNTIFS($B$4:$B404,$B404,$X$4:$X404,"="&amp;$X404))</f>
        <v>22</v>
      </c>
      <c r="R404" s="72">
        <f>IF($C404="","",IF($I404="","",ROUND(COUNTIF($I$4:$I$1463,"&lt;"&amp;$I404)/COUNT($I$4:$I$1463),3)))</f>
        <v>0.64800000000000002</v>
      </c>
      <c r="S404" s="15" t="str">
        <f>IF($C404="","",IF($G404="","Name only",IF(OR($I404="",$L404=""),"Partial","Complete")))</f>
        <v>Complete</v>
      </c>
      <c r="T404" s="41" t="str">
        <f>IF($C404="","",TRIM(IF(COUNTIF($C$4:$C$1463,$C404)&gt;1,"Dup name; ","")&amp;IF(AND($G404&lt;&gt;"",$G404&lt;55000),"Low CR - verify; ","")&amp;IF(AND($L404&lt;&gt;"",$L404&gt;15),"Secondary - verify; ","")&amp;IF($E404="","No class; ","")))</f>
        <v/>
      </c>
      <c r="U404" s="68"/>
      <c r="V404" s="68"/>
      <c r="W404" s="68"/>
      <c r="X404" s="73">
        <f t="shared" si="32"/>
        <v>4629</v>
      </c>
      <c r="Y404" s="41" t="str">
        <f t="shared" si="33"/>
        <v>VENGEANCE|22</v>
      </c>
      <c r="Z404" s="15">
        <f>IF($C404="","",IF($G404="","",RANK($G404,$G$4:$G$1463)+COUNTIF($G$4:$G404,$G404)-1))</f>
        <v>266</v>
      </c>
      <c r="AA404" s="15">
        <f>IF($C404="","",IF($N404="","",RANK($N404,$N$4:$N$1463)+COUNTIF($N$4:$N404,$N404)-1))</f>
        <v>453</v>
      </c>
      <c r="AB404" s="41" t="str">
        <f>IF($C404="","",IF($E404="","",$E404&amp;"#"&amp;(COUNTIFS($E$4:$E$1463,$E404,$X$4:$X$1463,"&gt;"&amp;$X404)+COUNTIFS($E$4:$E404,$E404,$X$4:$X404,"="&amp;$X404))))</f>
        <v>WARLOCK#108</v>
      </c>
      <c r="AC404" s="41" t="str">
        <f>IF($C404="","",$B404&amp;"@"&amp;(COUNTIFS($B$4:$B$1463,$B404,$C$4:$C$1463,"&lt;"&amp;$C404)+COUNTIFS($B$4:$B404,$B404,$C$4:$C404,$C404)))</f>
        <v>VENGEANCE@28</v>
      </c>
      <c r="AD404" s="41">
        <f t="shared" si="34"/>
        <v>401</v>
      </c>
      <c r="AE404" s="41" t="s">
        <v>733</v>
      </c>
      <c r="AF404" s="73">
        <f t="shared" si="35"/>
        <v>63288</v>
      </c>
      <c r="AG404" s="74">
        <f t="shared" si="36"/>
        <v>4.9000000000000004</v>
      </c>
      <c r="AH404" s="41" t="str">
        <f>IF($C404="","",$B404&amp;"|"&amp;(COUNTIFS($B$4:$B$1463,$B404,$AF$4:$AF$1463,"&gt;"&amp;$AF404)+COUNTIFS($B$4:$B404,$B404,$AF$4:$AF404,"="&amp;$AF404)))</f>
        <v>VENGEANCE|6</v>
      </c>
      <c r="AI404" s="41" t="str">
        <f>IF($C404="","",$B404&amp;"|"&amp;(COUNTIFS($B$4:$B$1463,$B404,$AG$4:$AG$1463,"&gt;"&amp;$AG404)+COUNTIFS($B$4:$B404,$B404,$AG$4:$AG404,"="&amp;$AG404)))</f>
        <v>VENGEANCE|35</v>
      </c>
    </row>
    <row r="405" spans="1:35">
      <c r="A405" s="69" t="s">
        <v>104</v>
      </c>
      <c r="B405" s="69" t="s">
        <v>66</v>
      </c>
      <c r="C405" s="63" t="s">
        <v>1254</v>
      </c>
      <c r="D405" s="69"/>
      <c r="E405" s="68" t="s">
        <v>72</v>
      </c>
      <c r="F405" s="19" t="str">
        <f>IF($C405="","",IF($E405="","-",IFERROR(INDEX(SETUP!$B$55:$B$64,MATCH($E405,SETUP!$A$55:$A$64,0)),"Other")))</f>
        <v>Frontline</v>
      </c>
      <c r="G405" s="70">
        <v>62859</v>
      </c>
      <c r="H405" s="19" t="str">
        <f>IF($C405="","",IF($G405="","-",INDEX(SETUP!$B$26:$B$32,MATCH($G405,SETUP!$A$26:$A$32,1))))</f>
        <v>62,000 - 62,999</v>
      </c>
      <c r="I405" s="70">
        <v>3074</v>
      </c>
      <c r="J405" s="19" t="str">
        <f>IF($C405="","",IF($I405="","-",INDEX(SETUP!$B$16:$B$22,MATCH($I405,SETUP!$A$16:$A$22,1))))</f>
        <v>DEVELOPING</v>
      </c>
      <c r="K405" s="19" t="str">
        <f>IF($C405="","",IF($I405="","-",TEXT(INT($I405/1000)*1000,"#,##0")&amp;" - "&amp;TEXT(INT($I405/1000)*1000+999,"#,##0")))</f>
        <v>3,000 - 3,999</v>
      </c>
      <c r="L405" s="71">
        <v>3.52</v>
      </c>
      <c r="M405" s="19" t="str">
        <f>IF($C405="","",IF($L405="","-",INDEX(SETUP!$B$36:$B$42,MATCH($L405,SETUP!$A$36:$A$42,1))))</f>
        <v>3k - 4k</v>
      </c>
      <c r="N405" s="21">
        <f>IF($C405="","",IF(OR($G405="",$I405=""),"",ROUND(100*(SETUP!$B$4*MIN(1,$I405/SETUP!$B$9)+SETUP!$B$5*MAX(0,MIN(1,($G405-SETUP!$B$10)/(SETUP!$B$11-SETUP!$B$10)))+SETUP!$B$6*MIN(1,IF($L405="",0,$L405)/SETUP!$B$12)),1)))</f>
        <v>40</v>
      </c>
      <c r="O405" s="19" t="str">
        <f>IF($C405="","",IF($N405="","-",INDEX(SETUP!$B$46:$B$51,MATCH($N405,SETUP!$A$46:$A$51,1))))</f>
        <v>B</v>
      </c>
      <c r="P405" s="19">
        <f>IF($C405="","",IF($I405="","",RANK($I405,$I$4:$I$1463)+COUNTIF($I$4:$I405,$I405)-1))</f>
        <v>857</v>
      </c>
      <c r="Q405" s="19">
        <f>IF($C405="","",COUNTIFS($B$4:$B$1463,$B405,$X$4:$X$1463,"&gt;"&amp;$X405)+COUNTIFS($B$4:$B405,$B405,$X$4:$X405,"="&amp;$X405))</f>
        <v>90</v>
      </c>
      <c r="R405" s="75">
        <f>IF($C405="","",IF($I405="","",ROUND(COUNTIF($I$4:$I$1463,"&lt;"&amp;$I405)/COUNT($I$4:$I$1463),3)))</f>
        <v>0.35299999999999998</v>
      </c>
      <c r="S405" s="19" t="str">
        <f>IF($C405="","",IF($G405="","Name only",IF(OR($I405="",$L405=""),"Partial","Complete")))</f>
        <v>Complete</v>
      </c>
      <c r="T405" s="1" t="str">
        <f>IF($C405="","",TRIM(IF(COUNTIF($C$4:$C$1463,$C405)&gt;1,"Dup name; ","")&amp;IF(AND($G405&lt;&gt;"",$G405&lt;55000),"Low CR - verify; ","")&amp;IF(AND($L405&lt;&gt;"",$L405&gt;15),"Secondary - verify; ","")&amp;IF($E405="","No class; ","")))</f>
        <v/>
      </c>
      <c r="U405" s="68"/>
      <c r="V405" s="68"/>
      <c r="W405" s="68"/>
      <c r="X405" s="76">
        <f t="shared" si="32"/>
        <v>3074</v>
      </c>
      <c r="Y405" s="1" t="str">
        <f t="shared" si="33"/>
        <v>FUCT|90</v>
      </c>
      <c r="Z405" s="19">
        <f>IF($C405="","",IF($G405="","",RANK($G405,$G$4:$G$1463)+COUNTIF($G$4:$G405,$G405)-1))</f>
        <v>493</v>
      </c>
      <c r="AA405" s="19">
        <f>IF($C405="","",IF($N405="","",RANK($N405,$N$4:$N$1463)+COUNTIF($N$4:$N405,$N405)-1))</f>
        <v>818</v>
      </c>
      <c r="AB405" s="1" t="str">
        <f>IF($C405="","",IF($E405="","",$E405&amp;"#"&amp;(COUNTIFS($E$4:$E$1463,$E405,$X$4:$X$1463,"&gt;"&amp;$X405)+COUNTIFS($E$4:$E405,$E405,$X$4:$X405,"="&amp;$X405))))</f>
        <v>BLOOD KNIGHT#61</v>
      </c>
      <c r="AC405" s="1" t="str">
        <f>IF($C405="","",$B405&amp;"@"&amp;(COUNTIFS($B$4:$B$1463,$B405,$C$4:$C$1463,"&lt;"&amp;$C405)+COUNTIFS($B$4:$B405,$B405,$C$4:$C405,$C405)))</f>
        <v>FUCT@25</v>
      </c>
      <c r="AD405" s="1">
        <f t="shared" si="34"/>
        <v>402</v>
      </c>
      <c r="AE405" s="1" t="s">
        <v>1265</v>
      </c>
      <c r="AF405" s="76">
        <f t="shared" si="35"/>
        <v>62859</v>
      </c>
      <c r="AG405" s="77">
        <f t="shared" si="36"/>
        <v>3.52</v>
      </c>
      <c r="AH405" s="1" t="str">
        <f>IF($C405="","",$B405&amp;"|"&amp;(COUNTIFS($B$4:$B$1463,$B405,$AF$4:$AF$1463,"&gt;"&amp;$AF405)+COUNTIFS($B$4:$B405,$B405,$AF$4:$AF405,"="&amp;$AF405)))</f>
        <v>FUCT|53</v>
      </c>
      <c r="AI405" s="1" t="str">
        <f>IF($C405="","",$B405&amp;"|"&amp;(COUNTIFS($B$4:$B$1463,$B405,$AG$4:$AG$1463,"&gt;"&amp;$AG405)+COUNTIFS($B$4:$B405,$B405,$AG$4:$AG405,"="&amp;$AG405)))</f>
        <v>FUCT|95</v>
      </c>
    </row>
    <row r="406" spans="1:35" hidden="1">
      <c r="A406" s="69" t="s">
        <v>109</v>
      </c>
      <c r="B406" s="69" t="s">
        <v>116</v>
      </c>
      <c r="C406" s="63" t="s">
        <v>1266</v>
      </c>
      <c r="D406" s="69" t="s">
        <v>530</v>
      </c>
      <c r="E406" s="68" t="s">
        <v>73</v>
      </c>
      <c r="F406" s="15" t="str">
        <f>IF($C406="","",IF($E406="","-",IFERROR(INDEX(SETUP!$B$55:$B$64,MATCH($E406,SETUP!$A$55:$A$64,0)),"Other")))</f>
        <v>Frontline</v>
      </c>
      <c r="G406" s="70">
        <v>61301</v>
      </c>
      <c r="H406" s="15" t="str">
        <f>IF($C406="","",IF($G406="","-",INDEX(SETUP!$B$26:$B$32,MATCH($G406,SETUP!$A$26:$A$32,1))))</f>
        <v>61,000 - 61,999</v>
      </c>
      <c r="I406" s="70">
        <v>2609</v>
      </c>
      <c r="J406" s="15" t="str">
        <f>IF($C406="","",IF($I406="","-",INDEX(SETUP!$B$16:$B$22,MATCH($I406,SETUP!$A$16:$A$22,1))))</f>
        <v>DEVELOPING</v>
      </c>
      <c r="K406" s="15" t="str">
        <f>IF($C406="","",IF($I406="","-",TEXT(INT($I406/1000)*1000,"#,##0")&amp;" - "&amp;TEXT(INT($I406/1000)*1000+999,"#,##0")))</f>
        <v>2,000 - 2,999</v>
      </c>
      <c r="L406" s="71">
        <v>4.1500000000000004</v>
      </c>
      <c r="M406" s="15" t="str">
        <f>IF($C406="","",IF($L406="","-",INDEX(SETUP!$B$36:$B$42,MATCH($L406,SETUP!$A$36:$A$42,1))))</f>
        <v>4k - 5k</v>
      </c>
      <c r="N406" s="17">
        <f>IF($C406="","",IF(OR($G406="",$I406=""),"",ROUND(100*(SETUP!$B$4*MIN(1,$I406/SETUP!$B$9)+SETUP!$B$5*MAX(0,MIN(1,($G406-SETUP!$B$10)/(SETUP!$B$11-SETUP!$B$10)))+SETUP!$B$6*MIN(1,IF($L406="",0,$L406)/SETUP!$B$12)),1)))</f>
        <v>34.9</v>
      </c>
      <c r="O406" s="15" t="str">
        <f>IF($C406="","",IF($N406="","-",INDEX(SETUP!$B$46:$B$51,MATCH($N406,SETUP!$A$46:$A$51,1))))</f>
        <v>C</v>
      </c>
      <c r="P406" s="15">
        <f>IF($C406="","",IF($I406="","",RANK($I406,$I$4:$I$1463)+COUNTIF($I$4:$I406,$I406)-1))</f>
        <v>979</v>
      </c>
      <c r="Q406" s="15">
        <f>IF($C406="","",COUNTIFS($B$4:$B$1463,$B406,$X$4:$X$1463,"&gt;"&amp;$X406)+COUNTIFS($B$4:$B406,$B406,$X$4:$X406,"="&amp;$X406))</f>
        <v>68</v>
      </c>
      <c r="R406" s="72">
        <f>IF($C406="","",IF($I406="","",ROUND(COUNTIF($I$4:$I$1463,"&lt;"&amp;$I406)/COUNT($I$4:$I$1463),3)))</f>
        <v>0.26100000000000001</v>
      </c>
      <c r="S406" s="15" t="str">
        <f>IF($C406="","",IF($G406="","Name only",IF(OR($I406="",$L406=""),"Partial","Complete")))</f>
        <v>Complete</v>
      </c>
      <c r="T406" s="41" t="str">
        <f>IF($C406="","",TRIM(IF(COUNTIF($C$4:$C$1463,$C406)&gt;1,"Dup name; ","")&amp;IF(AND($G406&lt;&gt;"",$G406&lt;55000),"Low CR - verify; ","")&amp;IF(AND($L406&lt;&gt;"",$L406&gt;15),"Secondary - verify; ","")&amp;IF($E406="","No class; ","")))</f>
        <v/>
      </c>
      <c r="U406" s="68"/>
      <c r="V406" s="68"/>
      <c r="W406" s="68"/>
      <c r="X406" s="73">
        <f t="shared" si="32"/>
        <v>2609</v>
      </c>
      <c r="Y406" s="41" t="str">
        <f t="shared" si="33"/>
        <v>VENGEANCE|68</v>
      </c>
      <c r="Z406" s="15">
        <f>IF($C406="","",IF($G406="","",RANK($G406,$G$4:$G$1463)+COUNTIF($G$4:$G406,$G406)-1))</f>
        <v>1059</v>
      </c>
      <c r="AA406" s="15">
        <f>IF($C406="","",IF($N406="","",RANK($N406,$N$4:$N$1463)+COUNTIF($N$4:$N406,$N406)-1))</f>
        <v>1011</v>
      </c>
      <c r="AB406" s="41" t="str">
        <f>IF($C406="","",IF($E406="","",$E406&amp;"#"&amp;(COUNTIFS($E$4:$E$1463,$E406,$X$4:$X$1463,"&gt;"&amp;$X406)+COUNTIFS($E$4:$E406,$E406,$X$4:$X406,"="&amp;$X406))))</f>
        <v>CRUSADER#97</v>
      </c>
      <c r="AC406" s="41" t="str">
        <f>IF($C406="","",$B406&amp;"@"&amp;(COUNTIFS($B$4:$B$1463,$B406,$C$4:$C$1463,"&lt;"&amp;$C406)+COUNTIFS($B$4:$B406,$B406,$C$4:$C406,$C406)))</f>
        <v>VENGEANCE@29</v>
      </c>
      <c r="AD406" s="41">
        <f t="shared" si="34"/>
        <v>403</v>
      </c>
      <c r="AE406" s="41" t="s">
        <v>1267</v>
      </c>
      <c r="AF406" s="73">
        <f t="shared" si="35"/>
        <v>61301</v>
      </c>
      <c r="AG406" s="74">
        <f t="shared" si="36"/>
        <v>4.1500000000000004</v>
      </c>
      <c r="AH406" s="41" t="str">
        <f>IF($C406="","",$B406&amp;"|"&amp;(COUNTIFS($B$4:$B$1463,$B406,$AF$4:$AF$1463,"&gt;"&amp;$AF406)+COUNTIFS($B$4:$B406,$B406,$AF$4:$AF406,"="&amp;$AF406)))</f>
        <v>VENGEANCE|69</v>
      </c>
      <c r="AI406" s="41" t="str">
        <f>IF($C406="","",$B406&amp;"|"&amp;(COUNTIFS($B$4:$B$1463,$B406,$AG$4:$AG$1463,"&gt;"&amp;$AG406)+COUNTIFS($B$4:$B406,$B406,$AG$4:$AG406,"="&amp;$AG406)))</f>
        <v>VENGEANCE|62</v>
      </c>
    </row>
    <row r="407" spans="1:35" hidden="1">
      <c r="A407" s="69" t="s">
        <v>106</v>
      </c>
      <c r="B407" s="69" t="s">
        <v>86</v>
      </c>
      <c r="C407" s="63" t="s">
        <v>1268</v>
      </c>
      <c r="D407" s="69"/>
      <c r="E407" s="68" t="s">
        <v>79</v>
      </c>
      <c r="F407" s="19" t="str">
        <f>IF($C407="","",IF($E407="","-",IFERROR(INDEX(SETUP!$B$55:$B$64,MATCH($E407,SETUP!$A$55:$A$64,0)),"Other")))</f>
        <v>Control</v>
      </c>
      <c r="G407" s="70">
        <v>63997</v>
      </c>
      <c r="H407" s="19" t="str">
        <f>IF($C407="","",IF($G407="","-",INDEX(SETUP!$B$26:$B$32,MATCH($G407,SETUP!$A$26:$A$32,1))))</f>
        <v>63,000 - 63,999</v>
      </c>
      <c r="I407" s="70">
        <v>10352</v>
      </c>
      <c r="J407" s="19" t="str">
        <f>IF($C407="","",IF($I407="","-",INDEX(SETUP!$B$16:$B$22,MATCH($I407,SETUP!$A$16:$A$22,1))))</f>
        <v>APEX</v>
      </c>
      <c r="K407" s="19" t="str">
        <f>IF($C407="","",IF($I407="","-",TEXT(INT($I407/1000)*1000,"#,##0")&amp;" - "&amp;TEXT(INT($I407/1000)*1000+999,"#,##0")))</f>
        <v>10,000 - 10,999</v>
      </c>
      <c r="L407" s="71">
        <v>7.37</v>
      </c>
      <c r="M407" s="19" t="str">
        <f>IF($C407="","",IF($L407="","-",INDEX(SETUP!$B$36:$B$42,MATCH($L407,SETUP!$A$36:$A$42,1))))</f>
        <v>6k - 8k</v>
      </c>
      <c r="N407" s="21">
        <f>IF($C407="","",IF(OR($G407="",$I407=""),"",ROUND(100*(SETUP!$B$4*MIN(1,$I407/SETUP!$B$9)+SETUP!$B$5*MAX(0,MIN(1,($G407-SETUP!$B$10)/(SETUP!$B$11-SETUP!$B$10)))+SETUP!$B$6*MIN(1,IF($L407="",0,$L407)/SETUP!$B$12)),1)))</f>
        <v>81.099999999999994</v>
      </c>
      <c r="O407" s="19" t="str">
        <f>IF($C407="","",IF($N407="","-",INDEX(SETUP!$B$46:$B$51,MATCH($N407,SETUP!$A$46:$A$51,1))))</f>
        <v>S+</v>
      </c>
      <c r="P407" s="19">
        <f>IF($C407="","",IF($I407="","",RANK($I407,$I$4:$I$1463)+COUNTIF($I$4:$I407,$I407)-1))</f>
        <v>29</v>
      </c>
      <c r="Q407" s="19">
        <f>IF($C407="","",COUNTIFS($B$4:$B$1463,$B407,$X$4:$X$1463,"&gt;"&amp;$X407)+COUNTIFS($B$4:$B407,$B407,$X$4:$X407,"="&amp;$X407))</f>
        <v>2</v>
      </c>
      <c r="R407" s="75">
        <f>IF($C407="","",IF($I407="","",ROUND(COUNTIF($I$4:$I$1463,"&lt;"&amp;$I407)/COUNT($I$4:$I$1463),3)))</f>
        <v>0.97799999999999998</v>
      </c>
      <c r="S407" s="19" t="str">
        <f>IF($C407="","",IF($G407="","Name only",IF(OR($I407="",$L407=""),"Partial","Complete")))</f>
        <v>Complete</v>
      </c>
      <c r="T407" s="1" t="str">
        <f>IF($C407="","",TRIM(IF(COUNTIF($C$4:$C$1463,$C407)&gt;1,"Dup name; ","")&amp;IF(AND($G407&lt;&gt;"",$G407&lt;55000),"Low CR - verify; ","")&amp;IF(AND($L407&lt;&gt;"",$L407&gt;15),"Secondary - verify; ","")&amp;IF($E407="","No class; ","")))</f>
        <v/>
      </c>
      <c r="U407" s="68"/>
      <c r="V407" s="68"/>
      <c r="W407" s="68"/>
      <c r="X407" s="76">
        <f t="shared" si="32"/>
        <v>10352</v>
      </c>
      <c r="Y407" s="1" t="str">
        <f t="shared" si="33"/>
        <v>VANGUARD|2</v>
      </c>
      <c r="Z407" s="19">
        <f>IF($C407="","",IF($G407="","",RANK($G407,$G$4:$G$1463)+COUNTIF($G$4:$G407,$G407)-1))</f>
        <v>74</v>
      </c>
      <c r="AA407" s="19">
        <f>IF($C407="","",IF($N407="","",RANK($N407,$N$4:$N$1463)+COUNTIF($N$4:$N407,$N407)-1))</f>
        <v>41</v>
      </c>
      <c r="AB407" s="1" t="str">
        <f>IF($C407="","",IF($E407="","",$E407&amp;"#"&amp;(COUNTIFS($E$4:$E$1463,$E407,$X$4:$X$1463,"&gt;"&amp;$X407)+COUNTIFS($E$4:$E407,$E407,$X$4:$X407,"="&amp;$X407))))</f>
        <v>WARLOCK#6</v>
      </c>
      <c r="AC407" s="1" t="str">
        <f>IF($C407="","",$B407&amp;"@"&amp;(COUNTIFS($B$4:$B$1463,$B407,$C$4:$C$1463,"&lt;"&amp;$C407)+COUNTIFS($B$4:$B407,$B407,$C$4:$C407,$C407)))</f>
        <v>VANGUARD@37</v>
      </c>
      <c r="AD407" s="1">
        <f t="shared" si="34"/>
        <v>404</v>
      </c>
      <c r="AE407" s="1" t="s">
        <v>1269</v>
      </c>
      <c r="AF407" s="76">
        <f t="shared" si="35"/>
        <v>63997</v>
      </c>
      <c r="AG407" s="77">
        <f t="shared" si="36"/>
        <v>7.37</v>
      </c>
      <c r="AH407" s="1" t="str">
        <f>IF($C407="","",$B407&amp;"|"&amp;(COUNTIFS($B$4:$B$1463,$B407,$AF$4:$AF$1463,"&gt;"&amp;$AF407)+COUNTIFS($B$4:$B407,$B407,$AF$4:$AF407,"="&amp;$AF407)))</f>
        <v>VANGUARD|19</v>
      </c>
      <c r="AI407" s="1" t="str">
        <f>IF($C407="","",$B407&amp;"|"&amp;(COUNTIFS($B$4:$B$1463,$B407,$AG$4:$AG$1463,"&gt;"&amp;$AG407)+COUNTIFS($B$4:$B407,$B407,$AG$4:$AG407,"="&amp;$AG407)))</f>
        <v>VANGUARD|14</v>
      </c>
    </row>
    <row r="408" spans="1:35" hidden="1">
      <c r="A408" s="69" t="s">
        <v>109</v>
      </c>
      <c r="B408" s="69" t="s">
        <v>108</v>
      </c>
      <c r="C408" s="63" t="s">
        <v>1270</v>
      </c>
      <c r="D408" s="69"/>
      <c r="E408" s="68" t="s">
        <v>75</v>
      </c>
      <c r="F408" s="15" t="str">
        <f>IF($C408="","",IF($E408="","-",IFERROR(INDEX(SETUP!$B$55:$B$64,MATCH($E408,SETUP!$A$55:$A$64,0)),"Other")))</f>
        <v>Support</v>
      </c>
      <c r="G408" s="70">
        <v>62324</v>
      </c>
      <c r="H408" s="15" t="str">
        <f>IF($C408="","",IF($G408="","-",INDEX(SETUP!$B$26:$B$32,MATCH($G408,SETUP!$A$26:$A$32,1))))</f>
        <v>62,000 - 62,999</v>
      </c>
      <c r="I408" s="70">
        <v>6146</v>
      </c>
      <c r="J408" s="15" t="str">
        <f>IF($C408="","",IF($I408="","-",INDEX(SETUP!$B$16:$B$22,MATCH($I408,SETUP!$A$16:$A$22,1))))</f>
        <v>VETERAN</v>
      </c>
      <c r="K408" s="15" t="str">
        <f>IF($C408="","",IF($I408="","-",TEXT(INT($I408/1000)*1000,"#,##0")&amp;" - "&amp;TEXT(INT($I408/1000)*1000+999,"#,##0")))</f>
        <v>6,000 - 6,999</v>
      </c>
      <c r="L408" s="71">
        <v>5.4</v>
      </c>
      <c r="M408" s="15" t="str">
        <f>IF($C408="","",IF($L408="","-",INDEX(SETUP!$B$36:$B$42,MATCH($L408,SETUP!$A$36:$A$42,1))))</f>
        <v>5k - 6k</v>
      </c>
      <c r="N408" s="17">
        <f>IF($C408="","",IF(OR($G408="",$I408=""),"",ROUND(100*(SETUP!$B$4*MIN(1,$I408/SETUP!$B$9)+SETUP!$B$5*MAX(0,MIN(1,($G408-SETUP!$B$10)/(SETUP!$B$11-SETUP!$B$10)))+SETUP!$B$6*MIN(1,IF($L408="",0,$L408)/SETUP!$B$12)),1)))</f>
        <v>55.1</v>
      </c>
      <c r="O408" s="15" t="str">
        <f>IF($C408="","",IF($N408="","-",INDEX(SETUP!$B$46:$B$51,MATCH($N408,SETUP!$A$46:$A$51,1))))</f>
        <v>A</v>
      </c>
      <c r="P408" s="15">
        <f>IF($C408="","",IF($I408="","",RANK($I408,$I$4:$I$1463)+COUNTIF($I$4:$I408,$I408)-1))</f>
        <v>273</v>
      </c>
      <c r="Q408" s="15">
        <f>IF($C408="","",COUNTIFS($B$4:$B$1463,$B408,$X$4:$X$1463,"&gt;"&amp;$X408)+COUNTIFS($B$4:$B408,$B408,$X$4:$X408,"="&amp;$X408))</f>
        <v>42</v>
      </c>
      <c r="R408" s="72">
        <f>IF($C408="","",IF($I408="","",ROUND(COUNTIF($I$4:$I$1463,"&lt;"&amp;$I408)/COUNT($I$4:$I$1463),3)))</f>
        <v>0.79400000000000004</v>
      </c>
      <c r="S408" s="15" t="str">
        <f>IF($C408="","",IF($G408="","Name only",IF(OR($I408="",$L408=""),"Partial","Complete")))</f>
        <v>Complete</v>
      </c>
      <c r="T408" s="41" t="str">
        <f>IF($C408="","",TRIM(IF(COUNTIF($C$4:$C$1463,$C408)&gt;1,"Dup name; ","")&amp;IF(AND($G408&lt;&gt;"",$G408&lt;55000),"Low CR - verify; ","")&amp;IF(AND($L408&lt;&gt;"",$L408&gt;15),"Secondary - verify; ","")&amp;IF($E408="","No class; ","")))</f>
        <v/>
      </c>
      <c r="U408" s="68"/>
      <c r="V408" s="68"/>
      <c r="W408" s="68"/>
      <c r="X408" s="73">
        <f t="shared" si="32"/>
        <v>6146</v>
      </c>
      <c r="Y408" s="41" t="str">
        <f t="shared" si="33"/>
        <v>SBG|42</v>
      </c>
      <c r="Z408" s="15">
        <f>IF($C408="","",IF($G408="","",RANK($G408,$G$4:$G$1463)+COUNTIF($G$4:$G408,$G408)-1))</f>
        <v>717</v>
      </c>
      <c r="AA408" s="15">
        <f>IF($C408="","",IF($N408="","",RANK($N408,$N$4:$N$1463)+COUNTIF($N$4:$N408,$N408)-1))</f>
        <v>315</v>
      </c>
      <c r="AB408" s="41" t="str">
        <f>IF($C408="","",IF($E408="","",$E408&amp;"#"&amp;(COUNTIFS($E$4:$E$1463,$E408,$X$4:$X$1463,"&gt;"&amp;$X408)+COUNTIFS($E$4:$E408,$E408,$X$4:$X408,"="&amp;$X408))))</f>
        <v>DRUID#13</v>
      </c>
      <c r="AC408" s="41" t="str">
        <f>IF($C408="","",$B408&amp;"@"&amp;(COUNTIFS($B$4:$B$1463,$B408,$C$4:$C$1463,"&lt;"&amp;$C408)+COUNTIFS($B$4:$B408,$B408,$C$4:$C408,$C408)))</f>
        <v>SBG@25</v>
      </c>
      <c r="AD408" s="41">
        <f t="shared" si="34"/>
        <v>405</v>
      </c>
      <c r="AE408" s="41" t="s">
        <v>1271</v>
      </c>
      <c r="AF408" s="73">
        <f t="shared" si="35"/>
        <v>62324</v>
      </c>
      <c r="AG408" s="74">
        <f t="shared" si="36"/>
        <v>5.4</v>
      </c>
      <c r="AH408" s="41" t="str">
        <f>IF($C408="","",$B408&amp;"|"&amp;(COUNTIFS($B$4:$B$1463,$B408,$AF$4:$AF$1463,"&gt;"&amp;$AF408)+COUNTIFS($B$4:$B408,$B408,$AF$4:$AF408,"="&amp;$AF408)))</f>
        <v>SBG|63</v>
      </c>
      <c r="AI408" s="41" t="str">
        <f>IF($C408="","",$B408&amp;"|"&amp;(COUNTIFS($B$4:$B$1463,$B408,$AG$4:$AG$1463,"&gt;"&amp;$AG408)+COUNTIFS($B$4:$B408,$B408,$AG$4:$AG408,"="&amp;$AG408)))</f>
        <v>SBG|61</v>
      </c>
    </row>
    <row r="409" spans="1:35" hidden="1">
      <c r="A409" s="69" t="s">
        <v>109</v>
      </c>
      <c r="B409" s="69" t="s">
        <v>117</v>
      </c>
      <c r="C409" s="63" t="s">
        <v>1272</v>
      </c>
      <c r="D409" s="69"/>
      <c r="E409" s="68" t="s">
        <v>75</v>
      </c>
      <c r="F409" s="19" t="str">
        <f>IF($C409="","",IF($E409="","-",IFERROR(INDEX(SETUP!$B$55:$B$64,MATCH($E409,SETUP!$A$55:$A$64,0)),"Other")))</f>
        <v>Support</v>
      </c>
      <c r="G409" s="70">
        <v>60592</v>
      </c>
      <c r="H409" s="19" t="str">
        <f>IF($C409="","",IF($G409="","-",INDEX(SETUP!$B$26:$B$32,MATCH($G409,SETUP!$A$26:$A$32,1))))</f>
        <v>60,000 - 60,999</v>
      </c>
      <c r="I409" s="70">
        <v>1256</v>
      </c>
      <c r="J409" s="19" t="str">
        <f>IF($C409="","",IF($I409="","-",INDEX(SETUP!$B$16:$B$22,MATCH($I409,SETUP!$A$16:$A$22,1))))</f>
        <v>ROOKIE</v>
      </c>
      <c r="K409" s="19" t="str">
        <f>IF($C409="","",IF($I409="","-",TEXT(INT($I409/1000)*1000,"#,##0")&amp;" - "&amp;TEXT(INT($I409/1000)*1000+999,"#,##0")))</f>
        <v>1,000 - 1,999</v>
      </c>
      <c r="L409" s="71">
        <v>3.3</v>
      </c>
      <c r="M409" s="19" t="str">
        <f>IF($C409="","",IF($L409="","-",INDEX(SETUP!$B$36:$B$42,MATCH($L409,SETUP!$A$36:$A$42,1))))</f>
        <v>3k - 4k</v>
      </c>
      <c r="N409" s="21">
        <f>IF($C409="","",IF(OR($G409="",$I409=""),"",ROUND(100*(SETUP!$B$4*MIN(1,$I409/SETUP!$B$9)+SETUP!$B$5*MAX(0,MIN(1,($G409-SETUP!$B$10)/(SETUP!$B$11-SETUP!$B$10)))+SETUP!$B$6*MIN(1,IF($L409="",0,$L409)/SETUP!$B$12)),1)))</f>
        <v>25.7</v>
      </c>
      <c r="O409" s="19" t="str">
        <f>IF($C409="","",IF($N409="","-",INDEX(SETUP!$B$46:$B$51,MATCH($N409,SETUP!$A$46:$A$51,1))))</f>
        <v>C</v>
      </c>
      <c r="P409" s="19">
        <f>IF($C409="","",IF($I409="","",RANK($I409,$I$4:$I$1463)+COUNTIF($I$4:$I409,$I409)-1))</f>
        <v>1233</v>
      </c>
      <c r="Q409" s="19">
        <f>IF($C409="","",COUNTIFS($B$4:$B$1463,$B409,$X$4:$X$1463,"&gt;"&amp;$X409)+COUNTIFS($B$4:$B409,$B409,$X$4:$X409,"="&amp;$X409))</f>
        <v>79</v>
      </c>
      <c r="R409" s="75">
        <f>IF($C409="","",IF($I409="","",ROUND(COUNTIF($I$4:$I$1463,"&lt;"&amp;$I409)/COUNT($I$4:$I$1463),3)))</f>
        <v>6.9000000000000006E-2</v>
      </c>
      <c r="S409" s="19" t="str">
        <f>IF($C409="","",IF($G409="","Name only",IF(OR($I409="",$L409=""),"Partial","Complete")))</f>
        <v>Complete</v>
      </c>
      <c r="T409" s="1" t="str">
        <f>IF($C409="","",TRIM(IF(COUNTIF($C$4:$C$1463,$C409)&gt;1,"Dup name; ","")&amp;IF(AND($G409&lt;&gt;"",$G409&lt;55000),"Low CR - verify; ","")&amp;IF(AND($L409&lt;&gt;"",$L409&gt;15),"Secondary - verify; ","")&amp;IF($E409="","No class; ","")))</f>
        <v/>
      </c>
      <c r="U409" s="68"/>
      <c r="V409" s="68"/>
      <c r="W409" s="68"/>
      <c r="X409" s="76">
        <f t="shared" si="32"/>
        <v>1256</v>
      </c>
      <c r="Y409" s="1" t="str">
        <f t="shared" si="33"/>
        <v>VENDETTA|79</v>
      </c>
      <c r="Z409" s="19">
        <f>IF($C409="","",IF($G409="","",RANK($G409,$G$4:$G$1463)+COUNTIF($G$4:$G409,$G409)-1))</f>
        <v>1196</v>
      </c>
      <c r="AA409" s="19">
        <f>IF($C409="","",IF($N409="","",RANK($N409,$N$4:$N$1463)+COUNTIF($N$4:$N409,$N409)-1))</f>
        <v>1231</v>
      </c>
      <c r="AB409" s="1" t="str">
        <f>IF($C409="","",IF($E409="","",$E409&amp;"#"&amp;(COUNTIFS($E$4:$E$1463,$E409,$X$4:$X$1463,"&gt;"&amp;$X409)+COUNTIFS($E$4:$E409,$E409,$X$4:$X409,"="&amp;$X409))))</f>
        <v>DRUID#62</v>
      </c>
      <c r="AC409" s="1" t="str">
        <f>IF($C409="","",$B409&amp;"@"&amp;(COUNTIFS($B$4:$B$1463,$B409,$C$4:$C$1463,"&lt;"&amp;$C409)+COUNTIFS($B$4:$B409,$B409,$C$4:$C409,$C409)))</f>
        <v>VENDETTA@32</v>
      </c>
      <c r="AD409" s="1">
        <f t="shared" si="34"/>
        <v>406</v>
      </c>
      <c r="AE409" s="1" t="s">
        <v>624</v>
      </c>
      <c r="AF409" s="76">
        <f t="shared" si="35"/>
        <v>60592</v>
      </c>
      <c r="AG409" s="77">
        <f t="shared" si="36"/>
        <v>3.3</v>
      </c>
      <c r="AH409" s="1" t="str">
        <f>IF($C409="","",$B409&amp;"|"&amp;(COUNTIFS($B$4:$B$1463,$B409,$AF$4:$AF$1463,"&gt;"&amp;$AF409)+COUNTIFS($B$4:$B409,$B409,$AF$4:$AF409,"="&amp;$AF409)))</f>
        <v>VENDETTA|79</v>
      </c>
      <c r="AI409" s="1" t="str">
        <f>IF($C409="","",$B409&amp;"|"&amp;(COUNTIFS($B$4:$B$1463,$B409,$AG$4:$AG$1463,"&gt;"&amp;$AG409)+COUNTIFS($B$4:$B409,$B409,$AG$4:$AG409,"="&amp;$AG409)))</f>
        <v>VENDETTA|66</v>
      </c>
    </row>
    <row r="410" spans="1:35" hidden="1">
      <c r="A410" s="69" t="s">
        <v>109</v>
      </c>
      <c r="B410" s="69" t="s">
        <v>116</v>
      </c>
      <c r="C410" s="63" t="s">
        <v>1273</v>
      </c>
      <c r="D410" s="69" t="s">
        <v>530</v>
      </c>
      <c r="E410" s="68" t="s">
        <v>79</v>
      </c>
      <c r="F410" s="15" t="str">
        <f>IF($C410="","",IF($E410="","-",IFERROR(INDEX(SETUP!$B$55:$B$64,MATCH($E410,SETUP!$A$55:$A$64,0)),"Other")))</f>
        <v>Control</v>
      </c>
      <c r="G410" s="70">
        <v>61007</v>
      </c>
      <c r="H410" s="15" t="str">
        <f>IF($C410="","",IF($G410="","-",INDEX(SETUP!$B$26:$B$32,MATCH($G410,SETUP!$A$26:$A$32,1))))</f>
        <v>61,000 - 61,999</v>
      </c>
      <c r="I410" s="70">
        <v>2098</v>
      </c>
      <c r="J410" s="15" t="str">
        <f>IF($C410="","",IF($I410="","-",INDEX(SETUP!$B$16:$B$22,MATCH($I410,SETUP!$A$16:$A$22,1))))</f>
        <v>DEVELOPING</v>
      </c>
      <c r="K410" s="15" t="str">
        <f>IF($C410="","",IF($I410="","-",TEXT(INT($I410/1000)*1000,"#,##0")&amp;" - "&amp;TEXT(INT($I410/1000)*1000+999,"#,##0")))</f>
        <v>2,000 - 2,999</v>
      </c>
      <c r="L410" s="71">
        <v>4.3</v>
      </c>
      <c r="M410" s="15" t="str">
        <f>IF($C410="","",IF($L410="","-",INDEX(SETUP!$B$36:$B$42,MATCH($L410,SETUP!$A$36:$A$42,1))))</f>
        <v>4k - 5k</v>
      </c>
      <c r="N410" s="17">
        <f>IF($C410="","",IF(OR($G410="",$I410=""),"",ROUND(100*(SETUP!$B$4*MIN(1,$I410/SETUP!$B$9)+SETUP!$B$5*MAX(0,MIN(1,($G410-SETUP!$B$10)/(SETUP!$B$11-SETUP!$B$10)))+SETUP!$B$6*MIN(1,IF($L410="",0,$L410)/SETUP!$B$12)),1)))</f>
        <v>32.1</v>
      </c>
      <c r="O410" s="15" t="str">
        <f>IF($C410="","",IF($N410="","-",INDEX(SETUP!$B$46:$B$51,MATCH($N410,SETUP!$A$46:$A$51,1))))</f>
        <v>C</v>
      </c>
      <c r="P410" s="15">
        <f>IF($C410="","",IF($I410="","",RANK($I410,$I$4:$I$1463)+COUNTIF($I$4:$I410,$I410)-1))</f>
        <v>1091</v>
      </c>
      <c r="Q410" s="15">
        <f>IF($C410="","",COUNTIFS($B$4:$B$1463,$B410,$X$4:$X$1463,"&gt;"&amp;$X410)+COUNTIFS($B$4:$B410,$B410,$X$4:$X410,"="&amp;$X410))</f>
        <v>81</v>
      </c>
      <c r="R410" s="72">
        <f>IF($C410="","",IF($I410="","",ROUND(COUNTIF($I$4:$I$1463,"&lt;"&amp;$I410)/COUNT($I$4:$I$1463),3)))</f>
        <v>0.17699999999999999</v>
      </c>
      <c r="S410" s="15" t="str">
        <f>IF($C410="","",IF($G410="","Name only",IF(OR($I410="",$L410=""),"Partial","Complete")))</f>
        <v>Complete</v>
      </c>
      <c r="T410" s="41" t="str">
        <f>IF($C410="","",TRIM(IF(COUNTIF($C$4:$C$1463,$C410)&gt;1,"Dup name; ","")&amp;IF(AND($G410&lt;&gt;"",$G410&lt;55000),"Low CR - verify; ","")&amp;IF(AND($L410&lt;&gt;"",$L410&gt;15),"Secondary - verify; ","")&amp;IF($E410="","No class; ","")))</f>
        <v/>
      </c>
      <c r="U410" s="68"/>
      <c r="V410" s="68"/>
      <c r="W410" s="68"/>
      <c r="X410" s="73">
        <f t="shared" si="32"/>
        <v>2098</v>
      </c>
      <c r="Y410" s="41" t="str">
        <f t="shared" si="33"/>
        <v>VENGEANCE|81</v>
      </c>
      <c r="Z410" s="15">
        <f>IF($C410="","",IF($G410="","",RANK($G410,$G$4:$G$1463)+COUNTIF($G$4:$G410,$G410)-1))</f>
        <v>1130</v>
      </c>
      <c r="AA410" s="15">
        <f>IF($C410="","",IF($N410="","",RANK($N410,$N$4:$N$1463)+COUNTIF($N$4:$N410,$N410)-1))</f>
        <v>1095</v>
      </c>
      <c r="AB410" s="41" t="str">
        <f>IF($C410="","",IF($E410="","",$E410&amp;"#"&amp;(COUNTIFS($E$4:$E$1463,$E410,$X$4:$X$1463,"&gt;"&amp;$X410)+COUNTIFS($E$4:$E410,$E410,$X$4:$X410,"="&amp;$X410))))</f>
        <v>WARLOCK#273</v>
      </c>
      <c r="AC410" s="41" t="str">
        <f>IF($C410="","",$B410&amp;"@"&amp;(COUNTIFS($B$4:$B$1463,$B410,$C$4:$C$1463,"&lt;"&amp;$C410)+COUNTIFS($B$4:$B410,$B410,$C$4:$C410,$C410)))</f>
        <v>VENGEANCE@30</v>
      </c>
      <c r="AD410" s="41">
        <f t="shared" si="34"/>
        <v>407</v>
      </c>
      <c r="AE410" s="41" t="s">
        <v>956</v>
      </c>
      <c r="AF410" s="73">
        <f t="shared" si="35"/>
        <v>61007</v>
      </c>
      <c r="AG410" s="74">
        <f t="shared" si="36"/>
        <v>4.3</v>
      </c>
      <c r="AH410" s="41" t="str">
        <f>IF($C410="","",$B410&amp;"|"&amp;(COUNTIFS($B$4:$B$1463,$B410,$AF$4:$AF$1463,"&gt;"&amp;$AF410)+COUNTIFS($B$4:$B410,$B410,$AF$4:$AF410,"="&amp;$AF410)))</f>
        <v>VENGEANCE|77</v>
      </c>
      <c r="AI410" s="41" t="str">
        <f>IF($C410="","",$B410&amp;"|"&amp;(COUNTIFS($B$4:$B$1463,$B410,$AG$4:$AG$1463,"&gt;"&amp;$AG410)+COUNTIFS($B$4:$B410,$B410,$AG$4:$AG410,"="&amp;$AG410)))</f>
        <v>VENGEANCE|57</v>
      </c>
    </row>
    <row r="411" spans="1:35" hidden="1">
      <c r="A411" s="69" t="s">
        <v>109</v>
      </c>
      <c r="B411" s="69" t="s">
        <v>117</v>
      </c>
      <c r="C411" s="63" t="s">
        <v>1274</v>
      </c>
      <c r="D411" s="69"/>
      <c r="E411" s="68" t="s">
        <v>75</v>
      </c>
      <c r="F411" s="19" t="str">
        <f>IF($C411="","",IF($E411="","-",IFERROR(INDEX(SETUP!$B$55:$B$64,MATCH($E411,SETUP!$A$55:$A$64,0)),"Other")))</f>
        <v>Support</v>
      </c>
      <c r="G411" s="70">
        <v>60784</v>
      </c>
      <c r="H411" s="19" t="str">
        <f>IF($C411="","",IF($G411="","-",INDEX(SETUP!$B$26:$B$32,MATCH($G411,SETUP!$A$26:$A$32,1))))</f>
        <v>60,000 - 60,999</v>
      </c>
      <c r="I411" s="70">
        <v>1390</v>
      </c>
      <c r="J411" s="19" t="str">
        <f>IF($C411="","",IF($I411="","-",INDEX(SETUP!$B$16:$B$22,MATCH($I411,SETUP!$A$16:$A$22,1))))</f>
        <v>ROOKIE</v>
      </c>
      <c r="K411" s="19" t="str">
        <f>IF($C411="","",IF($I411="","-",TEXT(INT($I411/1000)*1000,"#,##0")&amp;" - "&amp;TEXT(INT($I411/1000)*1000+999,"#,##0")))</f>
        <v>1,000 - 1,999</v>
      </c>
      <c r="L411" s="71">
        <v>4.0999999999999996</v>
      </c>
      <c r="M411" s="19" t="str">
        <f>IF($C411="","",IF($L411="","-",INDEX(SETUP!$B$36:$B$42,MATCH($L411,SETUP!$A$36:$A$42,1))))</f>
        <v>4k - 5k</v>
      </c>
      <c r="N411" s="21">
        <f>IF($C411="","",IF(OR($G411="",$I411=""),"",ROUND(100*(SETUP!$B$4*MIN(1,$I411/SETUP!$B$9)+SETUP!$B$5*MAX(0,MIN(1,($G411-SETUP!$B$10)/(SETUP!$B$11-SETUP!$B$10)))+SETUP!$B$6*MIN(1,IF($L411="",0,$L411)/SETUP!$B$12)),1)))</f>
        <v>28.1</v>
      </c>
      <c r="O411" s="19" t="str">
        <f>IF($C411="","",IF($N411="","-",INDEX(SETUP!$B$46:$B$51,MATCH($N411,SETUP!$A$46:$A$51,1))))</f>
        <v>C</v>
      </c>
      <c r="P411" s="19">
        <f>IF($C411="","",IF($I411="","",RANK($I411,$I$4:$I$1463)+COUNTIF($I$4:$I411,$I411)-1))</f>
        <v>1218</v>
      </c>
      <c r="Q411" s="19">
        <f>IF($C411="","",COUNTIFS($B$4:$B$1463,$B411,$X$4:$X$1463,"&gt;"&amp;$X411)+COUNTIFS($B$4:$B411,$B411,$X$4:$X411,"="&amp;$X411))</f>
        <v>74</v>
      </c>
      <c r="R411" s="75">
        <f>IF($C411="","",IF($I411="","",ROUND(COUNTIF($I$4:$I$1463,"&lt;"&amp;$I411)/COUNT($I$4:$I$1463),3)))</f>
        <v>8.1000000000000003E-2</v>
      </c>
      <c r="S411" s="19" t="str">
        <f>IF($C411="","",IF($G411="","Name only",IF(OR($I411="",$L411=""),"Partial","Complete")))</f>
        <v>Complete</v>
      </c>
      <c r="T411" s="1" t="str">
        <f>IF($C411="","",TRIM(IF(COUNTIF($C$4:$C$1463,$C411)&gt;1,"Dup name; ","")&amp;IF(AND($G411&lt;&gt;"",$G411&lt;55000),"Low CR - verify; ","")&amp;IF(AND($L411&lt;&gt;"",$L411&gt;15),"Secondary - verify; ","")&amp;IF($E411="","No class; ","")))</f>
        <v/>
      </c>
      <c r="U411" s="68"/>
      <c r="V411" s="68"/>
      <c r="W411" s="68"/>
      <c r="X411" s="76">
        <f t="shared" si="32"/>
        <v>1390</v>
      </c>
      <c r="Y411" s="1" t="str">
        <f t="shared" si="33"/>
        <v>VENDETTA|74</v>
      </c>
      <c r="Z411" s="19">
        <f>IF($C411="","",IF($G411="","",RANK($G411,$G$4:$G$1463)+COUNTIF($G$4:$G411,$G411)-1))</f>
        <v>1174</v>
      </c>
      <c r="AA411" s="19">
        <f>IF($C411="","",IF($N411="","",RANK($N411,$N$4:$N$1463)+COUNTIF($N$4:$N411,$N411)-1))</f>
        <v>1186</v>
      </c>
      <c r="AB411" s="1" t="str">
        <f>IF($C411="","",IF($E411="","",$E411&amp;"#"&amp;(COUNTIFS($E$4:$E$1463,$E411,$X$4:$X$1463,"&gt;"&amp;$X411)+COUNTIFS($E$4:$E411,$E411,$X$4:$X411,"="&amp;$X411))))</f>
        <v>DRUID#60</v>
      </c>
      <c r="AC411" s="1" t="str">
        <f>IF($C411="","",$B411&amp;"@"&amp;(COUNTIFS($B$4:$B$1463,$B411,$C$4:$C$1463,"&lt;"&amp;$C411)+COUNTIFS($B$4:$B411,$B411,$C$4:$C411,$C411)))</f>
        <v>VENDETTA@33</v>
      </c>
      <c r="AD411" s="1">
        <f t="shared" si="34"/>
        <v>408</v>
      </c>
      <c r="AE411" s="1" t="s">
        <v>703</v>
      </c>
      <c r="AF411" s="76">
        <f t="shared" si="35"/>
        <v>60784</v>
      </c>
      <c r="AG411" s="77">
        <f t="shared" si="36"/>
        <v>4.0999999999999996</v>
      </c>
      <c r="AH411" s="1" t="str">
        <f>IF($C411="","",$B411&amp;"|"&amp;(COUNTIFS($B$4:$B$1463,$B411,$AF$4:$AF$1463,"&gt;"&amp;$AF411)+COUNTIFS($B$4:$B411,$B411,$AF$4:$AF411,"="&amp;$AF411)))</f>
        <v>VENDETTA|73</v>
      </c>
      <c r="AI411" s="1" t="str">
        <f>IF($C411="","",$B411&amp;"|"&amp;(COUNTIFS($B$4:$B$1463,$B411,$AG$4:$AG$1463,"&gt;"&amp;$AG411)+COUNTIFS($B$4:$B411,$B411,$AG$4:$AG411,"="&amp;$AG411)))</f>
        <v>VENDETTA|34</v>
      </c>
    </row>
    <row r="412" spans="1:35" hidden="1">
      <c r="A412" s="69" t="s">
        <v>109</v>
      </c>
      <c r="B412" s="69" t="s">
        <v>117</v>
      </c>
      <c r="C412" s="63" t="s">
        <v>1275</v>
      </c>
      <c r="D412" s="69"/>
      <c r="E412" s="68" t="s">
        <v>75</v>
      </c>
      <c r="F412" s="15" t="str">
        <f>IF($C412="","",IF($E412="","-",IFERROR(INDEX(SETUP!$B$55:$B$64,MATCH($E412,SETUP!$A$55:$A$64,0)),"Other")))</f>
        <v>Support</v>
      </c>
      <c r="G412" s="70">
        <v>60840</v>
      </c>
      <c r="H412" s="15" t="str">
        <f>IF($C412="","",IF($G412="","-",INDEX(SETUP!$B$26:$B$32,MATCH($G412,SETUP!$A$26:$A$32,1))))</f>
        <v>60,000 - 60,999</v>
      </c>
      <c r="I412" s="70">
        <v>2634</v>
      </c>
      <c r="J412" s="15" t="str">
        <f>IF($C412="","",IF($I412="","-",INDEX(SETUP!$B$16:$B$22,MATCH($I412,SETUP!$A$16:$A$22,1))))</f>
        <v>DEVELOPING</v>
      </c>
      <c r="K412" s="15" t="str">
        <f>IF($C412="","",IF($I412="","-",TEXT(INT($I412/1000)*1000,"#,##0")&amp;" - "&amp;TEXT(INT($I412/1000)*1000+999,"#,##0")))</f>
        <v>2,000 - 2,999</v>
      </c>
      <c r="L412" s="71">
        <v>4.45</v>
      </c>
      <c r="M412" s="15" t="str">
        <f>IF($C412="","",IF($L412="","-",INDEX(SETUP!$B$36:$B$42,MATCH($L412,SETUP!$A$36:$A$42,1))))</f>
        <v>4k - 5k</v>
      </c>
      <c r="N412" s="17">
        <f>IF($C412="","",IF(OR($G412="",$I412=""),"",ROUND(100*(SETUP!$B$4*MIN(1,$I412/SETUP!$B$9)+SETUP!$B$5*MAX(0,MIN(1,($G412-SETUP!$B$10)/(SETUP!$B$11-SETUP!$B$10)))+SETUP!$B$6*MIN(1,IF($L412="",0,$L412)/SETUP!$B$12)),1)))</f>
        <v>34.299999999999997</v>
      </c>
      <c r="O412" s="15" t="str">
        <f>IF($C412="","",IF($N412="","-",INDEX(SETUP!$B$46:$B$51,MATCH($N412,SETUP!$A$46:$A$51,1))))</f>
        <v>C</v>
      </c>
      <c r="P412" s="15">
        <f>IF($C412="","",IF($I412="","",RANK($I412,$I$4:$I$1463)+COUNTIF($I$4:$I412,$I412)-1))</f>
        <v>969</v>
      </c>
      <c r="Q412" s="15">
        <f>IF($C412="","",COUNTIFS($B$4:$B$1463,$B412,$X$4:$X$1463,"&gt;"&amp;$X412)+COUNTIFS($B$4:$B412,$B412,$X$4:$X412,"="&amp;$X412))</f>
        <v>28</v>
      </c>
      <c r="R412" s="72">
        <f>IF($C412="","",IF($I412="","",ROUND(COUNTIF($I$4:$I$1463,"&lt;"&amp;$I412)/COUNT($I$4:$I$1463),3)))</f>
        <v>0.26800000000000002</v>
      </c>
      <c r="S412" s="15" t="str">
        <f>IF($C412="","",IF($G412="","Name only",IF(OR($I412="",$L412=""),"Partial","Complete")))</f>
        <v>Complete</v>
      </c>
      <c r="T412" s="41" t="str">
        <f>IF($C412="","",TRIM(IF(COUNTIF($C$4:$C$1463,$C412)&gt;1,"Dup name; ","")&amp;IF(AND($G412&lt;&gt;"",$G412&lt;55000),"Low CR - verify; ","")&amp;IF(AND($L412&lt;&gt;"",$L412&gt;15),"Secondary - verify; ","")&amp;IF($E412="","No class; ","")))</f>
        <v/>
      </c>
      <c r="U412" s="68"/>
      <c r="V412" s="68"/>
      <c r="W412" s="68"/>
      <c r="X412" s="73">
        <f t="shared" si="32"/>
        <v>2634</v>
      </c>
      <c r="Y412" s="41" t="str">
        <f t="shared" si="33"/>
        <v>VENDETTA|28</v>
      </c>
      <c r="Z412" s="15">
        <f>IF($C412="","",IF($G412="","",RANK($G412,$G$4:$G$1463)+COUNTIF($G$4:$G412,$G412)-1))</f>
        <v>1165</v>
      </c>
      <c r="AA412" s="15">
        <f>IF($C412="","",IF($N412="","",RANK($N412,$N$4:$N$1463)+COUNTIF($N$4:$N412,$N412)-1))</f>
        <v>1032</v>
      </c>
      <c r="AB412" s="41" t="str">
        <f>IF($C412="","",IF($E412="","",$E412&amp;"#"&amp;(COUNTIFS($E$4:$E$1463,$E412,$X$4:$X$1463,"&gt;"&amp;$X412)+COUNTIFS($E$4:$E412,$E412,$X$4:$X412,"="&amp;$X412))))</f>
        <v>DRUID#45</v>
      </c>
      <c r="AC412" s="41" t="str">
        <f>IF($C412="","",$B412&amp;"@"&amp;(COUNTIFS($B$4:$B$1463,$B412,$C$4:$C$1463,"&lt;"&amp;$C412)+COUNTIFS($B$4:$B412,$B412,$C$4:$C412,$C412)))</f>
        <v>VENDETTA@34</v>
      </c>
      <c r="AD412" s="41">
        <f t="shared" si="34"/>
        <v>409</v>
      </c>
      <c r="AE412" s="41" t="s">
        <v>1276</v>
      </c>
      <c r="AF412" s="73">
        <f t="shared" si="35"/>
        <v>60840</v>
      </c>
      <c r="AG412" s="74">
        <f t="shared" si="36"/>
        <v>4.45</v>
      </c>
      <c r="AH412" s="41" t="str">
        <f>IF($C412="","",$B412&amp;"|"&amp;(COUNTIFS($B$4:$B$1463,$B412,$AF$4:$AF$1463,"&gt;"&amp;$AF412)+COUNTIFS($B$4:$B412,$B412,$AF$4:$AF412,"="&amp;$AF412)))</f>
        <v>VENDETTA|71</v>
      </c>
      <c r="AI412" s="41" t="str">
        <f>IF($C412="","",$B412&amp;"|"&amp;(COUNTIFS($B$4:$B$1463,$B412,$AG$4:$AG$1463,"&gt;"&amp;$AG412)+COUNTIFS($B$4:$B412,$B412,$AG$4:$AG412,"="&amp;$AG412)))</f>
        <v>VENDETTA|18</v>
      </c>
    </row>
    <row r="413" spans="1:35" hidden="1">
      <c r="A413" s="69" t="s">
        <v>106</v>
      </c>
      <c r="B413" s="69" t="s">
        <v>86</v>
      </c>
      <c r="C413" s="63" t="s">
        <v>1277</v>
      </c>
      <c r="D413" s="69"/>
      <c r="E413" s="68" t="s">
        <v>79</v>
      </c>
      <c r="F413" s="19" t="str">
        <f>IF($C413="","",IF($E413="","-",IFERROR(INDEX(SETUP!$B$55:$B$64,MATCH($E413,SETUP!$A$55:$A$64,0)),"Other")))</f>
        <v>Control</v>
      </c>
      <c r="G413" s="70">
        <v>62053</v>
      </c>
      <c r="H413" s="19" t="str">
        <f>IF($C413="","",IF($G413="","-",INDEX(SETUP!$B$26:$B$32,MATCH($G413,SETUP!$A$26:$A$32,1))))</f>
        <v>62,000 - 62,999</v>
      </c>
      <c r="I413" s="70">
        <v>5544</v>
      </c>
      <c r="J413" s="19" t="str">
        <f>IF($C413="","",IF($I413="","-",INDEX(SETUP!$B$16:$B$22,MATCH($I413,SETUP!$A$16:$A$22,1))))</f>
        <v>CORE</v>
      </c>
      <c r="K413" s="19" t="str">
        <f>IF($C413="","",IF($I413="","-",TEXT(INT($I413/1000)*1000,"#,##0")&amp;" - "&amp;TEXT(INT($I413/1000)*1000+999,"#,##0")))</f>
        <v>5,000 - 5,999</v>
      </c>
      <c r="L413" s="71">
        <v>5.2</v>
      </c>
      <c r="M413" s="19" t="str">
        <f>IF($C413="","",IF($L413="","-",INDEX(SETUP!$B$36:$B$42,MATCH($L413,SETUP!$A$36:$A$42,1))))</f>
        <v>5k - 6k</v>
      </c>
      <c r="N413" s="21">
        <f>IF($C413="","",IF(OR($G413="",$I413=""),"",ROUND(100*(SETUP!$B$4*MIN(1,$I413/SETUP!$B$9)+SETUP!$B$5*MAX(0,MIN(1,($G413-SETUP!$B$10)/(SETUP!$B$11-SETUP!$B$10)))+SETUP!$B$6*MIN(1,IF($L413="",0,$L413)/SETUP!$B$12)),1)))</f>
        <v>51.4</v>
      </c>
      <c r="O413" s="19" t="str">
        <f>IF($C413="","",IF($N413="","-",INDEX(SETUP!$B$46:$B$51,MATCH($N413,SETUP!$A$46:$A$51,1))))</f>
        <v>A</v>
      </c>
      <c r="P413" s="19">
        <f>IF($C413="","",IF($I413="","",RANK($I413,$I$4:$I$1463)+COUNTIF($I$4:$I413,$I413)-1))</f>
        <v>331</v>
      </c>
      <c r="Q413" s="19">
        <f>IF($C413="","",COUNTIFS($B$4:$B$1463,$B413,$X$4:$X$1463,"&gt;"&amp;$X413)+COUNTIFS($B$4:$B413,$B413,$X$4:$X413,"="&amp;$X413))</f>
        <v>61</v>
      </c>
      <c r="R413" s="75">
        <f>IF($C413="","",IF($I413="","",ROUND(COUNTIF($I$4:$I$1463,"&lt;"&amp;$I413)/COUNT($I$4:$I$1463),3)))</f>
        <v>0.75</v>
      </c>
      <c r="S413" s="19" t="str">
        <f>IF($C413="","",IF($G413="","Name only",IF(OR($I413="",$L413=""),"Partial","Complete")))</f>
        <v>Complete</v>
      </c>
      <c r="T413" s="1" t="str">
        <f>IF($C413="","",TRIM(IF(COUNTIF($C$4:$C$1463,$C413)&gt;1,"Dup name; ","")&amp;IF(AND($G413&lt;&gt;"",$G413&lt;55000),"Low CR - verify; ","")&amp;IF(AND($L413&lt;&gt;"",$L413&gt;15),"Secondary - verify; ","")&amp;IF($E413="","No class; ","")))</f>
        <v/>
      </c>
      <c r="U413" s="68"/>
      <c r="V413" s="68"/>
      <c r="W413" s="68"/>
      <c r="X413" s="76">
        <f t="shared" si="32"/>
        <v>5544</v>
      </c>
      <c r="Y413" s="1" t="str">
        <f t="shared" si="33"/>
        <v>VANGUARD|61</v>
      </c>
      <c r="Z413" s="19">
        <f>IF($C413="","",IF($G413="","",RANK($G413,$G$4:$G$1463)+COUNTIF($G$4:$G413,$G413)-1))</f>
        <v>814</v>
      </c>
      <c r="AA413" s="19">
        <f>IF($C413="","",IF($N413="","",RANK($N413,$N$4:$N$1463)+COUNTIF($N$4:$N413,$N413)-1))</f>
        <v>407</v>
      </c>
      <c r="AB413" s="1" t="str">
        <f>IF($C413="","",IF($E413="","",$E413&amp;"#"&amp;(COUNTIFS($E$4:$E$1463,$E413,$X$4:$X$1463,"&gt;"&amp;$X413)+COUNTIFS($E$4:$E413,$E413,$X$4:$X413,"="&amp;$X413))))</f>
        <v>WARLOCK#73</v>
      </c>
      <c r="AC413" s="1" t="str">
        <f>IF($C413="","",$B413&amp;"@"&amp;(COUNTIFS($B$4:$B$1463,$B413,$C$4:$C$1463,"&lt;"&amp;$C413)+COUNTIFS($B$4:$B413,$B413,$C$4:$C413,$C413)))</f>
        <v>VANGUARD@38</v>
      </c>
      <c r="AD413" s="1">
        <f t="shared" si="34"/>
        <v>410</v>
      </c>
      <c r="AE413" s="1" t="s">
        <v>1060</v>
      </c>
      <c r="AF413" s="76">
        <f t="shared" si="35"/>
        <v>62053</v>
      </c>
      <c r="AG413" s="77">
        <f t="shared" si="36"/>
        <v>5.2</v>
      </c>
      <c r="AH413" s="1" t="str">
        <f>IF($C413="","",$B413&amp;"|"&amp;(COUNTIFS($B$4:$B$1463,$B413,$AF$4:$AF$1463,"&gt;"&amp;$AF413)+COUNTIFS($B$4:$B413,$B413,$AF$4:$AF413,"="&amp;$AF413)))</f>
        <v>VANGUARD|84</v>
      </c>
      <c r="AI413" s="1" t="str">
        <f>IF($C413="","",$B413&amp;"|"&amp;(COUNTIFS($B$4:$B$1463,$B413,$AG$4:$AG$1463,"&gt;"&amp;$AG413)+COUNTIFS($B$4:$B413,$B413,$AG$4:$AG413,"="&amp;$AG413)))</f>
        <v>VANGUARD|61</v>
      </c>
    </row>
    <row r="414" spans="1:35" hidden="1">
      <c r="A414" s="69" t="s">
        <v>109</v>
      </c>
      <c r="B414" s="69" t="s">
        <v>113</v>
      </c>
      <c r="C414" s="63" t="s">
        <v>1278</v>
      </c>
      <c r="D414" s="69" t="s">
        <v>548</v>
      </c>
      <c r="E414" s="68" t="s">
        <v>78</v>
      </c>
      <c r="F414" s="15" t="str">
        <f>IF($C414="","",IF($E414="","-",IFERROR(INDEX(SETUP!$B$55:$B$64,MATCH($E414,SETUP!$A$55:$A$64,0)),"Other")))</f>
        <v>Melee DPS</v>
      </c>
      <c r="G414" s="70">
        <v>61537</v>
      </c>
      <c r="H414" s="15" t="str">
        <f>IF($C414="","",IF($G414="","-",INDEX(SETUP!$B$26:$B$32,MATCH($G414,SETUP!$A$26:$A$32,1))))</f>
        <v>61,000 - 61,999</v>
      </c>
      <c r="I414" s="70">
        <v>2023</v>
      </c>
      <c r="J414" s="15" t="str">
        <f>IF($C414="","",IF($I414="","-",INDEX(SETUP!$B$16:$B$22,MATCH($I414,SETUP!$A$16:$A$22,1))))</f>
        <v>DEVELOPING</v>
      </c>
      <c r="K414" s="15" t="str">
        <f>IF($C414="","",IF($I414="","-",TEXT(INT($I414/1000)*1000,"#,##0")&amp;" - "&amp;TEXT(INT($I414/1000)*1000+999,"#,##0")))</f>
        <v>2,000 - 2,999</v>
      </c>
      <c r="L414" s="71">
        <v>3.3</v>
      </c>
      <c r="M414" s="15" t="str">
        <f>IF($C414="","",IF($L414="","-",INDEX(SETUP!$B$36:$B$42,MATCH($L414,SETUP!$A$36:$A$42,1))))</f>
        <v>3k - 4k</v>
      </c>
      <c r="N414" s="17">
        <f>IF($C414="","",IF(OR($G414="",$I414=""),"",ROUND(100*(SETUP!$B$4*MIN(1,$I414/SETUP!$B$9)+SETUP!$B$5*MAX(0,MIN(1,($G414-SETUP!$B$10)/(SETUP!$B$11-SETUP!$B$10)))+SETUP!$B$6*MIN(1,IF($L414="",0,$L414)/SETUP!$B$12)),1)))</f>
        <v>31.5</v>
      </c>
      <c r="O414" s="15" t="str">
        <f>IF($C414="","",IF($N414="","-",INDEX(SETUP!$B$46:$B$51,MATCH($N414,SETUP!$A$46:$A$51,1))))</f>
        <v>C</v>
      </c>
      <c r="P414" s="15">
        <f>IF($C414="","",IF($I414="","",RANK($I414,$I$4:$I$1463)+COUNTIF($I$4:$I414,$I414)-1))</f>
        <v>1111</v>
      </c>
      <c r="Q414" s="15">
        <f>IF($C414="","",COUNTIFS($B$4:$B$1463,$B414,$X$4:$X$1463,"&gt;"&amp;$X414)+COUNTIFS($B$4:$B414,$B414,$X$4:$X414,"="&amp;$X414))</f>
        <v>81</v>
      </c>
      <c r="R414" s="72">
        <f>IF($C414="","",IF($I414="","",ROUND(COUNTIF($I$4:$I$1463,"&lt;"&amp;$I414)/COUNT($I$4:$I$1463),3)))</f>
        <v>0.16200000000000001</v>
      </c>
      <c r="S414" s="15" t="str">
        <f>IF($C414="","",IF($G414="","Name only",IF(OR($I414="",$L414=""),"Partial","Complete")))</f>
        <v>Complete</v>
      </c>
      <c r="T414" s="41" t="str">
        <f>IF($C414="","",TRIM(IF(COUNTIF($C$4:$C$1463,$C414)&gt;1,"Dup name; ","")&amp;IF(AND($G414&lt;&gt;"",$G414&lt;55000),"Low CR - verify; ","")&amp;IF(AND($L414&lt;&gt;"",$L414&gt;15),"Secondary - verify; ","")&amp;IF($E414="","No class; ","")))</f>
        <v/>
      </c>
      <c r="U414" s="68"/>
      <c r="V414" s="68"/>
      <c r="W414" s="68"/>
      <c r="X414" s="73">
        <f t="shared" si="32"/>
        <v>2023</v>
      </c>
      <c r="Y414" s="41" t="str">
        <f t="shared" si="33"/>
        <v>INVICTUS|81</v>
      </c>
      <c r="Z414" s="15">
        <f>IF($C414="","",IF($G414="","",RANK($G414,$G$4:$G$1463)+COUNTIF($G$4:$G414,$G414)-1))</f>
        <v>995</v>
      </c>
      <c r="AA414" s="15">
        <f>IF($C414="","",IF($N414="","",RANK($N414,$N$4:$N$1463)+COUNTIF($N$4:$N414,$N414)-1))</f>
        <v>1109</v>
      </c>
      <c r="AB414" s="41" t="str">
        <f>IF($C414="","",IF($E414="","",$E414&amp;"#"&amp;(COUNTIFS($E$4:$E$1463,$E414,$X$4:$X$1463,"&gt;"&amp;$X414)+COUNTIFS($E$4:$E414,$E414,$X$4:$X414,"="&amp;$X414))))</f>
        <v>TEMPEST#51</v>
      </c>
      <c r="AC414" s="41" t="str">
        <f>IF($C414="","",$B414&amp;"@"&amp;(COUNTIFS($B$4:$B$1463,$B414,$C$4:$C$1463,"&lt;"&amp;$C414)+COUNTIFS($B$4:$B414,$B414,$C$4:$C414,$C414)))</f>
        <v>INVICTUS@22</v>
      </c>
      <c r="AD414" s="41">
        <f t="shared" si="34"/>
        <v>411</v>
      </c>
      <c r="AE414" s="41" t="s">
        <v>624</v>
      </c>
      <c r="AF414" s="73">
        <f t="shared" si="35"/>
        <v>61537</v>
      </c>
      <c r="AG414" s="74">
        <f t="shared" si="36"/>
        <v>3.3</v>
      </c>
      <c r="AH414" s="41" t="str">
        <f>IF($C414="","",$B414&amp;"|"&amp;(COUNTIFS($B$4:$B$1463,$B414,$AF$4:$AF$1463,"&gt;"&amp;$AF414)+COUNTIFS($B$4:$B414,$B414,$AF$4:$AF414,"="&amp;$AF414)))</f>
        <v>INVICTUS|69</v>
      </c>
      <c r="AI414" s="41" t="str">
        <f>IF($C414="","",$B414&amp;"|"&amp;(COUNTIFS($B$4:$B$1463,$B414,$AG$4:$AG$1463,"&gt;"&amp;$AG414)+COUNTIFS($B$4:$B414,$B414,$AG$4:$AG414,"="&amp;$AG414)))</f>
        <v>INVICTUS|85</v>
      </c>
    </row>
    <row r="415" spans="1:35" hidden="1">
      <c r="A415" s="69" t="s">
        <v>109</v>
      </c>
      <c r="B415" s="69" t="s">
        <v>111</v>
      </c>
      <c r="C415" s="63" t="s">
        <v>1279</v>
      </c>
      <c r="D415" s="69" t="s">
        <v>527</v>
      </c>
      <c r="E415" s="68" t="s">
        <v>79</v>
      </c>
      <c r="F415" s="19" t="str">
        <f>IF($C415="","",IF($E415="","-",IFERROR(INDEX(SETUP!$B$55:$B$64,MATCH($E415,SETUP!$A$55:$A$64,0)),"Other")))</f>
        <v>Control</v>
      </c>
      <c r="G415" s="70">
        <v>63688</v>
      </c>
      <c r="H415" s="19" t="str">
        <f>IF($C415="","",IF($G415="","-",INDEX(SETUP!$B$26:$B$32,MATCH($G415,SETUP!$A$26:$A$32,1))))</f>
        <v>63,000 - 63,999</v>
      </c>
      <c r="I415" s="70">
        <v>8970</v>
      </c>
      <c r="J415" s="19" t="str">
        <f>IF($C415="","",IF($I415="","-",INDEX(SETUP!$B$16:$B$22,MATCH($I415,SETUP!$A$16:$A$22,1))))</f>
        <v>ELITE</v>
      </c>
      <c r="K415" s="19" t="str">
        <f>IF($C415="","",IF($I415="","-",TEXT(INT($I415/1000)*1000,"#,##0")&amp;" - "&amp;TEXT(INT($I415/1000)*1000+999,"#,##0")))</f>
        <v>8,000 - 8,999</v>
      </c>
      <c r="L415" s="71">
        <v>8.25</v>
      </c>
      <c r="M415" s="19" t="str">
        <f>IF($C415="","",IF($L415="","-",INDEX(SETUP!$B$36:$B$42,MATCH($L415,SETUP!$A$36:$A$42,1))))</f>
        <v>8k - 10k</v>
      </c>
      <c r="N415" s="21">
        <f>IF($C415="","",IF(OR($G415="",$I415=""),"",ROUND(100*(SETUP!$B$4*MIN(1,$I415/SETUP!$B$9)+SETUP!$B$5*MAX(0,MIN(1,($G415-SETUP!$B$10)/(SETUP!$B$11-SETUP!$B$10)))+SETUP!$B$6*MIN(1,IF($L415="",0,$L415)/SETUP!$B$12)),1)))</f>
        <v>75.8</v>
      </c>
      <c r="O415" s="19" t="str">
        <f>IF($C415="","",IF($N415="","-",INDEX(SETUP!$B$46:$B$51,MATCH($N415,SETUP!$A$46:$A$51,1))))</f>
        <v>S</v>
      </c>
      <c r="P415" s="19">
        <f>IF($C415="","",IF($I415="","",RANK($I415,$I$4:$I$1463)+COUNTIF($I$4:$I415,$I415)-1))</f>
        <v>98</v>
      </c>
      <c r="Q415" s="19">
        <f>IF($C415="","",COUNTIFS($B$4:$B$1463,$B415,$X$4:$X$1463,"&gt;"&amp;$X415)+COUNTIFS($B$4:$B415,$B415,$X$4:$X415,"="&amp;$X415))</f>
        <v>15</v>
      </c>
      <c r="R415" s="75">
        <f>IF($C415="","",IF($I415="","",ROUND(COUNTIF($I$4:$I$1463,"&lt;"&amp;$I415)/COUNT($I$4:$I$1463),3)))</f>
        <v>0.92600000000000005</v>
      </c>
      <c r="S415" s="19" t="str">
        <f>IF($C415="","",IF($G415="","Name only",IF(OR($I415="",$L415=""),"Partial","Complete")))</f>
        <v>Complete</v>
      </c>
      <c r="T415" s="1" t="str">
        <f>IF($C415="","",TRIM(IF(COUNTIF($C$4:$C$1463,$C415)&gt;1,"Dup name; ","")&amp;IF(AND($G415&lt;&gt;"",$G415&lt;55000),"Low CR - verify; ","")&amp;IF(AND($L415&lt;&gt;"",$L415&gt;15),"Secondary - verify; ","")&amp;IF($E415="","No class; ","")))</f>
        <v/>
      </c>
      <c r="U415" s="68"/>
      <c r="V415" s="68"/>
      <c r="W415" s="68"/>
      <c r="X415" s="76">
        <f t="shared" si="32"/>
        <v>8970</v>
      </c>
      <c r="Y415" s="1" t="str">
        <f t="shared" si="33"/>
        <v>RECKONING|15</v>
      </c>
      <c r="Z415" s="19">
        <f>IF($C415="","",IF($G415="","",RANK($G415,$G$4:$G$1463)+COUNTIF($G$4:$G415,$G415)-1))</f>
        <v>141</v>
      </c>
      <c r="AA415" s="19">
        <f>IF($C415="","",IF($N415="","",RANK($N415,$N$4:$N$1463)+COUNTIF($N$4:$N415,$N415)-1))</f>
        <v>83</v>
      </c>
      <c r="AB415" s="1" t="str">
        <f>IF($C415="","",IF($E415="","",$E415&amp;"#"&amp;(COUNTIFS($E$4:$E$1463,$E415,$X$4:$X$1463,"&gt;"&amp;$X415)+COUNTIFS($E$4:$E415,$E415,$X$4:$X415,"="&amp;$X415))))</f>
        <v>WARLOCK#20</v>
      </c>
      <c r="AC415" s="1" t="str">
        <f>IF($C415="","",$B415&amp;"@"&amp;(COUNTIFS($B$4:$B$1463,$B415,$C$4:$C$1463,"&lt;"&amp;$C415)+COUNTIFS($B$4:$B415,$B415,$C$4:$C415,$C415)))</f>
        <v>RECKONING@27</v>
      </c>
      <c r="AD415" s="1">
        <f t="shared" si="34"/>
        <v>412</v>
      </c>
      <c r="AE415" s="1" t="s">
        <v>1280</v>
      </c>
      <c r="AF415" s="76">
        <f t="shared" si="35"/>
        <v>63688</v>
      </c>
      <c r="AG415" s="77">
        <f t="shared" si="36"/>
        <v>8.25</v>
      </c>
      <c r="AH415" s="1" t="str">
        <f>IF($C415="","",$B415&amp;"|"&amp;(COUNTIFS($B$4:$B$1463,$B415,$AF$4:$AF$1463,"&gt;"&amp;$AF415)+COUNTIFS($B$4:$B415,$B415,$AF$4:$AF415,"="&amp;$AF415)))</f>
        <v>RECKONING|17</v>
      </c>
      <c r="AI415" s="1" t="str">
        <f>IF($C415="","",$B415&amp;"|"&amp;(COUNTIFS($B$4:$B$1463,$B415,$AG$4:$AG$1463,"&gt;"&amp;$AG415)+COUNTIFS($B$4:$B415,$B415,$AG$4:$AG415,"="&amp;$AG415)))</f>
        <v>RECKONING|9</v>
      </c>
    </row>
    <row r="416" spans="1:35" hidden="1">
      <c r="A416" s="69" t="s">
        <v>106</v>
      </c>
      <c r="B416" s="69" t="s">
        <v>86</v>
      </c>
      <c r="C416" s="63" t="s">
        <v>1281</v>
      </c>
      <c r="D416" s="69"/>
      <c r="E416" s="68" t="s">
        <v>74</v>
      </c>
      <c r="F416" s="15" t="str">
        <f>IF($C416="","",IF($E416="","-",IFERROR(INDEX(SETUP!$B$55:$B$64,MATCH($E416,SETUP!$A$55:$A$64,0)),"Other")))</f>
        <v>Ranged DPS</v>
      </c>
      <c r="G416" s="70">
        <v>63038</v>
      </c>
      <c r="H416" s="15" t="str">
        <f>IF($C416="","",IF($G416="","-",INDEX(SETUP!$B$26:$B$32,MATCH($G416,SETUP!$A$26:$A$32,1))))</f>
        <v>63,000 - 63,999</v>
      </c>
      <c r="I416" s="70">
        <v>3532</v>
      </c>
      <c r="J416" s="15" t="str">
        <f>IF($C416="","",IF($I416="","-",INDEX(SETUP!$B$16:$B$22,MATCH($I416,SETUP!$A$16:$A$22,1))))</f>
        <v>DEVELOPING</v>
      </c>
      <c r="K416" s="15" t="str">
        <f>IF($C416="","",IF($I416="","-",TEXT(INT($I416/1000)*1000,"#,##0")&amp;" - "&amp;TEXT(INT($I416/1000)*1000+999,"#,##0")))</f>
        <v>3,000 - 3,999</v>
      </c>
      <c r="L416" s="71">
        <v>4.5999999999999996</v>
      </c>
      <c r="M416" s="15" t="str">
        <f>IF($C416="","",IF($L416="","-",INDEX(SETUP!$B$36:$B$42,MATCH($L416,SETUP!$A$36:$A$42,1))))</f>
        <v>4k - 5k</v>
      </c>
      <c r="N416" s="17">
        <f>IF($C416="","",IF(OR($G416="",$I416=""),"",ROUND(100*(SETUP!$B$4*MIN(1,$I416/SETUP!$B$9)+SETUP!$B$5*MAX(0,MIN(1,($G416-SETUP!$B$10)/(SETUP!$B$11-SETUP!$B$10)))+SETUP!$B$6*MIN(1,IF($L416="",0,$L416)/SETUP!$B$12)),1)))</f>
        <v>44.2</v>
      </c>
      <c r="O416" s="15" t="str">
        <f>IF($C416="","",IF($N416="","-",INDEX(SETUP!$B$46:$B$51,MATCH($N416,SETUP!$A$46:$A$51,1))))</f>
        <v>B</v>
      </c>
      <c r="P416" s="15">
        <f>IF($C416="","",IF($I416="","",RANK($I416,$I$4:$I$1463)+COUNTIF($I$4:$I416,$I416)-1))</f>
        <v>719</v>
      </c>
      <c r="Q416" s="15">
        <f>IF($C416="","",COUNTIFS($B$4:$B$1463,$B416,$X$4:$X$1463,"&gt;"&amp;$X416)+COUNTIFS($B$4:$B416,$B416,$X$4:$X416,"="&amp;$X416))</f>
        <v>85</v>
      </c>
      <c r="R416" s="72">
        <f>IF($C416="","",IF($I416="","",ROUND(COUNTIF($I$4:$I$1463,"&lt;"&amp;$I416)/COUNT($I$4:$I$1463),3)))</f>
        <v>0.45700000000000002</v>
      </c>
      <c r="S416" s="15" t="str">
        <f>IF($C416="","",IF($G416="","Name only",IF(OR($I416="",$L416=""),"Partial","Complete")))</f>
        <v>Complete</v>
      </c>
      <c r="T416" s="41" t="str">
        <f>IF($C416="","",TRIM(IF(COUNTIF($C$4:$C$1463,$C416)&gt;1,"Dup name; ","")&amp;IF(AND($G416&lt;&gt;"",$G416&lt;55000),"Low CR - verify; ","")&amp;IF(AND($L416&lt;&gt;"",$L416&gt;15),"Secondary - verify; ","")&amp;IF($E416="","No class; ","")))</f>
        <v/>
      </c>
      <c r="U416" s="68"/>
      <c r="V416" s="68"/>
      <c r="W416" s="68"/>
      <c r="X416" s="73">
        <f t="shared" si="32"/>
        <v>3532</v>
      </c>
      <c r="Y416" s="41" t="str">
        <f t="shared" si="33"/>
        <v>VANGUARD|85</v>
      </c>
      <c r="Z416" s="15">
        <f>IF($C416="","",IF($G416="","",RANK($G416,$G$4:$G$1463)+COUNTIF($G$4:$G416,$G416)-1))</f>
        <v>406</v>
      </c>
      <c r="AA416" s="15">
        <f>IF($C416="","",IF($N416="","",RANK($N416,$N$4:$N$1463)+COUNTIF($N$4:$N416,$N416)-1))</f>
        <v>653</v>
      </c>
      <c r="AB416" s="41" t="str">
        <f>IF($C416="","",IF($E416="","",$E416&amp;"#"&amp;(COUNTIFS($E$4:$E$1463,$E416,$X$4:$X$1463,"&gt;"&amp;$X416)+COUNTIFS($E$4:$E416,$E416,$X$4:$X416,"="&amp;$X416))))</f>
        <v>DEMON HUNTER#117</v>
      </c>
      <c r="AC416" s="41" t="str">
        <f>IF($C416="","",$B416&amp;"@"&amp;(COUNTIFS($B$4:$B$1463,$B416,$C$4:$C$1463,"&lt;"&amp;$C416)+COUNTIFS($B$4:$B416,$B416,$C$4:$C416,$C416)))</f>
        <v>VANGUARD@36</v>
      </c>
      <c r="AD416" s="41">
        <f t="shared" si="34"/>
        <v>413</v>
      </c>
      <c r="AE416" s="41" t="s">
        <v>553</v>
      </c>
      <c r="AF416" s="73">
        <f t="shared" si="35"/>
        <v>63038</v>
      </c>
      <c r="AG416" s="74">
        <f t="shared" si="36"/>
        <v>4.5999999999999996</v>
      </c>
      <c r="AH416" s="41" t="str">
        <f>IF($C416="","",$B416&amp;"|"&amp;(COUNTIFS($B$4:$B$1463,$B416,$AF$4:$AF$1463,"&gt;"&amp;$AF416)+COUNTIFS($B$4:$B416,$B416,$AF$4:$AF416,"="&amp;$AF416)))</f>
        <v>VANGUARD|63</v>
      </c>
      <c r="AI416" s="41" t="str">
        <f>IF($C416="","",$B416&amp;"|"&amp;(COUNTIFS($B$4:$B$1463,$B416,$AG$4:$AG$1463,"&gt;"&amp;$AG416)+COUNTIFS($B$4:$B416,$B416,$AG$4:$AG416,"="&amp;$AG416)))</f>
        <v>VANGUARD|78</v>
      </c>
    </row>
    <row r="417" spans="1:35" hidden="1">
      <c r="A417" s="69" t="s">
        <v>109</v>
      </c>
      <c r="B417" s="69" t="s">
        <v>111</v>
      </c>
      <c r="C417" s="63" t="s">
        <v>1282</v>
      </c>
      <c r="D417" s="69" t="s">
        <v>527</v>
      </c>
      <c r="E417" s="68" t="s">
        <v>74</v>
      </c>
      <c r="F417" s="19" t="str">
        <f>IF($C417="","",IF($E417="","-",IFERROR(INDEX(SETUP!$B$55:$B$64,MATCH($E417,SETUP!$A$55:$A$64,0)),"Other")))</f>
        <v>Ranged DPS</v>
      </c>
      <c r="G417" s="70">
        <v>63612</v>
      </c>
      <c r="H417" s="19" t="str">
        <f>IF($C417="","",IF($G417="","-",INDEX(SETUP!$B$26:$B$32,MATCH($G417,SETUP!$A$26:$A$32,1))))</f>
        <v>63,000 - 63,999</v>
      </c>
      <c r="I417" s="70">
        <v>9229</v>
      </c>
      <c r="J417" s="19" t="str">
        <f>IF($C417="","",IF($I417="","-",INDEX(SETUP!$B$16:$B$22,MATCH($I417,SETUP!$A$16:$A$22,1))))</f>
        <v>ELITE</v>
      </c>
      <c r="K417" s="19" t="str">
        <f>IF($C417="","",IF($I417="","-",TEXT(INT($I417/1000)*1000,"#,##0")&amp;" - "&amp;TEXT(INT($I417/1000)*1000+999,"#,##0")))</f>
        <v>9,000 - 9,999</v>
      </c>
      <c r="L417" s="71">
        <v>9.0500000000000007</v>
      </c>
      <c r="M417" s="19" t="str">
        <f>IF($C417="","",IF($L417="","-",INDEX(SETUP!$B$36:$B$42,MATCH($L417,SETUP!$A$36:$A$42,1))))</f>
        <v>8k - 10k</v>
      </c>
      <c r="N417" s="21">
        <f>IF($C417="","",IF(OR($G417="",$I417=""),"",ROUND(100*(SETUP!$B$4*MIN(1,$I417/SETUP!$B$9)+SETUP!$B$5*MAX(0,MIN(1,($G417-SETUP!$B$10)/(SETUP!$B$11-SETUP!$B$10)))+SETUP!$B$6*MIN(1,IF($L417="",0,$L417)/SETUP!$B$12)),1)))</f>
        <v>78</v>
      </c>
      <c r="O417" s="19" t="str">
        <f>IF($C417="","",IF($N417="","-",INDEX(SETUP!$B$46:$B$51,MATCH($N417,SETUP!$A$46:$A$51,1))))</f>
        <v>S</v>
      </c>
      <c r="P417" s="19">
        <f>IF($C417="","",IF($I417="","",RANK($I417,$I$4:$I$1463)+COUNTIF($I$4:$I417,$I417)-1))</f>
        <v>84</v>
      </c>
      <c r="Q417" s="19">
        <f>IF($C417="","",COUNTIFS($B$4:$B$1463,$B417,$X$4:$X$1463,"&gt;"&amp;$X417)+COUNTIFS($B$4:$B417,$B417,$X$4:$X417,"="&amp;$X417))</f>
        <v>13</v>
      </c>
      <c r="R417" s="75">
        <f>IF($C417="","",IF($I417="","",ROUND(COUNTIF($I$4:$I$1463,"&lt;"&amp;$I417)/COUNT($I$4:$I$1463),3)))</f>
        <v>0.93700000000000006</v>
      </c>
      <c r="S417" s="19" t="str">
        <f>IF($C417="","",IF($G417="","Name only",IF(OR($I417="",$L417=""),"Partial","Complete")))</f>
        <v>Complete</v>
      </c>
      <c r="T417" s="1" t="str">
        <f>IF($C417="","",TRIM(IF(COUNTIF($C$4:$C$1463,$C417)&gt;1,"Dup name; ","")&amp;IF(AND($G417&lt;&gt;"",$G417&lt;55000),"Low CR - verify; ","")&amp;IF(AND($L417&lt;&gt;"",$L417&gt;15),"Secondary - verify; ","")&amp;IF($E417="","No class; ","")))</f>
        <v/>
      </c>
      <c r="U417" s="68"/>
      <c r="V417" s="68"/>
      <c r="W417" s="68"/>
      <c r="X417" s="76">
        <f t="shared" si="32"/>
        <v>9229</v>
      </c>
      <c r="Y417" s="1" t="str">
        <f t="shared" si="33"/>
        <v>RECKONING|13</v>
      </c>
      <c r="Z417" s="19">
        <f>IF($C417="","",IF($G417="","",RANK($G417,$G$4:$G$1463)+COUNTIF($G$4:$G417,$G417)-1))</f>
        <v>163</v>
      </c>
      <c r="AA417" s="19">
        <f>IF($C417="","",IF($N417="","",RANK($N417,$N$4:$N$1463)+COUNTIF($N$4:$N417,$N417)-1))</f>
        <v>68</v>
      </c>
      <c r="AB417" s="1" t="str">
        <f>IF($C417="","",IF($E417="","",$E417&amp;"#"&amp;(COUNTIFS($E$4:$E$1463,$E417,$X$4:$X$1463,"&gt;"&amp;$X417)+COUNTIFS($E$4:$E417,$E417,$X$4:$X417,"="&amp;$X417))))</f>
        <v>DEMON HUNTER#14</v>
      </c>
      <c r="AC417" s="1" t="str">
        <f>IF($C417="","",$B417&amp;"@"&amp;(COUNTIFS($B$4:$B$1463,$B417,$C$4:$C$1463,"&lt;"&amp;$C417)+COUNTIFS($B$4:$B417,$B417,$C$4:$C417,$C417)))</f>
        <v>RECKONING@28</v>
      </c>
      <c r="AD417" s="1">
        <f t="shared" si="34"/>
        <v>414</v>
      </c>
      <c r="AE417" s="1" t="s">
        <v>1283</v>
      </c>
      <c r="AF417" s="76">
        <f t="shared" si="35"/>
        <v>63612</v>
      </c>
      <c r="AG417" s="77">
        <f t="shared" si="36"/>
        <v>9.0500000000000007</v>
      </c>
      <c r="AH417" s="1" t="str">
        <f>IF($C417="","",$B417&amp;"|"&amp;(COUNTIFS($B$4:$B$1463,$B417,$AF$4:$AF$1463,"&gt;"&amp;$AF417)+COUNTIFS($B$4:$B417,$B417,$AF$4:$AF417,"="&amp;$AF417)))</f>
        <v>RECKONING|19</v>
      </c>
      <c r="AI417" s="1" t="str">
        <f>IF($C417="","",$B417&amp;"|"&amp;(COUNTIFS($B$4:$B$1463,$B417,$AG$4:$AG$1463,"&gt;"&amp;$AG417)+COUNTIFS($B$4:$B417,$B417,$AG$4:$AG417,"="&amp;$AG417)))</f>
        <v>RECKONING|5</v>
      </c>
    </row>
    <row r="418" spans="1:35" hidden="1">
      <c r="A418" s="69" t="s">
        <v>109</v>
      </c>
      <c r="B418" s="69" t="s">
        <v>108</v>
      </c>
      <c r="C418" s="63" t="s">
        <v>1284</v>
      </c>
      <c r="D418" s="69"/>
      <c r="E418" s="68" t="s">
        <v>80</v>
      </c>
      <c r="F418" s="15" t="str">
        <f>IF($C418="","",IF($E418="","-",IFERROR(INDEX(SETUP!$B$55:$B$64,MATCH($E418,SETUP!$A$55:$A$64,0)),"Other")))</f>
        <v>Ranged DPS</v>
      </c>
      <c r="G418" s="70">
        <v>64339</v>
      </c>
      <c r="H418" s="15" t="str">
        <f>IF($C418="","",IF($G418="","-",INDEX(SETUP!$B$26:$B$32,MATCH($G418,SETUP!$A$26:$A$32,1))))</f>
        <v>64,000 +</v>
      </c>
      <c r="I418" s="70">
        <v>11185</v>
      </c>
      <c r="J418" s="15" t="str">
        <f>IF($C418="","",IF($I418="","-",INDEX(SETUP!$B$16:$B$22,MATCH($I418,SETUP!$A$16:$A$22,1))))</f>
        <v>APEX</v>
      </c>
      <c r="K418" s="15" t="str">
        <f>IF($C418="","",IF($I418="","-",TEXT(INT($I418/1000)*1000,"#,##0")&amp;" - "&amp;TEXT(INT($I418/1000)*1000+999,"#,##0")))</f>
        <v>11,000 - 11,999</v>
      </c>
      <c r="L418" s="71">
        <v>10.5</v>
      </c>
      <c r="M418" s="15" t="str">
        <f>IF($C418="","",IF($L418="","-",INDEX(SETUP!$B$36:$B$42,MATCH($L418,SETUP!$A$36:$A$42,1))))</f>
        <v>10k +</v>
      </c>
      <c r="N418" s="17">
        <f>IF($C418="","",IF(OR($G418="",$I418=""),"",ROUND(100*(SETUP!$B$4*MIN(1,$I418/SETUP!$B$9)+SETUP!$B$5*MAX(0,MIN(1,($G418-SETUP!$B$10)/(SETUP!$B$11-SETUP!$B$10)))+SETUP!$B$6*MIN(1,IF($L418="",0,$L418)/SETUP!$B$12)),1)))</f>
        <v>90.9</v>
      </c>
      <c r="O418" s="15" t="str">
        <f>IF($C418="","",IF($N418="","-",INDEX(SETUP!$B$46:$B$51,MATCH($N418,SETUP!$A$46:$A$51,1))))</f>
        <v>S+</v>
      </c>
      <c r="P418" s="15">
        <f>IF($C418="","",IF($I418="","",RANK($I418,$I$4:$I$1463)+COUNTIF($I$4:$I418,$I418)-1))</f>
        <v>12</v>
      </c>
      <c r="Q418" s="15">
        <f>IF($C418="","",COUNTIFS($B$4:$B$1463,$B418,$X$4:$X$1463,"&gt;"&amp;$X418)+COUNTIFS($B$4:$B418,$B418,$X$4:$X418,"="&amp;$X418))</f>
        <v>4</v>
      </c>
      <c r="R418" s="72">
        <f>IF($C418="","",IF($I418="","",ROUND(COUNTIF($I$4:$I$1463,"&lt;"&amp;$I418)/COUNT($I$4:$I$1463),3)))</f>
        <v>0.99099999999999999</v>
      </c>
      <c r="S418" s="15" t="str">
        <f>IF($C418="","",IF($G418="","Name only",IF(OR($I418="",$L418=""),"Partial","Complete")))</f>
        <v>Complete</v>
      </c>
      <c r="T418" s="41" t="str">
        <f>IF($C418="","",TRIM(IF(COUNTIF($C$4:$C$1463,$C418)&gt;1,"Dup name; ","")&amp;IF(AND($G418&lt;&gt;"",$G418&lt;55000),"Low CR - verify; ","")&amp;IF(AND($L418&lt;&gt;"",$L418&gt;15),"Secondary - verify; ","")&amp;IF($E418="","No class; ","")))</f>
        <v/>
      </c>
      <c r="U418" s="68"/>
      <c r="V418" s="68"/>
      <c r="W418" s="68"/>
      <c r="X418" s="73">
        <f t="shared" si="32"/>
        <v>11185</v>
      </c>
      <c r="Y418" s="41" t="str">
        <f t="shared" si="33"/>
        <v>SBG|4</v>
      </c>
      <c r="Z418" s="15">
        <f>IF($C418="","",IF($G418="","",RANK($G418,$G$4:$G$1463)+COUNTIF($G$4:$G418,$G418)-1))</f>
        <v>19</v>
      </c>
      <c r="AA418" s="15">
        <f>IF($C418="","",IF($N418="","",RANK($N418,$N$4:$N$1463)+COUNTIF($N$4:$N418,$N418)-1))</f>
        <v>8</v>
      </c>
      <c r="AB418" s="41" t="str">
        <f>IF($C418="","",IF($E418="","",$E418&amp;"#"&amp;(COUNTIFS($E$4:$E$1463,$E418,$X$4:$X$1463,"&gt;"&amp;$X418)+COUNTIFS($E$4:$E418,$E418,$X$4:$X418,"="&amp;$X418))))</f>
        <v>WIZARD#2</v>
      </c>
      <c r="AC418" s="41" t="str">
        <f>IF($C418="","",$B418&amp;"@"&amp;(COUNTIFS($B$4:$B$1463,$B418,$C$4:$C$1463,"&lt;"&amp;$C418)+COUNTIFS($B$4:$B418,$B418,$C$4:$C418,$C418)))</f>
        <v>SBG@26</v>
      </c>
      <c r="AD418" s="41">
        <f t="shared" si="34"/>
        <v>415</v>
      </c>
      <c r="AE418" s="41" t="s">
        <v>1285</v>
      </c>
      <c r="AF418" s="73">
        <f t="shared" si="35"/>
        <v>64339</v>
      </c>
      <c r="AG418" s="74">
        <f t="shared" si="36"/>
        <v>10.5</v>
      </c>
      <c r="AH418" s="41" t="str">
        <f>IF($C418="","",$B418&amp;"|"&amp;(COUNTIFS($B$4:$B$1463,$B418,$AF$4:$AF$1463,"&gt;"&amp;$AF418)+COUNTIFS($B$4:$B418,$B418,$AF$4:$AF418,"="&amp;$AF418)))</f>
        <v>SBG|3</v>
      </c>
      <c r="AI418" s="41" t="str">
        <f>IF($C418="","",$B418&amp;"|"&amp;(COUNTIFS($B$4:$B$1463,$B418,$AG$4:$AG$1463,"&gt;"&amp;$AG418)+COUNTIFS($B$4:$B418,$B418,$AG$4:$AG418,"="&amp;$AG418)))</f>
        <v>SBG|3</v>
      </c>
    </row>
    <row r="419" spans="1:35" hidden="1">
      <c r="A419" s="69" t="s">
        <v>109</v>
      </c>
      <c r="B419" s="69" t="s">
        <v>118</v>
      </c>
      <c r="C419" s="63" t="s">
        <v>1286</v>
      </c>
      <c r="D419" s="69"/>
      <c r="E419" s="68" t="s">
        <v>79</v>
      </c>
      <c r="F419" s="19" t="str">
        <f>IF($C419="","",IF($E419="","-",IFERROR(INDEX(SETUP!$B$55:$B$64,MATCH($E419,SETUP!$A$55:$A$64,0)),"Other")))</f>
        <v>Control</v>
      </c>
      <c r="G419" s="70">
        <v>60623</v>
      </c>
      <c r="H419" s="19" t="str">
        <f>IF($C419="","",IF($G419="","-",INDEX(SETUP!$B$26:$B$32,MATCH($G419,SETUP!$A$26:$A$32,1))))</f>
        <v>60,000 - 60,999</v>
      </c>
      <c r="I419" s="70">
        <v>540</v>
      </c>
      <c r="J419" s="19" t="str">
        <f>IF($C419="","",IF($I419="","-",INDEX(SETUP!$B$16:$B$22,MATCH($I419,SETUP!$A$16:$A$22,1))))</f>
        <v>ROOKIE</v>
      </c>
      <c r="K419" s="19" t="str">
        <f>IF($C419="","",IF($I419="","-",TEXT(INT($I419/1000)*1000,"#,##0")&amp;" - "&amp;TEXT(INT($I419/1000)*1000+999,"#,##0")))</f>
        <v>0 - 999</v>
      </c>
      <c r="L419" s="71">
        <v>2.7</v>
      </c>
      <c r="M419" s="19" t="str">
        <f>IF($C419="","",IF($L419="","-",INDEX(SETUP!$B$36:$B$42,MATCH($L419,SETUP!$A$36:$A$42,1))))</f>
        <v>Under 3k</v>
      </c>
      <c r="N419" s="21">
        <f>IF($C419="","",IF(OR($G419="",$I419=""),"",ROUND(100*(SETUP!$B$4*MIN(1,$I419/SETUP!$B$9)+SETUP!$B$5*MAX(0,MIN(1,($G419-SETUP!$B$10)/(SETUP!$B$11-SETUP!$B$10)))+SETUP!$B$6*MIN(1,IF($L419="",0,$L419)/SETUP!$B$12)),1)))</f>
        <v>21.7</v>
      </c>
      <c r="O419" s="19" t="str">
        <f>IF($C419="","",IF($N419="","-",INDEX(SETUP!$B$46:$B$51,MATCH($N419,SETUP!$A$46:$A$51,1))))</f>
        <v>C</v>
      </c>
      <c r="P419" s="19">
        <f>IF($C419="","",IF($I419="","",RANK($I419,$I$4:$I$1463)+COUNTIF($I$4:$I419,$I419)-1))</f>
        <v>1315</v>
      </c>
      <c r="Q419" s="19">
        <f>IF($C419="","",COUNTIFS($B$4:$B$1463,$B419,$X$4:$X$1463,"&gt;"&amp;$X419)+COUNTIFS($B$4:$B419,$B419,$X$4:$X419,"="&amp;$X419))</f>
        <v>96</v>
      </c>
      <c r="R419" s="75">
        <f>IF($C419="","",IF($I419="","",ROUND(COUNTIF($I$4:$I$1463,"&lt;"&amp;$I419)/COUNT($I$4:$I$1463),3)))</f>
        <v>7.0000000000000001E-3</v>
      </c>
      <c r="S419" s="19" t="str">
        <f>IF($C419="","",IF($G419="","Name only",IF(OR($I419="",$L419=""),"Partial","Complete")))</f>
        <v>Complete</v>
      </c>
      <c r="T419" s="1" t="str">
        <f>IF($C419="","",TRIM(IF(COUNTIF($C$4:$C$1463,$C419)&gt;1,"Dup name; ","")&amp;IF(AND($G419&lt;&gt;"",$G419&lt;55000),"Low CR - verify; ","")&amp;IF(AND($L419&lt;&gt;"",$L419&gt;15),"Secondary - verify; ","")&amp;IF($E419="","No class; ","")))</f>
        <v/>
      </c>
      <c r="U419" s="68"/>
      <c r="V419" s="68"/>
      <c r="W419" s="68"/>
      <c r="X419" s="76">
        <f t="shared" si="32"/>
        <v>540</v>
      </c>
      <c r="Y419" s="1" t="str">
        <f t="shared" si="33"/>
        <v>ZOMBIES|96</v>
      </c>
      <c r="Z419" s="19">
        <f>IF($C419="","",IF($G419="","",RANK($G419,$G$4:$G$1463)+COUNTIF($G$4:$G419,$G419)-1))</f>
        <v>1192</v>
      </c>
      <c r="AA419" s="19">
        <f>IF($C419="","",IF($N419="","",RANK($N419,$N$4:$N$1463)+COUNTIF($N$4:$N419,$N419)-1))</f>
        <v>1281</v>
      </c>
      <c r="AB419" s="1" t="str">
        <f>IF($C419="","",IF($E419="","",$E419&amp;"#"&amp;(COUNTIFS($E$4:$E$1463,$E419,$X$4:$X$1463,"&gt;"&amp;$X419)+COUNTIFS($E$4:$E419,$E419,$X$4:$X419,"="&amp;$X419))))</f>
        <v>WARLOCK#321</v>
      </c>
      <c r="AC419" s="1" t="str">
        <f>IF($C419="","",$B419&amp;"@"&amp;(COUNTIFS($B$4:$B$1463,$B419,$C$4:$C$1463,"&lt;"&amp;$C419)+COUNTIFS($B$4:$B419,$B419,$C$4:$C419,$C419)))</f>
        <v>ZOMBIES@33</v>
      </c>
      <c r="AD419" s="1">
        <f t="shared" si="34"/>
        <v>416</v>
      </c>
      <c r="AE419" s="1" t="s">
        <v>570</v>
      </c>
      <c r="AF419" s="76">
        <f t="shared" si="35"/>
        <v>60623</v>
      </c>
      <c r="AG419" s="77">
        <f t="shared" si="36"/>
        <v>2.7</v>
      </c>
      <c r="AH419" s="1" t="str">
        <f>IF($C419="","",$B419&amp;"|"&amp;(COUNTIFS($B$4:$B$1463,$B419,$AF$4:$AF$1463,"&gt;"&amp;$AF419)+COUNTIFS($B$4:$B419,$B419,$AF$4:$AF419,"="&amp;$AF419)))</f>
        <v>ZOMBIES|66</v>
      </c>
      <c r="AI419" s="1" t="str">
        <f>IF($C419="","",$B419&amp;"|"&amp;(COUNTIFS($B$4:$B$1463,$B419,$AG$4:$AG$1463,"&gt;"&amp;$AG419)+COUNTIFS($B$4:$B419,$B419,$AG$4:$AG419,"="&amp;$AG419)))</f>
        <v>ZOMBIES|88</v>
      </c>
    </row>
    <row r="420" spans="1:35" hidden="1">
      <c r="A420" s="69" t="s">
        <v>106</v>
      </c>
      <c r="B420" s="69" t="s">
        <v>105</v>
      </c>
      <c r="C420" s="63" t="s">
        <v>1287</v>
      </c>
      <c r="D420" s="69"/>
      <c r="E420" s="68" t="s">
        <v>72</v>
      </c>
      <c r="F420" s="15" t="str">
        <f>IF($C420="","",IF($E420="","-",IFERROR(INDEX(SETUP!$B$55:$B$64,MATCH($E420,SETUP!$A$55:$A$64,0)),"Other")))</f>
        <v>Frontline</v>
      </c>
      <c r="G420" s="70">
        <v>63386</v>
      </c>
      <c r="H420" s="15" t="str">
        <f>IF($C420="","",IF($G420="","-",INDEX(SETUP!$B$26:$B$32,MATCH($G420,SETUP!$A$26:$A$32,1))))</f>
        <v>63,000 - 63,999</v>
      </c>
      <c r="I420" s="70">
        <v>5701</v>
      </c>
      <c r="J420" s="15" t="str">
        <f>IF($C420="","",IF($I420="","-",INDEX(SETUP!$B$16:$B$22,MATCH($I420,SETUP!$A$16:$A$22,1))))</f>
        <v>CORE</v>
      </c>
      <c r="K420" s="15" t="str">
        <f>IF($C420="","",IF($I420="","-",TEXT(INT($I420/1000)*1000,"#,##0")&amp;" - "&amp;TEXT(INT($I420/1000)*1000+999,"#,##0")))</f>
        <v>5,000 - 5,999</v>
      </c>
      <c r="L420" s="71">
        <v>5.3</v>
      </c>
      <c r="M420" s="15" t="str">
        <f>IF($C420="","",IF($L420="","-",INDEX(SETUP!$B$36:$B$42,MATCH($L420,SETUP!$A$36:$A$42,1))))</f>
        <v>5k - 6k</v>
      </c>
      <c r="N420" s="17">
        <f>IF($C420="","",IF(OR($G420="",$I420=""),"",ROUND(100*(SETUP!$B$4*MIN(1,$I420/SETUP!$B$9)+SETUP!$B$5*MAX(0,MIN(1,($G420-SETUP!$B$10)/(SETUP!$B$11-SETUP!$B$10)))+SETUP!$B$6*MIN(1,IF($L420="",0,$L420)/SETUP!$B$12)),1)))</f>
        <v>55.8</v>
      </c>
      <c r="O420" s="15" t="str">
        <f>IF($C420="","",IF($N420="","-",INDEX(SETUP!$B$46:$B$51,MATCH($N420,SETUP!$A$46:$A$51,1))))</f>
        <v>A</v>
      </c>
      <c r="P420" s="15">
        <f>IF($C420="","",IF($I420="","",RANK($I420,$I$4:$I$1463)+COUNTIF($I$4:$I420,$I420)-1))</f>
        <v>311</v>
      </c>
      <c r="Q420" s="15">
        <f>IF($C420="","",COUNTIFS($B$4:$B$1463,$B420,$X$4:$X$1463,"&gt;"&amp;$X420)+COUNTIFS($B$4:$B420,$B420,$X$4:$X420,"="&amp;$X420))</f>
        <v>35</v>
      </c>
      <c r="R420" s="72">
        <f>IF($C420="","",IF($I420="","",ROUND(COUNTIF($I$4:$I$1463,"&lt;"&amp;$I420)/COUNT($I$4:$I$1463),3)))</f>
        <v>0.76500000000000001</v>
      </c>
      <c r="S420" s="15" t="str">
        <f>IF($C420="","",IF($G420="","Name only",IF(OR($I420="",$L420=""),"Partial","Complete")))</f>
        <v>Complete</v>
      </c>
      <c r="T420" s="41" t="str">
        <f>IF($C420="","",TRIM(IF(COUNTIF($C$4:$C$1463,$C420)&gt;1,"Dup name; ","")&amp;IF(AND($G420&lt;&gt;"",$G420&lt;55000),"Low CR - verify; ","")&amp;IF(AND($L420&lt;&gt;"",$L420&gt;15),"Secondary - verify; ","")&amp;IF($E420="","No class; ","")))</f>
        <v/>
      </c>
      <c r="U420" s="68"/>
      <c r="V420" s="68"/>
      <c r="W420" s="68"/>
      <c r="X420" s="73">
        <f t="shared" si="32"/>
        <v>5701</v>
      </c>
      <c r="Y420" s="41" t="str">
        <f t="shared" si="33"/>
        <v>LEGENDS|35</v>
      </c>
      <c r="Z420" s="15">
        <f>IF($C420="","",IF($G420="","",RANK($G420,$G$4:$G$1463)+COUNTIF($G$4:$G420,$G420)-1))</f>
        <v>227</v>
      </c>
      <c r="AA420" s="15">
        <f>IF($C420="","",IF($N420="","",RANK($N420,$N$4:$N$1463)+COUNTIF($N$4:$N420,$N420)-1))</f>
        <v>296</v>
      </c>
      <c r="AB420" s="41" t="str">
        <f>IF($C420="","",IF($E420="","",$E420&amp;"#"&amp;(COUNTIFS($E$4:$E$1463,$E420,$X$4:$X$1463,"&gt;"&amp;$X420)+COUNTIFS($E$4:$E420,$E420,$X$4:$X420,"="&amp;$X420))))</f>
        <v>BLOOD KNIGHT#20</v>
      </c>
      <c r="AC420" s="41" t="str">
        <f>IF($C420="","",$B420&amp;"@"&amp;(COUNTIFS($B$4:$B$1463,$B420,$C$4:$C$1463,"&lt;"&amp;$C420)+COUNTIFS($B$4:$B420,$B420,$C$4:$C420,$C420)))</f>
        <v>LEGENDS@41</v>
      </c>
      <c r="AD420" s="41">
        <f t="shared" si="34"/>
        <v>417</v>
      </c>
      <c r="AE420" s="41" t="s">
        <v>1288</v>
      </c>
      <c r="AF420" s="73">
        <f t="shared" si="35"/>
        <v>63386</v>
      </c>
      <c r="AG420" s="74">
        <f t="shared" si="36"/>
        <v>5.3</v>
      </c>
      <c r="AH420" s="41" t="str">
        <f>IF($C420="","",$B420&amp;"|"&amp;(COUNTIFS($B$4:$B$1463,$B420,$AF$4:$AF$1463,"&gt;"&amp;$AF420)+COUNTIFS($B$4:$B420,$B420,$AF$4:$AF420,"="&amp;$AF420)))</f>
        <v>LEGENDS|29</v>
      </c>
      <c r="AI420" s="41" t="str">
        <f>IF($C420="","",$B420&amp;"|"&amp;(COUNTIFS($B$4:$B$1463,$B420,$AG$4:$AG$1463,"&gt;"&amp;$AG420)+COUNTIFS($B$4:$B420,$B420,$AG$4:$AG420,"="&amp;$AG420)))</f>
        <v>LEGENDS|50</v>
      </c>
    </row>
    <row r="421" spans="1:35" hidden="1">
      <c r="A421" s="69" t="s">
        <v>109</v>
      </c>
      <c r="B421" s="69" t="s">
        <v>113</v>
      </c>
      <c r="C421" s="63" t="s">
        <v>1289</v>
      </c>
      <c r="D421" s="69" t="s">
        <v>548</v>
      </c>
      <c r="E421" s="68" t="s">
        <v>79</v>
      </c>
      <c r="F421" s="19" t="str">
        <f>IF($C421="","",IF($E421="","-",IFERROR(INDEX(SETUP!$B$55:$B$64,MATCH($E421,SETUP!$A$55:$A$64,0)),"Other")))</f>
        <v>Control</v>
      </c>
      <c r="G421" s="70">
        <v>61581</v>
      </c>
      <c r="H421" s="19" t="str">
        <f>IF($C421="","",IF($G421="","-",INDEX(SETUP!$B$26:$B$32,MATCH($G421,SETUP!$A$26:$A$32,1))))</f>
        <v>61,000 - 61,999</v>
      </c>
      <c r="I421" s="70">
        <v>2770</v>
      </c>
      <c r="J421" s="19" t="str">
        <f>IF($C421="","",IF($I421="","-",INDEX(SETUP!$B$16:$B$22,MATCH($I421,SETUP!$A$16:$A$22,1))))</f>
        <v>DEVELOPING</v>
      </c>
      <c r="K421" s="19" t="str">
        <f>IF($C421="","",IF($I421="","-",TEXT(INT($I421/1000)*1000,"#,##0")&amp;" - "&amp;TEXT(INT($I421/1000)*1000+999,"#,##0")))</f>
        <v>2,000 - 2,999</v>
      </c>
      <c r="L421" s="71">
        <v>3.6</v>
      </c>
      <c r="M421" s="19" t="str">
        <f>IF($C421="","",IF($L421="","-",INDEX(SETUP!$B$36:$B$42,MATCH($L421,SETUP!$A$36:$A$42,1))))</f>
        <v>3k - 4k</v>
      </c>
      <c r="N421" s="21">
        <f>IF($C421="","",IF(OR($G421="",$I421=""),"",ROUND(100*(SETUP!$B$4*MIN(1,$I421/SETUP!$B$9)+SETUP!$B$5*MAX(0,MIN(1,($G421-SETUP!$B$10)/(SETUP!$B$11-SETUP!$B$10)))+SETUP!$B$6*MIN(1,IF($L421="",0,$L421)/SETUP!$B$12)),1)))</f>
        <v>35.4</v>
      </c>
      <c r="O421" s="19" t="str">
        <f>IF($C421="","",IF($N421="","-",INDEX(SETUP!$B$46:$B$51,MATCH($N421,SETUP!$A$46:$A$51,1))))</f>
        <v>B</v>
      </c>
      <c r="P421" s="19">
        <f>IF($C421="","",IF($I421="","",RANK($I421,$I$4:$I$1463)+COUNTIF($I$4:$I421,$I421)-1))</f>
        <v>938</v>
      </c>
      <c r="Q421" s="19">
        <f>IF($C421="","",COUNTIFS($B$4:$B$1463,$B421,$X$4:$X$1463,"&gt;"&amp;$X421)+COUNTIFS($B$4:$B421,$B421,$X$4:$X421,"="&amp;$X421))</f>
        <v>60</v>
      </c>
      <c r="R421" s="75">
        <f>IF($C421="","",IF($I421="","",ROUND(COUNTIF($I$4:$I$1463,"&lt;"&amp;$I421)/COUNT($I$4:$I$1463),3)))</f>
        <v>0.29099999999999998</v>
      </c>
      <c r="S421" s="19" t="str">
        <f>IF($C421="","",IF($G421="","Name only",IF(OR($I421="",$L421=""),"Partial","Complete")))</f>
        <v>Complete</v>
      </c>
      <c r="T421" s="1" t="str">
        <f>IF($C421="","",TRIM(IF(COUNTIF($C$4:$C$1463,$C421)&gt;1,"Dup name; ","")&amp;IF(AND($G421&lt;&gt;"",$G421&lt;55000),"Low CR - verify; ","")&amp;IF(AND($L421&lt;&gt;"",$L421&gt;15),"Secondary - verify; ","")&amp;IF($E421="","No class; ","")))</f>
        <v/>
      </c>
      <c r="U421" s="68"/>
      <c r="V421" s="68"/>
      <c r="W421" s="68"/>
      <c r="X421" s="76">
        <f t="shared" si="32"/>
        <v>2770</v>
      </c>
      <c r="Y421" s="1" t="str">
        <f t="shared" si="33"/>
        <v>INVICTUS|60</v>
      </c>
      <c r="Z421" s="19">
        <f>IF($C421="","",IF($G421="","",RANK($G421,$G$4:$G$1463)+COUNTIF($G$4:$G421,$G421)-1))</f>
        <v>984</v>
      </c>
      <c r="AA421" s="19">
        <f>IF($C421="","",IF($N421="","",RANK($N421,$N$4:$N$1463)+COUNTIF($N$4:$N421,$N421)-1))</f>
        <v>992</v>
      </c>
      <c r="AB421" s="1" t="str">
        <f>IF($C421="","",IF($E421="","",$E421&amp;"#"&amp;(COUNTIFS($E$4:$E$1463,$E421,$X$4:$X$1463,"&gt;"&amp;$X421)+COUNTIFS($E$4:$E421,$E421,$X$4:$X421,"="&amp;$X421))))</f>
        <v>WARLOCK#232</v>
      </c>
      <c r="AC421" s="1" t="str">
        <f>IF($C421="","",$B421&amp;"@"&amp;(COUNTIFS($B$4:$B$1463,$B421,$C$4:$C$1463,"&lt;"&amp;$C421)+COUNTIFS($B$4:$B421,$B421,$C$4:$C421,$C421)))</f>
        <v>INVICTUS@23</v>
      </c>
      <c r="AD421" s="1">
        <f t="shared" si="34"/>
        <v>418</v>
      </c>
      <c r="AE421" s="1" t="s">
        <v>1290</v>
      </c>
      <c r="AF421" s="76">
        <f t="shared" si="35"/>
        <v>61581</v>
      </c>
      <c r="AG421" s="77">
        <f t="shared" si="36"/>
        <v>3.6</v>
      </c>
      <c r="AH421" s="1" t="str">
        <f>IF($C421="","",$B421&amp;"|"&amp;(COUNTIFS($B$4:$B$1463,$B421,$AF$4:$AF$1463,"&gt;"&amp;$AF421)+COUNTIFS($B$4:$B421,$B421,$AF$4:$AF421,"="&amp;$AF421)))</f>
        <v>INVICTUS|68</v>
      </c>
      <c r="AI421" s="1" t="str">
        <f>IF($C421="","",$B421&amp;"|"&amp;(COUNTIFS($B$4:$B$1463,$B421,$AG$4:$AG$1463,"&gt;"&amp;$AG421)+COUNTIFS($B$4:$B421,$B421,$AG$4:$AG421,"="&amp;$AG421)))</f>
        <v>INVICTUS|73</v>
      </c>
    </row>
    <row r="422" spans="1:35" hidden="1">
      <c r="A422" s="69" t="s">
        <v>109</v>
      </c>
      <c r="B422" s="69" t="s">
        <v>115</v>
      </c>
      <c r="C422" s="63" t="s">
        <v>1291</v>
      </c>
      <c r="D422" s="69"/>
      <c r="E422" s="68" t="s">
        <v>79</v>
      </c>
      <c r="F422" s="15" t="str">
        <f>IF($C422="","",IF($E422="","-",IFERROR(INDEX(SETUP!$B$55:$B$64,MATCH($E422,SETUP!$A$55:$A$64,0)),"Other")))</f>
        <v>Control</v>
      </c>
      <c r="G422" s="70">
        <v>61013</v>
      </c>
      <c r="H422" s="15" t="str">
        <f>IF($C422="","",IF($G422="","-",INDEX(SETUP!$B$26:$B$32,MATCH($G422,SETUP!$A$26:$A$32,1))))</f>
        <v>61,000 - 61,999</v>
      </c>
      <c r="I422" s="70">
        <v>1126</v>
      </c>
      <c r="J422" s="15" t="str">
        <f>IF($C422="","",IF($I422="","-",INDEX(SETUP!$B$16:$B$22,MATCH($I422,SETUP!$A$16:$A$22,1))))</f>
        <v>ROOKIE</v>
      </c>
      <c r="K422" s="15" t="str">
        <f>IF($C422="","",IF($I422="","-",TEXT(INT($I422/1000)*1000,"#,##0")&amp;" - "&amp;TEXT(INT($I422/1000)*1000+999,"#,##0")))</f>
        <v>1,000 - 1,999</v>
      </c>
      <c r="L422" s="71">
        <v>3.3</v>
      </c>
      <c r="M422" s="15" t="str">
        <f>IF($C422="","",IF($L422="","-",INDEX(SETUP!$B$36:$B$42,MATCH($L422,SETUP!$A$36:$A$42,1))))</f>
        <v>3k - 4k</v>
      </c>
      <c r="N422" s="17">
        <f>IF($C422="","",IF(OR($G422="",$I422=""),"",ROUND(100*(SETUP!$B$4*MIN(1,$I422/SETUP!$B$9)+SETUP!$B$5*MAX(0,MIN(1,($G422-SETUP!$B$10)/(SETUP!$B$11-SETUP!$B$10)))+SETUP!$B$6*MIN(1,IF($L422="",0,$L422)/SETUP!$B$12)),1)))</f>
        <v>26.2</v>
      </c>
      <c r="O422" s="15" t="str">
        <f>IF($C422="","",IF($N422="","-",INDEX(SETUP!$B$46:$B$51,MATCH($N422,SETUP!$A$46:$A$51,1))))</f>
        <v>C</v>
      </c>
      <c r="P422" s="15">
        <f>IF($C422="","",IF($I422="","",RANK($I422,$I$4:$I$1463)+COUNTIF($I$4:$I422,$I422)-1))</f>
        <v>1252</v>
      </c>
      <c r="Q422" s="15">
        <f>IF($C422="","",COUNTIFS($B$4:$B$1463,$B422,$X$4:$X$1463,"&gt;"&amp;$X422)+COUNTIFS($B$4:$B422,$B422,$X$4:$X422,"="&amp;$X422))</f>
        <v>58</v>
      </c>
      <c r="R422" s="72">
        <f>IF($C422="","",IF($I422="","",ROUND(COUNTIF($I$4:$I$1463,"&lt;"&amp;$I422)/COUNT($I$4:$I$1463),3)))</f>
        <v>5.5E-2</v>
      </c>
      <c r="S422" s="15" t="str">
        <f>IF($C422="","",IF($G422="","Name only",IF(OR($I422="",$L422=""),"Partial","Complete")))</f>
        <v>Complete</v>
      </c>
      <c r="T422" s="41" t="str">
        <f>IF($C422="","",TRIM(IF(COUNTIF($C$4:$C$1463,$C422)&gt;1,"Dup name; ","")&amp;IF(AND($G422&lt;&gt;"",$G422&lt;55000),"Low CR - verify; ","")&amp;IF(AND($L422&lt;&gt;"",$L422&gt;15),"Secondary - verify; ","")&amp;IF($E422="","No class; ","")))</f>
        <v/>
      </c>
      <c r="U422" s="68"/>
      <c r="V422" s="68"/>
      <c r="W422" s="68"/>
      <c r="X422" s="73">
        <f t="shared" si="32"/>
        <v>1126</v>
      </c>
      <c r="Y422" s="41" t="str">
        <f t="shared" si="33"/>
        <v>SUB ROSA|58</v>
      </c>
      <c r="Z422" s="15">
        <f>IF($C422="","",IF($G422="","",RANK($G422,$G$4:$G$1463)+COUNTIF($G$4:$G422,$G422)-1))</f>
        <v>1128</v>
      </c>
      <c r="AA422" s="15">
        <f>IF($C422="","",IF($N422="","",RANK($N422,$N$4:$N$1463)+COUNTIF($N$4:$N422,$N422)-1))</f>
        <v>1223</v>
      </c>
      <c r="AB422" s="41" t="str">
        <f>IF($C422="","",IF($E422="","",$E422&amp;"#"&amp;(COUNTIFS($E$4:$E$1463,$E422,$X$4:$X$1463,"&gt;"&amp;$X422)+COUNTIFS($E$4:$E422,$E422,$X$4:$X422,"="&amp;$X422))))</f>
        <v>WARLOCK#307</v>
      </c>
      <c r="AC422" s="41" t="str">
        <f>IF($C422="","",$B422&amp;"@"&amp;(COUNTIFS($B$4:$B$1463,$B422,$C$4:$C$1463,"&lt;"&amp;$C422)+COUNTIFS($B$4:$B422,$B422,$C$4:$C422,$C422)))</f>
        <v>SUB ROSA@25</v>
      </c>
      <c r="AD422" s="41">
        <f t="shared" si="34"/>
        <v>419</v>
      </c>
      <c r="AE422" s="41" t="s">
        <v>858</v>
      </c>
      <c r="AF422" s="73">
        <f t="shared" si="35"/>
        <v>61013</v>
      </c>
      <c r="AG422" s="74">
        <f t="shared" si="36"/>
        <v>3.3</v>
      </c>
      <c r="AH422" s="41" t="str">
        <f>IF($C422="","",$B422&amp;"|"&amp;(COUNTIFS($B$4:$B$1463,$B422,$AF$4:$AF$1463,"&gt;"&amp;$AF422)+COUNTIFS($B$4:$B422,$B422,$AF$4:$AF422,"="&amp;$AF422)))</f>
        <v>SUB ROSA|54</v>
      </c>
      <c r="AI422" s="41" t="str">
        <f>IF($C422="","",$B422&amp;"|"&amp;(COUNTIFS($B$4:$B$1463,$B422,$AG$4:$AG$1463,"&gt;"&amp;$AG422)+COUNTIFS($B$4:$B422,$B422,$AG$4:$AG422,"="&amp;$AG422)))</f>
        <v>SUB ROSA|46</v>
      </c>
    </row>
    <row r="423" spans="1:35" hidden="1">
      <c r="A423" s="69" t="s">
        <v>106</v>
      </c>
      <c r="B423" s="69" t="s">
        <v>107</v>
      </c>
      <c r="C423" s="63" t="s">
        <v>1292</v>
      </c>
      <c r="D423" s="69"/>
      <c r="E423" s="68" t="s">
        <v>77</v>
      </c>
      <c r="F423" s="19" t="str">
        <f>IF($C423="","",IF($E423="","-",IFERROR(INDEX(SETUP!$B$55:$B$64,MATCH($E423,SETUP!$A$55:$A$64,0)),"Other")))</f>
        <v>Control</v>
      </c>
      <c r="G423" s="70">
        <v>62638</v>
      </c>
      <c r="H423" s="19" t="str">
        <f>IF($C423="","",IF($G423="","-",INDEX(SETUP!$B$26:$B$32,MATCH($G423,SETUP!$A$26:$A$32,1))))</f>
        <v>62,000 - 62,999</v>
      </c>
      <c r="I423" s="70">
        <v>3611</v>
      </c>
      <c r="J423" s="19" t="str">
        <f>IF($C423="","",IF($I423="","-",INDEX(SETUP!$B$16:$B$22,MATCH($I423,SETUP!$A$16:$A$22,1))))</f>
        <v>DEVELOPING</v>
      </c>
      <c r="K423" s="19" t="str">
        <f>IF($C423="","",IF($I423="","-",TEXT(INT($I423/1000)*1000,"#,##0")&amp;" - "&amp;TEXT(INT($I423/1000)*1000+999,"#,##0")))</f>
        <v>3,000 - 3,999</v>
      </c>
      <c r="L423" s="71">
        <v>4.2</v>
      </c>
      <c r="M423" s="19" t="str">
        <f>IF($C423="","",IF($L423="","-",INDEX(SETUP!$B$36:$B$42,MATCH($L423,SETUP!$A$36:$A$42,1))))</f>
        <v>4k - 5k</v>
      </c>
      <c r="N423" s="21">
        <f>IF($C423="","",IF(OR($G423="",$I423=""),"",ROUND(100*(SETUP!$B$4*MIN(1,$I423/SETUP!$B$9)+SETUP!$B$5*MAX(0,MIN(1,($G423-SETUP!$B$10)/(SETUP!$B$11-SETUP!$B$10)))+SETUP!$B$6*MIN(1,IF($L423="",0,$L423)/SETUP!$B$12)),1)))</f>
        <v>42.9</v>
      </c>
      <c r="O423" s="19" t="str">
        <f>IF($C423="","",IF($N423="","-",INDEX(SETUP!$B$46:$B$51,MATCH($N423,SETUP!$A$46:$A$51,1))))</f>
        <v>B</v>
      </c>
      <c r="P423" s="19">
        <f>IF($C423="","",IF($I423="","",RANK($I423,$I$4:$I$1463)+COUNTIF($I$4:$I423,$I423)-1))</f>
        <v>697</v>
      </c>
      <c r="Q423" s="19">
        <f>IF($C423="","",COUNTIFS($B$4:$B$1463,$B423,$X$4:$X$1463,"&gt;"&amp;$X423)+COUNTIFS($B$4:$B423,$B423,$X$4:$X423,"="&amp;$X423))</f>
        <v>64</v>
      </c>
      <c r="R423" s="75">
        <f>IF($C423="","",IF($I423="","",ROUND(COUNTIF($I$4:$I$1463,"&lt;"&amp;$I423)/COUNT($I$4:$I$1463),3)))</f>
        <v>0.47399999999999998</v>
      </c>
      <c r="S423" s="19" t="str">
        <f>IF($C423="","",IF($G423="","Name only",IF(OR($I423="",$L423=""),"Partial","Complete")))</f>
        <v>Complete</v>
      </c>
      <c r="T423" s="1" t="str">
        <f>IF($C423="","",TRIM(IF(COUNTIF($C$4:$C$1463,$C423)&gt;1,"Dup name; ","")&amp;IF(AND($G423&lt;&gt;"",$G423&lt;55000),"Low CR - verify; ","")&amp;IF(AND($L423&lt;&gt;"",$L423&gt;15),"Secondary - verify; ","")&amp;IF($E423="","No class; ","")))</f>
        <v/>
      </c>
      <c r="U423" s="68"/>
      <c r="V423" s="68"/>
      <c r="W423" s="68"/>
      <c r="X423" s="76">
        <f t="shared" si="32"/>
        <v>3611</v>
      </c>
      <c r="Y423" s="1" t="str">
        <f t="shared" si="33"/>
        <v>UNDYING|64</v>
      </c>
      <c r="Z423" s="19">
        <f>IF($C423="","",IF($G423="","",RANK($G423,$G$4:$G$1463)+COUNTIF($G$4:$G423,$G423)-1))</f>
        <v>594</v>
      </c>
      <c r="AA423" s="19">
        <f>IF($C423="","",IF($N423="","",RANK($N423,$N$4:$N$1463)+COUNTIF($N$4:$N423,$N423)-1))</f>
        <v>706</v>
      </c>
      <c r="AB423" s="1" t="str">
        <f>IF($C423="","",IF($E423="","",$E423&amp;"#"&amp;(COUNTIFS($E$4:$E$1463,$E423,$X$4:$X$1463,"&gt;"&amp;$X423)+COUNTIFS($E$4:$E423,$E423,$X$4:$X423,"="&amp;$X423))))</f>
        <v>NECROMANCER#35</v>
      </c>
      <c r="AC423" s="1" t="str">
        <f>IF($C423="","",$B423&amp;"@"&amp;(COUNTIFS($B$4:$B$1463,$B423,$C$4:$C$1463,"&lt;"&amp;$C423)+COUNTIFS($B$4:$B423,$B423,$C$4:$C423,$C423)))</f>
        <v>UNDYING@37</v>
      </c>
      <c r="AD423" s="1">
        <f t="shared" si="34"/>
        <v>420</v>
      </c>
      <c r="AE423" s="1" t="s">
        <v>646</v>
      </c>
      <c r="AF423" s="76">
        <f t="shared" si="35"/>
        <v>62638</v>
      </c>
      <c r="AG423" s="77">
        <f t="shared" si="36"/>
        <v>4.2</v>
      </c>
      <c r="AH423" s="1" t="str">
        <f>IF($C423="","",$B423&amp;"|"&amp;(COUNTIFS($B$4:$B$1463,$B423,$AF$4:$AF$1463,"&gt;"&amp;$AF423)+COUNTIFS($B$4:$B423,$B423,$AF$4:$AF423,"="&amp;$AF423)))</f>
        <v>UNDYING|60</v>
      </c>
      <c r="AI423" s="1" t="str">
        <f>IF($C423="","",$B423&amp;"|"&amp;(COUNTIFS($B$4:$B$1463,$B423,$AG$4:$AG$1463,"&gt;"&amp;$AG423)+COUNTIFS($B$4:$B423,$B423,$AG$4:$AG423,"="&amp;$AG423)))</f>
        <v>UNDYING|76</v>
      </c>
    </row>
    <row r="424" spans="1:35">
      <c r="A424" s="69" t="s">
        <v>104</v>
      </c>
      <c r="B424" s="69" t="s">
        <v>66</v>
      </c>
      <c r="C424" s="63" t="s">
        <v>1264</v>
      </c>
      <c r="D424" s="69"/>
      <c r="E424" s="68" t="s">
        <v>80</v>
      </c>
      <c r="F424" s="19" t="str">
        <f>IF($C424="","",IF($E424="","-",IFERROR(INDEX(SETUP!$B$55:$B$64,MATCH($E424,SETUP!$A$55:$A$64,0)),"Other")))</f>
        <v>Ranged DPS</v>
      </c>
      <c r="G424" s="70">
        <v>63338</v>
      </c>
      <c r="H424" s="19" t="str">
        <f>IF($C424="","",IF($G424="","-",INDEX(SETUP!$B$26:$B$32,MATCH($G424,SETUP!$A$26:$A$32,1))))</f>
        <v>63,000 - 63,999</v>
      </c>
      <c r="I424" s="70">
        <v>5092</v>
      </c>
      <c r="J424" s="19" t="str">
        <f>IF($C424="","",IF($I424="","-",INDEX(SETUP!$B$16:$B$22,MATCH($I424,SETUP!$A$16:$A$22,1))))</f>
        <v>CORE</v>
      </c>
      <c r="K424" s="19" t="str">
        <f>IF($C424="","",IF($I424="","-",TEXT(INT($I424/1000)*1000,"#,##0")&amp;" - "&amp;TEXT(INT($I424/1000)*1000+999,"#,##0")))</f>
        <v>5,000 - 5,999</v>
      </c>
      <c r="L424" s="71">
        <v>4.0599999999999996</v>
      </c>
      <c r="M424" s="19" t="str">
        <f>IF($C424="","",IF($L424="","-",INDEX(SETUP!$B$36:$B$42,MATCH($L424,SETUP!$A$36:$A$42,1))))</f>
        <v>4k - 5k</v>
      </c>
      <c r="N424" s="21">
        <f>IF($C424="","",IF(OR($G424="",$I424=""),"",ROUND(100*(SETUP!$B$4*MIN(1,$I424/SETUP!$B$9)+SETUP!$B$5*MAX(0,MIN(1,($G424-SETUP!$B$10)/(SETUP!$B$11-SETUP!$B$10)))+SETUP!$B$6*MIN(1,IF($L424="",0,$L424)/SETUP!$B$12)),1)))</f>
        <v>50.9</v>
      </c>
      <c r="O424" s="19" t="str">
        <f>IF($C424="","",IF($N424="","-",INDEX(SETUP!$B$46:$B$51,MATCH($N424,SETUP!$A$46:$A$51,1))))</f>
        <v>A</v>
      </c>
      <c r="P424" s="19">
        <f>IF($C424="","",IF($I424="","",RANK($I424,$I$4:$I$1463)+COUNTIF($I$4:$I424,$I424)-1))</f>
        <v>399</v>
      </c>
      <c r="Q424" s="19">
        <f>IF($C424="","",COUNTIFS($B$4:$B$1463,$B424,$X$4:$X$1463,"&gt;"&amp;$X424)+COUNTIFS($B$4:$B424,$B424,$X$4:$X424,"="&amp;$X424))</f>
        <v>41</v>
      </c>
      <c r="R424" s="75">
        <f>IF($C424="","",IF($I424="","",ROUND(COUNTIF($I$4:$I$1463,"&lt;"&amp;$I424)/COUNT($I$4:$I$1463),3)))</f>
        <v>0.69899999999999995</v>
      </c>
      <c r="S424" s="19" t="str">
        <f>IF($C424="","",IF($G424="","Name only",IF(OR($I424="",$L424=""),"Partial","Complete")))</f>
        <v>Complete</v>
      </c>
      <c r="T424" s="1" t="str">
        <f>IF($C424="","",TRIM(IF(COUNTIF($C$4:$C$1463,$C424)&gt;1,"Dup name; ","")&amp;IF(AND($G424&lt;&gt;"",$G424&lt;55000),"Low CR - verify; ","")&amp;IF(AND($L424&lt;&gt;"",$L424&gt;15),"Secondary - verify; ","")&amp;IF($E424="","No class; ","")))</f>
        <v/>
      </c>
      <c r="U424" s="68"/>
      <c r="V424" s="68"/>
      <c r="W424" s="68"/>
      <c r="X424" s="73">
        <f t="shared" si="32"/>
        <v>5092</v>
      </c>
      <c r="Y424" s="41" t="str">
        <f t="shared" si="33"/>
        <v>FUCT|41</v>
      </c>
      <c r="Z424" s="15">
        <f>IF($C424="","",IF($G424="","",RANK($G424,$G$4:$G$1463)+COUNTIF($G$4:$G424,$G424)-1))</f>
        <v>246</v>
      </c>
      <c r="AA424" s="15">
        <f>IF($C424="","",IF($N424="","",RANK($N424,$N$4:$N$1463)+COUNTIF($N$4:$N424,$N424)-1))</f>
        <v>429</v>
      </c>
      <c r="AB424" s="41" t="str">
        <f>IF($C424="","",IF($E424="","",$E424&amp;"#"&amp;(COUNTIFS($E$4:$E$1463,$E424,$X$4:$X$1463,"&gt;"&amp;$X424)+COUNTIFS($E$4:$E424,$E424,$X$4:$X424,"="&amp;$X424))))</f>
        <v>WIZARD#27</v>
      </c>
      <c r="AC424" s="41" t="str">
        <f>IF($C424="","",$B424&amp;"@"&amp;(COUNTIFS($B$4:$B$1463,$B424,$C$4:$C$1463,"&lt;"&amp;$C424)+COUNTIFS($B$4:$B424,$B424,$C$4:$C424,$C424)))</f>
        <v>FUCT@26</v>
      </c>
      <c r="AD424" s="41">
        <f t="shared" si="34"/>
        <v>421</v>
      </c>
      <c r="AE424" s="41" t="s">
        <v>1294</v>
      </c>
      <c r="AF424" s="73">
        <f t="shared" si="35"/>
        <v>63338</v>
      </c>
      <c r="AG424" s="74">
        <f t="shared" si="36"/>
        <v>4.0599999999999996</v>
      </c>
      <c r="AH424" s="41" t="str">
        <f>IF($C424="","",$B424&amp;"|"&amp;(COUNTIFS($B$4:$B$1463,$B424,$AF$4:$AF$1463,"&gt;"&amp;$AF424)+COUNTIFS($B$4:$B424,$B424,$AF$4:$AF424,"="&amp;$AF424)))</f>
        <v>FUCT|24</v>
      </c>
      <c r="AI424" s="41" t="str">
        <f>IF($C424="","",$B424&amp;"|"&amp;(COUNTIFS($B$4:$B$1463,$B424,$AG$4:$AG$1463,"&gt;"&amp;$AG424)+COUNTIFS($B$4:$B424,$B424,$AG$4:$AG424,"="&amp;$AG424)))</f>
        <v>FUCT|77</v>
      </c>
    </row>
    <row r="425" spans="1:35" hidden="1">
      <c r="A425" s="69" t="s">
        <v>109</v>
      </c>
      <c r="B425" s="69" t="s">
        <v>112</v>
      </c>
      <c r="C425" s="63" t="s">
        <v>1295</v>
      </c>
      <c r="D425" s="69" t="s">
        <v>567</v>
      </c>
      <c r="E425" s="68" t="s">
        <v>71</v>
      </c>
      <c r="F425" s="19" t="str">
        <f>IF($C425="","",IF($E425="","-",IFERROR(INDEX(SETUP!$B$55:$B$64,MATCH($E425,SETUP!$A$55:$A$64,0)),"Other")))</f>
        <v>Frontline</v>
      </c>
      <c r="G425" s="70">
        <v>63000</v>
      </c>
      <c r="H425" s="19" t="str">
        <f>IF($C425="","",IF($G425="","-",INDEX(SETUP!$B$26:$B$32,MATCH($G425,SETUP!$A$26:$A$32,1))))</f>
        <v>63,000 - 63,999</v>
      </c>
      <c r="I425" s="70">
        <v>4001</v>
      </c>
      <c r="J425" s="19" t="str">
        <f>IF($C425="","",IF($I425="","-",INDEX(SETUP!$B$16:$B$22,MATCH($I425,SETUP!$A$16:$A$22,1))))</f>
        <v>CORE</v>
      </c>
      <c r="K425" s="19" t="str">
        <f>IF($C425="","",IF($I425="","-",TEXT(INT($I425/1000)*1000,"#,##0")&amp;" - "&amp;TEXT(INT($I425/1000)*1000+999,"#,##0")))</f>
        <v>4,000 - 4,999</v>
      </c>
      <c r="L425" s="71">
        <v>5.55</v>
      </c>
      <c r="M425" s="19" t="str">
        <f>IF($C425="","",IF($L425="","-",INDEX(SETUP!$B$36:$B$42,MATCH($L425,SETUP!$A$36:$A$42,1))))</f>
        <v>5k - 6k</v>
      </c>
      <c r="N425" s="21">
        <f>IF($C425="","",IF(OR($G425="",$I425=""),"",ROUND(100*(SETUP!$B$4*MIN(1,$I425/SETUP!$B$9)+SETUP!$B$5*MAX(0,MIN(1,($G425-SETUP!$B$10)/(SETUP!$B$11-SETUP!$B$10)))+SETUP!$B$6*MIN(1,IF($L425="",0,$L425)/SETUP!$B$12)),1)))</f>
        <v>47.8</v>
      </c>
      <c r="O425" s="19" t="str">
        <f>IF($C425="","",IF($N425="","-",INDEX(SETUP!$B$46:$B$51,MATCH($N425,SETUP!$A$46:$A$51,1))))</f>
        <v>B</v>
      </c>
      <c r="P425" s="19">
        <f>IF($C425="","",IF($I425="","",RANK($I425,$I$4:$I$1463)+COUNTIF($I$4:$I425,$I425)-1))</f>
        <v>604</v>
      </c>
      <c r="Q425" s="19">
        <f>IF($C425="","",COUNTIFS($B$4:$B$1463,$B425,$X$4:$X$1463,"&gt;"&amp;$X425)+COUNTIFS($B$4:$B425,$B425,$X$4:$X425,"="&amp;$X425))</f>
        <v>45</v>
      </c>
      <c r="R425" s="75">
        <f>IF($C425="","",IF($I425="","",ROUND(COUNTIF($I$4:$I$1463,"&lt;"&amp;$I425)/COUNT($I$4:$I$1463),3)))</f>
        <v>0.54400000000000004</v>
      </c>
      <c r="S425" s="19" t="str">
        <f>IF($C425="","",IF($G425="","Name only",IF(OR($I425="",$L425=""),"Partial","Complete")))</f>
        <v>Complete</v>
      </c>
      <c r="T425" s="1" t="str">
        <f>IF($C425="","",TRIM(IF(COUNTIF($C$4:$C$1463,$C425)&gt;1,"Dup name; ","")&amp;IF(AND($G425&lt;&gt;"",$G425&lt;55000),"Low CR - verify; ","")&amp;IF(AND($L425&lt;&gt;"",$L425&gt;15),"Secondary - verify; ","")&amp;IF($E425="","No class; ","")))</f>
        <v/>
      </c>
      <c r="U425" s="68"/>
      <c r="V425" s="68"/>
      <c r="W425" s="68"/>
      <c r="X425" s="76">
        <f t="shared" si="32"/>
        <v>4001</v>
      </c>
      <c r="Y425" s="1" t="str">
        <f t="shared" si="33"/>
        <v>ACHERON|45</v>
      </c>
      <c r="Z425" s="19">
        <f>IF($C425="","",IF($G425="","",RANK($G425,$G$4:$G$1463)+COUNTIF($G$4:$G425,$G425)-1))</f>
        <v>428</v>
      </c>
      <c r="AA425" s="19">
        <f>IF($C425="","",IF($N425="","",RANK($N425,$N$4:$N$1463)+COUNTIF($N$4:$N425,$N425)-1))</f>
        <v>521</v>
      </c>
      <c r="AB425" s="1" t="str">
        <f>IF($C425="","",IF($E425="","",$E425&amp;"#"&amp;(COUNTIFS($E$4:$E$1463,$E425,$X$4:$X$1463,"&gt;"&amp;$X425)+COUNTIFS($E$4:$E425,$E425,$X$4:$X425,"="&amp;$X425))))</f>
        <v>BARBARIAN#114</v>
      </c>
      <c r="AC425" s="1" t="str">
        <f>IF($C425="","",$B425&amp;"@"&amp;(COUNTIFS($B$4:$B$1463,$B425,$C$4:$C$1463,"&lt;"&amp;$C425)+COUNTIFS($B$4:$B425,$B425,$C$4:$C425,$C425)))</f>
        <v>ACHERON@26</v>
      </c>
      <c r="AD425" s="1">
        <f t="shared" si="34"/>
        <v>422</v>
      </c>
      <c r="AE425" s="1" t="s">
        <v>1296</v>
      </c>
      <c r="AF425" s="76">
        <f t="shared" si="35"/>
        <v>63000</v>
      </c>
      <c r="AG425" s="77">
        <f t="shared" si="36"/>
        <v>5.55</v>
      </c>
      <c r="AH425" s="1" t="str">
        <f>IF($C425="","",$B425&amp;"|"&amp;(COUNTIFS($B$4:$B$1463,$B425,$AF$4:$AF$1463,"&gt;"&amp;$AF425)+COUNTIFS($B$4:$B425,$B425,$AF$4:$AF425,"="&amp;$AF425)))</f>
        <v>ACHERON|30</v>
      </c>
      <c r="AI425" s="1" t="str">
        <f>IF($C425="","",$B425&amp;"|"&amp;(COUNTIFS($B$4:$B$1463,$B425,$AG$4:$AG$1463,"&gt;"&amp;$AG425)+COUNTIFS($B$4:$B425,$B425,$AG$4:$AG425,"="&amp;$AG425)))</f>
        <v>ACHERON|28</v>
      </c>
    </row>
    <row r="426" spans="1:35" hidden="1">
      <c r="A426" s="69" t="s">
        <v>109</v>
      </c>
      <c r="B426" s="69" t="s">
        <v>118</v>
      </c>
      <c r="C426" s="63" t="s">
        <v>1297</v>
      </c>
      <c r="D426" s="69"/>
      <c r="E426" s="68" t="s">
        <v>79</v>
      </c>
      <c r="F426" s="15" t="str">
        <f>IF($C426="","",IF($E426="","-",IFERROR(INDEX(SETUP!$B$55:$B$64,MATCH($E426,SETUP!$A$55:$A$64,0)),"Other")))</f>
        <v>Control</v>
      </c>
      <c r="G426" s="70">
        <v>60948</v>
      </c>
      <c r="H426" s="15" t="str">
        <f>IF($C426="","",IF($G426="","-",INDEX(SETUP!$B$26:$B$32,MATCH($G426,SETUP!$A$26:$A$32,1))))</f>
        <v>60,000 - 60,999</v>
      </c>
      <c r="I426" s="70">
        <v>3338</v>
      </c>
      <c r="J426" s="15" t="str">
        <f>IF($C426="","",IF($I426="","-",INDEX(SETUP!$B$16:$B$22,MATCH($I426,SETUP!$A$16:$A$22,1))))</f>
        <v>DEVELOPING</v>
      </c>
      <c r="K426" s="15" t="str">
        <f>IF($C426="","",IF($I426="","-",TEXT(INT($I426/1000)*1000,"#,##0")&amp;" - "&amp;TEXT(INT($I426/1000)*1000+999,"#,##0")))</f>
        <v>3,000 - 3,999</v>
      </c>
      <c r="L426" s="71">
        <v>3.5</v>
      </c>
      <c r="M426" s="15" t="str">
        <f>IF($C426="","",IF($L426="","-",INDEX(SETUP!$B$36:$B$42,MATCH($L426,SETUP!$A$36:$A$42,1))))</f>
        <v>3k - 4k</v>
      </c>
      <c r="N426" s="17">
        <f>IF($C426="","",IF(OR($G426="",$I426=""),"",ROUND(100*(SETUP!$B$4*MIN(1,$I426/SETUP!$B$9)+SETUP!$B$5*MAX(0,MIN(1,($G426-SETUP!$B$10)/(SETUP!$B$11-SETUP!$B$10)))+SETUP!$B$6*MIN(1,IF($L426="",0,$L426)/SETUP!$B$12)),1)))</f>
        <v>36.1</v>
      </c>
      <c r="O426" s="15" t="str">
        <f>IF($C426="","",IF($N426="","-",INDEX(SETUP!$B$46:$B$51,MATCH($N426,SETUP!$A$46:$A$51,1))))</f>
        <v>B</v>
      </c>
      <c r="P426" s="15">
        <f>IF($C426="","",IF($I426="","",RANK($I426,$I$4:$I$1463)+COUNTIF($I$4:$I426,$I426)-1))</f>
        <v>775</v>
      </c>
      <c r="Q426" s="15">
        <f>IF($C426="","",COUNTIFS($B$4:$B$1463,$B426,$X$4:$X$1463,"&gt;"&amp;$X426)+COUNTIFS($B$4:$B426,$B426,$X$4:$X426,"="&amp;$X426))</f>
        <v>13</v>
      </c>
      <c r="R426" s="72">
        <f>IF($C426="","",IF($I426="","",ROUND(COUNTIF($I$4:$I$1463,"&lt;"&amp;$I426)/COUNT($I$4:$I$1463),3)))</f>
        <v>0.41399999999999998</v>
      </c>
      <c r="S426" s="15" t="str">
        <f>IF($C426="","",IF($G426="","Name only",IF(OR($I426="",$L426=""),"Partial","Complete")))</f>
        <v>Complete</v>
      </c>
      <c r="T426" s="41" t="str">
        <f>IF($C426="","",TRIM(IF(COUNTIF($C$4:$C$1463,$C426)&gt;1,"Dup name; ","")&amp;IF(AND($G426&lt;&gt;"",$G426&lt;55000),"Low CR - verify; ","")&amp;IF(AND($L426&lt;&gt;"",$L426&gt;15),"Secondary - verify; ","")&amp;IF($E426="","No class; ","")))</f>
        <v/>
      </c>
      <c r="U426" s="68"/>
      <c r="V426" s="68"/>
      <c r="W426" s="68"/>
      <c r="X426" s="73">
        <f t="shared" si="32"/>
        <v>3338</v>
      </c>
      <c r="Y426" s="41" t="str">
        <f t="shared" si="33"/>
        <v>ZOMBIES|13</v>
      </c>
      <c r="Z426" s="15">
        <f>IF($C426="","",IF($G426="","",RANK($G426,$G$4:$G$1463)+COUNTIF($G$4:$G426,$G426)-1))</f>
        <v>1142</v>
      </c>
      <c r="AA426" s="15">
        <f>IF($C426="","",IF($N426="","",RANK($N426,$N$4:$N$1463)+COUNTIF($N$4:$N426,$N426)-1))</f>
        <v>961</v>
      </c>
      <c r="AB426" s="41" t="str">
        <f>IF($C426="","",IF($E426="","",$E426&amp;"#"&amp;(COUNTIFS($E$4:$E$1463,$E426,$X$4:$X$1463,"&gt;"&amp;$X426)+COUNTIFS($E$4:$E426,$E426,$X$4:$X426,"="&amp;$X426))))</f>
        <v>WARLOCK#188</v>
      </c>
      <c r="AC426" s="41" t="str">
        <f>IF($C426="","",$B426&amp;"@"&amp;(COUNTIFS($B$4:$B$1463,$B426,$C$4:$C$1463,"&lt;"&amp;$C426)+COUNTIFS($B$4:$B426,$B426,$C$4:$C426,$C426)))</f>
        <v>ZOMBIES@34</v>
      </c>
      <c r="AD426" s="41">
        <f t="shared" si="34"/>
        <v>423</v>
      </c>
      <c r="AE426" s="41" t="s">
        <v>568</v>
      </c>
      <c r="AF426" s="73">
        <f t="shared" si="35"/>
        <v>60948</v>
      </c>
      <c r="AG426" s="74">
        <f t="shared" si="36"/>
        <v>3.5</v>
      </c>
      <c r="AH426" s="41" t="str">
        <f>IF($C426="","",$B426&amp;"|"&amp;(COUNTIFS($B$4:$B$1463,$B426,$AF$4:$AF$1463,"&gt;"&amp;$AF426)+COUNTIFS($B$4:$B426,$B426,$AF$4:$AF426,"="&amp;$AF426)))</f>
        <v>ZOMBIES|56</v>
      </c>
      <c r="AI426" s="41" t="str">
        <f>IF($C426="","",$B426&amp;"|"&amp;(COUNTIFS($B$4:$B$1463,$B426,$AG$4:$AG$1463,"&gt;"&amp;$AG426)+COUNTIFS($B$4:$B426,$B426,$AG$4:$AG426,"="&amp;$AG426)))</f>
        <v>ZOMBIES|47</v>
      </c>
    </row>
    <row r="427" spans="1:35" hidden="1">
      <c r="A427" s="69" t="s">
        <v>109</v>
      </c>
      <c r="B427" s="69" t="s">
        <v>114</v>
      </c>
      <c r="C427" s="63" t="s">
        <v>1298</v>
      </c>
      <c r="D427" s="69"/>
      <c r="E427" s="68" t="s">
        <v>79</v>
      </c>
      <c r="F427" s="19" t="str">
        <f>IF($C427="","",IF($E427="","-",IFERROR(INDEX(SETUP!$B$55:$B$64,MATCH($E427,SETUP!$A$55:$A$64,0)),"Other")))</f>
        <v>Control</v>
      </c>
      <c r="G427" s="70">
        <v>62620</v>
      </c>
      <c r="H427" s="19" t="str">
        <f>IF($C427="","",IF($G427="","-",INDEX(SETUP!$B$26:$B$32,MATCH($G427,SETUP!$A$26:$A$32,1))))</f>
        <v>62,000 - 62,999</v>
      </c>
      <c r="I427" s="70">
        <v>3302</v>
      </c>
      <c r="J427" s="19" t="str">
        <f>IF($C427="","",IF($I427="","-",INDEX(SETUP!$B$16:$B$22,MATCH($I427,SETUP!$A$16:$A$22,1))))</f>
        <v>DEVELOPING</v>
      </c>
      <c r="K427" s="19" t="str">
        <f>IF($C427="","",IF($I427="","-",TEXT(INT($I427/1000)*1000,"#,##0")&amp;" - "&amp;TEXT(INT($I427/1000)*1000+999,"#,##0")))</f>
        <v>3,000 - 3,999</v>
      </c>
      <c r="L427" s="71">
        <v>3.45</v>
      </c>
      <c r="M427" s="19" t="str">
        <f>IF($C427="","",IF($L427="","-",INDEX(SETUP!$B$36:$B$42,MATCH($L427,SETUP!$A$36:$A$42,1))))</f>
        <v>3k - 4k</v>
      </c>
      <c r="N427" s="21">
        <f>IF($C427="","",IF(OR($G427="",$I427=""),"",ROUND(100*(SETUP!$B$4*MIN(1,$I427/SETUP!$B$9)+SETUP!$B$5*MAX(0,MIN(1,($G427-SETUP!$B$10)/(SETUP!$B$11-SETUP!$B$10)))+SETUP!$B$6*MIN(1,IF($L427="",0,$L427)/SETUP!$B$12)),1)))</f>
        <v>40.200000000000003</v>
      </c>
      <c r="O427" s="19" t="str">
        <f>IF($C427="","",IF($N427="","-",INDEX(SETUP!$B$46:$B$51,MATCH($N427,SETUP!$A$46:$A$51,1))))</f>
        <v>B</v>
      </c>
      <c r="P427" s="19">
        <f>IF($C427="","",IF($I427="","",RANK($I427,$I$4:$I$1463)+COUNTIF($I$4:$I427,$I427)-1))</f>
        <v>790</v>
      </c>
      <c r="Q427" s="19">
        <f>IF($C427="","",COUNTIFS($B$4:$B$1463,$B427,$X$4:$X$1463,"&gt;"&amp;$X427)+COUNTIFS($B$4:$B427,$B427,$X$4:$X427,"="&amp;$X427))</f>
        <v>21</v>
      </c>
      <c r="R427" s="75">
        <f>IF($C427="","",IF($I427="","",ROUND(COUNTIF($I$4:$I$1463,"&lt;"&amp;$I427)/COUNT($I$4:$I$1463),3)))</f>
        <v>0.40300000000000002</v>
      </c>
      <c r="S427" s="19" t="str">
        <f>IF($C427="","",IF($G427="","Name only",IF(OR($I427="",$L427=""),"Partial","Complete")))</f>
        <v>Complete</v>
      </c>
      <c r="T427" s="1" t="str">
        <f>IF($C427="","",TRIM(IF(COUNTIF($C$4:$C$1463,$C427)&gt;1,"Dup name; ","")&amp;IF(AND($G427&lt;&gt;"",$G427&lt;55000),"Low CR - verify; ","")&amp;IF(AND($L427&lt;&gt;"",$L427&gt;15),"Secondary - verify; ","")&amp;IF($E427="","No class; ","")))</f>
        <v/>
      </c>
      <c r="U427" s="68"/>
      <c r="V427" s="68"/>
      <c r="W427" s="68"/>
      <c r="X427" s="76">
        <f t="shared" si="32"/>
        <v>3302</v>
      </c>
      <c r="Y427" s="1" t="str">
        <f t="shared" si="33"/>
        <v>EMERALD LEAF TRIBE|21</v>
      </c>
      <c r="Z427" s="19">
        <f>IF($C427="","",IF($G427="","",RANK($G427,$G$4:$G$1463)+COUNTIF($G$4:$G427,$G427)-1))</f>
        <v>602</v>
      </c>
      <c r="AA427" s="19">
        <f>IF($C427="","",IF($N427="","",RANK($N427,$N$4:$N$1463)+COUNTIF($N$4:$N427,$N427)-1))</f>
        <v>814</v>
      </c>
      <c r="AB427" s="1" t="str">
        <f>IF($C427="","",IF($E427="","",$E427&amp;"#"&amp;(COUNTIFS($E$4:$E$1463,$E427,$X$4:$X$1463,"&gt;"&amp;$X427)+COUNTIFS($E$4:$E427,$E427,$X$4:$X427,"="&amp;$X427))))</f>
        <v>WARLOCK#192</v>
      </c>
      <c r="AC427" s="1" t="str">
        <f>IF($C427="","",$B427&amp;"@"&amp;(COUNTIFS($B$4:$B$1463,$B427,$C$4:$C$1463,"&lt;"&amp;$C427)+COUNTIFS($B$4:$B427,$B427,$C$4:$C427,$C427)))</f>
        <v>EMERALD LEAF TRIBE@30</v>
      </c>
      <c r="AD427" s="1">
        <f t="shared" si="34"/>
        <v>424</v>
      </c>
      <c r="AE427" s="1" t="s">
        <v>1299</v>
      </c>
      <c r="AF427" s="76">
        <f t="shared" si="35"/>
        <v>62620</v>
      </c>
      <c r="AG427" s="77">
        <f t="shared" si="36"/>
        <v>3.45</v>
      </c>
      <c r="AH427" s="1" t="str">
        <f>IF($C427="","",$B427&amp;"|"&amp;(COUNTIFS($B$4:$B$1463,$B427,$AF$4:$AF$1463,"&gt;"&amp;$AF427)+COUNTIFS($B$4:$B427,$B427,$AF$4:$AF427,"="&amp;$AF427)))</f>
        <v>EMERALD LEAF TRIBE|17</v>
      </c>
      <c r="AI427" s="1" t="str">
        <f>IF($C427="","",$B427&amp;"|"&amp;(COUNTIFS($B$4:$B$1463,$B427,$AG$4:$AG$1463,"&gt;"&amp;$AG427)+COUNTIFS($B$4:$B427,$B427,$AG$4:$AG427,"="&amp;$AG427)))</f>
        <v>EMERALD LEAF TRIBE|55</v>
      </c>
    </row>
    <row r="428" spans="1:35" hidden="1">
      <c r="A428" s="69" t="s">
        <v>106</v>
      </c>
      <c r="B428" s="69" t="s">
        <v>86</v>
      </c>
      <c r="C428" s="63" t="s">
        <v>1300</v>
      </c>
      <c r="D428" s="69"/>
      <c r="E428" s="68" t="s">
        <v>74</v>
      </c>
      <c r="F428" s="15" t="str">
        <f>IF($C428="","",IF($E428="","-",IFERROR(INDEX(SETUP!$B$55:$B$64,MATCH($E428,SETUP!$A$55:$A$64,0)),"Other")))</f>
        <v>Ranged DPS</v>
      </c>
      <c r="G428" s="70">
        <v>62609</v>
      </c>
      <c r="H428" s="15" t="str">
        <f>IF($C428="","",IF($G428="","-",INDEX(SETUP!$B$26:$B$32,MATCH($G428,SETUP!$A$26:$A$32,1))))</f>
        <v>62,000 - 62,999</v>
      </c>
      <c r="I428" s="70">
        <v>3902</v>
      </c>
      <c r="J428" s="15" t="str">
        <f>IF($C428="","",IF($I428="","-",INDEX(SETUP!$B$16:$B$22,MATCH($I428,SETUP!$A$16:$A$22,1))))</f>
        <v>DEVELOPING</v>
      </c>
      <c r="K428" s="15" t="str">
        <f>IF($C428="","",IF($I428="","-",TEXT(INT($I428/1000)*1000,"#,##0")&amp;" - "&amp;TEXT(INT($I428/1000)*1000+999,"#,##0")))</f>
        <v>3,000 - 3,999</v>
      </c>
      <c r="L428" s="71">
        <v>3.95</v>
      </c>
      <c r="M428" s="15" t="str">
        <f>IF($C428="","",IF($L428="","-",INDEX(SETUP!$B$36:$B$42,MATCH($L428,SETUP!$A$36:$A$42,1))))</f>
        <v>3k - 4k</v>
      </c>
      <c r="N428" s="17">
        <f>IF($C428="","",IF(OR($G428="",$I428=""),"",ROUND(100*(SETUP!$B$4*MIN(1,$I428/SETUP!$B$9)+SETUP!$B$5*MAX(0,MIN(1,($G428-SETUP!$B$10)/(SETUP!$B$11-SETUP!$B$10)))+SETUP!$B$6*MIN(1,IF($L428="",0,$L428)/SETUP!$B$12)),1)))</f>
        <v>43.6</v>
      </c>
      <c r="O428" s="15" t="str">
        <f>IF($C428="","",IF($N428="","-",INDEX(SETUP!$B$46:$B$51,MATCH($N428,SETUP!$A$46:$A$51,1))))</f>
        <v>B</v>
      </c>
      <c r="P428" s="15">
        <f>IF($C428="","",IF($I428="","",RANK($I428,$I$4:$I$1463)+COUNTIF($I$4:$I428,$I428)-1))</f>
        <v>623</v>
      </c>
      <c r="Q428" s="15">
        <f>IF($C428="","",COUNTIFS($B$4:$B$1463,$B428,$X$4:$X$1463,"&gt;"&amp;$X428)+COUNTIFS($B$4:$B428,$B428,$X$4:$X428,"="&amp;$X428))</f>
        <v>80</v>
      </c>
      <c r="R428" s="72">
        <f>IF($C428="","",IF($I428="","",ROUND(COUNTIF($I$4:$I$1463,"&lt;"&amp;$I428)/COUNT($I$4:$I$1463),3)))</f>
        <v>0.53</v>
      </c>
      <c r="S428" s="15" t="str">
        <f>IF($C428="","",IF($G428="","Name only",IF(OR($I428="",$L428=""),"Partial","Complete")))</f>
        <v>Complete</v>
      </c>
      <c r="T428" s="41" t="str">
        <f>IF($C428="","",TRIM(IF(COUNTIF($C$4:$C$1463,$C428)&gt;1,"Dup name; ","")&amp;IF(AND($G428&lt;&gt;"",$G428&lt;55000),"Low CR - verify; ","")&amp;IF(AND($L428&lt;&gt;"",$L428&gt;15),"Secondary - verify; ","")&amp;IF($E428="","No class; ","")))</f>
        <v/>
      </c>
      <c r="U428" s="68"/>
      <c r="V428" s="68"/>
      <c r="W428" s="68"/>
      <c r="X428" s="73">
        <f t="shared" si="32"/>
        <v>3902</v>
      </c>
      <c r="Y428" s="41" t="str">
        <f t="shared" si="33"/>
        <v>VANGUARD|80</v>
      </c>
      <c r="Z428" s="15">
        <f>IF($C428="","",IF($G428="","",RANK($G428,$G$4:$G$1463)+COUNTIF($G$4:$G428,$G428)-1))</f>
        <v>607</v>
      </c>
      <c r="AA428" s="15">
        <f>IF($C428="","",IF($N428="","",RANK($N428,$N$4:$N$1463)+COUNTIF($N$4:$N428,$N428)-1))</f>
        <v>684</v>
      </c>
      <c r="AB428" s="41" t="str">
        <f>IF($C428="","",IF($E428="","",$E428&amp;"#"&amp;(COUNTIFS($E$4:$E$1463,$E428,$X$4:$X$1463,"&gt;"&amp;$X428)+COUNTIFS($E$4:$E428,$E428,$X$4:$X428,"="&amp;$X428))))</f>
        <v>DEMON HUNTER#103</v>
      </c>
      <c r="AC428" s="41" t="str">
        <f>IF($C428="","",$B428&amp;"@"&amp;(COUNTIFS($B$4:$B$1463,$B428,$C$4:$C$1463,"&lt;"&amp;$C428)+COUNTIFS($B$4:$B428,$B428,$C$4:$C428,$C428)))</f>
        <v>VANGUARD@39</v>
      </c>
      <c r="AD428" s="41">
        <f t="shared" si="34"/>
        <v>425</v>
      </c>
      <c r="AE428" s="41" t="s">
        <v>825</v>
      </c>
      <c r="AF428" s="73">
        <f t="shared" si="35"/>
        <v>62609</v>
      </c>
      <c r="AG428" s="74">
        <f t="shared" si="36"/>
        <v>3.95</v>
      </c>
      <c r="AH428" s="41" t="str">
        <f>IF($C428="","",$B428&amp;"|"&amp;(COUNTIFS($B$4:$B$1463,$B428,$AF$4:$AF$1463,"&gt;"&amp;$AF428)+COUNTIFS($B$4:$B428,$B428,$AF$4:$AF428,"="&amp;$AF428)))</f>
        <v>VANGUARD|78</v>
      </c>
      <c r="AI428" s="41" t="str">
        <f>IF($C428="","",$B428&amp;"|"&amp;(COUNTIFS($B$4:$B$1463,$B428,$AG$4:$AG$1463,"&gt;"&amp;$AG428)+COUNTIFS($B$4:$B428,$B428,$AG$4:$AG428,"="&amp;$AG428)))</f>
        <v>VANGUARD|91</v>
      </c>
    </row>
    <row r="429" spans="1:35" hidden="1">
      <c r="A429" s="69" t="s">
        <v>106</v>
      </c>
      <c r="B429" s="69" t="s">
        <v>86</v>
      </c>
      <c r="C429" s="63" t="s">
        <v>1301</v>
      </c>
      <c r="D429" s="69"/>
      <c r="E429" s="68" t="s">
        <v>71</v>
      </c>
      <c r="F429" s="19" t="str">
        <f>IF($C429="","",IF($E429="","-",IFERROR(INDEX(SETUP!$B$55:$B$64,MATCH($E429,SETUP!$A$55:$A$64,0)),"Other")))</f>
        <v>Frontline</v>
      </c>
      <c r="G429" s="70">
        <v>63134</v>
      </c>
      <c r="H429" s="19" t="str">
        <f>IF($C429="","",IF($G429="","-",INDEX(SETUP!$B$26:$B$32,MATCH($G429,SETUP!$A$26:$A$32,1))))</f>
        <v>63,000 - 63,999</v>
      </c>
      <c r="I429" s="70">
        <v>6269</v>
      </c>
      <c r="J429" s="19" t="str">
        <f>IF($C429="","",IF($I429="","-",INDEX(SETUP!$B$16:$B$22,MATCH($I429,SETUP!$A$16:$A$22,1))))</f>
        <v>VETERAN</v>
      </c>
      <c r="K429" s="19" t="str">
        <f>IF($C429="","",IF($I429="","-",TEXT(INT($I429/1000)*1000,"#,##0")&amp;" - "&amp;TEXT(INT($I429/1000)*1000+999,"#,##0")))</f>
        <v>6,000 - 6,999</v>
      </c>
      <c r="L429" s="71">
        <v>5.67</v>
      </c>
      <c r="M429" s="19" t="str">
        <f>IF($C429="","",IF($L429="","-",INDEX(SETUP!$B$36:$B$42,MATCH($L429,SETUP!$A$36:$A$42,1))))</f>
        <v>5k - 6k</v>
      </c>
      <c r="N429" s="21">
        <f>IF($C429="","",IF(OR($G429="",$I429=""),"",ROUND(100*(SETUP!$B$4*MIN(1,$I429/SETUP!$B$9)+SETUP!$B$5*MAX(0,MIN(1,($G429-SETUP!$B$10)/(SETUP!$B$11-SETUP!$B$10)))+SETUP!$B$6*MIN(1,IF($L429="",0,$L429)/SETUP!$B$12)),1)))</f>
        <v>58.2</v>
      </c>
      <c r="O429" s="19" t="str">
        <f>IF($C429="","",IF($N429="","-",INDEX(SETUP!$B$46:$B$51,MATCH($N429,SETUP!$A$46:$A$51,1))))</f>
        <v>A</v>
      </c>
      <c r="P429" s="19">
        <f>IF($C429="","",IF($I429="","",RANK($I429,$I$4:$I$1463)+COUNTIF($I$4:$I429,$I429)-1))</f>
        <v>259</v>
      </c>
      <c r="Q429" s="19">
        <f>IF($C429="","",COUNTIFS($B$4:$B$1463,$B429,$X$4:$X$1463,"&gt;"&amp;$X429)+COUNTIFS($B$4:$B429,$B429,$X$4:$X429,"="&amp;$X429))</f>
        <v>53</v>
      </c>
      <c r="R429" s="75">
        <f>IF($C429="","",IF($I429="","",ROUND(COUNTIF($I$4:$I$1463,"&lt;"&amp;$I429)/COUNT($I$4:$I$1463),3)))</f>
        <v>0.80500000000000005</v>
      </c>
      <c r="S429" s="19" t="str">
        <f>IF($C429="","",IF($G429="","Name only",IF(OR($I429="",$L429=""),"Partial","Complete")))</f>
        <v>Complete</v>
      </c>
      <c r="T429" s="1" t="str">
        <f>IF($C429="","",TRIM(IF(COUNTIF($C$4:$C$1463,$C429)&gt;1,"Dup name; ","")&amp;IF(AND($G429&lt;&gt;"",$G429&lt;55000),"Low CR - verify; ","")&amp;IF(AND($L429&lt;&gt;"",$L429&gt;15),"Secondary - verify; ","")&amp;IF($E429="","No class; ","")))</f>
        <v/>
      </c>
      <c r="U429" s="68"/>
      <c r="V429" s="68"/>
      <c r="W429" s="68"/>
      <c r="X429" s="76">
        <f t="shared" si="32"/>
        <v>6269</v>
      </c>
      <c r="Y429" s="1" t="str">
        <f t="shared" si="33"/>
        <v>VANGUARD|53</v>
      </c>
      <c r="Z429" s="19">
        <f>IF($C429="","",IF($G429="","",RANK($G429,$G$4:$G$1463)+COUNTIF($G$4:$G429,$G429)-1))</f>
        <v>355</v>
      </c>
      <c r="AA429" s="19">
        <f>IF($C429="","",IF($N429="","",RANK($N429,$N$4:$N$1463)+COUNTIF($N$4:$N429,$N429)-1))</f>
        <v>258</v>
      </c>
      <c r="AB429" s="1" t="str">
        <f>IF($C429="","",IF($E429="","",$E429&amp;"#"&amp;(COUNTIFS($E$4:$E$1463,$E429,$X$4:$X$1463,"&gt;"&amp;$X429)+COUNTIFS($E$4:$E429,$E429,$X$4:$X429,"="&amp;$X429))))</f>
        <v>BARBARIAN#51</v>
      </c>
      <c r="AC429" s="1" t="str">
        <f>IF($C429="","",$B429&amp;"@"&amp;(COUNTIFS($B$4:$B$1463,$B429,$C$4:$C$1463,"&lt;"&amp;$C429)+COUNTIFS($B$4:$B429,$B429,$C$4:$C429,$C429)))</f>
        <v>VANGUARD@40</v>
      </c>
      <c r="AD429" s="1">
        <f t="shared" si="34"/>
        <v>426</v>
      </c>
      <c r="AE429" s="1" t="s">
        <v>1302</v>
      </c>
      <c r="AF429" s="76">
        <f t="shared" si="35"/>
        <v>63134</v>
      </c>
      <c r="AG429" s="77">
        <f t="shared" si="36"/>
        <v>5.67</v>
      </c>
      <c r="AH429" s="1" t="str">
        <f>IF($C429="","",$B429&amp;"|"&amp;(COUNTIFS($B$4:$B$1463,$B429,$AF$4:$AF$1463,"&gt;"&amp;$AF429)+COUNTIFS($B$4:$B429,$B429,$AF$4:$AF429,"="&amp;$AF429)))</f>
        <v>VANGUARD|57</v>
      </c>
      <c r="AI429" s="1" t="str">
        <f>IF($C429="","",$B429&amp;"|"&amp;(COUNTIFS($B$4:$B$1463,$B429,$AG$4:$AG$1463,"&gt;"&amp;$AG429)+COUNTIFS($B$4:$B429,$B429,$AG$4:$AG429,"="&amp;$AG429)))</f>
        <v>VANGUARD|50</v>
      </c>
    </row>
    <row r="430" spans="1:35" hidden="1">
      <c r="A430" s="69" t="s">
        <v>109</v>
      </c>
      <c r="B430" s="69" t="s">
        <v>108</v>
      </c>
      <c r="C430" s="63" t="s">
        <v>1303</v>
      </c>
      <c r="D430" s="69"/>
      <c r="E430" s="68" t="s">
        <v>79</v>
      </c>
      <c r="F430" s="15" t="str">
        <f>IF($C430="","",IF($E430="","-",IFERROR(INDEX(SETUP!$B$55:$B$64,MATCH($E430,SETUP!$A$55:$A$64,0)),"Other")))</f>
        <v>Control</v>
      </c>
      <c r="G430" s="70">
        <v>61909</v>
      </c>
      <c r="H430" s="15" t="str">
        <f>IF($C430="","",IF($G430="","-",INDEX(SETUP!$B$26:$B$32,MATCH($G430,SETUP!$A$26:$A$32,1))))</f>
        <v>61,000 - 61,999</v>
      </c>
      <c r="I430" s="70">
        <v>6144</v>
      </c>
      <c r="J430" s="15" t="str">
        <f>IF($C430="","",IF($I430="","-",INDEX(SETUP!$B$16:$B$22,MATCH($I430,SETUP!$A$16:$A$22,1))))</f>
        <v>VETERAN</v>
      </c>
      <c r="K430" s="15" t="str">
        <f>IF($C430="","",IF($I430="","-",TEXT(INT($I430/1000)*1000,"#,##0")&amp;" - "&amp;TEXT(INT($I430/1000)*1000+999,"#,##0")))</f>
        <v>6,000 - 6,999</v>
      </c>
      <c r="L430" s="71">
        <v>7.2</v>
      </c>
      <c r="M430" s="15" t="str">
        <f>IF($C430="","",IF($L430="","-",INDEX(SETUP!$B$36:$B$42,MATCH($L430,SETUP!$A$36:$A$42,1))))</f>
        <v>6k - 8k</v>
      </c>
      <c r="N430" s="17">
        <f>IF($C430="","",IF(OR($G430="",$I430=""),"",ROUND(100*(SETUP!$B$4*MIN(1,$I430/SETUP!$B$9)+SETUP!$B$5*MAX(0,MIN(1,($G430-SETUP!$B$10)/(SETUP!$B$11-SETUP!$B$10)))+SETUP!$B$6*MIN(1,IF($L430="",0,$L430)/SETUP!$B$12)),1)))</f>
        <v>57</v>
      </c>
      <c r="O430" s="15" t="str">
        <f>IF($C430="","",IF($N430="","-",INDEX(SETUP!$B$46:$B$51,MATCH($N430,SETUP!$A$46:$A$51,1))))</f>
        <v>A</v>
      </c>
      <c r="P430" s="15">
        <f>IF($C430="","",IF($I430="","",RANK($I430,$I$4:$I$1463)+COUNTIF($I$4:$I430,$I430)-1))</f>
        <v>274</v>
      </c>
      <c r="Q430" s="15">
        <f>IF($C430="","",COUNTIFS($B$4:$B$1463,$B430,$X$4:$X$1463,"&gt;"&amp;$X430)+COUNTIFS($B$4:$B430,$B430,$X$4:$X430,"="&amp;$X430))</f>
        <v>43</v>
      </c>
      <c r="R430" s="72">
        <f>IF($C430="","",IF($I430="","",ROUND(COUNTIF($I$4:$I$1463,"&lt;"&amp;$I430)/COUNT($I$4:$I$1463),3)))</f>
        <v>0.79300000000000004</v>
      </c>
      <c r="S430" s="15" t="str">
        <f>IF($C430="","",IF($G430="","Name only",IF(OR($I430="",$L430=""),"Partial","Complete")))</f>
        <v>Complete</v>
      </c>
      <c r="T430" s="41" t="str">
        <f>IF($C430="","",TRIM(IF(COUNTIF($C$4:$C$1463,$C430)&gt;1,"Dup name; ","")&amp;IF(AND($G430&lt;&gt;"",$G430&lt;55000),"Low CR - verify; ","")&amp;IF(AND($L430&lt;&gt;"",$L430&gt;15),"Secondary - verify; ","")&amp;IF($E430="","No class; ","")))</f>
        <v/>
      </c>
      <c r="U430" s="68"/>
      <c r="V430" s="68"/>
      <c r="W430" s="68"/>
      <c r="X430" s="73">
        <f t="shared" si="32"/>
        <v>6144</v>
      </c>
      <c r="Y430" s="41" t="str">
        <f t="shared" si="33"/>
        <v>SBG|43</v>
      </c>
      <c r="Z430" s="15">
        <f>IF($C430="","",IF($G430="","",RANK($G430,$G$4:$G$1463)+COUNTIF($G$4:$G430,$G430)-1))</f>
        <v>870</v>
      </c>
      <c r="AA430" s="15">
        <f>IF($C430="","",IF($N430="","",RANK($N430,$N$4:$N$1463)+COUNTIF($N$4:$N430,$N430)-1))</f>
        <v>278</v>
      </c>
      <c r="AB430" s="41" t="str">
        <f>IF($C430="","",IF($E430="","",$E430&amp;"#"&amp;(COUNTIFS($E$4:$E$1463,$E430,$X$4:$X$1463,"&gt;"&amp;$X430)+COUNTIFS($E$4:$E430,$E430,$X$4:$X430,"="&amp;$X430))))</f>
        <v>WARLOCK#58</v>
      </c>
      <c r="AC430" s="41" t="str">
        <f>IF($C430="","",$B430&amp;"@"&amp;(COUNTIFS($B$4:$B$1463,$B430,$C$4:$C$1463,"&lt;"&amp;$C430)+COUNTIFS($B$4:$B430,$B430,$C$4:$C430,$C430)))</f>
        <v>SBG@27</v>
      </c>
      <c r="AD430" s="41">
        <f t="shared" si="34"/>
        <v>427</v>
      </c>
      <c r="AE430" s="41" t="s">
        <v>1304</v>
      </c>
      <c r="AF430" s="73">
        <f t="shared" si="35"/>
        <v>61909</v>
      </c>
      <c r="AG430" s="74">
        <f t="shared" si="36"/>
        <v>7.2</v>
      </c>
      <c r="AH430" s="41" t="str">
        <f>IF($C430="","",$B430&amp;"|"&amp;(COUNTIFS($B$4:$B$1463,$B430,$AF$4:$AF$1463,"&gt;"&amp;$AF430)+COUNTIFS($B$4:$B430,$B430,$AF$4:$AF430,"="&amp;$AF430)))</f>
        <v>SBG|74</v>
      </c>
      <c r="AI430" s="41" t="str">
        <f>IF($C430="","",$B430&amp;"|"&amp;(COUNTIFS($B$4:$B$1463,$B430,$AG$4:$AG$1463,"&gt;"&amp;$AG430)+COUNTIFS($B$4:$B430,$B430,$AG$4:$AG430,"="&amp;$AG430)))</f>
        <v>SBG|24</v>
      </c>
    </row>
    <row r="431" spans="1:35" hidden="1">
      <c r="A431" s="69" t="s">
        <v>109</v>
      </c>
      <c r="B431" s="69" t="s">
        <v>113</v>
      </c>
      <c r="C431" s="63" t="s">
        <v>1305</v>
      </c>
      <c r="D431" s="69" t="s">
        <v>548</v>
      </c>
      <c r="E431" s="68" t="s">
        <v>74</v>
      </c>
      <c r="F431" s="19" t="str">
        <f>IF($C431="","",IF($E431="","-",IFERROR(INDEX(SETUP!$B$55:$B$64,MATCH($E431,SETUP!$A$55:$A$64,0)),"Other")))</f>
        <v>Ranged DPS</v>
      </c>
      <c r="G431" s="70">
        <v>61425</v>
      </c>
      <c r="H431" s="19" t="str">
        <f>IF($C431="","",IF($G431="","-",INDEX(SETUP!$B$26:$B$32,MATCH($G431,SETUP!$A$26:$A$32,1))))</f>
        <v>61,000 - 61,999</v>
      </c>
      <c r="I431" s="70">
        <v>2073</v>
      </c>
      <c r="J431" s="19" t="str">
        <f>IF($C431="","",IF($I431="","-",INDEX(SETUP!$B$16:$B$22,MATCH($I431,SETUP!$A$16:$A$22,1))))</f>
        <v>DEVELOPING</v>
      </c>
      <c r="K431" s="19" t="str">
        <f>IF($C431="","",IF($I431="","-",TEXT(INT($I431/1000)*1000,"#,##0")&amp;" - "&amp;TEXT(INT($I431/1000)*1000+999,"#,##0")))</f>
        <v>2,000 - 2,999</v>
      </c>
      <c r="L431" s="71">
        <v>3.9</v>
      </c>
      <c r="M431" s="19" t="str">
        <f>IF($C431="","",IF($L431="","-",INDEX(SETUP!$B$36:$B$42,MATCH($L431,SETUP!$A$36:$A$42,1))))</f>
        <v>3k - 4k</v>
      </c>
      <c r="N431" s="21">
        <f>IF($C431="","",IF(OR($G431="",$I431=""),"",ROUND(100*(SETUP!$B$4*MIN(1,$I431/SETUP!$B$9)+SETUP!$B$5*MAX(0,MIN(1,($G431-SETUP!$B$10)/(SETUP!$B$11-SETUP!$B$10)))+SETUP!$B$6*MIN(1,IF($L431="",0,$L431)/SETUP!$B$12)),1)))</f>
        <v>32.5</v>
      </c>
      <c r="O431" s="19" t="str">
        <f>IF($C431="","",IF($N431="","-",INDEX(SETUP!$B$46:$B$51,MATCH($N431,SETUP!$A$46:$A$51,1))))</f>
        <v>C</v>
      </c>
      <c r="P431" s="19">
        <f>IF($C431="","",IF($I431="","",RANK($I431,$I$4:$I$1463)+COUNTIF($I$4:$I431,$I431)-1))</f>
        <v>1095</v>
      </c>
      <c r="Q431" s="19">
        <f>IF($C431="","",COUNTIFS($B$4:$B$1463,$B431,$X$4:$X$1463,"&gt;"&amp;$X431)+COUNTIFS($B$4:$B431,$B431,$X$4:$X431,"="&amp;$X431))</f>
        <v>78</v>
      </c>
      <c r="R431" s="75">
        <f>IF($C431="","",IF($I431="","",ROUND(COUNTIF($I$4:$I$1463,"&lt;"&amp;$I431)/COUNT($I$4:$I$1463),3)))</f>
        <v>0.17399999999999999</v>
      </c>
      <c r="S431" s="19" t="str">
        <f>IF($C431="","",IF($G431="","Name only",IF(OR($I431="",$L431=""),"Partial","Complete")))</f>
        <v>Complete</v>
      </c>
      <c r="T431" s="1" t="str">
        <f>IF($C431="","",TRIM(IF(COUNTIF($C$4:$C$1463,$C431)&gt;1,"Dup name; ","")&amp;IF(AND($G431&lt;&gt;"",$G431&lt;55000),"Low CR - verify; ","")&amp;IF(AND($L431&lt;&gt;"",$L431&gt;15),"Secondary - verify; ","")&amp;IF($E431="","No class; ","")))</f>
        <v/>
      </c>
      <c r="U431" s="68"/>
      <c r="V431" s="68"/>
      <c r="W431" s="68"/>
      <c r="X431" s="76">
        <f t="shared" si="32"/>
        <v>2073</v>
      </c>
      <c r="Y431" s="1" t="str">
        <f t="shared" si="33"/>
        <v>INVICTUS|78</v>
      </c>
      <c r="Z431" s="19">
        <f>IF($C431="","",IF($G431="","",RANK($G431,$G$4:$G$1463)+COUNTIF($G$4:$G431,$G431)-1))</f>
        <v>1023</v>
      </c>
      <c r="AA431" s="19">
        <f>IF($C431="","",IF($N431="","",RANK($N431,$N$4:$N$1463)+COUNTIF($N$4:$N431,$N431)-1))</f>
        <v>1081</v>
      </c>
      <c r="AB431" s="1" t="str">
        <f>IF($C431="","",IF($E431="","",$E431&amp;"#"&amp;(COUNTIFS($E$4:$E$1463,$E431,$X$4:$X$1463,"&gt;"&amp;$X431)+COUNTIFS($E$4:$E431,$E431,$X$4:$X431,"="&amp;$X431))))</f>
        <v>DEMON HUNTER#167</v>
      </c>
      <c r="AC431" s="1" t="str">
        <f>IF($C431="","",$B431&amp;"@"&amp;(COUNTIFS($B$4:$B$1463,$B431,$C$4:$C$1463,"&lt;"&amp;$C431)+COUNTIFS($B$4:$B431,$B431,$C$4:$C431,$C431)))</f>
        <v>INVICTUS@24</v>
      </c>
      <c r="AD431" s="1">
        <f t="shared" si="34"/>
        <v>428</v>
      </c>
      <c r="AE431" s="1" t="s">
        <v>1306</v>
      </c>
      <c r="AF431" s="76">
        <f t="shared" si="35"/>
        <v>61425</v>
      </c>
      <c r="AG431" s="77">
        <f t="shared" si="36"/>
        <v>3.9</v>
      </c>
      <c r="AH431" s="1" t="str">
        <f>IF($C431="","",$B431&amp;"|"&amp;(COUNTIFS($B$4:$B$1463,$B431,$AF$4:$AF$1463,"&gt;"&amp;$AF431)+COUNTIFS($B$4:$B431,$B431,$AF$4:$AF431,"="&amp;$AF431)))</f>
        <v>INVICTUS|72</v>
      </c>
      <c r="AI431" s="1" t="str">
        <f>IF($C431="","",$B431&amp;"|"&amp;(COUNTIFS($B$4:$B$1463,$B431,$AG$4:$AG$1463,"&gt;"&amp;$AG431)+COUNTIFS($B$4:$B431,$B431,$AG$4:$AG431,"="&amp;$AG431)))</f>
        <v>INVICTUS|60</v>
      </c>
    </row>
    <row r="432" spans="1:35" hidden="1">
      <c r="A432" s="69" t="s">
        <v>106</v>
      </c>
      <c r="B432" s="69" t="s">
        <v>107</v>
      </c>
      <c r="C432" s="63" t="s">
        <v>1307</v>
      </c>
      <c r="D432" s="69"/>
      <c r="E432" s="68" t="s">
        <v>78</v>
      </c>
      <c r="F432" s="15" t="str">
        <f>IF($C432="","",IF($E432="","-",IFERROR(INDEX(SETUP!$B$55:$B$64,MATCH($E432,SETUP!$A$55:$A$64,0)),"Other")))</f>
        <v>Melee DPS</v>
      </c>
      <c r="G432" s="70">
        <v>62791</v>
      </c>
      <c r="H432" s="15" t="str">
        <f>IF($C432="","",IF($G432="","-",INDEX(SETUP!$B$26:$B$32,MATCH($G432,SETUP!$A$26:$A$32,1))))</f>
        <v>62,000 - 62,999</v>
      </c>
      <c r="I432" s="70">
        <v>3794</v>
      </c>
      <c r="J432" s="15" t="str">
        <f>IF($C432="","",IF($I432="","-",INDEX(SETUP!$B$16:$B$22,MATCH($I432,SETUP!$A$16:$A$22,1))))</f>
        <v>DEVELOPING</v>
      </c>
      <c r="K432" s="15" t="str">
        <f>IF($C432="","",IF($I432="","-",TEXT(INT($I432/1000)*1000,"#,##0")&amp;" - "&amp;TEXT(INT($I432/1000)*1000+999,"#,##0")))</f>
        <v>3,000 - 3,999</v>
      </c>
      <c r="L432" s="71">
        <v>4.5999999999999996</v>
      </c>
      <c r="M432" s="15" t="str">
        <f>IF($C432="","",IF($L432="","-",INDEX(SETUP!$B$36:$B$42,MATCH($L432,SETUP!$A$36:$A$42,1))))</f>
        <v>4k - 5k</v>
      </c>
      <c r="N432" s="17">
        <f>IF($C432="","",IF(OR($G432="",$I432=""),"",ROUND(100*(SETUP!$B$4*MIN(1,$I432/SETUP!$B$9)+SETUP!$B$5*MAX(0,MIN(1,($G432-SETUP!$B$10)/(SETUP!$B$11-SETUP!$B$10)))+SETUP!$B$6*MIN(1,IF($L432="",0,$L432)/SETUP!$B$12)),1)))</f>
        <v>44.7</v>
      </c>
      <c r="O432" s="15" t="str">
        <f>IF($C432="","",IF($N432="","-",INDEX(SETUP!$B$46:$B$51,MATCH($N432,SETUP!$A$46:$A$51,1))))</f>
        <v>B</v>
      </c>
      <c r="P432" s="15">
        <f>IF($C432="","",IF($I432="","",RANK($I432,$I$4:$I$1463)+COUNTIF($I$4:$I432,$I432)-1))</f>
        <v>651</v>
      </c>
      <c r="Q432" s="15">
        <f>IF($C432="","",COUNTIFS($B$4:$B$1463,$B432,$X$4:$X$1463,"&gt;"&amp;$X432)+COUNTIFS($B$4:$B432,$B432,$X$4:$X432,"="&amp;$X432))</f>
        <v>56</v>
      </c>
      <c r="R432" s="72">
        <f>IF($C432="","",IF($I432="","",ROUND(COUNTIF($I$4:$I$1463,"&lt;"&amp;$I432)/COUNT($I$4:$I$1463),3)))</f>
        <v>0.50900000000000001</v>
      </c>
      <c r="S432" s="15" t="str">
        <f>IF($C432="","",IF($G432="","Name only",IF(OR($I432="",$L432=""),"Partial","Complete")))</f>
        <v>Complete</v>
      </c>
      <c r="T432" s="41" t="str">
        <f>IF($C432="","",TRIM(IF(COUNTIF($C$4:$C$1463,$C432)&gt;1,"Dup name; ","")&amp;IF(AND($G432&lt;&gt;"",$G432&lt;55000),"Low CR - verify; ","")&amp;IF(AND($L432&lt;&gt;"",$L432&gt;15),"Secondary - verify; ","")&amp;IF($E432="","No class; ","")))</f>
        <v/>
      </c>
      <c r="U432" s="68"/>
      <c r="V432" s="68"/>
      <c r="W432" s="68"/>
      <c r="X432" s="73">
        <f t="shared" si="32"/>
        <v>3794</v>
      </c>
      <c r="Y432" s="41" t="str">
        <f t="shared" si="33"/>
        <v>UNDYING|56</v>
      </c>
      <c r="Z432" s="15">
        <f>IF($C432="","",IF($G432="","",RANK($G432,$G$4:$G$1463)+COUNTIF($G$4:$G432,$G432)-1))</f>
        <v>524</v>
      </c>
      <c r="AA432" s="15">
        <f>IF($C432="","",IF($N432="","",RANK($N432,$N$4:$N$1463)+COUNTIF($N$4:$N432,$N432)-1))</f>
        <v>634</v>
      </c>
      <c r="AB432" s="41" t="str">
        <f>IF($C432="","",IF($E432="","",$E432&amp;"#"&amp;(COUNTIFS($E$4:$E$1463,$E432,$X$4:$X$1463,"&gt;"&amp;$X432)+COUNTIFS($E$4:$E432,$E432,$X$4:$X432,"="&amp;$X432))))</f>
        <v>TEMPEST#24</v>
      </c>
      <c r="AC432" s="41" t="str">
        <f>IF($C432="","",$B432&amp;"@"&amp;(COUNTIFS($B$4:$B$1463,$B432,$C$4:$C$1463,"&lt;"&amp;$C432)+COUNTIFS($B$4:$B432,$B432,$C$4:$C432,$C432)))</f>
        <v>UNDYING@38</v>
      </c>
      <c r="AD432" s="41">
        <f t="shared" si="34"/>
        <v>429</v>
      </c>
      <c r="AE432" s="41" t="s">
        <v>553</v>
      </c>
      <c r="AF432" s="73">
        <f t="shared" si="35"/>
        <v>62791</v>
      </c>
      <c r="AG432" s="74">
        <f t="shared" si="36"/>
        <v>4.5999999999999996</v>
      </c>
      <c r="AH432" s="41" t="str">
        <f>IF($C432="","",$B432&amp;"|"&amp;(COUNTIFS($B$4:$B$1463,$B432,$AF$4:$AF$1463,"&gt;"&amp;$AF432)+COUNTIFS($B$4:$B432,$B432,$AF$4:$AF432,"="&amp;$AF432)))</f>
        <v>UNDYING|51</v>
      </c>
      <c r="AI432" s="41" t="str">
        <f>IF($C432="","",$B432&amp;"|"&amp;(COUNTIFS($B$4:$B$1463,$B432,$AG$4:$AG$1463,"&gt;"&amp;$AG432)+COUNTIFS($B$4:$B432,$B432,$AG$4:$AG432,"="&amp;$AG432)))</f>
        <v>UNDYING|67</v>
      </c>
    </row>
    <row r="433" spans="1:35" hidden="1">
      <c r="A433" s="69" t="s">
        <v>109</v>
      </c>
      <c r="B433" s="69" t="s">
        <v>116</v>
      </c>
      <c r="C433" s="63" t="s">
        <v>1308</v>
      </c>
      <c r="D433" s="69" t="s">
        <v>530</v>
      </c>
      <c r="E433" s="68" t="s">
        <v>73</v>
      </c>
      <c r="F433" s="19" t="str">
        <f>IF($C433="","",IF($E433="","-",IFERROR(INDEX(SETUP!$B$55:$B$64,MATCH($E433,SETUP!$A$55:$A$64,0)),"Other")))</f>
        <v>Frontline</v>
      </c>
      <c r="G433" s="70">
        <v>62839</v>
      </c>
      <c r="H433" s="19" t="str">
        <f>IF($C433="","",IF($G433="","-",INDEX(SETUP!$B$26:$B$32,MATCH($G433,SETUP!$A$26:$A$32,1))))</f>
        <v>62,000 - 62,999</v>
      </c>
      <c r="I433" s="70">
        <v>4695</v>
      </c>
      <c r="J433" s="19" t="str">
        <f>IF($C433="","",IF($I433="","-",INDEX(SETUP!$B$16:$B$22,MATCH($I433,SETUP!$A$16:$A$22,1))))</f>
        <v>CORE</v>
      </c>
      <c r="K433" s="19" t="str">
        <f>IF($C433="","",IF($I433="","-",TEXT(INT($I433/1000)*1000,"#,##0")&amp;" - "&amp;TEXT(INT($I433/1000)*1000+999,"#,##0")))</f>
        <v>4,000 - 4,999</v>
      </c>
      <c r="L433" s="71">
        <v>5.4</v>
      </c>
      <c r="M433" s="19" t="str">
        <f>IF($C433="","",IF($L433="","-",INDEX(SETUP!$B$36:$B$42,MATCH($L433,SETUP!$A$36:$A$42,1))))</f>
        <v>5k - 6k</v>
      </c>
      <c r="N433" s="21">
        <f>IF($C433="","",IF(OR($G433="",$I433=""),"",ROUND(100*(SETUP!$B$4*MIN(1,$I433/SETUP!$B$9)+SETUP!$B$5*MAX(0,MIN(1,($G433-SETUP!$B$10)/(SETUP!$B$11-SETUP!$B$10)))+SETUP!$B$6*MIN(1,IF($L433="",0,$L433)/SETUP!$B$12)),1)))</f>
        <v>50.1</v>
      </c>
      <c r="O433" s="19" t="str">
        <f>IF($C433="","",IF($N433="","-",INDEX(SETUP!$B$46:$B$51,MATCH($N433,SETUP!$A$46:$A$51,1))))</f>
        <v>A</v>
      </c>
      <c r="P433" s="19">
        <f>IF($C433="","",IF($I433="","",RANK($I433,$I$4:$I$1463)+COUNTIF($I$4:$I433,$I433)-1))</f>
        <v>455</v>
      </c>
      <c r="Q433" s="19">
        <f>IF($C433="","",COUNTIFS($B$4:$B$1463,$B433,$X$4:$X$1463,"&gt;"&amp;$X433)+COUNTIFS($B$4:$B433,$B433,$X$4:$X433,"="&amp;$X433))</f>
        <v>20</v>
      </c>
      <c r="R433" s="75">
        <f>IF($C433="","",IF($I433="","",ROUND(COUNTIF($I$4:$I$1463,"&lt;"&amp;$I433)/COUNT($I$4:$I$1463),3)))</f>
        <v>0.65700000000000003</v>
      </c>
      <c r="S433" s="19" t="str">
        <f>IF($C433="","",IF($G433="","Name only",IF(OR($I433="",$L433=""),"Partial","Complete")))</f>
        <v>Complete</v>
      </c>
      <c r="T433" s="1" t="str">
        <f>IF($C433="","",TRIM(IF(COUNTIF($C$4:$C$1463,$C433)&gt;1,"Dup name; ","")&amp;IF(AND($G433&lt;&gt;"",$G433&lt;55000),"Low CR - verify; ","")&amp;IF(AND($L433&lt;&gt;"",$L433&gt;15),"Secondary - verify; ","")&amp;IF($E433="","No class; ","")))</f>
        <v/>
      </c>
      <c r="U433" s="68"/>
      <c r="V433" s="68"/>
      <c r="W433" s="68"/>
      <c r="X433" s="76">
        <f t="shared" si="32"/>
        <v>4695</v>
      </c>
      <c r="Y433" s="1" t="str">
        <f t="shared" si="33"/>
        <v>VENGEANCE|20</v>
      </c>
      <c r="Z433" s="19">
        <f>IF($C433="","",IF($G433="","",RANK($G433,$G$4:$G$1463)+COUNTIF($G$4:$G433,$G433)-1))</f>
        <v>502</v>
      </c>
      <c r="AA433" s="19">
        <f>IF($C433="","",IF($N433="","",RANK($N433,$N$4:$N$1463)+COUNTIF($N$4:$N433,$N433)-1))</f>
        <v>454</v>
      </c>
      <c r="AB433" s="1" t="str">
        <f>IF($C433="","",IF($E433="","",$E433&amp;"#"&amp;(COUNTIFS($E$4:$E$1463,$E433,$X$4:$X$1463,"&gt;"&amp;$X433)+COUNTIFS($E$4:$E433,$E433,$X$4:$X433,"="&amp;$X433))))</f>
        <v>CRUSADER#55</v>
      </c>
      <c r="AC433" s="1" t="str">
        <f>IF($C433="","",$B433&amp;"@"&amp;(COUNTIFS($B$4:$B$1463,$B433,$C$4:$C$1463,"&lt;"&amp;$C433)+COUNTIFS($B$4:$B433,$B433,$C$4:$C433,$C433)))</f>
        <v>VENGEANCE@32</v>
      </c>
      <c r="AD433" s="1">
        <f t="shared" si="34"/>
        <v>430</v>
      </c>
      <c r="AE433" s="1" t="s">
        <v>799</v>
      </c>
      <c r="AF433" s="76">
        <f t="shared" si="35"/>
        <v>62839</v>
      </c>
      <c r="AG433" s="77">
        <f t="shared" si="36"/>
        <v>5.4</v>
      </c>
      <c r="AH433" s="1" t="str">
        <f>IF($C433="","",$B433&amp;"|"&amp;(COUNTIFS($B$4:$B$1463,$B433,$AF$4:$AF$1463,"&gt;"&amp;$AF433)+COUNTIFS($B$4:$B433,$B433,$AF$4:$AF433,"="&amp;$AF433)))</f>
        <v>VENGEANCE|26</v>
      </c>
      <c r="AI433" s="1" t="str">
        <f>IF($C433="","",$B433&amp;"|"&amp;(COUNTIFS($B$4:$B$1463,$B433,$AG$4:$AG$1463,"&gt;"&amp;$AG433)+COUNTIFS($B$4:$B433,$B433,$AG$4:$AG433,"="&amp;$AG433)))</f>
        <v>VENGEANCE|21</v>
      </c>
    </row>
    <row r="434" spans="1:35" hidden="1">
      <c r="A434" s="69" t="s">
        <v>109</v>
      </c>
      <c r="B434" s="69" t="s">
        <v>112</v>
      </c>
      <c r="C434" s="63" t="s">
        <v>1309</v>
      </c>
      <c r="D434" s="69" t="s">
        <v>567</v>
      </c>
      <c r="E434" s="68" t="s">
        <v>71</v>
      </c>
      <c r="F434" s="15" t="str">
        <f>IF($C434="","",IF($E434="","-",IFERROR(INDEX(SETUP!$B$55:$B$64,MATCH($E434,SETUP!$A$55:$A$64,0)),"Other")))</f>
        <v>Frontline</v>
      </c>
      <c r="G434" s="70">
        <v>61363</v>
      </c>
      <c r="H434" s="15" t="str">
        <f>IF($C434="","",IF($G434="","-",INDEX(SETUP!$B$26:$B$32,MATCH($G434,SETUP!$A$26:$A$32,1))))</f>
        <v>61,000 - 61,999</v>
      </c>
      <c r="I434" s="70">
        <v>2582</v>
      </c>
      <c r="J434" s="15" t="str">
        <f>IF($C434="","",IF($I434="","-",INDEX(SETUP!$B$16:$B$22,MATCH($I434,SETUP!$A$16:$A$22,1))))</f>
        <v>DEVELOPING</v>
      </c>
      <c r="K434" s="15" t="str">
        <f>IF($C434="","",IF($I434="","-",TEXT(INT($I434/1000)*1000,"#,##0")&amp;" - "&amp;TEXT(INT($I434/1000)*1000+999,"#,##0")))</f>
        <v>2,000 - 2,999</v>
      </c>
      <c r="L434" s="71">
        <v>4.2</v>
      </c>
      <c r="M434" s="15" t="str">
        <f>IF($C434="","",IF($L434="","-",INDEX(SETUP!$B$36:$B$42,MATCH($L434,SETUP!$A$36:$A$42,1))))</f>
        <v>4k - 5k</v>
      </c>
      <c r="N434" s="17">
        <f>IF($C434="","",IF(OR($G434="",$I434=""),"",ROUND(100*(SETUP!$B$4*MIN(1,$I434/SETUP!$B$9)+SETUP!$B$5*MAX(0,MIN(1,($G434-SETUP!$B$10)/(SETUP!$B$11-SETUP!$B$10)))+SETUP!$B$6*MIN(1,IF($L434="",0,$L434)/SETUP!$B$12)),1)))</f>
        <v>35</v>
      </c>
      <c r="O434" s="15" t="str">
        <f>IF($C434="","",IF($N434="","-",INDEX(SETUP!$B$46:$B$51,MATCH($N434,SETUP!$A$46:$A$51,1))))</f>
        <v>B</v>
      </c>
      <c r="P434" s="15">
        <f>IF($C434="","",IF($I434="","",RANK($I434,$I$4:$I$1463)+COUNTIF($I$4:$I434,$I434)-1))</f>
        <v>982</v>
      </c>
      <c r="Q434" s="15">
        <f>IF($C434="","",COUNTIFS($B$4:$B$1463,$B434,$X$4:$X$1463,"&gt;"&amp;$X434)+COUNTIFS($B$4:$B434,$B434,$X$4:$X434,"="&amp;$X434))</f>
        <v>76</v>
      </c>
      <c r="R434" s="72">
        <f>IF($C434="","",IF($I434="","",ROUND(COUNTIF($I$4:$I$1463,"&lt;"&amp;$I434)/COUNT($I$4:$I$1463),3)))</f>
        <v>0.25900000000000001</v>
      </c>
      <c r="S434" s="15" t="str">
        <f>IF($C434="","",IF($G434="","Name only",IF(OR($I434="",$L434=""),"Partial","Complete")))</f>
        <v>Complete</v>
      </c>
      <c r="T434" s="41" t="str">
        <f>IF($C434="","",TRIM(IF(COUNTIF($C$4:$C$1463,$C434)&gt;1,"Dup name; ","")&amp;IF(AND($G434&lt;&gt;"",$G434&lt;55000),"Low CR - verify; ","")&amp;IF(AND($L434&lt;&gt;"",$L434&gt;15),"Secondary - verify; ","")&amp;IF($E434="","No class; ","")))</f>
        <v/>
      </c>
      <c r="U434" s="68"/>
      <c r="V434" s="68"/>
      <c r="W434" s="68"/>
      <c r="X434" s="73">
        <f t="shared" si="32"/>
        <v>2582</v>
      </c>
      <c r="Y434" s="41" t="str">
        <f t="shared" si="33"/>
        <v>ACHERON|76</v>
      </c>
      <c r="Z434" s="15">
        <f>IF($C434="","",IF($G434="","",RANK($G434,$G$4:$G$1463)+COUNTIF($G$4:$G434,$G434)-1))</f>
        <v>1048</v>
      </c>
      <c r="AA434" s="15">
        <f>IF($C434="","",IF($N434="","",RANK($N434,$N$4:$N$1463)+COUNTIF($N$4:$N434,$N434)-1))</f>
        <v>1008</v>
      </c>
      <c r="AB434" s="41" t="str">
        <f>IF($C434="","",IF($E434="","",$E434&amp;"#"&amp;(COUNTIFS($E$4:$E$1463,$E434,$X$4:$X$1463,"&gt;"&amp;$X434)+COUNTIFS($E$4:$E434,$E434,$X$4:$X434,"="&amp;$X434))))</f>
        <v>BARBARIAN#166</v>
      </c>
      <c r="AC434" s="41" t="str">
        <f>IF($C434="","",$B434&amp;"@"&amp;(COUNTIFS($B$4:$B$1463,$B434,$C$4:$C$1463,"&lt;"&amp;$C434)+COUNTIFS($B$4:$B434,$B434,$C$4:$C434,$C434)))</f>
        <v>ACHERON@27</v>
      </c>
      <c r="AD434" s="41">
        <f t="shared" si="34"/>
        <v>431</v>
      </c>
      <c r="AE434" s="41" t="s">
        <v>1310</v>
      </c>
      <c r="AF434" s="73">
        <f t="shared" si="35"/>
        <v>61363</v>
      </c>
      <c r="AG434" s="74">
        <f t="shared" si="36"/>
        <v>4.2</v>
      </c>
      <c r="AH434" s="41" t="str">
        <f>IF($C434="","",$B434&amp;"|"&amp;(COUNTIFS($B$4:$B$1463,$B434,$AF$4:$AF$1463,"&gt;"&amp;$AF434)+COUNTIFS($B$4:$B434,$B434,$AF$4:$AF434,"="&amp;$AF434)))</f>
        <v>ACHERON|83</v>
      </c>
      <c r="AI434" s="41" t="str">
        <f>IF($C434="","",$B434&amp;"|"&amp;(COUNTIFS($B$4:$B$1463,$B434,$AG$4:$AG$1463,"&gt;"&amp;$AG434)+COUNTIFS($B$4:$B434,$B434,$AG$4:$AG434,"="&amp;$AG434)))</f>
        <v>ACHERON|67</v>
      </c>
    </row>
    <row r="435" spans="1:35" hidden="1">
      <c r="A435" s="69" t="s">
        <v>106</v>
      </c>
      <c r="B435" s="69" t="s">
        <v>107</v>
      </c>
      <c r="C435" s="63" t="s">
        <v>1311</v>
      </c>
      <c r="D435" s="69"/>
      <c r="E435" s="68" t="s">
        <v>75</v>
      </c>
      <c r="F435" s="19" t="str">
        <f>IF($C435="","",IF($E435="","-",IFERROR(INDEX(SETUP!$B$55:$B$64,MATCH($E435,SETUP!$A$55:$A$64,0)),"Other")))</f>
        <v>Support</v>
      </c>
      <c r="G435" s="70">
        <v>61369</v>
      </c>
      <c r="H435" s="19" t="str">
        <f>IF($C435="","",IF($G435="","-",INDEX(SETUP!$B$26:$B$32,MATCH($G435,SETUP!$A$26:$A$32,1))))</f>
        <v>61,000 - 61,999</v>
      </c>
      <c r="I435" s="70">
        <v>5400</v>
      </c>
      <c r="J435" s="19" t="str">
        <f>IF($C435="","",IF($I435="","-",INDEX(SETUP!$B$16:$B$22,MATCH($I435,SETUP!$A$16:$A$22,1))))</f>
        <v>CORE</v>
      </c>
      <c r="K435" s="19" t="str">
        <f>IF($C435="","",IF($I435="","-",TEXT(INT($I435/1000)*1000,"#,##0")&amp;" - "&amp;TEXT(INT($I435/1000)*1000+999,"#,##0")))</f>
        <v>5,000 - 5,999</v>
      </c>
      <c r="L435" s="71">
        <v>4.8499999999999996</v>
      </c>
      <c r="M435" s="19" t="str">
        <f>IF($C435="","",IF($L435="","-",INDEX(SETUP!$B$36:$B$42,MATCH($L435,SETUP!$A$36:$A$42,1))))</f>
        <v>4k - 5k</v>
      </c>
      <c r="N435" s="21">
        <f>IF($C435="","",IF(OR($G435="",$I435=""),"",ROUND(100*(SETUP!$B$4*MIN(1,$I435/SETUP!$B$9)+SETUP!$B$5*MAX(0,MIN(1,($G435-SETUP!$B$10)/(SETUP!$B$11-SETUP!$B$10)))+SETUP!$B$6*MIN(1,IF($L435="",0,$L435)/SETUP!$B$12)),1)))</f>
        <v>48.4</v>
      </c>
      <c r="O435" s="19" t="str">
        <f>IF($C435="","",IF($N435="","-",INDEX(SETUP!$B$46:$B$51,MATCH($N435,SETUP!$A$46:$A$51,1))))</f>
        <v>B</v>
      </c>
      <c r="P435" s="19">
        <f>IF($C435="","",IF($I435="","",RANK($I435,$I$4:$I$1463)+COUNTIF($I$4:$I435,$I435)-1))</f>
        <v>346</v>
      </c>
      <c r="Q435" s="19">
        <f>IF($C435="","",COUNTIFS($B$4:$B$1463,$B435,$X$4:$X$1463,"&gt;"&amp;$X435)+COUNTIFS($B$4:$B435,$B435,$X$4:$X435,"="&amp;$X435))</f>
        <v>24</v>
      </c>
      <c r="R435" s="75">
        <f>IF($C435="","",IF($I435="","",ROUND(COUNTIF($I$4:$I$1463,"&lt;"&amp;$I435)/COUNT($I$4:$I$1463),3)))</f>
        <v>0.73899999999999999</v>
      </c>
      <c r="S435" s="19" t="str">
        <f>IF($C435="","",IF($G435="","Name only",IF(OR($I435="",$L435=""),"Partial","Complete")))</f>
        <v>Complete</v>
      </c>
      <c r="T435" s="1" t="str">
        <f>IF($C435="","",TRIM(IF(COUNTIF($C$4:$C$1463,$C435)&gt;1,"Dup name; ","")&amp;IF(AND($G435&lt;&gt;"",$G435&lt;55000),"Low CR - verify; ","")&amp;IF(AND($L435&lt;&gt;"",$L435&gt;15),"Secondary - verify; ","")&amp;IF($E435="","No class; ","")))</f>
        <v/>
      </c>
      <c r="U435" s="68"/>
      <c r="V435" s="68"/>
      <c r="W435" s="68"/>
      <c r="X435" s="76">
        <f t="shared" si="32"/>
        <v>5400</v>
      </c>
      <c r="Y435" s="1" t="str">
        <f t="shared" si="33"/>
        <v>UNDYING|24</v>
      </c>
      <c r="Z435" s="19">
        <f>IF($C435="","",IF($G435="","",RANK($G435,$G$4:$G$1463)+COUNTIF($G$4:$G435,$G435)-1))</f>
        <v>1046</v>
      </c>
      <c r="AA435" s="19">
        <f>IF($C435="","",IF($N435="","",RANK($N435,$N$4:$N$1463)+COUNTIF($N$4:$N435,$N435)-1))</f>
        <v>505</v>
      </c>
      <c r="AB435" s="1" t="str">
        <f>IF($C435="","",IF($E435="","",$E435&amp;"#"&amp;(COUNTIFS($E$4:$E$1463,$E435,$X$4:$X$1463,"&gt;"&amp;$X435)+COUNTIFS($E$4:$E435,$E435,$X$4:$X435,"="&amp;$X435))))</f>
        <v>DRUID#18</v>
      </c>
      <c r="AC435" s="1" t="str">
        <f>IF($C435="","",$B435&amp;"@"&amp;(COUNTIFS($B$4:$B$1463,$B435,$C$4:$C$1463,"&lt;"&amp;$C435)+COUNTIFS($B$4:$B435,$B435,$C$4:$C435,$C435)))</f>
        <v>UNDYING@39</v>
      </c>
      <c r="AD435" s="1">
        <f t="shared" si="34"/>
        <v>432</v>
      </c>
      <c r="AE435" s="1" t="s">
        <v>946</v>
      </c>
      <c r="AF435" s="76">
        <f t="shared" si="35"/>
        <v>61369</v>
      </c>
      <c r="AG435" s="77">
        <f t="shared" si="36"/>
        <v>4.8499999999999996</v>
      </c>
      <c r="AH435" s="1" t="str">
        <f>IF($C435="","",$B435&amp;"|"&amp;(COUNTIFS($B$4:$B$1463,$B435,$AF$4:$AF$1463,"&gt;"&amp;$AF435)+COUNTIFS($B$4:$B435,$B435,$AF$4:$AF435,"="&amp;$AF435)))</f>
        <v>UNDYING|91</v>
      </c>
      <c r="AI435" s="1" t="str">
        <f>IF($C435="","",$B435&amp;"|"&amp;(COUNTIFS($B$4:$B$1463,$B435,$AG$4:$AG$1463,"&gt;"&amp;$AG435)+COUNTIFS($B$4:$B435,$B435,$AG$4:$AG435,"="&amp;$AG435)))</f>
        <v>UNDYING|57</v>
      </c>
    </row>
    <row r="436" spans="1:35" hidden="1">
      <c r="A436" s="69" t="s">
        <v>109</v>
      </c>
      <c r="B436" s="69" t="s">
        <v>110</v>
      </c>
      <c r="C436" s="63" t="s">
        <v>1312</v>
      </c>
      <c r="D436" s="69"/>
      <c r="E436" s="68" t="s">
        <v>79</v>
      </c>
      <c r="F436" s="15" t="str">
        <f>IF($C436="","",IF($E436="","-",IFERROR(INDEX(SETUP!$B$55:$B$64,MATCH($E436,SETUP!$A$55:$A$64,0)),"Other")))</f>
        <v>Control</v>
      </c>
      <c r="G436" s="70">
        <v>62171</v>
      </c>
      <c r="H436" s="15" t="str">
        <f>IF($C436="","",IF($G436="","-",INDEX(SETUP!$B$26:$B$32,MATCH($G436,SETUP!$A$26:$A$32,1))))</f>
        <v>62,000 - 62,999</v>
      </c>
      <c r="I436" s="70">
        <v>3008</v>
      </c>
      <c r="J436" s="15" t="str">
        <f>IF($C436="","",IF($I436="","-",INDEX(SETUP!$B$16:$B$22,MATCH($I436,SETUP!$A$16:$A$22,1))))</f>
        <v>DEVELOPING</v>
      </c>
      <c r="K436" s="15" t="str">
        <f>IF($C436="","",IF($I436="","-",TEXT(INT($I436/1000)*1000,"#,##0")&amp;" - "&amp;TEXT(INT($I436/1000)*1000+999,"#,##0")))</f>
        <v>3,000 - 3,999</v>
      </c>
      <c r="L436" s="71">
        <v>6.1</v>
      </c>
      <c r="M436" s="15" t="str">
        <f>IF($C436="","",IF($L436="","-",INDEX(SETUP!$B$36:$B$42,MATCH($L436,SETUP!$A$36:$A$42,1))))</f>
        <v>6k - 8k</v>
      </c>
      <c r="N436" s="17">
        <f>IF($C436="","",IF(OR($G436="",$I436=""),"",ROUND(100*(SETUP!$B$4*MIN(1,$I436/SETUP!$B$9)+SETUP!$B$5*MAX(0,MIN(1,($G436-SETUP!$B$10)/(SETUP!$B$11-SETUP!$B$10)))+SETUP!$B$6*MIN(1,IF($L436="",0,$L436)/SETUP!$B$12)),1)))</f>
        <v>42.2</v>
      </c>
      <c r="O436" s="15" t="str">
        <f>IF($C436="","",IF($N436="","-",INDEX(SETUP!$B$46:$B$51,MATCH($N436,SETUP!$A$46:$A$51,1))))</f>
        <v>B</v>
      </c>
      <c r="P436" s="15">
        <f>IF($C436="","",IF($I436="","",RANK($I436,$I$4:$I$1463)+COUNTIF($I$4:$I436,$I436)-1))</f>
        <v>881</v>
      </c>
      <c r="Q436" s="15">
        <f>IF($C436="","",COUNTIFS($B$4:$B$1463,$B436,$X$4:$X$1463,"&gt;"&amp;$X436)+COUNTIFS($B$4:$B436,$B436,$X$4:$X436,"="&amp;$X436))</f>
        <v>92</v>
      </c>
      <c r="R436" s="72">
        <f>IF($C436="","",IF($I436="","",ROUND(COUNTIF($I$4:$I$1463,"&lt;"&amp;$I436)/COUNT($I$4:$I$1463),3)))</f>
        <v>0.33500000000000002</v>
      </c>
      <c r="S436" s="15" t="str">
        <f>IF($C436="","",IF($G436="","Name only",IF(OR($I436="",$L436=""),"Partial","Complete")))</f>
        <v>Complete</v>
      </c>
      <c r="T436" s="41" t="str">
        <f>IF($C436="","",TRIM(IF(COUNTIF($C$4:$C$1463,$C436)&gt;1,"Dup name; ","")&amp;IF(AND($G436&lt;&gt;"",$G436&lt;55000),"Low CR - verify; ","")&amp;IF(AND($L436&lt;&gt;"",$L436&gt;15),"Secondary - verify; ","")&amp;IF($E436="","No class; ","")))</f>
        <v/>
      </c>
      <c r="U436" s="68"/>
      <c r="V436" s="68"/>
      <c r="W436" s="68"/>
      <c r="X436" s="73">
        <f t="shared" si="32"/>
        <v>3008</v>
      </c>
      <c r="Y436" s="41" t="str">
        <f t="shared" si="33"/>
        <v>AZUKI|92</v>
      </c>
      <c r="Z436" s="15">
        <f>IF($C436="","",IF($G436="","",RANK($G436,$G$4:$G$1463)+COUNTIF($G$4:$G436,$G436)-1))</f>
        <v>767</v>
      </c>
      <c r="AA436" s="15">
        <f>IF($C436="","",IF($N436="","",RANK($N436,$N$4:$N$1463)+COUNTIF($N$4:$N436,$N436)-1))</f>
        <v>734</v>
      </c>
      <c r="AB436" s="41" t="str">
        <f>IF($C436="","",IF($E436="","",$E436&amp;"#"&amp;(COUNTIFS($E$4:$E$1463,$E436,$X$4:$X$1463,"&gt;"&amp;$X436)+COUNTIFS($E$4:$E436,$E436,$X$4:$X436,"="&amp;$X436))))</f>
        <v>WARLOCK#217</v>
      </c>
      <c r="AC436" s="41" t="str">
        <f>IF($C436="","",$B436&amp;"@"&amp;(COUNTIFS($B$4:$B$1463,$B436,$C$4:$C$1463,"&lt;"&amp;$C436)+COUNTIFS($B$4:$B436,$B436,$C$4:$C436,$C436)))</f>
        <v>AZUKI@39</v>
      </c>
      <c r="AD436" s="41">
        <f t="shared" si="34"/>
        <v>433</v>
      </c>
      <c r="AE436" s="41" t="s">
        <v>1313</v>
      </c>
      <c r="AF436" s="73">
        <f t="shared" si="35"/>
        <v>62171</v>
      </c>
      <c r="AG436" s="74">
        <f t="shared" si="36"/>
        <v>6.1</v>
      </c>
      <c r="AH436" s="41" t="str">
        <f>IF($C436="","",$B436&amp;"|"&amp;(COUNTIFS($B$4:$B$1463,$B436,$AF$4:$AF$1463,"&gt;"&amp;$AF436)+COUNTIFS($B$4:$B436,$B436,$AF$4:$AF436,"="&amp;$AF436)))</f>
        <v>AZUKI|67</v>
      </c>
      <c r="AI436" s="41" t="str">
        <f>IF($C436="","",$B436&amp;"|"&amp;(COUNTIFS($B$4:$B$1463,$B436,$AG$4:$AG$1463,"&gt;"&amp;$AG436)+COUNTIFS($B$4:$B436,$B436,$AG$4:$AG436,"="&amp;$AG436)))</f>
        <v>AZUKI|44</v>
      </c>
    </row>
    <row r="437" spans="1:35" hidden="1">
      <c r="A437" s="69" t="s">
        <v>109</v>
      </c>
      <c r="B437" s="69" t="s">
        <v>116</v>
      </c>
      <c r="C437" s="63" t="s">
        <v>1314</v>
      </c>
      <c r="D437" s="69" t="s">
        <v>530</v>
      </c>
      <c r="E437" s="68" t="s">
        <v>80</v>
      </c>
      <c r="F437" s="19" t="str">
        <f>IF($C437="","",IF($E437="","-",IFERROR(INDEX(SETUP!$B$55:$B$64,MATCH($E437,SETUP!$A$55:$A$64,0)),"Other")))</f>
        <v>Ranged DPS</v>
      </c>
      <c r="G437" s="70">
        <v>61937</v>
      </c>
      <c r="H437" s="19" t="str">
        <f>IF($C437="","",IF($G437="","-",INDEX(SETUP!$B$26:$B$32,MATCH($G437,SETUP!$A$26:$A$32,1))))</f>
        <v>61,000 - 61,999</v>
      </c>
      <c r="I437" s="70">
        <v>3844</v>
      </c>
      <c r="J437" s="19" t="str">
        <f>IF($C437="","",IF($I437="","-",INDEX(SETUP!$B$16:$B$22,MATCH($I437,SETUP!$A$16:$A$22,1))))</f>
        <v>DEVELOPING</v>
      </c>
      <c r="K437" s="19" t="str">
        <f>IF($C437="","",IF($I437="","-",TEXT(INT($I437/1000)*1000,"#,##0")&amp;" - "&amp;TEXT(INT($I437/1000)*1000+999,"#,##0")))</f>
        <v>3,000 - 3,999</v>
      </c>
      <c r="L437" s="71">
        <v>4.05</v>
      </c>
      <c r="M437" s="19" t="str">
        <f>IF($C437="","",IF($L437="","-",INDEX(SETUP!$B$36:$B$42,MATCH($L437,SETUP!$A$36:$A$42,1))))</f>
        <v>4k - 5k</v>
      </c>
      <c r="N437" s="21">
        <f>IF($C437="","",IF(OR($G437="",$I437=""),"",ROUND(100*(SETUP!$B$4*MIN(1,$I437/SETUP!$B$9)+SETUP!$B$5*MAX(0,MIN(1,($G437-SETUP!$B$10)/(SETUP!$B$11-SETUP!$B$10)))+SETUP!$B$6*MIN(1,IF($L437="",0,$L437)/SETUP!$B$12)),1)))</f>
        <v>41.8</v>
      </c>
      <c r="O437" s="19" t="str">
        <f>IF($C437="","",IF($N437="","-",INDEX(SETUP!$B$46:$B$51,MATCH($N437,SETUP!$A$46:$A$51,1))))</f>
        <v>B</v>
      </c>
      <c r="P437" s="19">
        <f>IF($C437="","",IF($I437="","",RANK($I437,$I$4:$I$1463)+COUNTIF($I$4:$I437,$I437)-1))</f>
        <v>638</v>
      </c>
      <c r="Q437" s="19">
        <f>IF($C437="","",COUNTIFS($B$4:$B$1463,$B437,$X$4:$X$1463,"&gt;"&amp;$X437)+COUNTIFS($B$4:$B437,$B437,$X$4:$X437,"="&amp;$X437))</f>
        <v>37</v>
      </c>
      <c r="R437" s="75">
        <f>IF($C437="","",IF($I437="","",ROUND(COUNTIF($I$4:$I$1463,"&lt;"&amp;$I437)/COUNT($I$4:$I$1463),3)))</f>
        <v>0.51800000000000002</v>
      </c>
      <c r="S437" s="19" t="str">
        <f>IF($C437="","",IF($G437="","Name only",IF(OR($I437="",$L437=""),"Partial","Complete")))</f>
        <v>Complete</v>
      </c>
      <c r="T437" s="1" t="str">
        <f>IF($C437="","",TRIM(IF(COUNTIF($C$4:$C$1463,$C437)&gt;1,"Dup name; ","")&amp;IF(AND($G437&lt;&gt;"",$G437&lt;55000),"Low CR - verify; ","")&amp;IF(AND($L437&lt;&gt;"",$L437&gt;15),"Secondary - verify; ","")&amp;IF($E437="","No class; ","")))</f>
        <v/>
      </c>
      <c r="U437" s="68"/>
      <c r="V437" s="68"/>
      <c r="W437" s="68"/>
      <c r="X437" s="76">
        <f t="shared" si="32"/>
        <v>3844</v>
      </c>
      <c r="Y437" s="1" t="str">
        <f t="shared" si="33"/>
        <v>VENGEANCE|37</v>
      </c>
      <c r="Z437" s="19">
        <f>IF($C437="","",IF($G437="","",RANK($G437,$G$4:$G$1463)+COUNTIF($G$4:$G437,$G437)-1))</f>
        <v>856</v>
      </c>
      <c r="AA437" s="19">
        <f>IF($C437="","",IF($N437="","",RANK($N437,$N$4:$N$1463)+COUNTIF($N$4:$N437,$N437)-1))</f>
        <v>745</v>
      </c>
      <c r="AB437" s="1" t="str">
        <f>IF($C437="","",IF($E437="","",$E437&amp;"#"&amp;(COUNTIFS($E$4:$E$1463,$E437,$X$4:$X$1463,"&gt;"&amp;$X437)+COUNTIFS($E$4:$E437,$E437,$X$4:$X437,"="&amp;$X437))))</f>
        <v>WIZARD#46</v>
      </c>
      <c r="AC437" s="1" t="str">
        <f>IF($C437="","",$B437&amp;"@"&amp;(COUNTIFS($B$4:$B$1463,$B437,$C$4:$C$1463,"&lt;"&amp;$C437)+COUNTIFS($B$4:$B437,$B437,$C$4:$C437,$C437)))</f>
        <v>VENGEANCE@33</v>
      </c>
      <c r="AD437" s="1">
        <f t="shared" si="34"/>
        <v>434</v>
      </c>
      <c r="AE437" s="1" t="s">
        <v>1315</v>
      </c>
      <c r="AF437" s="76">
        <f t="shared" si="35"/>
        <v>61937</v>
      </c>
      <c r="AG437" s="77">
        <f t="shared" si="36"/>
        <v>4.05</v>
      </c>
      <c r="AH437" s="1" t="str">
        <f>IF($C437="","",$B437&amp;"|"&amp;(COUNTIFS($B$4:$B$1463,$B437,$AF$4:$AF$1463,"&gt;"&amp;$AF437)+COUNTIFS($B$4:$B437,$B437,$AF$4:$AF437,"="&amp;$AF437)))</f>
        <v>VENGEANCE|52</v>
      </c>
      <c r="AI437" s="1" t="str">
        <f>IF($C437="","",$B437&amp;"|"&amp;(COUNTIFS($B$4:$B$1463,$B437,$AG$4:$AG$1463,"&gt;"&amp;$AG437)+COUNTIFS($B$4:$B437,$B437,$AG$4:$AG437,"="&amp;$AG437)))</f>
        <v>VENGEANCE|64</v>
      </c>
    </row>
    <row r="438" spans="1:35" hidden="1">
      <c r="A438" s="69" t="s">
        <v>109</v>
      </c>
      <c r="B438" s="69" t="s">
        <v>108</v>
      </c>
      <c r="C438" s="63" t="s">
        <v>1316</v>
      </c>
      <c r="D438" s="69"/>
      <c r="E438" s="68" t="s">
        <v>79</v>
      </c>
      <c r="F438" s="15" t="str">
        <f>IF($C438="","",IF($E438="","-",IFERROR(INDEX(SETUP!$B$55:$B$64,MATCH($E438,SETUP!$A$55:$A$64,0)),"Other")))</f>
        <v>Control</v>
      </c>
      <c r="G438" s="70">
        <v>61055</v>
      </c>
      <c r="H438" s="15" t="str">
        <f>IF($C438="","",IF($G438="","-",INDEX(SETUP!$B$26:$B$32,MATCH($G438,SETUP!$A$26:$A$32,1))))</f>
        <v>61,000 - 61,999</v>
      </c>
      <c r="I438" s="70">
        <v>3163</v>
      </c>
      <c r="J438" s="15" t="str">
        <f>IF($C438="","",IF($I438="","-",INDEX(SETUP!$B$16:$B$22,MATCH($I438,SETUP!$A$16:$A$22,1))))</f>
        <v>DEVELOPING</v>
      </c>
      <c r="K438" s="15" t="str">
        <f>IF($C438="","",IF($I438="","-",TEXT(INT($I438/1000)*1000,"#,##0")&amp;" - "&amp;TEXT(INT($I438/1000)*1000+999,"#,##0")))</f>
        <v>3,000 - 3,999</v>
      </c>
      <c r="L438" s="71">
        <v>5.75</v>
      </c>
      <c r="M438" s="15" t="str">
        <f>IF($C438="","",IF($L438="","-",INDEX(SETUP!$B$36:$B$42,MATCH($L438,SETUP!$A$36:$A$42,1))))</f>
        <v>5k - 6k</v>
      </c>
      <c r="N438" s="17">
        <f>IF($C438="","",IF(OR($G438="",$I438=""),"",ROUND(100*(SETUP!$B$4*MIN(1,$I438/SETUP!$B$9)+SETUP!$B$5*MAX(0,MIN(1,($G438-SETUP!$B$10)/(SETUP!$B$11-SETUP!$B$10)))+SETUP!$B$6*MIN(1,IF($L438="",0,$L438)/SETUP!$B$12)),1)))</f>
        <v>39.299999999999997</v>
      </c>
      <c r="O438" s="15" t="str">
        <f>IF($C438="","",IF($N438="","-",INDEX(SETUP!$B$46:$B$51,MATCH($N438,SETUP!$A$46:$A$51,1))))</f>
        <v>B</v>
      </c>
      <c r="P438" s="15">
        <f>IF($C438="","",IF($I438="","",RANK($I438,$I$4:$I$1463)+COUNTIF($I$4:$I438,$I438)-1))</f>
        <v>834</v>
      </c>
      <c r="Q438" s="15">
        <f>IF($C438="","",COUNTIFS($B$4:$B$1463,$B438,$X$4:$X$1463,"&gt;"&amp;$X438)+COUNTIFS($B$4:$B438,$B438,$X$4:$X438,"="&amp;$X438))</f>
        <v>89</v>
      </c>
      <c r="R438" s="72">
        <f>IF($C438="","",IF($I438="","",ROUND(COUNTIF($I$4:$I$1463,"&lt;"&amp;$I438)/COUNT($I$4:$I$1463),3)))</f>
        <v>0.371</v>
      </c>
      <c r="S438" s="15" t="str">
        <f>IF($C438="","",IF($G438="","Name only",IF(OR($I438="",$L438=""),"Partial","Complete")))</f>
        <v>Complete</v>
      </c>
      <c r="T438" s="41" t="str">
        <f>IF($C438="","",TRIM(IF(COUNTIF($C$4:$C$1463,$C438)&gt;1,"Dup name; ","")&amp;IF(AND($G438&lt;&gt;"",$G438&lt;55000),"Low CR - verify; ","")&amp;IF(AND($L438&lt;&gt;"",$L438&gt;15),"Secondary - verify; ","")&amp;IF($E438="","No class; ","")))</f>
        <v/>
      </c>
      <c r="U438" s="68"/>
      <c r="V438" s="68"/>
      <c r="W438" s="68"/>
      <c r="X438" s="73">
        <f t="shared" si="32"/>
        <v>3163</v>
      </c>
      <c r="Y438" s="41" t="str">
        <f t="shared" si="33"/>
        <v>SBG|89</v>
      </c>
      <c r="Z438" s="15">
        <f>IF($C438="","",IF($G438="","",RANK($G438,$G$4:$G$1463)+COUNTIF($G$4:$G438,$G438)-1))</f>
        <v>1123</v>
      </c>
      <c r="AA438" s="15">
        <f>IF($C438="","",IF($N438="","",RANK($N438,$N$4:$N$1463)+COUNTIF($N$4:$N438,$N438)-1))</f>
        <v>851</v>
      </c>
      <c r="AB438" s="41" t="str">
        <f>IF($C438="","",IF($E438="","",$E438&amp;"#"&amp;(COUNTIFS($E$4:$E$1463,$E438,$X$4:$X$1463,"&gt;"&amp;$X438)+COUNTIFS($E$4:$E438,$E438,$X$4:$X438,"="&amp;$X438))))</f>
        <v>WARLOCK#204</v>
      </c>
      <c r="AC438" s="41" t="str">
        <f>IF($C438="","",$B438&amp;"@"&amp;(COUNTIFS($B$4:$B$1463,$B438,$C$4:$C$1463,"&lt;"&amp;$C438)+COUNTIFS($B$4:$B438,$B438,$C$4:$C438,$C438)))</f>
        <v>SBG@28</v>
      </c>
      <c r="AD438" s="41">
        <f t="shared" si="34"/>
        <v>435</v>
      </c>
      <c r="AE438" s="41" t="s">
        <v>1317</v>
      </c>
      <c r="AF438" s="73">
        <f t="shared" si="35"/>
        <v>61055</v>
      </c>
      <c r="AG438" s="74">
        <f t="shared" si="36"/>
        <v>5.75</v>
      </c>
      <c r="AH438" s="41" t="str">
        <f>IF($C438="","",$B438&amp;"|"&amp;(COUNTIFS($B$4:$B$1463,$B438,$AF$4:$AF$1463,"&gt;"&amp;$AF438)+COUNTIFS($B$4:$B438,$B438,$AF$4:$AF438,"="&amp;$AF438)))</f>
        <v>SBG|89</v>
      </c>
      <c r="AI438" s="41" t="str">
        <f>IF($C438="","",$B438&amp;"|"&amp;(COUNTIFS($B$4:$B$1463,$B438,$AG$4:$AG$1463,"&gt;"&amp;$AG438)+COUNTIFS($B$4:$B438,$B438,$AG$4:$AG438,"="&amp;$AG438)))</f>
        <v>SBG|49</v>
      </c>
    </row>
    <row r="439" spans="1:35" hidden="1">
      <c r="A439" s="69" t="s">
        <v>109</v>
      </c>
      <c r="B439" s="69" t="s">
        <v>110</v>
      </c>
      <c r="C439" s="63" t="s">
        <v>1318</v>
      </c>
      <c r="D439" s="69"/>
      <c r="E439" s="68" t="s">
        <v>74</v>
      </c>
      <c r="F439" s="19" t="str">
        <f>IF($C439="","",IF($E439="","-",IFERROR(INDEX(SETUP!$B$55:$B$64,MATCH($E439,SETUP!$A$55:$A$64,0)),"Other")))</f>
        <v>Ranged DPS</v>
      </c>
      <c r="G439" s="70">
        <v>64215</v>
      </c>
      <c r="H439" s="19" t="str">
        <f>IF($C439="","",IF($G439="","-",INDEX(SETUP!$B$26:$B$32,MATCH($G439,SETUP!$A$26:$A$32,1))))</f>
        <v>64,000 +</v>
      </c>
      <c r="I439" s="70">
        <v>11863</v>
      </c>
      <c r="J439" s="19" t="str">
        <f>IF($C439="","",IF($I439="","-",INDEX(SETUP!$B$16:$B$22,MATCH($I439,SETUP!$A$16:$A$22,1))))</f>
        <v>APEX</v>
      </c>
      <c r="K439" s="19" t="str">
        <f>IF($C439="","",IF($I439="","-",TEXT(INT($I439/1000)*1000,"#,##0")&amp;" - "&amp;TEXT(INT($I439/1000)*1000+999,"#,##0")))</f>
        <v>11,000 - 11,999</v>
      </c>
      <c r="L439" s="71">
        <v>11</v>
      </c>
      <c r="M439" s="19" t="str">
        <f>IF($C439="","",IF($L439="","-",INDEX(SETUP!$B$36:$B$42,MATCH($L439,SETUP!$A$36:$A$42,1))))</f>
        <v>10k +</v>
      </c>
      <c r="N439" s="21">
        <f>IF($C439="","",IF(OR($G439="",$I439=""),"",ROUND(100*(SETUP!$B$4*MIN(1,$I439/SETUP!$B$9)+SETUP!$B$5*MAX(0,MIN(1,($G439-SETUP!$B$10)/(SETUP!$B$11-SETUP!$B$10)))+SETUP!$B$6*MIN(1,IF($L439="",0,$L439)/SETUP!$B$12)),1)))</f>
        <v>94.4</v>
      </c>
      <c r="O439" s="19" t="str">
        <f>IF($C439="","",IF($N439="","-",INDEX(SETUP!$B$46:$B$51,MATCH($N439,SETUP!$A$46:$A$51,1))))</f>
        <v>S+</v>
      </c>
      <c r="P439" s="19">
        <f>IF($C439="","",IF($I439="","",RANK($I439,$I$4:$I$1463)+COUNTIF($I$4:$I439,$I439)-1))</f>
        <v>4</v>
      </c>
      <c r="Q439" s="19">
        <f>IF($C439="","",COUNTIFS($B$4:$B$1463,$B439,$X$4:$X$1463,"&gt;"&amp;$X439)+COUNTIFS($B$4:$B439,$B439,$X$4:$X439,"="&amp;$X439))</f>
        <v>3</v>
      </c>
      <c r="R439" s="75">
        <f>IF($C439="","",IF($I439="","",ROUND(COUNTIF($I$4:$I$1463,"&lt;"&amp;$I439)/COUNT($I$4:$I$1463),3)))</f>
        <v>0.997</v>
      </c>
      <c r="S439" s="19" t="str">
        <f>IF($C439="","",IF($G439="","Name only",IF(OR($I439="",$L439=""),"Partial","Complete")))</f>
        <v>Complete</v>
      </c>
      <c r="T439" s="1" t="str">
        <f>IF($C439="","",TRIM(IF(COUNTIF($C$4:$C$1463,$C439)&gt;1,"Dup name; ","")&amp;IF(AND($G439&lt;&gt;"",$G439&lt;55000),"Low CR - verify; ","")&amp;IF(AND($L439&lt;&gt;"",$L439&gt;15),"Secondary - verify; ","")&amp;IF($E439="","No class; ","")))</f>
        <v/>
      </c>
      <c r="U439" s="68"/>
      <c r="V439" s="68"/>
      <c r="W439" s="68"/>
      <c r="X439" s="76">
        <f t="shared" si="32"/>
        <v>11863</v>
      </c>
      <c r="Y439" s="1" t="str">
        <f t="shared" si="33"/>
        <v>AZUKI|3</v>
      </c>
      <c r="Z439" s="19">
        <f>IF($C439="","",IF($G439="","",RANK($G439,$G$4:$G$1463)+COUNTIF($G$4:$G439,$G439)-1))</f>
        <v>39</v>
      </c>
      <c r="AA439" s="19">
        <f>IF($C439="","",IF($N439="","",RANK($N439,$N$4:$N$1463)+COUNTIF($N$4:$N439,$N439)-1))</f>
        <v>4</v>
      </c>
      <c r="AB439" s="1" t="str">
        <f>IF($C439="","",IF($E439="","",$E439&amp;"#"&amp;(COUNTIFS($E$4:$E$1463,$E439,$X$4:$X$1463,"&gt;"&amp;$X439)+COUNTIFS($E$4:$E439,$E439,$X$4:$X439,"="&amp;$X439))))</f>
        <v>DEMON HUNTER#1</v>
      </c>
      <c r="AC439" s="1" t="str">
        <f>IF($C439="","",$B439&amp;"@"&amp;(COUNTIFS($B$4:$B$1463,$B439,$C$4:$C$1463,"&lt;"&amp;$C439)+COUNTIFS($B$4:$B439,$B439,$C$4:$C439,$C439)))</f>
        <v>AZUKI@40</v>
      </c>
      <c r="AD439" s="1">
        <f t="shared" si="34"/>
        <v>436</v>
      </c>
      <c r="AE439" s="1" t="s">
        <v>1319</v>
      </c>
      <c r="AF439" s="76">
        <f t="shared" si="35"/>
        <v>64215</v>
      </c>
      <c r="AG439" s="77">
        <f t="shared" si="36"/>
        <v>11</v>
      </c>
      <c r="AH439" s="1" t="str">
        <f>IF($C439="","",$B439&amp;"|"&amp;(COUNTIFS($B$4:$B$1463,$B439,$AF$4:$AF$1463,"&gt;"&amp;$AF439)+COUNTIFS($B$4:$B439,$B439,$AF$4:$AF439,"="&amp;$AF439)))</f>
        <v>AZUKI|11</v>
      </c>
      <c r="AI439" s="1" t="str">
        <f>IF($C439="","",$B439&amp;"|"&amp;(COUNTIFS($B$4:$B$1463,$B439,$AG$4:$AG$1463,"&gt;"&amp;$AG439)+COUNTIFS($B$4:$B439,$B439,$AG$4:$AG439,"="&amp;$AG439)))</f>
        <v>AZUKI|2</v>
      </c>
    </row>
    <row r="440" spans="1:35" hidden="1">
      <c r="A440" s="69" t="s">
        <v>109</v>
      </c>
      <c r="B440" s="69" t="s">
        <v>111</v>
      </c>
      <c r="C440" s="63" t="s">
        <v>1320</v>
      </c>
      <c r="D440" s="69" t="s">
        <v>527</v>
      </c>
      <c r="E440" s="68" t="s">
        <v>73</v>
      </c>
      <c r="F440" s="15" t="str">
        <f>IF($C440="","",IF($E440="","-",IFERROR(INDEX(SETUP!$B$55:$B$64,MATCH($E440,SETUP!$A$55:$A$64,0)),"Other")))</f>
        <v>Frontline</v>
      </c>
      <c r="G440" s="70">
        <v>59826</v>
      </c>
      <c r="H440" s="15" t="str">
        <f>IF($C440="","",IF($G440="","-",INDEX(SETUP!$B$26:$B$32,MATCH($G440,SETUP!$A$26:$A$32,1))))</f>
        <v>58,000 - 59,999</v>
      </c>
      <c r="I440" s="70">
        <v>2273</v>
      </c>
      <c r="J440" s="15" t="str">
        <f>IF($C440="","",IF($I440="","-",INDEX(SETUP!$B$16:$B$22,MATCH($I440,SETUP!$A$16:$A$22,1))))</f>
        <v>DEVELOPING</v>
      </c>
      <c r="K440" s="15" t="str">
        <f>IF($C440="","",IF($I440="","-",TEXT(INT($I440/1000)*1000,"#,##0")&amp;" - "&amp;TEXT(INT($I440/1000)*1000+999,"#,##0")))</f>
        <v>2,000 - 2,999</v>
      </c>
      <c r="L440" s="71">
        <v>5.3</v>
      </c>
      <c r="M440" s="15" t="str">
        <f>IF($C440="","",IF($L440="","-",INDEX(SETUP!$B$36:$B$42,MATCH($L440,SETUP!$A$36:$A$42,1))))</f>
        <v>5k - 6k</v>
      </c>
      <c r="N440" s="17">
        <f>IF($C440="","",IF(OR($G440="",$I440=""),"",ROUND(100*(SETUP!$B$4*MIN(1,$I440/SETUP!$B$9)+SETUP!$B$5*MAX(0,MIN(1,($G440-SETUP!$B$10)/(SETUP!$B$11-SETUP!$B$10)))+SETUP!$B$6*MIN(1,IF($L440="",0,$L440)/SETUP!$B$12)),1)))</f>
        <v>31.5</v>
      </c>
      <c r="O440" s="15" t="str">
        <f>IF($C440="","",IF($N440="","-",INDEX(SETUP!$B$46:$B$51,MATCH($N440,SETUP!$A$46:$A$51,1))))</f>
        <v>C</v>
      </c>
      <c r="P440" s="15">
        <f>IF($C440="","",IF($I440="","",RANK($I440,$I$4:$I$1463)+COUNTIF($I$4:$I440,$I440)-1))</f>
        <v>1053</v>
      </c>
      <c r="Q440" s="15">
        <f>IF($C440="","",COUNTIFS($B$4:$B$1463,$B440,$X$4:$X$1463,"&gt;"&amp;$X440)+COUNTIFS($B$4:$B440,$B440,$X$4:$X440,"="&amp;$X440))</f>
        <v>94</v>
      </c>
      <c r="R440" s="72">
        <f>IF($C440="","",IF($I440="","",ROUND(COUNTIF($I$4:$I$1463,"&lt;"&amp;$I440)/COUNT($I$4:$I$1463),3)))</f>
        <v>0.20499999999999999</v>
      </c>
      <c r="S440" s="15" t="str">
        <f>IF($C440="","",IF($G440="","Name only",IF(OR($I440="",$L440=""),"Partial","Complete")))</f>
        <v>Complete</v>
      </c>
      <c r="T440" s="41" t="str">
        <f>IF($C440="","",TRIM(IF(COUNTIF($C$4:$C$1463,$C440)&gt;1,"Dup name; ","")&amp;IF(AND($G440&lt;&gt;"",$G440&lt;55000),"Low CR - verify; ","")&amp;IF(AND($L440&lt;&gt;"",$L440&gt;15),"Secondary - verify; ","")&amp;IF($E440="","No class; ","")))</f>
        <v/>
      </c>
      <c r="U440" s="68"/>
      <c r="V440" s="68"/>
      <c r="W440" s="68"/>
      <c r="X440" s="73">
        <f t="shared" si="32"/>
        <v>2273</v>
      </c>
      <c r="Y440" s="41" t="str">
        <f t="shared" si="33"/>
        <v>RECKONING|94</v>
      </c>
      <c r="Z440" s="15">
        <f>IF($C440="","",IF($G440="","",RANK($G440,$G$4:$G$1463)+COUNTIF($G$4:$G440,$G440)-1))</f>
        <v>1248</v>
      </c>
      <c r="AA440" s="15">
        <f>IF($C440="","",IF($N440="","",RANK($N440,$N$4:$N$1463)+COUNTIF($N$4:$N440,$N440)-1))</f>
        <v>1110</v>
      </c>
      <c r="AB440" s="41" t="str">
        <f>IF($C440="","",IF($E440="","",$E440&amp;"#"&amp;(COUNTIFS($E$4:$E$1463,$E440,$X$4:$X$1463,"&gt;"&amp;$X440)+COUNTIFS($E$4:$E440,$E440,$X$4:$X440,"="&amp;$X440))))</f>
        <v>CRUSADER#105</v>
      </c>
      <c r="AC440" s="41" t="str">
        <f>IF($C440="","",$B440&amp;"@"&amp;(COUNTIFS($B$4:$B$1463,$B440,$C$4:$C$1463,"&lt;"&amp;$C440)+COUNTIFS($B$4:$B440,$B440,$C$4:$C440,$C440)))</f>
        <v>RECKONING@29</v>
      </c>
      <c r="AD440" s="41">
        <f t="shared" si="34"/>
        <v>437</v>
      </c>
      <c r="AE440" s="41" t="s">
        <v>1321</v>
      </c>
      <c r="AF440" s="73">
        <f t="shared" si="35"/>
        <v>59826</v>
      </c>
      <c r="AG440" s="74">
        <f t="shared" si="36"/>
        <v>5.3</v>
      </c>
      <c r="AH440" s="41" t="str">
        <f>IF($C440="","",$B440&amp;"|"&amp;(COUNTIFS($B$4:$B$1463,$B440,$AF$4:$AF$1463,"&gt;"&amp;$AF440)+COUNTIFS($B$4:$B440,$B440,$AF$4:$AF440,"="&amp;$AF440)))</f>
        <v>RECKONING|96</v>
      </c>
      <c r="AI440" s="41" t="str">
        <f>IF($C440="","",$B440&amp;"|"&amp;(COUNTIFS($B$4:$B$1463,$B440,$AG$4:$AG$1463,"&gt;"&amp;$AG440)+COUNTIFS($B$4:$B440,$B440,$AG$4:$AG440,"="&amp;$AG440)))</f>
        <v>RECKONING|52</v>
      </c>
    </row>
    <row r="441" spans="1:35" hidden="1">
      <c r="A441" s="69" t="s">
        <v>109</v>
      </c>
      <c r="B441" s="69" t="s">
        <v>117</v>
      </c>
      <c r="C441" s="63" t="s">
        <v>1322</v>
      </c>
      <c r="D441" s="69"/>
      <c r="E441" s="68" t="s">
        <v>77</v>
      </c>
      <c r="F441" s="19" t="str">
        <f>IF($C441="","",IF($E441="","-",IFERROR(INDEX(SETUP!$B$55:$B$64,MATCH($E441,SETUP!$A$55:$A$64,0)),"Other")))</f>
        <v>Control</v>
      </c>
      <c r="G441" s="70">
        <v>61915</v>
      </c>
      <c r="H441" s="19" t="str">
        <f>IF($C441="","",IF($G441="","-",INDEX(SETUP!$B$26:$B$32,MATCH($G441,SETUP!$A$26:$A$32,1))))</f>
        <v>61,000 - 61,999</v>
      </c>
      <c r="I441" s="70">
        <v>1570</v>
      </c>
      <c r="J441" s="19" t="str">
        <f>IF($C441="","",IF($I441="","-",INDEX(SETUP!$B$16:$B$22,MATCH($I441,SETUP!$A$16:$A$22,1))))</f>
        <v>ROOKIE</v>
      </c>
      <c r="K441" s="19" t="str">
        <f>IF($C441="","",IF($I441="","-",TEXT(INT($I441/1000)*1000,"#,##0")&amp;" - "&amp;TEXT(INT($I441/1000)*1000+999,"#,##0")))</f>
        <v>1,000 - 1,999</v>
      </c>
      <c r="L441" s="71">
        <v>3.5</v>
      </c>
      <c r="M441" s="19" t="str">
        <f>IF($C441="","",IF($L441="","-",INDEX(SETUP!$B$36:$B$42,MATCH($L441,SETUP!$A$36:$A$42,1))))</f>
        <v>3k - 4k</v>
      </c>
      <c r="N441" s="21">
        <f>IF($C441="","",IF(OR($G441="",$I441=""),"",ROUND(100*(SETUP!$B$4*MIN(1,$I441/SETUP!$B$9)+SETUP!$B$5*MAX(0,MIN(1,($G441-SETUP!$B$10)/(SETUP!$B$11-SETUP!$B$10)))+SETUP!$B$6*MIN(1,IF($L441="",0,$L441)/SETUP!$B$12)),1)))</f>
        <v>30.9</v>
      </c>
      <c r="O441" s="19" t="str">
        <f>IF($C441="","",IF($N441="","-",INDEX(SETUP!$B$46:$B$51,MATCH($N441,SETUP!$A$46:$A$51,1))))</f>
        <v>C</v>
      </c>
      <c r="P441" s="19">
        <f>IF($C441="","",IF($I441="","",RANK($I441,$I$4:$I$1463)+COUNTIF($I$4:$I441,$I441)-1))</f>
        <v>1178</v>
      </c>
      <c r="Q441" s="19">
        <f>IF($C441="","",COUNTIFS($B$4:$B$1463,$B441,$X$4:$X$1463,"&gt;"&amp;$X441)+COUNTIFS($B$4:$B441,$B441,$X$4:$X441,"="&amp;$X441))</f>
        <v>61</v>
      </c>
      <c r="R441" s="75">
        <f>IF($C441="","",IF($I441="","",ROUND(COUNTIF($I$4:$I$1463,"&lt;"&amp;$I441)/COUNT($I$4:$I$1463),3)))</f>
        <v>0.111</v>
      </c>
      <c r="S441" s="19" t="str">
        <f>IF($C441="","",IF($G441="","Name only",IF(OR($I441="",$L441=""),"Partial","Complete")))</f>
        <v>Complete</v>
      </c>
      <c r="T441" s="1" t="str">
        <f>IF($C441="","",TRIM(IF(COUNTIF($C$4:$C$1463,$C441)&gt;1,"Dup name; ","")&amp;IF(AND($G441&lt;&gt;"",$G441&lt;55000),"Low CR - verify; ","")&amp;IF(AND($L441&lt;&gt;"",$L441&gt;15),"Secondary - verify; ","")&amp;IF($E441="","No class; ","")))</f>
        <v/>
      </c>
      <c r="U441" s="68"/>
      <c r="V441" s="68"/>
      <c r="W441" s="68"/>
      <c r="X441" s="76">
        <f t="shared" si="32"/>
        <v>1570</v>
      </c>
      <c r="Y441" s="1" t="str">
        <f t="shared" si="33"/>
        <v>VENDETTA|61</v>
      </c>
      <c r="Z441" s="19">
        <f>IF($C441="","",IF($G441="","",RANK($G441,$G$4:$G$1463)+COUNTIF($G$4:$G441,$G441)-1))</f>
        <v>868</v>
      </c>
      <c r="AA441" s="19">
        <f>IF($C441="","",IF($N441="","",RANK($N441,$N$4:$N$1463)+COUNTIF($N$4:$N441,$N441)-1))</f>
        <v>1123</v>
      </c>
      <c r="AB441" s="1" t="str">
        <f>IF($C441="","",IF($E441="","",$E441&amp;"#"&amp;(COUNTIFS($E$4:$E$1463,$E441,$X$4:$X$1463,"&gt;"&amp;$X441)+COUNTIFS($E$4:$E441,$E441,$X$4:$X441,"="&amp;$X441))))</f>
        <v>NECROMANCER#86</v>
      </c>
      <c r="AC441" s="1" t="str">
        <f>IF($C441="","",$B441&amp;"@"&amp;(COUNTIFS($B$4:$B$1463,$B441,$C$4:$C$1463,"&lt;"&amp;$C441)+COUNTIFS($B$4:$B441,$B441,$C$4:$C441,$C441)))</f>
        <v>VENDETTA@35</v>
      </c>
      <c r="AD441" s="1">
        <f t="shared" si="34"/>
        <v>438</v>
      </c>
      <c r="AE441" s="1" t="s">
        <v>1323</v>
      </c>
      <c r="AF441" s="76">
        <f t="shared" si="35"/>
        <v>61915</v>
      </c>
      <c r="AG441" s="77">
        <f t="shared" si="36"/>
        <v>3.5</v>
      </c>
      <c r="AH441" s="1" t="str">
        <f>IF($C441="","",$B441&amp;"|"&amp;(COUNTIFS($B$4:$B$1463,$B441,$AF$4:$AF$1463,"&gt;"&amp;$AF441)+COUNTIFS($B$4:$B441,$B441,$AF$4:$AF441,"="&amp;$AF441)))</f>
        <v>VENDETTA|42</v>
      </c>
      <c r="AI441" s="1" t="str">
        <f>IF($C441="","",$B441&amp;"|"&amp;(COUNTIFS($B$4:$B$1463,$B441,$AG$4:$AG$1463,"&gt;"&amp;$AG441)+COUNTIFS($B$4:$B441,$B441,$AG$4:$AG441,"="&amp;$AG441)))</f>
        <v>VENDETTA|57</v>
      </c>
    </row>
    <row r="442" spans="1:35" hidden="1">
      <c r="A442" s="69" t="s">
        <v>109</v>
      </c>
      <c r="B442" s="69" t="s">
        <v>112</v>
      </c>
      <c r="C442" s="63" t="s">
        <v>1324</v>
      </c>
      <c r="D442" s="69" t="s">
        <v>619</v>
      </c>
      <c r="E442" s="68" t="s">
        <v>72</v>
      </c>
      <c r="F442" s="15" t="str">
        <f>IF($C442="","",IF($E442="","-",IFERROR(INDEX(SETUP!$B$55:$B$64,MATCH($E442,SETUP!$A$55:$A$64,0)),"Other")))</f>
        <v>Frontline</v>
      </c>
      <c r="G442" s="70">
        <v>64228</v>
      </c>
      <c r="H442" s="15" t="str">
        <f>IF($C442="","",IF($G442="","-",INDEX(SETUP!$B$26:$B$32,MATCH($G442,SETUP!$A$26:$A$32,1))))</f>
        <v>64,000 +</v>
      </c>
      <c r="I442" s="70">
        <v>9608</v>
      </c>
      <c r="J442" s="15" t="str">
        <f>IF($C442="","",IF($I442="","-",INDEX(SETUP!$B$16:$B$22,MATCH($I442,SETUP!$A$16:$A$22,1))))</f>
        <v>ELITE</v>
      </c>
      <c r="K442" s="15" t="str">
        <f>IF($C442="","",IF($I442="","-",TEXT(INT($I442/1000)*1000,"#,##0")&amp;" - "&amp;TEXT(INT($I442/1000)*1000+999,"#,##0")))</f>
        <v>9,000 - 9,999</v>
      </c>
      <c r="L442" s="71">
        <v>8.1</v>
      </c>
      <c r="M442" s="15" t="str">
        <f>IF($C442="","",IF($L442="","-",INDEX(SETUP!$B$36:$B$42,MATCH($L442,SETUP!$A$36:$A$42,1))))</f>
        <v>8k - 10k</v>
      </c>
      <c r="N442" s="17">
        <f>IF($C442="","",IF(OR($G442="",$I442=""),"",ROUND(100*(SETUP!$B$4*MIN(1,$I442/SETUP!$B$9)+SETUP!$B$5*MAX(0,MIN(1,($G442-SETUP!$B$10)/(SETUP!$B$11-SETUP!$B$10)))+SETUP!$B$6*MIN(1,IF($L442="",0,$L442)/SETUP!$B$12)),1)))</f>
        <v>79.7</v>
      </c>
      <c r="O442" s="15" t="str">
        <f>IF($C442="","",IF($N442="","-",INDEX(SETUP!$B$46:$B$51,MATCH($N442,SETUP!$A$46:$A$51,1))))</f>
        <v>S</v>
      </c>
      <c r="P442" s="15">
        <f>IF($C442="","",IF($I442="","",RANK($I442,$I$4:$I$1463)+COUNTIF($I$4:$I442,$I442)-1))</f>
        <v>69</v>
      </c>
      <c r="Q442" s="15">
        <f>IF($C442="","",COUNTIFS($B$4:$B$1463,$B442,$X$4:$X$1463,"&gt;"&amp;$X442)+COUNTIFS($B$4:$B442,$B442,$X$4:$X442,"="&amp;$X442))</f>
        <v>2</v>
      </c>
      <c r="R442" s="72">
        <f>IF($C442="","",IF($I442="","",ROUND(COUNTIF($I$4:$I$1463,"&lt;"&amp;$I442)/COUNT($I$4:$I$1463),3)))</f>
        <v>0.94799999999999995</v>
      </c>
      <c r="S442" s="15" t="str">
        <f>IF($C442="","",IF($G442="","Name only",IF(OR($I442="",$L442=""),"Partial","Complete")))</f>
        <v>Complete</v>
      </c>
      <c r="T442" s="41" t="str">
        <f>IF($C442="","",TRIM(IF(COUNTIF($C$4:$C$1463,$C442)&gt;1,"Dup name; ","")&amp;IF(AND($G442&lt;&gt;"",$G442&lt;55000),"Low CR - verify; ","")&amp;IF(AND($L442&lt;&gt;"",$L442&gt;15),"Secondary - verify; ","")&amp;IF($E442="","No class; ","")))</f>
        <v/>
      </c>
      <c r="U442" s="68"/>
      <c r="V442" s="68"/>
      <c r="W442" s="68"/>
      <c r="X442" s="73">
        <f t="shared" si="32"/>
        <v>9608</v>
      </c>
      <c r="Y442" s="41" t="str">
        <f t="shared" si="33"/>
        <v>ACHERON|2</v>
      </c>
      <c r="Z442" s="15">
        <f>IF($C442="","",IF($G442="","",RANK($G442,$G$4:$G$1463)+COUNTIF($G$4:$G442,$G442)-1))</f>
        <v>33</v>
      </c>
      <c r="AA442" s="15">
        <f>IF($C442="","",IF($N442="","",RANK($N442,$N$4:$N$1463)+COUNTIF($N$4:$N442,$N442)-1))</f>
        <v>54</v>
      </c>
      <c r="AB442" s="41" t="str">
        <f>IF($C442="","",IF($E442="","",$E442&amp;"#"&amp;(COUNTIFS($E$4:$E$1463,$E442,$X$4:$X$1463,"&gt;"&amp;$X442)+COUNTIFS($E$4:$E442,$E442,$X$4:$X442,"="&amp;$X442))))</f>
        <v>BLOOD KNIGHT#5</v>
      </c>
      <c r="AC442" s="41" t="str">
        <f>IF($C442="","",$B442&amp;"@"&amp;(COUNTIFS($B$4:$B$1463,$B442,$C$4:$C$1463,"&lt;"&amp;$C442)+COUNTIFS($B$4:$B442,$B442,$C$4:$C442,$C442)))</f>
        <v>ACHERON@28</v>
      </c>
      <c r="AD442" s="41">
        <f t="shared" si="34"/>
        <v>439</v>
      </c>
      <c r="AE442" s="41" t="s">
        <v>1325</v>
      </c>
      <c r="AF442" s="73">
        <f t="shared" si="35"/>
        <v>64228</v>
      </c>
      <c r="AG442" s="74">
        <f t="shared" si="36"/>
        <v>8.1</v>
      </c>
      <c r="AH442" s="41" t="str">
        <f>IF($C442="","",$B442&amp;"|"&amp;(COUNTIFS($B$4:$B$1463,$B442,$AF$4:$AF$1463,"&gt;"&amp;$AF442)+COUNTIFS($B$4:$B442,$B442,$AF$4:$AF442,"="&amp;$AF442)))</f>
        <v>ACHERON|1</v>
      </c>
      <c r="AI442" s="41" t="str">
        <f>IF($C442="","",$B442&amp;"|"&amp;(COUNTIFS($B$4:$B$1463,$B442,$AG$4:$AG$1463,"&gt;"&amp;$AG442)+COUNTIFS($B$4:$B442,$B442,$AG$4:$AG442,"="&amp;$AG442)))</f>
        <v>ACHERON|3</v>
      </c>
    </row>
    <row r="443" spans="1:35" hidden="1">
      <c r="A443" s="69" t="s">
        <v>109</v>
      </c>
      <c r="B443" s="69" t="s">
        <v>116</v>
      </c>
      <c r="C443" s="63" t="s">
        <v>1326</v>
      </c>
      <c r="D443" s="69" t="s">
        <v>530</v>
      </c>
      <c r="E443" s="68" t="s">
        <v>79</v>
      </c>
      <c r="F443" s="19" t="str">
        <f>IF($C443="","",IF($E443="","-",IFERROR(INDEX(SETUP!$B$55:$B$64,MATCH($E443,SETUP!$A$55:$A$64,0)),"Other")))</f>
        <v>Control</v>
      </c>
      <c r="G443" s="70">
        <v>62386</v>
      </c>
      <c r="H443" s="19" t="str">
        <f>IF($C443="","",IF($G443="","-",INDEX(SETUP!$B$26:$B$32,MATCH($G443,SETUP!$A$26:$A$32,1))))</f>
        <v>62,000 - 62,999</v>
      </c>
      <c r="I443" s="70">
        <v>1869</v>
      </c>
      <c r="J443" s="19" t="str">
        <f>IF($C443="","",IF($I443="","-",INDEX(SETUP!$B$16:$B$22,MATCH($I443,SETUP!$A$16:$A$22,1))))</f>
        <v>ROOKIE</v>
      </c>
      <c r="K443" s="19" t="str">
        <f>IF($C443="","",IF($I443="","-",TEXT(INT($I443/1000)*1000,"#,##0")&amp;" - "&amp;TEXT(INT($I443/1000)*1000+999,"#,##0")))</f>
        <v>1,000 - 1,999</v>
      </c>
      <c r="L443" s="71">
        <v>3.4</v>
      </c>
      <c r="M443" s="19" t="str">
        <f>IF($C443="","",IF($L443="","-",INDEX(SETUP!$B$36:$B$42,MATCH($L443,SETUP!$A$36:$A$42,1))))</f>
        <v>3k - 4k</v>
      </c>
      <c r="N443" s="21">
        <f>IF($C443="","",IF(OR($G443="",$I443=""),"",ROUND(100*(SETUP!$B$4*MIN(1,$I443/SETUP!$B$9)+SETUP!$B$5*MAX(0,MIN(1,($G443-SETUP!$B$10)/(SETUP!$B$11-SETUP!$B$10)))+SETUP!$B$6*MIN(1,IF($L443="",0,$L443)/SETUP!$B$12)),1)))</f>
        <v>33.299999999999997</v>
      </c>
      <c r="O443" s="19" t="str">
        <f>IF($C443="","",IF($N443="","-",INDEX(SETUP!$B$46:$B$51,MATCH($N443,SETUP!$A$46:$A$51,1))))</f>
        <v>C</v>
      </c>
      <c r="P443" s="19">
        <f>IF($C443="","",IF($I443="","",RANK($I443,$I$4:$I$1463)+COUNTIF($I$4:$I443,$I443)-1))</f>
        <v>1136</v>
      </c>
      <c r="Q443" s="19">
        <f>IF($C443="","",COUNTIFS($B$4:$B$1463,$B443,$X$4:$X$1463,"&gt;"&amp;$X443)+COUNTIFS($B$4:$B443,$B443,$X$4:$X443,"="&amp;$X443))</f>
        <v>85</v>
      </c>
      <c r="R443" s="75">
        <f>IF($C443="","",IF($I443="","",ROUND(COUNTIF($I$4:$I$1463,"&lt;"&amp;$I443)/COUNT($I$4:$I$1463),3)))</f>
        <v>0.14299999999999999</v>
      </c>
      <c r="S443" s="19" t="str">
        <f>IF($C443="","",IF($G443="","Name only",IF(OR($I443="",$L443=""),"Partial","Complete")))</f>
        <v>Complete</v>
      </c>
      <c r="T443" s="1" t="str">
        <f>IF($C443="","",TRIM(IF(COUNTIF($C$4:$C$1463,$C443)&gt;1,"Dup name; ","")&amp;IF(AND($G443&lt;&gt;"",$G443&lt;55000),"Low CR - verify; ","")&amp;IF(AND($L443&lt;&gt;"",$L443&gt;15),"Secondary - verify; ","")&amp;IF($E443="","No class; ","")))</f>
        <v/>
      </c>
      <c r="U443" s="68"/>
      <c r="V443" s="68"/>
      <c r="W443" s="68"/>
      <c r="X443" s="76">
        <f t="shared" si="32"/>
        <v>1869</v>
      </c>
      <c r="Y443" s="1" t="str">
        <f t="shared" si="33"/>
        <v>VENGEANCE|85</v>
      </c>
      <c r="Z443" s="19">
        <f>IF($C443="","",IF($G443="","",RANK($G443,$G$4:$G$1463)+COUNTIF($G$4:$G443,$G443)-1))</f>
        <v>700</v>
      </c>
      <c r="AA443" s="19">
        <f>IF($C443="","",IF($N443="","",RANK($N443,$N$4:$N$1463)+COUNTIF($N$4:$N443,$N443)-1))</f>
        <v>1059</v>
      </c>
      <c r="AB443" s="1" t="str">
        <f>IF($C443="","",IF($E443="","",$E443&amp;"#"&amp;(COUNTIFS($E$4:$E$1463,$E443,$X$4:$X$1463,"&gt;"&amp;$X443)+COUNTIFS($E$4:$E443,$E443,$X$4:$X443,"="&amp;$X443))))</f>
        <v>WARLOCK#284</v>
      </c>
      <c r="AC443" s="1" t="str">
        <f>IF($C443="","",$B443&amp;"@"&amp;(COUNTIFS($B$4:$B$1463,$B443,$C$4:$C$1463,"&lt;"&amp;$C443)+COUNTIFS($B$4:$B443,$B443,$C$4:$C443,$C443)))</f>
        <v>VENGEANCE@34</v>
      </c>
      <c r="AD443" s="1">
        <f t="shared" si="34"/>
        <v>440</v>
      </c>
      <c r="AE443" s="1" t="s">
        <v>1327</v>
      </c>
      <c r="AF443" s="76">
        <f t="shared" si="35"/>
        <v>62386</v>
      </c>
      <c r="AG443" s="77">
        <f t="shared" si="36"/>
        <v>3.4</v>
      </c>
      <c r="AH443" s="1" t="str">
        <f>IF($C443="","",$B443&amp;"|"&amp;(COUNTIFS($B$4:$B$1463,$B443,$AF$4:$AF$1463,"&gt;"&amp;$AF443)+COUNTIFS($B$4:$B443,$B443,$AF$4:$AF443,"="&amp;$AF443)))</f>
        <v>VENGEANCE|44</v>
      </c>
      <c r="AI443" s="1" t="str">
        <f>IF($C443="","",$B443&amp;"|"&amp;(COUNTIFS($B$4:$B$1463,$B443,$AG$4:$AG$1463,"&gt;"&amp;$AG443)+COUNTIFS($B$4:$B443,$B443,$AG$4:$AG443,"="&amp;$AG443)))</f>
        <v>VENGEANCE|86</v>
      </c>
    </row>
    <row r="444" spans="1:35" hidden="1">
      <c r="A444" s="69" t="s">
        <v>109</v>
      </c>
      <c r="B444" s="69" t="s">
        <v>117</v>
      </c>
      <c r="C444" s="63" t="s">
        <v>1328</v>
      </c>
      <c r="D444" s="69"/>
      <c r="E444" s="68" t="s">
        <v>73</v>
      </c>
      <c r="F444" s="15" t="str">
        <f>IF($C444="","",IF($E444="","-",IFERROR(INDEX(SETUP!$B$55:$B$64,MATCH($E444,SETUP!$A$55:$A$64,0)),"Other")))</f>
        <v>Frontline</v>
      </c>
      <c r="G444" s="70">
        <v>62379</v>
      </c>
      <c r="H444" s="15" t="str">
        <f>IF($C444="","",IF($G444="","-",INDEX(SETUP!$B$26:$B$32,MATCH($G444,SETUP!$A$26:$A$32,1))))</f>
        <v>62,000 - 62,999</v>
      </c>
      <c r="I444" s="70">
        <v>1836</v>
      </c>
      <c r="J444" s="15" t="str">
        <f>IF($C444="","",IF($I444="","-",INDEX(SETUP!$B$16:$B$22,MATCH($I444,SETUP!$A$16:$A$22,1))))</f>
        <v>ROOKIE</v>
      </c>
      <c r="K444" s="15" t="str">
        <f>IF($C444="","",IF($I444="","-",TEXT(INT($I444/1000)*1000,"#,##0")&amp;" - "&amp;TEXT(INT($I444/1000)*1000+999,"#,##0")))</f>
        <v>1,000 - 1,999</v>
      </c>
      <c r="L444" s="71">
        <v>4.0999999999999996</v>
      </c>
      <c r="M444" s="15" t="str">
        <f>IF($C444="","",IF($L444="","-",INDEX(SETUP!$B$36:$B$42,MATCH($L444,SETUP!$A$36:$A$42,1))))</f>
        <v>4k - 5k</v>
      </c>
      <c r="N444" s="17">
        <f>IF($C444="","",IF(OR($G444="",$I444=""),"",ROUND(100*(SETUP!$B$4*MIN(1,$I444/SETUP!$B$9)+SETUP!$B$5*MAX(0,MIN(1,($G444-SETUP!$B$10)/(SETUP!$B$11-SETUP!$B$10)))+SETUP!$B$6*MIN(1,IF($L444="",0,$L444)/SETUP!$B$12)),1)))</f>
        <v>34.299999999999997</v>
      </c>
      <c r="O444" s="15" t="str">
        <f>IF($C444="","",IF($N444="","-",INDEX(SETUP!$B$46:$B$51,MATCH($N444,SETUP!$A$46:$A$51,1))))</f>
        <v>C</v>
      </c>
      <c r="P444" s="15">
        <f>IF($C444="","",IF($I444="","",RANK($I444,$I$4:$I$1463)+COUNTIF($I$4:$I444,$I444)-1))</f>
        <v>1142</v>
      </c>
      <c r="Q444" s="15">
        <f>IF($C444="","",COUNTIFS($B$4:$B$1463,$B444,$X$4:$X$1463,"&gt;"&amp;$X444)+COUNTIFS($B$4:$B444,$B444,$X$4:$X444,"="&amp;$X444))</f>
        <v>54</v>
      </c>
      <c r="R444" s="72">
        <f>IF($C444="","",IF($I444="","",ROUND(COUNTIF($I$4:$I$1463,"&lt;"&amp;$I444)/COUNT($I$4:$I$1463),3)))</f>
        <v>0.13800000000000001</v>
      </c>
      <c r="S444" s="15" t="str">
        <f>IF($C444="","",IF($G444="","Name only",IF(OR($I444="",$L444=""),"Partial","Complete")))</f>
        <v>Complete</v>
      </c>
      <c r="T444" s="41" t="str">
        <f>IF($C444="","",TRIM(IF(COUNTIF($C$4:$C$1463,$C444)&gt;1,"Dup name; ","")&amp;IF(AND($G444&lt;&gt;"",$G444&lt;55000),"Low CR - verify; ","")&amp;IF(AND($L444&lt;&gt;"",$L444&gt;15),"Secondary - verify; ","")&amp;IF($E444="","No class; ","")))</f>
        <v/>
      </c>
      <c r="U444" s="68"/>
      <c r="V444" s="68"/>
      <c r="W444" s="68"/>
      <c r="X444" s="73">
        <f t="shared" si="32"/>
        <v>1836</v>
      </c>
      <c r="Y444" s="41" t="str">
        <f t="shared" si="33"/>
        <v>VENDETTA|54</v>
      </c>
      <c r="Z444" s="15">
        <f>IF($C444="","",IF($G444="","",RANK($G444,$G$4:$G$1463)+COUNTIF($G$4:$G444,$G444)-1))</f>
        <v>703</v>
      </c>
      <c r="AA444" s="15">
        <f>IF($C444="","",IF($N444="","",RANK($N444,$N$4:$N$1463)+COUNTIF($N$4:$N444,$N444)-1))</f>
        <v>1033</v>
      </c>
      <c r="AB444" s="41" t="str">
        <f>IF($C444="","",IF($E444="","",$E444&amp;"#"&amp;(COUNTIFS($E$4:$E$1463,$E444,$X$4:$X$1463,"&gt;"&amp;$X444)+COUNTIFS($E$4:$E444,$E444,$X$4:$X444,"="&amp;$X444))))</f>
        <v>CRUSADER#111</v>
      </c>
      <c r="AC444" s="41" t="str">
        <f>IF($C444="","",$B444&amp;"@"&amp;(COUNTIFS($B$4:$B$1463,$B444,$C$4:$C$1463,"&lt;"&amp;$C444)+COUNTIFS($B$4:$B444,$B444,$C$4:$C444,$C444)))</f>
        <v>VENDETTA@36</v>
      </c>
      <c r="AD444" s="41">
        <f t="shared" si="34"/>
        <v>441</v>
      </c>
      <c r="AE444" s="41" t="s">
        <v>703</v>
      </c>
      <c r="AF444" s="73">
        <f t="shared" si="35"/>
        <v>62379</v>
      </c>
      <c r="AG444" s="74">
        <f t="shared" si="36"/>
        <v>4.0999999999999996</v>
      </c>
      <c r="AH444" s="41" t="str">
        <f>IF($C444="","",$B444&amp;"|"&amp;(COUNTIFS($B$4:$B$1463,$B444,$AF$4:$AF$1463,"&gt;"&amp;$AF444)+COUNTIFS($B$4:$B444,$B444,$AF$4:$AF444,"="&amp;$AF444)))</f>
        <v>VENDETTA|25</v>
      </c>
      <c r="AI444" s="41" t="str">
        <f>IF($C444="","",$B444&amp;"|"&amp;(COUNTIFS($B$4:$B$1463,$B444,$AG$4:$AG$1463,"&gt;"&amp;$AG444)+COUNTIFS($B$4:$B444,$B444,$AG$4:$AG444,"="&amp;$AG444)))</f>
        <v>VENDETTA|35</v>
      </c>
    </row>
    <row r="445" spans="1:35" hidden="1">
      <c r="A445" s="69" t="s">
        <v>106</v>
      </c>
      <c r="B445" s="69" t="s">
        <v>105</v>
      </c>
      <c r="C445" s="63" t="s">
        <v>1329</v>
      </c>
      <c r="D445" s="69" t="s">
        <v>619</v>
      </c>
      <c r="E445" s="68" t="s">
        <v>73</v>
      </c>
      <c r="F445" s="19" t="str">
        <f>IF($C445="","",IF($E445="","-",IFERROR(INDEX(SETUP!$B$55:$B$64,MATCH($E445,SETUP!$A$55:$A$64,0)),"Other")))</f>
        <v>Frontline</v>
      </c>
      <c r="G445" s="70">
        <v>63703</v>
      </c>
      <c r="H445" s="19" t="str">
        <f>IF($C445="","",IF($G445="","-",INDEX(SETUP!$B$26:$B$32,MATCH($G445,SETUP!$A$26:$A$32,1))))</f>
        <v>63,000 - 63,999</v>
      </c>
      <c r="I445" s="70">
        <v>10246</v>
      </c>
      <c r="J445" s="19" t="str">
        <f>IF($C445="","",IF($I445="","-",INDEX(SETUP!$B$16:$B$22,MATCH($I445,SETUP!$A$16:$A$22,1))))</f>
        <v>APEX</v>
      </c>
      <c r="K445" s="19" t="str">
        <f>IF($C445="","",IF($I445="","-",TEXT(INT($I445/1000)*1000,"#,##0")&amp;" - "&amp;TEXT(INT($I445/1000)*1000+999,"#,##0")))</f>
        <v>10,000 - 10,999</v>
      </c>
      <c r="L445" s="71">
        <v>7.82</v>
      </c>
      <c r="M445" s="19" t="str">
        <f>IF($C445="","",IF($L445="","-",INDEX(SETUP!$B$36:$B$42,MATCH($L445,SETUP!$A$36:$A$42,1))))</f>
        <v>6k - 8k</v>
      </c>
      <c r="N445" s="21">
        <f>IF($C445="","",IF(OR($G445="",$I445=""),"",ROUND(100*(SETUP!$B$4*MIN(1,$I445/SETUP!$B$9)+SETUP!$B$5*MAX(0,MIN(1,($G445-SETUP!$B$10)/(SETUP!$B$11-SETUP!$B$10)))+SETUP!$B$6*MIN(1,IF($L445="",0,$L445)/SETUP!$B$12)),1)))</f>
        <v>80.7</v>
      </c>
      <c r="O445" s="19" t="str">
        <f>IF($C445="","",IF($N445="","-",INDEX(SETUP!$B$46:$B$51,MATCH($N445,SETUP!$A$46:$A$51,1))))</f>
        <v>S+</v>
      </c>
      <c r="P445" s="19">
        <f>IF($C445="","",IF($I445="","",RANK($I445,$I$4:$I$1463)+COUNTIF($I$4:$I445,$I445)-1))</f>
        <v>38</v>
      </c>
      <c r="Q445" s="19">
        <f>IF($C445="","",COUNTIFS($B$4:$B$1463,$B445,$X$4:$X$1463,"&gt;"&amp;$X445)+COUNTIFS($B$4:$B445,$B445,$X$4:$X445,"="&amp;$X445))</f>
        <v>5</v>
      </c>
      <c r="R445" s="75">
        <f>IF($C445="","",IF($I445="","",ROUND(COUNTIF($I$4:$I$1463,"&lt;"&amp;$I445)/COUNT($I$4:$I$1463),3)))</f>
        <v>0.97099999999999997</v>
      </c>
      <c r="S445" s="19" t="str">
        <f>IF($C445="","",IF($G445="","Name only",IF(OR($I445="",$L445=""),"Partial","Complete")))</f>
        <v>Complete</v>
      </c>
      <c r="T445" s="1" t="str">
        <f>IF($C445="","",TRIM(IF(COUNTIF($C$4:$C$1463,$C445)&gt;1,"Dup name; ","")&amp;IF(AND($G445&lt;&gt;"",$G445&lt;55000),"Low CR - verify; ","")&amp;IF(AND($L445&lt;&gt;"",$L445&gt;15),"Secondary - verify; ","")&amp;IF($E445="","No class; ","")))</f>
        <v/>
      </c>
      <c r="U445" s="68"/>
      <c r="V445" s="68"/>
      <c r="W445" s="68"/>
      <c r="X445" s="76">
        <f t="shared" si="32"/>
        <v>10246</v>
      </c>
      <c r="Y445" s="1" t="str">
        <f t="shared" si="33"/>
        <v>LEGENDS|5</v>
      </c>
      <c r="Z445" s="19">
        <f>IF($C445="","",IF($G445="","",RANK($G445,$G$4:$G$1463)+COUNTIF($G$4:$G445,$G445)-1))</f>
        <v>136</v>
      </c>
      <c r="AA445" s="19">
        <f>IF($C445="","",IF($N445="","",RANK($N445,$N$4:$N$1463)+COUNTIF($N$4:$N445,$N445)-1))</f>
        <v>44</v>
      </c>
      <c r="AB445" s="1" t="str">
        <f>IF($C445="","",IF($E445="","",$E445&amp;"#"&amp;(COUNTIFS($E$4:$E$1463,$E445,$X$4:$X$1463,"&gt;"&amp;$X445)+COUNTIFS($E$4:$E445,$E445,$X$4:$X445,"="&amp;$X445))))</f>
        <v>CRUSADER#8</v>
      </c>
      <c r="AC445" s="1" t="str">
        <f>IF($C445="","",$B445&amp;"@"&amp;(COUNTIFS($B$4:$B$1463,$B445,$C$4:$C$1463,"&lt;"&amp;$C445)+COUNTIFS($B$4:$B445,$B445,$C$4:$C445,$C445)))</f>
        <v>LEGENDS@42</v>
      </c>
      <c r="AD445" s="1">
        <f t="shared" si="34"/>
        <v>442</v>
      </c>
      <c r="AE445" s="1" t="s">
        <v>1330</v>
      </c>
      <c r="AF445" s="76">
        <f t="shared" si="35"/>
        <v>63703</v>
      </c>
      <c r="AG445" s="77">
        <f t="shared" si="36"/>
        <v>7.82</v>
      </c>
      <c r="AH445" s="1" t="str">
        <f>IF($C445="","",$B445&amp;"|"&amp;(COUNTIFS($B$4:$B$1463,$B445,$AF$4:$AF$1463,"&gt;"&amp;$AF445)+COUNTIFS($B$4:$B445,$B445,$AF$4:$AF445,"="&amp;$AF445)))</f>
        <v>LEGENDS|12</v>
      </c>
      <c r="AI445" s="1" t="str">
        <f>IF($C445="","",$B445&amp;"|"&amp;(COUNTIFS($B$4:$B$1463,$B445,$AG$4:$AG$1463,"&gt;"&amp;$AG445)+COUNTIFS($B$4:$B445,$B445,$AG$4:$AG445,"="&amp;$AG445)))</f>
        <v>LEGENDS|1</v>
      </c>
    </row>
    <row r="446" spans="1:35" hidden="1">
      <c r="A446" s="69" t="s">
        <v>106</v>
      </c>
      <c r="B446" s="69" t="s">
        <v>105</v>
      </c>
      <c r="C446" s="63" t="s">
        <v>1331</v>
      </c>
      <c r="D446" s="69"/>
      <c r="E446" s="68" t="s">
        <v>71</v>
      </c>
      <c r="F446" s="15" t="str">
        <f>IF($C446="","",IF($E446="","-",IFERROR(INDEX(SETUP!$B$55:$B$64,MATCH($E446,SETUP!$A$55:$A$64,0)),"Other")))</f>
        <v>Frontline</v>
      </c>
      <c r="G446" s="70">
        <v>63712</v>
      </c>
      <c r="H446" s="15" t="str">
        <f>IF($C446="","",IF($G446="","-",INDEX(SETUP!$B$26:$B$32,MATCH($G446,SETUP!$A$26:$A$32,1))))</f>
        <v>63,000 - 63,999</v>
      </c>
      <c r="I446" s="70">
        <v>6218</v>
      </c>
      <c r="J446" s="15" t="str">
        <f>IF($C446="","",IF($I446="","-",INDEX(SETUP!$B$16:$B$22,MATCH($I446,SETUP!$A$16:$A$22,1))))</f>
        <v>VETERAN</v>
      </c>
      <c r="K446" s="15" t="str">
        <f>IF($C446="","",IF($I446="","-",TEXT(INT($I446/1000)*1000,"#,##0")&amp;" - "&amp;TEXT(INT($I446/1000)*1000+999,"#,##0")))</f>
        <v>6,000 - 6,999</v>
      </c>
      <c r="L446" s="71">
        <v>5.61</v>
      </c>
      <c r="M446" s="15" t="str">
        <f>IF($C446="","",IF($L446="","-",INDEX(SETUP!$B$36:$B$42,MATCH($L446,SETUP!$A$36:$A$42,1))))</f>
        <v>5k - 6k</v>
      </c>
      <c r="N446" s="17">
        <f>IF($C446="","",IF(OR($G446="",$I446=""),"",ROUND(100*(SETUP!$B$4*MIN(1,$I446/SETUP!$B$9)+SETUP!$B$5*MAX(0,MIN(1,($G446-SETUP!$B$10)/(SETUP!$B$11-SETUP!$B$10)))+SETUP!$B$6*MIN(1,IF($L446="",0,$L446)/SETUP!$B$12)),1)))</f>
        <v>59.4</v>
      </c>
      <c r="O446" s="15" t="str">
        <f>IF($C446="","",IF($N446="","-",INDEX(SETUP!$B$46:$B$51,MATCH($N446,SETUP!$A$46:$A$51,1))))</f>
        <v>A</v>
      </c>
      <c r="P446" s="15">
        <f>IF($C446="","",IF($I446="","",RANK($I446,$I$4:$I$1463)+COUNTIF($I$4:$I446,$I446)-1))</f>
        <v>263</v>
      </c>
      <c r="Q446" s="15">
        <f>IF($C446="","",COUNTIFS($B$4:$B$1463,$B446,$X$4:$X$1463,"&gt;"&amp;$X446)+COUNTIFS($B$4:$B446,$B446,$X$4:$X446,"="&amp;$X446))</f>
        <v>28</v>
      </c>
      <c r="R446" s="72">
        <f>IF($C446="","",IF($I446="","",ROUND(COUNTIF($I$4:$I$1463,"&lt;"&amp;$I446)/COUNT($I$4:$I$1463),3)))</f>
        <v>0.80200000000000005</v>
      </c>
      <c r="S446" s="15" t="str">
        <f>IF($C446="","",IF($G446="","Name only",IF(OR($I446="",$L446=""),"Partial","Complete")))</f>
        <v>Complete</v>
      </c>
      <c r="T446" s="41" t="str">
        <f>IF($C446="","",TRIM(IF(COUNTIF($C$4:$C$1463,$C446)&gt;1,"Dup name; ","")&amp;IF(AND($G446&lt;&gt;"",$G446&lt;55000),"Low CR - verify; ","")&amp;IF(AND($L446&lt;&gt;"",$L446&gt;15),"Secondary - verify; ","")&amp;IF($E446="","No class; ","")))</f>
        <v/>
      </c>
      <c r="U446" s="68"/>
      <c r="V446" s="68"/>
      <c r="W446" s="68"/>
      <c r="X446" s="73">
        <f t="shared" si="32"/>
        <v>6218</v>
      </c>
      <c r="Y446" s="41" t="str">
        <f t="shared" si="33"/>
        <v>LEGENDS|28</v>
      </c>
      <c r="Z446" s="15">
        <f>IF($C446="","",IF($G446="","",RANK($G446,$G$4:$G$1463)+COUNTIF($G$4:$G446,$G446)-1))</f>
        <v>135</v>
      </c>
      <c r="AA446" s="15">
        <f>IF($C446="","",IF($N446="","",RANK($N446,$N$4:$N$1463)+COUNTIF($N$4:$N446,$N446)-1))</f>
        <v>245</v>
      </c>
      <c r="AB446" s="41" t="str">
        <f>IF($C446="","",IF($E446="","",$E446&amp;"#"&amp;(COUNTIFS($E$4:$E$1463,$E446,$X$4:$X$1463,"&gt;"&amp;$X446)+COUNTIFS($E$4:$E446,$E446,$X$4:$X446,"="&amp;$X446))))</f>
        <v>BARBARIAN#53</v>
      </c>
      <c r="AC446" s="41" t="str">
        <f>IF($C446="","",$B446&amp;"@"&amp;(COUNTIFS($B$4:$B$1463,$B446,$C$4:$C$1463,"&lt;"&amp;$C446)+COUNTIFS($B$4:$B446,$B446,$C$4:$C446,$C446)))</f>
        <v>LEGENDS@43</v>
      </c>
      <c r="AD446" s="41">
        <f t="shared" si="34"/>
        <v>443</v>
      </c>
      <c r="AE446" s="41" t="s">
        <v>1332</v>
      </c>
      <c r="AF446" s="73">
        <f t="shared" si="35"/>
        <v>63712</v>
      </c>
      <c r="AG446" s="74">
        <f t="shared" si="36"/>
        <v>5.61</v>
      </c>
      <c r="AH446" s="41" t="str">
        <f>IF($C446="","",$B446&amp;"|"&amp;(COUNTIFS($B$4:$B$1463,$B446,$AF$4:$AF$1463,"&gt;"&amp;$AF446)+COUNTIFS($B$4:$B446,$B446,$AF$4:$AF446,"="&amp;$AF446)))</f>
        <v>LEGENDS|11</v>
      </c>
      <c r="AI446" s="41" t="str">
        <f>IF($C446="","",$B446&amp;"|"&amp;(COUNTIFS($B$4:$B$1463,$B446,$AG$4:$AG$1463,"&gt;"&amp;$AG446)+COUNTIFS($B$4:$B446,$B446,$AG$4:$AG446,"="&amp;$AG446)))</f>
        <v>LEGENDS|34</v>
      </c>
    </row>
    <row r="447" spans="1:35" hidden="1">
      <c r="A447" s="69" t="s">
        <v>109</v>
      </c>
      <c r="B447" s="69" t="s">
        <v>115</v>
      </c>
      <c r="C447" s="63" t="s">
        <v>1333</v>
      </c>
      <c r="D447" s="69"/>
      <c r="E447" s="68" t="s">
        <v>80</v>
      </c>
      <c r="F447" s="19" t="str">
        <f>IF($C447="","",IF($E447="","-",IFERROR(INDEX(SETUP!$B$55:$B$64,MATCH($E447,SETUP!$A$55:$A$64,0)),"Other")))</f>
        <v>Ranged DPS</v>
      </c>
      <c r="G447" s="70">
        <v>64242</v>
      </c>
      <c r="H447" s="19" t="str">
        <f>IF($C447="","",IF($G447="","-",INDEX(SETUP!$B$26:$B$32,MATCH($G447,SETUP!$A$26:$A$32,1))))</f>
        <v>64,000 +</v>
      </c>
      <c r="I447" s="70">
        <v>10121</v>
      </c>
      <c r="J447" s="19" t="str">
        <f>IF($C447="","",IF($I447="","-",INDEX(SETUP!$B$16:$B$22,MATCH($I447,SETUP!$A$16:$A$22,1))))</f>
        <v>APEX</v>
      </c>
      <c r="K447" s="19" t="str">
        <f>IF($C447="","",IF($I447="","-",TEXT(INT($I447/1000)*1000,"#,##0")&amp;" - "&amp;TEXT(INT($I447/1000)*1000+999,"#,##0")))</f>
        <v>10,000 - 10,999</v>
      </c>
      <c r="L447" s="71">
        <v>7.65</v>
      </c>
      <c r="M447" s="19" t="str">
        <f>IF($C447="","",IF($L447="","-",INDEX(SETUP!$B$36:$B$42,MATCH($L447,SETUP!$A$36:$A$42,1))))</f>
        <v>6k - 8k</v>
      </c>
      <c r="N447" s="21">
        <f>IF($C447="","",IF(OR($G447="",$I447=""),"",ROUND(100*(SETUP!$B$4*MIN(1,$I447/SETUP!$B$9)+SETUP!$B$5*MAX(0,MIN(1,($G447-SETUP!$B$10)/(SETUP!$B$11-SETUP!$B$10)))+SETUP!$B$6*MIN(1,IF($L447="",0,$L447)/SETUP!$B$12)),1)))</f>
        <v>81.3</v>
      </c>
      <c r="O447" s="19" t="str">
        <f>IF($C447="","",IF($N447="","-",INDEX(SETUP!$B$46:$B$51,MATCH($N447,SETUP!$A$46:$A$51,1))))</f>
        <v>S+</v>
      </c>
      <c r="P447" s="19">
        <f>IF($C447="","",IF($I447="","",RANK($I447,$I$4:$I$1463)+COUNTIF($I$4:$I447,$I447)-1))</f>
        <v>46</v>
      </c>
      <c r="Q447" s="19">
        <f>IF($C447="","",COUNTIFS($B$4:$B$1463,$B447,$X$4:$X$1463,"&gt;"&amp;$X447)+COUNTIFS($B$4:$B447,$B447,$X$4:$X447,"="&amp;$X447))</f>
        <v>2</v>
      </c>
      <c r="R447" s="75">
        <f>IF($C447="","",IF($I447="","",ROUND(COUNTIF($I$4:$I$1463,"&lt;"&amp;$I447)/COUNT($I$4:$I$1463),3)))</f>
        <v>0.96499999999999997</v>
      </c>
      <c r="S447" s="19" t="str">
        <f>IF($C447="","",IF($G447="","Name only",IF(OR($I447="",$L447=""),"Partial","Complete")))</f>
        <v>Complete</v>
      </c>
      <c r="T447" s="1" t="str">
        <f>IF($C447="","",TRIM(IF(COUNTIF($C$4:$C$1463,$C447)&gt;1,"Dup name; ","")&amp;IF(AND($G447&lt;&gt;"",$G447&lt;55000),"Low CR - verify; ","")&amp;IF(AND($L447&lt;&gt;"",$L447&gt;15),"Secondary - verify; ","")&amp;IF($E447="","No class; ","")))</f>
        <v/>
      </c>
      <c r="U447" s="68"/>
      <c r="V447" s="68"/>
      <c r="W447" s="68"/>
      <c r="X447" s="76">
        <f t="shared" si="32"/>
        <v>10121</v>
      </c>
      <c r="Y447" s="1" t="str">
        <f t="shared" si="33"/>
        <v>SUB ROSA|2</v>
      </c>
      <c r="Z447" s="19">
        <f>IF($C447="","",IF($G447="","",RANK($G447,$G$4:$G$1463)+COUNTIF($G$4:$G447,$G447)-1))</f>
        <v>31</v>
      </c>
      <c r="AA447" s="19">
        <f>IF($C447="","",IF($N447="","",RANK($N447,$N$4:$N$1463)+COUNTIF($N$4:$N447,$N447)-1))</f>
        <v>38</v>
      </c>
      <c r="AB447" s="1" t="str">
        <f>IF($C447="","",IF($E447="","",$E447&amp;"#"&amp;(COUNTIFS($E$4:$E$1463,$E447,$X$4:$X$1463,"&gt;"&amp;$X447)+COUNTIFS($E$4:$E447,$E447,$X$4:$X447,"="&amp;$X447))))</f>
        <v>WIZARD#3</v>
      </c>
      <c r="AC447" s="1" t="str">
        <f>IF($C447="","",$B447&amp;"@"&amp;(COUNTIFS($B$4:$B$1463,$B447,$C$4:$C$1463,"&lt;"&amp;$C447)+COUNTIFS($B$4:$B447,$B447,$C$4:$C447,$C447)))</f>
        <v>SUB ROSA@26</v>
      </c>
      <c r="AD447" s="1">
        <f t="shared" si="34"/>
        <v>444</v>
      </c>
      <c r="AE447" s="1" t="s">
        <v>1334</v>
      </c>
      <c r="AF447" s="76">
        <f t="shared" si="35"/>
        <v>64242</v>
      </c>
      <c r="AG447" s="77">
        <f t="shared" si="36"/>
        <v>7.65</v>
      </c>
      <c r="AH447" s="1" t="str">
        <f>IF($C447="","",$B447&amp;"|"&amp;(COUNTIFS($B$4:$B$1463,$B447,$AF$4:$AF$1463,"&gt;"&amp;$AF447)+COUNTIFS($B$4:$B447,$B447,$AF$4:$AF447,"="&amp;$AF447)))</f>
        <v>SUB ROSA|2</v>
      </c>
      <c r="AI447" s="1" t="str">
        <f>IF($C447="","",$B447&amp;"|"&amp;(COUNTIFS($B$4:$B$1463,$B447,$AG$4:$AG$1463,"&gt;"&amp;$AG447)+COUNTIFS($B$4:$B447,$B447,$AG$4:$AG447,"="&amp;$AG447)))</f>
        <v>SUB ROSA|2</v>
      </c>
    </row>
    <row r="448" spans="1:35" hidden="1">
      <c r="A448" s="69" t="s">
        <v>109</v>
      </c>
      <c r="B448" s="69" t="s">
        <v>113</v>
      </c>
      <c r="C448" s="63" t="s">
        <v>1335</v>
      </c>
      <c r="D448" s="69" t="s">
        <v>548</v>
      </c>
      <c r="E448" s="68" t="s">
        <v>80</v>
      </c>
      <c r="F448" s="15" t="str">
        <f>IF($C448="","",IF($E448="","-",IFERROR(INDEX(SETUP!$B$55:$B$64,MATCH($E448,SETUP!$A$55:$A$64,0)),"Other")))</f>
        <v>Ranged DPS</v>
      </c>
      <c r="G448" s="70">
        <v>61882</v>
      </c>
      <c r="H448" s="15" t="str">
        <f>IF($C448="","",IF($G448="","-",INDEX(SETUP!$B$26:$B$32,MATCH($G448,SETUP!$A$26:$A$32,1))))</f>
        <v>61,000 - 61,999</v>
      </c>
      <c r="I448" s="70">
        <v>1500</v>
      </c>
      <c r="J448" s="15" t="str">
        <f>IF($C448="","",IF($I448="","-",INDEX(SETUP!$B$16:$B$22,MATCH($I448,SETUP!$A$16:$A$22,1))))</f>
        <v>ROOKIE</v>
      </c>
      <c r="K448" s="15" t="str">
        <f>IF($C448="","",IF($I448="","-",TEXT(INT($I448/1000)*1000,"#,##0")&amp;" - "&amp;TEXT(INT($I448/1000)*1000+999,"#,##0")))</f>
        <v>1,000 - 1,999</v>
      </c>
      <c r="L448" s="71">
        <v>3.2</v>
      </c>
      <c r="M448" s="15" t="str">
        <f>IF($C448="","",IF($L448="","-",INDEX(SETUP!$B$36:$B$42,MATCH($L448,SETUP!$A$36:$A$42,1))))</f>
        <v>3k - 4k</v>
      </c>
      <c r="N448" s="17">
        <f>IF($C448="","",IF(OR($G448="",$I448=""),"",ROUND(100*(SETUP!$B$4*MIN(1,$I448/SETUP!$B$9)+SETUP!$B$5*MAX(0,MIN(1,($G448-SETUP!$B$10)/(SETUP!$B$11-SETUP!$B$10)))+SETUP!$B$6*MIN(1,IF($L448="",0,$L448)/SETUP!$B$12)),1)))</f>
        <v>30</v>
      </c>
      <c r="O448" s="15" t="str">
        <f>IF($C448="","",IF($N448="","-",INDEX(SETUP!$B$46:$B$51,MATCH($N448,SETUP!$A$46:$A$51,1))))</f>
        <v>C</v>
      </c>
      <c r="P448" s="15">
        <f>IF($C448="","",IF($I448="","",RANK($I448,$I$4:$I$1463)+COUNTIF($I$4:$I448,$I448)-1))</f>
        <v>1188</v>
      </c>
      <c r="Q448" s="15">
        <f>IF($C448="","",COUNTIFS($B$4:$B$1463,$B448,$X$4:$X$1463,"&gt;"&amp;$X448)+COUNTIFS($B$4:$B448,$B448,$X$4:$X448,"="&amp;$X448))</f>
        <v>90</v>
      </c>
      <c r="R448" s="72">
        <f>IF($C448="","",IF($I448="","",ROUND(COUNTIF($I$4:$I$1463,"&lt;"&amp;$I448)/COUNT($I$4:$I$1463),3)))</f>
        <v>0.10100000000000001</v>
      </c>
      <c r="S448" s="15" t="str">
        <f>IF($C448="","",IF($G448="","Name only",IF(OR($I448="",$L448=""),"Partial","Complete")))</f>
        <v>Complete</v>
      </c>
      <c r="T448" s="41" t="str">
        <f>IF($C448="","",TRIM(IF(COUNTIF($C$4:$C$1463,$C448)&gt;1,"Dup name; ","")&amp;IF(AND($G448&lt;&gt;"",$G448&lt;55000),"Low CR - verify; ","")&amp;IF(AND($L448&lt;&gt;"",$L448&gt;15),"Secondary - verify; ","")&amp;IF($E448="","No class; ","")))</f>
        <v/>
      </c>
      <c r="U448" s="68"/>
      <c r="V448" s="68"/>
      <c r="W448" s="68"/>
      <c r="X448" s="73">
        <f t="shared" si="32"/>
        <v>1500</v>
      </c>
      <c r="Y448" s="41" t="str">
        <f t="shared" si="33"/>
        <v>INVICTUS|90</v>
      </c>
      <c r="Z448" s="15">
        <f>IF($C448="","",IF($G448="","",RANK($G448,$G$4:$G$1463)+COUNTIF($G$4:$G448,$G448)-1))</f>
        <v>880</v>
      </c>
      <c r="AA448" s="15">
        <f>IF($C448="","",IF($N448="","",RANK($N448,$N$4:$N$1463)+COUNTIF($N$4:$N448,$N448)-1))</f>
        <v>1148</v>
      </c>
      <c r="AB448" s="41" t="str">
        <f>IF($C448="","",IF($E448="","",$E448&amp;"#"&amp;(COUNTIFS($E$4:$E$1463,$E448,$X$4:$X$1463,"&gt;"&amp;$X448)+COUNTIFS($E$4:$E448,$E448,$X$4:$X448,"="&amp;$X448))))</f>
        <v>WIZARD#84</v>
      </c>
      <c r="AC448" s="41" t="str">
        <f>IF($C448="","",$B448&amp;"@"&amp;(COUNTIFS($B$4:$B$1463,$B448,$C$4:$C$1463,"&lt;"&amp;$C448)+COUNTIFS($B$4:$B448,$B448,$C$4:$C448,$C448)))</f>
        <v>INVICTUS@25</v>
      </c>
      <c r="AD448" s="41">
        <f t="shared" si="34"/>
        <v>445</v>
      </c>
      <c r="AE448" s="41" t="s">
        <v>1160</v>
      </c>
      <c r="AF448" s="73">
        <f t="shared" si="35"/>
        <v>61882</v>
      </c>
      <c r="AG448" s="74">
        <f t="shared" si="36"/>
        <v>3.2</v>
      </c>
      <c r="AH448" s="41" t="str">
        <f>IF($C448="","",$B448&amp;"|"&amp;(COUNTIFS($B$4:$B$1463,$B448,$AF$4:$AF$1463,"&gt;"&amp;$AF448)+COUNTIFS($B$4:$B448,$B448,$AF$4:$AF448,"="&amp;$AF448)))</f>
        <v>INVICTUS|60</v>
      </c>
      <c r="AI448" s="41" t="str">
        <f>IF($C448="","",$B448&amp;"|"&amp;(COUNTIFS($B$4:$B$1463,$B448,$AG$4:$AG$1463,"&gt;"&amp;$AG448)+COUNTIFS($B$4:$B448,$B448,$AG$4:$AG448,"="&amp;$AG448)))</f>
        <v>INVICTUS|89</v>
      </c>
    </row>
    <row r="449" spans="1:35" hidden="1">
      <c r="A449" s="69" t="s">
        <v>109</v>
      </c>
      <c r="B449" s="69" t="s">
        <v>110</v>
      </c>
      <c r="C449" s="63" t="s">
        <v>1336</v>
      </c>
      <c r="D449" s="69"/>
      <c r="E449" s="68" t="s">
        <v>74</v>
      </c>
      <c r="F449" s="19" t="str">
        <f>IF($C449="","",IF($E449="","-",IFERROR(INDEX(SETUP!$B$55:$B$64,MATCH($E449,SETUP!$A$55:$A$64,0)),"Other")))</f>
        <v>Ranged DPS</v>
      </c>
      <c r="G449" s="70">
        <v>62844</v>
      </c>
      <c r="H449" s="19" t="str">
        <f>IF($C449="","",IF($G449="","-",INDEX(SETUP!$B$26:$B$32,MATCH($G449,SETUP!$A$26:$A$32,1))))</f>
        <v>62,000 - 62,999</v>
      </c>
      <c r="I449" s="70">
        <v>2580</v>
      </c>
      <c r="J449" s="19" t="str">
        <f>IF($C449="","",IF($I449="","-",INDEX(SETUP!$B$16:$B$22,MATCH($I449,SETUP!$A$16:$A$22,1))))</f>
        <v>DEVELOPING</v>
      </c>
      <c r="K449" s="19" t="str">
        <f>IF($C449="","",IF($I449="","-",TEXT(INT($I449/1000)*1000,"#,##0")&amp;" - "&amp;TEXT(INT($I449/1000)*1000+999,"#,##0")))</f>
        <v>2,000 - 2,999</v>
      </c>
      <c r="L449" s="71">
        <v>4.3</v>
      </c>
      <c r="M449" s="19" t="str">
        <f>IF($C449="","",IF($L449="","-",INDEX(SETUP!$B$36:$B$42,MATCH($L449,SETUP!$A$36:$A$42,1))))</f>
        <v>4k - 5k</v>
      </c>
      <c r="N449" s="21">
        <f>IF($C449="","",IF(OR($G449="",$I449=""),"",ROUND(100*(SETUP!$B$4*MIN(1,$I449/SETUP!$B$9)+SETUP!$B$5*MAX(0,MIN(1,($G449-SETUP!$B$10)/(SETUP!$B$11-SETUP!$B$10)))+SETUP!$B$6*MIN(1,IF($L449="",0,$L449)/SETUP!$B$12)),1)))</f>
        <v>39.1</v>
      </c>
      <c r="O449" s="19" t="str">
        <f>IF($C449="","",IF($N449="","-",INDEX(SETUP!$B$46:$B$51,MATCH($N449,SETUP!$A$46:$A$51,1))))</f>
        <v>B</v>
      </c>
      <c r="P449" s="19">
        <f>IF($C449="","",IF($I449="","",RANK($I449,$I$4:$I$1463)+COUNTIF($I$4:$I449,$I449)-1))</f>
        <v>984</v>
      </c>
      <c r="Q449" s="19">
        <f>IF($C449="","",COUNTIFS($B$4:$B$1463,$B449,$X$4:$X$1463,"&gt;"&amp;$X449)+COUNTIFS($B$4:$B449,$B449,$X$4:$X449,"="&amp;$X449))</f>
        <v>99</v>
      </c>
      <c r="R449" s="75">
        <f>IF($C449="","",IF($I449="","",ROUND(COUNTIF($I$4:$I$1463,"&lt;"&amp;$I449)/COUNT($I$4:$I$1463),3)))</f>
        <v>0.25600000000000001</v>
      </c>
      <c r="S449" s="19" t="str">
        <f>IF($C449="","",IF($G449="","Name only",IF(OR($I449="",$L449=""),"Partial","Complete")))</f>
        <v>Complete</v>
      </c>
      <c r="T449" s="1" t="str">
        <f>IF($C449="","",TRIM(IF(COUNTIF($C$4:$C$1463,$C449)&gt;1,"Dup name; ","")&amp;IF(AND($G449&lt;&gt;"",$G449&lt;55000),"Low CR - verify; ","")&amp;IF(AND($L449&lt;&gt;"",$L449&gt;15),"Secondary - verify; ","")&amp;IF($E449="","No class; ","")))</f>
        <v/>
      </c>
      <c r="U449" s="68"/>
      <c r="V449" s="68"/>
      <c r="W449" s="68"/>
      <c r="X449" s="76">
        <f t="shared" si="32"/>
        <v>2580</v>
      </c>
      <c r="Y449" s="1" t="str">
        <f t="shared" si="33"/>
        <v>AZUKI|99</v>
      </c>
      <c r="Z449" s="19">
        <f>IF($C449="","",IF($G449="","",RANK($G449,$G$4:$G$1463)+COUNTIF($G$4:$G449,$G449)-1))</f>
        <v>499</v>
      </c>
      <c r="AA449" s="19">
        <f>IF($C449="","",IF($N449="","",RANK($N449,$N$4:$N$1463)+COUNTIF($N$4:$N449,$N449)-1))</f>
        <v>856</v>
      </c>
      <c r="AB449" s="1" t="str">
        <f>IF($C449="","",IF($E449="","",$E449&amp;"#"&amp;(COUNTIFS($E$4:$E$1463,$E449,$X$4:$X$1463,"&gt;"&amp;$X449)+COUNTIFS($E$4:$E449,$E449,$X$4:$X449,"="&amp;$X449))))</f>
        <v>DEMON HUNTER#157</v>
      </c>
      <c r="AC449" s="1" t="str">
        <f>IF($C449="","",$B449&amp;"@"&amp;(COUNTIFS($B$4:$B$1463,$B449,$C$4:$C$1463,"&lt;"&amp;$C449)+COUNTIFS($B$4:$B449,$B449,$C$4:$C449,$C449)))</f>
        <v>AZUKI@41</v>
      </c>
      <c r="AD449" s="1">
        <f t="shared" si="34"/>
        <v>446</v>
      </c>
      <c r="AE449" s="1" t="s">
        <v>1337</v>
      </c>
      <c r="AF449" s="76">
        <f t="shared" si="35"/>
        <v>62844</v>
      </c>
      <c r="AG449" s="77">
        <f t="shared" si="36"/>
        <v>4.3</v>
      </c>
      <c r="AH449" s="1" t="str">
        <f>IF($C449="","",$B449&amp;"|"&amp;(COUNTIFS($B$4:$B$1463,$B449,$AF$4:$AF$1463,"&gt;"&amp;$AF449)+COUNTIFS($B$4:$B449,$B449,$AF$4:$AF449,"="&amp;$AF449)))</f>
        <v>AZUKI|49</v>
      </c>
      <c r="AI449" s="1" t="str">
        <f>IF($C449="","",$B449&amp;"|"&amp;(COUNTIFS($B$4:$B$1463,$B449,$AG$4:$AG$1463,"&gt;"&amp;$AG449)+COUNTIFS($B$4:$B449,$B449,$AG$4:$AG449,"="&amp;$AG449)))</f>
        <v>AZUKI|84</v>
      </c>
    </row>
    <row r="450" spans="1:35" hidden="1">
      <c r="A450" s="69" t="s">
        <v>106</v>
      </c>
      <c r="B450" s="69" t="s">
        <v>105</v>
      </c>
      <c r="C450" s="63" t="s">
        <v>1338</v>
      </c>
      <c r="D450" s="69" t="s">
        <v>691</v>
      </c>
      <c r="E450" s="68" t="s">
        <v>79</v>
      </c>
      <c r="F450" s="15" t="str">
        <f>IF($C450="","",IF($E450="","-",IFERROR(INDEX(SETUP!$B$55:$B$64,MATCH($E450,SETUP!$A$55:$A$64,0)),"Other")))</f>
        <v>Control</v>
      </c>
      <c r="G450" s="70">
        <v>63036</v>
      </c>
      <c r="H450" s="15" t="str">
        <f>IF($C450="","",IF($G450="","-",INDEX(SETUP!$B$26:$B$32,MATCH($G450,SETUP!$A$26:$A$32,1))))</f>
        <v>63,000 - 63,999</v>
      </c>
      <c r="I450" s="70">
        <v>3436</v>
      </c>
      <c r="J450" s="15" t="str">
        <f>IF($C450="","",IF($I450="","-",INDEX(SETUP!$B$16:$B$22,MATCH($I450,SETUP!$A$16:$A$22,1))))</f>
        <v>DEVELOPING</v>
      </c>
      <c r="K450" s="15" t="str">
        <f>IF($C450="","",IF($I450="","-",TEXT(INT($I450/1000)*1000,"#,##0")&amp;" - "&amp;TEXT(INT($I450/1000)*1000+999,"#,##0")))</f>
        <v>3,000 - 3,999</v>
      </c>
      <c r="L450" s="71">
        <v>4.01</v>
      </c>
      <c r="M450" s="15" t="str">
        <f>IF($C450="","",IF($L450="","-",INDEX(SETUP!$B$36:$B$42,MATCH($L450,SETUP!$A$36:$A$42,1))))</f>
        <v>4k - 5k</v>
      </c>
      <c r="N450" s="17">
        <f>IF($C450="","",IF(OR($G450="",$I450=""),"",ROUND(100*(SETUP!$B$4*MIN(1,$I450/SETUP!$B$9)+SETUP!$B$5*MAX(0,MIN(1,($G450-SETUP!$B$10)/(SETUP!$B$11-SETUP!$B$10)))+SETUP!$B$6*MIN(1,IF($L450="",0,$L450)/SETUP!$B$12)),1)))</f>
        <v>42.8</v>
      </c>
      <c r="O450" s="15" t="str">
        <f>IF($C450="","",IF($N450="","-",INDEX(SETUP!$B$46:$B$51,MATCH($N450,SETUP!$A$46:$A$51,1))))</f>
        <v>B</v>
      </c>
      <c r="P450" s="15">
        <f>IF($C450="","",IF($I450="","",RANK($I450,$I$4:$I$1463)+COUNTIF($I$4:$I450,$I450)-1))</f>
        <v>747</v>
      </c>
      <c r="Q450" s="15">
        <f>IF($C450="","",COUNTIFS($B$4:$B$1463,$B450,$X$4:$X$1463,"&gt;"&amp;$X450)+COUNTIFS($B$4:$B450,$B450,$X$4:$X450,"="&amp;$X450))</f>
        <v>86</v>
      </c>
      <c r="R450" s="72">
        <f>IF($C450="","",IF($I450="","",ROUND(COUNTIF($I$4:$I$1463,"&lt;"&amp;$I450)/COUNT($I$4:$I$1463),3)))</f>
        <v>0.436</v>
      </c>
      <c r="S450" s="15" t="str">
        <f>IF($C450="","",IF($G450="","Name only",IF(OR($I450="",$L450=""),"Partial","Complete")))</f>
        <v>Complete</v>
      </c>
      <c r="T450" s="41" t="str">
        <f>IF($C450="","",TRIM(IF(COUNTIF($C$4:$C$1463,$C450)&gt;1,"Dup name; ","")&amp;IF(AND($G450&lt;&gt;"",$G450&lt;55000),"Low CR - verify; ","")&amp;IF(AND($L450&lt;&gt;"",$L450&gt;15),"Secondary - verify; ","")&amp;IF($E450="","No class; ","")))</f>
        <v/>
      </c>
      <c r="U450" s="68"/>
      <c r="V450" s="68"/>
      <c r="W450" s="68"/>
      <c r="X450" s="73">
        <f t="shared" si="32"/>
        <v>3436</v>
      </c>
      <c r="Y450" s="41" t="str">
        <f t="shared" si="33"/>
        <v>LEGENDS|86</v>
      </c>
      <c r="Z450" s="15">
        <f>IF($C450="","",IF($G450="","",RANK($G450,$G$4:$G$1463)+COUNTIF($G$4:$G450,$G450)-1))</f>
        <v>410</v>
      </c>
      <c r="AA450" s="15">
        <f>IF($C450="","",IF($N450="","",RANK($N450,$N$4:$N$1463)+COUNTIF($N$4:$N450,$N450)-1))</f>
        <v>712</v>
      </c>
      <c r="AB450" s="41" t="str">
        <f>IF($C450="","",IF($E450="","",$E450&amp;"#"&amp;(COUNTIFS($E$4:$E$1463,$E450,$X$4:$X$1463,"&gt;"&amp;$X450)+COUNTIFS($E$4:$E450,$E450,$X$4:$X450,"="&amp;$X450))))</f>
        <v>WARLOCK#183</v>
      </c>
      <c r="AC450" s="41" t="str">
        <f>IF($C450="","",$B450&amp;"@"&amp;(COUNTIFS($B$4:$B$1463,$B450,$C$4:$C$1463,"&lt;"&amp;$C450)+COUNTIFS($B$4:$B450,$B450,$C$4:$C450,$C450)))</f>
        <v>LEGENDS@44</v>
      </c>
      <c r="AD450" s="41">
        <f t="shared" si="34"/>
        <v>447</v>
      </c>
      <c r="AE450" s="41" t="s">
        <v>1339</v>
      </c>
      <c r="AF450" s="73">
        <f t="shared" si="35"/>
        <v>63036</v>
      </c>
      <c r="AG450" s="74">
        <f t="shared" si="36"/>
        <v>4.01</v>
      </c>
      <c r="AH450" s="41" t="str">
        <f>IF($C450="","",$B450&amp;"|"&amp;(COUNTIFS($B$4:$B$1463,$B450,$AF$4:$AF$1463,"&gt;"&amp;$AF450)+COUNTIFS($B$4:$B450,$B450,$AF$4:$AF450,"="&amp;$AF450)))</f>
        <v>LEGENDS|48</v>
      </c>
      <c r="AI450" s="41" t="str">
        <f>IF($C450="","",$B450&amp;"|"&amp;(COUNTIFS($B$4:$B$1463,$B450,$AG$4:$AG$1463,"&gt;"&amp;$AG450)+COUNTIFS($B$4:$B450,$B450,$AG$4:$AG450,"="&amp;$AG450)))</f>
        <v>LEGENDS|88</v>
      </c>
    </row>
    <row r="451" spans="1:35" hidden="1">
      <c r="A451" s="69" t="s">
        <v>109</v>
      </c>
      <c r="B451" s="69" t="s">
        <v>116</v>
      </c>
      <c r="C451" s="63" t="s">
        <v>1340</v>
      </c>
      <c r="D451" s="69" t="s">
        <v>530</v>
      </c>
      <c r="E451" s="68" t="s">
        <v>77</v>
      </c>
      <c r="F451" s="19" t="str">
        <f>IF($C451="","",IF($E451="","-",IFERROR(INDEX(SETUP!$B$55:$B$64,MATCH($E451,SETUP!$A$55:$A$64,0)),"Other")))</f>
        <v>Control</v>
      </c>
      <c r="G451" s="70">
        <v>60532</v>
      </c>
      <c r="H451" s="19" t="str">
        <f>IF($C451="","",IF($G451="","-",INDEX(SETUP!$B$26:$B$32,MATCH($G451,SETUP!$A$26:$A$32,1))))</f>
        <v>60,000 - 60,999</v>
      </c>
      <c r="I451" s="70">
        <v>2619</v>
      </c>
      <c r="J451" s="19" t="str">
        <f>IF($C451="","",IF($I451="","-",INDEX(SETUP!$B$16:$B$22,MATCH($I451,SETUP!$A$16:$A$22,1))))</f>
        <v>DEVELOPING</v>
      </c>
      <c r="K451" s="19" t="str">
        <f>IF($C451="","",IF($I451="","-",TEXT(INT($I451/1000)*1000,"#,##0")&amp;" - "&amp;TEXT(INT($I451/1000)*1000+999,"#,##0")))</f>
        <v>2,000 - 2,999</v>
      </c>
      <c r="L451" s="71">
        <v>4.6500000000000004</v>
      </c>
      <c r="M451" s="19" t="str">
        <f>IF($C451="","",IF($L451="","-",INDEX(SETUP!$B$36:$B$42,MATCH($L451,SETUP!$A$36:$A$42,1))))</f>
        <v>4k - 5k</v>
      </c>
      <c r="N451" s="21">
        <f>IF($C451="","",IF(OR($G451="",$I451=""),"",ROUND(100*(SETUP!$B$4*MIN(1,$I451/SETUP!$B$9)+SETUP!$B$5*MAX(0,MIN(1,($G451-SETUP!$B$10)/(SETUP!$B$11-SETUP!$B$10)))+SETUP!$B$6*MIN(1,IF($L451="",0,$L451)/SETUP!$B$12)),1)))</f>
        <v>33.700000000000003</v>
      </c>
      <c r="O451" s="19" t="str">
        <f>IF($C451="","",IF($N451="","-",INDEX(SETUP!$B$46:$B$51,MATCH($N451,SETUP!$A$46:$A$51,1))))</f>
        <v>C</v>
      </c>
      <c r="P451" s="19">
        <f>IF($C451="","",IF($I451="","",RANK($I451,$I$4:$I$1463)+COUNTIF($I$4:$I451,$I451)-1))</f>
        <v>976</v>
      </c>
      <c r="Q451" s="19">
        <f>IF($C451="","",COUNTIFS($B$4:$B$1463,$B451,$X$4:$X$1463,"&gt;"&amp;$X451)+COUNTIFS($B$4:$B451,$B451,$X$4:$X451,"="&amp;$X451))</f>
        <v>67</v>
      </c>
      <c r="R451" s="75">
        <f>IF($C451="","",IF($I451="","",ROUND(COUNTIF($I$4:$I$1463,"&lt;"&amp;$I451)/COUNT($I$4:$I$1463),3)))</f>
        <v>0.26300000000000001</v>
      </c>
      <c r="S451" s="19" t="str">
        <f>IF($C451="","",IF($G451="","Name only",IF(OR($I451="",$L451=""),"Partial","Complete")))</f>
        <v>Complete</v>
      </c>
      <c r="T451" s="1" t="str">
        <f>IF($C451="","",TRIM(IF(COUNTIF($C$4:$C$1463,$C451)&gt;1,"Dup name; ","")&amp;IF(AND($G451&lt;&gt;"",$G451&lt;55000),"Low CR - verify; ","")&amp;IF(AND($L451&lt;&gt;"",$L451&gt;15),"Secondary - verify; ","")&amp;IF($E451="","No class; ","")))</f>
        <v/>
      </c>
      <c r="U451" s="68"/>
      <c r="V451" s="68"/>
      <c r="W451" s="68"/>
      <c r="X451" s="76">
        <f t="shared" si="32"/>
        <v>2619</v>
      </c>
      <c r="Y451" s="1" t="str">
        <f t="shared" si="33"/>
        <v>VENGEANCE|67</v>
      </c>
      <c r="Z451" s="19">
        <f>IF($C451="","",IF($G451="","",RANK($G451,$G$4:$G$1463)+COUNTIF($G$4:$G451,$G451)-1))</f>
        <v>1203</v>
      </c>
      <c r="AA451" s="19">
        <f>IF($C451="","",IF($N451="","",RANK($N451,$N$4:$N$1463)+COUNTIF($N$4:$N451,$N451)-1))</f>
        <v>1051</v>
      </c>
      <c r="AB451" s="1" t="str">
        <f>IF($C451="","",IF($E451="","",$E451&amp;"#"&amp;(COUNTIFS($E$4:$E$1463,$E451,$X$4:$X$1463,"&gt;"&amp;$X451)+COUNTIFS($E$4:$E451,$E451,$X$4:$X451,"="&amp;$X451))))</f>
        <v>NECROMANCER#62</v>
      </c>
      <c r="AC451" s="1" t="str">
        <f>IF($C451="","",$B451&amp;"@"&amp;(COUNTIFS($B$4:$B$1463,$B451,$C$4:$C$1463,"&lt;"&amp;$C451)+COUNTIFS($B$4:$B451,$B451,$C$4:$C451,$C451)))</f>
        <v>VENGEANCE@35</v>
      </c>
      <c r="AD451" s="1">
        <f t="shared" si="34"/>
        <v>448</v>
      </c>
      <c r="AE451" s="1" t="s">
        <v>1341</v>
      </c>
      <c r="AF451" s="76">
        <f t="shared" si="35"/>
        <v>60532</v>
      </c>
      <c r="AG451" s="77">
        <f t="shared" si="36"/>
        <v>4.6500000000000004</v>
      </c>
      <c r="AH451" s="1" t="str">
        <f>IF($C451="","",$B451&amp;"|"&amp;(COUNTIFS($B$4:$B$1463,$B451,$AF$4:$AF$1463,"&gt;"&amp;$AF451)+COUNTIFS($B$4:$B451,$B451,$AF$4:$AF451,"="&amp;$AF451)))</f>
        <v>VENGEANCE|83</v>
      </c>
      <c r="AI451" s="1" t="str">
        <f>IF($C451="","",$B451&amp;"|"&amp;(COUNTIFS($B$4:$B$1463,$B451,$AG$4:$AG$1463,"&gt;"&amp;$AG451)+COUNTIFS($B$4:$B451,$B451,$AG$4:$AG451,"="&amp;$AG451)))</f>
        <v>VENGEANCE|45</v>
      </c>
    </row>
    <row r="452" spans="1:35" hidden="1">
      <c r="A452" s="69" t="s">
        <v>106</v>
      </c>
      <c r="B452" s="69" t="s">
        <v>86</v>
      </c>
      <c r="C452" s="63" t="s">
        <v>1342</v>
      </c>
      <c r="D452" s="69"/>
      <c r="E452" s="68" t="s">
        <v>79</v>
      </c>
      <c r="F452" s="15" t="str">
        <f>IF($C452="","",IF($E452="","-",IFERROR(INDEX(SETUP!$B$55:$B$64,MATCH($E452,SETUP!$A$55:$A$64,0)),"Other")))</f>
        <v>Control</v>
      </c>
      <c r="G452" s="70">
        <v>63862</v>
      </c>
      <c r="H452" s="15" t="str">
        <f>IF($C452="","",IF($G452="","-",INDEX(SETUP!$B$26:$B$32,MATCH($G452,SETUP!$A$26:$A$32,1))))</f>
        <v>63,000 - 63,999</v>
      </c>
      <c r="I452" s="70">
        <v>6829</v>
      </c>
      <c r="J452" s="15" t="str">
        <f>IF($C452="","",IF($I452="","-",INDEX(SETUP!$B$16:$B$22,MATCH($I452,SETUP!$A$16:$A$22,1))))</f>
        <v>VETERAN</v>
      </c>
      <c r="K452" s="15" t="str">
        <f>IF($C452="","",IF($I452="","-",TEXT(INT($I452/1000)*1000,"#,##0")&amp;" - "&amp;TEXT(INT($I452/1000)*1000+999,"#,##0")))</f>
        <v>6,000 - 6,999</v>
      </c>
      <c r="L452" s="71">
        <v>7.5</v>
      </c>
      <c r="M452" s="15" t="str">
        <f>IF($C452="","",IF($L452="","-",INDEX(SETUP!$B$36:$B$42,MATCH($L452,SETUP!$A$36:$A$42,1))))</f>
        <v>6k - 8k</v>
      </c>
      <c r="N452" s="17">
        <f>IF($C452="","",IF(OR($G452="",$I452=""),"",ROUND(100*(SETUP!$B$4*MIN(1,$I452/SETUP!$B$9)+SETUP!$B$5*MAX(0,MIN(1,($G452-SETUP!$B$10)/(SETUP!$B$11-SETUP!$B$10)))+SETUP!$B$6*MIN(1,IF($L452="",0,$L452)/SETUP!$B$12)),1)))</f>
        <v>65.599999999999994</v>
      </c>
      <c r="O452" s="15" t="str">
        <f>IF($C452="","",IF($N452="","-",INDEX(SETUP!$B$46:$B$51,MATCH($N452,SETUP!$A$46:$A$51,1))))</f>
        <v>S</v>
      </c>
      <c r="P452" s="15">
        <f>IF($C452="","",IF($I452="","",RANK($I452,$I$4:$I$1463)+COUNTIF($I$4:$I452,$I452)-1))</f>
        <v>231</v>
      </c>
      <c r="Q452" s="15">
        <f>IF($C452="","",COUNTIFS($B$4:$B$1463,$B452,$X$4:$X$1463,"&gt;"&amp;$X452)+COUNTIFS($B$4:$B452,$B452,$X$4:$X452,"="&amp;$X452))</f>
        <v>48</v>
      </c>
      <c r="R452" s="72">
        <f>IF($C452="","",IF($I452="","",ROUND(COUNTIF($I$4:$I$1463,"&lt;"&amp;$I452)/COUNT($I$4:$I$1463),3)))</f>
        <v>0.82599999999999996</v>
      </c>
      <c r="S452" s="15" t="str">
        <f>IF($C452="","",IF($G452="","Name only",IF(OR($I452="",$L452=""),"Partial","Complete")))</f>
        <v>Complete</v>
      </c>
      <c r="T452" s="41" t="str">
        <f>IF($C452="","",TRIM(IF(COUNTIF($C$4:$C$1463,$C452)&gt;1,"Dup name; ","")&amp;IF(AND($G452&lt;&gt;"",$G452&lt;55000),"Low CR - verify; ","")&amp;IF(AND($L452&lt;&gt;"",$L452&gt;15),"Secondary - verify; ","")&amp;IF($E452="","No class; ","")))</f>
        <v/>
      </c>
      <c r="U452" s="68"/>
      <c r="V452" s="68"/>
      <c r="W452" s="68"/>
      <c r="X452" s="73">
        <f t="shared" ref="X452:X515" si="37">IF($C452="","",IF($I452="",-1,$I452))</f>
        <v>6829</v>
      </c>
      <c r="Y452" s="41" t="str">
        <f t="shared" ref="Y452:Y515" si="38">IF($C452="","",$B452&amp;"|"&amp;$Q452)</f>
        <v>VANGUARD|48</v>
      </c>
      <c r="Z452" s="15">
        <f>IF($C452="","",IF($G452="","",RANK($G452,$G$4:$G$1463)+COUNTIF($G$4:$G452,$G452)-1))</f>
        <v>108</v>
      </c>
      <c r="AA452" s="15">
        <f>IF($C452="","",IF($N452="","",RANK($N452,$N$4:$N$1463)+COUNTIF($N$4:$N452,$N452)-1))</f>
        <v>167</v>
      </c>
      <c r="AB452" s="41" t="str">
        <f>IF($C452="","",IF($E452="","",$E452&amp;"#"&amp;(COUNTIFS($E$4:$E$1463,$E452,$X$4:$X$1463,"&gt;"&amp;$X452)+COUNTIFS($E$4:$E452,$E452,$X$4:$X452,"="&amp;$X452))))</f>
        <v>WARLOCK#49</v>
      </c>
      <c r="AC452" s="41" t="str">
        <f>IF($C452="","",$B452&amp;"@"&amp;(COUNTIFS($B$4:$B$1463,$B452,$C$4:$C$1463,"&lt;"&amp;$C452)+COUNTIFS($B$4:$B452,$B452,$C$4:$C452,$C452)))</f>
        <v>VANGUARD@41</v>
      </c>
      <c r="AD452" s="41">
        <f t="shared" ref="AD452:AD515" si="39">IF($C452="","",ROW()-4+1)</f>
        <v>449</v>
      </c>
      <c r="AE452" s="41" t="s">
        <v>1343</v>
      </c>
      <c r="AF452" s="73">
        <f t="shared" ref="AF452:AF515" si="40">IF($C452="","",IF($G452="",-1,$G452))</f>
        <v>63862</v>
      </c>
      <c r="AG452" s="74">
        <f t="shared" ref="AG452:AG515" si="41">IF($C452="","",IF($L452="",-1,$L452))</f>
        <v>7.5</v>
      </c>
      <c r="AH452" s="41" t="str">
        <f>IF($C452="","",$B452&amp;"|"&amp;(COUNTIFS($B$4:$B$1463,$B452,$AF$4:$AF$1463,"&gt;"&amp;$AF452)+COUNTIFS($B$4:$B452,$B452,$AF$4:$AF452,"="&amp;$AF452)))</f>
        <v>VANGUARD|26</v>
      </c>
      <c r="AI452" s="41" t="str">
        <f>IF($C452="","",$B452&amp;"|"&amp;(COUNTIFS($B$4:$B$1463,$B452,$AG$4:$AG$1463,"&gt;"&amp;$AG452)+COUNTIFS($B$4:$B452,$B452,$AG$4:$AG452,"="&amp;$AG452)))</f>
        <v>VANGUARD|13</v>
      </c>
    </row>
    <row r="453" spans="1:35" hidden="1">
      <c r="A453" s="69" t="s">
        <v>109</v>
      </c>
      <c r="B453" s="69" t="s">
        <v>111</v>
      </c>
      <c r="C453" s="63" t="s">
        <v>1344</v>
      </c>
      <c r="D453" s="69" t="s">
        <v>527</v>
      </c>
      <c r="E453" s="68" t="s">
        <v>80</v>
      </c>
      <c r="F453" s="19" t="str">
        <f>IF($C453="","",IF($E453="","-",IFERROR(INDEX(SETUP!$B$55:$B$64,MATCH($E453,SETUP!$A$55:$A$64,0)),"Other")))</f>
        <v>Ranged DPS</v>
      </c>
      <c r="G453" s="70">
        <v>63186</v>
      </c>
      <c r="H453" s="19" t="str">
        <f>IF($C453="","",IF($G453="","-",INDEX(SETUP!$B$26:$B$32,MATCH($G453,SETUP!$A$26:$A$32,1))))</f>
        <v>63,000 - 63,999</v>
      </c>
      <c r="I453" s="70">
        <v>5897</v>
      </c>
      <c r="J453" s="19" t="str">
        <f>IF($C453="","",IF($I453="","-",INDEX(SETUP!$B$16:$B$22,MATCH($I453,SETUP!$A$16:$A$22,1))))</f>
        <v>CORE</v>
      </c>
      <c r="K453" s="19" t="str">
        <f>IF($C453="","",IF($I453="","-",TEXT(INT($I453/1000)*1000,"#,##0")&amp;" - "&amp;TEXT(INT($I453/1000)*1000+999,"#,##0")))</f>
        <v>5,000 - 5,999</v>
      </c>
      <c r="L453" s="71">
        <v>6.56</v>
      </c>
      <c r="M453" s="19" t="str">
        <f>IF($C453="","",IF($L453="","-",INDEX(SETUP!$B$36:$B$42,MATCH($L453,SETUP!$A$36:$A$42,1))))</f>
        <v>6k - 8k</v>
      </c>
      <c r="N453" s="21">
        <f>IF($C453="","",IF(OR($G453="",$I453=""),"",ROUND(100*(SETUP!$B$4*MIN(1,$I453/SETUP!$B$9)+SETUP!$B$5*MAX(0,MIN(1,($G453-SETUP!$B$10)/(SETUP!$B$11-SETUP!$B$10)))+SETUP!$B$6*MIN(1,IF($L453="",0,$L453)/SETUP!$B$12)),1)))</f>
        <v>58.2</v>
      </c>
      <c r="O453" s="19" t="str">
        <f>IF($C453="","",IF($N453="","-",INDEX(SETUP!$B$46:$B$51,MATCH($N453,SETUP!$A$46:$A$51,1))))</f>
        <v>A</v>
      </c>
      <c r="P453" s="19">
        <f>IF($C453="","",IF($I453="","",RANK($I453,$I$4:$I$1463)+COUNTIF($I$4:$I453,$I453)-1))</f>
        <v>300</v>
      </c>
      <c r="Q453" s="19">
        <f>IF($C453="","",COUNTIFS($B$4:$B$1463,$B453,$X$4:$X$1463,"&gt;"&amp;$X453)+COUNTIFS($B$4:$B453,$B453,$X$4:$X453,"="&amp;$X453))</f>
        <v>34</v>
      </c>
      <c r="R453" s="75">
        <f>IF($C453="","",IF($I453="","",ROUND(COUNTIF($I$4:$I$1463,"&lt;"&amp;$I453)/COUNT($I$4:$I$1463),3)))</f>
        <v>0.77400000000000002</v>
      </c>
      <c r="S453" s="19" t="str">
        <f>IF($C453="","",IF($G453="","Name only",IF(OR($I453="",$L453=""),"Partial","Complete")))</f>
        <v>Complete</v>
      </c>
      <c r="T453" s="1" t="str">
        <f>IF($C453="","",TRIM(IF(COUNTIF($C$4:$C$1463,$C453)&gt;1,"Dup name; ","")&amp;IF(AND($G453&lt;&gt;"",$G453&lt;55000),"Low CR - verify; ","")&amp;IF(AND($L453&lt;&gt;"",$L453&gt;15),"Secondary - verify; ","")&amp;IF($E453="","No class; ","")))</f>
        <v/>
      </c>
      <c r="U453" s="68"/>
      <c r="V453" s="68"/>
      <c r="W453" s="68"/>
      <c r="X453" s="76">
        <f t="shared" si="37"/>
        <v>5897</v>
      </c>
      <c r="Y453" s="1" t="str">
        <f t="shared" si="38"/>
        <v>RECKONING|34</v>
      </c>
      <c r="Z453" s="19">
        <f>IF($C453="","",IF($G453="","",RANK($G453,$G$4:$G$1463)+COUNTIF($G$4:$G453,$G453)-1))</f>
        <v>324</v>
      </c>
      <c r="AA453" s="19">
        <f>IF($C453="","",IF($N453="","",RANK($N453,$N$4:$N$1463)+COUNTIF($N$4:$N453,$N453)-1))</f>
        <v>259</v>
      </c>
      <c r="AB453" s="1" t="str">
        <f>IF($C453="","",IF($E453="","",$E453&amp;"#"&amp;(COUNTIFS($E$4:$E$1463,$E453,$X$4:$X$1463,"&gt;"&amp;$X453)+COUNTIFS($E$4:$E453,$E453,$X$4:$X453,"="&amp;$X453))))</f>
        <v>WIZARD#21</v>
      </c>
      <c r="AC453" s="1" t="str">
        <f>IF($C453="","",$B453&amp;"@"&amp;(COUNTIFS($B$4:$B$1463,$B453,$C$4:$C$1463,"&lt;"&amp;$C453)+COUNTIFS($B$4:$B453,$B453,$C$4:$C453,$C453)))</f>
        <v>RECKONING@30</v>
      </c>
      <c r="AD453" s="1">
        <f t="shared" si="39"/>
        <v>450</v>
      </c>
      <c r="AE453" s="1" t="s">
        <v>1345</v>
      </c>
      <c r="AF453" s="76">
        <f t="shared" si="40"/>
        <v>63186</v>
      </c>
      <c r="AG453" s="77">
        <f t="shared" si="41"/>
        <v>6.56</v>
      </c>
      <c r="AH453" s="1" t="str">
        <f>IF($C453="","",$B453&amp;"|"&amp;(COUNTIFS($B$4:$B$1463,$B453,$AF$4:$AF$1463,"&gt;"&amp;$AF453)+COUNTIFS($B$4:$B453,$B453,$AF$4:$AF453,"="&amp;$AF453)))</f>
        <v>RECKONING|34</v>
      </c>
      <c r="AI453" s="1" t="str">
        <f>IF($C453="","",$B453&amp;"|"&amp;(COUNTIFS($B$4:$B$1463,$B453,$AG$4:$AG$1463,"&gt;"&amp;$AG453)+COUNTIFS($B$4:$B453,$B453,$AG$4:$AG453,"="&amp;$AG453)))</f>
        <v>RECKONING|28</v>
      </c>
    </row>
    <row r="454" spans="1:35" hidden="1">
      <c r="A454" s="69" t="s">
        <v>109</v>
      </c>
      <c r="B454" s="69" t="s">
        <v>113</v>
      </c>
      <c r="C454" s="63" t="s">
        <v>1346</v>
      </c>
      <c r="D454" s="69" t="s">
        <v>548</v>
      </c>
      <c r="E454" s="68" t="s">
        <v>74</v>
      </c>
      <c r="F454" s="15" t="str">
        <f>IF($C454="","",IF($E454="","-",IFERROR(INDEX(SETUP!$B$55:$B$64,MATCH($E454,SETUP!$A$55:$A$64,0)),"Other")))</f>
        <v>Ranged DPS</v>
      </c>
      <c r="G454" s="70">
        <v>62078</v>
      </c>
      <c r="H454" s="15" t="str">
        <f>IF($C454="","",IF($G454="","-",INDEX(SETUP!$B$26:$B$32,MATCH($G454,SETUP!$A$26:$A$32,1))))</f>
        <v>62,000 - 62,999</v>
      </c>
      <c r="I454" s="70">
        <v>3500</v>
      </c>
      <c r="J454" s="15" t="str">
        <f>IF($C454="","",IF($I454="","-",INDEX(SETUP!$B$16:$B$22,MATCH($I454,SETUP!$A$16:$A$22,1))))</f>
        <v>DEVELOPING</v>
      </c>
      <c r="K454" s="15" t="str">
        <f>IF($C454="","",IF($I454="","-",TEXT(INT($I454/1000)*1000,"#,##0")&amp;" - "&amp;TEXT(INT($I454/1000)*1000+999,"#,##0")))</f>
        <v>3,000 - 3,999</v>
      </c>
      <c r="L454" s="71">
        <v>4.3</v>
      </c>
      <c r="M454" s="15" t="str">
        <f>IF($C454="","",IF($L454="","-",INDEX(SETUP!$B$36:$B$42,MATCH($L454,SETUP!$A$36:$A$42,1))))</f>
        <v>4k - 5k</v>
      </c>
      <c r="N454" s="17">
        <f>IF($C454="","",IF(OR($G454="",$I454=""),"",ROUND(100*(SETUP!$B$4*MIN(1,$I454/SETUP!$B$9)+SETUP!$B$5*MAX(0,MIN(1,($G454-SETUP!$B$10)/(SETUP!$B$11-SETUP!$B$10)))+SETUP!$B$6*MIN(1,IF($L454="",0,$L454)/SETUP!$B$12)),1)))</f>
        <v>41.1</v>
      </c>
      <c r="O454" s="15" t="str">
        <f>IF($C454="","",IF($N454="","-",INDEX(SETUP!$B$46:$B$51,MATCH($N454,SETUP!$A$46:$A$51,1))))</f>
        <v>B</v>
      </c>
      <c r="P454" s="15">
        <f>IF($C454="","",IF($I454="","",RANK($I454,$I$4:$I$1463)+COUNTIF($I$4:$I454,$I454)-1))</f>
        <v>730</v>
      </c>
      <c r="Q454" s="15">
        <f>IF($C454="","",COUNTIFS($B$4:$B$1463,$B454,$X$4:$X$1463,"&gt;"&amp;$X454)+COUNTIFS($B$4:$B454,$B454,$X$4:$X454,"="&amp;$X454))</f>
        <v>34</v>
      </c>
      <c r="R454" s="72">
        <f>IF($C454="","",IF($I454="","",ROUND(COUNTIF($I$4:$I$1463,"&lt;"&amp;$I454)/COUNT($I$4:$I$1463),3)))</f>
        <v>0.44900000000000001</v>
      </c>
      <c r="S454" s="15" t="str">
        <f>IF($C454="","",IF($G454="","Name only",IF(OR($I454="",$L454=""),"Partial","Complete")))</f>
        <v>Complete</v>
      </c>
      <c r="T454" s="41" t="str">
        <f>IF($C454="","",TRIM(IF(COUNTIF($C$4:$C$1463,$C454)&gt;1,"Dup name; ","")&amp;IF(AND($G454&lt;&gt;"",$G454&lt;55000),"Low CR - verify; ","")&amp;IF(AND($L454&lt;&gt;"",$L454&gt;15),"Secondary - verify; ","")&amp;IF($E454="","No class; ","")))</f>
        <v/>
      </c>
      <c r="U454" s="68"/>
      <c r="V454" s="68"/>
      <c r="W454" s="68"/>
      <c r="X454" s="73">
        <f t="shared" si="37"/>
        <v>3500</v>
      </c>
      <c r="Y454" s="41" t="str">
        <f t="shared" si="38"/>
        <v>INVICTUS|34</v>
      </c>
      <c r="Z454" s="15">
        <f>IF($C454="","",IF($G454="","",RANK($G454,$G$4:$G$1463)+COUNTIF($G$4:$G454,$G454)-1))</f>
        <v>807</v>
      </c>
      <c r="AA454" s="15">
        <f>IF($C454="","",IF($N454="","",RANK($N454,$N$4:$N$1463)+COUNTIF($N$4:$N454,$N454)-1))</f>
        <v>770</v>
      </c>
      <c r="AB454" s="41" t="str">
        <f>IF($C454="","",IF($E454="","",$E454&amp;"#"&amp;(COUNTIFS($E$4:$E$1463,$E454,$X$4:$X$1463,"&gt;"&amp;$X454)+COUNTIFS($E$4:$E454,$E454,$X$4:$X454,"="&amp;$X454))))</f>
        <v>DEMON HUNTER#118</v>
      </c>
      <c r="AC454" s="41" t="str">
        <f>IF($C454="","",$B454&amp;"@"&amp;(COUNTIFS($B$4:$B$1463,$B454,$C$4:$C$1463,"&lt;"&amp;$C454)+COUNTIFS($B$4:$B454,$B454,$C$4:$C454,$C454)))</f>
        <v>INVICTUS@26</v>
      </c>
      <c r="AD454" s="41">
        <f t="shared" si="39"/>
        <v>451</v>
      </c>
      <c r="AE454" s="41" t="s">
        <v>1347</v>
      </c>
      <c r="AF454" s="73">
        <f t="shared" si="40"/>
        <v>62078</v>
      </c>
      <c r="AG454" s="74">
        <f t="shared" si="41"/>
        <v>4.3</v>
      </c>
      <c r="AH454" s="41" t="str">
        <f>IF($C454="","",$B454&amp;"|"&amp;(COUNTIFS($B$4:$B$1463,$B454,$AF$4:$AF$1463,"&gt;"&amp;$AF454)+COUNTIFS($B$4:$B454,$B454,$AF$4:$AF454,"="&amp;$AF454)))</f>
        <v>INVICTUS|51</v>
      </c>
      <c r="AI454" s="41" t="str">
        <f>IF($C454="","",$B454&amp;"|"&amp;(COUNTIFS($B$4:$B$1463,$B454,$AG$4:$AG$1463,"&gt;"&amp;$AG454)+COUNTIFS($B$4:$B454,$B454,$AG$4:$AG454,"="&amp;$AG454)))</f>
        <v>INVICTUS|50</v>
      </c>
    </row>
    <row r="455" spans="1:35" hidden="1">
      <c r="A455" s="69" t="s">
        <v>109</v>
      </c>
      <c r="B455" s="69" t="s">
        <v>110</v>
      </c>
      <c r="C455" s="63" t="s">
        <v>1348</v>
      </c>
      <c r="D455" s="69"/>
      <c r="E455" s="68" t="s">
        <v>78</v>
      </c>
      <c r="F455" s="19" t="str">
        <f>IF($C455="","",IF($E455="","-",IFERROR(INDEX(SETUP!$B$55:$B$64,MATCH($E455,SETUP!$A$55:$A$64,0)),"Other")))</f>
        <v>Melee DPS</v>
      </c>
      <c r="G455" s="70">
        <v>64164</v>
      </c>
      <c r="H455" s="19" t="str">
        <f>IF($C455="","",IF($G455="","-",INDEX(SETUP!$B$26:$B$32,MATCH($G455,SETUP!$A$26:$A$32,1))))</f>
        <v>64,000 +</v>
      </c>
      <c r="I455" s="70">
        <v>9796</v>
      </c>
      <c r="J455" s="19" t="str">
        <f>IF($C455="","",IF($I455="","-",INDEX(SETUP!$B$16:$B$22,MATCH($I455,SETUP!$A$16:$A$22,1))))</f>
        <v>ELITE</v>
      </c>
      <c r="K455" s="19" t="str">
        <f>IF($C455="","",IF($I455="","-",TEXT(INT($I455/1000)*1000,"#,##0")&amp;" - "&amp;TEXT(INT($I455/1000)*1000+999,"#,##0")))</f>
        <v>9,000 - 9,999</v>
      </c>
      <c r="L455" s="71">
        <v>8.1</v>
      </c>
      <c r="M455" s="19" t="str">
        <f>IF($C455="","",IF($L455="","-",INDEX(SETUP!$B$36:$B$42,MATCH($L455,SETUP!$A$36:$A$42,1))))</f>
        <v>8k - 10k</v>
      </c>
      <c r="N455" s="21">
        <f>IF($C455="","",IF(OR($G455="",$I455=""),"",ROUND(100*(SETUP!$B$4*MIN(1,$I455/SETUP!$B$9)+SETUP!$B$5*MAX(0,MIN(1,($G455-SETUP!$B$10)/(SETUP!$B$11-SETUP!$B$10)))+SETUP!$B$6*MIN(1,IF($L455="",0,$L455)/SETUP!$B$12)),1)))</f>
        <v>80.400000000000006</v>
      </c>
      <c r="O455" s="19" t="str">
        <f>IF($C455="","",IF($N455="","-",INDEX(SETUP!$B$46:$B$51,MATCH($N455,SETUP!$A$46:$A$51,1))))</f>
        <v>S+</v>
      </c>
      <c r="P455" s="19">
        <f>IF($C455="","",IF($I455="","",RANK($I455,$I$4:$I$1463)+COUNTIF($I$4:$I455,$I455)-1))</f>
        <v>63</v>
      </c>
      <c r="Q455" s="19">
        <f>IF($C455="","",COUNTIFS($B$4:$B$1463,$B455,$X$4:$X$1463,"&gt;"&amp;$X455)+COUNTIFS($B$4:$B455,$B455,$X$4:$X455,"="&amp;$X455))</f>
        <v>14</v>
      </c>
      <c r="R455" s="75">
        <f>IF($C455="","",IF($I455="","",ROUND(COUNTIF($I$4:$I$1463,"&lt;"&amp;$I455)/COUNT($I$4:$I$1463),3)))</f>
        <v>0.95199999999999996</v>
      </c>
      <c r="S455" s="19" t="str">
        <f>IF($C455="","",IF($G455="","Name only",IF(OR($I455="",$L455=""),"Partial","Complete")))</f>
        <v>Complete</v>
      </c>
      <c r="T455" s="1" t="str">
        <f>IF($C455="","",TRIM(IF(COUNTIF($C$4:$C$1463,$C455)&gt;1,"Dup name; ","")&amp;IF(AND($G455&lt;&gt;"",$G455&lt;55000),"Low CR - verify; ","")&amp;IF(AND($L455&lt;&gt;"",$L455&gt;15),"Secondary - verify; ","")&amp;IF($E455="","No class; ","")))</f>
        <v/>
      </c>
      <c r="U455" s="68"/>
      <c r="V455" s="68"/>
      <c r="W455" s="68"/>
      <c r="X455" s="76">
        <f t="shared" si="37"/>
        <v>9796</v>
      </c>
      <c r="Y455" s="1" t="str">
        <f t="shared" si="38"/>
        <v>AZUKI|14</v>
      </c>
      <c r="Z455" s="19">
        <f>IF($C455="","",IF($G455="","",RANK($G455,$G$4:$G$1463)+COUNTIF($G$4:$G455,$G455)-1))</f>
        <v>52</v>
      </c>
      <c r="AA455" s="19">
        <f>IF($C455="","",IF($N455="","",RANK($N455,$N$4:$N$1463)+COUNTIF($N$4:$N455,$N455)-1))</f>
        <v>48</v>
      </c>
      <c r="AB455" s="1" t="str">
        <f>IF($C455="","",IF($E455="","",$E455&amp;"#"&amp;(COUNTIFS($E$4:$E$1463,$E455,$X$4:$X$1463,"&gt;"&amp;$X455)+COUNTIFS($E$4:$E455,$E455,$X$4:$X455,"="&amp;$X455))))</f>
        <v>TEMPEST#2</v>
      </c>
      <c r="AC455" s="1" t="str">
        <f>IF($C455="","",$B455&amp;"@"&amp;(COUNTIFS($B$4:$B$1463,$B455,$C$4:$C$1463,"&lt;"&amp;$C455)+COUNTIFS($B$4:$B455,$B455,$C$4:$C455,$C455)))</f>
        <v>AZUKI@42</v>
      </c>
      <c r="AD455" s="1">
        <f t="shared" si="39"/>
        <v>452</v>
      </c>
      <c r="AE455" s="1" t="s">
        <v>1349</v>
      </c>
      <c r="AF455" s="76">
        <f t="shared" si="40"/>
        <v>64164</v>
      </c>
      <c r="AG455" s="77">
        <f t="shared" si="41"/>
        <v>8.1</v>
      </c>
      <c r="AH455" s="1" t="str">
        <f>IF($C455="","",$B455&amp;"|"&amp;(COUNTIFS($B$4:$B$1463,$B455,$AF$4:$AF$1463,"&gt;"&amp;$AF455)+COUNTIFS($B$4:$B455,$B455,$AF$4:$AF455,"="&amp;$AF455)))</f>
        <v>AZUKI|12</v>
      </c>
      <c r="AI455" s="1" t="str">
        <f>IF($C455="","",$B455&amp;"|"&amp;(COUNTIFS($B$4:$B$1463,$B455,$AG$4:$AG$1463,"&gt;"&amp;$AG455)+COUNTIFS($B$4:$B455,$B455,$AG$4:$AG455,"="&amp;$AG455)))</f>
        <v>AZUKI|15</v>
      </c>
    </row>
    <row r="456" spans="1:35" hidden="1">
      <c r="A456" s="69" t="s">
        <v>106</v>
      </c>
      <c r="B456" s="69" t="s">
        <v>105</v>
      </c>
      <c r="C456" s="63" t="s">
        <v>1350</v>
      </c>
      <c r="D456" s="69"/>
      <c r="E456" s="68" t="s">
        <v>75</v>
      </c>
      <c r="F456" s="15" t="str">
        <f>IF($C456="","",IF($E456="","-",IFERROR(INDEX(SETUP!$B$55:$B$64,MATCH($E456,SETUP!$A$55:$A$64,0)),"Other")))</f>
        <v>Support</v>
      </c>
      <c r="G456" s="70">
        <v>63537</v>
      </c>
      <c r="H456" s="15" t="str">
        <f>IF($C456="","",IF($G456="","-",INDEX(SETUP!$B$26:$B$32,MATCH($G456,SETUP!$A$26:$A$32,1))))</f>
        <v>63,000 - 63,999</v>
      </c>
      <c r="I456" s="70">
        <v>4557</v>
      </c>
      <c r="J456" s="15" t="str">
        <f>IF($C456="","",IF($I456="","-",INDEX(SETUP!$B$16:$B$22,MATCH($I456,SETUP!$A$16:$A$22,1))))</f>
        <v>CORE</v>
      </c>
      <c r="K456" s="15" t="str">
        <f>IF($C456="","",IF($I456="","-",TEXT(INT($I456/1000)*1000,"#,##0")&amp;" - "&amp;TEXT(INT($I456/1000)*1000+999,"#,##0")))</f>
        <v>4,000 - 4,999</v>
      </c>
      <c r="L456" s="71">
        <v>4.3099999999999996</v>
      </c>
      <c r="M456" s="15" t="str">
        <f>IF($C456="","",IF($L456="","-",INDEX(SETUP!$B$36:$B$42,MATCH($L456,SETUP!$A$36:$A$42,1))))</f>
        <v>4k - 5k</v>
      </c>
      <c r="N456" s="17">
        <f>IF($C456="","",IF(OR($G456="",$I456=""),"",ROUND(100*(SETUP!$B$4*MIN(1,$I456/SETUP!$B$9)+SETUP!$B$5*MAX(0,MIN(1,($G456-SETUP!$B$10)/(SETUP!$B$11-SETUP!$B$10)))+SETUP!$B$6*MIN(1,IF($L456="",0,$L456)/SETUP!$B$12)),1)))</f>
        <v>49.5</v>
      </c>
      <c r="O456" s="15" t="str">
        <f>IF($C456="","",IF($N456="","-",INDEX(SETUP!$B$46:$B$51,MATCH($N456,SETUP!$A$46:$A$51,1))))</f>
        <v>B</v>
      </c>
      <c r="P456" s="15">
        <f>IF($C456="","",IF($I456="","",RANK($I456,$I$4:$I$1463)+COUNTIF($I$4:$I456,$I456)-1))</f>
        <v>483</v>
      </c>
      <c r="Q456" s="15">
        <f>IF($C456="","",COUNTIFS($B$4:$B$1463,$B456,$X$4:$X$1463,"&gt;"&amp;$X456)+COUNTIFS($B$4:$B456,$B456,$X$4:$X456,"="&amp;$X456))</f>
        <v>61</v>
      </c>
      <c r="R456" s="72">
        <f>IF($C456="","",IF($I456="","",ROUND(COUNTIF($I$4:$I$1463,"&lt;"&amp;$I456)/COUNT($I$4:$I$1463),3)))</f>
        <v>0.63500000000000001</v>
      </c>
      <c r="S456" s="15" t="str">
        <f>IF($C456="","",IF($G456="","Name only",IF(OR($I456="",$L456=""),"Partial","Complete")))</f>
        <v>Complete</v>
      </c>
      <c r="T456" s="41" t="str">
        <f>IF($C456="","",TRIM(IF(COUNTIF($C$4:$C$1463,$C456)&gt;1,"Dup name; ","")&amp;IF(AND($G456&lt;&gt;"",$G456&lt;55000),"Low CR - verify; ","")&amp;IF(AND($L456&lt;&gt;"",$L456&gt;15),"Secondary - verify; ","")&amp;IF($E456="","No class; ","")))</f>
        <v/>
      </c>
      <c r="U456" s="68"/>
      <c r="V456" s="68"/>
      <c r="W456" s="68"/>
      <c r="X456" s="73">
        <f t="shared" si="37"/>
        <v>4557</v>
      </c>
      <c r="Y456" s="41" t="str">
        <f t="shared" si="38"/>
        <v>LEGENDS|61</v>
      </c>
      <c r="Z456" s="15">
        <f>IF($C456="","",IF($G456="","",RANK($G456,$G$4:$G$1463)+COUNTIF($G$4:$G456,$G456)-1))</f>
        <v>179</v>
      </c>
      <c r="AA456" s="15">
        <f>IF($C456="","",IF($N456="","",RANK($N456,$N$4:$N$1463)+COUNTIF($N$4:$N456,$N456)-1))</f>
        <v>469</v>
      </c>
      <c r="AB456" s="41" t="str">
        <f>IF($C456="","",IF($E456="","",$E456&amp;"#"&amp;(COUNTIFS($E$4:$E$1463,$E456,$X$4:$X$1463,"&gt;"&amp;$X456)+COUNTIFS($E$4:$E456,$E456,$X$4:$X456,"="&amp;$X456))))</f>
        <v>DRUID#22</v>
      </c>
      <c r="AC456" s="41" t="str">
        <f>IF($C456="","",$B456&amp;"@"&amp;(COUNTIFS($B$4:$B$1463,$B456,$C$4:$C$1463,"&lt;"&amp;$C456)+COUNTIFS($B$4:$B456,$B456,$C$4:$C456,$C456)))</f>
        <v>LEGENDS@45</v>
      </c>
      <c r="AD456" s="41">
        <f t="shared" si="39"/>
        <v>453</v>
      </c>
      <c r="AE456" s="41" t="s">
        <v>1351</v>
      </c>
      <c r="AF456" s="73">
        <f t="shared" si="40"/>
        <v>63537</v>
      </c>
      <c r="AG456" s="74">
        <f t="shared" si="41"/>
        <v>4.3099999999999996</v>
      </c>
      <c r="AH456" s="41" t="str">
        <f>IF($C456="","",$B456&amp;"|"&amp;(COUNTIFS($B$4:$B$1463,$B456,$AF$4:$AF$1463,"&gt;"&amp;$AF456)+COUNTIFS($B$4:$B456,$B456,$AF$4:$AF456,"="&amp;$AF456)))</f>
        <v>LEGENDS|22</v>
      </c>
      <c r="AI456" s="41" t="str">
        <f>IF($C456="","",$B456&amp;"|"&amp;(COUNTIFS($B$4:$B$1463,$B456,$AG$4:$AG$1463,"&gt;"&amp;$AG456)+COUNTIFS($B$4:$B456,$B456,$AG$4:$AG456,"="&amp;$AG456)))</f>
        <v>LEGENDS|84</v>
      </c>
    </row>
    <row r="457" spans="1:35">
      <c r="A457" s="69" t="s">
        <v>104</v>
      </c>
      <c r="B457" s="69" t="s">
        <v>66</v>
      </c>
      <c r="C457" s="63" t="s">
        <v>1261</v>
      </c>
      <c r="D457" s="69"/>
      <c r="E457" s="68" t="s">
        <v>74</v>
      </c>
      <c r="F457" s="19" t="str">
        <f>IF($C457="","",IF($E457="","-",IFERROR(INDEX(SETUP!$B$55:$B$64,MATCH($E457,SETUP!$A$55:$A$64,0)),"Other")))</f>
        <v>Ranged DPS</v>
      </c>
      <c r="G457" s="70">
        <v>62918</v>
      </c>
      <c r="H457" s="19" t="str">
        <f>IF($C457="","",IF($G457="","-",INDEX(SETUP!$B$26:$B$32,MATCH($G457,SETUP!$A$26:$A$32,1))))</f>
        <v>62,000 - 62,999</v>
      </c>
      <c r="I457" s="70">
        <v>3669</v>
      </c>
      <c r="J457" s="19" t="str">
        <f>IF($C457="","",IF($I457="","-",INDEX(SETUP!$B$16:$B$22,MATCH($I457,SETUP!$A$16:$A$22,1))))</f>
        <v>DEVELOPING</v>
      </c>
      <c r="K457" s="19" t="str">
        <f>IF($C457="","",IF($I457="","-",TEXT(INT($I457/1000)*1000,"#,##0")&amp;" - "&amp;TEXT(INT($I457/1000)*1000+999,"#,##0")))</f>
        <v>3,000 - 3,999</v>
      </c>
      <c r="L457" s="71">
        <v>4.4000000000000004</v>
      </c>
      <c r="M457" s="19" t="str">
        <f>IF($C457="","",IF($L457="","-",INDEX(SETUP!$B$36:$B$42,MATCH($L457,SETUP!$A$36:$A$42,1))))</f>
        <v>4k - 5k</v>
      </c>
      <c r="N457" s="21">
        <f>IF($C457="","",IF(OR($G457="",$I457=""),"",ROUND(100*(SETUP!$B$4*MIN(1,$I457/SETUP!$B$9)+SETUP!$B$5*MAX(0,MIN(1,($G457-SETUP!$B$10)/(SETUP!$B$11-SETUP!$B$10)))+SETUP!$B$6*MIN(1,IF($L457="",0,$L457)/SETUP!$B$12)),1)))</f>
        <v>44.2</v>
      </c>
      <c r="O457" s="19" t="str">
        <f>IF($C457="","",IF($N457="","-",INDEX(SETUP!$B$46:$B$51,MATCH($N457,SETUP!$A$46:$A$51,1))))</f>
        <v>B</v>
      </c>
      <c r="P457" s="19">
        <f>IF($C457="","",IF($I457="","",RANK($I457,$I$4:$I$1463)+COUNTIF($I$4:$I457,$I457)-1))</f>
        <v>685</v>
      </c>
      <c r="Q457" s="19">
        <f>IF($C457="","",COUNTIFS($B$4:$B$1463,$B457,$X$4:$X$1463,"&gt;"&amp;$X457)+COUNTIFS($B$4:$B457,$B457,$X$4:$X457,"="&amp;$X457))</f>
        <v>71</v>
      </c>
      <c r="R457" s="75">
        <f>IF($C457="","",IF($I457="","",ROUND(COUNTIF($I$4:$I$1463,"&lt;"&amp;$I457)/COUNT($I$4:$I$1463),3)))</f>
        <v>0.48299999999999998</v>
      </c>
      <c r="S457" s="19" t="str">
        <f>IF($C457="","",IF($G457="","Name only",IF(OR($I457="",$L457=""),"Partial","Complete")))</f>
        <v>Complete</v>
      </c>
      <c r="T457" s="1" t="str">
        <f>IF($C457="","",TRIM(IF(COUNTIF($C$4:$C$1463,$C457)&gt;1,"Dup name; ","")&amp;IF(AND($G457&lt;&gt;"",$G457&lt;55000),"Low CR - verify; ","")&amp;IF(AND($L457&lt;&gt;"",$L457&gt;15),"Secondary - verify; ","")&amp;IF($E457="","No class; ","")))</f>
        <v/>
      </c>
      <c r="U457" s="68" t="s">
        <v>268</v>
      </c>
      <c r="V457" s="68" t="s">
        <v>66</v>
      </c>
      <c r="W457" s="68" t="s">
        <v>285</v>
      </c>
      <c r="X457" s="76">
        <f t="shared" si="37"/>
        <v>3669</v>
      </c>
      <c r="Y457" s="1" t="str">
        <f t="shared" si="38"/>
        <v>FUCT|71</v>
      </c>
      <c r="Z457" s="19">
        <f>IF($C457="","",IF($G457="","",RANK($G457,$G$4:$G$1463)+COUNTIF($G$4:$G457,$G457)-1))</f>
        <v>469</v>
      </c>
      <c r="AA457" s="19">
        <f>IF($C457="","",IF($N457="","",RANK($N457,$N$4:$N$1463)+COUNTIF($N$4:$N457,$N457)-1))</f>
        <v>654</v>
      </c>
      <c r="AB457" s="1" t="str">
        <f>IF($C457="","",IF($E457="","",$E457&amp;"#"&amp;(COUNTIFS($E$4:$E$1463,$E457,$X$4:$X$1463,"&gt;"&amp;$X457)+COUNTIFS($E$4:$E457,$E457,$X$4:$X457,"="&amp;$X457))))</f>
        <v>DEMON HUNTER#111</v>
      </c>
      <c r="AC457" s="1" t="str">
        <f>IF($C457="","",$B457&amp;"@"&amp;(COUNTIFS($B$4:$B$1463,$B457,$C$4:$C$1463,"&lt;"&amp;$C457)+COUNTIFS($B$4:$B457,$B457,$C$4:$C457,$C457)))</f>
        <v>FUCT@27</v>
      </c>
      <c r="AD457" s="1">
        <f t="shared" si="39"/>
        <v>454</v>
      </c>
      <c r="AE457" s="1" t="s">
        <v>1352</v>
      </c>
      <c r="AF457" s="76">
        <f t="shared" si="40"/>
        <v>62918</v>
      </c>
      <c r="AG457" s="77">
        <f t="shared" si="41"/>
        <v>4.4000000000000004</v>
      </c>
      <c r="AH457" s="1" t="str">
        <f>IF($C457="","",$B457&amp;"|"&amp;(COUNTIFS($B$4:$B$1463,$B457,$AF$4:$AF$1463,"&gt;"&amp;$AF457)+COUNTIFS($B$4:$B457,$B457,$AF$4:$AF457,"="&amp;$AF457)))</f>
        <v>FUCT|50</v>
      </c>
      <c r="AI457" s="1" t="str">
        <f>IF($C457="","",$B457&amp;"|"&amp;(COUNTIFS($B$4:$B$1463,$B457,$AG$4:$AG$1463,"&gt;"&amp;$AG457)+COUNTIFS($B$4:$B457,$B457,$AG$4:$AG457,"="&amp;$AG457)))</f>
        <v>FUCT|63</v>
      </c>
    </row>
    <row r="458" spans="1:35">
      <c r="A458" s="69" t="s">
        <v>104</v>
      </c>
      <c r="B458" s="69" t="s">
        <v>66</v>
      </c>
      <c r="C458" s="63" t="s">
        <v>1293</v>
      </c>
      <c r="D458" s="69"/>
      <c r="E458" s="68" t="s">
        <v>71</v>
      </c>
      <c r="F458" s="15" t="str">
        <f>IF($C458="","",IF($E458="","-",IFERROR(INDEX(SETUP!$B$55:$B$64,MATCH($E458,SETUP!$A$55:$A$64,0)),"Other")))</f>
        <v>Frontline</v>
      </c>
      <c r="G458" s="70">
        <v>63023</v>
      </c>
      <c r="H458" s="15" t="str">
        <f>IF($C458="","",IF($G458="","-",INDEX(SETUP!$B$26:$B$32,MATCH($G458,SETUP!$A$26:$A$32,1))))</f>
        <v>63,000 - 63,999</v>
      </c>
      <c r="I458" s="70">
        <v>3235</v>
      </c>
      <c r="J458" s="15" t="str">
        <f>IF($C458="","",IF($I458="","-",INDEX(SETUP!$B$16:$B$22,MATCH($I458,SETUP!$A$16:$A$22,1))))</f>
        <v>DEVELOPING</v>
      </c>
      <c r="K458" s="15" t="str">
        <f>IF($C458="","",IF($I458="","-",TEXT(INT($I458/1000)*1000,"#,##0")&amp;" - "&amp;TEXT(INT($I458/1000)*1000+999,"#,##0")))</f>
        <v>3,000 - 3,999</v>
      </c>
      <c r="L458" s="71">
        <v>3.71</v>
      </c>
      <c r="M458" s="15" t="str">
        <f>IF($C458="","",IF($L458="","-",INDEX(SETUP!$B$36:$B$42,MATCH($L458,SETUP!$A$36:$A$42,1))))</f>
        <v>3k - 4k</v>
      </c>
      <c r="N458" s="17">
        <f>IF($C458="","",IF(OR($G458="",$I458=""),"",ROUND(100*(SETUP!$B$4*MIN(1,$I458/SETUP!$B$9)+SETUP!$B$5*MAX(0,MIN(1,($G458-SETUP!$B$10)/(SETUP!$B$11-SETUP!$B$10)))+SETUP!$B$6*MIN(1,IF($L458="",0,$L458)/SETUP!$B$12)),1)))</f>
        <v>41.4</v>
      </c>
      <c r="O458" s="15" t="str">
        <f>IF($C458="","",IF($N458="","-",INDEX(SETUP!$B$46:$B$51,MATCH($N458,SETUP!$A$46:$A$51,1))))</f>
        <v>B</v>
      </c>
      <c r="P458" s="15">
        <f>IF($C458="","",IF($I458="","",RANK($I458,$I$4:$I$1463)+COUNTIF($I$4:$I458,$I458)-1))</f>
        <v>812</v>
      </c>
      <c r="Q458" s="15">
        <f>IF($C458="","",COUNTIFS($B$4:$B$1463,$B458,$X$4:$X$1463,"&gt;"&amp;$X458)+COUNTIFS($B$4:$B458,$B458,$X$4:$X458,"="&amp;$X458))</f>
        <v>82</v>
      </c>
      <c r="R458" s="72">
        <f>IF($C458="","",IF($I458="","",ROUND(COUNTIF($I$4:$I$1463,"&lt;"&amp;$I458)/COUNT($I$4:$I$1463),3)))</f>
        <v>0.38700000000000001</v>
      </c>
      <c r="S458" s="15" t="str">
        <f>IF($C458="","",IF($G458="","Name only",IF(OR($I458="",$L458=""),"Partial","Complete")))</f>
        <v>Complete</v>
      </c>
      <c r="T458" s="41" t="str">
        <f>IF($C458="","",TRIM(IF(COUNTIF($C$4:$C$1463,$C458)&gt;1,"Dup name; ","")&amp;IF(AND($G458&lt;&gt;"",$G458&lt;55000),"Low CR - verify; ","")&amp;IF(AND($L458&lt;&gt;"",$L458&gt;15),"Secondary - verify; ","")&amp;IF($E458="","No class; ","")))</f>
        <v/>
      </c>
      <c r="U458" s="68" t="s">
        <v>267</v>
      </c>
      <c r="V458" s="68" t="s">
        <v>66</v>
      </c>
      <c r="W458" s="68" t="s">
        <v>285</v>
      </c>
      <c r="X458" s="73">
        <f t="shared" si="37"/>
        <v>3235</v>
      </c>
      <c r="Y458" s="41" t="str">
        <f t="shared" si="38"/>
        <v>FUCT|82</v>
      </c>
      <c r="Z458" s="15">
        <f>IF($C458="","",IF($G458="","",RANK($G458,$G$4:$G$1463)+COUNTIF($G$4:$G458,$G458)-1))</f>
        <v>418</v>
      </c>
      <c r="AA458" s="15">
        <f>IF($C458="","",IF($N458="","",RANK($N458,$N$4:$N$1463)+COUNTIF($N$4:$N458,$N458)-1))</f>
        <v>761</v>
      </c>
      <c r="AB458" s="41" t="str">
        <f>IF($C458="","",IF($E458="","",$E458&amp;"#"&amp;(COUNTIFS($E$4:$E$1463,$E458,$X$4:$X$1463,"&gt;"&amp;$X458)+COUNTIFS($E$4:$E458,$E458,$X$4:$X458,"="&amp;$X458))))</f>
        <v>BARBARIAN#145</v>
      </c>
      <c r="AC458" s="41" t="str">
        <f>IF($C458="","",$B458&amp;"@"&amp;(COUNTIFS($B$4:$B$1463,$B458,$C$4:$C$1463,"&lt;"&amp;$C458)+COUNTIFS($B$4:$B458,$B458,$C$4:$C458,$C458)))</f>
        <v>FUCT@28</v>
      </c>
      <c r="AD458" s="41">
        <f t="shared" si="39"/>
        <v>455</v>
      </c>
      <c r="AE458" s="41" t="s">
        <v>1354</v>
      </c>
      <c r="AF458" s="73">
        <f t="shared" si="40"/>
        <v>63023</v>
      </c>
      <c r="AG458" s="74">
        <f t="shared" si="41"/>
        <v>3.71</v>
      </c>
      <c r="AH458" s="41" t="str">
        <f>IF($C458="","",$B458&amp;"|"&amp;(COUNTIFS($B$4:$B$1463,$B458,$AF$4:$AF$1463,"&gt;"&amp;$AF458)+COUNTIFS($B$4:$B458,$B458,$AF$4:$AF458,"="&amp;$AF458)))</f>
        <v>FUCT|44</v>
      </c>
      <c r="AI458" s="41" t="str">
        <f>IF($C458="","",$B458&amp;"|"&amp;(COUNTIFS($B$4:$B$1463,$B458,$AG$4:$AG$1463,"&gt;"&amp;$AG458)+COUNTIFS($B$4:$B458,$B458,$AG$4:$AG458,"="&amp;$AG458)))</f>
        <v>FUCT|89</v>
      </c>
    </row>
    <row r="459" spans="1:35">
      <c r="A459" s="69" t="s">
        <v>104</v>
      </c>
      <c r="B459" s="69" t="s">
        <v>66</v>
      </c>
      <c r="C459" s="63" t="s">
        <v>2906</v>
      </c>
      <c r="D459" s="69"/>
      <c r="E459" s="68" t="s">
        <v>74</v>
      </c>
      <c r="F459" s="15" t="str">
        <f>IF($C459="","",IF($E459="","-",IFERROR(INDEX(SETUP!$B$55:$B$64,MATCH($E459,SETUP!$A$55:$A$64,0)),"Other")))</f>
        <v>Ranged DPS</v>
      </c>
      <c r="G459" s="70">
        <v>63654</v>
      </c>
      <c r="H459" s="15" t="str">
        <f>IF($C459="","",IF($G459="","-",INDEX(SETUP!$B$26:$B$32,MATCH($G459,SETUP!$A$26:$A$32,1))))</f>
        <v>63,000 - 63,999</v>
      </c>
      <c r="I459" s="70">
        <v>6734</v>
      </c>
      <c r="J459" s="15" t="str">
        <f>IF($C459="","",IF($I459="","-",INDEX(SETUP!$B$16:$B$22,MATCH($I459,SETUP!$A$16:$A$22,1))))</f>
        <v>VETERAN</v>
      </c>
      <c r="K459" s="15" t="str">
        <f>IF($C459="","",IF($I459="","-",TEXT(INT($I459/1000)*1000,"#,##0")&amp;" - "&amp;TEXT(INT($I459/1000)*1000+999,"#,##0")))</f>
        <v>6,000 - 6,999</v>
      </c>
      <c r="L459" s="71">
        <v>5.54</v>
      </c>
      <c r="M459" s="15" t="str">
        <f>IF($C459="","",IF($L459="","-",INDEX(SETUP!$B$36:$B$42,MATCH($L459,SETUP!$A$36:$A$42,1))))</f>
        <v>5k - 6k</v>
      </c>
      <c r="N459" s="17">
        <f>IF($C459="","",IF(OR($G459="",$I459=""),"",ROUND(100*(SETUP!$B$4*MIN(1,$I459/SETUP!$B$9)+SETUP!$B$5*MAX(0,MIN(1,($G459-SETUP!$B$10)/(SETUP!$B$11-SETUP!$B$10)))+SETUP!$B$6*MIN(1,IF($L459="",0,$L459)/SETUP!$B$12)),1)))</f>
        <v>61.4</v>
      </c>
      <c r="O459" s="15" t="str">
        <f>IF($C459="","",IF($N459="","-",INDEX(SETUP!$B$46:$B$51,MATCH($N459,SETUP!$A$46:$A$51,1))))</f>
        <v>A</v>
      </c>
      <c r="P459" s="15">
        <f>IF($C459="","",IF($I459="","",RANK($I459,$I$4:$I$1463)+COUNTIF($I$4:$I459,$I459)-1))</f>
        <v>239</v>
      </c>
      <c r="Q459" s="15">
        <f>IF($C459="","",COUNTIFS($B$4:$B$1463,$B459,$X$4:$X$1463,"&gt;"&amp;$X459)+COUNTIFS($B$4:$B459,$B459,$X$4:$X459,"="&amp;$X459))</f>
        <v>24</v>
      </c>
      <c r="R459" s="72">
        <f>IF($C459="","",IF($I459="","",ROUND(COUNTIF($I$4:$I$1463,"&lt;"&amp;$I459)/COUNT($I$4:$I$1463),3)))</f>
        <v>0.82</v>
      </c>
      <c r="S459" s="15" t="str">
        <f>IF($C459="","",IF($G459="","Name only",IF(OR($I459="",$L459=""),"Partial","Complete")))</f>
        <v>Complete</v>
      </c>
      <c r="T459" s="41" t="str">
        <f>IF($C459="","",TRIM(IF(COUNTIF($C$4:$C$1463,$C459)&gt;1,"Dup name; ","")&amp;IF(AND($G459&lt;&gt;"",$G459&lt;55000),"Low CR - verify; ","")&amp;IF(AND($L459&lt;&gt;"",$L459&gt;15),"Secondary - verify; ","")&amp;IF($E459="","No class; ","")))</f>
        <v/>
      </c>
      <c r="U459" s="68"/>
      <c r="V459" s="68"/>
      <c r="W459" s="68"/>
      <c r="X459" s="76">
        <f t="shared" si="37"/>
        <v>6734</v>
      </c>
      <c r="Y459" s="1" t="str">
        <f t="shared" si="38"/>
        <v>FUCT|24</v>
      </c>
      <c r="Z459" s="19">
        <f>IF($C459="","",IF($G459="","",RANK($G459,$G$4:$G$1463)+COUNTIF($G$4:$G459,$G459)-1))</f>
        <v>149</v>
      </c>
      <c r="AA459" s="19">
        <f>IF($C459="","",IF($N459="","",RANK($N459,$N$4:$N$1463)+COUNTIF($N$4:$N459,$N459)-1))</f>
        <v>222</v>
      </c>
      <c r="AB459" s="1" t="str">
        <f>IF($C459="","",IF($E459="","",$E459&amp;"#"&amp;(COUNTIFS($E$4:$E$1463,$E459,$X$4:$X$1463,"&gt;"&amp;$X459)+COUNTIFS($E$4:$E459,$E459,$X$4:$X459,"="&amp;$X459))))</f>
        <v>DEMON HUNTER#41</v>
      </c>
      <c r="AC459" s="1" t="str">
        <f>IF($C459="","",$B459&amp;"@"&amp;(COUNTIFS($B$4:$B$1463,$B459,$C$4:$C$1463,"&lt;"&amp;$C459)+COUNTIFS($B$4:$B459,$B459,$C$4:$C459,$C459)))</f>
        <v>FUCT@29</v>
      </c>
      <c r="AD459" s="1">
        <f t="shared" si="39"/>
        <v>456</v>
      </c>
      <c r="AE459" s="1" t="s">
        <v>1355</v>
      </c>
      <c r="AF459" s="76">
        <f t="shared" si="40"/>
        <v>63654</v>
      </c>
      <c r="AG459" s="77">
        <f t="shared" si="41"/>
        <v>5.54</v>
      </c>
      <c r="AH459" s="1" t="str">
        <f>IF($C459="","",$B459&amp;"|"&amp;(COUNTIFS($B$4:$B$1463,$B459,$AF$4:$AF$1463,"&gt;"&amp;$AF459)+COUNTIFS($B$4:$B459,$B459,$AF$4:$AF459,"="&amp;$AF459)))</f>
        <v>FUCT|16</v>
      </c>
      <c r="AI459" s="1" t="str">
        <f>IF($C459="","",$B459&amp;"|"&amp;(COUNTIFS($B$4:$B$1463,$B459,$AG$4:$AG$1463,"&gt;"&amp;$AG459)+COUNTIFS($B$4:$B459,$B459,$AG$4:$AG459,"="&amp;$AG459)))</f>
        <v>FUCT|29</v>
      </c>
    </row>
    <row r="460" spans="1:35" hidden="1">
      <c r="A460" s="69" t="s">
        <v>109</v>
      </c>
      <c r="B460" s="69" t="s">
        <v>110</v>
      </c>
      <c r="C460" s="63" t="s">
        <v>1356</v>
      </c>
      <c r="D460" s="69"/>
      <c r="E460" s="68" t="s">
        <v>74</v>
      </c>
      <c r="F460" s="15" t="str">
        <f>IF($C460="","",IF($E460="","-",IFERROR(INDEX(SETUP!$B$55:$B$64,MATCH($E460,SETUP!$A$55:$A$64,0)),"Other")))</f>
        <v>Ranged DPS</v>
      </c>
      <c r="G460" s="70">
        <v>63644</v>
      </c>
      <c r="H460" s="15" t="str">
        <f>IF($C460="","",IF($G460="","-",INDEX(SETUP!$B$26:$B$32,MATCH($G460,SETUP!$A$26:$A$32,1))))</f>
        <v>63,000 - 63,999</v>
      </c>
      <c r="I460" s="70">
        <v>7914</v>
      </c>
      <c r="J460" s="15" t="str">
        <f>IF($C460="","",IF($I460="","-",INDEX(SETUP!$B$16:$B$22,MATCH($I460,SETUP!$A$16:$A$22,1))))</f>
        <v>VETERAN</v>
      </c>
      <c r="K460" s="15" t="str">
        <f>IF($C460="","",IF($I460="","-",TEXT(INT($I460/1000)*1000,"#,##0")&amp;" - "&amp;TEXT(INT($I460/1000)*1000+999,"#,##0")))</f>
        <v>7,000 - 7,999</v>
      </c>
      <c r="L460" s="71">
        <v>6.8</v>
      </c>
      <c r="M460" s="15" t="str">
        <f>IF($C460="","",IF($L460="","-",INDEX(SETUP!$B$36:$B$42,MATCH($L460,SETUP!$A$36:$A$42,1))))</f>
        <v>6k - 8k</v>
      </c>
      <c r="N460" s="17">
        <f>IF($C460="","",IF(OR($G460="",$I460=""),"",ROUND(100*(SETUP!$B$4*MIN(1,$I460/SETUP!$B$9)+SETUP!$B$5*MAX(0,MIN(1,($G460-SETUP!$B$10)/(SETUP!$B$11-SETUP!$B$10)))+SETUP!$B$6*MIN(1,IF($L460="",0,$L460)/SETUP!$B$12)),1)))</f>
        <v>68.599999999999994</v>
      </c>
      <c r="O460" s="15" t="str">
        <f>IF($C460="","",IF($N460="","-",INDEX(SETUP!$B$46:$B$51,MATCH($N460,SETUP!$A$46:$A$51,1))))</f>
        <v>S</v>
      </c>
      <c r="P460" s="15">
        <f>IF($C460="","",IF($I460="","",RANK($I460,$I$4:$I$1463)+COUNTIF($I$4:$I460,$I460)-1))</f>
        <v>153</v>
      </c>
      <c r="Q460" s="15">
        <f>IF($C460="","",COUNTIFS($B$4:$B$1463,$B460,$X$4:$X$1463,"&gt;"&amp;$X460)+COUNTIFS($B$4:$B460,$B460,$X$4:$X460,"="&amp;$X460))</f>
        <v>24</v>
      </c>
      <c r="R460" s="72">
        <f>IF($C460="","",IF($I460="","",ROUND(COUNTIF($I$4:$I$1463,"&lt;"&amp;$I460)/COUNT($I$4:$I$1463),3)))</f>
        <v>0.88500000000000001</v>
      </c>
      <c r="S460" s="15" t="str">
        <f>IF($C460="","",IF($G460="","Name only",IF(OR($I460="",$L460=""),"Partial","Complete")))</f>
        <v>Complete</v>
      </c>
      <c r="T460" s="41" t="str">
        <f>IF($C460="","",TRIM(IF(COUNTIF($C$4:$C$1463,$C460)&gt;1,"Dup name; ","")&amp;IF(AND($G460&lt;&gt;"",$G460&lt;55000),"Low CR - verify; ","")&amp;IF(AND($L460&lt;&gt;"",$L460&gt;15),"Secondary - verify; ","")&amp;IF($E460="","No class; ","")))</f>
        <v/>
      </c>
      <c r="U460" s="68"/>
      <c r="V460" s="68"/>
      <c r="W460" s="68"/>
      <c r="X460" s="73">
        <f t="shared" si="37"/>
        <v>7914</v>
      </c>
      <c r="Y460" s="41" t="str">
        <f t="shared" si="38"/>
        <v>AZUKI|24</v>
      </c>
      <c r="Z460" s="15">
        <f>IF($C460="","",IF($G460="","",RANK($G460,$G$4:$G$1463)+COUNTIF($G$4:$G460,$G460)-1))</f>
        <v>154</v>
      </c>
      <c r="AA460" s="15">
        <f>IF($C460="","",IF($N460="","",RANK($N460,$N$4:$N$1463)+COUNTIF($N$4:$N460,$N460)-1))</f>
        <v>142</v>
      </c>
      <c r="AB460" s="41" t="str">
        <f>IF($C460="","",IF($E460="","",$E460&amp;"#"&amp;(COUNTIFS($E$4:$E$1463,$E460,$X$4:$X$1463,"&gt;"&amp;$X460)+COUNTIFS($E$4:$E460,$E460,$X$4:$X460,"="&amp;$X460))))</f>
        <v>DEMON HUNTER#26</v>
      </c>
      <c r="AC460" s="41" t="str">
        <f>IF($C460="","",$B460&amp;"@"&amp;(COUNTIFS($B$4:$B$1463,$B460,$C$4:$C$1463,"&lt;"&amp;$C460)+COUNTIFS($B$4:$B460,$B460,$C$4:$C460,$C460)))</f>
        <v>AZUKI@43</v>
      </c>
      <c r="AD460" s="41">
        <f t="shared" si="39"/>
        <v>457</v>
      </c>
      <c r="AE460" s="41" t="s">
        <v>1357</v>
      </c>
      <c r="AF460" s="73">
        <f t="shared" si="40"/>
        <v>63644</v>
      </c>
      <c r="AG460" s="74">
        <f t="shared" si="41"/>
        <v>6.8</v>
      </c>
      <c r="AH460" s="41" t="str">
        <f>IF($C460="","",$B460&amp;"|"&amp;(COUNTIFS($B$4:$B$1463,$B460,$AF$4:$AF$1463,"&gt;"&amp;$AF460)+COUNTIFS($B$4:$B460,$B460,$AF$4:$AF460,"="&amp;$AF460)))</f>
        <v>AZUKI|24</v>
      </c>
      <c r="AI460" s="41" t="str">
        <f>IF($C460="","",$B460&amp;"|"&amp;(COUNTIFS($B$4:$B$1463,$B460,$AG$4:$AG$1463,"&gt;"&amp;$AG460)+COUNTIFS($B$4:$B460,$B460,$AG$4:$AG460,"="&amp;$AG460)))</f>
        <v>AZUKI|33</v>
      </c>
    </row>
    <row r="461" spans="1:35" hidden="1">
      <c r="A461" s="69" t="s">
        <v>109</v>
      </c>
      <c r="B461" s="69" t="s">
        <v>113</v>
      </c>
      <c r="C461" s="63" t="s">
        <v>1358</v>
      </c>
      <c r="D461" s="69" t="s">
        <v>548</v>
      </c>
      <c r="E461" s="68" t="s">
        <v>77</v>
      </c>
      <c r="F461" s="19" t="str">
        <f>IF($C461="","",IF($E461="","-",IFERROR(INDEX(SETUP!$B$55:$B$64,MATCH($E461,SETUP!$A$55:$A$64,0)),"Other")))</f>
        <v>Control</v>
      </c>
      <c r="G461" s="70">
        <v>62671</v>
      </c>
      <c r="H461" s="19" t="str">
        <f>IF($C461="","",IF($G461="","-",INDEX(SETUP!$B$26:$B$32,MATCH($G461,SETUP!$A$26:$A$32,1))))</f>
        <v>62,000 - 62,999</v>
      </c>
      <c r="I461" s="70">
        <v>1470</v>
      </c>
      <c r="J461" s="19" t="str">
        <f>IF($C461="","",IF($I461="","-",INDEX(SETUP!$B$16:$B$22,MATCH($I461,SETUP!$A$16:$A$22,1))))</f>
        <v>ROOKIE</v>
      </c>
      <c r="K461" s="19" t="str">
        <f>IF($C461="","",IF($I461="","-",TEXT(INT($I461/1000)*1000,"#,##0")&amp;" - "&amp;TEXT(INT($I461/1000)*1000+999,"#,##0")))</f>
        <v>1,000 - 1,999</v>
      </c>
      <c r="L461" s="71">
        <v>3.15</v>
      </c>
      <c r="M461" s="19" t="str">
        <f>IF($C461="","",IF($L461="","-",INDEX(SETUP!$B$36:$B$42,MATCH($L461,SETUP!$A$36:$A$42,1))))</f>
        <v>3k - 4k</v>
      </c>
      <c r="N461" s="21">
        <f>IF($C461="","",IF(OR($G461="",$I461=""),"",ROUND(100*(SETUP!$B$4*MIN(1,$I461/SETUP!$B$9)+SETUP!$B$5*MAX(0,MIN(1,($G461-SETUP!$B$10)/(SETUP!$B$11-SETUP!$B$10)))+SETUP!$B$6*MIN(1,IF($L461="",0,$L461)/SETUP!$B$12)),1)))</f>
        <v>31.9</v>
      </c>
      <c r="O461" s="19" t="str">
        <f>IF($C461="","",IF($N461="","-",INDEX(SETUP!$B$46:$B$51,MATCH($N461,SETUP!$A$46:$A$51,1))))</f>
        <v>C</v>
      </c>
      <c r="P461" s="19">
        <f>IF($C461="","",IF($I461="","",RANK($I461,$I$4:$I$1463)+COUNTIF($I$4:$I461,$I461)-1))</f>
        <v>1199</v>
      </c>
      <c r="Q461" s="19">
        <f>IF($C461="","",COUNTIFS($B$4:$B$1463,$B461,$X$4:$X$1463,"&gt;"&amp;$X461)+COUNTIFS($B$4:$B461,$B461,$X$4:$X461,"="&amp;$X461))</f>
        <v>92</v>
      </c>
      <c r="R461" s="75">
        <f>IF($C461="","",IF($I461="","",ROUND(COUNTIF($I$4:$I$1463,"&lt;"&amp;$I461)/COUNT($I$4:$I$1463),3)))</f>
        <v>9.4E-2</v>
      </c>
      <c r="S461" s="19" t="str">
        <f>IF($C461="","",IF($G461="","Name only",IF(OR($I461="",$L461=""),"Partial","Complete")))</f>
        <v>Complete</v>
      </c>
      <c r="T461" s="1" t="str">
        <f>IF($C461="","",TRIM(IF(COUNTIF($C$4:$C$1463,$C461)&gt;1,"Dup name; ","")&amp;IF(AND($G461&lt;&gt;"",$G461&lt;55000),"Low CR - verify; ","")&amp;IF(AND($L461&lt;&gt;"",$L461&gt;15),"Secondary - verify; ","")&amp;IF($E461="","No class; ","")))</f>
        <v/>
      </c>
      <c r="U461" s="68"/>
      <c r="V461" s="68"/>
      <c r="W461" s="68"/>
      <c r="X461" s="76">
        <f t="shared" si="37"/>
        <v>1470</v>
      </c>
      <c r="Y461" s="1" t="str">
        <f t="shared" si="38"/>
        <v>INVICTUS|92</v>
      </c>
      <c r="Z461" s="19">
        <f>IF($C461="","",IF($G461="","",RANK($G461,$G$4:$G$1463)+COUNTIF($G$4:$G461,$G461)-1))</f>
        <v>578</v>
      </c>
      <c r="AA461" s="19">
        <f>IF($C461="","",IF($N461="","",RANK($N461,$N$4:$N$1463)+COUNTIF($N$4:$N461,$N461)-1))</f>
        <v>1101</v>
      </c>
      <c r="AB461" s="1" t="str">
        <f>IF($C461="","",IF($E461="","",$E461&amp;"#"&amp;(COUNTIFS($E$4:$E$1463,$E461,$X$4:$X$1463,"&gt;"&amp;$X461)+COUNTIFS($E$4:$E461,$E461,$X$4:$X461,"="&amp;$X461))))</f>
        <v>NECROMANCER#90</v>
      </c>
      <c r="AC461" s="1" t="str">
        <f>IF($C461="","",$B461&amp;"@"&amp;(COUNTIFS($B$4:$B$1463,$B461,$C$4:$C$1463,"&lt;"&amp;$C461)+COUNTIFS($B$4:$B461,$B461,$C$4:$C461,$C461)))</f>
        <v>INVICTUS@27</v>
      </c>
      <c r="AD461" s="1">
        <f t="shared" si="39"/>
        <v>458</v>
      </c>
      <c r="AE461" s="1" t="s">
        <v>1359</v>
      </c>
      <c r="AF461" s="76">
        <f t="shared" si="40"/>
        <v>62671</v>
      </c>
      <c r="AG461" s="77">
        <f t="shared" si="41"/>
        <v>3.15</v>
      </c>
      <c r="AH461" s="1" t="str">
        <f>IF($C461="","",$B461&amp;"|"&amp;(COUNTIFS($B$4:$B$1463,$B461,$AF$4:$AF$1463,"&gt;"&amp;$AF461)+COUNTIFS($B$4:$B461,$B461,$AF$4:$AF461,"="&amp;$AF461)))</f>
        <v>INVICTUS|32</v>
      </c>
      <c r="AI461" s="1" t="str">
        <f>IF($C461="","",$B461&amp;"|"&amp;(COUNTIFS($B$4:$B$1463,$B461,$AG$4:$AG$1463,"&gt;"&amp;$AG461)+COUNTIFS($B$4:$B461,$B461,$AG$4:$AG461,"="&amp;$AG461)))</f>
        <v>INVICTUS|91</v>
      </c>
    </row>
    <row r="462" spans="1:35" hidden="1">
      <c r="A462" s="69" t="s">
        <v>109</v>
      </c>
      <c r="B462" s="69" t="s">
        <v>115</v>
      </c>
      <c r="C462" s="63" t="s">
        <v>1360</v>
      </c>
      <c r="D462" s="69"/>
      <c r="E462" s="68" t="s">
        <v>73</v>
      </c>
      <c r="F462" s="15" t="str">
        <f>IF($C462="","",IF($E462="","-",IFERROR(INDEX(SETUP!$B$55:$B$64,MATCH($E462,SETUP!$A$55:$A$64,0)),"Other")))</f>
        <v>Frontline</v>
      </c>
      <c r="G462" s="70">
        <v>62074</v>
      </c>
      <c r="H462" s="15" t="str">
        <f>IF($C462="","",IF($G462="","-",INDEX(SETUP!$B$26:$B$32,MATCH($G462,SETUP!$A$26:$A$32,1))))</f>
        <v>62,000 - 62,999</v>
      </c>
      <c r="I462" s="70">
        <v>2722</v>
      </c>
      <c r="J462" s="15" t="str">
        <f>IF($C462="","",IF($I462="","-",INDEX(SETUP!$B$16:$B$22,MATCH($I462,SETUP!$A$16:$A$22,1))))</f>
        <v>DEVELOPING</v>
      </c>
      <c r="K462" s="15" t="str">
        <f>IF($C462="","",IF($I462="","-",TEXT(INT($I462/1000)*1000,"#,##0")&amp;" - "&amp;TEXT(INT($I462/1000)*1000+999,"#,##0")))</f>
        <v>2,000 - 2,999</v>
      </c>
      <c r="L462" s="71">
        <v>4.0999999999999996</v>
      </c>
      <c r="M462" s="15" t="str">
        <f>IF($C462="","",IF($L462="","-",INDEX(SETUP!$B$36:$B$42,MATCH($L462,SETUP!$A$36:$A$42,1))))</f>
        <v>4k - 5k</v>
      </c>
      <c r="N462" s="17">
        <f>IF($C462="","",IF(OR($G462="",$I462=""),"",ROUND(100*(SETUP!$B$4*MIN(1,$I462/SETUP!$B$9)+SETUP!$B$5*MAX(0,MIN(1,($G462-SETUP!$B$10)/(SETUP!$B$11-SETUP!$B$10)))+SETUP!$B$6*MIN(1,IF($L462="",0,$L462)/SETUP!$B$12)),1)))</f>
        <v>37.299999999999997</v>
      </c>
      <c r="O462" s="15" t="str">
        <f>IF($C462="","",IF($N462="","-",INDEX(SETUP!$B$46:$B$51,MATCH($N462,SETUP!$A$46:$A$51,1))))</f>
        <v>B</v>
      </c>
      <c r="P462" s="15">
        <f>IF($C462="","",IF($I462="","",RANK($I462,$I$4:$I$1463)+COUNTIF($I$4:$I462,$I462)-1))</f>
        <v>948</v>
      </c>
      <c r="Q462" s="15">
        <f>IF($C462="","",COUNTIFS($B$4:$B$1463,$B462,$X$4:$X$1463,"&gt;"&amp;$X462)+COUNTIFS($B$4:$B462,$B462,$X$4:$X462,"="&amp;$X462))</f>
        <v>29</v>
      </c>
      <c r="R462" s="72">
        <f>IF($C462="","",IF($I462="","",ROUND(COUNTIF($I$4:$I$1463,"&lt;"&amp;$I462)/COUNT($I$4:$I$1463),3)))</f>
        <v>0.28499999999999998</v>
      </c>
      <c r="S462" s="15" t="str">
        <f>IF($C462="","",IF($G462="","Name only",IF(OR($I462="",$L462=""),"Partial","Complete")))</f>
        <v>Complete</v>
      </c>
      <c r="T462" s="41" t="str">
        <f>IF($C462="","",TRIM(IF(COUNTIF($C$4:$C$1463,$C462)&gt;1,"Dup name; ","")&amp;IF(AND($G462&lt;&gt;"",$G462&lt;55000),"Low CR - verify; ","")&amp;IF(AND($L462&lt;&gt;"",$L462&gt;15),"Secondary - verify; ","")&amp;IF($E462="","No class; ","")))</f>
        <v/>
      </c>
      <c r="U462" s="68"/>
      <c r="V462" s="68"/>
      <c r="W462" s="68"/>
      <c r="X462" s="73">
        <f t="shared" si="37"/>
        <v>2722</v>
      </c>
      <c r="Y462" s="41" t="str">
        <f t="shared" si="38"/>
        <v>SUB ROSA|29</v>
      </c>
      <c r="Z462" s="15">
        <f>IF($C462="","",IF($G462="","",RANK($G462,$G$4:$G$1463)+COUNTIF($G$4:$G462,$G462)-1))</f>
        <v>808</v>
      </c>
      <c r="AA462" s="15">
        <f>IF($C462="","",IF($N462="","",RANK($N462,$N$4:$N$1463)+COUNTIF($N$4:$N462,$N462)-1))</f>
        <v>917</v>
      </c>
      <c r="AB462" s="41" t="str">
        <f>IF($C462="","",IF($E462="","",$E462&amp;"#"&amp;(COUNTIFS($E$4:$E$1463,$E462,$X$4:$X$1463,"&gt;"&amp;$X462)+COUNTIFS($E$4:$E462,$E462,$X$4:$X462,"="&amp;$X462))))</f>
        <v>CRUSADER#93</v>
      </c>
      <c r="AC462" s="41" t="str">
        <f>IF($C462="","",$B462&amp;"@"&amp;(COUNTIFS($B$4:$B$1463,$B462,$C$4:$C$1463,"&lt;"&amp;$C462)+COUNTIFS($B$4:$B462,$B462,$C$4:$C462,$C462)))</f>
        <v>SUB ROSA@27</v>
      </c>
      <c r="AD462" s="41">
        <f t="shared" si="39"/>
        <v>459</v>
      </c>
      <c r="AE462" s="41" t="s">
        <v>1361</v>
      </c>
      <c r="AF462" s="73">
        <f t="shared" si="40"/>
        <v>62074</v>
      </c>
      <c r="AG462" s="74">
        <f t="shared" si="41"/>
        <v>4.0999999999999996</v>
      </c>
      <c r="AH462" s="41" t="str">
        <f>IF($C462="","",$B462&amp;"|"&amp;(COUNTIFS($B$4:$B$1463,$B462,$AF$4:$AF$1463,"&gt;"&amp;$AF462)+COUNTIFS($B$4:$B462,$B462,$AF$4:$AF462,"="&amp;$AF462)))</f>
        <v>SUB ROSA|30</v>
      </c>
      <c r="AI462" s="41" t="str">
        <f>IF($C462="","",$B462&amp;"|"&amp;(COUNTIFS($B$4:$B$1463,$B462,$AG$4:$AG$1463,"&gt;"&amp;$AG462)+COUNTIFS($B$4:$B462,$B462,$AG$4:$AG462,"="&amp;$AG462)))</f>
        <v>SUB ROSA|27</v>
      </c>
    </row>
    <row r="463" spans="1:35" hidden="1">
      <c r="A463" s="69" t="s">
        <v>109</v>
      </c>
      <c r="B463" s="69" t="s">
        <v>114</v>
      </c>
      <c r="C463" s="63" t="s">
        <v>1362</v>
      </c>
      <c r="D463" s="69"/>
      <c r="E463" s="68" t="s">
        <v>73</v>
      </c>
      <c r="F463" s="19" t="str">
        <f>IF($C463="","",IF($E463="","-",IFERROR(INDEX(SETUP!$B$55:$B$64,MATCH($E463,SETUP!$A$55:$A$64,0)),"Other")))</f>
        <v>Frontline</v>
      </c>
      <c r="G463" s="70">
        <v>61260</v>
      </c>
      <c r="H463" s="19" t="str">
        <f>IF($C463="","",IF($G463="","-",INDEX(SETUP!$B$26:$B$32,MATCH($G463,SETUP!$A$26:$A$32,1))))</f>
        <v>61,000 - 61,999</v>
      </c>
      <c r="I463" s="70">
        <v>2478</v>
      </c>
      <c r="J463" s="19" t="str">
        <f>IF($C463="","",IF($I463="","-",INDEX(SETUP!$B$16:$B$22,MATCH($I463,SETUP!$A$16:$A$22,1))))</f>
        <v>DEVELOPING</v>
      </c>
      <c r="K463" s="19" t="str">
        <f>IF($C463="","",IF($I463="","-",TEXT(INT($I463/1000)*1000,"#,##0")&amp;" - "&amp;TEXT(INT($I463/1000)*1000+999,"#,##0")))</f>
        <v>2,000 - 2,999</v>
      </c>
      <c r="L463" s="71">
        <v>3.35</v>
      </c>
      <c r="M463" s="19" t="str">
        <f>IF($C463="","",IF($L463="","-",INDEX(SETUP!$B$36:$B$42,MATCH($L463,SETUP!$A$36:$A$42,1))))</f>
        <v>3k - 4k</v>
      </c>
      <c r="N463" s="21">
        <f>IF($C463="","",IF(OR($G463="",$I463=""),"",ROUND(100*(SETUP!$B$4*MIN(1,$I463/SETUP!$B$9)+SETUP!$B$5*MAX(0,MIN(1,($G463-SETUP!$B$10)/(SETUP!$B$11-SETUP!$B$10)))+SETUP!$B$6*MIN(1,IF($L463="",0,$L463)/SETUP!$B$12)),1)))</f>
        <v>32.9</v>
      </c>
      <c r="O463" s="19" t="str">
        <f>IF($C463="","",IF($N463="","-",INDEX(SETUP!$B$46:$B$51,MATCH($N463,SETUP!$A$46:$A$51,1))))</f>
        <v>C</v>
      </c>
      <c r="P463" s="19">
        <f>IF($C463="","",IF($I463="","",RANK($I463,$I$4:$I$1463)+COUNTIF($I$4:$I463,$I463)-1))</f>
        <v>1014</v>
      </c>
      <c r="Q463" s="19">
        <f>IF($C463="","",COUNTIFS($B$4:$B$1463,$B463,$X$4:$X$1463,"&gt;"&amp;$X463)+COUNTIFS($B$4:$B463,$B463,$X$4:$X463,"="&amp;$X463))</f>
        <v>43</v>
      </c>
      <c r="R463" s="75">
        <f>IF($C463="","",IF($I463="","",ROUND(COUNTIF($I$4:$I$1463,"&lt;"&amp;$I463)/COUNT($I$4:$I$1463),3)))</f>
        <v>0.23499999999999999</v>
      </c>
      <c r="S463" s="19" t="str">
        <f>IF($C463="","",IF($G463="","Name only",IF(OR($I463="",$L463=""),"Partial","Complete")))</f>
        <v>Complete</v>
      </c>
      <c r="T463" s="1" t="str">
        <f>IF($C463="","",TRIM(IF(COUNTIF($C$4:$C$1463,$C463)&gt;1,"Dup name; ","")&amp;IF(AND($G463&lt;&gt;"",$G463&lt;55000),"Low CR - verify; ","")&amp;IF(AND($L463&lt;&gt;"",$L463&gt;15),"Secondary - verify; ","")&amp;IF($E463="","No class; ","")))</f>
        <v/>
      </c>
      <c r="U463" s="68"/>
      <c r="V463" s="68"/>
      <c r="W463" s="68"/>
      <c r="X463" s="76">
        <f t="shared" si="37"/>
        <v>2478</v>
      </c>
      <c r="Y463" s="1" t="str">
        <f t="shared" si="38"/>
        <v>EMERALD LEAF TRIBE|43</v>
      </c>
      <c r="Z463" s="19">
        <f>IF($C463="","",IF($G463="","",RANK($G463,$G$4:$G$1463)+COUNTIF($G$4:$G463,$G463)-1))</f>
        <v>1068</v>
      </c>
      <c r="AA463" s="19">
        <f>IF($C463="","",IF($N463="","",RANK($N463,$N$4:$N$1463)+COUNTIF($N$4:$N463,$N463)-1))</f>
        <v>1068</v>
      </c>
      <c r="AB463" s="1" t="str">
        <f>IF($C463="","",IF($E463="","",$E463&amp;"#"&amp;(COUNTIFS($E$4:$E$1463,$E463,$X$4:$X$1463,"&gt;"&amp;$X463)+COUNTIFS($E$4:$E463,$E463,$X$4:$X463,"="&amp;$X463))))</f>
        <v>CRUSADER#100</v>
      </c>
      <c r="AC463" s="1" t="str">
        <f>IF($C463="","",$B463&amp;"@"&amp;(COUNTIFS($B$4:$B$1463,$B463,$C$4:$C$1463,"&lt;"&amp;$C463)+COUNTIFS($B$4:$B463,$B463,$C$4:$C463,$C463)))</f>
        <v>EMERALD LEAF TRIBE@31</v>
      </c>
      <c r="AD463" s="1">
        <f t="shared" si="39"/>
        <v>460</v>
      </c>
      <c r="AE463" s="1" t="s">
        <v>1363</v>
      </c>
      <c r="AF463" s="76">
        <f t="shared" si="40"/>
        <v>61260</v>
      </c>
      <c r="AG463" s="77">
        <f t="shared" si="41"/>
        <v>3.35</v>
      </c>
      <c r="AH463" s="1" t="str">
        <f>IF($C463="","",$B463&amp;"|"&amp;(COUNTIFS($B$4:$B$1463,$B463,$AF$4:$AF$1463,"&gt;"&amp;$AF463)+COUNTIFS($B$4:$B463,$B463,$AF$4:$AF463,"="&amp;$AF463)))</f>
        <v>EMERALD LEAF TRIBE|46</v>
      </c>
      <c r="AI463" s="1" t="str">
        <f>IF($C463="","",$B463&amp;"|"&amp;(COUNTIFS($B$4:$B$1463,$B463,$AG$4:$AG$1463,"&gt;"&amp;$AG463)+COUNTIFS($B$4:$B463,$B463,$AG$4:$AG463,"="&amp;$AG463)))</f>
        <v>EMERALD LEAF TRIBE|59</v>
      </c>
    </row>
    <row r="464" spans="1:35">
      <c r="A464" s="69" t="s">
        <v>104</v>
      </c>
      <c r="B464" s="69" t="s">
        <v>66</v>
      </c>
      <c r="C464" s="63" t="s">
        <v>2907</v>
      </c>
      <c r="D464" s="69"/>
      <c r="E464" s="68" t="s">
        <v>78</v>
      </c>
      <c r="F464" s="15" t="str">
        <f>IF($C464="","",IF($E464="","-",IFERROR(INDEX(SETUP!$B$55:$B$64,MATCH($E464,SETUP!$A$55:$A$64,0)),"Other")))</f>
        <v>Melee DPS</v>
      </c>
      <c r="G464" s="70">
        <v>62384</v>
      </c>
      <c r="H464" s="15" t="str">
        <f>IF($C464="","",IF($G464="","-",INDEX(SETUP!$B$26:$B$32,MATCH($G464,SETUP!$A$26:$A$32,1))))</f>
        <v>62,000 - 62,999</v>
      </c>
      <c r="I464" s="70">
        <v>5104</v>
      </c>
      <c r="J464" s="15" t="str">
        <f>IF($C464="","",IF($I464="","-",INDEX(SETUP!$B$16:$B$22,MATCH($I464,SETUP!$A$16:$A$22,1))))</f>
        <v>CORE</v>
      </c>
      <c r="K464" s="15" t="str">
        <f>IF($C464="","",IF($I464="","-",TEXT(INT($I464/1000)*1000,"#,##0")&amp;" - "&amp;TEXT(INT($I464/1000)*1000+999,"#,##0")))</f>
        <v>5,000 - 5,999</v>
      </c>
      <c r="L464" s="71">
        <v>5.43</v>
      </c>
      <c r="M464" s="15" t="str">
        <f>IF($C464="","",IF($L464="","-",INDEX(SETUP!$B$36:$B$42,MATCH($L464,SETUP!$A$36:$A$42,1))))</f>
        <v>5k - 6k</v>
      </c>
      <c r="N464" s="17">
        <f>IF($C464="","",IF(OR($G464="",$I464=""),"",ROUND(100*(SETUP!$B$4*MIN(1,$I464/SETUP!$B$9)+SETUP!$B$5*MAX(0,MIN(1,($G464-SETUP!$B$10)/(SETUP!$B$11-SETUP!$B$10)))+SETUP!$B$6*MIN(1,IF($L464="",0,$L464)/SETUP!$B$12)),1)))</f>
        <v>50.8</v>
      </c>
      <c r="O464" s="15" t="str">
        <f>IF($C464="","",IF($N464="","-",INDEX(SETUP!$B$46:$B$51,MATCH($N464,SETUP!$A$46:$A$51,1))))</f>
        <v>A</v>
      </c>
      <c r="P464" s="15">
        <f>IF($C464="","",IF($I464="","",RANK($I464,$I$4:$I$1463)+COUNTIF($I$4:$I464,$I464)-1))</f>
        <v>394</v>
      </c>
      <c r="Q464" s="15">
        <f>IF($C464="","",COUNTIFS($B$4:$B$1463,$B464,$X$4:$X$1463,"&gt;"&amp;$X464)+COUNTIFS($B$4:$B464,$B464,$X$4:$X464,"="&amp;$X464))</f>
        <v>40</v>
      </c>
      <c r="R464" s="72">
        <f>IF($C464="","",IF($I464="","",ROUND(COUNTIF($I$4:$I$1463,"&lt;"&amp;$I464)/COUNT($I$4:$I$1463),3)))</f>
        <v>0.70299999999999996</v>
      </c>
      <c r="S464" s="15" t="str">
        <f>IF($C464="","",IF($G464="","Name only",IF(OR($I464="",$L464=""),"Partial","Complete")))</f>
        <v>Complete</v>
      </c>
      <c r="T464" s="41" t="str">
        <f>IF($C464="","",TRIM(IF(COUNTIF($C$4:$C$1463,$C464)&gt;1,"Dup name; ","")&amp;IF(AND($G464&lt;&gt;"",$G464&lt;55000),"Low CR - verify; ","")&amp;IF(AND($L464&lt;&gt;"",$L464&gt;15),"Secondary - verify; ","")&amp;IF($E464="","No class; ","")))</f>
        <v/>
      </c>
      <c r="U464" s="68"/>
      <c r="V464" s="68"/>
      <c r="W464" s="68"/>
      <c r="X464" s="73">
        <f t="shared" si="37"/>
        <v>5104</v>
      </c>
      <c r="Y464" s="41" t="str">
        <f t="shared" si="38"/>
        <v>FUCT|40</v>
      </c>
      <c r="Z464" s="15">
        <f>IF($C464="","",IF($G464="","",RANK($G464,$G$4:$G$1463)+COUNTIF($G$4:$G464,$G464)-1))</f>
        <v>701</v>
      </c>
      <c r="AA464" s="15">
        <f>IF($C464="","",IF($N464="","",RANK($N464,$N$4:$N$1463)+COUNTIF($N$4:$N464,$N464)-1))</f>
        <v>433</v>
      </c>
      <c r="AB464" s="41" t="str">
        <f>IF($C464="","",IF($E464="","",$E464&amp;"#"&amp;(COUNTIFS($E$4:$E$1463,$E464,$X$4:$X$1463,"&gt;"&amp;$X464)+COUNTIFS($E$4:$E464,$E464,$X$4:$X464,"="&amp;$X464))))</f>
        <v>TEMPEST#14</v>
      </c>
      <c r="AC464" s="41" t="str">
        <f>IF($C464="","",$B464&amp;"@"&amp;(COUNTIFS($B$4:$B$1463,$B464,$C$4:$C$1463,"&lt;"&amp;$C464)+COUNTIFS($B$4:$B464,$B464,$C$4:$C464,$C464)))</f>
        <v>FUCT@30</v>
      </c>
      <c r="AD464" s="41">
        <f t="shared" si="39"/>
        <v>461</v>
      </c>
      <c r="AE464" s="41" t="s">
        <v>1364</v>
      </c>
      <c r="AF464" s="73">
        <f t="shared" si="40"/>
        <v>62384</v>
      </c>
      <c r="AG464" s="74">
        <f t="shared" si="41"/>
        <v>5.43</v>
      </c>
      <c r="AH464" s="41" t="str">
        <f>IF($C464="","",$B464&amp;"|"&amp;(COUNTIFS($B$4:$B$1463,$B464,$AF$4:$AF$1463,"&gt;"&amp;$AF464)+COUNTIFS($B$4:$B464,$B464,$AF$4:$AF464,"="&amp;$AF464)))</f>
        <v>FUCT|71</v>
      </c>
      <c r="AI464" s="41" t="str">
        <f>IF($C464="","",$B464&amp;"|"&amp;(COUNTIFS($B$4:$B$1463,$B464,$AG$4:$AG$1463,"&gt;"&amp;$AG464)+COUNTIFS($B$4:$B464,$B464,$AG$4:$AG464,"="&amp;$AG464)))</f>
        <v>FUCT|31</v>
      </c>
    </row>
    <row r="465" spans="1:35" hidden="1">
      <c r="A465" s="69" t="s">
        <v>109</v>
      </c>
      <c r="B465" s="69" t="s">
        <v>117</v>
      </c>
      <c r="C465" s="63" t="s">
        <v>1365</v>
      </c>
      <c r="D465" s="69"/>
      <c r="E465" s="68" t="s">
        <v>79</v>
      </c>
      <c r="F465" s="19" t="str">
        <f>IF($C465="","",IF($E465="","-",IFERROR(INDEX(SETUP!$B$55:$B$64,MATCH($E465,SETUP!$A$55:$A$64,0)),"Other")))</f>
        <v>Control</v>
      </c>
      <c r="G465" s="70">
        <v>60574</v>
      </c>
      <c r="H465" s="19" t="str">
        <f>IF($C465="","",IF($G465="","-",INDEX(SETUP!$B$26:$B$32,MATCH($G465,SETUP!$A$26:$A$32,1))))</f>
        <v>60,000 - 60,999</v>
      </c>
      <c r="I465" s="70">
        <v>225</v>
      </c>
      <c r="J465" s="19" t="str">
        <f>IF($C465="","",IF($I465="","-",INDEX(SETUP!$B$16:$B$22,MATCH($I465,SETUP!$A$16:$A$22,1))))</f>
        <v>ROOKIE</v>
      </c>
      <c r="K465" s="19" t="str">
        <f>IF($C465="","",IF($I465="","-",TEXT(INT($I465/1000)*1000,"#,##0")&amp;" - "&amp;TEXT(INT($I465/1000)*1000+999,"#,##0")))</f>
        <v>0 - 999</v>
      </c>
      <c r="L465" s="71">
        <v>2</v>
      </c>
      <c r="M465" s="19" t="str">
        <f>IF($C465="","",IF($L465="","-",INDEX(SETUP!$B$36:$B$42,MATCH($L465,SETUP!$A$36:$A$42,1))))</f>
        <v>Under 3k</v>
      </c>
      <c r="N465" s="21">
        <f>IF($C465="","",IF(OR($G465="",$I465=""),"",ROUND(100*(SETUP!$B$4*MIN(1,$I465/SETUP!$B$9)+SETUP!$B$5*MAX(0,MIN(1,($G465-SETUP!$B$10)/(SETUP!$B$11-SETUP!$B$10)))+SETUP!$B$6*MIN(1,IF($L465="",0,$L465)/SETUP!$B$12)),1)))</f>
        <v>19</v>
      </c>
      <c r="O465" s="19" t="str">
        <f>IF($C465="","",IF($N465="","-",INDEX(SETUP!$B$46:$B$51,MATCH($N465,SETUP!$A$46:$A$51,1))))</f>
        <v>D</v>
      </c>
      <c r="P465" s="19">
        <f>IF($C465="","",IF($I465="","",RANK($I465,$I$4:$I$1463)+COUNTIF($I$4:$I465,$I465)-1))</f>
        <v>1324</v>
      </c>
      <c r="Q465" s="19">
        <f>IF($C465="","",COUNTIFS($B$4:$B$1463,$B465,$X$4:$X$1463,"&gt;"&amp;$X465)+COUNTIFS($B$4:$B465,$B465,$X$4:$X465,"="&amp;$X465))</f>
        <v>93</v>
      </c>
      <c r="R465" s="75">
        <f>IF($C465="","",IF($I465="","",ROUND(COUNTIF($I$4:$I$1463,"&lt;"&amp;$I465)/COUNT($I$4:$I$1463),3)))</f>
        <v>1E-3</v>
      </c>
      <c r="S465" s="19" t="str">
        <f>IF($C465="","",IF($G465="","Name only",IF(OR($I465="",$L465=""),"Partial","Complete")))</f>
        <v>Complete</v>
      </c>
      <c r="T465" s="1" t="str">
        <f>IF($C465="","",TRIM(IF(COUNTIF($C$4:$C$1463,$C465)&gt;1,"Dup name; ","")&amp;IF(AND($G465&lt;&gt;"",$G465&lt;55000),"Low CR - verify; ","")&amp;IF(AND($L465&lt;&gt;"",$L465&gt;15),"Secondary - verify; ","")&amp;IF($E465="","No class; ","")))</f>
        <v/>
      </c>
      <c r="U465" s="68"/>
      <c r="V465" s="68"/>
      <c r="W465" s="68"/>
      <c r="X465" s="76">
        <f t="shared" si="37"/>
        <v>225</v>
      </c>
      <c r="Y465" s="1" t="str">
        <f t="shared" si="38"/>
        <v>VENDETTA|93</v>
      </c>
      <c r="Z465" s="19">
        <f>IF($C465="","",IF($G465="","",RANK($G465,$G$4:$G$1463)+COUNTIF($G$4:$G465,$G465)-1))</f>
        <v>1199</v>
      </c>
      <c r="AA465" s="19">
        <f>IF($C465="","",IF($N465="","",RANK($N465,$N$4:$N$1463)+COUNTIF($N$4:$N465,$N465)-1))</f>
        <v>1296</v>
      </c>
      <c r="AB465" s="1" t="str">
        <f>IF($C465="","",IF($E465="","",$E465&amp;"#"&amp;(COUNTIFS($E$4:$E$1463,$E465,$X$4:$X$1463,"&gt;"&amp;$X465)+COUNTIFS($E$4:$E465,$E465,$X$4:$X465,"="&amp;$X465))))</f>
        <v>WARLOCK#326</v>
      </c>
      <c r="AC465" s="1" t="str">
        <f>IF($C465="","",$B465&amp;"@"&amp;(COUNTIFS($B$4:$B$1463,$B465,$C$4:$C$1463,"&lt;"&amp;$C465)+COUNTIFS($B$4:$B465,$B465,$C$4:$C465,$C465)))</f>
        <v>VENDETTA@37</v>
      </c>
      <c r="AD465" s="1">
        <f t="shared" si="39"/>
        <v>462</v>
      </c>
      <c r="AE465" s="1" t="s">
        <v>1366</v>
      </c>
      <c r="AF465" s="76">
        <f t="shared" si="40"/>
        <v>60574</v>
      </c>
      <c r="AG465" s="77">
        <f t="shared" si="41"/>
        <v>2</v>
      </c>
      <c r="AH465" s="1" t="str">
        <f>IF($C465="","",$B465&amp;"|"&amp;(COUNTIFS($B$4:$B$1463,$B465,$AF$4:$AF$1463,"&gt;"&amp;$AF465)+COUNTIFS($B$4:$B465,$B465,$AF$4:$AF465,"="&amp;$AF465)))</f>
        <v>VENDETTA|80</v>
      </c>
      <c r="AI465" s="1" t="str">
        <f>IF($C465="","",$B465&amp;"|"&amp;(COUNTIFS($B$4:$B$1463,$B465,$AG$4:$AG$1463,"&gt;"&amp;$AG465)+COUNTIFS($B$4:$B465,$B465,$AG$4:$AG465,"="&amp;$AG465)))</f>
        <v>VENDETTA|93</v>
      </c>
    </row>
    <row r="466" spans="1:35" hidden="1">
      <c r="A466" s="69" t="s">
        <v>109</v>
      </c>
      <c r="B466" s="69" t="s">
        <v>118</v>
      </c>
      <c r="C466" s="63" t="s">
        <v>1367</v>
      </c>
      <c r="D466" s="69"/>
      <c r="E466" s="68" t="s">
        <v>79</v>
      </c>
      <c r="F466" s="15" t="str">
        <f>IF($C466="","",IF($E466="","-",IFERROR(INDEX(SETUP!$B$55:$B$64,MATCH($E466,SETUP!$A$55:$A$64,0)),"Other")))</f>
        <v>Control</v>
      </c>
      <c r="G466" s="70">
        <v>61290</v>
      </c>
      <c r="H466" s="15" t="str">
        <f>IF($C466="","",IF($G466="","-",INDEX(SETUP!$B$26:$B$32,MATCH($G466,SETUP!$A$26:$A$32,1))))</f>
        <v>61,000 - 61,999</v>
      </c>
      <c r="I466" s="70">
        <v>885</v>
      </c>
      <c r="J466" s="15" t="str">
        <f>IF($C466="","",IF($I466="","-",INDEX(SETUP!$B$16:$B$22,MATCH($I466,SETUP!$A$16:$A$22,1))))</f>
        <v>ROOKIE</v>
      </c>
      <c r="K466" s="15" t="str">
        <f>IF($C466="","",IF($I466="","-",TEXT(INT($I466/1000)*1000,"#,##0")&amp;" - "&amp;TEXT(INT($I466/1000)*1000+999,"#,##0")))</f>
        <v>0 - 999</v>
      </c>
      <c r="L466" s="71">
        <v>2.5</v>
      </c>
      <c r="M466" s="15" t="str">
        <f>IF($C466="","",IF($L466="","-",INDEX(SETUP!$B$36:$B$42,MATCH($L466,SETUP!$A$36:$A$42,1))))</f>
        <v>Under 3k</v>
      </c>
      <c r="N466" s="17">
        <f>IF($C466="","",IF(OR($G466="",$I466=""),"",ROUND(100*(SETUP!$B$4*MIN(1,$I466/SETUP!$B$9)+SETUP!$B$5*MAX(0,MIN(1,($G466-SETUP!$B$10)/(SETUP!$B$11-SETUP!$B$10)))+SETUP!$B$6*MIN(1,IF($L466="",0,$L466)/SETUP!$B$12)),1)))</f>
        <v>24.6</v>
      </c>
      <c r="O466" s="15" t="str">
        <f>IF($C466="","",IF($N466="","-",INDEX(SETUP!$B$46:$B$51,MATCH($N466,SETUP!$A$46:$A$51,1))))</f>
        <v>C</v>
      </c>
      <c r="P466" s="15">
        <f>IF($C466="","",IF($I466="","",RANK($I466,$I$4:$I$1463)+COUNTIF($I$4:$I466,$I466)-1))</f>
        <v>1286</v>
      </c>
      <c r="Q466" s="15">
        <f>IF($C466="","",COUNTIFS($B$4:$B$1463,$B466,$X$4:$X$1463,"&gt;"&amp;$X466)+COUNTIFS($B$4:$B466,$B466,$X$4:$X466,"="&amp;$X466))</f>
        <v>86</v>
      </c>
      <c r="R466" s="72">
        <f>IF($C466="","",IF($I466="","",ROUND(COUNTIF($I$4:$I$1463,"&lt;"&amp;$I466)/COUNT($I$4:$I$1463),3)))</f>
        <v>2.9000000000000001E-2</v>
      </c>
      <c r="S466" s="15" t="str">
        <f>IF($C466="","",IF($G466="","Name only",IF(OR($I466="",$L466=""),"Partial","Complete")))</f>
        <v>Complete</v>
      </c>
      <c r="T466" s="41" t="str">
        <f>IF($C466="","",TRIM(IF(COUNTIF($C$4:$C$1463,$C466)&gt;1,"Dup name; ","")&amp;IF(AND($G466&lt;&gt;"",$G466&lt;55000),"Low CR - verify; ","")&amp;IF(AND($L466&lt;&gt;"",$L466&gt;15),"Secondary - verify; ","")&amp;IF($E466="","No class; ","")))</f>
        <v/>
      </c>
      <c r="U466" s="68"/>
      <c r="V466" s="68"/>
      <c r="W466" s="68"/>
      <c r="X466" s="73">
        <f t="shared" si="37"/>
        <v>885</v>
      </c>
      <c r="Y466" s="41" t="str">
        <f t="shared" si="38"/>
        <v>ZOMBIES|86</v>
      </c>
      <c r="Z466" s="15">
        <f>IF($C466="","",IF($G466="","",RANK($G466,$G$4:$G$1463)+COUNTIF($G$4:$G466,$G466)-1))</f>
        <v>1066</v>
      </c>
      <c r="AA466" s="15">
        <f>IF($C466="","",IF($N466="","",RANK($N466,$N$4:$N$1463)+COUNTIF($N$4:$N466,$N466)-1))</f>
        <v>1251</v>
      </c>
      <c r="AB466" s="41" t="str">
        <f>IF($C466="","",IF($E466="","",$E466&amp;"#"&amp;(COUNTIFS($E$4:$E$1463,$E466,$X$4:$X$1463,"&gt;"&amp;$X466)+COUNTIFS($E$4:$E466,$E466,$X$4:$X466,"="&amp;$X466))))</f>
        <v>WARLOCK#316</v>
      </c>
      <c r="AC466" s="41" t="str">
        <f>IF($C466="","",$B466&amp;"@"&amp;(COUNTIFS($B$4:$B$1463,$B466,$C$4:$C$1463,"&lt;"&amp;$C466)+COUNTIFS($B$4:$B466,$B466,$C$4:$C466,$C466)))</f>
        <v>ZOMBIES@35</v>
      </c>
      <c r="AD466" s="41">
        <f t="shared" si="39"/>
        <v>463</v>
      </c>
      <c r="AE466" s="41" t="s">
        <v>842</v>
      </c>
      <c r="AF466" s="73">
        <f t="shared" si="40"/>
        <v>61290</v>
      </c>
      <c r="AG466" s="74">
        <f t="shared" si="41"/>
        <v>2.5</v>
      </c>
      <c r="AH466" s="41" t="str">
        <f>IF($C466="","",$B466&amp;"|"&amp;(COUNTIFS($B$4:$B$1463,$B466,$AF$4:$AF$1463,"&gt;"&amp;$AF466)+COUNTIFS($B$4:$B466,$B466,$AF$4:$AF466,"="&amp;$AF466)))</f>
        <v>ZOMBIES|45</v>
      </c>
      <c r="AI466" s="41" t="str">
        <f>IF($C466="","",$B466&amp;"|"&amp;(COUNTIFS($B$4:$B$1463,$B466,$AG$4:$AG$1463,"&gt;"&amp;$AG466)+COUNTIFS($B$4:$B466,$B466,$AG$4:$AG466,"="&amp;$AG466)))</f>
        <v>ZOMBIES|94</v>
      </c>
    </row>
    <row r="467" spans="1:35" hidden="1">
      <c r="A467" s="69" t="s">
        <v>109</v>
      </c>
      <c r="B467" s="69" t="s">
        <v>115</v>
      </c>
      <c r="C467" s="63" t="s">
        <v>1368</v>
      </c>
      <c r="D467" s="69"/>
      <c r="E467" s="68" t="s">
        <v>79</v>
      </c>
      <c r="F467" s="19" t="str">
        <f>IF($C467="","",IF($E467="","-",IFERROR(INDEX(SETUP!$B$55:$B$64,MATCH($E467,SETUP!$A$55:$A$64,0)),"Other")))</f>
        <v>Control</v>
      </c>
      <c r="G467" s="70">
        <v>61033</v>
      </c>
      <c r="H467" s="19" t="str">
        <f>IF($C467="","",IF($G467="","-",INDEX(SETUP!$B$26:$B$32,MATCH($G467,SETUP!$A$26:$A$32,1))))</f>
        <v>61,000 - 61,999</v>
      </c>
      <c r="I467" s="70">
        <v>2057</v>
      </c>
      <c r="J467" s="19" t="str">
        <f>IF($C467="","",IF($I467="","-",INDEX(SETUP!$B$16:$B$22,MATCH($I467,SETUP!$A$16:$A$22,1))))</f>
        <v>DEVELOPING</v>
      </c>
      <c r="K467" s="19" t="str">
        <f>IF($C467="","",IF($I467="","-",TEXT(INT($I467/1000)*1000,"#,##0")&amp;" - "&amp;TEXT(INT($I467/1000)*1000+999,"#,##0")))</f>
        <v>2,000 - 2,999</v>
      </c>
      <c r="L467" s="71">
        <v>3.4</v>
      </c>
      <c r="M467" s="19" t="str">
        <f>IF($C467="","",IF($L467="","-",INDEX(SETUP!$B$36:$B$42,MATCH($L467,SETUP!$A$36:$A$42,1))))</f>
        <v>3k - 4k</v>
      </c>
      <c r="N467" s="21">
        <f>IF($C467="","",IF(OR($G467="",$I467=""),"",ROUND(100*(SETUP!$B$4*MIN(1,$I467/SETUP!$B$9)+SETUP!$B$5*MAX(0,MIN(1,($G467-SETUP!$B$10)/(SETUP!$B$11-SETUP!$B$10)))+SETUP!$B$6*MIN(1,IF($L467="",0,$L467)/SETUP!$B$12)),1)))</f>
        <v>30.5</v>
      </c>
      <c r="O467" s="19" t="str">
        <f>IF($C467="","",IF($N467="","-",INDEX(SETUP!$B$46:$B$51,MATCH($N467,SETUP!$A$46:$A$51,1))))</f>
        <v>C</v>
      </c>
      <c r="P467" s="19">
        <f>IF($C467="","",IF($I467="","",RANK($I467,$I$4:$I$1463)+COUNTIF($I$4:$I467,$I467)-1))</f>
        <v>1098</v>
      </c>
      <c r="Q467" s="19">
        <f>IF($C467="","",COUNTIFS($B$4:$B$1463,$B467,$X$4:$X$1463,"&gt;"&amp;$X467)+COUNTIFS($B$4:$B467,$B467,$X$4:$X467,"="&amp;$X467))</f>
        <v>44</v>
      </c>
      <c r="R467" s="75">
        <f>IF($C467="","",IF($I467="","",ROUND(COUNTIF($I$4:$I$1463,"&lt;"&amp;$I467)/COUNT($I$4:$I$1463),3)))</f>
        <v>0.17100000000000001</v>
      </c>
      <c r="S467" s="19" t="str">
        <f>IF($C467="","",IF($G467="","Name only",IF(OR($I467="",$L467=""),"Partial","Complete")))</f>
        <v>Complete</v>
      </c>
      <c r="T467" s="1" t="str">
        <f>IF($C467="","",TRIM(IF(COUNTIF($C$4:$C$1463,$C467)&gt;1,"Dup name; ","")&amp;IF(AND($G467&lt;&gt;"",$G467&lt;55000),"Low CR - verify; ","")&amp;IF(AND($L467&lt;&gt;"",$L467&gt;15),"Secondary - verify; ","")&amp;IF($E467="","No class; ","")))</f>
        <v/>
      </c>
      <c r="U467" s="68"/>
      <c r="V467" s="68"/>
      <c r="W467" s="68"/>
      <c r="X467" s="76">
        <f t="shared" si="37"/>
        <v>2057</v>
      </c>
      <c r="Y467" s="1" t="str">
        <f t="shared" si="38"/>
        <v>SUB ROSA|44</v>
      </c>
      <c r="Z467" s="19">
        <f>IF($C467="","",IF($G467="","",RANK($G467,$G$4:$G$1463)+COUNTIF($G$4:$G467,$G467)-1))</f>
        <v>1127</v>
      </c>
      <c r="AA467" s="19">
        <f>IF($C467="","",IF($N467="","",RANK($N467,$N$4:$N$1463)+COUNTIF($N$4:$N467,$N467)-1))</f>
        <v>1133</v>
      </c>
      <c r="AB467" s="1" t="str">
        <f>IF($C467="","",IF($E467="","",$E467&amp;"#"&amp;(COUNTIFS($E$4:$E$1463,$E467,$X$4:$X$1463,"&gt;"&amp;$X467)+COUNTIFS($E$4:$E467,$E467,$X$4:$X467,"="&amp;$X467))))</f>
        <v>WARLOCK#276</v>
      </c>
      <c r="AC467" s="1" t="str">
        <f>IF($C467="","",$B467&amp;"@"&amp;(COUNTIFS($B$4:$B$1463,$B467,$C$4:$C$1463,"&lt;"&amp;$C467)+COUNTIFS($B$4:$B467,$B467,$C$4:$C467,$C467)))</f>
        <v>SUB ROSA@28</v>
      </c>
      <c r="AD467" s="1">
        <f t="shared" si="39"/>
        <v>464</v>
      </c>
      <c r="AE467" s="1" t="s">
        <v>1327</v>
      </c>
      <c r="AF467" s="76">
        <f t="shared" si="40"/>
        <v>61033</v>
      </c>
      <c r="AG467" s="77">
        <f t="shared" si="41"/>
        <v>3.4</v>
      </c>
      <c r="AH467" s="1" t="str">
        <f>IF($C467="","",$B467&amp;"|"&amp;(COUNTIFS($B$4:$B$1463,$B467,$AF$4:$AF$1463,"&gt;"&amp;$AF467)+COUNTIFS($B$4:$B467,$B467,$AF$4:$AF467,"="&amp;$AF467)))</f>
        <v>SUB ROSA|53</v>
      </c>
      <c r="AI467" s="1" t="str">
        <f>IF($C467="","",$B467&amp;"|"&amp;(COUNTIFS($B$4:$B$1463,$B467,$AG$4:$AG$1463,"&gt;"&amp;$AG467)+COUNTIFS($B$4:$B467,$B467,$AG$4:$AG467,"="&amp;$AG467)))</f>
        <v>SUB ROSA|41</v>
      </c>
    </row>
    <row r="468" spans="1:35" hidden="1">
      <c r="A468" s="69" t="s">
        <v>106</v>
      </c>
      <c r="B468" s="69" t="s">
        <v>105</v>
      </c>
      <c r="C468" s="63" t="s">
        <v>1369</v>
      </c>
      <c r="D468" s="69"/>
      <c r="E468" s="68" t="s">
        <v>79</v>
      </c>
      <c r="F468" s="15" t="str">
        <f>IF($C468="","",IF($E468="","-",IFERROR(INDEX(SETUP!$B$55:$B$64,MATCH($E468,SETUP!$A$55:$A$64,0)),"Other")))</f>
        <v>Control</v>
      </c>
      <c r="G468" s="70">
        <v>63691</v>
      </c>
      <c r="H468" s="15" t="str">
        <f>IF($C468="","",IF($G468="","-",INDEX(SETUP!$B$26:$B$32,MATCH($G468,SETUP!$A$26:$A$32,1))))</f>
        <v>63,000 - 63,999</v>
      </c>
      <c r="I468" s="70">
        <v>8191</v>
      </c>
      <c r="J468" s="15" t="str">
        <f>IF($C468="","",IF($I468="","-",INDEX(SETUP!$B$16:$B$22,MATCH($I468,SETUP!$A$16:$A$22,1))))</f>
        <v>ELITE</v>
      </c>
      <c r="K468" s="15" t="str">
        <f>IF($C468="","",IF($I468="","-",TEXT(INT($I468/1000)*1000,"#,##0")&amp;" - "&amp;TEXT(INT($I468/1000)*1000+999,"#,##0")))</f>
        <v>8,000 - 8,999</v>
      </c>
      <c r="L468" s="71">
        <v>6.17</v>
      </c>
      <c r="M468" s="15" t="str">
        <f>IF($C468="","",IF($L468="","-",INDEX(SETUP!$B$36:$B$42,MATCH($L468,SETUP!$A$36:$A$42,1))))</f>
        <v>6k - 8k</v>
      </c>
      <c r="N468" s="17">
        <f>IF($C468="","",IF(OR($G468="",$I468=""),"",ROUND(100*(SETUP!$B$4*MIN(1,$I468/SETUP!$B$9)+SETUP!$B$5*MAX(0,MIN(1,($G468-SETUP!$B$10)/(SETUP!$B$11-SETUP!$B$10)))+SETUP!$B$6*MIN(1,IF($L468="",0,$L468)/SETUP!$B$12)),1)))</f>
        <v>68.900000000000006</v>
      </c>
      <c r="O468" s="15" t="str">
        <f>IF($C468="","",IF($N468="","-",INDEX(SETUP!$B$46:$B$51,MATCH($N468,SETUP!$A$46:$A$51,1))))</f>
        <v>S</v>
      </c>
      <c r="P468" s="15">
        <f>IF($C468="","",IF($I468="","",RANK($I468,$I$4:$I$1463)+COUNTIF($I$4:$I468,$I468)-1))</f>
        <v>137</v>
      </c>
      <c r="Q468" s="15">
        <f>IF($C468="","",COUNTIFS($B$4:$B$1463,$B468,$X$4:$X$1463,"&gt;"&amp;$X468)+COUNTIFS($B$4:$B468,$B468,$X$4:$X468,"="&amp;$X468))</f>
        <v>11</v>
      </c>
      <c r="R468" s="72">
        <f>IF($C468="","",IF($I468="","",ROUND(COUNTIF($I$4:$I$1463,"&lt;"&amp;$I468)/COUNT($I$4:$I$1463),3)))</f>
        <v>0.89700000000000002</v>
      </c>
      <c r="S468" s="15" t="str">
        <f>IF($C468="","",IF($G468="","Name only",IF(OR($I468="",$L468=""),"Partial","Complete")))</f>
        <v>Complete</v>
      </c>
      <c r="T468" s="41" t="str">
        <f>IF($C468="","",TRIM(IF(COUNTIF($C$4:$C$1463,$C468)&gt;1,"Dup name; ","")&amp;IF(AND($G468&lt;&gt;"",$G468&lt;55000),"Low CR - verify; ","")&amp;IF(AND($L468&lt;&gt;"",$L468&gt;15),"Secondary - verify; ","")&amp;IF($E468="","No class; ","")))</f>
        <v/>
      </c>
      <c r="U468" s="68"/>
      <c r="V468" s="68"/>
      <c r="W468" s="68"/>
      <c r="X468" s="73">
        <f t="shared" si="37"/>
        <v>8191</v>
      </c>
      <c r="Y468" s="41" t="str">
        <f t="shared" si="38"/>
        <v>LEGENDS|11</v>
      </c>
      <c r="Z468" s="15">
        <f>IF($C468="","",IF($G468="","",RANK($G468,$G$4:$G$1463)+COUNTIF($G$4:$G468,$G468)-1))</f>
        <v>140</v>
      </c>
      <c r="AA468" s="15">
        <f>IF($C468="","",IF($N468="","",RANK($N468,$N$4:$N$1463)+COUNTIF($N$4:$N468,$N468)-1))</f>
        <v>137</v>
      </c>
      <c r="AB468" s="41" t="str">
        <f>IF($C468="","",IF($E468="","",$E468&amp;"#"&amp;(COUNTIFS($E$4:$E$1463,$E468,$X$4:$X$1463,"&gt;"&amp;$X468)+COUNTIFS($E$4:$E468,$E468,$X$4:$X468,"="&amp;$X468))))</f>
        <v>WARLOCK#31</v>
      </c>
      <c r="AC468" s="41" t="str">
        <f>IF($C468="","",$B468&amp;"@"&amp;(COUNTIFS($B$4:$B$1463,$B468,$C$4:$C$1463,"&lt;"&amp;$C468)+COUNTIFS($B$4:$B468,$B468,$C$4:$C468,$C468)))</f>
        <v>LEGENDS@46</v>
      </c>
      <c r="AD468" s="41">
        <f t="shared" si="39"/>
        <v>465</v>
      </c>
      <c r="AE468" s="41" t="s">
        <v>1370</v>
      </c>
      <c r="AF468" s="73">
        <f t="shared" si="40"/>
        <v>63691</v>
      </c>
      <c r="AG468" s="74">
        <f t="shared" si="41"/>
        <v>6.17</v>
      </c>
      <c r="AH468" s="41" t="str">
        <f>IF($C468="","",$B468&amp;"|"&amp;(COUNTIFS($B$4:$B$1463,$B468,$AF$4:$AF$1463,"&gt;"&amp;$AF468)+COUNTIFS($B$4:$B468,$B468,$AF$4:$AF468,"="&amp;$AF468)))</f>
        <v>LEGENDS|13</v>
      </c>
      <c r="AI468" s="41" t="str">
        <f>IF($C468="","",$B468&amp;"|"&amp;(COUNTIFS($B$4:$B$1463,$B468,$AG$4:$AG$1463,"&gt;"&amp;$AG468)+COUNTIFS($B$4:$B468,$B468,$AG$4:$AG468,"="&amp;$AG468)))</f>
        <v>LEGENDS|15</v>
      </c>
    </row>
    <row r="469" spans="1:35" hidden="1">
      <c r="A469" s="69" t="s">
        <v>109</v>
      </c>
      <c r="B469" s="69" t="s">
        <v>113</v>
      </c>
      <c r="C469" s="63" t="s">
        <v>1371</v>
      </c>
      <c r="D469" s="69" t="s">
        <v>548</v>
      </c>
      <c r="E469" s="68" t="s">
        <v>73</v>
      </c>
      <c r="F469" s="19" t="str">
        <f>IF($C469="","",IF($E469="","-",IFERROR(INDEX(SETUP!$B$55:$B$64,MATCH($E469,SETUP!$A$55:$A$64,0)),"Other")))</f>
        <v>Frontline</v>
      </c>
      <c r="G469" s="70">
        <v>62553</v>
      </c>
      <c r="H469" s="19" t="str">
        <f>IF($C469="","",IF($G469="","-",INDEX(SETUP!$B$26:$B$32,MATCH($G469,SETUP!$A$26:$A$32,1))))</f>
        <v>62,000 - 62,999</v>
      </c>
      <c r="I469" s="70">
        <v>2409</v>
      </c>
      <c r="J469" s="19" t="str">
        <f>IF($C469="","",IF($I469="","-",INDEX(SETUP!$B$16:$B$22,MATCH($I469,SETUP!$A$16:$A$22,1))))</f>
        <v>DEVELOPING</v>
      </c>
      <c r="K469" s="19" t="str">
        <f>IF($C469="","",IF($I469="","-",TEXT(INT($I469/1000)*1000,"#,##0")&amp;" - "&amp;TEXT(INT($I469/1000)*1000+999,"#,##0")))</f>
        <v>2,000 - 2,999</v>
      </c>
      <c r="L469" s="71">
        <v>3.65</v>
      </c>
      <c r="M469" s="19" t="str">
        <f>IF($C469="","",IF($L469="","-",INDEX(SETUP!$B$36:$B$42,MATCH($L469,SETUP!$A$36:$A$42,1))))</f>
        <v>3k - 4k</v>
      </c>
      <c r="N469" s="21">
        <f>IF($C469="","",IF(OR($G469="",$I469=""),"",ROUND(100*(SETUP!$B$4*MIN(1,$I469/SETUP!$B$9)+SETUP!$B$5*MAX(0,MIN(1,($G469-SETUP!$B$10)/(SETUP!$B$11-SETUP!$B$10)))+SETUP!$B$6*MIN(1,IF($L469="",0,$L469)/SETUP!$B$12)),1)))</f>
        <v>36.5</v>
      </c>
      <c r="O469" s="19" t="str">
        <f>IF($C469="","",IF($N469="","-",INDEX(SETUP!$B$46:$B$51,MATCH($N469,SETUP!$A$46:$A$51,1))))</f>
        <v>B</v>
      </c>
      <c r="P469" s="19">
        <f>IF($C469="","",IF($I469="","",RANK($I469,$I$4:$I$1463)+COUNTIF($I$4:$I469,$I469)-1))</f>
        <v>1027</v>
      </c>
      <c r="Q469" s="19">
        <f>IF($C469="","",COUNTIFS($B$4:$B$1463,$B469,$X$4:$X$1463,"&gt;"&amp;$X469)+COUNTIFS($B$4:$B469,$B469,$X$4:$X469,"="&amp;$X469))</f>
        <v>71</v>
      </c>
      <c r="R469" s="75">
        <f>IF($C469="","",IF($I469="","",ROUND(COUNTIF($I$4:$I$1463,"&lt;"&amp;$I469)/COUNT($I$4:$I$1463),3)))</f>
        <v>0.22500000000000001</v>
      </c>
      <c r="S469" s="19" t="str">
        <f>IF($C469="","",IF($G469="","Name only",IF(OR($I469="",$L469=""),"Partial","Complete")))</f>
        <v>Complete</v>
      </c>
      <c r="T469" s="1" t="str">
        <f>IF($C469="","",TRIM(IF(COUNTIF($C$4:$C$1463,$C469)&gt;1,"Dup name; ","")&amp;IF(AND($G469&lt;&gt;"",$G469&lt;55000),"Low CR - verify; ","")&amp;IF(AND($L469&lt;&gt;"",$L469&gt;15),"Secondary - verify; ","")&amp;IF($E469="","No class; ","")))</f>
        <v/>
      </c>
      <c r="U469" s="68"/>
      <c r="V469" s="68"/>
      <c r="W469" s="68"/>
      <c r="X469" s="76">
        <f t="shared" si="37"/>
        <v>2409</v>
      </c>
      <c r="Y469" s="1" t="str">
        <f t="shared" si="38"/>
        <v>INVICTUS|71</v>
      </c>
      <c r="Z469" s="19">
        <f>IF($C469="","",IF($G469="","",RANK($G469,$G$4:$G$1463)+COUNTIF($G$4:$G469,$G469)-1))</f>
        <v>632</v>
      </c>
      <c r="AA469" s="19">
        <f>IF($C469="","",IF($N469="","",RANK($N469,$N$4:$N$1463)+COUNTIF($N$4:$N469,$N469)-1))</f>
        <v>948</v>
      </c>
      <c r="AB469" s="1" t="str">
        <f>IF($C469="","",IF($E469="","",$E469&amp;"#"&amp;(COUNTIFS($E$4:$E$1463,$E469,$X$4:$X$1463,"&gt;"&amp;$X469)+COUNTIFS($E$4:$E469,$E469,$X$4:$X469,"="&amp;$X469))))</f>
        <v>CRUSADER#104</v>
      </c>
      <c r="AC469" s="1" t="str">
        <f>IF($C469="","",$B469&amp;"@"&amp;(COUNTIFS($B$4:$B$1463,$B469,$C$4:$C$1463,"&lt;"&amp;$C469)+COUNTIFS($B$4:$B469,$B469,$C$4:$C469,$C469)))</f>
        <v>INVICTUS@28</v>
      </c>
      <c r="AD469" s="1">
        <f t="shared" si="39"/>
        <v>466</v>
      </c>
      <c r="AE469" s="1" t="s">
        <v>1372</v>
      </c>
      <c r="AF469" s="76">
        <f t="shared" si="40"/>
        <v>62553</v>
      </c>
      <c r="AG469" s="77">
        <f t="shared" si="41"/>
        <v>3.65</v>
      </c>
      <c r="AH469" s="1" t="str">
        <f>IF($C469="","",$B469&amp;"|"&amp;(COUNTIFS($B$4:$B$1463,$B469,$AF$4:$AF$1463,"&gt;"&amp;$AF469)+COUNTIFS($B$4:$B469,$B469,$AF$4:$AF469,"="&amp;$AF469)))</f>
        <v>INVICTUS|37</v>
      </c>
      <c r="AI469" s="1" t="str">
        <f>IF($C469="","",$B469&amp;"|"&amp;(COUNTIFS($B$4:$B$1463,$B469,$AG$4:$AG$1463,"&gt;"&amp;$AG469)+COUNTIFS($B$4:$B469,$B469,$AG$4:$AG469,"="&amp;$AG469)))</f>
        <v>INVICTUS|69</v>
      </c>
    </row>
    <row r="470" spans="1:35" hidden="1">
      <c r="A470" s="69" t="s">
        <v>109</v>
      </c>
      <c r="B470" s="69" t="s">
        <v>115</v>
      </c>
      <c r="C470" s="63" t="s">
        <v>1373</v>
      </c>
      <c r="D470" s="69"/>
      <c r="E470" s="68" t="s">
        <v>77</v>
      </c>
      <c r="F470" s="15" t="str">
        <f>IF($C470="","",IF($E470="","-",IFERROR(INDEX(SETUP!$B$55:$B$64,MATCH($E470,SETUP!$A$55:$A$64,0)),"Other")))</f>
        <v>Control</v>
      </c>
      <c r="G470" s="70">
        <v>62969</v>
      </c>
      <c r="H470" s="15" t="str">
        <f>IF($C470="","",IF($G470="","-",INDEX(SETUP!$B$26:$B$32,MATCH($G470,SETUP!$A$26:$A$32,1))))</f>
        <v>62,000 - 62,999</v>
      </c>
      <c r="I470" s="70">
        <v>3050</v>
      </c>
      <c r="J470" s="15" t="str">
        <f>IF($C470="","",IF($I470="","-",INDEX(SETUP!$B$16:$B$22,MATCH($I470,SETUP!$A$16:$A$22,1))))</f>
        <v>DEVELOPING</v>
      </c>
      <c r="K470" s="15" t="str">
        <f>IF($C470="","",IF($I470="","-",TEXT(INT($I470/1000)*1000,"#,##0")&amp;" - "&amp;TEXT(INT($I470/1000)*1000+999,"#,##0")))</f>
        <v>3,000 - 3,999</v>
      </c>
      <c r="L470" s="71">
        <v>4.5</v>
      </c>
      <c r="M470" s="15" t="str">
        <f>IF($C470="","",IF($L470="","-",INDEX(SETUP!$B$36:$B$42,MATCH($L470,SETUP!$A$36:$A$42,1))))</f>
        <v>4k - 5k</v>
      </c>
      <c r="N470" s="17">
        <f>IF($C470="","",IF(OR($G470="",$I470=""),"",ROUND(100*(SETUP!$B$4*MIN(1,$I470/SETUP!$B$9)+SETUP!$B$5*MAX(0,MIN(1,($G470-SETUP!$B$10)/(SETUP!$B$11-SETUP!$B$10)))+SETUP!$B$6*MIN(1,IF($L470="",0,$L470)/SETUP!$B$12)),1)))</f>
        <v>41.8</v>
      </c>
      <c r="O470" s="15" t="str">
        <f>IF($C470="","",IF($N470="","-",INDEX(SETUP!$B$46:$B$51,MATCH($N470,SETUP!$A$46:$A$51,1))))</f>
        <v>B</v>
      </c>
      <c r="P470" s="15">
        <f>IF($C470="","",IF($I470="","",RANK($I470,$I$4:$I$1463)+COUNTIF($I$4:$I470,$I470)-1))</f>
        <v>860</v>
      </c>
      <c r="Q470" s="15">
        <f>IF($C470="","",COUNTIFS($B$4:$B$1463,$B470,$X$4:$X$1463,"&gt;"&amp;$X470)+COUNTIFS($B$4:$B470,$B470,$X$4:$X470,"="&amp;$X470))</f>
        <v>25</v>
      </c>
      <c r="R470" s="72">
        <f>IF($C470="","",IF($I470="","",ROUND(COUNTIF($I$4:$I$1463,"&lt;"&amp;$I470)/COUNT($I$4:$I$1463),3)))</f>
        <v>0.35</v>
      </c>
      <c r="S470" s="15" t="str">
        <f>IF($C470="","",IF($G470="","Name only",IF(OR($I470="",$L470=""),"Partial","Complete")))</f>
        <v>Complete</v>
      </c>
      <c r="T470" s="41" t="str">
        <f>IF($C470="","",TRIM(IF(COUNTIF($C$4:$C$1463,$C470)&gt;1,"Dup name; ","")&amp;IF(AND($G470&lt;&gt;"",$G470&lt;55000),"Low CR - verify; ","")&amp;IF(AND($L470&lt;&gt;"",$L470&gt;15),"Secondary - verify; ","")&amp;IF($E470="","No class; ","")))</f>
        <v/>
      </c>
      <c r="U470" s="68"/>
      <c r="V470" s="68"/>
      <c r="W470" s="68"/>
      <c r="X470" s="73">
        <f t="shared" si="37"/>
        <v>3050</v>
      </c>
      <c r="Y470" s="41" t="str">
        <f t="shared" si="38"/>
        <v>SUB ROSA|25</v>
      </c>
      <c r="Z470" s="15">
        <f>IF($C470="","",IF($G470="","",RANK($G470,$G$4:$G$1463)+COUNTIF($G$4:$G470,$G470)-1))</f>
        <v>438</v>
      </c>
      <c r="AA470" s="15">
        <f>IF($C470="","",IF($N470="","",RANK($N470,$N$4:$N$1463)+COUNTIF($N$4:$N470,$N470)-1))</f>
        <v>746</v>
      </c>
      <c r="AB470" s="41" t="str">
        <f>IF($C470="","",IF($E470="","",$E470&amp;"#"&amp;(COUNTIFS($E$4:$E$1463,$E470,$X$4:$X$1463,"&gt;"&amp;$X470)+COUNTIFS($E$4:$E470,$E470,$X$4:$X470,"="&amp;$X470))))</f>
        <v>NECROMANCER#45</v>
      </c>
      <c r="AC470" s="41" t="str">
        <f>IF($C470="","",$B470&amp;"@"&amp;(COUNTIFS($B$4:$B$1463,$B470,$C$4:$C$1463,"&lt;"&amp;$C470)+COUNTIFS($B$4:$B470,$B470,$C$4:$C470,$C470)))</f>
        <v>SUB ROSA@29</v>
      </c>
      <c r="AD470" s="41">
        <f t="shared" si="39"/>
        <v>467</v>
      </c>
      <c r="AE470" s="41" t="s">
        <v>630</v>
      </c>
      <c r="AF470" s="73">
        <f t="shared" si="40"/>
        <v>62969</v>
      </c>
      <c r="AG470" s="74">
        <f t="shared" si="41"/>
        <v>4.5</v>
      </c>
      <c r="AH470" s="41" t="str">
        <f>IF($C470="","",$B470&amp;"|"&amp;(COUNTIFS($B$4:$B$1463,$B470,$AF$4:$AF$1463,"&gt;"&amp;$AF470)+COUNTIFS($B$4:$B470,$B470,$AF$4:$AF470,"="&amp;$AF470)))</f>
        <v>SUB ROSA|12</v>
      </c>
      <c r="AI470" s="41" t="str">
        <f>IF($C470="","",$B470&amp;"|"&amp;(COUNTIFS($B$4:$B$1463,$B470,$AG$4:$AG$1463,"&gt;"&amp;$AG470)+COUNTIFS($B$4:$B470,$B470,$AG$4:$AG470,"="&amp;$AG470)))</f>
        <v>SUB ROSA|18</v>
      </c>
    </row>
    <row r="471" spans="1:35" hidden="1">
      <c r="A471" s="69" t="s">
        <v>109</v>
      </c>
      <c r="B471" s="69" t="s">
        <v>111</v>
      </c>
      <c r="C471" s="63" t="s">
        <v>1374</v>
      </c>
      <c r="D471" s="69" t="s">
        <v>527</v>
      </c>
      <c r="E471" s="68" t="s">
        <v>79</v>
      </c>
      <c r="F471" s="19" t="str">
        <f>IF($C471="","",IF($E471="","-",IFERROR(INDEX(SETUP!$B$55:$B$64,MATCH($E471,SETUP!$A$55:$A$64,0)),"Other")))</f>
        <v>Control</v>
      </c>
      <c r="G471" s="70">
        <v>62767</v>
      </c>
      <c r="H471" s="19" t="str">
        <f>IF($C471="","",IF($G471="","-",INDEX(SETUP!$B$26:$B$32,MATCH($G471,SETUP!$A$26:$A$32,1))))</f>
        <v>62,000 - 62,999</v>
      </c>
      <c r="I471" s="70">
        <v>2480</v>
      </c>
      <c r="J471" s="19" t="str">
        <f>IF($C471="","",IF($I471="","-",INDEX(SETUP!$B$16:$B$22,MATCH($I471,SETUP!$A$16:$A$22,1))))</f>
        <v>DEVELOPING</v>
      </c>
      <c r="K471" s="19" t="str">
        <f>IF($C471="","",IF($I471="","-",TEXT(INT($I471/1000)*1000,"#,##0")&amp;" - "&amp;TEXT(INT($I471/1000)*1000+999,"#,##0")))</f>
        <v>2,000 - 2,999</v>
      </c>
      <c r="L471" s="71">
        <v>4.5999999999999996</v>
      </c>
      <c r="M471" s="19" t="str">
        <f>IF($C471="","",IF($L471="","-",INDEX(SETUP!$B$36:$B$42,MATCH($L471,SETUP!$A$36:$A$42,1))))</f>
        <v>4k - 5k</v>
      </c>
      <c r="N471" s="21">
        <f>IF($C471="","",IF(OR($G471="",$I471=""),"",ROUND(100*(SETUP!$B$4*MIN(1,$I471/SETUP!$B$9)+SETUP!$B$5*MAX(0,MIN(1,($G471-SETUP!$B$10)/(SETUP!$B$11-SETUP!$B$10)))+SETUP!$B$6*MIN(1,IF($L471="",0,$L471)/SETUP!$B$12)),1)))</f>
        <v>38.9</v>
      </c>
      <c r="O471" s="19" t="str">
        <f>IF($C471="","",IF($N471="","-",INDEX(SETUP!$B$46:$B$51,MATCH($N471,SETUP!$A$46:$A$51,1))))</f>
        <v>B</v>
      </c>
      <c r="P471" s="19">
        <f>IF($C471="","",IF($I471="","",RANK($I471,$I$4:$I$1463)+COUNTIF($I$4:$I471,$I471)-1))</f>
        <v>1012</v>
      </c>
      <c r="Q471" s="19">
        <f>IF($C471="","",COUNTIFS($B$4:$B$1463,$B471,$X$4:$X$1463,"&gt;"&amp;$X471)+COUNTIFS($B$4:$B471,$B471,$X$4:$X471,"="&amp;$X471))</f>
        <v>92</v>
      </c>
      <c r="R471" s="75">
        <f>IF($C471="","",IF($I471="","",ROUND(COUNTIF($I$4:$I$1463,"&lt;"&amp;$I471)/COUNT($I$4:$I$1463),3)))</f>
        <v>0.23499999999999999</v>
      </c>
      <c r="S471" s="19" t="str">
        <f>IF($C471="","",IF($G471="","Name only",IF(OR($I471="",$L471=""),"Partial","Complete")))</f>
        <v>Complete</v>
      </c>
      <c r="T471" s="1" t="str">
        <f>IF($C471="","",TRIM(IF(COUNTIF($C$4:$C$1463,$C471)&gt;1,"Dup name; ","")&amp;IF(AND($G471&lt;&gt;"",$G471&lt;55000),"Low CR - verify; ","")&amp;IF(AND($L471&lt;&gt;"",$L471&gt;15),"Secondary - verify; ","")&amp;IF($E471="","No class; ","")))</f>
        <v/>
      </c>
      <c r="U471" s="68"/>
      <c r="V471" s="68"/>
      <c r="W471" s="68"/>
      <c r="X471" s="76">
        <f t="shared" si="37"/>
        <v>2480</v>
      </c>
      <c r="Y471" s="1" t="str">
        <f t="shared" si="38"/>
        <v>RECKONING|92</v>
      </c>
      <c r="Z471" s="19">
        <f>IF($C471="","",IF($G471="","",RANK($G471,$G$4:$G$1463)+COUNTIF($G$4:$G471,$G471)-1))</f>
        <v>534</v>
      </c>
      <c r="AA471" s="19">
        <f>IF($C471="","",IF($N471="","",RANK($N471,$N$4:$N$1463)+COUNTIF($N$4:$N471,$N471)-1))</f>
        <v>863</v>
      </c>
      <c r="AB471" s="1" t="str">
        <f>IF($C471="","",IF($E471="","",$E471&amp;"#"&amp;(COUNTIFS($E$4:$E$1463,$E471,$X$4:$X$1463,"&gt;"&amp;$X471)+COUNTIFS($E$4:$E471,$E471,$X$4:$X471,"="&amp;$X471))))</f>
        <v>WARLOCK#252</v>
      </c>
      <c r="AC471" s="1" t="str">
        <f>IF($C471="","",$B471&amp;"@"&amp;(COUNTIFS($B$4:$B$1463,$B471,$C$4:$C$1463,"&lt;"&amp;$C471)+COUNTIFS($B$4:$B471,$B471,$C$4:$C471,$C471)))</f>
        <v>RECKONING@31</v>
      </c>
      <c r="AD471" s="1">
        <f t="shared" si="39"/>
        <v>468</v>
      </c>
      <c r="AE471" s="1" t="s">
        <v>1375</v>
      </c>
      <c r="AF471" s="76">
        <f t="shared" si="40"/>
        <v>62767</v>
      </c>
      <c r="AG471" s="77">
        <f t="shared" si="41"/>
        <v>4.5999999999999996</v>
      </c>
      <c r="AH471" s="1" t="str">
        <f>IF($C471="","",$B471&amp;"|"&amp;(COUNTIFS($B$4:$B$1463,$B471,$AF$4:$AF$1463,"&gt;"&amp;$AF471)+COUNTIFS($B$4:$B471,$B471,$AF$4:$AF471,"="&amp;$AF471)))</f>
        <v>RECKONING|52</v>
      </c>
      <c r="AI471" s="1" t="str">
        <f>IF($C471="","",$B471&amp;"|"&amp;(COUNTIFS($B$4:$B$1463,$B471,$AG$4:$AG$1463,"&gt;"&amp;$AG471)+COUNTIFS($B$4:$B471,$B471,$AG$4:$AG471,"="&amp;$AG471)))</f>
        <v>RECKONING|78</v>
      </c>
    </row>
    <row r="472" spans="1:35" hidden="1">
      <c r="A472" s="69" t="s">
        <v>109</v>
      </c>
      <c r="B472" s="69" t="s">
        <v>114</v>
      </c>
      <c r="C472" s="63" t="s">
        <v>1376</v>
      </c>
      <c r="D472" s="69"/>
      <c r="E472" s="68" t="s">
        <v>77</v>
      </c>
      <c r="F472" s="15" t="str">
        <f>IF($C472="","",IF($E472="","-",IFERROR(INDEX(SETUP!$B$55:$B$64,MATCH($E472,SETUP!$A$55:$A$64,0)),"Other")))</f>
        <v>Control</v>
      </c>
      <c r="G472" s="70">
        <v>60996</v>
      </c>
      <c r="H472" s="15" t="str">
        <f>IF($C472="","",IF($G472="","-",INDEX(SETUP!$B$26:$B$32,MATCH($G472,SETUP!$A$26:$A$32,1))))</f>
        <v>60,000 - 60,999</v>
      </c>
      <c r="I472" s="70">
        <v>1960</v>
      </c>
      <c r="J472" s="15" t="str">
        <f>IF($C472="","",IF($I472="","-",INDEX(SETUP!$B$16:$B$22,MATCH($I472,SETUP!$A$16:$A$22,1))))</f>
        <v>ROOKIE</v>
      </c>
      <c r="K472" s="15" t="str">
        <f>IF($C472="","",IF($I472="","-",TEXT(INT($I472/1000)*1000,"#,##0")&amp;" - "&amp;TEXT(INT($I472/1000)*1000+999,"#,##0")))</f>
        <v>1,000 - 1,999</v>
      </c>
      <c r="L472" s="71">
        <v>2.7</v>
      </c>
      <c r="M472" s="15" t="str">
        <f>IF($C472="","",IF($L472="","-",INDEX(SETUP!$B$36:$B$42,MATCH($L472,SETUP!$A$36:$A$42,1))))</f>
        <v>Under 3k</v>
      </c>
      <c r="N472" s="17">
        <f>IF($C472="","",IF(OR($G472="",$I472=""),"",ROUND(100*(SETUP!$B$4*MIN(1,$I472/SETUP!$B$9)+SETUP!$B$5*MAX(0,MIN(1,($G472-SETUP!$B$10)/(SETUP!$B$11-SETUP!$B$10)))+SETUP!$B$6*MIN(1,IF($L472="",0,$L472)/SETUP!$B$12)),1)))</f>
        <v>28.8</v>
      </c>
      <c r="O472" s="15" t="str">
        <f>IF($C472="","",IF($N472="","-",INDEX(SETUP!$B$46:$B$51,MATCH($N472,SETUP!$A$46:$A$51,1))))</f>
        <v>C</v>
      </c>
      <c r="P472" s="15">
        <f>IF($C472="","",IF($I472="","",RANK($I472,$I$4:$I$1463)+COUNTIF($I$4:$I472,$I472)-1))</f>
        <v>1125</v>
      </c>
      <c r="Q472" s="15">
        <f>IF($C472="","",COUNTIFS($B$4:$B$1463,$B472,$X$4:$X$1463,"&gt;"&amp;$X472)+COUNTIFS($B$4:$B472,$B472,$X$4:$X472,"="&amp;$X472))</f>
        <v>57</v>
      </c>
      <c r="R472" s="72">
        <f>IF($C472="","",IF($I472="","",ROUND(COUNTIF($I$4:$I$1463,"&lt;"&amp;$I472)/COUNT($I$4:$I$1463),3)))</f>
        <v>0.15</v>
      </c>
      <c r="S472" s="15" t="str">
        <f>IF($C472="","",IF($G472="","Name only",IF(OR($I472="",$L472=""),"Partial","Complete")))</f>
        <v>Complete</v>
      </c>
      <c r="T472" s="41" t="str">
        <f>IF($C472="","",TRIM(IF(COUNTIF($C$4:$C$1463,$C472)&gt;1,"Dup name; ","")&amp;IF(AND($G472&lt;&gt;"",$G472&lt;55000),"Low CR - verify; ","")&amp;IF(AND($L472&lt;&gt;"",$L472&gt;15),"Secondary - verify; ","")&amp;IF($E472="","No class; ","")))</f>
        <v/>
      </c>
      <c r="U472" s="68"/>
      <c r="V472" s="68"/>
      <c r="W472" s="68"/>
      <c r="X472" s="73">
        <f t="shared" si="37"/>
        <v>1960</v>
      </c>
      <c r="Y472" s="41" t="str">
        <f t="shared" si="38"/>
        <v>EMERALD LEAF TRIBE|57</v>
      </c>
      <c r="Z472" s="15">
        <f>IF($C472="","",IF($G472="","",RANK($G472,$G$4:$G$1463)+COUNTIF($G$4:$G472,$G472)-1))</f>
        <v>1132</v>
      </c>
      <c r="AA472" s="15">
        <f>IF($C472="","",IF($N472="","",RANK($N472,$N$4:$N$1463)+COUNTIF($N$4:$N472,$N472)-1))</f>
        <v>1175</v>
      </c>
      <c r="AB472" s="41" t="str">
        <f>IF($C472="","",IF($E472="","",$E472&amp;"#"&amp;(COUNTIFS($E$4:$E$1463,$E472,$X$4:$X$1463,"&gt;"&amp;$X472)+COUNTIFS($E$4:$E472,$E472,$X$4:$X472,"="&amp;$X472))))</f>
        <v>NECROMANCER#77</v>
      </c>
      <c r="AC472" s="41" t="str">
        <f>IF($C472="","",$B472&amp;"@"&amp;(COUNTIFS($B$4:$B$1463,$B472,$C$4:$C$1463,"&lt;"&amp;$C472)+COUNTIFS($B$4:$B472,$B472,$C$4:$C472,$C472)))</f>
        <v>EMERALD LEAF TRIBE@32</v>
      </c>
      <c r="AD472" s="41">
        <f t="shared" si="39"/>
        <v>469</v>
      </c>
      <c r="AE472" s="41" t="s">
        <v>1377</v>
      </c>
      <c r="AF472" s="73">
        <f t="shared" si="40"/>
        <v>60996</v>
      </c>
      <c r="AG472" s="74">
        <f t="shared" si="41"/>
        <v>2.7</v>
      </c>
      <c r="AH472" s="41" t="str">
        <f>IF($C472="","",$B472&amp;"|"&amp;(COUNTIFS($B$4:$B$1463,$B472,$AF$4:$AF$1463,"&gt;"&amp;$AF472)+COUNTIFS($B$4:$B472,$B472,$AF$4:$AF472,"="&amp;$AF472)))</f>
        <v>EMERALD LEAF TRIBE|57</v>
      </c>
      <c r="AI472" s="41" t="str">
        <f>IF($C472="","",$B472&amp;"|"&amp;(COUNTIFS($B$4:$B$1463,$B472,$AG$4:$AG$1463,"&gt;"&amp;$AG472)+COUNTIFS($B$4:$B472,$B472,$AG$4:$AG472,"="&amp;$AG472)))</f>
        <v>EMERALD LEAF TRIBE|91</v>
      </c>
    </row>
    <row r="473" spans="1:35" hidden="1">
      <c r="A473" s="69" t="s">
        <v>106</v>
      </c>
      <c r="B473" s="69" t="s">
        <v>105</v>
      </c>
      <c r="C473" s="63" t="s">
        <v>1378</v>
      </c>
      <c r="D473" s="69" t="s">
        <v>691</v>
      </c>
      <c r="E473" s="68" t="s">
        <v>80</v>
      </c>
      <c r="F473" s="19" t="str">
        <f>IF($C473="","",IF($E473="","-",IFERROR(INDEX(SETUP!$B$55:$B$64,MATCH($E473,SETUP!$A$55:$A$64,0)),"Other")))</f>
        <v>Ranged DPS</v>
      </c>
      <c r="G473" s="70">
        <v>62147</v>
      </c>
      <c r="H473" s="19" t="str">
        <f>IF($C473="","",IF($G473="","-",INDEX(SETUP!$B$26:$B$32,MATCH($G473,SETUP!$A$26:$A$32,1))))</f>
        <v>62,000 - 62,999</v>
      </c>
      <c r="I473" s="70">
        <v>4326</v>
      </c>
      <c r="J473" s="19" t="str">
        <f>IF($C473="","",IF($I473="","-",INDEX(SETUP!$B$16:$B$22,MATCH($I473,SETUP!$A$16:$A$22,1))))</f>
        <v>CORE</v>
      </c>
      <c r="K473" s="19" t="str">
        <f>IF($C473="","",IF($I473="","-",TEXT(INT($I473/1000)*1000,"#,##0")&amp;" - "&amp;TEXT(INT($I473/1000)*1000+999,"#,##0")))</f>
        <v>4,000 - 4,999</v>
      </c>
      <c r="L473" s="71">
        <v>5.3</v>
      </c>
      <c r="M473" s="19" t="str">
        <f>IF($C473="","",IF($L473="","-",INDEX(SETUP!$B$36:$B$42,MATCH($L473,SETUP!$A$36:$A$42,1))))</f>
        <v>5k - 6k</v>
      </c>
      <c r="N473" s="21">
        <f>IF($C473="","",IF(OR($G473="",$I473=""),"",ROUND(100*(SETUP!$B$4*MIN(1,$I473/SETUP!$B$9)+SETUP!$B$5*MAX(0,MIN(1,($G473-SETUP!$B$10)/(SETUP!$B$11-SETUP!$B$10)))+SETUP!$B$6*MIN(1,IF($L473="",0,$L473)/SETUP!$B$12)),1)))</f>
        <v>46.5</v>
      </c>
      <c r="O473" s="19" t="str">
        <f>IF($C473="","",IF($N473="","-",INDEX(SETUP!$B$46:$B$51,MATCH($N473,SETUP!$A$46:$A$51,1))))</f>
        <v>B</v>
      </c>
      <c r="P473" s="19">
        <f>IF($C473="","",IF($I473="","",RANK($I473,$I$4:$I$1463)+COUNTIF($I$4:$I473,$I473)-1))</f>
        <v>524</v>
      </c>
      <c r="Q473" s="19">
        <f>IF($C473="","",COUNTIFS($B$4:$B$1463,$B473,$X$4:$X$1463,"&gt;"&amp;$X473)+COUNTIFS($B$4:$B473,$B473,$X$4:$X473,"="&amp;$X473))</f>
        <v>67</v>
      </c>
      <c r="R473" s="75">
        <f>IF($C473="","",IF($I473="","",ROUND(COUNTIF($I$4:$I$1463,"&lt;"&amp;$I473)/COUNT($I$4:$I$1463),3)))</f>
        <v>0.60499999999999998</v>
      </c>
      <c r="S473" s="19" t="str">
        <f>IF($C473="","",IF($G473="","Name only",IF(OR($I473="",$L473=""),"Partial","Complete")))</f>
        <v>Complete</v>
      </c>
      <c r="T473" s="1" t="str">
        <f>IF($C473="","",TRIM(IF(COUNTIF($C$4:$C$1463,$C473)&gt;1,"Dup name; ","")&amp;IF(AND($G473&lt;&gt;"",$G473&lt;55000),"Low CR - verify; ","")&amp;IF(AND($L473&lt;&gt;"",$L473&gt;15),"Secondary - verify; ","")&amp;IF($E473="","No class; ","")))</f>
        <v/>
      </c>
      <c r="U473" s="68"/>
      <c r="V473" s="68"/>
      <c r="W473" s="68"/>
      <c r="X473" s="76">
        <f t="shared" si="37"/>
        <v>4326</v>
      </c>
      <c r="Y473" s="1" t="str">
        <f t="shared" si="38"/>
        <v>LEGENDS|67</v>
      </c>
      <c r="Z473" s="19">
        <f>IF($C473="","",IF($G473="","",RANK($G473,$G$4:$G$1463)+COUNTIF($G$4:$G473,$G473)-1))</f>
        <v>778</v>
      </c>
      <c r="AA473" s="19">
        <f>IF($C473="","",IF($N473="","",RANK($N473,$N$4:$N$1463)+COUNTIF($N$4:$N473,$N473)-1))</f>
        <v>569</v>
      </c>
      <c r="AB473" s="1" t="str">
        <f>IF($C473="","",IF($E473="","",$E473&amp;"#"&amp;(COUNTIFS($E$4:$E$1463,$E473,$X$4:$X$1463,"&gt;"&amp;$X473)+COUNTIFS($E$4:$E473,$E473,$X$4:$X473,"="&amp;$X473))))</f>
        <v>WIZARD#37</v>
      </c>
      <c r="AC473" s="1" t="str">
        <f>IF($C473="","",$B473&amp;"@"&amp;(COUNTIFS($B$4:$B$1463,$B473,$C$4:$C$1463,"&lt;"&amp;$C473)+COUNTIFS($B$4:$B473,$B473,$C$4:$C473,$C473)))</f>
        <v>LEGENDS@47</v>
      </c>
      <c r="AD473" s="1">
        <f t="shared" si="39"/>
        <v>470</v>
      </c>
      <c r="AE473" s="1" t="s">
        <v>1379</v>
      </c>
      <c r="AF473" s="76">
        <f t="shared" si="40"/>
        <v>62147</v>
      </c>
      <c r="AG473" s="77">
        <f t="shared" si="41"/>
        <v>5.3</v>
      </c>
      <c r="AH473" s="1" t="str">
        <f>IF($C473="","",$B473&amp;"|"&amp;(COUNTIFS($B$4:$B$1463,$B473,$AF$4:$AF$1463,"&gt;"&amp;$AF473)+COUNTIFS($B$4:$B473,$B473,$AF$4:$AF473,"="&amp;$AF473)))</f>
        <v>LEGENDS|77</v>
      </c>
      <c r="AI473" s="1" t="str">
        <f>IF($C473="","",$B473&amp;"|"&amp;(COUNTIFS($B$4:$B$1463,$B473,$AG$4:$AG$1463,"&gt;"&amp;$AG473)+COUNTIFS($B$4:$B473,$B473,$AG$4:$AG473,"="&amp;$AG473)))</f>
        <v>LEGENDS|51</v>
      </c>
    </row>
    <row r="474" spans="1:35" hidden="1">
      <c r="A474" s="69" t="s">
        <v>106</v>
      </c>
      <c r="B474" s="69" t="s">
        <v>86</v>
      </c>
      <c r="C474" s="63" t="s">
        <v>1380</v>
      </c>
      <c r="D474" s="69"/>
      <c r="E474" s="68" t="s">
        <v>80</v>
      </c>
      <c r="F474" s="15" t="str">
        <f>IF($C474="","",IF($E474="","-",IFERROR(INDEX(SETUP!$B$55:$B$64,MATCH($E474,SETUP!$A$55:$A$64,0)),"Other")))</f>
        <v>Ranged DPS</v>
      </c>
      <c r="G474" s="70">
        <v>63655</v>
      </c>
      <c r="H474" s="15" t="str">
        <f>IF($C474="","",IF($G474="","-",INDEX(SETUP!$B$26:$B$32,MATCH($G474,SETUP!$A$26:$A$32,1))))</f>
        <v>63,000 - 63,999</v>
      </c>
      <c r="I474" s="70">
        <v>6192</v>
      </c>
      <c r="J474" s="15" t="str">
        <f>IF($C474="","",IF($I474="","-",INDEX(SETUP!$B$16:$B$22,MATCH($I474,SETUP!$A$16:$A$22,1))))</f>
        <v>VETERAN</v>
      </c>
      <c r="K474" s="15" t="str">
        <f>IF($C474="","",IF($I474="","-",TEXT(INT($I474/1000)*1000,"#,##0")&amp;" - "&amp;TEXT(INT($I474/1000)*1000+999,"#,##0")))</f>
        <v>6,000 - 6,999</v>
      </c>
      <c r="L474" s="71">
        <v>5.0999999999999996</v>
      </c>
      <c r="M474" s="15" t="str">
        <f>IF($C474="","",IF($L474="","-",INDEX(SETUP!$B$36:$B$42,MATCH($L474,SETUP!$A$36:$A$42,1))))</f>
        <v>5k - 6k</v>
      </c>
      <c r="N474" s="17">
        <f>IF($C474="","",IF(OR($G474="",$I474=""),"",ROUND(100*(SETUP!$B$4*MIN(1,$I474/SETUP!$B$9)+SETUP!$B$5*MAX(0,MIN(1,($G474-SETUP!$B$10)/(SETUP!$B$11-SETUP!$B$10)))+SETUP!$B$6*MIN(1,IF($L474="",0,$L474)/SETUP!$B$12)),1)))</f>
        <v>58.3</v>
      </c>
      <c r="O474" s="15" t="str">
        <f>IF($C474="","",IF($N474="","-",INDEX(SETUP!$B$46:$B$51,MATCH($N474,SETUP!$A$46:$A$51,1))))</f>
        <v>A</v>
      </c>
      <c r="P474" s="15">
        <f>IF($C474="","",IF($I474="","",RANK($I474,$I$4:$I$1463)+COUNTIF($I$4:$I474,$I474)-1))</f>
        <v>267</v>
      </c>
      <c r="Q474" s="15">
        <f>IF($C474="","",COUNTIFS($B$4:$B$1463,$B474,$X$4:$X$1463,"&gt;"&amp;$X474)+COUNTIFS($B$4:$B474,$B474,$X$4:$X474,"="&amp;$X474))</f>
        <v>55</v>
      </c>
      <c r="R474" s="72">
        <f>IF($C474="","",IF($I474="","",ROUND(COUNTIF($I$4:$I$1463,"&lt;"&amp;$I474)/COUNT($I$4:$I$1463),3)))</f>
        <v>0.79800000000000004</v>
      </c>
      <c r="S474" s="15" t="str">
        <f>IF($C474="","",IF($G474="","Name only",IF(OR($I474="",$L474=""),"Partial","Complete")))</f>
        <v>Complete</v>
      </c>
      <c r="T474" s="41" t="str">
        <f>IF($C474="","",TRIM(IF(COUNTIF($C$4:$C$1463,$C474)&gt;1,"Dup name; ","")&amp;IF(AND($G474&lt;&gt;"",$G474&lt;55000),"Low CR - verify; ","")&amp;IF(AND($L474&lt;&gt;"",$L474&gt;15),"Secondary - verify; ","")&amp;IF($E474="","No class; ","")))</f>
        <v/>
      </c>
      <c r="U474" s="68"/>
      <c r="V474" s="68"/>
      <c r="W474" s="68"/>
      <c r="X474" s="73">
        <f t="shared" si="37"/>
        <v>6192</v>
      </c>
      <c r="Y474" s="41" t="str">
        <f t="shared" si="38"/>
        <v>VANGUARD|55</v>
      </c>
      <c r="Z474" s="15">
        <f>IF($C474="","",IF($G474="","",RANK($G474,$G$4:$G$1463)+COUNTIF($G$4:$G474,$G474)-1))</f>
        <v>147</v>
      </c>
      <c r="AA474" s="15">
        <f>IF($C474="","",IF($N474="","",RANK($N474,$N$4:$N$1463)+COUNTIF($N$4:$N474,$N474)-1))</f>
        <v>257</v>
      </c>
      <c r="AB474" s="41" t="str">
        <f>IF($C474="","",IF($E474="","",$E474&amp;"#"&amp;(COUNTIFS($E$4:$E$1463,$E474,$X$4:$X$1463,"&gt;"&amp;$X474)+COUNTIFS($E$4:$E474,$E474,$X$4:$X474,"="&amp;$X474))))</f>
        <v>WIZARD#20</v>
      </c>
      <c r="AC474" s="41" t="str">
        <f>IF($C474="","",$B474&amp;"@"&amp;(COUNTIFS($B$4:$B$1463,$B474,$C$4:$C$1463,"&lt;"&amp;$C474)+COUNTIFS($B$4:$B474,$B474,$C$4:$C474,$C474)))</f>
        <v>VANGUARD@42</v>
      </c>
      <c r="AD474" s="41">
        <f t="shared" si="39"/>
        <v>471</v>
      </c>
      <c r="AE474" s="41" t="s">
        <v>559</v>
      </c>
      <c r="AF474" s="73">
        <f t="shared" si="40"/>
        <v>63655</v>
      </c>
      <c r="AG474" s="74">
        <f t="shared" si="41"/>
        <v>5.0999999999999996</v>
      </c>
      <c r="AH474" s="41" t="str">
        <f>IF($C474="","",$B474&amp;"|"&amp;(COUNTIFS($B$4:$B$1463,$B474,$AF$4:$AF$1463,"&gt;"&amp;$AF474)+COUNTIFS($B$4:$B474,$B474,$AF$4:$AF474,"="&amp;$AF474)))</f>
        <v>VANGUARD|30</v>
      </c>
      <c r="AI474" s="41" t="str">
        <f>IF($C474="","",$B474&amp;"|"&amp;(COUNTIFS($B$4:$B$1463,$B474,$AG$4:$AG$1463,"&gt;"&amp;$AG474)+COUNTIFS($B$4:$B474,$B474,$AG$4:$AG474,"="&amp;$AG474)))</f>
        <v>VANGUARD|65</v>
      </c>
    </row>
    <row r="475" spans="1:35" hidden="1">
      <c r="A475" s="69" t="s">
        <v>109</v>
      </c>
      <c r="B475" s="69" t="s">
        <v>118</v>
      </c>
      <c r="C475" s="63" t="s">
        <v>1381</v>
      </c>
      <c r="D475" s="69"/>
      <c r="E475" s="68" t="s">
        <v>80</v>
      </c>
      <c r="F475" s="19" t="str">
        <f>IF($C475="","",IF($E475="","-",IFERROR(INDEX(SETUP!$B$55:$B$64,MATCH($E475,SETUP!$A$55:$A$64,0)),"Other")))</f>
        <v>Ranged DPS</v>
      </c>
      <c r="G475" s="70">
        <v>57720</v>
      </c>
      <c r="H475" s="19" t="str">
        <f>IF($C475="","",IF($G475="","-",INDEX(SETUP!$B$26:$B$32,MATCH($G475,SETUP!$A$26:$A$32,1))))</f>
        <v>Under 58,000</v>
      </c>
      <c r="I475" s="70">
        <v>1120</v>
      </c>
      <c r="J475" s="19" t="str">
        <f>IF($C475="","",IF($I475="","-",INDEX(SETUP!$B$16:$B$22,MATCH($I475,SETUP!$A$16:$A$22,1))))</f>
        <v>ROOKIE</v>
      </c>
      <c r="K475" s="19" t="str">
        <f>IF($C475="","",IF($I475="","-",TEXT(INT($I475/1000)*1000,"#,##0")&amp;" - "&amp;TEXT(INT($I475/1000)*1000+999,"#,##0")))</f>
        <v>1,000 - 1,999</v>
      </c>
      <c r="L475" s="71">
        <v>3.2</v>
      </c>
      <c r="M475" s="19" t="str">
        <f>IF($C475="","",IF($L475="","-",INDEX(SETUP!$B$36:$B$42,MATCH($L475,SETUP!$A$36:$A$42,1))))</f>
        <v>3k - 4k</v>
      </c>
      <c r="N475" s="21">
        <f>IF($C475="","",IF(OR($G475="",$I475=""),"",ROUND(100*(SETUP!$B$4*MIN(1,$I475/SETUP!$B$9)+SETUP!$B$5*MAX(0,MIN(1,($G475-SETUP!$B$10)/(SETUP!$B$11-SETUP!$B$10)))+SETUP!$B$6*MIN(1,IF($L475="",0,$L475)/SETUP!$B$12)),1)))</f>
        <v>17.399999999999999</v>
      </c>
      <c r="O475" s="19" t="str">
        <f>IF($C475="","",IF($N475="","-",INDEX(SETUP!$B$46:$B$51,MATCH($N475,SETUP!$A$46:$A$51,1))))</f>
        <v>D</v>
      </c>
      <c r="P475" s="19">
        <f>IF($C475="","",IF($I475="","",RANK($I475,$I$4:$I$1463)+COUNTIF($I$4:$I475,$I475)-1))</f>
        <v>1253</v>
      </c>
      <c r="Q475" s="19">
        <f>IF($C475="","",COUNTIFS($B$4:$B$1463,$B475,$X$4:$X$1463,"&gt;"&amp;$X475)+COUNTIFS($B$4:$B475,$B475,$X$4:$X475,"="&amp;$X475))</f>
        <v>75</v>
      </c>
      <c r="R475" s="75">
        <f>IF($C475="","",IF($I475="","",ROUND(COUNTIF($I$4:$I$1463,"&lt;"&amp;$I475)/COUNT($I$4:$I$1463),3)))</f>
        <v>5.3999999999999999E-2</v>
      </c>
      <c r="S475" s="19" t="str">
        <f>IF($C475="","",IF($G475="","Name only",IF(OR($I475="",$L475=""),"Partial","Complete")))</f>
        <v>Complete</v>
      </c>
      <c r="T475" s="1" t="str">
        <f>IF($C475="","",TRIM(IF(COUNTIF($C$4:$C$1463,$C475)&gt;1,"Dup name; ","")&amp;IF(AND($G475&lt;&gt;"",$G475&lt;55000),"Low CR - verify; ","")&amp;IF(AND($L475&lt;&gt;"",$L475&gt;15),"Secondary - verify; ","")&amp;IF($E475="","No class; ","")))</f>
        <v/>
      </c>
      <c r="U475" s="68"/>
      <c r="V475" s="68"/>
      <c r="W475" s="68"/>
      <c r="X475" s="76">
        <f t="shared" si="37"/>
        <v>1120</v>
      </c>
      <c r="Y475" s="1" t="str">
        <f t="shared" si="38"/>
        <v>ZOMBIES|75</v>
      </c>
      <c r="Z475" s="19">
        <f>IF($C475="","",IF($G475="","",RANK($G475,$G$4:$G$1463)+COUNTIF($G$4:$G475,$G475)-1))</f>
        <v>1302</v>
      </c>
      <c r="AA475" s="19">
        <f>IF($C475="","",IF($N475="","",RANK($N475,$N$4:$N$1463)+COUNTIF($N$4:$N475,$N475)-1))</f>
        <v>1302</v>
      </c>
      <c r="AB475" s="1" t="str">
        <f>IF($C475="","",IF($E475="","",$E475&amp;"#"&amp;(COUNTIFS($E$4:$E$1463,$E475,$X$4:$X$1463,"&gt;"&amp;$X475)+COUNTIFS($E$4:$E475,$E475,$X$4:$X475,"="&amp;$X475))))</f>
        <v>WIZARD#89</v>
      </c>
      <c r="AC475" s="1" t="str">
        <f>IF($C475="","",$B475&amp;"@"&amp;(COUNTIFS($B$4:$B$1463,$B475,$C$4:$C$1463,"&lt;"&amp;$C475)+COUNTIFS($B$4:$B475,$B475,$C$4:$C475,$C475)))</f>
        <v>ZOMBIES@36</v>
      </c>
      <c r="AD475" s="1">
        <f t="shared" si="39"/>
        <v>472</v>
      </c>
      <c r="AE475" s="1" t="s">
        <v>1160</v>
      </c>
      <c r="AF475" s="76">
        <f t="shared" si="40"/>
        <v>57720</v>
      </c>
      <c r="AG475" s="77">
        <f t="shared" si="41"/>
        <v>3.2</v>
      </c>
      <c r="AH475" s="1" t="str">
        <f>IF($C475="","",$B475&amp;"|"&amp;(COUNTIFS($B$4:$B$1463,$B475,$AF$4:$AF$1463,"&gt;"&amp;$AF475)+COUNTIFS($B$4:$B475,$B475,$AF$4:$AF475,"="&amp;$AF475)))</f>
        <v>ZOMBIES|94</v>
      </c>
      <c r="AI475" s="1" t="str">
        <f>IF($C475="","",$B475&amp;"|"&amp;(COUNTIFS($B$4:$B$1463,$B475,$AG$4:$AG$1463,"&gt;"&amp;$AG475)+COUNTIFS($B$4:$B475,$B475,$AG$4:$AG475,"="&amp;$AG475)))</f>
        <v>ZOMBIES|58</v>
      </c>
    </row>
    <row r="476" spans="1:35" hidden="1">
      <c r="A476" s="69" t="s">
        <v>106</v>
      </c>
      <c r="B476" s="69" t="s">
        <v>105</v>
      </c>
      <c r="C476" s="63" t="s">
        <v>1382</v>
      </c>
      <c r="D476" s="69" t="s">
        <v>691</v>
      </c>
      <c r="E476" s="68" t="s">
        <v>79</v>
      </c>
      <c r="F476" s="15" t="str">
        <f>IF($C476="","",IF($E476="","-",IFERROR(INDEX(SETUP!$B$55:$B$64,MATCH($E476,SETUP!$A$55:$A$64,0)),"Other")))</f>
        <v>Control</v>
      </c>
      <c r="G476" s="70">
        <v>63207</v>
      </c>
      <c r="H476" s="15" t="str">
        <f>IF($C476="","",IF($G476="","-",INDEX(SETUP!$B$26:$B$32,MATCH($G476,SETUP!$A$26:$A$32,1))))</f>
        <v>63,000 - 63,999</v>
      </c>
      <c r="I476" s="70">
        <v>4594</v>
      </c>
      <c r="J476" s="15" t="str">
        <f>IF($C476="","",IF($I476="","-",INDEX(SETUP!$B$16:$B$22,MATCH($I476,SETUP!$A$16:$A$22,1))))</f>
        <v>CORE</v>
      </c>
      <c r="K476" s="15" t="str">
        <f>IF($C476="","",IF($I476="","-",TEXT(INT($I476/1000)*1000,"#,##0")&amp;" - "&amp;TEXT(INT($I476/1000)*1000+999,"#,##0")))</f>
        <v>4,000 - 4,999</v>
      </c>
      <c r="L476" s="71">
        <v>5.21</v>
      </c>
      <c r="M476" s="15" t="str">
        <f>IF($C476="","",IF($L476="","-",INDEX(SETUP!$B$36:$B$42,MATCH($L476,SETUP!$A$36:$A$42,1))))</f>
        <v>5k - 6k</v>
      </c>
      <c r="N476" s="17">
        <f>IF($C476="","",IF(OR($G476="",$I476=""),"",ROUND(100*(SETUP!$B$4*MIN(1,$I476/SETUP!$B$9)+SETUP!$B$5*MAX(0,MIN(1,($G476-SETUP!$B$10)/(SETUP!$B$11-SETUP!$B$10)))+SETUP!$B$6*MIN(1,IF($L476="",0,$L476)/SETUP!$B$12)),1)))</f>
        <v>50.3</v>
      </c>
      <c r="O476" s="15" t="str">
        <f>IF($C476="","",IF($N476="","-",INDEX(SETUP!$B$46:$B$51,MATCH($N476,SETUP!$A$46:$A$51,1))))</f>
        <v>A</v>
      </c>
      <c r="P476" s="15">
        <f>IF($C476="","",IF($I476="","",RANK($I476,$I$4:$I$1463)+COUNTIF($I$4:$I476,$I476)-1))</f>
        <v>475</v>
      </c>
      <c r="Q476" s="15">
        <f>IF($C476="","",COUNTIFS($B$4:$B$1463,$B476,$X$4:$X$1463,"&gt;"&amp;$X476)+COUNTIFS($B$4:$B476,$B476,$X$4:$X476,"="&amp;$X476))</f>
        <v>60</v>
      </c>
      <c r="R476" s="72">
        <f>IF($C476="","",IF($I476="","",ROUND(COUNTIF($I$4:$I$1463,"&lt;"&amp;$I476)/COUNT($I$4:$I$1463),3)))</f>
        <v>0.64200000000000002</v>
      </c>
      <c r="S476" s="15" t="str">
        <f>IF($C476="","",IF($G476="","Name only",IF(OR($I476="",$L476=""),"Partial","Complete")))</f>
        <v>Complete</v>
      </c>
      <c r="T476" s="41" t="str">
        <f>IF($C476="","",TRIM(IF(COUNTIF($C$4:$C$1463,$C476)&gt;1,"Dup name; ","")&amp;IF(AND($G476&lt;&gt;"",$G476&lt;55000),"Low CR - verify; ","")&amp;IF(AND($L476&lt;&gt;"",$L476&gt;15),"Secondary - verify; ","")&amp;IF($E476="","No class; ","")))</f>
        <v/>
      </c>
      <c r="U476" s="68"/>
      <c r="V476" s="68"/>
      <c r="W476" s="68"/>
      <c r="X476" s="73">
        <f t="shared" si="37"/>
        <v>4594</v>
      </c>
      <c r="Y476" s="41" t="str">
        <f t="shared" si="38"/>
        <v>LEGENDS|60</v>
      </c>
      <c r="Z476" s="15">
        <f>IF($C476="","",IF($G476="","",RANK($G476,$G$4:$G$1463)+COUNTIF($G$4:$G476,$G476)-1))</f>
        <v>313</v>
      </c>
      <c r="AA476" s="15">
        <f>IF($C476="","",IF($N476="","",RANK($N476,$N$4:$N$1463)+COUNTIF($N$4:$N476,$N476)-1))</f>
        <v>449</v>
      </c>
      <c r="AB476" s="41" t="str">
        <f>IF($C476="","",IF($E476="","",$E476&amp;"#"&amp;(COUNTIFS($E$4:$E$1463,$E476,$X$4:$X$1463,"&gt;"&amp;$X476)+COUNTIFS($E$4:$E476,$E476,$X$4:$X476,"="&amp;$X476))))</f>
        <v>WARLOCK#110</v>
      </c>
      <c r="AC476" s="41" t="str">
        <f>IF($C476="","",$B476&amp;"@"&amp;(COUNTIFS($B$4:$B$1463,$B476,$C$4:$C$1463,"&lt;"&amp;$C476)+COUNTIFS($B$4:$B476,$B476,$C$4:$C476,$C476)))</f>
        <v>LEGENDS@48</v>
      </c>
      <c r="AD476" s="41">
        <f t="shared" si="39"/>
        <v>473</v>
      </c>
      <c r="AE476" s="41" t="s">
        <v>1383</v>
      </c>
      <c r="AF476" s="73">
        <f t="shared" si="40"/>
        <v>63207</v>
      </c>
      <c r="AG476" s="74">
        <f t="shared" si="41"/>
        <v>5.21</v>
      </c>
      <c r="AH476" s="41" t="str">
        <f>IF($C476="","",$B476&amp;"|"&amp;(COUNTIFS($B$4:$B$1463,$B476,$AF$4:$AF$1463,"&gt;"&amp;$AF476)+COUNTIFS($B$4:$B476,$B476,$AF$4:$AF476,"="&amp;$AF476)))</f>
        <v>LEGENDS|42</v>
      </c>
      <c r="AI476" s="41" t="str">
        <f>IF($C476="","",$B476&amp;"|"&amp;(COUNTIFS($B$4:$B$1463,$B476,$AG$4:$AG$1463,"&gt;"&amp;$AG476)+COUNTIFS($B$4:$B476,$B476,$AG$4:$AG476,"="&amp;$AG476)))</f>
        <v>LEGENDS|55</v>
      </c>
    </row>
    <row r="477" spans="1:35" hidden="1">
      <c r="A477" s="69" t="s">
        <v>109</v>
      </c>
      <c r="B477" s="69" t="s">
        <v>115</v>
      </c>
      <c r="C477" s="63" t="s">
        <v>1384</v>
      </c>
      <c r="D477" s="69"/>
      <c r="E477" s="68" t="s">
        <v>76</v>
      </c>
      <c r="F477" s="19" t="str">
        <f>IF($C477="","",IF($E477="","-",IFERROR(INDEX(SETUP!$B$55:$B$64,MATCH($E477,SETUP!$A$55:$A$64,0)),"Other")))</f>
        <v>Support</v>
      </c>
      <c r="G477" s="70">
        <v>59706</v>
      </c>
      <c r="H477" s="19" t="str">
        <f>IF($C477="","",IF($G477="","-",INDEX(SETUP!$B$26:$B$32,MATCH($G477,SETUP!$A$26:$A$32,1))))</f>
        <v>58,000 - 59,999</v>
      </c>
      <c r="I477" s="70">
        <v>2857</v>
      </c>
      <c r="J477" s="19" t="str">
        <f>IF($C477="","",IF($I477="","-",INDEX(SETUP!$B$16:$B$22,MATCH($I477,SETUP!$A$16:$A$22,1))))</f>
        <v>DEVELOPING</v>
      </c>
      <c r="K477" s="19" t="str">
        <f>IF($C477="","",IF($I477="","-",TEXT(INT($I477/1000)*1000,"#,##0")&amp;" - "&amp;TEXT(INT($I477/1000)*1000+999,"#,##0")))</f>
        <v>2,000 - 2,999</v>
      </c>
      <c r="L477" s="71">
        <v>3.4</v>
      </c>
      <c r="M477" s="19" t="str">
        <f>IF($C477="","",IF($L477="","-",INDEX(SETUP!$B$36:$B$42,MATCH($L477,SETUP!$A$36:$A$42,1))))</f>
        <v>3k - 4k</v>
      </c>
      <c r="N477" s="21">
        <f>IF($C477="","",IF(OR($G477="",$I477=""),"",ROUND(100*(SETUP!$B$4*MIN(1,$I477/SETUP!$B$9)+SETUP!$B$5*MAX(0,MIN(1,($G477-SETUP!$B$10)/(SETUP!$B$11-SETUP!$B$10)))+SETUP!$B$6*MIN(1,IF($L477="",0,$L477)/SETUP!$B$12)),1)))</f>
        <v>30.5</v>
      </c>
      <c r="O477" s="19" t="str">
        <f>IF($C477="","",IF($N477="","-",INDEX(SETUP!$B$46:$B$51,MATCH($N477,SETUP!$A$46:$A$51,1))))</f>
        <v>C</v>
      </c>
      <c r="P477" s="19">
        <f>IF($C477="","",IF($I477="","",RANK($I477,$I$4:$I$1463)+COUNTIF($I$4:$I477,$I477)-1))</f>
        <v>920</v>
      </c>
      <c r="Q477" s="19">
        <f>IF($C477="","",COUNTIFS($B$4:$B$1463,$B477,$X$4:$X$1463,"&gt;"&amp;$X477)+COUNTIFS($B$4:$B477,$B477,$X$4:$X477,"="&amp;$X477))</f>
        <v>27</v>
      </c>
      <c r="R477" s="75">
        <f>IF($C477="","",IF($I477="","",ROUND(COUNTIF($I$4:$I$1463,"&lt;"&amp;$I477)/COUNT($I$4:$I$1463),3)))</f>
        <v>0.30599999999999999</v>
      </c>
      <c r="S477" s="19" t="str">
        <f>IF($C477="","",IF($G477="","Name only",IF(OR($I477="",$L477=""),"Partial","Complete")))</f>
        <v>Complete</v>
      </c>
      <c r="T477" s="1" t="str">
        <f>IF($C477="","",TRIM(IF(COUNTIF($C$4:$C$1463,$C477)&gt;1,"Dup name; ","")&amp;IF(AND($G477&lt;&gt;"",$G477&lt;55000),"Low CR - verify; ","")&amp;IF(AND($L477&lt;&gt;"",$L477&gt;15),"Secondary - verify; ","")&amp;IF($E477="","No class; ","")))</f>
        <v/>
      </c>
      <c r="U477" s="68"/>
      <c r="V477" s="68"/>
      <c r="W477" s="68"/>
      <c r="X477" s="76">
        <f t="shared" si="37"/>
        <v>2857</v>
      </c>
      <c r="Y477" s="1" t="str">
        <f t="shared" si="38"/>
        <v>SUB ROSA|27</v>
      </c>
      <c r="Z477" s="19">
        <f>IF($C477="","",IF($G477="","",RANK($G477,$G$4:$G$1463)+COUNTIF($G$4:$G477,$G477)-1))</f>
        <v>1255</v>
      </c>
      <c r="AA477" s="19">
        <f>IF($C477="","",IF($N477="","",RANK($N477,$N$4:$N$1463)+COUNTIF($N$4:$N477,$N477)-1))</f>
        <v>1134</v>
      </c>
      <c r="AB477" s="1" t="str">
        <f>IF($C477="","",IF($E477="","",$E477&amp;"#"&amp;(COUNTIFS($E$4:$E$1463,$E477,$X$4:$X$1463,"&gt;"&amp;$X477)+COUNTIFS($E$4:$E477,$E477,$X$4:$X477,"="&amp;$X477))))</f>
        <v>MONK#33</v>
      </c>
      <c r="AC477" s="1" t="str">
        <f>IF($C477="","",$B477&amp;"@"&amp;(COUNTIFS($B$4:$B$1463,$B477,$C$4:$C$1463,"&lt;"&amp;$C477)+COUNTIFS($B$4:$B477,$B477,$C$4:$C477,$C477)))</f>
        <v>SUB ROSA@30</v>
      </c>
      <c r="AD477" s="1">
        <f t="shared" si="39"/>
        <v>474</v>
      </c>
      <c r="AE477" s="1" t="s">
        <v>1327</v>
      </c>
      <c r="AF477" s="76">
        <f t="shared" si="40"/>
        <v>59706</v>
      </c>
      <c r="AG477" s="77">
        <f t="shared" si="41"/>
        <v>3.4</v>
      </c>
      <c r="AH477" s="1" t="str">
        <f>IF($C477="","",$B477&amp;"|"&amp;(COUNTIFS($B$4:$B$1463,$B477,$AF$4:$AF$1463,"&gt;"&amp;$AF477)+COUNTIFS($B$4:$B477,$B477,$AF$4:$AF477,"="&amp;$AF477)))</f>
        <v>SUB ROSA|59</v>
      </c>
      <c r="AI477" s="1" t="str">
        <f>IF($C477="","",$B477&amp;"|"&amp;(COUNTIFS($B$4:$B$1463,$B477,$AG$4:$AG$1463,"&gt;"&amp;$AG477)+COUNTIFS($B$4:$B477,$B477,$AG$4:$AG477,"="&amp;$AG477)))</f>
        <v>SUB ROSA|42</v>
      </c>
    </row>
    <row r="478" spans="1:35" hidden="1">
      <c r="A478" s="69" t="s">
        <v>109</v>
      </c>
      <c r="B478" s="69" t="s">
        <v>117</v>
      </c>
      <c r="C478" s="63" t="s">
        <v>1385</v>
      </c>
      <c r="D478" s="69"/>
      <c r="E478" s="68" t="s">
        <v>72</v>
      </c>
      <c r="F478" s="15" t="str">
        <f>IF($C478="","",IF($E478="","-",IFERROR(INDEX(SETUP!$B$55:$B$64,MATCH($E478,SETUP!$A$55:$A$64,0)),"Other")))</f>
        <v>Frontline</v>
      </c>
      <c r="G478" s="70">
        <v>62563</v>
      </c>
      <c r="H478" s="15" t="str">
        <f>IF($C478="","",IF($G478="","-",INDEX(SETUP!$B$26:$B$32,MATCH($G478,SETUP!$A$26:$A$32,1))))</f>
        <v>62,000 - 62,999</v>
      </c>
      <c r="I478" s="70">
        <v>1983</v>
      </c>
      <c r="J478" s="15" t="str">
        <f>IF($C478="","",IF($I478="","-",INDEX(SETUP!$B$16:$B$22,MATCH($I478,SETUP!$A$16:$A$22,1))))</f>
        <v>ROOKIE</v>
      </c>
      <c r="K478" s="15" t="str">
        <f>IF($C478="","",IF($I478="","-",TEXT(INT($I478/1000)*1000,"#,##0")&amp;" - "&amp;TEXT(INT($I478/1000)*1000+999,"#,##0")))</f>
        <v>1,000 - 1,999</v>
      </c>
      <c r="L478" s="71">
        <v>4</v>
      </c>
      <c r="M478" s="15" t="str">
        <f>IF($C478="","",IF($L478="","-",INDEX(SETUP!$B$36:$B$42,MATCH($L478,SETUP!$A$36:$A$42,1))))</f>
        <v>4k - 5k</v>
      </c>
      <c r="N478" s="17">
        <f>IF($C478="","",IF(OR($G478="",$I478=""),"",ROUND(100*(SETUP!$B$4*MIN(1,$I478/SETUP!$B$9)+SETUP!$B$5*MAX(0,MIN(1,($G478-SETUP!$B$10)/(SETUP!$B$11-SETUP!$B$10)))+SETUP!$B$6*MIN(1,IF($L478="",0,$L478)/SETUP!$B$12)),1)))</f>
        <v>35.200000000000003</v>
      </c>
      <c r="O478" s="15" t="str">
        <f>IF($C478="","",IF($N478="","-",INDEX(SETUP!$B$46:$B$51,MATCH($N478,SETUP!$A$46:$A$51,1))))</f>
        <v>B</v>
      </c>
      <c r="P478" s="15">
        <f>IF($C478="","",IF($I478="","",RANK($I478,$I$4:$I$1463)+COUNTIF($I$4:$I478,$I478)-1))</f>
        <v>1120</v>
      </c>
      <c r="Q478" s="15">
        <f>IF($C478="","",COUNTIFS($B$4:$B$1463,$B478,$X$4:$X$1463,"&gt;"&amp;$X478)+COUNTIFS($B$4:$B478,$B478,$X$4:$X478,"="&amp;$X478))</f>
        <v>49</v>
      </c>
      <c r="R478" s="72">
        <f>IF($C478="","",IF($I478="","",ROUND(COUNTIF($I$4:$I$1463,"&lt;"&amp;$I478)/COUNT($I$4:$I$1463),3)))</f>
        <v>0.155</v>
      </c>
      <c r="S478" s="15" t="str">
        <f>IF($C478="","",IF($G478="","Name only",IF(OR($I478="",$L478=""),"Partial","Complete")))</f>
        <v>Complete</v>
      </c>
      <c r="T478" s="41" t="str">
        <f>IF($C478="","",TRIM(IF(COUNTIF($C$4:$C$1463,$C478)&gt;1,"Dup name; ","")&amp;IF(AND($G478&lt;&gt;"",$G478&lt;55000),"Low CR - verify; ","")&amp;IF(AND($L478&lt;&gt;"",$L478&gt;15),"Secondary - verify; ","")&amp;IF($E478="","No class; ","")))</f>
        <v/>
      </c>
      <c r="U478" s="68"/>
      <c r="V478" s="68"/>
      <c r="W478" s="68"/>
      <c r="X478" s="73">
        <f t="shared" si="37"/>
        <v>1983</v>
      </c>
      <c r="Y478" s="41" t="str">
        <f t="shared" si="38"/>
        <v>VENDETTA|49</v>
      </c>
      <c r="Z478" s="15">
        <f>IF($C478="","",IF($G478="","",RANK($G478,$G$4:$G$1463)+COUNTIF($G$4:$G478,$G478)-1))</f>
        <v>628</v>
      </c>
      <c r="AA478" s="15">
        <f>IF($C478="","",IF($N478="","",RANK($N478,$N$4:$N$1463)+COUNTIF($N$4:$N478,$N478)-1))</f>
        <v>1000</v>
      </c>
      <c r="AB478" s="41" t="str">
        <f>IF($C478="","",IF($E478="","",$E478&amp;"#"&amp;(COUNTIFS($E$4:$E$1463,$E478,$X$4:$X$1463,"&gt;"&amp;$X478)+COUNTIFS($E$4:$E478,$E478,$X$4:$X478,"="&amp;$X478))))</f>
        <v>BLOOD KNIGHT#76</v>
      </c>
      <c r="AC478" s="41" t="str">
        <f>IF($C478="","",$B478&amp;"@"&amp;(COUNTIFS($B$4:$B$1463,$B478,$C$4:$C$1463,"&lt;"&amp;$C478)+COUNTIFS($B$4:$B478,$B478,$C$4:$C478,$C478)))</f>
        <v>VENDETTA@38</v>
      </c>
      <c r="AD478" s="41">
        <f t="shared" si="39"/>
        <v>475</v>
      </c>
      <c r="AE478" s="41" t="s">
        <v>851</v>
      </c>
      <c r="AF478" s="73">
        <f t="shared" si="40"/>
        <v>62563</v>
      </c>
      <c r="AG478" s="74">
        <f t="shared" si="41"/>
        <v>4</v>
      </c>
      <c r="AH478" s="41" t="str">
        <f>IF($C478="","",$B478&amp;"|"&amp;(COUNTIFS($B$4:$B$1463,$B478,$AF$4:$AF$1463,"&gt;"&amp;$AF478)+COUNTIFS($B$4:$B478,$B478,$AF$4:$AF478,"="&amp;$AF478)))</f>
        <v>VENDETTA|13</v>
      </c>
      <c r="AI478" s="41" t="str">
        <f>IF($C478="","",$B478&amp;"|"&amp;(COUNTIFS($B$4:$B$1463,$B478,$AG$4:$AG$1463,"&gt;"&amp;$AG478)+COUNTIFS($B$4:$B478,$B478,$AG$4:$AG478,"="&amp;$AG478)))</f>
        <v>VENDETTA|38</v>
      </c>
    </row>
    <row r="479" spans="1:35" hidden="1">
      <c r="A479" s="69" t="s">
        <v>109</v>
      </c>
      <c r="B479" s="69" t="s">
        <v>110</v>
      </c>
      <c r="C479" s="63" t="s">
        <v>1386</v>
      </c>
      <c r="D479" s="69"/>
      <c r="E479" s="68" t="s">
        <v>73</v>
      </c>
      <c r="F479" s="19" t="str">
        <f>IF($C479="","",IF($E479="","-",IFERROR(INDEX(SETUP!$B$55:$B$64,MATCH($E479,SETUP!$A$55:$A$64,0)),"Other")))</f>
        <v>Frontline</v>
      </c>
      <c r="G479" s="70">
        <v>62666</v>
      </c>
      <c r="H479" s="19" t="str">
        <f>IF($C479="","",IF($G479="","-",INDEX(SETUP!$B$26:$B$32,MATCH($G479,SETUP!$A$26:$A$32,1))))</f>
        <v>62,000 - 62,999</v>
      </c>
      <c r="I479" s="70">
        <v>2130</v>
      </c>
      <c r="J479" s="19" t="str">
        <f>IF($C479="","",IF($I479="","-",INDEX(SETUP!$B$16:$B$22,MATCH($I479,SETUP!$A$16:$A$22,1))))</f>
        <v>DEVELOPING</v>
      </c>
      <c r="K479" s="19" t="str">
        <f>IF($C479="","",IF($I479="","-",TEXT(INT($I479/1000)*1000,"#,##0")&amp;" - "&amp;TEXT(INT($I479/1000)*1000+999,"#,##0")))</f>
        <v>2,000 - 2,999</v>
      </c>
      <c r="L479" s="71">
        <v>3.9</v>
      </c>
      <c r="M479" s="19" t="str">
        <f>IF($C479="","",IF($L479="","-",INDEX(SETUP!$B$36:$B$42,MATCH($L479,SETUP!$A$36:$A$42,1))))</f>
        <v>3k - 4k</v>
      </c>
      <c r="N479" s="21">
        <f>IF($C479="","",IF(OR($G479="",$I479=""),"",ROUND(100*(SETUP!$B$4*MIN(1,$I479/SETUP!$B$9)+SETUP!$B$5*MAX(0,MIN(1,($G479-SETUP!$B$10)/(SETUP!$B$11-SETUP!$B$10)))+SETUP!$B$6*MIN(1,IF($L479="",0,$L479)/SETUP!$B$12)),1)))</f>
        <v>36</v>
      </c>
      <c r="O479" s="19" t="str">
        <f>IF($C479="","",IF($N479="","-",INDEX(SETUP!$B$46:$B$51,MATCH($N479,SETUP!$A$46:$A$51,1))))</f>
        <v>B</v>
      </c>
      <c r="P479" s="19">
        <f>IF($C479="","",IF($I479="","",RANK($I479,$I$4:$I$1463)+COUNTIF($I$4:$I479,$I479)-1))</f>
        <v>1081</v>
      </c>
      <c r="Q479" s="19">
        <f>IF($C479="","",COUNTIFS($B$4:$B$1463,$B479,$X$4:$X$1463,"&gt;"&amp;$X479)+COUNTIFS($B$4:$B479,$B479,$X$4:$X479,"="&amp;$X479))</f>
        <v>100</v>
      </c>
      <c r="R479" s="75">
        <f>IF($C479="","",IF($I479="","",ROUND(COUNTIF($I$4:$I$1463,"&lt;"&amp;$I479)/COUNT($I$4:$I$1463),3)))</f>
        <v>0.184</v>
      </c>
      <c r="S479" s="19" t="str">
        <f>IF($C479="","",IF($G479="","Name only",IF(OR($I479="",$L479=""),"Partial","Complete")))</f>
        <v>Complete</v>
      </c>
      <c r="T479" s="1" t="str">
        <f>IF($C479="","",TRIM(IF(COUNTIF($C$4:$C$1463,$C479)&gt;1,"Dup name; ","")&amp;IF(AND($G479&lt;&gt;"",$G479&lt;55000),"Low CR - verify; ","")&amp;IF(AND($L479&lt;&gt;"",$L479&gt;15),"Secondary - verify; ","")&amp;IF($E479="","No class; ","")))</f>
        <v/>
      </c>
      <c r="U479" s="68"/>
      <c r="V479" s="68"/>
      <c r="W479" s="68"/>
      <c r="X479" s="76">
        <f t="shared" si="37"/>
        <v>2130</v>
      </c>
      <c r="Y479" s="1" t="str">
        <f t="shared" si="38"/>
        <v>AZUKI|100</v>
      </c>
      <c r="Z479" s="19">
        <f>IF($C479="","",IF($G479="","",RANK($G479,$G$4:$G$1463)+COUNTIF($G$4:$G479,$G479)-1))</f>
        <v>580</v>
      </c>
      <c r="AA479" s="19">
        <f>IF($C479="","",IF($N479="","",RANK($N479,$N$4:$N$1463)+COUNTIF($N$4:$N479,$N479)-1))</f>
        <v>964</v>
      </c>
      <c r="AB479" s="1" t="str">
        <f>IF($C479="","",IF($E479="","",$E479&amp;"#"&amp;(COUNTIFS($E$4:$E$1463,$E479,$X$4:$X$1463,"&gt;"&amp;$X479)+COUNTIFS($E$4:$E479,$E479,$X$4:$X479,"="&amp;$X479))))</f>
        <v>CRUSADER#106</v>
      </c>
      <c r="AC479" s="1" t="str">
        <f>IF($C479="","",$B479&amp;"@"&amp;(COUNTIFS($B$4:$B$1463,$B479,$C$4:$C$1463,"&lt;"&amp;$C479)+COUNTIFS($B$4:$B479,$B479,$C$4:$C479,$C479)))</f>
        <v>AZUKI@44</v>
      </c>
      <c r="AD479" s="1">
        <f t="shared" si="39"/>
        <v>476</v>
      </c>
      <c r="AE479" s="1" t="s">
        <v>1387</v>
      </c>
      <c r="AF479" s="76">
        <f t="shared" si="40"/>
        <v>62666</v>
      </c>
      <c r="AG479" s="77">
        <f t="shared" si="41"/>
        <v>3.9</v>
      </c>
      <c r="AH479" s="1" t="str">
        <f>IF($C479="","",$B479&amp;"|"&amp;(COUNTIFS($B$4:$B$1463,$B479,$AF$4:$AF$1463,"&gt;"&amp;$AF479)+COUNTIFS($B$4:$B479,$B479,$AF$4:$AF479,"="&amp;$AF479)))</f>
        <v>AZUKI|52</v>
      </c>
      <c r="AI479" s="1" t="str">
        <f>IF($C479="","",$B479&amp;"|"&amp;(COUNTIFS($B$4:$B$1463,$B479,$AG$4:$AG$1463,"&gt;"&amp;$AG479)+COUNTIFS($B$4:$B479,$B479,$AG$4:$AG479,"="&amp;$AG479)))</f>
        <v>AZUKI|96</v>
      </c>
    </row>
    <row r="480" spans="1:35" hidden="1">
      <c r="A480" s="69" t="s">
        <v>109</v>
      </c>
      <c r="B480" s="69" t="s">
        <v>110</v>
      </c>
      <c r="C480" s="63" t="s">
        <v>1388</v>
      </c>
      <c r="D480" s="69"/>
      <c r="E480" s="68" t="s">
        <v>74</v>
      </c>
      <c r="F480" s="15" t="str">
        <f>IF($C480="","",IF($E480="","-",IFERROR(INDEX(SETUP!$B$55:$B$64,MATCH($E480,SETUP!$A$55:$A$64,0)),"Other")))</f>
        <v>Ranged DPS</v>
      </c>
      <c r="G480" s="70">
        <v>63908</v>
      </c>
      <c r="H480" s="15" t="str">
        <f>IF($C480="","",IF($G480="","-",INDEX(SETUP!$B$26:$B$32,MATCH($G480,SETUP!$A$26:$A$32,1))))</f>
        <v>63,000 - 63,999</v>
      </c>
      <c r="I480" s="70">
        <v>7477</v>
      </c>
      <c r="J480" s="15" t="str">
        <f>IF($C480="","",IF($I480="","-",INDEX(SETUP!$B$16:$B$22,MATCH($I480,SETUP!$A$16:$A$22,1))))</f>
        <v>VETERAN</v>
      </c>
      <c r="K480" s="15" t="str">
        <f>IF($C480="","",IF($I480="","-",TEXT(INT($I480/1000)*1000,"#,##0")&amp;" - "&amp;TEXT(INT($I480/1000)*1000+999,"#,##0")))</f>
        <v>7,000 - 7,999</v>
      </c>
      <c r="L480" s="71">
        <v>5.5</v>
      </c>
      <c r="M480" s="15" t="str">
        <f>IF($C480="","",IF($L480="","-",INDEX(SETUP!$B$36:$B$42,MATCH($L480,SETUP!$A$36:$A$42,1))))</f>
        <v>5k - 6k</v>
      </c>
      <c r="N480" s="17">
        <f>IF($C480="","",IF(OR($G480="",$I480=""),"",ROUND(100*(SETUP!$B$4*MIN(1,$I480/SETUP!$B$9)+SETUP!$B$5*MAX(0,MIN(1,($G480-SETUP!$B$10)/(SETUP!$B$11-SETUP!$B$10)))+SETUP!$B$6*MIN(1,IF($L480="",0,$L480)/SETUP!$B$12)),1)))</f>
        <v>65.2</v>
      </c>
      <c r="O480" s="15" t="str">
        <f>IF($C480="","",IF($N480="","-",INDEX(SETUP!$B$46:$B$51,MATCH($N480,SETUP!$A$46:$A$51,1))))</f>
        <v>S</v>
      </c>
      <c r="P480" s="15">
        <f>IF($C480="","",IF($I480="","",RANK($I480,$I$4:$I$1463)+COUNTIF($I$4:$I480,$I480)-1))</f>
        <v>171</v>
      </c>
      <c r="Q480" s="15">
        <f>IF($C480="","",COUNTIFS($B$4:$B$1463,$B480,$X$4:$X$1463,"&gt;"&amp;$X480)+COUNTIFS($B$4:$B480,$B480,$X$4:$X480,"="&amp;$X480))</f>
        <v>27</v>
      </c>
      <c r="R480" s="72">
        <f>IF($C480="","",IF($I480="","",ROUND(COUNTIF($I$4:$I$1463,"&lt;"&amp;$I480)/COUNT($I$4:$I$1463),3)))</f>
        <v>0.871</v>
      </c>
      <c r="S480" s="15" t="str">
        <f>IF($C480="","",IF($G480="","Name only",IF(OR($I480="",$L480=""),"Partial","Complete")))</f>
        <v>Complete</v>
      </c>
      <c r="T480" s="41" t="str">
        <f>IF($C480="","",TRIM(IF(COUNTIF($C$4:$C$1463,$C480)&gt;1,"Dup name; ","")&amp;IF(AND($G480&lt;&gt;"",$G480&lt;55000),"Low CR - verify; ","")&amp;IF(AND($L480&lt;&gt;"",$L480&gt;15),"Secondary - verify; ","")&amp;IF($E480="","No class; ","")))</f>
        <v/>
      </c>
      <c r="U480" s="68"/>
      <c r="V480" s="68"/>
      <c r="W480" s="68"/>
      <c r="X480" s="73">
        <f t="shared" si="37"/>
        <v>7477</v>
      </c>
      <c r="Y480" s="41" t="str">
        <f t="shared" si="38"/>
        <v>AZUKI|27</v>
      </c>
      <c r="Z480" s="15">
        <f>IF($C480="","",IF($G480="","",RANK($G480,$G$4:$G$1463)+COUNTIF($G$4:$G480,$G480)-1))</f>
        <v>94</v>
      </c>
      <c r="AA480" s="15">
        <f>IF($C480="","",IF($N480="","",RANK($N480,$N$4:$N$1463)+COUNTIF($N$4:$N480,$N480)-1))</f>
        <v>174</v>
      </c>
      <c r="AB480" s="41" t="str">
        <f>IF($C480="","",IF($E480="","",$E480&amp;"#"&amp;(COUNTIFS($E$4:$E$1463,$E480,$X$4:$X$1463,"&gt;"&amp;$X480)+COUNTIFS($E$4:$E480,$E480,$X$4:$X480,"="&amp;$X480))))</f>
        <v>DEMON HUNTER#31</v>
      </c>
      <c r="AC480" s="41" t="str">
        <f>IF($C480="","",$B480&amp;"@"&amp;(COUNTIFS($B$4:$B$1463,$B480,$C$4:$C$1463,"&lt;"&amp;$C480)+COUNTIFS($B$4:$B480,$B480,$C$4:$C480,$C480)))</f>
        <v>AZUKI@45</v>
      </c>
      <c r="AD480" s="41">
        <f t="shared" si="39"/>
        <v>477</v>
      </c>
      <c r="AE480" s="41" t="s">
        <v>1389</v>
      </c>
      <c r="AF480" s="73">
        <f t="shared" si="40"/>
        <v>63908</v>
      </c>
      <c r="AG480" s="74">
        <f t="shared" si="41"/>
        <v>5.5</v>
      </c>
      <c r="AH480" s="41" t="str">
        <f>IF($C480="","",$B480&amp;"|"&amp;(COUNTIFS($B$4:$B$1463,$B480,$AF$4:$AF$1463,"&gt;"&amp;$AF480)+COUNTIFS($B$4:$B480,$B480,$AF$4:$AF480,"="&amp;$AF480)))</f>
        <v>AZUKI|19</v>
      </c>
      <c r="AI480" s="41" t="str">
        <f>IF($C480="","",$B480&amp;"|"&amp;(COUNTIFS($B$4:$B$1463,$B480,$AG$4:$AG$1463,"&gt;"&amp;$AG480)+COUNTIFS($B$4:$B480,$B480,$AG$4:$AG480,"="&amp;$AG480)))</f>
        <v>AZUKI|59</v>
      </c>
    </row>
    <row r="481" spans="1:35" hidden="1">
      <c r="A481" s="69" t="s">
        <v>109</v>
      </c>
      <c r="B481" s="69" t="s">
        <v>111</v>
      </c>
      <c r="C481" s="63" t="s">
        <v>1390</v>
      </c>
      <c r="D481" s="69" t="s">
        <v>527</v>
      </c>
      <c r="E481" s="68" t="s">
        <v>77</v>
      </c>
      <c r="F481" s="19" t="str">
        <f>IF($C481="","",IF($E481="","-",IFERROR(INDEX(SETUP!$B$55:$B$64,MATCH($E481,SETUP!$A$55:$A$64,0)),"Other")))</f>
        <v>Control</v>
      </c>
      <c r="G481" s="70">
        <v>61447</v>
      </c>
      <c r="H481" s="19" t="str">
        <f>IF($C481="","",IF($G481="","-",INDEX(SETUP!$B$26:$B$32,MATCH($G481,SETUP!$A$26:$A$32,1))))</f>
        <v>61,000 - 61,999</v>
      </c>
      <c r="I481" s="70">
        <v>4075</v>
      </c>
      <c r="J481" s="19" t="str">
        <f>IF($C481="","",IF($I481="","-",INDEX(SETUP!$B$16:$B$22,MATCH($I481,SETUP!$A$16:$A$22,1))))</f>
        <v>CORE</v>
      </c>
      <c r="K481" s="19" t="str">
        <f>IF($C481="","",IF($I481="","-",TEXT(INT($I481/1000)*1000,"#,##0")&amp;" - "&amp;TEXT(INT($I481/1000)*1000+999,"#,##0")))</f>
        <v>4,000 - 4,999</v>
      </c>
      <c r="L481" s="71">
        <v>4.0999999999999996</v>
      </c>
      <c r="M481" s="19" t="str">
        <f>IF($C481="","",IF($L481="","-",INDEX(SETUP!$B$36:$B$42,MATCH($L481,SETUP!$A$36:$A$42,1))))</f>
        <v>4k - 5k</v>
      </c>
      <c r="N481" s="21">
        <f>IF($C481="","",IF(OR($G481="",$I481=""),"",ROUND(100*(SETUP!$B$4*MIN(1,$I481/SETUP!$B$9)+SETUP!$B$5*MAX(0,MIN(1,($G481-SETUP!$B$10)/(SETUP!$B$11-SETUP!$B$10)))+SETUP!$B$6*MIN(1,IF($L481="",0,$L481)/SETUP!$B$12)),1)))</f>
        <v>41.6</v>
      </c>
      <c r="O481" s="19" t="str">
        <f>IF($C481="","",IF($N481="","-",INDEX(SETUP!$B$46:$B$51,MATCH($N481,SETUP!$A$46:$A$51,1))))</f>
        <v>B</v>
      </c>
      <c r="P481" s="19">
        <f>IF($C481="","",IF($I481="","",RANK($I481,$I$4:$I$1463)+COUNTIF($I$4:$I481,$I481)-1))</f>
        <v>581</v>
      </c>
      <c r="Q481" s="19">
        <f>IF($C481="","",COUNTIFS($B$4:$B$1463,$B481,$X$4:$X$1463,"&gt;"&amp;$X481)+COUNTIFS($B$4:$B481,$B481,$X$4:$X481,"="&amp;$X481))</f>
        <v>61</v>
      </c>
      <c r="R481" s="75">
        <f>IF($C481="","",IF($I481="","",ROUND(COUNTIF($I$4:$I$1463,"&lt;"&amp;$I481)/COUNT($I$4:$I$1463),3)))</f>
        <v>0.56100000000000005</v>
      </c>
      <c r="S481" s="19" t="str">
        <f>IF($C481="","",IF($G481="","Name only",IF(OR($I481="",$L481=""),"Partial","Complete")))</f>
        <v>Complete</v>
      </c>
      <c r="T481" s="1" t="str">
        <f>IF($C481="","",TRIM(IF(COUNTIF($C$4:$C$1463,$C481)&gt;1,"Dup name; ","")&amp;IF(AND($G481&lt;&gt;"",$G481&lt;55000),"Low CR - verify; ","")&amp;IF(AND($L481&lt;&gt;"",$L481&gt;15),"Secondary - verify; ","")&amp;IF($E481="","No class; ","")))</f>
        <v/>
      </c>
      <c r="U481" s="68"/>
      <c r="V481" s="68"/>
      <c r="W481" s="68"/>
      <c r="X481" s="76">
        <f t="shared" si="37"/>
        <v>4075</v>
      </c>
      <c r="Y481" s="1" t="str">
        <f t="shared" si="38"/>
        <v>RECKONING|61</v>
      </c>
      <c r="Z481" s="19">
        <f>IF($C481="","",IF($G481="","",RANK($G481,$G$4:$G$1463)+COUNTIF($G$4:$G481,$G481)-1))</f>
        <v>1014</v>
      </c>
      <c r="AA481" s="19">
        <f>IF($C481="","",IF($N481="","",RANK($N481,$N$4:$N$1463)+COUNTIF($N$4:$N481,$N481)-1))</f>
        <v>755</v>
      </c>
      <c r="AB481" s="1" t="str">
        <f>IF($C481="","",IF($E481="","",$E481&amp;"#"&amp;(COUNTIFS($E$4:$E$1463,$E481,$X$4:$X$1463,"&gt;"&amp;$X481)+COUNTIFS($E$4:$E481,$E481,$X$4:$X481,"="&amp;$X481))))</f>
        <v>NECROMANCER#27</v>
      </c>
      <c r="AC481" s="1" t="str">
        <f>IF($C481="","",$B481&amp;"@"&amp;(COUNTIFS($B$4:$B$1463,$B481,$C$4:$C$1463,"&lt;"&amp;$C481)+COUNTIFS($B$4:$B481,$B481,$C$4:$C481,$C481)))</f>
        <v>RECKONING@32</v>
      </c>
      <c r="AD481" s="1">
        <f t="shared" si="39"/>
        <v>478</v>
      </c>
      <c r="AE481" s="1" t="s">
        <v>1391</v>
      </c>
      <c r="AF481" s="76">
        <f t="shared" si="40"/>
        <v>61447</v>
      </c>
      <c r="AG481" s="77">
        <f t="shared" si="41"/>
        <v>4.0999999999999996</v>
      </c>
      <c r="AH481" s="1" t="str">
        <f>IF($C481="","",$B481&amp;"|"&amp;(COUNTIFS($B$4:$B$1463,$B481,$AF$4:$AF$1463,"&gt;"&amp;$AF481)+COUNTIFS($B$4:$B481,$B481,$AF$4:$AF481,"="&amp;$AF481)))</f>
        <v>RECKONING|83</v>
      </c>
      <c r="AI481" s="1" t="str">
        <f>IF($C481="","",$B481&amp;"|"&amp;(COUNTIFS($B$4:$B$1463,$B481,$AG$4:$AG$1463,"&gt;"&amp;$AG481)+COUNTIFS($B$4:$B481,$B481,$AG$4:$AG481,"="&amp;$AG481)))</f>
        <v>RECKONING|89</v>
      </c>
    </row>
    <row r="482" spans="1:35" hidden="1">
      <c r="A482" s="69" t="s">
        <v>109</v>
      </c>
      <c r="B482" s="69" t="s">
        <v>115</v>
      </c>
      <c r="C482" s="63" t="s">
        <v>1392</v>
      </c>
      <c r="D482" s="69"/>
      <c r="E482" s="68" t="s">
        <v>80</v>
      </c>
      <c r="F482" s="15" t="str">
        <f>IF($C482="","",IF($E482="","-",IFERROR(INDEX(SETUP!$B$55:$B$64,MATCH($E482,SETUP!$A$55:$A$64,0)),"Other")))</f>
        <v>Ranged DPS</v>
      </c>
      <c r="G482" s="70">
        <v>58798</v>
      </c>
      <c r="H482" s="15" t="str">
        <f>IF($C482="","",IF($G482="","-",INDEX(SETUP!$B$26:$B$32,MATCH($G482,SETUP!$A$26:$A$32,1))))</f>
        <v>58,000 - 59,999</v>
      </c>
      <c r="I482" s="70">
        <v>1240</v>
      </c>
      <c r="J482" s="15" t="str">
        <f>IF($C482="","",IF($I482="","-",INDEX(SETUP!$B$16:$B$22,MATCH($I482,SETUP!$A$16:$A$22,1))))</f>
        <v>ROOKIE</v>
      </c>
      <c r="K482" s="15" t="str">
        <f>IF($C482="","",IF($I482="","-",TEXT(INT($I482/1000)*1000,"#,##0")&amp;" - "&amp;TEXT(INT($I482/1000)*1000+999,"#,##0")))</f>
        <v>1,000 - 1,999</v>
      </c>
      <c r="L482" s="71">
        <v>3.4</v>
      </c>
      <c r="M482" s="15" t="str">
        <f>IF($C482="","",IF($L482="","-",INDEX(SETUP!$B$36:$B$42,MATCH($L482,SETUP!$A$36:$A$42,1))))</f>
        <v>3k - 4k</v>
      </c>
      <c r="N482" s="17">
        <f>IF($C482="","",IF(OR($G482="",$I482=""),"",ROUND(100*(SETUP!$B$4*MIN(1,$I482/SETUP!$B$9)+SETUP!$B$5*MAX(0,MIN(1,($G482-SETUP!$B$10)/(SETUP!$B$11-SETUP!$B$10)))+SETUP!$B$6*MIN(1,IF($L482="",0,$L482)/SETUP!$B$12)),1)))</f>
        <v>21.1</v>
      </c>
      <c r="O482" s="15" t="str">
        <f>IF($C482="","",IF($N482="","-",INDEX(SETUP!$B$46:$B$51,MATCH($N482,SETUP!$A$46:$A$51,1))))</f>
        <v>C</v>
      </c>
      <c r="P482" s="15">
        <f>IF($C482="","",IF($I482="","",RANK($I482,$I$4:$I$1463)+COUNTIF($I$4:$I482,$I482)-1))</f>
        <v>1237</v>
      </c>
      <c r="Q482" s="15">
        <f>IF($C482="","",COUNTIFS($B$4:$B$1463,$B482,$X$4:$X$1463,"&gt;"&amp;$X482)+COUNTIFS($B$4:$B482,$B482,$X$4:$X482,"="&amp;$X482))</f>
        <v>56</v>
      </c>
      <c r="R482" s="72">
        <f>IF($C482="","",IF($I482="","",ROUND(COUNTIF($I$4:$I$1463,"&lt;"&amp;$I482)/COUNT($I$4:$I$1463),3)))</f>
        <v>6.6000000000000003E-2</v>
      </c>
      <c r="S482" s="15" t="str">
        <f>IF($C482="","",IF($G482="","Name only",IF(OR($I482="",$L482=""),"Partial","Complete")))</f>
        <v>Complete</v>
      </c>
      <c r="T482" s="41" t="str">
        <f>IF($C482="","",TRIM(IF(COUNTIF($C$4:$C$1463,$C482)&gt;1,"Dup name; ","")&amp;IF(AND($G482&lt;&gt;"",$G482&lt;55000),"Low CR - verify; ","")&amp;IF(AND($L482&lt;&gt;"",$L482&gt;15),"Secondary - verify; ","")&amp;IF($E482="","No class; ","")))</f>
        <v/>
      </c>
      <c r="U482" s="68"/>
      <c r="V482" s="68"/>
      <c r="W482" s="68"/>
      <c r="X482" s="73">
        <f t="shared" si="37"/>
        <v>1240</v>
      </c>
      <c r="Y482" s="41" t="str">
        <f t="shared" si="38"/>
        <v>SUB ROSA|56</v>
      </c>
      <c r="Z482" s="15">
        <f>IF($C482="","",IF($G482="","",RANK($G482,$G$4:$G$1463)+COUNTIF($G$4:$G482,$G482)-1))</f>
        <v>1280</v>
      </c>
      <c r="AA482" s="15">
        <f>IF($C482="","",IF($N482="","",RANK($N482,$N$4:$N$1463)+COUNTIF($N$4:$N482,$N482)-1))</f>
        <v>1285</v>
      </c>
      <c r="AB482" s="41" t="str">
        <f>IF($C482="","",IF($E482="","",$E482&amp;"#"&amp;(COUNTIFS($E$4:$E$1463,$E482,$X$4:$X$1463,"&gt;"&amp;$X482)+COUNTIFS($E$4:$E482,$E482,$X$4:$X482,"="&amp;$X482))))</f>
        <v>WIZARD#88</v>
      </c>
      <c r="AC482" s="41" t="str">
        <f>IF($C482="","",$B482&amp;"@"&amp;(COUNTIFS($B$4:$B$1463,$B482,$C$4:$C$1463,"&lt;"&amp;$C482)+COUNTIFS($B$4:$B482,$B482,$C$4:$C482,$C482)))</f>
        <v>SUB ROSA@31</v>
      </c>
      <c r="AD482" s="41">
        <f t="shared" si="39"/>
        <v>479</v>
      </c>
      <c r="AE482" s="41" t="s">
        <v>1327</v>
      </c>
      <c r="AF482" s="73">
        <f t="shared" si="40"/>
        <v>58798</v>
      </c>
      <c r="AG482" s="74">
        <f t="shared" si="41"/>
        <v>3.4</v>
      </c>
      <c r="AH482" s="41" t="str">
        <f>IF($C482="","",$B482&amp;"|"&amp;(COUNTIFS($B$4:$B$1463,$B482,$AF$4:$AF$1463,"&gt;"&amp;$AF482)+COUNTIFS($B$4:$B482,$B482,$AF$4:$AF482,"="&amp;$AF482)))</f>
        <v>SUB ROSA|64</v>
      </c>
      <c r="AI482" s="41" t="str">
        <f>IF($C482="","",$B482&amp;"|"&amp;(COUNTIFS($B$4:$B$1463,$B482,$AG$4:$AG$1463,"&gt;"&amp;$AG482)+COUNTIFS($B$4:$B482,$B482,$AG$4:$AG482,"="&amp;$AG482)))</f>
        <v>SUB ROSA|43</v>
      </c>
    </row>
    <row r="483" spans="1:35" hidden="1">
      <c r="A483" s="69" t="s">
        <v>106</v>
      </c>
      <c r="B483" s="69" t="s">
        <v>86</v>
      </c>
      <c r="C483" s="63" t="s">
        <v>1393</v>
      </c>
      <c r="D483" s="69"/>
      <c r="E483" s="68" t="s">
        <v>79</v>
      </c>
      <c r="F483" s="19" t="str">
        <f>IF($C483="","",IF($E483="","-",IFERROR(INDEX(SETUP!$B$55:$B$64,MATCH($E483,SETUP!$A$55:$A$64,0)),"Other")))</f>
        <v>Control</v>
      </c>
      <c r="G483" s="70">
        <v>64192</v>
      </c>
      <c r="H483" s="19" t="str">
        <f>IF($C483="","",IF($G483="","-",INDEX(SETUP!$B$26:$B$32,MATCH($G483,SETUP!$A$26:$A$32,1))))</f>
        <v>64,000 +</v>
      </c>
      <c r="I483" s="70">
        <v>9403</v>
      </c>
      <c r="J483" s="19" t="str">
        <f>IF($C483="","",IF($I483="","-",INDEX(SETUP!$B$16:$B$22,MATCH($I483,SETUP!$A$16:$A$22,1))))</f>
        <v>ELITE</v>
      </c>
      <c r="K483" s="19" t="str">
        <f>IF($C483="","",IF($I483="","-",TEXT(INT($I483/1000)*1000,"#,##0")&amp;" - "&amp;TEXT(INT($I483/1000)*1000+999,"#,##0")))</f>
        <v>9,000 - 9,999</v>
      </c>
      <c r="L483" s="71">
        <v>6.9</v>
      </c>
      <c r="M483" s="19" t="str">
        <f>IF($C483="","",IF($L483="","-",INDEX(SETUP!$B$36:$B$42,MATCH($L483,SETUP!$A$36:$A$42,1))))</f>
        <v>6k - 8k</v>
      </c>
      <c r="N483" s="21">
        <f>IF($C483="","",IF(OR($G483="",$I483=""),"",ROUND(100*(SETUP!$B$4*MIN(1,$I483/SETUP!$B$9)+SETUP!$B$5*MAX(0,MIN(1,($G483-SETUP!$B$10)/(SETUP!$B$11-SETUP!$B$10)))+SETUP!$B$6*MIN(1,IF($L483="",0,$L483)/SETUP!$B$12)),1)))</f>
        <v>76.7</v>
      </c>
      <c r="O483" s="19" t="str">
        <f>IF($C483="","",IF($N483="","-",INDEX(SETUP!$B$46:$B$51,MATCH($N483,SETUP!$A$46:$A$51,1))))</f>
        <v>S</v>
      </c>
      <c r="P483" s="19">
        <f>IF($C483="","",IF($I483="","",RANK($I483,$I$4:$I$1463)+COUNTIF($I$4:$I483,$I483)-1))</f>
        <v>76</v>
      </c>
      <c r="Q483" s="19">
        <f>IF($C483="","",COUNTIFS($B$4:$B$1463,$B483,$X$4:$X$1463,"&gt;"&amp;$X483)+COUNTIFS($B$4:$B483,$B483,$X$4:$X483,"="&amp;$X483))</f>
        <v>18</v>
      </c>
      <c r="R483" s="75">
        <f>IF($C483="","",IF($I483="","",ROUND(COUNTIF($I$4:$I$1463,"&lt;"&amp;$I483)/COUNT($I$4:$I$1463),3)))</f>
        <v>0.94299999999999995</v>
      </c>
      <c r="S483" s="19" t="str">
        <f>IF($C483="","",IF($G483="","Name only",IF(OR($I483="",$L483=""),"Partial","Complete")))</f>
        <v>Complete</v>
      </c>
      <c r="T483" s="1" t="str">
        <f>IF($C483="","",TRIM(IF(COUNTIF($C$4:$C$1463,$C483)&gt;1,"Dup name; ","")&amp;IF(AND($G483&lt;&gt;"",$G483&lt;55000),"Low CR - verify; ","")&amp;IF(AND($L483&lt;&gt;"",$L483&gt;15),"Secondary - verify; ","")&amp;IF($E483="","No class; ","")))</f>
        <v/>
      </c>
      <c r="U483" s="68"/>
      <c r="V483" s="68"/>
      <c r="W483" s="68"/>
      <c r="X483" s="76">
        <f t="shared" si="37"/>
        <v>9403</v>
      </c>
      <c r="Y483" s="1" t="str">
        <f t="shared" si="38"/>
        <v>VANGUARD|18</v>
      </c>
      <c r="Z483" s="19">
        <f>IF($C483="","",IF($G483="","",RANK($G483,$G$4:$G$1463)+COUNTIF($G$4:$G483,$G483)-1))</f>
        <v>45</v>
      </c>
      <c r="AA483" s="19">
        <f>IF($C483="","",IF($N483="","",RANK($N483,$N$4:$N$1463)+COUNTIF($N$4:$N483,$N483)-1))</f>
        <v>79</v>
      </c>
      <c r="AB483" s="1" t="str">
        <f>IF($C483="","",IF($E483="","",$E483&amp;"#"&amp;(COUNTIFS($E$4:$E$1463,$E483,$X$4:$X$1463,"&gt;"&amp;$X483)+COUNTIFS($E$4:$E483,$E483,$X$4:$X483,"="&amp;$X483))))</f>
        <v>WARLOCK#16</v>
      </c>
      <c r="AC483" s="1" t="str">
        <f>IF($C483="","",$B483&amp;"@"&amp;(COUNTIFS($B$4:$B$1463,$B483,$C$4:$C$1463,"&lt;"&amp;$C483)+COUNTIFS($B$4:$B483,$B483,$C$4:$C483,$C483)))</f>
        <v>VANGUARD@43</v>
      </c>
      <c r="AD483" s="1">
        <f t="shared" si="39"/>
        <v>480</v>
      </c>
      <c r="AE483" s="1" t="s">
        <v>1394</v>
      </c>
      <c r="AF483" s="76">
        <f t="shared" si="40"/>
        <v>64192</v>
      </c>
      <c r="AG483" s="77">
        <f t="shared" si="41"/>
        <v>6.9</v>
      </c>
      <c r="AH483" s="1" t="str">
        <f>IF($C483="","",$B483&amp;"|"&amp;(COUNTIFS($B$4:$B$1463,$B483,$AF$4:$AF$1463,"&gt;"&amp;$AF483)+COUNTIFS($B$4:$B483,$B483,$AF$4:$AF483,"="&amp;$AF483)))</f>
        <v>VANGUARD|12</v>
      </c>
      <c r="AI483" s="1" t="str">
        <f>IF($C483="","",$B483&amp;"|"&amp;(COUNTIFS($B$4:$B$1463,$B483,$AG$4:$AG$1463,"&gt;"&amp;$AG483)+COUNTIFS($B$4:$B483,$B483,$AG$4:$AG483,"="&amp;$AG483)))</f>
        <v>VANGUARD|18</v>
      </c>
    </row>
    <row r="484" spans="1:35" hidden="1">
      <c r="A484" s="69" t="s">
        <v>109</v>
      </c>
      <c r="B484" s="69" t="s">
        <v>111</v>
      </c>
      <c r="C484" s="63" t="s">
        <v>1395</v>
      </c>
      <c r="D484" s="69" t="s">
        <v>527</v>
      </c>
      <c r="E484" s="68" t="s">
        <v>74</v>
      </c>
      <c r="F484" s="15" t="str">
        <f>IF($C484="","",IF($E484="","-",IFERROR(INDEX(SETUP!$B$55:$B$64,MATCH($E484,SETUP!$A$55:$A$64,0)),"Other")))</f>
        <v>Ranged DPS</v>
      </c>
      <c r="G484" s="70">
        <v>62853</v>
      </c>
      <c r="H484" s="15" t="str">
        <f>IF($C484="","",IF($G484="","-",INDEX(SETUP!$B$26:$B$32,MATCH($G484,SETUP!$A$26:$A$32,1))))</f>
        <v>62,000 - 62,999</v>
      </c>
      <c r="I484" s="70">
        <v>2674</v>
      </c>
      <c r="J484" s="15" t="str">
        <f>IF($C484="","",IF($I484="","-",INDEX(SETUP!$B$16:$B$22,MATCH($I484,SETUP!$A$16:$A$22,1))))</f>
        <v>DEVELOPING</v>
      </c>
      <c r="K484" s="15" t="str">
        <f>IF($C484="","",IF($I484="","-",TEXT(INT($I484/1000)*1000,"#,##0")&amp;" - "&amp;TEXT(INT($I484/1000)*1000+999,"#,##0")))</f>
        <v>2,000 - 2,999</v>
      </c>
      <c r="L484" s="71">
        <v>3.75</v>
      </c>
      <c r="M484" s="15" t="str">
        <f>IF($C484="","",IF($L484="","-",INDEX(SETUP!$B$36:$B$42,MATCH($L484,SETUP!$A$36:$A$42,1))))</f>
        <v>3k - 4k</v>
      </c>
      <c r="N484" s="17">
        <f>IF($C484="","",IF(OR($G484="",$I484=""),"",ROUND(100*(SETUP!$B$4*MIN(1,$I484/SETUP!$B$9)+SETUP!$B$5*MAX(0,MIN(1,($G484-SETUP!$B$10)/(SETUP!$B$11-SETUP!$B$10)))+SETUP!$B$6*MIN(1,IF($L484="",0,$L484)/SETUP!$B$12)),1)))</f>
        <v>38.6</v>
      </c>
      <c r="O484" s="15" t="str">
        <f>IF($C484="","",IF($N484="","-",INDEX(SETUP!$B$46:$B$51,MATCH($N484,SETUP!$A$46:$A$51,1))))</f>
        <v>B</v>
      </c>
      <c r="P484" s="15">
        <f>IF($C484="","",IF($I484="","",RANK($I484,$I$4:$I$1463)+COUNTIF($I$4:$I484,$I484)-1))</f>
        <v>960</v>
      </c>
      <c r="Q484" s="15">
        <f>IF($C484="","",COUNTIFS($B$4:$B$1463,$B484,$X$4:$X$1463,"&gt;"&amp;$X484)+COUNTIFS($B$4:$B484,$B484,$X$4:$X484,"="&amp;$X484))</f>
        <v>90</v>
      </c>
      <c r="R484" s="72">
        <f>IF($C484="","",IF($I484="","",ROUND(COUNTIF($I$4:$I$1463,"&lt;"&amp;$I484)/COUNT($I$4:$I$1463),3)))</f>
        <v>0.27500000000000002</v>
      </c>
      <c r="S484" s="15" t="str">
        <f>IF($C484="","",IF($G484="","Name only",IF(OR($I484="",$L484=""),"Partial","Complete")))</f>
        <v>Complete</v>
      </c>
      <c r="T484" s="41" t="str">
        <f>IF($C484="","",TRIM(IF(COUNTIF($C$4:$C$1463,$C484)&gt;1,"Dup name; ","")&amp;IF(AND($G484&lt;&gt;"",$G484&lt;55000),"Low CR - verify; ","")&amp;IF(AND($L484&lt;&gt;"",$L484&gt;15),"Secondary - verify; ","")&amp;IF($E484="","No class; ","")))</f>
        <v/>
      </c>
      <c r="U484" s="68"/>
      <c r="V484" s="68"/>
      <c r="W484" s="68"/>
      <c r="X484" s="73">
        <f t="shared" si="37"/>
        <v>2674</v>
      </c>
      <c r="Y484" s="41" t="str">
        <f t="shared" si="38"/>
        <v>RECKONING|90</v>
      </c>
      <c r="Z484" s="15">
        <f>IF($C484="","",IF($G484="","",RANK($G484,$G$4:$G$1463)+COUNTIF($G$4:$G484,$G484)-1))</f>
        <v>496</v>
      </c>
      <c r="AA484" s="15">
        <f>IF($C484="","",IF($N484="","",RANK($N484,$N$4:$N$1463)+COUNTIF($N$4:$N484,$N484)-1))</f>
        <v>875</v>
      </c>
      <c r="AB484" s="41" t="str">
        <f>IF($C484="","",IF($E484="","",$E484&amp;"#"&amp;(COUNTIFS($E$4:$E$1463,$E484,$X$4:$X$1463,"&gt;"&amp;$X484)+COUNTIFS($E$4:$E484,$E484,$X$4:$X484,"="&amp;$X484))))</f>
        <v>DEMON HUNTER#155</v>
      </c>
      <c r="AC484" s="41" t="str">
        <f>IF($C484="","",$B484&amp;"@"&amp;(COUNTIFS($B$4:$B$1463,$B484,$C$4:$C$1463,"&lt;"&amp;$C484)+COUNTIFS($B$4:$B484,$B484,$C$4:$C484,$C484)))</f>
        <v>RECKONING@33</v>
      </c>
      <c r="AD484" s="41">
        <f t="shared" si="39"/>
        <v>481</v>
      </c>
      <c r="AE484" s="41" t="s">
        <v>640</v>
      </c>
      <c r="AF484" s="73">
        <f t="shared" si="40"/>
        <v>62853</v>
      </c>
      <c r="AG484" s="74">
        <f t="shared" si="41"/>
        <v>3.75</v>
      </c>
      <c r="AH484" s="41" t="str">
        <f>IF($C484="","",$B484&amp;"|"&amp;(COUNTIFS($B$4:$B$1463,$B484,$AF$4:$AF$1463,"&gt;"&amp;$AF484)+COUNTIFS($B$4:$B484,$B484,$AF$4:$AF484,"="&amp;$AF484)))</f>
        <v>RECKONING|47</v>
      </c>
      <c r="AI484" s="41" t="str">
        <f>IF($C484="","",$B484&amp;"|"&amp;(COUNTIFS($B$4:$B$1463,$B484,$AG$4:$AG$1463,"&gt;"&amp;$AG484)+COUNTIFS($B$4:$B484,$B484,$AG$4:$AG484,"="&amp;$AG484)))</f>
        <v>RECKONING|93</v>
      </c>
    </row>
    <row r="485" spans="1:35" hidden="1">
      <c r="A485" s="69" t="s">
        <v>109</v>
      </c>
      <c r="B485" s="69" t="s">
        <v>113</v>
      </c>
      <c r="C485" s="63" t="s">
        <v>1396</v>
      </c>
      <c r="D485" s="69" t="s">
        <v>548</v>
      </c>
      <c r="E485" s="68" t="s">
        <v>79</v>
      </c>
      <c r="F485" s="19" t="str">
        <f>IF($C485="","",IF($E485="","-",IFERROR(INDEX(SETUP!$B$55:$B$64,MATCH($E485,SETUP!$A$55:$A$64,0)),"Other")))</f>
        <v>Control</v>
      </c>
      <c r="G485" s="70">
        <v>63136</v>
      </c>
      <c r="H485" s="19" t="str">
        <f>IF($C485="","",IF($G485="","-",INDEX(SETUP!$B$26:$B$32,MATCH($G485,SETUP!$A$26:$A$32,1))))</f>
        <v>63,000 - 63,999</v>
      </c>
      <c r="I485" s="70">
        <v>4315</v>
      </c>
      <c r="J485" s="19" t="str">
        <f>IF($C485="","",IF($I485="","-",INDEX(SETUP!$B$16:$B$22,MATCH($I485,SETUP!$A$16:$A$22,1))))</f>
        <v>CORE</v>
      </c>
      <c r="K485" s="19" t="str">
        <f>IF($C485="","",IF($I485="","-",TEXT(INT($I485/1000)*1000,"#,##0")&amp;" - "&amp;TEXT(INT($I485/1000)*1000+999,"#,##0")))</f>
        <v>4,000 - 4,999</v>
      </c>
      <c r="L485" s="71">
        <v>3.65</v>
      </c>
      <c r="M485" s="19" t="str">
        <f>IF($C485="","",IF($L485="","-",INDEX(SETUP!$B$36:$B$42,MATCH($L485,SETUP!$A$36:$A$42,1))))</f>
        <v>3k - 4k</v>
      </c>
      <c r="N485" s="21">
        <f>IF($C485="","",IF(OR($G485="",$I485=""),"",ROUND(100*(SETUP!$B$4*MIN(1,$I485/SETUP!$B$9)+SETUP!$B$5*MAX(0,MIN(1,($G485-SETUP!$B$10)/(SETUP!$B$11-SETUP!$B$10)))+SETUP!$B$6*MIN(1,IF($L485="",0,$L485)/SETUP!$B$12)),1)))</f>
        <v>46.3</v>
      </c>
      <c r="O485" s="19" t="str">
        <f>IF($C485="","",IF($N485="","-",INDEX(SETUP!$B$46:$B$51,MATCH($N485,SETUP!$A$46:$A$51,1))))</f>
        <v>B</v>
      </c>
      <c r="P485" s="19">
        <f>IF($C485="","",IF($I485="","",RANK($I485,$I$4:$I$1463)+COUNTIF($I$4:$I485,$I485)-1))</f>
        <v>529</v>
      </c>
      <c r="Q485" s="19">
        <f>IF($C485="","",COUNTIFS($B$4:$B$1463,$B485,$X$4:$X$1463,"&gt;"&amp;$X485)+COUNTIFS($B$4:$B485,$B485,$X$4:$X485,"="&amp;$X485))</f>
        <v>23</v>
      </c>
      <c r="R485" s="75">
        <f>IF($C485="","",IF($I485="","",ROUND(COUNTIF($I$4:$I$1463,"&lt;"&amp;$I485)/COUNT($I$4:$I$1463),3)))</f>
        <v>0.60099999999999998</v>
      </c>
      <c r="S485" s="19" t="str">
        <f>IF($C485="","",IF($G485="","Name only",IF(OR($I485="",$L485=""),"Partial","Complete")))</f>
        <v>Complete</v>
      </c>
      <c r="T485" s="1" t="str">
        <f>IF($C485="","",TRIM(IF(COUNTIF($C$4:$C$1463,$C485)&gt;1,"Dup name; ","")&amp;IF(AND($G485&lt;&gt;"",$G485&lt;55000),"Low CR - verify; ","")&amp;IF(AND($L485&lt;&gt;"",$L485&gt;15),"Secondary - verify; ","")&amp;IF($E485="","No class; ","")))</f>
        <v/>
      </c>
      <c r="U485" s="68"/>
      <c r="V485" s="68"/>
      <c r="W485" s="68"/>
      <c r="X485" s="76">
        <f t="shared" si="37"/>
        <v>4315</v>
      </c>
      <c r="Y485" s="1" t="str">
        <f t="shared" si="38"/>
        <v>INVICTUS|23</v>
      </c>
      <c r="Z485" s="19">
        <f>IF($C485="","",IF($G485="","",RANK($G485,$G$4:$G$1463)+COUNTIF($G$4:$G485,$G485)-1))</f>
        <v>353</v>
      </c>
      <c r="AA485" s="19">
        <f>IF($C485="","",IF($N485="","",RANK($N485,$N$4:$N$1463)+COUNTIF($N$4:$N485,$N485)-1))</f>
        <v>576</v>
      </c>
      <c r="AB485" s="1" t="str">
        <f>IF($C485="","",IF($E485="","",$E485&amp;"#"&amp;(COUNTIFS($E$4:$E$1463,$E485,$X$4:$X$1463,"&gt;"&amp;$X485)+COUNTIFS($E$4:$E485,$E485,$X$4:$X485,"="&amp;$X485))))</f>
        <v>WARLOCK#121</v>
      </c>
      <c r="AC485" s="1" t="str">
        <f>IF($C485="","",$B485&amp;"@"&amp;(COUNTIFS($B$4:$B$1463,$B485,$C$4:$C$1463,"&lt;"&amp;$C485)+COUNTIFS($B$4:$B485,$B485,$C$4:$C485,$C485)))</f>
        <v>INVICTUS@29</v>
      </c>
      <c r="AD485" s="1">
        <f t="shared" si="39"/>
        <v>482</v>
      </c>
      <c r="AE485" s="1" t="s">
        <v>1397</v>
      </c>
      <c r="AF485" s="76">
        <f t="shared" si="40"/>
        <v>63136</v>
      </c>
      <c r="AG485" s="77">
        <f t="shared" si="41"/>
        <v>3.65</v>
      </c>
      <c r="AH485" s="1" t="str">
        <f>IF($C485="","",$B485&amp;"|"&amp;(COUNTIFS($B$4:$B$1463,$B485,$AF$4:$AF$1463,"&gt;"&amp;$AF485)+COUNTIFS($B$4:$B485,$B485,$AF$4:$AF485,"="&amp;$AF485)))</f>
        <v>INVICTUS|16</v>
      </c>
      <c r="AI485" s="1" t="str">
        <f>IF($C485="","",$B485&amp;"|"&amp;(COUNTIFS($B$4:$B$1463,$B485,$AG$4:$AG$1463,"&gt;"&amp;$AG485)+COUNTIFS($B$4:$B485,$B485,$AG$4:$AG485,"="&amp;$AG485)))</f>
        <v>INVICTUS|70</v>
      </c>
    </row>
    <row r="486" spans="1:35" hidden="1">
      <c r="A486" s="69" t="s">
        <v>109</v>
      </c>
      <c r="B486" s="69" t="s">
        <v>118</v>
      </c>
      <c r="C486" s="63" t="s">
        <v>1398</v>
      </c>
      <c r="D486" s="69"/>
      <c r="E486" s="68" t="s">
        <v>77</v>
      </c>
      <c r="F486" s="15" t="str">
        <f>IF($C486="","",IF($E486="","-",IFERROR(INDEX(SETUP!$B$55:$B$64,MATCH($E486,SETUP!$A$55:$A$64,0)),"Other")))</f>
        <v>Control</v>
      </c>
      <c r="G486" s="70">
        <v>60913</v>
      </c>
      <c r="H486" s="15" t="str">
        <f>IF($C486="","",IF($G486="","-",INDEX(SETUP!$B$26:$B$32,MATCH($G486,SETUP!$A$26:$A$32,1))))</f>
        <v>60,000 - 60,999</v>
      </c>
      <c r="I486" s="70">
        <v>2002</v>
      </c>
      <c r="J486" s="15" t="str">
        <f>IF($C486="","",IF($I486="","-",INDEX(SETUP!$B$16:$B$22,MATCH($I486,SETUP!$A$16:$A$22,1))))</f>
        <v>DEVELOPING</v>
      </c>
      <c r="K486" s="15" t="str">
        <f>IF($C486="","",IF($I486="","-",TEXT(INT($I486/1000)*1000,"#,##0")&amp;" - "&amp;TEXT(INT($I486/1000)*1000+999,"#,##0")))</f>
        <v>2,000 - 2,999</v>
      </c>
      <c r="L486" s="71">
        <v>3.8</v>
      </c>
      <c r="M486" s="15" t="str">
        <f>IF($C486="","",IF($L486="","-",INDEX(SETUP!$B$36:$B$42,MATCH($L486,SETUP!$A$36:$A$42,1))))</f>
        <v>3k - 4k</v>
      </c>
      <c r="N486" s="17">
        <f>IF($C486="","",IF(OR($G486="",$I486=""),"",ROUND(100*(SETUP!$B$4*MIN(1,$I486/SETUP!$B$9)+SETUP!$B$5*MAX(0,MIN(1,($G486-SETUP!$B$10)/(SETUP!$B$11-SETUP!$B$10)))+SETUP!$B$6*MIN(1,IF($L486="",0,$L486)/SETUP!$B$12)),1)))</f>
        <v>30.6</v>
      </c>
      <c r="O486" s="15" t="str">
        <f>IF($C486="","",IF($N486="","-",INDEX(SETUP!$B$46:$B$51,MATCH($N486,SETUP!$A$46:$A$51,1))))</f>
        <v>C</v>
      </c>
      <c r="P486" s="15">
        <f>IF($C486="","",IF($I486="","",RANK($I486,$I$4:$I$1463)+COUNTIF($I$4:$I486,$I486)-1))</f>
        <v>1116</v>
      </c>
      <c r="Q486" s="15">
        <f>IF($C486="","",COUNTIFS($B$4:$B$1463,$B486,$X$4:$X$1463,"&gt;"&amp;$X486)+COUNTIFS($B$4:$B486,$B486,$X$4:$X486,"="&amp;$X486))</f>
        <v>41</v>
      </c>
      <c r="R486" s="72">
        <f>IF($C486="","",IF($I486="","",ROUND(COUNTIF($I$4:$I$1463,"&lt;"&amp;$I486)/COUNT($I$4:$I$1463),3)))</f>
        <v>0.158</v>
      </c>
      <c r="S486" s="15" t="str">
        <f>IF($C486="","",IF($G486="","Name only",IF(OR($I486="",$L486=""),"Partial","Complete")))</f>
        <v>Complete</v>
      </c>
      <c r="T486" s="41" t="str">
        <f>IF($C486="","",TRIM(IF(COUNTIF($C$4:$C$1463,$C486)&gt;1,"Dup name; ","")&amp;IF(AND($G486&lt;&gt;"",$G486&lt;55000),"Low CR - verify; ","")&amp;IF(AND($L486&lt;&gt;"",$L486&gt;15),"Secondary - verify; ","")&amp;IF($E486="","No class; ","")))</f>
        <v/>
      </c>
      <c r="U486" s="68"/>
      <c r="V486" s="68"/>
      <c r="W486" s="68"/>
      <c r="X486" s="73">
        <f t="shared" si="37"/>
        <v>2002</v>
      </c>
      <c r="Y486" s="41" t="str">
        <f t="shared" si="38"/>
        <v>ZOMBIES|41</v>
      </c>
      <c r="Z486" s="15">
        <f>IF($C486="","",IF($G486="","",RANK($G486,$G$4:$G$1463)+COUNTIF($G$4:$G486,$G486)-1))</f>
        <v>1152</v>
      </c>
      <c r="AA486" s="15">
        <f>IF($C486="","",IF($N486="","",RANK($N486,$N$4:$N$1463)+COUNTIF($N$4:$N486,$N486)-1))</f>
        <v>1129</v>
      </c>
      <c r="AB486" s="41" t="str">
        <f>IF($C486="","",IF($E486="","",$E486&amp;"#"&amp;(COUNTIFS($E$4:$E$1463,$E486,$X$4:$X$1463,"&gt;"&amp;$X486)+COUNTIFS($E$4:$E486,$E486,$X$4:$X486,"="&amp;$X486))))</f>
        <v>NECROMANCER#76</v>
      </c>
      <c r="AC486" s="41" t="str">
        <f>IF($C486="","",$B486&amp;"@"&amp;(COUNTIFS($B$4:$B$1463,$B486,$C$4:$C$1463,"&lt;"&amp;$C486)+COUNTIFS($B$4:$B486,$B486,$C$4:$C486,$C486)))</f>
        <v>ZOMBIES@37</v>
      </c>
      <c r="AD486" s="41">
        <f t="shared" si="39"/>
        <v>483</v>
      </c>
      <c r="AE486" s="41" t="s">
        <v>1399</v>
      </c>
      <c r="AF486" s="73">
        <f t="shared" si="40"/>
        <v>60913</v>
      </c>
      <c r="AG486" s="74">
        <f t="shared" si="41"/>
        <v>3.8</v>
      </c>
      <c r="AH486" s="41" t="str">
        <f>IF($C486="","",$B486&amp;"|"&amp;(COUNTIFS($B$4:$B$1463,$B486,$AF$4:$AF$1463,"&gt;"&amp;$AF486)+COUNTIFS($B$4:$B486,$B486,$AF$4:$AF486,"="&amp;$AF486)))</f>
        <v>ZOMBIES|59</v>
      </c>
      <c r="AI486" s="41" t="str">
        <f>IF($C486="","",$B486&amp;"|"&amp;(COUNTIFS($B$4:$B$1463,$B486,$AG$4:$AG$1463,"&gt;"&amp;$AG486)+COUNTIFS($B$4:$B486,$B486,$AG$4:$AG486,"="&amp;$AG486)))</f>
        <v>ZOMBIES|36</v>
      </c>
    </row>
    <row r="487" spans="1:35" hidden="1">
      <c r="A487" s="69" t="s">
        <v>106</v>
      </c>
      <c r="B487" s="69" t="s">
        <v>86</v>
      </c>
      <c r="C487" s="63" t="s">
        <v>1400</v>
      </c>
      <c r="D487" s="69"/>
      <c r="E487" s="68" t="s">
        <v>73</v>
      </c>
      <c r="F487" s="19" t="str">
        <f>IF($C487="","",IF($E487="","-",IFERROR(INDEX(SETUP!$B$55:$B$64,MATCH($E487,SETUP!$A$55:$A$64,0)),"Other")))</f>
        <v>Frontline</v>
      </c>
      <c r="G487" s="70">
        <v>63805</v>
      </c>
      <c r="H487" s="19" t="str">
        <f>IF($C487="","",IF($G487="","-",INDEX(SETUP!$B$26:$B$32,MATCH($G487,SETUP!$A$26:$A$32,1))))</f>
        <v>63,000 - 63,999</v>
      </c>
      <c r="I487" s="70">
        <v>7229</v>
      </c>
      <c r="J487" s="19" t="str">
        <f>IF($C487="","",IF($I487="","-",INDEX(SETUP!$B$16:$B$22,MATCH($I487,SETUP!$A$16:$A$22,1))))</f>
        <v>VETERAN</v>
      </c>
      <c r="K487" s="19" t="str">
        <f>IF($C487="","",IF($I487="","-",TEXT(INT($I487/1000)*1000,"#,##0")&amp;" - "&amp;TEXT(INT($I487/1000)*1000+999,"#,##0")))</f>
        <v>7,000 - 7,999</v>
      </c>
      <c r="L487" s="71">
        <v>4.79</v>
      </c>
      <c r="M487" s="19" t="str">
        <f>IF($C487="","",IF($L487="","-",INDEX(SETUP!$B$36:$B$42,MATCH($L487,SETUP!$A$36:$A$42,1))))</f>
        <v>4k - 5k</v>
      </c>
      <c r="N487" s="21">
        <f>IF($C487="","",IF(OR($G487="",$I487=""),"",ROUND(100*(SETUP!$B$4*MIN(1,$I487/SETUP!$B$9)+SETUP!$B$5*MAX(0,MIN(1,($G487-SETUP!$B$10)/(SETUP!$B$11-SETUP!$B$10)))+SETUP!$B$6*MIN(1,IF($L487="",0,$L487)/SETUP!$B$12)),1)))</f>
        <v>62.7</v>
      </c>
      <c r="O487" s="19" t="str">
        <f>IF($C487="","",IF($N487="","-",INDEX(SETUP!$B$46:$B$51,MATCH($N487,SETUP!$A$46:$A$51,1))))</f>
        <v>A</v>
      </c>
      <c r="P487" s="19">
        <f>IF($C487="","",IF($I487="","",RANK($I487,$I$4:$I$1463)+COUNTIF($I$4:$I487,$I487)-1))</f>
        <v>200</v>
      </c>
      <c r="Q487" s="19">
        <f>IF($C487="","",COUNTIFS($B$4:$B$1463,$B487,$X$4:$X$1463,"&gt;"&amp;$X487)+COUNTIFS($B$4:$B487,$B487,$X$4:$X487,"="&amp;$X487))</f>
        <v>43</v>
      </c>
      <c r="R487" s="75">
        <f>IF($C487="","",IF($I487="","",ROUND(COUNTIF($I$4:$I$1463,"&lt;"&amp;$I487)/COUNT($I$4:$I$1463),3)))</f>
        <v>0.84899999999999998</v>
      </c>
      <c r="S487" s="19" t="str">
        <f>IF($C487="","",IF($G487="","Name only",IF(OR($I487="",$L487=""),"Partial","Complete")))</f>
        <v>Complete</v>
      </c>
      <c r="T487" s="1" t="str">
        <f>IF($C487="","",TRIM(IF(COUNTIF($C$4:$C$1463,$C487)&gt;1,"Dup name; ","")&amp;IF(AND($G487&lt;&gt;"",$G487&lt;55000),"Low CR - verify; ","")&amp;IF(AND($L487&lt;&gt;"",$L487&gt;15),"Secondary - verify; ","")&amp;IF($E487="","No class; ","")))</f>
        <v/>
      </c>
      <c r="U487" s="68"/>
      <c r="V487" s="68"/>
      <c r="W487" s="68"/>
      <c r="X487" s="76">
        <f t="shared" si="37"/>
        <v>7229</v>
      </c>
      <c r="Y487" s="1" t="str">
        <f t="shared" si="38"/>
        <v>VANGUARD|43</v>
      </c>
      <c r="Z487" s="19">
        <f>IF($C487="","",IF($G487="","",RANK($G487,$G$4:$G$1463)+COUNTIF($G$4:$G487,$G487)-1))</f>
        <v>115</v>
      </c>
      <c r="AA487" s="19">
        <f>IF($C487="","",IF($N487="","",RANK($N487,$N$4:$N$1463)+COUNTIF($N$4:$N487,$N487)-1))</f>
        <v>206</v>
      </c>
      <c r="AB487" s="1" t="str">
        <f>IF($C487="","",IF($E487="","",$E487&amp;"#"&amp;(COUNTIFS($E$4:$E$1463,$E487,$X$4:$X$1463,"&gt;"&amp;$X487)+COUNTIFS($E$4:$E487,$E487,$X$4:$X487,"="&amp;$X487))))</f>
        <v>CRUSADER#31</v>
      </c>
      <c r="AC487" s="1" t="str">
        <f>IF($C487="","",$B487&amp;"@"&amp;(COUNTIFS($B$4:$B$1463,$B487,$C$4:$C$1463,"&lt;"&amp;$C487)+COUNTIFS($B$4:$B487,$B487,$C$4:$C487,$C487)))</f>
        <v>VANGUARD@44</v>
      </c>
      <c r="AD487" s="1">
        <f t="shared" si="39"/>
        <v>484</v>
      </c>
      <c r="AE487" s="1" t="s">
        <v>1401</v>
      </c>
      <c r="AF487" s="76">
        <f t="shared" si="40"/>
        <v>63805</v>
      </c>
      <c r="AG487" s="77">
        <f t="shared" si="41"/>
        <v>4.79</v>
      </c>
      <c r="AH487" s="1" t="str">
        <f>IF($C487="","",$B487&amp;"|"&amp;(COUNTIFS($B$4:$B$1463,$B487,$AF$4:$AF$1463,"&gt;"&amp;$AF487)+COUNTIFS($B$4:$B487,$B487,$AF$4:$AF487,"="&amp;$AF487)))</f>
        <v>VANGUARD|28</v>
      </c>
      <c r="AI487" s="1" t="str">
        <f>IF($C487="","",$B487&amp;"|"&amp;(COUNTIFS($B$4:$B$1463,$B487,$AG$4:$AG$1463,"&gt;"&amp;$AG487)+COUNTIFS($B$4:$B487,$B487,$AG$4:$AG487,"="&amp;$AG487)))</f>
        <v>VANGUARD|76</v>
      </c>
    </row>
    <row r="488" spans="1:35" hidden="1">
      <c r="A488" s="69" t="s">
        <v>109</v>
      </c>
      <c r="B488" s="69" t="s">
        <v>113</v>
      </c>
      <c r="C488" s="63" t="s">
        <v>1402</v>
      </c>
      <c r="D488" s="69" t="s">
        <v>548</v>
      </c>
      <c r="E488" s="68" t="s">
        <v>74</v>
      </c>
      <c r="F488" s="15" t="str">
        <f>IF($C488="","",IF($E488="","-",IFERROR(INDEX(SETUP!$B$55:$B$64,MATCH($E488,SETUP!$A$55:$A$64,0)),"Other")))</f>
        <v>Ranged DPS</v>
      </c>
      <c r="G488" s="70">
        <v>62207</v>
      </c>
      <c r="H488" s="15" t="str">
        <f>IF($C488="","",IF($G488="","-",INDEX(SETUP!$B$26:$B$32,MATCH($G488,SETUP!$A$26:$A$32,1))))</f>
        <v>62,000 - 62,999</v>
      </c>
      <c r="I488" s="70">
        <v>869</v>
      </c>
      <c r="J488" s="15" t="str">
        <f>IF($C488="","",IF($I488="","-",INDEX(SETUP!$B$16:$B$22,MATCH($I488,SETUP!$A$16:$A$22,1))))</f>
        <v>ROOKIE</v>
      </c>
      <c r="K488" s="15" t="str">
        <f>IF($C488="","",IF($I488="","-",TEXT(INT($I488/1000)*1000,"#,##0")&amp;" - "&amp;TEXT(INT($I488/1000)*1000+999,"#,##0")))</f>
        <v>0 - 999</v>
      </c>
      <c r="L488" s="71">
        <v>3.7</v>
      </c>
      <c r="M488" s="15" t="str">
        <f>IF($C488="","",IF($L488="","-",INDEX(SETUP!$B$36:$B$42,MATCH($L488,SETUP!$A$36:$A$42,1))))</f>
        <v>3k - 4k</v>
      </c>
      <c r="N488" s="17">
        <f>IF($C488="","",IF(OR($G488="",$I488=""),"",ROUND(100*(SETUP!$B$4*MIN(1,$I488/SETUP!$B$9)+SETUP!$B$5*MAX(0,MIN(1,($G488-SETUP!$B$10)/(SETUP!$B$11-SETUP!$B$10)))+SETUP!$B$6*MIN(1,IF($L488="",0,$L488)/SETUP!$B$12)),1)))</f>
        <v>28.9</v>
      </c>
      <c r="O488" s="15" t="str">
        <f>IF($C488="","",IF($N488="","-",INDEX(SETUP!$B$46:$B$51,MATCH($N488,SETUP!$A$46:$A$51,1))))</f>
        <v>C</v>
      </c>
      <c r="P488" s="15">
        <f>IF($C488="","",IF($I488="","",RANK($I488,$I$4:$I$1463)+COUNTIF($I$4:$I488,$I488)-1))</f>
        <v>1287</v>
      </c>
      <c r="Q488" s="15">
        <f>IF($C488="","",COUNTIFS($B$4:$B$1463,$B488,$X$4:$X$1463,"&gt;"&amp;$X488)+COUNTIFS($B$4:$B488,$B488,$X$4:$X488,"="&amp;$X488))</f>
        <v>97</v>
      </c>
      <c r="R488" s="72">
        <f>IF($C488="","",IF($I488="","",ROUND(COUNTIF($I$4:$I$1463,"&lt;"&amp;$I488)/COUNT($I$4:$I$1463),3)))</f>
        <v>2.9000000000000001E-2</v>
      </c>
      <c r="S488" s="15" t="str">
        <f>IF($C488="","",IF($G488="","Name only",IF(OR($I488="",$L488=""),"Partial","Complete")))</f>
        <v>Complete</v>
      </c>
      <c r="T488" s="41" t="str">
        <f>IF($C488="","",TRIM(IF(COUNTIF($C$4:$C$1463,$C488)&gt;1,"Dup name; ","")&amp;IF(AND($G488&lt;&gt;"",$G488&lt;55000),"Low CR - verify; ","")&amp;IF(AND($L488&lt;&gt;"",$L488&gt;15),"Secondary - verify; ","")&amp;IF($E488="","No class; ","")))</f>
        <v/>
      </c>
      <c r="U488" s="68"/>
      <c r="V488" s="68"/>
      <c r="W488" s="68"/>
      <c r="X488" s="73">
        <f t="shared" si="37"/>
        <v>869</v>
      </c>
      <c r="Y488" s="41" t="str">
        <f t="shared" si="38"/>
        <v>INVICTUS|97</v>
      </c>
      <c r="Z488" s="15">
        <f>IF($C488="","",IF($G488="","",RANK($G488,$G$4:$G$1463)+COUNTIF($G$4:$G488,$G488)-1))</f>
        <v>755</v>
      </c>
      <c r="AA488" s="15">
        <f>IF($C488="","",IF($N488="","",RANK($N488,$N$4:$N$1463)+COUNTIF($N$4:$N488,$N488)-1))</f>
        <v>1168</v>
      </c>
      <c r="AB488" s="41" t="str">
        <f>IF($C488="","",IF($E488="","",$E488&amp;"#"&amp;(COUNTIFS($E$4:$E$1463,$E488,$X$4:$X$1463,"&gt;"&amp;$X488)+COUNTIFS($E$4:$E488,$E488,$X$4:$X488,"="&amp;$X488))))</f>
        <v>DEMON HUNTER#184</v>
      </c>
      <c r="AC488" s="41" t="str">
        <f>IF($C488="","",$B488&amp;"@"&amp;(COUNTIFS($B$4:$B$1463,$B488,$C$4:$C$1463,"&lt;"&amp;$C488)+COUNTIFS($B$4:$B488,$B488,$C$4:$C488,$C488)))</f>
        <v>INVICTUS@30</v>
      </c>
      <c r="AD488" s="41">
        <f t="shared" si="39"/>
        <v>485</v>
      </c>
      <c r="AE488" s="41" t="s">
        <v>1403</v>
      </c>
      <c r="AF488" s="73">
        <f t="shared" si="40"/>
        <v>62207</v>
      </c>
      <c r="AG488" s="74">
        <f t="shared" si="41"/>
        <v>3.7</v>
      </c>
      <c r="AH488" s="41" t="str">
        <f>IF($C488="","",$B488&amp;"|"&amp;(COUNTIFS($B$4:$B$1463,$B488,$AF$4:$AF$1463,"&gt;"&amp;$AF488)+COUNTIFS($B$4:$B488,$B488,$AF$4:$AF488,"="&amp;$AF488)))</f>
        <v>INVICTUS|47</v>
      </c>
      <c r="AI488" s="41" t="str">
        <f>IF($C488="","",$B488&amp;"|"&amp;(COUNTIFS($B$4:$B$1463,$B488,$AG$4:$AG$1463,"&gt;"&amp;$AG488)+COUNTIFS($B$4:$B488,$B488,$AG$4:$AG488,"="&amp;$AG488)))</f>
        <v>INVICTUS|66</v>
      </c>
    </row>
    <row r="489" spans="1:35" hidden="1">
      <c r="A489" s="69" t="s">
        <v>109</v>
      </c>
      <c r="B489" s="69" t="s">
        <v>114</v>
      </c>
      <c r="C489" s="63" t="s">
        <v>1404</v>
      </c>
      <c r="D489" s="69"/>
      <c r="E489" s="68" t="s">
        <v>71</v>
      </c>
      <c r="F489" s="19" t="str">
        <f>IF($C489="","",IF($E489="","-",IFERROR(INDEX(SETUP!$B$55:$B$64,MATCH($E489,SETUP!$A$55:$A$64,0)),"Other")))</f>
        <v>Frontline</v>
      </c>
      <c r="G489" s="70">
        <v>62936</v>
      </c>
      <c r="H489" s="19" t="str">
        <f>IF($C489="","",IF($G489="","-",INDEX(SETUP!$B$26:$B$32,MATCH($G489,SETUP!$A$26:$A$32,1))))</f>
        <v>62,000 - 62,999</v>
      </c>
      <c r="I489" s="70">
        <v>4649</v>
      </c>
      <c r="J489" s="19" t="str">
        <f>IF($C489="","",IF($I489="","-",INDEX(SETUP!$B$16:$B$22,MATCH($I489,SETUP!$A$16:$A$22,1))))</f>
        <v>CORE</v>
      </c>
      <c r="K489" s="19" t="str">
        <f>IF($C489="","",IF($I489="","-",TEXT(INT($I489/1000)*1000,"#,##0")&amp;" - "&amp;TEXT(INT($I489/1000)*1000+999,"#,##0")))</f>
        <v>4,000 - 4,999</v>
      </c>
      <c r="L489" s="71">
        <v>4.7</v>
      </c>
      <c r="M489" s="19" t="str">
        <f>IF($C489="","",IF($L489="","-",INDEX(SETUP!$B$36:$B$42,MATCH($L489,SETUP!$A$36:$A$42,1))))</f>
        <v>4k - 5k</v>
      </c>
      <c r="N489" s="21">
        <f>IF($C489="","",IF(OR($G489="",$I489=""),"",ROUND(100*(SETUP!$B$4*MIN(1,$I489/SETUP!$B$9)+SETUP!$B$5*MAX(0,MIN(1,($G489-SETUP!$B$10)/(SETUP!$B$11-SETUP!$B$10)))+SETUP!$B$6*MIN(1,IF($L489="",0,$L489)/SETUP!$B$12)),1)))</f>
        <v>49</v>
      </c>
      <c r="O489" s="19" t="str">
        <f>IF($C489="","",IF($N489="","-",INDEX(SETUP!$B$46:$B$51,MATCH($N489,SETUP!$A$46:$A$51,1))))</f>
        <v>B</v>
      </c>
      <c r="P489" s="19">
        <f>IF($C489="","",IF($I489="","",RANK($I489,$I$4:$I$1463)+COUNTIF($I$4:$I489,$I489)-1))</f>
        <v>462</v>
      </c>
      <c r="Q489" s="19">
        <f>IF($C489="","",COUNTIFS($B$4:$B$1463,$B489,$X$4:$X$1463,"&gt;"&amp;$X489)+COUNTIFS($B$4:$B489,$B489,$X$4:$X489,"="&amp;$X489))</f>
        <v>5</v>
      </c>
      <c r="R489" s="75">
        <f>IF($C489="","",IF($I489="","",ROUND(COUNTIF($I$4:$I$1463,"&lt;"&amp;$I489)/COUNT($I$4:$I$1463),3)))</f>
        <v>0.65100000000000002</v>
      </c>
      <c r="S489" s="19" t="str">
        <f>IF($C489="","",IF($G489="","Name only",IF(OR($I489="",$L489=""),"Partial","Complete")))</f>
        <v>Complete</v>
      </c>
      <c r="T489" s="1" t="str">
        <f>IF($C489="","",TRIM(IF(COUNTIF($C$4:$C$1463,$C489)&gt;1,"Dup name; ","")&amp;IF(AND($G489&lt;&gt;"",$G489&lt;55000),"Low CR - verify; ","")&amp;IF(AND($L489&lt;&gt;"",$L489&gt;15),"Secondary - verify; ","")&amp;IF($E489="","No class; ","")))</f>
        <v/>
      </c>
      <c r="U489" s="68"/>
      <c r="V489" s="68"/>
      <c r="W489" s="68"/>
      <c r="X489" s="76">
        <f t="shared" si="37"/>
        <v>4649</v>
      </c>
      <c r="Y489" s="1" t="str">
        <f t="shared" si="38"/>
        <v>EMERALD LEAF TRIBE|5</v>
      </c>
      <c r="Z489" s="19">
        <f>IF($C489="","",IF($G489="","",RANK($G489,$G$4:$G$1463)+COUNTIF($G$4:$G489,$G489)-1))</f>
        <v>458</v>
      </c>
      <c r="AA489" s="19">
        <f>IF($C489="","",IF($N489="","",RANK($N489,$N$4:$N$1463)+COUNTIF($N$4:$N489,$N489)-1))</f>
        <v>486</v>
      </c>
      <c r="AB489" s="1" t="str">
        <f>IF($C489="","",IF($E489="","",$E489&amp;"#"&amp;(COUNTIFS($E$4:$E$1463,$E489,$X$4:$X$1463,"&gt;"&amp;$X489)+COUNTIFS($E$4:$E489,$E489,$X$4:$X489,"="&amp;$X489))))</f>
        <v>BARBARIAN#92</v>
      </c>
      <c r="AC489" s="1" t="str">
        <f>IF($C489="","",$B489&amp;"@"&amp;(COUNTIFS($B$4:$B$1463,$B489,$C$4:$C$1463,"&lt;"&amp;$C489)+COUNTIFS($B$4:$B489,$B489,$C$4:$C489,$C489)))</f>
        <v>EMERALD LEAF TRIBE@33</v>
      </c>
      <c r="AD489" s="1">
        <f t="shared" si="39"/>
        <v>486</v>
      </c>
      <c r="AE489" s="1" t="s">
        <v>1405</v>
      </c>
      <c r="AF489" s="76">
        <f t="shared" si="40"/>
        <v>62936</v>
      </c>
      <c r="AG489" s="77">
        <f t="shared" si="41"/>
        <v>4.7</v>
      </c>
      <c r="AH489" s="1" t="str">
        <f>IF($C489="","",$B489&amp;"|"&amp;(COUNTIFS($B$4:$B$1463,$B489,$AF$4:$AF$1463,"&gt;"&amp;$AF489)+COUNTIFS($B$4:$B489,$B489,$AF$4:$AF489,"="&amp;$AF489)))</f>
        <v>EMERALD LEAF TRIBE|6</v>
      </c>
      <c r="AI489" s="1" t="str">
        <f>IF($C489="","",$B489&amp;"|"&amp;(COUNTIFS($B$4:$B$1463,$B489,$AG$4:$AG$1463,"&gt;"&amp;$AG489)+COUNTIFS($B$4:$B489,$B489,$AG$4:$AG489,"="&amp;$AG489)))</f>
        <v>EMERALD LEAF TRIBE|12</v>
      </c>
    </row>
    <row r="490" spans="1:35" hidden="1">
      <c r="A490" s="69" t="s">
        <v>106</v>
      </c>
      <c r="B490" s="69" t="s">
        <v>86</v>
      </c>
      <c r="C490" s="63" t="s">
        <v>1406</v>
      </c>
      <c r="D490" s="69"/>
      <c r="E490" s="68" t="s">
        <v>79</v>
      </c>
      <c r="F490" s="15" t="str">
        <f>IF($C490="","",IF($E490="","-",IFERROR(INDEX(SETUP!$B$55:$B$64,MATCH($E490,SETUP!$A$55:$A$64,0)),"Other")))</f>
        <v>Control</v>
      </c>
      <c r="G490" s="70">
        <v>63452</v>
      </c>
      <c r="H490" s="15" t="str">
        <f>IF($C490="","",IF($G490="","-",INDEX(SETUP!$B$26:$B$32,MATCH($G490,SETUP!$A$26:$A$32,1))))</f>
        <v>63,000 - 63,999</v>
      </c>
      <c r="I490" s="70">
        <v>4581</v>
      </c>
      <c r="J490" s="15" t="str">
        <f>IF($C490="","",IF($I490="","-",INDEX(SETUP!$B$16:$B$22,MATCH($I490,SETUP!$A$16:$A$22,1))))</f>
        <v>CORE</v>
      </c>
      <c r="K490" s="15" t="str">
        <f>IF($C490="","",IF($I490="","-",TEXT(INT($I490/1000)*1000,"#,##0")&amp;" - "&amp;TEXT(INT($I490/1000)*1000+999,"#,##0")))</f>
        <v>4,000 - 4,999</v>
      </c>
      <c r="L490" s="71">
        <v>4.6100000000000003</v>
      </c>
      <c r="M490" s="15" t="str">
        <f>IF($C490="","",IF($L490="","-",INDEX(SETUP!$B$36:$B$42,MATCH($L490,SETUP!$A$36:$A$42,1))))</f>
        <v>4k - 5k</v>
      </c>
      <c r="N490" s="17">
        <f>IF($C490="","",IF(OR($G490="",$I490=""),"",ROUND(100*(SETUP!$B$4*MIN(1,$I490/SETUP!$B$9)+SETUP!$B$5*MAX(0,MIN(1,($G490-SETUP!$B$10)/(SETUP!$B$11-SETUP!$B$10)))+SETUP!$B$6*MIN(1,IF($L490="",0,$L490)/SETUP!$B$12)),1)))</f>
        <v>49.9</v>
      </c>
      <c r="O490" s="15" t="str">
        <f>IF($C490="","",IF($N490="","-",INDEX(SETUP!$B$46:$B$51,MATCH($N490,SETUP!$A$46:$A$51,1))))</f>
        <v>B</v>
      </c>
      <c r="P490" s="15">
        <f>IF($C490="","",IF($I490="","",RANK($I490,$I$4:$I$1463)+COUNTIF($I$4:$I490,$I490)-1))</f>
        <v>477</v>
      </c>
      <c r="Q490" s="15">
        <f>IF($C490="","",COUNTIFS($B$4:$B$1463,$B490,$X$4:$X$1463,"&gt;"&amp;$X490)+COUNTIFS($B$4:$B490,$B490,$X$4:$X490,"="&amp;$X490))</f>
        <v>71</v>
      </c>
      <c r="R490" s="72">
        <f>IF($C490="","",IF($I490="","",ROUND(COUNTIF($I$4:$I$1463,"&lt;"&amp;$I490)/COUNT($I$4:$I$1463),3)))</f>
        <v>0.63900000000000001</v>
      </c>
      <c r="S490" s="15" t="str">
        <f>IF($C490="","",IF($G490="","Name only",IF(OR($I490="",$L490=""),"Partial","Complete")))</f>
        <v>Complete</v>
      </c>
      <c r="T490" s="41" t="str">
        <f>IF($C490="","",TRIM(IF(COUNTIF($C$4:$C$1463,$C490)&gt;1,"Dup name; ","")&amp;IF(AND($G490&lt;&gt;"",$G490&lt;55000),"Low CR - verify; ","")&amp;IF(AND($L490&lt;&gt;"",$L490&gt;15),"Secondary - verify; ","")&amp;IF($E490="","No class; ","")))</f>
        <v/>
      </c>
      <c r="U490" s="68"/>
      <c r="V490" s="68"/>
      <c r="W490" s="68"/>
      <c r="X490" s="73">
        <f t="shared" si="37"/>
        <v>4581</v>
      </c>
      <c r="Y490" s="41" t="str">
        <f t="shared" si="38"/>
        <v>VANGUARD|71</v>
      </c>
      <c r="Z490" s="15">
        <f>IF($C490="","",IF($G490="","",RANK($G490,$G$4:$G$1463)+COUNTIF($G$4:$G490,$G490)-1))</f>
        <v>204</v>
      </c>
      <c r="AA490" s="15">
        <f>IF($C490="","",IF($N490="","",RANK($N490,$N$4:$N$1463)+COUNTIF($N$4:$N490,$N490)-1))</f>
        <v>461</v>
      </c>
      <c r="AB490" s="41" t="str">
        <f>IF($C490="","",IF($E490="","",$E490&amp;"#"&amp;(COUNTIFS($E$4:$E$1463,$E490,$X$4:$X$1463,"&gt;"&amp;$X490)+COUNTIFS($E$4:$E490,$E490,$X$4:$X490,"="&amp;$X490))))</f>
        <v>WARLOCK#111</v>
      </c>
      <c r="AC490" s="41" t="str">
        <f>IF($C490="","",$B490&amp;"@"&amp;(COUNTIFS($B$4:$B$1463,$B490,$C$4:$C$1463,"&lt;"&amp;$C490)+COUNTIFS($B$4:$B490,$B490,$C$4:$C490,$C490)))</f>
        <v>VANGUARD@45</v>
      </c>
      <c r="AD490" s="41">
        <f t="shared" si="39"/>
        <v>487</v>
      </c>
      <c r="AE490" s="41" t="s">
        <v>664</v>
      </c>
      <c r="AF490" s="73">
        <f t="shared" si="40"/>
        <v>63452</v>
      </c>
      <c r="AG490" s="74">
        <f t="shared" si="41"/>
        <v>4.6100000000000003</v>
      </c>
      <c r="AH490" s="41" t="str">
        <f>IF($C490="","",$B490&amp;"|"&amp;(COUNTIFS($B$4:$B$1463,$B490,$AF$4:$AF$1463,"&gt;"&amp;$AF490)+COUNTIFS($B$4:$B490,$B490,$AF$4:$AF490,"="&amp;$AF490)))</f>
        <v>VANGUARD|43</v>
      </c>
      <c r="AI490" s="41" t="str">
        <f>IF($C490="","",$B490&amp;"|"&amp;(COUNTIFS($B$4:$B$1463,$B490,$AG$4:$AG$1463,"&gt;"&amp;$AG490)+COUNTIFS($B$4:$B490,$B490,$AG$4:$AG490,"="&amp;$AG490)))</f>
        <v>VANGUARD|77</v>
      </c>
    </row>
    <row r="491" spans="1:35" hidden="1">
      <c r="A491" s="69" t="s">
        <v>106</v>
      </c>
      <c r="B491" s="69" t="s">
        <v>107</v>
      </c>
      <c r="C491" s="63" t="s">
        <v>1407</v>
      </c>
      <c r="D491" s="69"/>
      <c r="E491" s="68" t="s">
        <v>72</v>
      </c>
      <c r="F491" s="19" t="str">
        <f>IF($C491="","",IF($E491="","-",IFERROR(INDEX(SETUP!$B$55:$B$64,MATCH($E491,SETUP!$A$55:$A$64,0)),"Other")))</f>
        <v>Frontline</v>
      </c>
      <c r="G491" s="70">
        <v>62277</v>
      </c>
      <c r="H491" s="19" t="str">
        <f>IF($C491="","",IF($G491="","-",INDEX(SETUP!$B$26:$B$32,MATCH($G491,SETUP!$A$26:$A$32,1))))</f>
        <v>62,000 - 62,999</v>
      </c>
      <c r="I491" s="70">
        <v>2230</v>
      </c>
      <c r="J491" s="19" t="str">
        <f>IF($C491="","",IF($I491="","-",INDEX(SETUP!$B$16:$B$22,MATCH($I491,SETUP!$A$16:$A$22,1))))</f>
        <v>DEVELOPING</v>
      </c>
      <c r="K491" s="19" t="str">
        <f>IF($C491="","",IF($I491="","-",TEXT(INT($I491/1000)*1000,"#,##0")&amp;" - "&amp;TEXT(INT($I491/1000)*1000+999,"#,##0")))</f>
        <v>2,000 - 2,999</v>
      </c>
      <c r="L491" s="71">
        <v>4.5999999999999996</v>
      </c>
      <c r="M491" s="19" t="str">
        <f>IF($C491="","",IF($L491="","-",INDEX(SETUP!$B$36:$B$42,MATCH($L491,SETUP!$A$36:$A$42,1))))</f>
        <v>4k - 5k</v>
      </c>
      <c r="N491" s="21">
        <f>IF($C491="","",IF(OR($G491="",$I491=""),"",ROUND(100*(SETUP!$B$4*MIN(1,$I491/SETUP!$B$9)+SETUP!$B$5*MAX(0,MIN(1,($G491-SETUP!$B$10)/(SETUP!$B$11-SETUP!$B$10)))+SETUP!$B$6*MIN(1,IF($L491="",0,$L491)/SETUP!$B$12)),1)))</f>
        <v>36.6</v>
      </c>
      <c r="O491" s="19" t="str">
        <f>IF($C491="","",IF($N491="","-",INDEX(SETUP!$B$46:$B$51,MATCH($N491,SETUP!$A$46:$A$51,1))))</f>
        <v>B</v>
      </c>
      <c r="P491" s="19">
        <f>IF($C491="","",IF($I491="","",RANK($I491,$I$4:$I$1463)+COUNTIF($I$4:$I491,$I491)-1))</f>
        <v>1059</v>
      </c>
      <c r="Q491" s="19">
        <f>IF($C491="","",COUNTIFS($B$4:$B$1463,$B491,$X$4:$X$1463,"&gt;"&amp;$X491)+COUNTIFS($B$4:$B491,$B491,$X$4:$X491,"="&amp;$X491))</f>
        <v>93</v>
      </c>
      <c r="R491" s="75">
        <f>IF($C491="","",IF($I491="","",ROUND(COUNTIF($I$4:$I$1463,"&lt;"&amp;$I491)/COUNT($I$4:$I$1463),3)))</f>
        <v>0.20100000000000001</v>
      </c>
      <c r="S491" s="19" t="str">
        <f>IF($C491="","",IF($G491="","Name only",IF(OR($I491="",$L491=""),"Partial","Complete")))</f>
        <v>Complete</v>
      </c>
      <c r="T491" s="1" t="str">
        <f>IF($C491="","",TRIM(IF(COUNTIF($C$4:$C$1463,$C491)&gt;1,"Dup name; ","")&amp;IF(AND($G491&lt;&gt;"",$G491&lt;55000),"Low CR - verify; ","")&amp;IF(AND($L491&lt;&gt;"",$L491&gt;15),"Secondary - verify; ","")&amp;IF($E491="","No class; ","")))</f>
        <v/>
      </c>
      <c r="U491" s="68"/>
      <c r="V491" s="68"/>
      <c r="W491" s="68"/>
      <c r="X491" s="76">
        <f t="shared" si="37"/>
        <v>2230</v>
      </c>
      <c r="Y491" s="1" t="str">
        <f t="shared" si="38"/>
        <v>UNDYING|93</v>
      </c>
      <c r="Z491" s="19">
        <f>IF($C491="","",IF($G491="","",RANK($G491,$G$4:$G$1463)+COUNTIF($G$4:$G491,$G491)-1))</f>
        <v>728</v>
      </c>
      <c r="AA491" s="19">
        <f>IF($C491="","",IF($N491="","",RANK($N491,$N$4:$N$1463)+COUNTIF($N$4:$N491,$N491)-1))</f>
        <v>943</v>
      </c>
      <c r="AB491" s="1" t="str">
        <f>IF($C491="","",IF($E491="","",$E491&amp;"#"&amp;(COUNTIFS($E$4:$E$1463,$E491,$X$4:$X$1463,"&gt;"&amp;$X491)+COUNTIFS($E$4:$E491,$E491,$X$4:$X491,"="&amp;$X491))))</f>
        <v>BLOOD KNIGHT#71</v>
      </c>
      <c r="AC491" s="1" t="str">
        <f>IF($C491="","",$B491&amp;"@"&amp;(COUNTIFS($B$4:$B$1463,$B491,$C$4:$C$1463,"&lt;"&amp;$C491)+COUNTIFS($B$4:$B491,$B491,$C$4:$C491,$C491)))</f>
        <v>UNDYING@40</v>
      </c>
      <c r="AD491" s="1">
        <f t="shared" si="39"/>
        <v>488</v>
      </c>
      <c r="AE491" s="1" t="s">
        <v>553</v>
      </c>
      <c r="AF491" s="76">
        <f t="shared" si="40"/>
        <v>62277</v>
      </c>
      <c r="AG491" s="77">
        <f t="shared" si="41"/>
        <v>4.5999999999999996</v>
      </c>
      <c r="AH491" s="1" t="str">
        <f>IF($C491="","",$B491&amp;"|"&amp;(COUNTIFS($B$4:$B$1463,$B491,$AF$4:$AF$1463,"&gt;"&amp;$AF491)+COUNTIFS($B$4:$B491,$B491,$AF$4:$AF491,"="&amp;$AF491)))</f>
        <v>UNDYING|71</v>
      </c>
      <c r="AI491" s="1" t="str">
        <f>IF($C491="","",$B491&amp;"|"&amp;(COUNTIFS($B$4:$B$1463,$B491,$AG$4:$AG$1463,"&gt;"&amp;$AG491)+COUNTIFS($B$4:$B491,$B491,$AG$4:$AG491,"="&amp;$AG491)))</f>
        <v>UNDYING|68</v>
      </c>
    </row>
    <row r="492" spans="1:35" hidden="1">
      <c r="A492" s="69" t="s">
        <v>106</v>
      </c>
      <c r="B492" s="69" t="s">
        <v>107</v>
      </c>
      <c r="C492" s="63" t="s">
        <v>1408</v>
      </c>
      <c r="D492" s="69"/>
      <c r="E492" s="68" t="s">
        <v>74</v>
      </c>
      <c r="F492" s="15" t="str">
        <f>IF($C492="","",IF($E492="","-",IFERROR(INDEX(SETUP!$B$55:$B$64,MATCH($E492,SETUP!$A$55:$A$64,0)),"Other")))</f>
        <v>Ranged DPS</v>
      </c>
      <c r="G492" s="70">
        <v>63188</v>
      </c>
      <c r="H492" s="15" t="str">
        <f>IF($C492="","",IF($G492="","-",INDEX(SETUP!$B$26:$B$32,MATCH($G492,SETUP!$A$26:$A$32,1))))</f>
        <v>63,000 - 63,999</v>
      </c>
      <c r="I492" s="70">
        <v>4635</v>
      </c>
      <c r="J492" s="15" t="str">
        <f>IF($C492="","",IF($I492="","-",INDEX(SETUP!$B$16:$B$22,MATCH($I492,SETUP!$A$16:$A$22,1))))</f>
        <v>CORE</v>
      </c>
      <c r="K492" s="15" t="str">
        <f>IF($C492="","",IF($I492="","-",TEXT(INT($I492/1000)*1000,"#,##0")&amp;" - "&amp;TEXT(INT($I492/1000)*1000+999,"#,##0")))</f>
        <v>4,000 - 4,999</v>
      </c>
      <c r="L492" s="71">
        <v>4.4000000000000004</v>
      </c>
      <c r="M492" s="15" t="str">
        <f>IF($C492="","",IF($L492="","-",INDEX(SETUP!$B$36:$B$42,MATCH($L492,SETUP!$A$36:$A$42,1))))</f>
        <v>4k - 5k</v>
      </c>
      <c r="N492" s="17">
        <f>IF($C492="","",IF(OR($G492="",$I492=""),"",ROUND(100*(SETUP!$B$4*MIN(1,$I492/SETUP!$B$9)+SETUP!$B$5*MAX(0,MIN(1,($G492-SETUP!$B$10)/(SETUP!$B$11-SETUP!$B$10)))+SETUP!$B$6*MIN(1,IF($L492="",0,$L492)/SETUP!$B$12)),1)))</f>
        <v>49.1</v>
      </c>
      <c r="O492" s="15" t="str">
        <f>IF($C492="","",IF($N492="","-",INDEX(SETUP!$B$46:$B$51,MATCH($N492,SETUP!$A$46:$A$51,1))))</f>
        <v>B</v>
      </c>
      <c r="P492" s="15">
        <f>IF($C492="","",IF($I492="","",RANK($I492,$I$4:$I$1463)+COUNTIF($I$4:$I492,$I492)-1))</f>
        <v>464</v>
      </c>
      <c r="Q492" s="15">
        <f>IF($C492="","",COUNTIFS($B$4:$B$1463,$B492,$X$4:$X$1463,"&gt;"&amp;$X492)+COUNTIFS($B$4:$B492,$B492,$X$4:$X492,"="&amp;$X492))</f>
        <v>33</v>
      </c>
      <c r="R492" s="72">
        <f>IF($C492="","",IF($I492="","",ROUND(COUNTIF($I$4:$I$1463,"&lt;"&amp;$I492)/COUNT($I$4:$I$1463),3)))</f>
        <v>0.65</v>
      </c>
      <c r="S492" s="15" t="str">
        <f>IF($C492="","",IF($G492="","Name only",IF(OR($I492="",$L492=""),"Partial","Complete")))</f>
        <v>Complete</v>
      </c>
      <c r="T492" s="41" t="str">
        <f>IF($C492="","",TRIM(IF(COUNTIF($C$4:$C$1463,$C492)&gt;1,"Dup name; ","")&amp;IF(AND($G492&lt;&gt;"",$G492&lt;55000),"Low CR - verify; ","")&amp;IF(AND($L492&lt;&gt;"",$L492&gt;15),"Secondary - verify; ","")&amp;IF($E492="","No class; ","")))</f>
        <v/>
      </c>
      <c r="U492" s="68"/>
      <c r="V492" s="68"/>
      <c r="W492" s="68"/>
      <c r="X492" s="73">
        <f t="shared" si="37"/>
        <v>4635</v>
      </c>
      <c r="Y492" s="41" t="str">
        <f t="shared" si="38"/>
        <v>UNDYING|33</v>
      </c>
      <c r="Z492" s="15">
        <f>IF($C492="","",IF($G492="","",RANK($G492,$G$4:$G$1463)+COUNTIF($G$4:$G492,$G492)-1))</f>
        <v>323</v>
      </c>
      <c r="AA492" s="15">
        <f>IF($C492="","",IF($N492="","",RANK($N492,$N$4:$N$1463)+COUNTIF($N$4:$N492,$N492)-1))</f>
        <v>481</v>
      </c>
      <c r="AB492" s="41" t="str">
        <f>IF($C492="","",IF($E492="","",$E492&amp;"#"&amp;(COUNTIFS($E$4:$E$1463,$E492,$X$4:$X$1463,"&gt;"&amp;$X492)+COUNTIFS($E$4:$E492,$E492,$X$4:$X492,"="&amp;$X492))))</f>
        <v>DEMON HUNTER#77</v>
      </c>
      <c r="AC492" s="41" t="str">
        <f>IF($C492="","",$B492&amp;"@"&amp;(COUNTIFS($B$4:$B$1463,$B492,$C$4:$C$1463,"&lt;"&amp;$C492)+COUNTIFS($B$4:$B492,$B492,$C$4:$C492,$C492)))</f>
        <v>UNDYING@41</v>
      </c>
      <c r="AD492" s="41">
        <f t="shared" si="39"/>
        <v>489</v>
      </c>
      <c r="AE492" s="41" t="s">
        <v>592</v>
      </c>
      <c r="AF492" s="73">
        <f t="shared" si="40"/>
        <v>63188</v>
      </c>
      <c r="AG492" s="74">
        <f t="shared" si="41"/>
        <v>4.4000000000000004</v>
      </c>
      <c r="AH492" s="41" t="str">
        <f>IF($C492="","",$B492&amp;"|"&amp;(COUNTIFS($B$4:$B$1463,$B492,$AF$4:$AF$1463,"&gt;"&amp;$AF492)+COUNTIFS($B$4:$B492,$B492,$AF$4:$AF492,"="&amp;$AF492)))</f>
        <v>UNDYING|33</v>
      </c>
      <c r="AI492" s="41" t="str">
        <f>IF($C492="","",$B492&amp;"|"&amp;(COUNTIFS($B$4:$B$1463,$B492,$AG$4:$AG$1463,"&gt;"&amp;$AG492)+COUNTIFS($B$4:$B492,$B492,$AG$4:$AG492,"="&amp;$AG492)))</f>
        <v>UNDYING|72</v>
      </c>
    </row>
    <row r="493" spans="1:35" hidden="1">
      <c r="A493" s="69" t="s">
        <v>109</v>
      </c>
      <c r="B493" s="69" t="s">
        <v>113</v>
      </c>
      <c r="C493" s="63" t="s">
        <v>1409</v>
      </c>
      <c r="D493" s="69" t="s">
        <v>548</v>
      </c>
      <c r="E493" s="68" t="s">
        <v>73</v>
      </c>
      <c r="F493" s="19" t="str">
        <f>IF($C493="","",IF($E493="","-",IFERROR(INDEX(SETUP!$B$55:$B$64,MATCH($E493,SETUP!$A$55:$A$64,0)),"Other")))</f>
        <v>Frontline</v>
      </c>
      <c r="G493" s="70">
        <v>63270</v>
      </c>
      <c r="H493" s="19" t="str">
        <f>IF($C493="","",IF($G493="","-",INDEX(SETUP!$B$26:$B$32,MATCH($G493,SETUP!$A$26:$A$32,1))))</f>
        <v>63,000 - 63,999</v>
      </c>
      <c r="I493" s="70">
        <v>4398</v>
      </c>
      <c r="J493" s="19" t="str">
        <f>IF($C493="","",IF($I493="","-",INDEX(SETUP!$B$16:$B$22,MATCH($I493,SETUP!$A$16:$A$22,1))))</f>
        <v>CORE</v>
      </c>
      <c r="K493" s="19" t="str">
        <f>IF($C493="","",IF($I493="","-",TEXT(INT($I493/1000)*1000,"#,##0")&amp;" - "&amp;TEXT(INT($I493/1000)*1000+999,"#,##0")))</f>
        <v>4,000 - 4,999</v>
      </c>
      <c r="L493" s="71">
        <v>4.8499999999999996</v>
      </c>
      <c r="M493" s="19" t="str">
        <f>IF($C493="","",IF($L493="","-",INDEX(SETUP!$B$36:$B$42,MATCH($L493,SETUP!$A$36:$A$42,1))))</f>
        <v>4k - 5k</v>
      </c>
      <c r="N493" s="21">
        <f>IF($C493="","",IF(OR($G493="",$I493=""),"",ROUND(100*(SETUP!$B$4*MIN(1,$I493/SETUP!$B$9)+SETUP!$B$5*MAX(0,MIN(1,($G493-SETUP!$B$10)/(SETUP!$B$11-SETUP!$B$10)))+SETUP!$B$6*MIN(1,IF($L493="",0,$L493)/SETUP!$B$12)),1)))</f>
        <v>49</v>
      </c>
      <c r="O493" s="19" t="str">
        <f>IF($C493="","",IF($N493="","-",INDEX(SETUP!$B$46:$B$51,MATCH($N493,SETUP!$A$46:$A$51,1))))</f>
        <v>B</v>
      </c>
      <c r="P493" s="19">
        <f>IF($C493="","",IF($I493="","",RANK($I493,$I$4:$I$1463)+COUNTIF($I$4:$I493,$I493)-1))</f>
        <v>515</v>
      </c>
      <c r="Q493" s="19">
        <f>IF($C493="","",COUNTIFS($B$4:$B$1463,$B493,$X$4:$X$1463,"&gt;"&amp;$X493)+COUNTIFS($B$4:$B493,$B493,$X$4:$X493,"="&amp;$X493))</f>
        <v>22</v>
      </c>
      <c r="R493" s="75">
        <f>IF($C493="","",IF($I493="","",ROUND(COUNTIF($I$4:$I$1463,"&lt;"&amp;$I493)/COUNT($I$4:$I$1463),3)))</f>
        <v>0.61099999999999999</v>
      </c>
      <c r="S493" s="19" t="str">
        <f>IF($C493="","",IF($G493="","Name only",IF(OR($I493="",$L493=""),"Partial","Complete")))</f>
        <v>Complete</v>
      </c>
      <c r="T493" s="1" t="str">
        <f>IF($C493="","",TRIM(IF(COUNTIF($C$4:$C$1463,$C493)&gt;1,"Dup name; ","")&amp;IF(AND($G493&lt;&gt;"",$G493&lt;55000),"Low CR - verify; ","")&amp;IF(AND($L493&lt;&gt;"",$L493&gt;15),"Secondary - verify; ","")&amp;IF($E493="","No class; ","")))</f>
        <v/>
      </c>
      <c r="U493" s="68"/>
      <c r="V493" s="68"/>
      <c r="W493" s="68"/>
      <c r="X493" s="76">
        <f t="shared" si="37"/>
        <v>4398</v>
      </c>
      <c r="Y493" s="1" t="str">
        <f t="shared" si="38"/>
        <v>INVICTUS|22</v>
      </c>
      <c r="Z493" s="19">
        <f>IF($C493="","",IF($G493="","",RANK($G493,$G$4:$G$1463)+COUNTIF($G$4:$G493,$G493)-1))</f>
        <v>277</v>
      </c>
      <c r="AA493" s="19">
        <f>IF($C493="","",IF($N493="","",RANK($N493,$N$4:$N$1463)+COUNTIF($N$4:$N493,$N493)-1))</f>
        <v>487</v>
      </c>
      <c r="AB493" s="1" t="str">
        <f>IF($C493="","",IF($E493="","",$E493&amp;"#"&amp;(COUNTIFS($E$4:$E$1463,$E493,$X$4:$X$1463,"&gt;"&amp;$X493)+COUNTIFS($E$4:$E493,$E493,$X$4:$X493,"="&amp;$X493))))</f>
        <v>CRUSADER#60</v>
      </c>
      <c r="AC493" s="1" t="str">
        <f>IF($C493="","",$B493&amp;"@"&amp;(COUNTIFS($B$4:$B$1463,$B493,$C$4:$C$1463,"&lt;"&amp;$C493)+COUNTIFS($B$4:$B493,$B493,$C$4:$C493,$C493)))</f>
        <v>INVICTUS@31</v>
      </c>
      <c r="AD493" s="1">
        <f t="shared" si="39"/>
        <v>490</v>
      </c>
      <c r="AE493" s="1" t="s">
        <v>1410</v>
      </c>
      <c r="AF493" s="76">
        <f t="shared" si="40"/>
        <v>63270</v>
      </c>
      <c r="AG493" s="77">
        <f t="shared" si="41"/>
        <v>4.8499999999999996</v>
      </c>
      <c r="AH493" s="1" t="str">
        <f>IF($C493="","",$B493&amp;"|"&amp;(COUNTIFS($B$4:$B$1463,$B493,$AF$4:$AF$1463,"&gt;"&amp;$AF493)+COUNTIFS($B$4:$B493,$B493,$AF$4:$AF493,"="&amp;$AF493)))</f>
        <v>INVICTUS|11</v>
      </c>
      <c r="AI493" s="1" t="str">
        <f>IF($C493="","",$B493&amp;"|"&amp;(COUNTIFS($B$4:$B$1463,$B493,$AG$4:$AG$1463,"&gt;"&amp;$AG493)+COUNTIFS($B$4:$B493,$B493,$AG$4:$AG493,"="&amp;$AG493)))</f>
        <v>INVICTUS|35</v>
      </c>
    </row>
    <row r="494" spans="1:35" hidden="1">
      <c r="A494" s="69" t="s">
        <v>109</v>
      </c>
      <c r="B494" s="69" t="s">
        <v>111</v>
      </c>
      <c r="C494" s="63" t="s">
        <v>1411</v>
      </c>
      <c r="D494" s="69" t="s">
        <v>527</v>
      </c>
      <c r="E494" s="68" t="s">
        <v>79</v>
      </c>
      <c r="F494" s="15" t="str">
        <f>IF($C494="","",IF($E494="","-",IFERROR(INDEX(SETUP!$B$55:$B$64,MATCH($E494,SETUP!$A$55:$A$64,0)),"Other")))</f>
        <v>Control</v>
      </c>
      <c r="G494" s="70">
        <v>62497</v>
      </c>
      <c r="H494" s="15" t="str">
        <f>IF($C494="","",IF($G494="","-",INDEX(SETUP!$B$26:$B$32,MATCH($G494,SETUP!$A$26:$A$32,1))))</f>
        <v>62,000 - 62,999</v>
      </c>
      <c r="I494" s="70">
        <v>7165</v>
      </c>
      <c r="J494" s="15" t="str">
        <f>IF($C494="","",IF($I494="","-",INDEX(SETUP!$B$16:$B$22,MATCH($I494,SETUP!$A$16:$A$22,1))))</f>
        <v>VETERAN</v>
      </c>
      <c r="K494" s="15" t="str">
        <f>IF($C494="","",IF($I494="","-",TEXT(INT($I494/1000)*1000,"#,##0")&amp;" - "&amp;TEXT(INT($I494/1000)*1000+999,"#,##0")))</f>
        <v>7,000 - 7,999</v>
      </c>
      <c r="L494" s="71">
        <v>5.0999999999999996</v>
      </c>
      <c r="M494" s="15" t="str">
        <f>IF($C494="","",IF($L494="","-",INDEX(SETUP!$B$36:$B$42,MATCH($L494,SETUP!$A$36:$A$42,1))))</f>
        <v>5k - 6k</v>
      </c>
      <c r="N494" s="17">
        <f>IF($C494="","",IF(OR($G494="",$I494=""),"",ROUND(100*(SETUP!$B$4*MIN(1,$I494/SETUP!$B$9)+SETUP!$B$5*MAX(0,MIN(1,($G494-SETUP!$B$10)/(SETUP!$B$11-SETUP!$B$10)))+SETUP!$B$6*MIN(1,IF($L494="",0,$L494)/SETUP!$B$12)),1)))</f>
        <v>59.5</v>
      </c>
      <c r="O494" s="15" t="str">
        <f>IF($C494="","",IF($N494="","-",INDEX(SETUP!$B$46:$B$51,MATCH($N494,SETUP!$A$46:$A$51,1))))</f>
        <v>A</v>
      </c>
      <c r="P494" s="15">
        <f>IF($C494="","",IF($I494="","",RANK($I494,$I$4:$I$1463)+COUNTIF($I$4:$I494,$I494)-1))</f>
        <v>208</v>
      </c>
      <c r="Q494" s="15">
        <f>IF($C494="","",COUNTIFS($B$4:$B$1463,$B494,$X$4:$X$1463,"&gt;"&amp;$X494)+COUNTIFS($B$4:$B494,$B494,$X$4:$X494,"="&amp;$X494))</f>
        <v>25</v>
      </c>
      <c r="R494" s="72">
        <f>IF($C494="","",IF($I494="","",ROUND(COUNTIF($I$4:$I$1463,"&lt;"&amp;$I494)/COUNT($I$4:$I$1463),3)))</f>
        <v>0.84299999999999997</v>
      </c>
      <c r="S494" s="15" t="str">
        <f>IF($C494="","",IF($G494="","Name only",IF(OR($I494="",$L494=""),"Partial","Complete")))</f>
        <v>Complete</v>
      </c>
      <c r="T494" s="41" t="str">
        <f>IF($C494="","",TRIM(IF(COUNTIF($C$4:$C$1463,$C494)&gt;1,"Dup name; ","")&amp;IF(AND($G494&lt;&gt;"",$G494&lt;55000),"Low CR - verify; ","")&amp;IF(AND($L494&lt;&gt;"",$L494&gt;15),"Secondary - verify; ","")&amp;IF($E494="","No class; ","")))</f>
        <v/>
      </c>
      <c r="U494" s="68"/>
      <c r="V494" s="68"/>
      <c r="W494" s="68"/>
      <c r="X494" s="73">
        <f t="shared" si="37"/>
        <v>7165</v>
      </c>
      <c r="Y494" s="41" t="str">
        <f t="shared" si="38"/>
        <v>RECKONING|25</v>
      </c>
      <c r="Z494" s="15">
        <f>IF($C494="","",IF($G494="","",RANK($G494,$G$4:$G$1463)+COUNTIF($G$4:$G494,$G494)-1))</f>
        <v>656</v>
      </c>
      <c r="AA494" s="15">
        <f>IF($C494="","",IF($N494="","",RANK($N494,$N$4:$N$1463)+COUNTIF($N$4:$N494,$N494)-1))</f>
        <v>243</v>
      </c>
      <c r="AB494" s="41" t="str">
        <f>IF($C494="","",IF($E494="","",$E494&amp;"#"&amp;(COUNTIFS($E$4:$E$1463,$E494,$X$4:$X$1463,"&gt;"&amp;$X494)+COUNTIFS($E$4:$E494,$E494,$X$4:$X494,"="&amp;$X494))))</f>
        <v>WARLOCK#44</v>
      </c>
      <c r="AC494" s="41" t="str">
        <f>IF($C494="","",$B494&amp;"@"&amp;(COUNTIFS($B$4:$B$1463,$B494,$C$4:$C$1463,"&lt;"&amp;$C494)+COUNTIFS($B$4:$B494,$B494,$C$4:$C494,$C494)))</f>
        <v>RECKONING@34</v>
      </c>
      <c r="AD494" s="41">
        <f t="shared" si="39"/>
        <v>491</v>
      </c>
      <c r="AE494" s="41" t="s">
        <v>1412</v>
      </c>
      <c r="AF494" s="73">
        <f t="shared" si="40"/>
        <v>62497</v>
      </c>
      <c r="AG494" s="74">
        <f t="shared" si="41"/>
        <v>5.0999999999999996</v>
      </c>
      <c r="AH494" s="41" t="str">
        <f>IF($C494="","",$B494&amp;"|"&amp;(COUNTIFS($B$4:$B$1463,$B494,$AF$4:$AF$1463,"&gt;"&amp;$AF494)+COUNTIFS($B$4:$B494,$B494,$AF$4:$AF494,"="&amp;$AF494)))</f>
        <v>RECKONING|59</v>
      </c>
      <c r="AI494" s="41" t="str">
        <f>IF($C494="","",$B494&amp;"|"&amp;(COUNTIFS($B$4:$B$1463,$B494,$AG$4:$AG$1463,"&gt;"&amp;$AG494)+COUNTIFS($B$4:$B494,$B494,$AG$4:$AG494,"="&amp;$AG494)))</f>
        <v>RECKONING|59</v>
      </c>
    </row>
    <row r="495" spans="1:35" hidden="1">
      <c r="A495" s="69" t="s">
        <v>109</v>
      </c>
      <c r="B495" s="69" t="s">
        <v>117</v>
      </c>
      <c r="C495" s="63" t="s">
        <v>1413</v>
      </c>
      <c r="D495" s="69"/>
      <c r="E495" s="68" t="s">
        <v>77</v>
      </c>
      <c r="F495" s="19" t="str">
        <f>IF($C495="","",IF($E495="","-",IFERROR(INDEX(SETUP!$B$55:$B$64,MATCH($E495,SETUP!$A$55:$A$64,0)),"Other")))</f>
        <v>Control</v>
      </c>
      <c r="G495" s="70">
        <v>60649</v>
      </c>
      <c r="H495" s="19" t="str">
        <f>IF($C495="","",IF($G495="","-",INDEX(SETUP!$B$26:$B$32,MATCH($G495,SETUP!$A$26:$A$32,1))))</f>
        <v>60,000 - 60,999</v>
      </c>
      <c r="I495" s="70">
        <v>1470</v>
      </c>
      <c r="J495" s="19" t="str">
        <f>IF($C495="","",IF($I495="","-",INDEX(SETUP!$B$16:$B$22,MATCH($I495,SETUP!$A$16:$A$22,1))))</f>
        <v>ROOKIE</v>
      </c>
      <c r="K495" s="19" t="str">
        <f>IF($C495="","",IF($I495="","-",TEXT(INT($I495/1000)*1000,"#,##0")&amp;" - "&amp;TEXT(INT($I495/1000)*1000+999,"#,##0")))</f>
        <v>1,000 - 1,999</v>
      </c>
      <c r="L495" s="71">
        <v>3</v>
      </c>
      <c r="M495" s="19" t="str">
        <f>IF($C495="","",IF($L495="","-",INDEX(SETUP!$B$36:$B$42,MATCH($L495,SETUP!$A$36:$A$42,1))))</f>
        <v>3k - 4k</v>
      </c>
      <c r="N495" s="21">
        <f>IF($C495="","",IF(OR($G495="",$I495=""),"",ROUND(100*(SETUP!$B$4*MIN(1,$I495/SETUP!$B$9)+SETUP!$B$5*MAX(0,MIN(1,($G495-SETUP!$B$10)/(SETUP!$B$11-SETUP!$B$10)))+SETUP!$B$6*MIN(1,IF($L495="",0,$L495)/SETUP!$B$12)),1)))</f>
        <v>26.3</v>
      </c>
      <c r="O495" s="19" t="str">
        <f>IF($C495="","",IF($N495="","-",INDEX(SETUP!$B$46:$B$51,MATCH($N495,SETUP!$A$46:$A$51,1))))</f>
        <v>C</v>
      </c>
      <c r="P495" s="19">
        <f>IF($C495="","",IF($I495="","",RANK($I495,$I$4:$I$1463)+COUNTIF($I$4:$I495,$I495)-1))</f>
        <v>1200</v>
      </c>
      <c r="Q495" s="19">
        <f>IF($C495="","",COUNTIFS($B$4:$B$1463,$B495,$X$4:$X$1463,"&gt;"&amp;$X495)+COUNTIFS($B$4:$B495,$B495,$X$4:$X495,"="&amp;$X495))</f>
        <v>67</v>
      </c>
      <c r="R495" s="75">
        <f>IF($C495="","",IF($I495="","",ROUND(COUNTIF($I$4:$I$1463,"&lt;"&amp;$I495)/COUNT($I$4:$I$1463),3)))</f>
        <v>9.4E-2</v>
      </c>
      <c r="S495" s="19" t="str">
        <f>IF($C495="","",IF($G495="","Name only",IF(OR($I495="",$L495=""),"Partial","Complete")))</f>
        <v>Complete</v>
      </c>
      <c r="T495" s="1" t="str">
        <f>IF($C495="","",TRIM(IF(COUNTIF($C$4:$C$1463,$C495)&gt;1,"Dup name; ","")&amp;IF(AND($G495&lt;&gt;"",$G495&lt;55000),"Low CR - verify; ","")&amp;IF(AND($L495&lt;&gt;"",$L495&gt;15),"Secondary - verify; ","")&amp;IF($E495="","No class; ","")))</f>
        <v/>
      </c>
      <c r="U495" s="68"/>
      <c r="V495" s="68"/>
      <c r="W495" s="68"/>
      <c r="X495" s="76">
        <f t="shared" si="37"/>
        <v>1470</v>
      </c>
      <c r="Y495" s="1" t="str">
        <f t="shared" si="38"/>
        <v>VENDETTA|67</v>
      </c>
      <c r="Z495" s="19">
        <f>IF($C495="","",IF($G495="","",RANK($G495,$G$4:$G$1463)+COUNTIF($G$4:$G495,$G495)-1))</f>
        <v>1190</v>
      </c>
      <c r="AA495" s="19">
        <f>IF($C495="","",IF($N495="","",RANK($N495,$N$4:$N$1463)+COUNTIF($N$4:$N495,$N495)-1))</f>
        <v>1220</v>
      </c>
      <c r="AB495" s="1" t="str">
        <f>IF($C495="","",IF($E495="","",$E495&amp;"#"&amp;(COUNTIFS($E$4:$E$1463,$E495,$X$4:$X$1463,"&gt;"&amp;$X495)+COUNTIFS($E$4:$E495,$E495,$X$4:$X495,"="&amp;$X495))))</f>
        <v>NECROMANCER#91</v>
      </c>
      <c r="AC495" s="1" t="str">
        <f>IF($C495="","",$B495&amp;"@"&amp;(COUNTIFS($B$4:$B$1463,$B495,$C$4:$C$1463,"&lt;"&amp;$C495)+COUNTIFS($B$4:$B495,$B495,$C$4:$C495,$C495)))</f>
        <v>VENDETTA@39</v>
      </c>
      <c r="AD495" s="1">
        <f t="shared" si="39"/>
        <v>492</v>
      </c>
      <c r="AE495" s="1" t="s">
        <v>611</v>
      </c>
      <c r="AF495" s="76">
        <f t="shared" si="40"/>
        <v>60649</v>
      </c>
      <c r="AG495" s="77">
        <f t="shared" si="41"/>
        <v>3</v>
      </c>
      <c r="AH495" s="1" t="str">
        <f>IF($C495="","",$B495&amp;"|"&amp;(COUNTIFS($B$4:$B$1463,$B495,$AF$4:$AF$1463,"&gt;"&amp;$AF495)+COUNTIFS($B$4:$B495,$B495,$AF$4:$AF495,"="&amp;$AF495)))</f>
        <v>VENDETTA|76</v>
      </c>
      <c r="AI495" s="1" t="str">
        <f>IF($C495="","",$B495&amp;"|"&amp;(COUNTIFS($B$4:$B$1463,$B495,$AG$4:$AG$1463,"&gt;"&amp;$AG495)+COUNTIFS($B$4:$B495,$B495,$AG$4:$AG495,"="&amp;$AG495)))</f>
        <v>VENDETTA|78</v>
      </c>
    </row>
    <row r="496" spans="1:35" hidden="1">
      <c r="A496" s="69" t="s">
        <v>109</v>
      </c>
      <c r="B496" s="69" t="s">
        <v>118</v>
      </c>
      <c r="C496" s="63" t="s">
        <v>1414</v>
      </c>
      <c r="D496" s="69"/>
      <c r="E496" s="68" t="s">
        <v>71</v>
      </c>
      <c r="F496" s="15" t="str">
        <f>IF($C496="","",IF($E496="","-",IFERROR(INDEX(SETUP!$B$55:$B$64,MATCH($E496,SETUP!$A$55:$A$64,0)),"Other")))</f>
        <v>Frontline</v>
      </c>
      <c r="G496" s="70">
        <v>62870</v>
      </c>
      <c r="H496" s="15" t="str">
        <f>IF($C496="","",IF($G496="","-",INDEX(SETUP!$B$26:$B$32,MATCH($G496,SETUP!$A$26:$A$32,1))))</f>
        <v>62,000 - 62,999</v>
      </c>
      <c r="I496" s="70">
        <v>2046</v>
      </c>
      <c r="J496" s="15" t="str">
        <f>IF($C496="","",IF($I496="","-",INDEX(SETUP!$B$16:$B$22,MATCH($I496,SETUP!$A$16:$A$22,1))))</f>
        <v>DEVELOPING</v>
      </c>
      <c r="K496" s="15" t="str">
        <f>IF($C496="","",IF($I496="","-",TEXT(INT($I496/1000)*1000,"#,##0")&amp;" - "&amp;TEXT(INT($I496/1000)*1000+999,"#,##0")))</f>
        <v>2,000 - 2,999</v>
      </c>
      <c r="L496" s="71">
        <v>3.5</v>
      </c>
      <c r="M496" s="15" t="str">
        <f>IF($C496="","",IF($L496="","-",INDEX(SETUP!$B$36:$B$42,MATCH($L496,SETUP!$A$36:$A$42,1))))</f>
        <v>3k - 4k</v>
      </c>
      <c r="N496" s="17">
        <f>IF($C496="","",IF(OR($G496="",$I496=""),"",ROUND(100*(SETUP!$B$4*MIN(1,$I496/SETUP!$B$9)+SETUP!$B$5*MAX(0,MIN(1,($G496-SETUP!$B$10)/(SETUP!$B$11-SETUP!$B$10)))+SETUP!$B$6*MIN(1,IF($L496="",0,$L496)/SETUP!$B$12)),1)))</f>
        <v>35.5</v>
      </c>
      <c r="O496" s="15" t="str">
        <f>IF($C496="","",IF($N496="","-",INDEX(SETUP!$B$46:$B$51,MATCH($N496,SETUP!$A$46:$A$51,1))))</f>
        <v>B</v>
      </c>
      <c r="P496" s="15">
        <f>IF($C496="","",IF($I496="","",RANK($I496,$I$4:$I$1463)+COUNTIF($I$4:$I496,$I496)-1))</f>
        <v>1100</v>
      </c>
      <c r="Q496" s="15">
        <f>IF($C496="","",COUNTIFS($B$4:$B$1463,$B496,$X$4:$X$1463,"&gt;"&amp;$X496)+COUNTIFS($B$4:$B496,$B496,$X$4:$X496,"="&amp;$X496))</f>
        <v>38</v>
      </c>
      <c r="R496" s="72">
        <f>IF($C496="","",IF($I496="","",ROUND(COUNTIF($I$4:$I$1463,"&lt;"&amp;$I496)/COUNT($I$4:$I$1463),3)))</f>
        <v>0.17</v>
      </c>
      <c r="S496" s="15" t="str">
        <f>IF($C496="","",IF($G496="","Name only",IF(OR($I496="",$L496=""),"Partial","Complete")))</f>
        <v>Complete</v>
      </c>
      <c r="T496" s="41" t="str">
        <f>IF($C496="","",TRIM(IF(COUNTIF($C$4:$C$1463,$C496)&gt;1,"Dup name; ","")&amp;IF(AND($G496&lt;&gt;"",$G496&lt;55000),"Low CR - verify; ","")&amp;IF(AND($L496&lt;&gt;"",$L496&gt;15),"Secondary - verify; ","")&amp;IF($E496="","No class; ","")))</f>
        <v/>
      </c>
      <c r="U496" s="68"/>
      <c r="V496" s="68"/>
      <c r="W496" s="68"/>
      <c r="X496" s="73">
        <f t="shared" si="37"/>
        <v>2046</v>
      </c>
      <c r="Y496" s="41" t="str">
        <f t="shared" si="38"/>
        <v>ZOMBIES|38</v>
      </c>
      <c r="Z496" s="15">
        <f>IF($C496="","",IF($G496="","",RANK($G496,$G$4:$G$1463)+COUNTIF($G$4:$G496,$G496)-1))</f>
        <v>485</v>
      </c>
      <c r="AA496" s="15">
        <f>IF($C496="","",IF($N496="","",RANK($N496,$N$4:$N$1463)+COUNTIF($N$4:$N496,$N496)-1))</f>
        <v>988</v>
      </c>
      <c r="AB496" s="41" t="str">
        <f>IF($C496="","",IF($E496="","",$E496&amp;"#"&amp;(COUNTIFS($E$4:$E$1463,$E496,$X$4:$X$1463,"&gt;"&amp;$X496)+COUNTIFS($E$4:$E496,$E496,$X$4:$X496,"="&amp;$X496))))</f>
        <v>BARBARIAN#189</v>
      </c>
      <c r="AC496" s="41" t="str">
        <f>IF($C496="","",$B496&amp;"@"&amp;(COUNTIFS($B$4:$B$1463,$B496,$C$4:$C$1463,"&lt;"&amp;$C496)+COUNTIFS($B$4:$B496,$B496,$C$4:$C496,$C496)))</f>
        <v>ZOMBIES@38</v>
      </c>
      <c r="AD496" s="41">
        <f t="shared" si="39"/>
        <v>493</v>
      </c>
      <c r="AE496" s="41" t="s">
        <v>568</v>
      </c>
      <c r="AF496" s="73">
        <f t="shared" si="40"/>
        <v>62870</v>
      </c>
      <c r="AG496" s="74">
        <f t="shared" si="41"/>
        <v>3.5</v>
      </c>
      <c r="AH496" s="41" t="str">
        <f>IF($C496="","",$B496&amp;"|"&amp;(COUNTIFS($B$4:$B$1463,$B496,$AF$4:$AF$1463,"&gt;"&amp;$AF496)+COUNTIFS($B$4:$B496,$B496,$AF$4:$AF496,"="&amp;$AF496)))</f>
        <v>ZOMBIES|7</v>
      </c>
      <c r="AI496" s="41" t="str">
        <f>IF($C496="","",$B496&amp;"|"&amp;(COUNTIFS($B$4:$B$1463,$B496,$AG$4:$AG$1463,"&gt;"&amp;$AG496)+COUNTIFS($B$4:$B496,$B496,$AG$4:$AG496,"="&amp;$AG496)))</f>
        <v>ZOMBIES|48</v>
      </c>
    </row>
    <row r="497" spans="1:35">
      <c r="A497" s="69" t="s">
        <v>104</v>
      </c>
      <c r="B497" s="69" t="s">
        <v>66</v>
      </c>
      <c r="C497" s="63" t="s">
        <v>321</v>
      </c>
      <c r="D497" s="69"/>
      <c r="E497" s="68" t="s">
        <v>72</v>
      </c>
      <c r="F497" s="19" t="str">
        <f>IF($C497="","",IF($E497="","-",IFERROR(INDEX(SETUP!$B$55:$B$64,MATCH($E497,SETUP!$A$55:$A$64,0)),"Other")))</f>
        <v>Frontline</v>
      </c>
      <c r="G497" s="70">
        <v>62813</v>
      </c>
      <c r="H497" s="19" t="str">
        <f>IF($C497="","",IF($G497="","-",INDEX(SETUP!$B$26:$B$32,MATCH($G497,SETUP!$A$26:$A$32,1))))</f>
        <v>62,000 - 62,999</v>
      </c>
      <c r="I497" s="70">
        <v>4435</v>
      </c>
      <c r="J497" s="19" t="str">
        <f>IF($C497="","",IF($I497="","-",INDEX(SETUP!$B$16:$B$22,MATCH($I497,SETUP!$A$16:$A$22,1))))</f>
        <v>CORE</v>
      </c>
      <c r="K497" s="19" t="str">
        <f>IF($C497="","",IF($I497="","-",TEXT(INT($I497/1000)*1000,"#,##0")&amp;" - "&amp;TEXT(INT($I497/1000)*1000+999,"#,##0")))</f>
        <v>4,000 - 4,999</v>
      </c>
      <c r="L497" s="71">
        <v>5.14</v>
      </c>
      <c r="M497" s="19" t="str">
        <f>IF($C497="","",IF($L497="","-",INDEX(SETUP!$B$36:$B$42,MATCH($L497,SETUP!$A$36:$A$42,1))))</f>
        <v>5k - 6k</v>
      </c>
      <c r="N497" s="21">
        <f>IF($C497="","",IF(OR($G497="",$I497=""),"",ROUND(100*(SETUP!$B$4*MIN(1,$I497/SETUP!$B$9)+SETUP!$B$5*MAX(0,MIN(1,($G497-SETUP!$B$10)/(SETUP!$B$11-SETUP!$B$10)))+SETUP!$B$6*MIN(1,IF($L497="",0,$L497)/SETUP!$B$12)),1)))</f>
        <v>48.5</v>
      </c>
      <c r="O497" s="19" t="str">
        <f>IF($C497="","",IF($N497="","-",INDEX(SETUP!$B$46:$B$51,MATCH($N497,SETUP!$A$46:$A$51,1))))</f>
        <v>B</v>
      </c>
      <c r="P497" s="19">
        <f>IF($C497="","",IF($I497="","",RANK($I497,$I$4:$I$1463)+COUNTIF($I$4:$I497,$I497)-1))</f>
        <v>507</v>
      </c>
      <c r="Q497" s="19">
        <f>IF($C497="","",COUNTIFS($B$4:$B$1463,$B497,$X$4:$X$1463,"&gt;"&amp;$X497)+COUNTIFS($B$4:$B497,$B497,$X$4:$X497,"="&amp;$X497))</f>
        <v>50</v>
      </c>
      <c r="R497" s="75">
        <f>IF($C497="","",IF($I497="","",ROUND(COUNTIF($I$4:$I$1463,"&lt;"&amp;$I497)/COUNT($I$4:$I$1463),3)))</f>
        <v>0.61699999999999999</v>
      </c>
      <c r="S497" s="19" t="str">
        <f>IF($C497="","",IF($G497="","Name only",IF(OR($I497="",$L497=""),"Partial","Complete")))</f>
        <v>Complete</v>
      </c>
      <c r="T497" s="1" t="str">
        <f>IF($C497="","",TRIM(IF(COUNTIF($C$4:$C$1463,$C497)&gt;1,"Dup name; ","")&amp;IF(AND($G497&lt;&gt;"",$G497&lt;55000),"Low CR - verify; ","")&amp;IF(AND($L497&lt;&gt;"",$L497&gt;15),"Secondary - verify; ","")&amp;IF($E497="","No class; ","")))</f>
        <v/>
      </c>
      <c r="U497" s="68" t="s">
        <v>269</v>
      </c>
      <c r="V497" s="68" t="s">
        <v>66</v>
      </c>
      <c r="W497" s="68" t="s">
        <v>285</v>
      </c>
      <c r="X497" s="76">
        <f t="shared" si="37"/>
        <v>4435</v>
      </c>
      <c r="Y497" s="1" t="str">
        <f t="shared" si="38"/>
        <v>FUCT|50</v>
      </c>
      <c r="Z497" s="19">
        <f>IF($C497="","",IF($G497="","",RANK($G497,$G$4:$G$1463)+COUNTIF($G$4:$G497,$G497)-1))</f>
        <v>514</v>
      </c>
      <c r="AA497" s="19">
        <f>IF($C497="","",IF($N497="","",RANK($N497,$N$4:$N$1463)+COUNTIF($N$4:$N497,$N497)-1))</f>
        <v>499</v>
      </c>
      <c r="AB497" s="1" t="str">
        <f>IF($C497="","",IF($E497="","",$E497&amp;"#"&amp;(COUNTIFS($E$4:$E$1463,$E497,$X$4:$X$1463,"&gt;"&amp;$X497)+COUNTIFS($E$4:$E497,$E497,$X$4:$X497,"="&amp;$X497))))</f>
        <v>BLOOD KNIGHT#31</v>
      </c>
      <c r="AC497" s="1" t="str">
        <f>IF($C497="","",$B497&amp;"@"&amp;(COUNTIFS($B$4:$B$1463,$B497,$C$4:$C$1463,"&lt;"&amp;$C497)+COUNTIFS($B$4:$B497,$B497,$C$4:$C497,$C497)))</f>
        <v>FUCT@31</v>
      </c>
      <c r="AD497" s="1">
        <f t="shared" si="39"/>
        <v>494</v>
      </c>
      <c r="AE497" s="1" t="s">
        <v>1415</v>
      </c>
      <c r="AF497" s="76">
        <f t="shared" si="40"/>
        <v>62813</v>
      </c>
      <c r="AG497" s="77">
        <f t="shared" si="41"/>
        <v>5.14</v>
      </c>
      <c r="AH497" s="1" t="str">
        <f>IF($C497="","",$B497&amp;"|"&amp;(COUNTIFS($B$4:$B$1463,$B497,$AF$4:$AF$1463,"&gt;"&amp;$AF497)+COUNTIFS($B$4:$B497,$B497,$AF$4:$AF497,"="&amp;$AF497)))</f>
        <v>FUCT|55</v>
      </c>
      <c r="AI497" s="1" t="str">
        <f>IF($C497="","",$B497&amp;"|"&amp;(COUNTIFS($B$4:$B$1463,$B497,$AG$4:$AG$1463,"&gt;"&amp;$AG497)+COUNTIFS($B$4:$B497,$B497,$AG$4:$AG497,"="&amp;$AG497)))</f>
        <v>FUCT|41</v>
      </c>
    </row>
    <row r="498" spans="1:35" hidden="1">
      <c r="A498" s="69" t="s">
        <v>109</v>
      </c>
      <c r="B498" s="69" t="s">
        <v>116</v>
      </c>
      <c r="C498" s="63" t="s">
        <v>1416</v>
      </c>
      <c r="D498" s="69" t="s">
        <v>530</v>
      </c>
      <c r="E498" s="68" t="s">
        <v>79</v>
      </c>
      <c r="F498" s="15" t="str">
        <f>IF($C498="","",IF($E498="","-",IFERROR(INDEX(SETUP!$B$55:$B$64,MATCH($E498,SETUP!$A$55:$A$64,0)),"Other")))</f>
        <v>Control</v>
      </c>
      <c r="G498" s="70">
        <v>63118</v>
      </c>
      <c r="H498" s="15" t="str">
        <f>IF($C498="","",IF($G498="","-",INDEX(SETUP!$B$26:$B$32,MATCH($G498,SETUP!$A$26:$A$32,1))))</f>
        <v>63,000 - 63,999</v>
      </c>
      <c r="I498" s="70">
        <v>4410</v>
      </c>
      <c r="J498" s="15" t="str">
        <f>IF($C498="","",IF($I498="","-",INDEX(SETUP!$B$16:$B$22,MATCH($I498,SETUP!$A$16:$A$22,1))))</f>
        <v>CORE</v>
      </c>
      <c r="K498" s="15" t="str">
        <f>IF($C498="","",IF($I498="","-",TEXT(INT($I498/1000)*1000,"#,##0")&amp;" - "&amp;TEXT(INT($I498/1000)*1000+999,"#,##0")))</f>
        <v>4,000 - 4,999</v>
      </c>
      <c r="L498" s="71">
        <v>4.3</v>
      </c>
      <c r="M498" s="15" t="str">
        <f>IF($C498="","",IF($L498="","-",INDEX(SETUP!$B$36:$B$42,MATCH($L498,SETUP!$A$36:$A$42,1))))</f>
        <v>4k - 5k</v>
      </c>
      <c r="N498" s="17">
        <f>IF($C498="","",IF(OR($G498="",$I498=""),"",ROUND(100*(SETUP!$B$4*MIN(1,$I498/SETUP!$B$9)+SETUP!$B$5*MAX(0,MIN(1,($G498-SETUP!$B$10)/(SETUP!$B$11-SETUP!$B$10)))+SETUP!$B$6*MIN(1,IF($L498="",0,$L498)/SETUP!$B$12)),1)))</f>
        <v>47.8</v>
      </c>
      <c r="O498" s="15" t="str">
        <f>IF($C498="","",IF($N498="","-",INDEX(SETUP!$B$46:$B$51,MATCH($N498,SETUP!$A$46:$A$51,1))))</f>
        <v>B</v>
      </c>
      <c r="P498" s="15">
        <f>IF($C498="","",IF($I498="","",RANK($I498,$I$4:$I$1463)+COUNTIF($I$4:$I498,$I498)-1))</f>
        <v>511</v>
      </c>
      <c r="Q498" s="15">
        <f>IF($C498="","",COUNTIFS($B$4:$B$1463,$B498,$X$4:$X$1463,"&gt;"&amp;$X498)+COUNTIFS($B$4:$B498,$B498,$X$4:$X498,"="&amp;$X498))</f>
        <v>24</v>
      </c>
      <c r="R498" s="72">
        <f>IF($C498="","",IF($I498="","",ROUND(COUNTIF($I$4:$I$1463,"&lt;"&amp;$I498)/COUNT($I$4:$I$1463),3)))</f>
        <v>0.61399999999999999</v>
      </c>
      <c r="S498" s="15" t="str">
        <f>IF($C498="","",IF($G498="","Name only",IF(OR($I498="",$L498=""),"Partial","Complete")))</f>
        <v>Complete</v>
      </c>
      <c r="T498" s="41" t="str">
        <f>IF($C498="","",TRIM(IF(COUNTIF($C$4:$C$1463,$C498)&gt;1,"Dup name; ","")&amp;IF(AND($G498&lt;&gt;"",$G498&lt;55000),"Low CR - verify; ","")&amp;IF(AND($L498&lt;&gt;"",$L498&gt;15),"Secondary - verify; ","")&amp;IF($E498="","No class; ","")))</f>
        <v/>
      </c>
      <c r="U498" s="68"/>
      <c r="V498" s="68"/>
      <c r="W498" s="68"/>
      <c r="X498" s="73">
        <f t="shared" si="37"/>
        <v>4410</v>
      </c>
      <c r="Y498" s="41" t="str">
        <f t="shared" si="38"/>
        <v>VENGEANCE|24</v>
      </c>
      <c r="Z498" s="15">
        <f>IF($C498="","",IF($G498="","",RANK($G498,$G$4:$G$1463)+COUNTIF($G$4:$G498,$G498)-1))</f>
        <v>364</v>
      </c>
      <c r="AA498" s="15">
        <f>IF($C498="","",IF($N498="","",RANK($N498,$N$4:$N$1463)+COUNTIF($N$4:$N498,$N498)-1))</f>
        <v>522</v>
      </c>
      <c r="AB498" s="41" t="str">
        <f>IF($C498="","",IF($E498="","",$E498&amp;"#"&amp;(COUNTIFS($E$4:$E$1463,$E498,$X$4:$X$1463,"&gt;"&amp;$X498)+COUNTIFS($E$4:$E498,$E498,$X$4:$X498,"="&amp;$X498))))</f>
        <v>WARLOCK#118</v>
      </c>
      <c r="AC498" s="41" t="str">
        <f>IF($C498="","",$B498&amp;"@"&amp;(COUNTIFS($B$4:$B$1463,$B498,$C$4:$C$1463,"&lt;"&amp;$C498)+COUNTIFS($B$4:$B498,$B498,$C$4:$C498,$C498)))</f>
        <v>VENGEANCE@36</v>
      </c>
      <c r="AD498" s="41">
        <f t="shared" si="39"/>
        <v>495</v>
      </c>
      <c r="AE498" s="41" t="s">
        <v>956</v>
      </c>
      <c r="AF498" s="73">
        <f t="shared" si="40"/>
        <v>63118</v>
      </c>
      <c r="AG498" s="74">
        <f t="shared" si="41"/>
        <v>4.3</v>
      </c>
      <c r="AH498" s="41" t="str">
        <f>IF($C498="","",$B498&amp;"|"&amp;(COUNTIFS($B$4:$B$1463,$B498,$AF$4:$AF$1463,"&gt;"&amp;$AF498)+COUNTIFS($B$4:$B498,$B498,$AF$4:$AF498,"="&amp;$AF498)))</f>
        <v>VENGEANCE|16</v>
      </c>
      <c r="AI498" s="41" t="str">
        <f>IF($C498="","",$B498&amp;"|"&amp;(COUNTIFS($B$4:$B$1463,$B498,$AG$4:$AG$1463,"&gt;"&amp;$AG498)+COUNTIFS($B$4:$B498,$B498,$AG$4:$AG498,"="&amp;$AG498)))</f>
        <v>VENGEANCE|58</v>
      </c>
    </row>
    <row r="499" spans="1:35">
      <c r="A499" s="69" t="s">
        <v>104</v>
      </c>
      <c r="B499" s="69" t="s">
        <v>66</v>
      </c>
      <c r="C499" s="63" t="s">
        <v>1353</v>
      </c>
      <c r="D499" s="69"/>
      <c r="E499" s="68" t="s">
        <v>73</v>
      </c>
      <c r="F499" s="15" t="str">
        <f>IF($C499="","",IF($E499="","-",IFERROR(INDEX(SETUP!$B$55:$B$64,MATCH($E499,SETUP!$A$55:$A$64,0)),"Other")))</f>
        <v>Frontline</v>
      </c>
      <c r="G499" s="70">
        <v>62403</v>
      </c>
      <c r="H499" s="15" t="str">
        <f>IF($C499="","",IF($G499="","-",INDEX(SETUP!$B$26:$B$32,MATCH($G499,SETUP!$A$26:$A$32,1))))</f>
        <v>62,000 - 62,999</v>
      </c>
      <c r="I499" s="70">
        <v>6126</v>
      </c>
      <c r="J499" s="15" t="str">
        <f>IF($C499="","",IF($I499="","-",INDEX(SETUP!$B$16:$B$22,MATCH($I499,SETUP!$A$16:$A$22,1))))</f>
        <v>VETERAN</v>
      </c>
      <c r="K499" s="15" t="str">
        <f>IF($C499="","",IF($I499="","-",TEXT(INT($I499/1000)*1000,"#,##0")&amp;" - "&amp;TEXT(INT($I499/1000)*1000+999,"#,##0")))</f>
        <v>6,000 - 6,999</v>
      </c>
      <c r="L499" s="71">
        <v>5.05</v>
      </c>
      <c r="M499" s="15" t="str">
        <f>IF($C499="","",IF($L499="","-",INDEX(SETUP!$B$36:$B$42,MATCH($L499,SETUP!$A$36:$A$42,1))))</f>
        <v>5k - 6k</v>
      </c>
      <c r="N499" s="17">
        <f>IF($C499="","",IF(OR($G499="",$I499=""),"",ROUND(100*(SETUP!$B$4*MIN(1,$I499/SETUP!$B$9)+SETUP!$B$5*MAX(0,MIN(1,($G499-SETUP!$B$10)/(SETUP!$B$11-SETUP!$B$10)))+SETUP!$B$6*MIN(1,IF($L499="",0,$L499)/SETUP!$B$12)),1)))</f>
        <v>54.6</v>
      </c>
      <c r="O499" s="15" t="str">
        <f>IF($C499="","",IF($N499="","-",INDEX(SETUP!$B$46:$B$51,MATCH($N499,SETUP!$A$46:$A$51,1))))</f>
        <v>A</v>
      </c>
      <c r="P499" s="15">
        <f>IF($C499="","",IF($I499="","",RANK($I499,$I$4:$I$1463)+COUNTIF($I$4:$I499,$I499)-1))</f>
        <v>276</v>
      </c>
      <c r="Q499" s="15">
        <f>IF($C499="","",COUNTIFS($B$4:$B$1463,$B499,$X$4:$X$1463,"&gt;"&amp;$X499)+COUNTIFS($B$4:$B499,$B499,$X$4:$X499,"="&amp;$X499))</f>
        <v>28</v>
      </c>
      <c r="R499" s="72">
        <f>IF($C499="","",IF($I499="","",ROUND(COUNTIF($I$4:$I$1463,"&lt;"&amp;$I499)/COUNT($I$4:$I$1463),3)))</f>
        <v>0.79200000000000004</v>
      </c>
      <c r="S499" s="15" t="str">
        <f>IF($C499="","",IF($G499="","Name only",IF(OR($I499="",$L499=""),"Partial","Complete")))</f>
        <v>Complete</v>
      </c>
      <c r="T499" s="41" t="str">
        <f>IF($C499="","",TRIM(IF(COUNTIF($C$4:$C$1463,$C499)&gt;1,"Dup name; ","")&amp;IF(AND($G499&lt;&gt;"",$G499&lt;55000),"Low CR - verify; ","")&amp;IF(AND($L499&lt;&gt;"",$L499&gt;15),"Secondary - verify; ","")&amp;IF($E499="","No class; ","")))</f>
        <v/>
      </c>
      <c r="U499" s="68" t="s">
        <v>263</v>
      </c>
      <c r="V499" s="68" t="s">
        <v>66</v>
      </c>
      <c r="W499" s="68" t="s">
        <v>285</v>
      </c>
      <c r="X499" s="76">
        <f t="shared" si="37"/>
        <v>6126</v>
      </c>
      <c r="Y499" s="1" t="str">
        <f t="shared" si="38"/>
        <v>FUCT|28</v>
      </c>
      <c r="Z499" s="19">
        <f>IF($C499="","",IF($G499="","",RANK($G499,$G$4:$G$1463)+COUNTIF($G$4:$G499,$G499)-1))</f>
        <v>692</v>
      </c>
      <c r="AA499" s="19">
        <f>IF($C499="","",IF($N499="","",RANK($N499,$N$4:$N$1463)+COUNTIF($N$4:$N499,$N499)-1))</f>
        <v>326</v>
      </c>
      <c r="AB499" s="1" t="str">
        <f>IF($C499="","",IF($E499="","",$E499&amp;"#"&amp;(COUNTIFS($E$4:$E$1463,$E499,$X$4:$X$1463,"&gt;"&amp;$X499)+COUNTIFS($E$4:$E499,$E499,$X$4:$X499,"="&amp;$X499))))</f>
        <v>CRUSADER#39</v>
      </c>
      <c r="AC499" s="1" t="str">
        <f>IF($C499="","",$B499&amp;"@"&amp;(COUNTIFS($B$4:$B$1463,$B499,$C$4:$C$1463,"&lt;"&amp;$C499)+COUNTIFS($B$4:$B499,$B499,$C$4:$C499,$C499)))</f>
        <v>FUCT@32</v>
      </c>
      <c r="AD499" s="1">
        <f t="shared" si="39"/>
        <v>496</v>
      </c>
      <c r="AE499" s="1" t="s">
        <v>1417</v>
      </c>
      <c r="AF499" s="76">
        <f t="shared" si="40"/>
        <v>62403</v>
      </c>
      <c r="AG499" s="77">
        <f t="shared" si="41"/>
        <v>5.05</v>
      </c>
      <c r="AH499" s="1" t="str">
        <f>IF($C499="","",$B499&amp;"|"&amp;(COUNTIFS($B$4:$B$1463,$B499,$AF$4:$AF$1463,"&gt;"&amp;$AF499)+COUNTIFS($B$4:$B499,$B499,$AF$4:$AF499,"="&amp;$AF499)))</f>
        <v>FUCT|70</v>
      </c>
      <c r="AI499" s="1" t="str">
        <f>IF($C499="","",$B499&amp;"|"&amp;(COUNTIFS($B$4:$B$1463,$B499,$AG$4:$AG$1463,"&gt;"&amp;$AG499)+COUNTIFS($B$4:$B499,$B499,$AG$4:$AG499,"="&amp;$AG499)))</f>
        <v>FUCT|45</v>
      </c>
    </row>
    <row r="500" spans="1:35" hidden="1">
      <c r="A500" s="69" t="s">
        <v>109</v>
      </c>
      <c r="B500" s="69" t="s">
        <v>118</v>
      </c>
      <c r="C500" s="63" t="s">
        <v>1418</v>
      </c>
      <c r="D500" s="69"/>
      <c r="E500" s="68" t="s">
        <v>71</v>
      </c>
      <c r="F500" s="15" t="str">
        <f>IF($C500="","",IF($E500="","-",IFERROR(INDEX(SETUP!$B$55:$B$64,MATCH($E500,SETUP!$A$55:$A$64,0)),"Other")))</f>
        <v>Frontline</v>
      </c>
      <c r="G500" s="70">
        <v>59904</v>
      </c>
      <c r="H500" s="15" t="str">
        <f>IF($C500="","",IF($G500="","-",INDEX(SETUP!$B$26:$B$32,MATCH($G500,SETUP!$A$26:$A$32,1))))</f>
        <v>58,000 - 59,999</v>
      </c>
      <c r="I500" s="70">
        <v>990</v>
      </c>
      <c r="J500" s="15" t="str">
        <f>IF($C500="","",IF($I500="","-",INDEX(SETUP!$B$16:$B$22,MATCH($I500,SETUP!$A$16:$A$22,1))))</f>
        <v>ROOKIE</v>
      </c>
      <c r="K500" s="15" t="str">
        <f>IF($C500="","",IF($I500="","-",TEXT(INT($I500/1000)*1000,"#,##0")&amp;" - "&amp;TEXT(INT($I500/1000)*1000+999,"#,##0")))</f>
        <v>0 - 999</v>
      </c>
      <c r="L500" s="71">
        <v>3.2</v>
      </c>
      <c r="M500" s="15" t="str">
        <f>IF($C500="","",IF($L500="","-",INDEX(SETUP!$B$36:$B$42,MATCH($L500,SETUP!$A$36:$A$42,1))))</f>
        <v>3k - 4k</v>
      </c>
      <c r="N500" s="17">
        <f>IF($C500="","",IF(OR($G500="",$I500=""),"",ROUND(100*(SETUP!$B$4*MIN(1,$I500/SETUP!$B$9)+SETUP!$B$5*MAX(0,MIN(1,($G500-SETUP!$B$10)/(SETUP!$B$11-SETUP!$B$10)))+SETUP!$B$6*MIN(1,IF($L500="",0,$L500)/SETUP!$B$12)),1)))</f>
        <v>22.6</v>
      </c>
      <c r="O500" s="15" t="str">
        <f>IF($C500="","",IF($N500="","-",INDEX(SETUP!$B$46:$B$51,MATCH($N500,SETUP!$A$46:$A$51,1))))</f>
        <v>C</v>
      </c>
      <c r="P500" s="15">
        <f>IF($C500="","",IF($I500="","",RANK($I500,$I$4:$I$1463)+COUNTIF($I$4:$I500,$I500)-1))</f>
        <v>1275</v>
      </c>
      <c r="Q500" s="15">
        <f>IF($C500="","",COUNTIFS($B$4:$B$1463,$B500,$X$4:$X$1463,"&gt;"&amp;$X500)+COUNTIFS($B$4:$B500,$B500,$X$4:$X500,"="&amp;$X500))</f>
        <v>85</v>
      </c>
      <c r="R500" s="72">
        <f>IF($C500="","",IF($I500="","",ROUND(COUNTIF($I$4:$I$1463,"&lt;"&amp;$I500)/COUNT($I$4:$I$1463),3)))</f>
        <v>3.7999999999999999E-2</v>
      </c>
      <c r="S500" s="15" t="str">
        <f>IF($C500="","",IF($G500="","Name only",IF(OR($I500="",$L500=""),"Partial","Complete")))</f>
        <v>Complete</v>
      </c>
      <c r="T500" s="41" t="str">
        <f>IF($C500="","",TRIM(IF(COUNTIF($C$4:$C$1463,$C500)&gt;1,"Dup name; ","")&amp;IF(AND($G500&lt;&gt;"",$G500&lt;55000),"Low CR - verify; ","")&amp;IF(AND($L500&lt;&gt;"",$L500&gt;15),"Secondary - verify; ","")&amp;IF($E500="","No class; ","")))</f>
        <v/>
      </c>
      <c r="U500" s="68"/>
      <c r="V500" s="68"/>
      <c r="W500" s="68"/>
      <c r="X500" s="73">
        <f t="shared" si="37"/>
        <v>990</v>
      </c>
      <c r="Y500" s="41" t="str">
        <f t="shared" si="38"/>
        <v>ZOMBIES|85</v>
      </c>
      <c r="Z500" s="15">
        <f>IF($C500="","",IF($G500="","",RANK($G500,$G$4:$G$1463)+COUNTIF($G$4:$G500,$G500)-1))</f>
        <v>1244</v>
      </c>
      <c r="AA500" s="15">
        <f>IF($C500="","",IF($N500="","",RANK($N500,$N$4:$N$1463)+COUNTIF($N$4:$N500,$N500)-1))</f>
        <v>1274</v>
      </c>
      <c r="AB500" s="41" t="str">
        <f>IF($C500="","",IF($E500="","",$E500&amp;"#"&amp;(COUNTIFS($E$4:$E$1463,$E500,$X$4:$X$1463,"&gt;"&amp;$X500)+COUNTIFS($E$4:$E500,$E500,$X$4:$X500,"="&amp;$X500))))</f>
        <v>BARBARIAN#212</v>
      </c>
      <c r="AC500" s="41" t="str">
        <f>IF($C500="","",$B500&amp;"@"&amp;(COUNTIFS($B$4:$B$1463,$B500,$C$4:$C$1463,"&lt;"&amp;$C500)+COUNTIFS($B$4:$B500,$B500,$C$4:$C500,$C500)))</f>
        <v>ZOMBIES@39</v>
      </c>
      <c r="AD500" s="41">
        <f t="shared" si="39"/>
        <v>497</v>
      </c>
      <c r="AE500" s="41" t="s">
        <v>1160</v>
      </c>
      <c r="AF500" s="73">
        <f t="shared" si="40"/>
        <v>59904</v>
      </c>
      <c r="AG500" s="74">
        <f t="shared" si="41"/>
        <v>3.2</v>
      </c>
      <c r="AH500" s="41" t="str">
        <f>IF($C500="","",$B500&amp;"|"&amp;(COUNTIFS($B$4:$B$1463,$B500,$AF$4:$AF$1463,"&gt;"&amp;$AF500)+COUNTIFS($B$4:$B500,$B500,$AF$4:$AF500,"="&amp;$AF500)))</f>
        <v>ZOMBIES|81</v>
      </c>
      <c r="AI500" s="41" t="str">
        <f>IF($C500="","",$B500&amp;"|"&amp;(COUNTIFS($B$4:$B$1463,$B500,$AG$4:$AG$1463,"&gt;"&amp;$AG500)+COUNTIFS($B$4:$B500,$B500,$AG$4:$AG500,"="&amp;$AG500)))</f>
        <v>ZOMBIES|59</v>
      </c>
    </row>
    <row r="501" spans="1:35" hidden="1">
      <c r="A501" s="69" t="s">
        <v>106</v>
      </c>
      <c r="B501" s="69" t="s">
        <v>105</v>
      </c>
      <c r="C501" s="63" t="s">
        <v>1419</v>
      </c>
      <c r="D501" s="69" t="s">
        <v>619</v>
      </c>
      <c r="E501" s="68" t="s">
        <v>71</v>
      </c>
      <c r="F501" s="19" t="str">
        <f>IF($C501="","",IF($E501="","-",IFERROR(INDEX(SETUP!$B$55:$B$64,MATCH($E501,SETUP!$A$55:$A$64,0)),"Other")))</f>
        <v>Frontline</v>
      </c>
      <c r="G501" s="70">
        <v>63652</v>
      </c>
      <c r="H501" s="19" t="str">
        <f>IF($C501="","",IF($G501="","-",INDEX(SETUP!$B$26:$B$32,MATCH($G501,SETUP!$A$26:$A$32,1))))</f>
        <v>63,000 - 63,999</v>
      </c>
      <c r="I501" s="70">
        <v>8102</v>
      </c>
      <c r="J501" s="19" t="str">
        <f>IF($C501="","",IF($I501="","-",INDEX(SETUP!$B$16:$B$22,MATCH($I501,SETUP!$A$16:$A$22,1))))</f>
        <v>ELITE</v>
      </c>
      <c r="K501" s="19" t="str">
        <f>IF($C501="","",IF($I501="","-",TEXT(INT($I501/1000)*1000,"#,##0")&amp;" - "&amp;TEXT(INT($I501/1000)*1000+999,"#,##0")))</f>
        <v>8,000 - 8,999</v>
      </c>
      <c r="L501" s="71">
        <v>6.22</v>
      </c>
      <c r="M501" s="19" t="str">
        <f>IF($C501="","",IF($L501="","-",INDEX(SETUP!$B$36:$B$42,MATCH($L501,SETUP!$A$36:$A$42,1))))</f>
        <v>6k - 8k</v>
      </c>
      <c r="N501" s="21">
        <f>IF($C501="","",IF(OR($G501="",$I501=""),"",ROUND(100*(SETUP!$B$4*MIN(1,$I501/SETUP!$B$9)+SETUP!$B$5*MAX(0,MIN(1,($G501-SETUP!$B$10)/(SETUP!$B$11-SETUP!$B$10)))+SETUP!$B$6*MIN(1,IF($L501="",0,$L501)/SETUP!$B$12)),1)))</f>
        <v>68.5</v>
      </c>
      <c r="O501" s="19" t="str">
        <f>IF($C501="","",IF($N501="","-",INDEX(SETUP!$B$46:$B$51,MATCH($N501,SETUP!$A$46:$A$51,1))))</f>
        <v>S</v>
      </c>
      <c r="P501" s="19">
        <f>IF($C501="","",IF($I501="","",RANK($I501,$I$4:$I$1463)+COUNTIF($I$4:$I501,$I501)-1))</f>
        <v>142</v>
      </c>
      <c r="Q501" s="19">
        <f>IF($C501="","",COUNTIFS($B$4:$B$1463,$B501,$X$4:$X$1463,"&gt;"&amp;$X501)+COUNTIFS($B$4:$B501,$B501,$X$4:$X501,"="&amp;$X501))</f>
        <v>12</v>
      </c>
      <c r="R501" s="75">
        <f>IF($C501="","",IF($I501="","",ROUND(COUNTIF($I$4:$I$1463,"&lt;"&amp;$I501)/COUNT($I$4:$I$1463),3)))</f>
        <v>0.89300000000000002</v>
      </c>
      <c r="S501" s="19" t="str">
        <f>IF($C501="","",IF($G501="","Name only",IF(OR($I501="",$L501=""),"Partial","Complete")))</f>
        <v>Complete</v>
      </c>
      <c r="T501" s="1" t="str">
        <f>IF($C501="","",TRIM(IF(COUNTIF($C$4:$C$1463,$C501)&gt;1,"Dup name; ","")&amp;IF(AND($G501&lt;&gt;"",$G501&lt;55000),"Low CR - verify; ","")&amp;IF(AND($L501&lt;&gt;"",$L501&gt;15),"Secondary - verify; ","")&amp;IF($E501="","No class; ","")))</f>
        <v/>
      </c>
      <c r="U501" s="68"/>
      <c r="V501" s="68"/>
      <c r="W501" s="68"/>
      <c r="X501" s="76">
        <f t="shared" si="37"/>
        <v>8102</v>
      </c>
      <c r="Y501" s="1" t="str">
        <f t="shared" si="38"/>
        <v>LEGENDS|12</v>
      </c>
      <c r="Z501" s="19">
        <f>IF($C501="","",IF($G501="","",RANK($G501,$G$4:$G$1463)+COUNTIF($G$4:$G501,$G501)-1))</f>
        <v>152</v>
      </c>
      <c r="AA501" s="19">
        <f>IF($C501="","",IF($N501="","",RANK($N501,$N$4:$N$1463)+COUNTIF($N$4:$N501,$N501)-1))</f>
        <v>143</v>
      </c>
      <c r="AB501" s="1" t="str">
        <f>IF($C501="","",IF($E501="","",$E501&amp;"#"&amp;(COUNTIFS($E$4:$E$1463,$E501,$X$4:$X$1463,"&gt;"&amp;$X501)+COUNTIFS($E$4:$E501,$E501,$X$4:$X501,"="&amp;$X501))))</f>
        <v>BARBARIAN#31</v>
      </c>
      <c r="AC501" s="1" t="str">
        <f>IF($C501="","",$B501&amp;"@"&amp;(COUNTIFS($B$4:$B$1463,$B501,$C$4:$C$1463,"&lt;"&amp;$C501)+COUNTIFS($B$4:$B501,$B501,$C$4:$C501,$C501)))</f>
        <v>LEGENDS@49</v>
      </c>
      <c r="AD501" s="1">
        <f t="shared" si="39"/>
        <v>498</v>
      </c>
      <c r="AE501" s="1" t="s">
        <v>1420</v>
      </c>
      <c r="AF501" s="76">
        <f t="shared" si="40"/>
        <v>63652</v>
      </c>
      <c r="AG501" s="77">
        <f t="shared" si="41"/>
        <v>6.22</v>
      </c>
      <c r="AH501" s="1" t="str">
        <f>IF($C501="","",$B501&amp;"|"&amp;(COUNTIFS($B$4:$B$1463,$B501,$AF$4:$AF$1463,"&gt;"&amp;$AF501)+COUNTIFS($B$4:$B501,$B501,$AF$4:$AF501,"="&amp;$AF501)))</f>
        <v>LEGENDS|16</v>
      </c>
      <c r="AI501" s="1" t="str">
        <f>IF($C501="","",$B501&amp;"|"&amp;(COUNTIFS($B$4:$B$1463,$B501,$AG$4:$AG$1463,"&gt;"&amp;$AG501)+COUNTIFS($B$4:$B501,$B501,$AG$4:$AG501,"="&amp;$AG501)))</f>
        <v>LEGENDS|14</v>
      </c>
    </row>
    <row r="502" spans="1:35" hidden="1">
      <c r="A502" s="69" t="s">
        <v>109</v>
      </c>
      <c r="B502" s="69" t="s">
        <v>112</v>
      </c>
      <c r="C502" s="63" t="s">
        <v>1421</v>
      </c>
      <c r="D502" s="69" t="s">
        <v>567</v>
      </c>
      <c r="E502" s="68" t="s">
        <v>72</v>
      </c>
      <c r="F502" s="15" t="str">
        <f>IF($C502="","",IF($E502="","-",IFERROR(INDEX(SETUP!$B$55:$B$64,MATCH($E502,SETUP!$A$55:$A$64,0)),"Other")))</f>
        <v>Frontline</v>
      </c>
      <c r="G502" s="70">
        <v>61665</v>
      </c>
      <c r="H502" s="15" t="str">
        <f>IF($C502="","",IF($G502="","-",INDEX(SETUP!$B$26:$B$32,MATCH($G502,SETUP!$A$26:$A$32,1))))</f>
        <v>61,000 - 61,999</v>
      </c>
      <c r="I502" s="70">
        <v>3221</v>
      </c>
      <c r="J502" s="15" t="str">
        <f>IF($C502="","",IF($I502="","-",INDEX(SETUP!$B$16:$B$22,MATCH($I502,SETUP!$A$16:$A$22,1))))</f>
        <v>DEVELOPING</v>
      </c>
      <c r="K502" s="15" t="str">
        <f>IF($C502="","",IF($I502="","-",TEXT(INT($I502/1000)*1000,"#,##0")&amp;" - "&amp;TEXT(INT($I502/1000)*1000+999,"#,##0")))</f>
        <v>3,000 - 3,999</v>
      </c>
      <c r="L502" s="71">
        <v>4.6500000000000004</v>
      </c>
      <c r="M502" s="15" t="str">
        <f>IF($C502="","",IF($L502="","-",INDEX(SETUP!$B$36:$B$42,MATCH($L502,SETUP!$A$36:$A$42,1))))</f>
        <v>4k - 5k</v>
      </c>
      <c r="N502" s="17">
        <f>IF($C502="","",IF(OR($G502="",$I502=""),"",ROUND(100*(SETUP!$B$4*MIN(1,$I502/SETUP!$B$9)+SETUP!$B$5*MAX(0,MIN(1,($G502-SETUP!$B$10)/(SETUP!$B$11-SETUP!$B$10)))+SETUP!$B$6*MIN(1,IF($L502="",0,$L502)/SETUP!$B$12)),1)))</f>
        <v>39.299999999999997</v>
      </c>
      <c r="O502" s="15" t="str">
        <f>IF($C502="","",IF($N502="","-",INDEX(SETUP!$B$46:$B$51,MATCH($N502,SETUP!$A$46:$A$51,1))))</f>
        <v>B</v>
      </c>
      <c r="P502" s="15">
        <f>IF($C502="","",IF($I502="","",RANK($I502,$I$4:$I$1463)+COUNTIF($I$4:$I502,$I502)-1))</f>
        <v>815</v>
      </c>
      <c r="Q502" s="15">
        <f>IF($C502="","",COUNTIFS($B$4:$B$1463,$B502,$X$4:$X$1463,"&gt;"&amp;$X502)+COUNTIFS($B$4:$B502,$B502,$X$4:$X502,"="&amp;$X502))</f>
        <v>60</v>
      </c>
      <c r="R502" s="72">
        <f>IF($C502="","",IF($I502="","",ROUND(COUNTIF($I$4:$I$1463,"&lt;"&amp;$I502)/COUNT($I$4:$I$1463),3)))</f>
        <v>0.38500000000000001</v>
      </c>
      <c r="S502" s="15" t="str">
        <f>IF($C502="","",IF($G502="","Name only",IF(OR($I502="",$L502=""),"Partial","Complete")))</f>
        <v>Complete</v>
      </c>
      <c r="T502" s="41" t="str">
        <f>IF($C502="","",TRIM(IF(COUNTIF($C$4:$C$1463,$C502)&gt;1,"Dup name; ","")&amp;IF(AND($G502&lt;&gt;"",$G502&lt;55000),"Low CR - verify; ","")&amp;IF(AND($L502&lt;&gt;"",$L502&gt;15),"Secondary - verify; ","")&amp;IF($E502="","No class; ","")))</f>
        <v/>
      </c>
      <c r="U502" s="68"/>
      <c r="V502" s="68"/>
      <c r="W502" s="68"/>
      <c r="X502" s="73">
        <f t="shared" si="37"/>
        <v>3221</v>
      </c>
      <c r="Y502" s="41" t="str">
        <f t="shared" si="38"/>
        <v>ACHERON|60</v>
      </c>
      <c r="Z502" s="15">
        <f>IF($C502="","",IF($G502="","",RANK($G502,$G$4:$G$1463)+COUNTIF($G$4:$G502,$G502)-1))</f>
        <v>956</v>
      </c>
      <c r="AA502" s="15">
        <f>IF($C502="","",IF($N502="","",RANK($N502,$N$4:$N$1463)+COUNTIF($N$4:$N502,$N502)-1))</f>
        <v>852</v>
      </c>
      <c r="AB502" s="41" t="str">
        <f>IF($C502="","",IF($E502="","",$E502&amp;"#"&amp;(COUNTIFS($E$4:$E$1463,$E502,$X$4:$X$1463,"&gt;"&amp;$X502)+COUNTIFS($E$4:$E502,$E502,$X$4:$X502,"="&amp;$X502))))</f>
        <v>BLOOD KNIGHT#56</v>
      </c>
      <c r="AC502" s="41" t="str">
        <f>IF($C502="","",$B502&amp;"@"&amp;(COUNTIFS($B$4:$B$1463,$B502,$C$4:$C$1463,"&lt;"&amp;$C502)+COUNTIFS($B$4:$B502,$B502,$C$4:$C502,$C502)))</f>
        <v>ACHERON@29</v>
      </c>
      <c r="AD502" s="41">
        <f t="shared" si="39"/>
        <v>499</v>
      </c>
      <c r="AE502" s="41" t="s">
        <v>1422</v>
      </c>
      <c r="AF502" s="73">
        <f t="shared" si="40"/>
        <v>61665</v>
      </c>
      <c r="AG502" s="74">
        <f t="shared" si="41"/>
        <v>4.6500000000000004</v>
      </c>
      <c r="AH502" s="41" t="str">
        <f>IF($C502="","",$B502&amp;"|"&amp;(COUNTIFS($B$4:$B$1463,$B502,$AF$4:$AF$1463,"&gt;"&amp;$AF502)+COUNTIFS($B$4:$B502,$B502,$AF$4:$AF502,"="&amp;$AF502)))</f>
        <v>ACHERON|78</v>
      </c>
      <c r="AI502" s="41" t="str">
        <f>IF($C502="","",$B502&amp;"|"&amp;(COUNTIFS($B$4:$B$1463,$B502,$AG$4:$AG$1463,"&gt;"&amp;$AG502)+COUNTIFS($B$4:$B502,$B502,$AG$4:$AG502,"="&amp;$AG502)))</f>
        <v>ACHERON|56</v>
      </c>
    </row>
    <row r="503" spans="1:35" hidden="1">
      <c r="A503" s="69" t="s">
        <v>109</v>
      </c>
      <c r="B503" s="69" t="s">
        <v>108</v>
      </c>
      <c r="C503" s="63" t="s">
        <v>1423</v>
      </c>
      <c r="D503" s="69"/>
      <c r="E503" s="68" t="s">
        <v>72</v>
      </c>
      <c r="F503" s="19" t="str">
        <f>IF($C503="","",IF($E503="","-",IFERROR(INDEX(SETUP!$B$55:$B$64,MATCH($E503,SETUP!$A$55:$A$64,0)),"Other")))</f>
        <v>Frontline</v>
      </c>
      <c r="G503" s="70">
        <v>61429</v>
      </c>
      <c r="H503" s="19" t="str">
        <f>IF($C503="","",IF($G503="","-",INDEX(SETUP!$B$26:$B$32,MATCH($G503,SETUP!$A$26:$A$32,1))))</f>
        <v>61,000 - 61,999</v>
      </c>
      <c r="I503" s="70">
        <v>6423</v>
      </c>
      <c r="J503" s="19" t="str">
        <f>IF($C503="","",IF($I503="","-",INDEX(SETUP!$B$16:$B$22,MATCH($I503,SETUP!$A$16:$A$22,1))))</f>
        <v>VETERAN</v>
      </c>
      <c r="K503" s="19" t="str">
        <f>IF($C503="","",IF($I503="","-",TEXT(INT($I503/1000)*1000,"#,##0")&amp;" - "&amp;TEXT(INT($I503/1000)*1000+999,"#,##0")))</f>
        <v>6,000 - 6,999</v>
      </c>
      <c r="L503" s="71">
        <v>5.9</v>
      </c>
      <c r="M503" s="19" t="str">
        <f>IF($C503="","",IF($L503="","-",INDEX(SETUP!$B$36:$B$42,MATCH($L503,SETUP!$A$36:$A$42,1))))</f>
        <v>5k - 6k</v>
      </c>
      <c r="N503" s="21">
        <f>IF($C503="","",IF(OR($G503="",$I503=""),"",ROUND(100*(SETUP!$B$4*MIN(1,$I503/SETUP!$B$9)+SETUP!$B$5*MAX(0,MIN(1,($G503-SETUP!$B$10)/(SETUP!$B$11-SETUP!$B$10)))+SETUP!$B$6*MIN(1,IF($L503="",0,$L503)/SETUP!$B$12)),1)))</f>
        <v>54.8</v>
      </c>
      <c r="O503" s="19" t="str">
        <f>IF($C503="","",IF($N503="","-",INDEX(SETUP!$B$46:$B$51,MATCH($N503,SETUP!$A$46:$A$51,1))))</f>
        <v>A</v>
      </c>
      <c r="P503" s="19">
        <f>IF($C503="","",IF($I503="","",RANK($I503,$I$4:$I$1463)+COUNTIF($I$4:$I503,$I503)-1))</f>
        <v>250</v>
      </c>
      <c r="Q503" s="19">
        <f>IF($C503="","",COUNTIFS($B$4:$B$1463,$B503,$X$4:$X$1463,"&gt;"&amp;$X503)+COUNTIFS($B$4:$B503,$B503,$X$4:$X503,"="&amp;$X503))</f>
        <v>40</v>
      </c>
      <c r="R503" s="75">
        <f>IF($C503="","",IF($I503="","",ROUND(COUNTIF($I$4:$I$1463,"&lt;"&amp;$I503)/COUNT($I$4:$I$1463),3)))</f>
        <v>0.81100000000000005</v>
      </c>
      <c r="S503" s="19" t="str">
        <f>IF($C503="","",IF($G503="","Name only",IF(OR($I503="",$L503=""),"Partial","Complete")))</f>
        <v>Complete</v>
      </c>
      <c r="T503" s="1" t="str">
        <f>IF($C503="","",TRIM(IF(COUNTIF($C$4:$C$1463,$C503)&gt;1,"Dup name; ","")&amp;IF(AND($G503&lt;&gt;"",$G503&lt;55000),"Low CR - verify; ","")&amp;IF(AND($L503&lt;&gt;"",$L503&gt;15),"Secondary - verify; ","")&amp;IF($E503="","No class; ","")))</f>
        <v/>
      </c>
      <c r="U503" s="68"/>
      <c r="V503" s="68"/>
      <c r="W503" s="68"/>
      <c r="X503" s="76">
        <f t="shared" si="37"/>
        <v>6423</v>
      </c>
      <c r="Y503" s="1" t="str">
        <f t="shared" si="38"/>
        <v>SBG|40</v>
      </c>
      <c r="Z503" s="19">
        <f>IF($C503="","",IF($G503="","",RANK($G503,$G$4:$G$1463)+COUNTIF($G$4:$G503,$G503)-1))</f>
        <v>1022</v>
      </c>
      <c r="AA503" s="19">
        <f>IF($C503="","",IF($N503="","",RANK($N503,$N$4:$N$1463)+COUNTIF($N$4:$N503,$N503)-1))</f>
        <v>320</v>
      </c>
      <c r="AB503" s="1" t="str">
        <f>IF($C503="","",IF($E503="","",$E503&amp;"#"&amp;(COUNTIFS($E$4:$E$1463,$E503,$X$4:$X$1463,"&gt;"&amp;$X503)+COUNTIFS($E$4:$E503,$E503,$X$4:$X503,"="&amp;$X503))))</f>
        <v>BLOOD KNIGHT#16</v>
      </c>
      <c r="AC503" s="1" t="str">
        <f>IF($C503="","",$B503&amp;"@"&amp;(COUNTIFS($B$4:$B$1463,$B503,$C$4:$C$1463,"&lt;"&amp;$C503)+COUNTIFS($B$4:$B503,$B503,$C$4:$C503,$C503)))</f>
        <v>SBG@29</v>
      </c>
      <c r="AD503" s="1">
        <f t="shared" si="39"/>
        <v>500</v>
      </c>
      <c r="AE503" s="1" t="s">
        <v>1424</v>
      </c>
      <c r="AF503" s="76">
        <f t="shared" si="40"/>
        <v>61429</v>
      </c>
      <c r="AG503" s="77">
        <f t="shared" si="41"/>
        <v>5.9</v>
      </c>
      <c r="AH503" s="1" t="str">
        <f>IF($C503="","",$B503&amp;"|"&amp;(COUNTIFS($B$4:$B$1463,$B503,$AF$4:$AF$1463,"&gt;"&amp;$AF503)+COUNTIFS($B$4:$B503,$B503,$AF$4:$AF503,"="&amp;$AF503)))</f>
        <v>SBG|85</v>
      </c>
      <c r="AI503" s="1" t="str">
        <f>IF($C503="","",$B503&amp;"|"&amp;(COUNTIFS($B$4:$B$1463,$B503,$AG$4:$AG$1463,"&gt;"&amp;$AG503)+COUNTIFS($B$4:$B503,$B503,$AG$4:$AG503,"="&amp;$AG503)))</f>
        <v>SBG|43</v>
      </c>
    </row>
    <row r="504" spans="1:35">
      <c r="A504" s="69" t="s">
        <v>104</v>
      </c>
      <c r="B504" s="69" t="s">
        <v>66</v>
      </c>
      <c r="C504" s="63" t="s">
        <v>323</v>
      </c>
      <c r="D504" s="69"/>
      <c r="E504" s="68" t="s">
        <v>74</v>
      </c>
      <c r="F504" s="19" t="str">
        <f>IF($C504="","",IF($E504="","-",IFERROR(INDEX(SETUP!$B$55:$B$64,MATCH($E504,SETUP!$A$55:$A$64,0)),"Other")))</f>
        <v>Ranged DPS</v>
      </c>
      <c r="G504" s="70">
        <v>61915</v>
      </c>
      <c r="H504" s="19" t="str">
        <f>IF($C504="","",IF($G504="","-",INDEX(SETUP!$B$26:$B$32,MATCH($G504,SETUP!$A$26:$A$32,1))))</f>
        <v>61,000 - 61,999</v>
      </c>
      <c r="I504" s="70">
        <v>5147</v>
      </c>
      <c r="J504" s="19" t="str">
        <f>IF($C504="","",IF($I504="","-",INDEX(SETUP!$B$16:$B$22,MATCH($I504,SETUP!$A$16:$A$22,1))))</f>
        <v>CORE</v>
      </c>
      <c r="K504" s="19" t="str">
        <f>IF($C504="","",IF($I504="","-",TEXT(INT($I504/1000)*1000,"#,##0")&amp;" - "&amp;TEXT(INT($I504/1000)*1000+999,"#,##0")))</f>
        <v>5,000 - 5,999</v>
      </c>
      <c r="L504" s="71">
        <v>8</v>
      </c>
      <c r="M504" s="19" t="str">
        <f>IF($C504="","",IF($L504="","-",INDEX(SETUP!$B$36:$B$42,MATCH($L504,SETUP!$A$36:$A$42,1))))</f>
        <v>8k - 10k</v>
      </c>
      <c r="N504" s="21">
        <f>IF($C504="","",IF(OR($G504="",$I504=""),"",ROUND(100*(SETUP!$B$4*MIN(1,$I504/SETUP!$B$9)+SETUP!$B$5*MAX(0,MIN(1,($G504-SETUP!$B$10)/(SETUP!$B$11-SETUP!$B$10)))+SETUP!$B$6*MIN(1,IF($L504="",0,$L504)/SETUP!$B$12)),1)))</f>
        <v>54</v>
      </c>
      <c r="O504" s="19" t="str">
        <f>IF($C504="","",IF($N504="","-",INDEX(SETUP!$B$46:$B$51,MATCH($N504,SETUP!$A$46:$A$51,1))))</f>
        <v>A</v>
      </c>
      <c r="P504" s="19">
        <f>IF($C504="","",IF($I504="","",RANK($I504,$I$4:$I$1463)+COUNTIF($I$4:$I504,$I504)-1))</f>
        <v>386</v>
      </c>
      <c r="Q504" s="19">
        <f>IF($C504="","",COUNTIFS($B$4:$B$1463,$B504,$X$4:$X$1463,"&gt;"&amp;$X504)+COUNTIFS($B$4:$B504,$B504,$X$4:$X504,"="&amp;$X504))</f>
        <v>38</v>
      </c>
      <c r="R504" s="75">
        <f>IF($C504="","",IF($I504="","",ROUND(COUNTIF($I$4:$I$1463,"&lt;"&amp;$I504)/COUNT($I$4:$I$1463),3)))</f>
        <v>0.70799999999999996</v>
      </c>
      <c r="S504" s="19" t="str">
        <f>IF($C504="","",IF($G504="","Name only",IF(OR($I504="",$L504=""),"Partial","Complete")))</f>
        <v>Complete</v>
      </c>
      <c r="T504" s="1" t="str">
        <f>IF($C504="","",TRIM(IF(COUNTIF($C$4:$C$1463,$C504)&gt;1,"Dup name; ","")&amp;IF(AND($G504&lt;&gt;"",$G504&lt;55000),"Low CR - verify; ","")&amp;IF(AND($L504&lt;&gt;"",$L504&gt;15),"Secondary - verify; ","")&amp;IF($E504="","No class; ","")))</f>
        <v/>
      </c>
      <c r="U504" s="68"/>
      <c r="V504" s="68" t="s">
        <v>66</v>
      </c>
      <c r="W504" s="68"/>
      <c r="X504" s="73">
        <f t="shared" si="37"/>
        <v>5147</v>
      </c>
      <c r="Y504" s="41" t="str">
        <f t="shared" si="38"/>
        <v>FUCT|38</v>
      </c>
      <c r="Z504" s="15">
        <f>IF($C504="","",IF($G504="","",RANK($G504,$G$4:$G$1463)+COUNTIF($G$4:$G504,$G504)-1))</f>
        <v>869</v>
      </c>
      <c r="AA504" s="15">
        <f>IF($C504="","",IF($N504="","",RANK($N504,$N$4:$N$1463)+COUNTIF($N$4:$N504,$N504)-1))</f>
        <v>337</v>
      </c>
      <c r="AB504" s="41" t="str">
        <f>IF($C504="","",IF($E504="","",$E504&amp;"#"&amp;(COUNTIFS($E$4:$E$1463,$E504,$X$4:$X$1463,"&gt;"&amp;$X504)+COUNTIFS($E$4:$E504,$E504,$X$4:$X504,"="&amp;$X504))))</f>
        <v>DEMON HUNTER#62</v>
      </c>
      <c r="AC504" s="41" t="str">
        <f>IF($C504="","",$B504&amp;"@"&amp;(COUNTIFS($B$4:$B$1463,$B504,$C$4:$C$1463,"&lt;"&amp;$C504)+COUNTIFS($B$4:$B504,$B504,$C$4:$C504,$C504)))</f>
        <v>FUCT@33</v>
      </c>
      <c r="AD504" s="41">
        <f t="shared" si="39"/>
        <v>501</v>
      </c>
      <c r="AE504" s="41" t="s">
        <v>1426</v>
      </c>
      <c r="AF504" s="73">
        <f t="shared" si="40"/>
        <v>61915</v>
      </c>
      <c r="AG504" s="74">
        <f t="shared" si="41"/>
        <v>8</v>
      </c>
      <c r="AH504" s="41" t="str">
        <f>IF($C504="","",$B504&amp;"|"&amp;(COUNTIFS($B$4:$B$1463,$B504,$AF$4:$AF$1463,"&gt;"&amp;$AF504)+COUNTIFS($B$4:$B504,$B504,$AF$4:$AF504,"="&amp;$AF504)))</f>
        <v>FUCT|80</v>
      </c>
      <c r="AI504" s="41" t="str">
        <f>IF($C504="","",$B504&amp;"|"&amp;(COUNTIFS($B$4:$B$1463,$B504,$AG$4:$AG$1463,"&gt;"&amp;$AG504)+COUNTIFS($B$4:$B504,$B504,$AG$4:$AG504,"="&amp;$AG504)))</f>
        <v>FUCT|4</v>
      </c>
    </row>
    <row r="505" spans="1:35" hidden="1">
      <c r="A505" s="69" t="s">
        <v>109</v>
      </c>
      <c r="B505" s="69" t="s">
        <v>112</v>
      </c>
      <c r="C505" s="63" t="s">
        <v>1427</v>
      </c>
      <c r="D505" s="69" t="s">
        <v>567</v>
      </c>
      <c r="E505" s="68" t="s">
        <v>72</v>
      </c>
      <c r="F505" s="19" t="str">
        <f>IF($C505="","",IF($E505="","-",IFERROR(INDEX(SETUP!$B$55:$B$64,MATCH($E505,SETUP!$A$55:$A$64,0)),"Other")))</f>
        <v>Frontline</v>
      </c>
      <c r="G505" s="70">
        <v>62680</v>
      </c>
      <c r="H505" s="19" t="str">
        <f>IF($C505="","",IF($G505="","-",INDEX(SETUP!$B$26:$B$32,MATCH($G505,SETUP!$A$26:$A$32,1))))</f>
        <v>62,000 - 62,999</v>
      </c>
      <c r="I505" s="70">
        <v>6089</v>
      </c>
      <c r="J505" s="19" t="str">
        <f>IF($C505="","",IF($I505="","-",INDEX(SETUP!$B$16:$B$22,MATCH($I505,SETUP!$A$16:$A$22,1))))</f>
        <v>VETERAN</v>
      </c>
      <c r="K505" s="19" t="str">
        <f>IF($C505="","",IF($I505="","-",TEXT(INT($I505/1000)*1000,"#,##0")&amp;" - "&amp;TEXT(INT($I505/1000)*1000+999,"#,##0")))</f>
        <v>6,000 - 6,999</v>
      </c>
      <c r="L505" s="71">
        <v>7.85</v>
      </c>
      <c r="M505" s="19" t="str">
        <f>IF($C505="","",IF($L505="","-",INDEX(SETUP!$B$36:$B$42,MATCH($L505,SETUP!$A$36:$A$42,1))))</f>
        <v>6k - 8k</v>
      </c>
      <c r="N505" s="21">
        <f>IF($C505="","",IF(OR($G505="",$I505=""),"",ROUND(100*(SETUP!$B$4*MIN(1,$I505/SETUP!$B$9)+SETUP!$B$5*MAX(0,MIN(1,($G505-SETUP!$B$10)/(SETUP!$B$11-SETUP!$B$10)))+SETUP!$B$6*MIN(1,IF($L505="",0,$L505)/SETUP!$B$12)),1)))</f>
        <v>59.9</v>
      </c>
      <c r="O505" s="19" t="str">
        <f>IF($C505="","",IF($N505="","-",INDEX(SETUP!$B$46:$B$51,MATCH($N505,SETUP!$A$46:$A$51,1))))</f>
        <v>A</v>
      </c>
      <c r="P505" s="19">
        <f>IF($C505="","",IF($I505="","",RANK($I505,$I$4:$I$1463)+COUNTIF($I$4:$I505,$I505)-1))</f>
        <v>279</v>
      </c>
      <c r="Q505" s="19">
        <f>IF($C505="","",COUNTIFS($B$4:$B$1463,$B505,$X$4:$X$1463,"&gt;"&amp;$X505)+COUNTIFS($B$4:$B505,$B505,$X$4:$X505,"="&amp;$X505))</f>
        <v>13</v>
      </c>
      <c r="R505" s="75">
        <f>IF($C505="","",IF($I505="","",ROUND(COUNTIF($I$4:$I$1463,"&lt;"&amp;$I505)/COUNT($I$4:$I$1463),3)))</f>
        <v>0.78900000000000003</v>
      </c>
      <c r="S505" s="19" t="str">
        <f>IF($C505="","",IF($G505="","Name only",IF(OR($I505="",$L505=""),"Partial","Complete")))</f>
        <v>Complete</v>
      </c>
      <c r="T505" s="1" t="str">
        <f>IF($C505="","",TRIM(IF(COUNTIF($C$4:$C$1463,$C505)&gt;1,"Dup name; ","")&amp;IF(AND($G505&lt;&gt;"",$G505&lt;55000),"Low CR - verify; ","")&amp;IF(AND($L505&lt;&gt;"",$L505&gt;15),"Secondary - verify; ","")&amp;IF($E505="","No class; ","")))</f>
        <v/>
      </c>
      <c r="U505" s="68"/>
      <c r="V505" s="68"/>
      <c r="W505" s="68"/>
      <c r="X505" s="76">
        <f t="shared" si="37"/>
        <v>6089</v>
      </c>
      <c r="Y505" s="1" t="str">
        <f t="shared" si="38"/>
        <v>ACHERON|13</v>
      </c>
      <c r="Z505" s="19">
        <f>IF($C505="","",IF($G505="","",RANK($G505,$G$4:$G$1463)+COUNTIF($G$4:$G505,$G505)-1))</f>
        <v>572</v>
      </c>
      <c r="AA505" s="19">
        <f>IF($C505="","",IF($N505="","",RANK($N505,$N$4:$N$1463)+COUNTIF($N$4:$N505,$N505)-1))</f>
        <v>237</v>
      </c>
      <c r="AB505" s="1" t="str">
        <f>IF($C505="","",IF($E505="","",$E505&amp;"#"&amp;(COUNTIFS($E$4:$E$1463,$E505,$X$4:$X$1463,"&gt;"&amp;$X505)+COUNTIFS($E$4:$E505,$E505,$X$4:$X505,"="&amp;$X505))))</f>
        <v>BLOOD KNIGHT#19</v>
      </c>
      <c r="AC505" s="1" t="str">
        <f>IF($C505="","",$B505&amp;"@"&amp;(COUNTIFS($B$4:$B$1463,$B505,$C$4:$C$1463,"&lt;"&amp;$C505)+COUNTIFS($B$4:$B505,$B505,$C$4:$C505,$C505)))</f>
        <v>ACHERON@30</v>
      </c>
      <c r="AD505" s="1">
        <f t="shared" si="39"/>
        <v>502</v>
      </c>
      <c r="AE505" s="1" t="s">
        <v>1428</v>
      </c>
      <c r="AF505" s="76">
        <f t="shared" si="40"/>
        <v>62680</v>
      </c>
      <c r="AG505" s="77">
        <f t="shared" si="41"/>
        <v>7.85</v>
      </c>
      <c r="AH505" s="1" t="str">
        <f>IF($C505="","",$B505&amp;"|"&amp;(COUNTIFS($B$4:$B$1463,$B505,$AF$4:$AF$1463,"&gt;"&amp;$AF505)+COUNTIFS($B$4:$B505,$B505,$AF$4:$AF505,"="&amp;$AF505)))</f>
        <v>ACHERON|45</v>
      </c>
      <c r="AI505" s="1" t="str">
        <f>IF($C505="","",$B505&amp;"|"&amp;(COUNTIFS($B$4:$B$1463,$B505,$AG$4:$AG$1463,"&gt;"&amp;$AG505)+COUNTIFS($B$4:$B505,$B505,$AG$4:$AG505,"="&amp;$AG505)))</f>
        <v>ACHERON|6</v>
      </c>
    </row>
    <row r="506" spans="1:35" hidden="1">
      <c r="A506" s="69" t="s">
        <v>109</v>
      </c>
      <c r="B506" s="69" t="s">
        <v>111</v>
      </c>
      <c r="C506" s="63" t="s">
        <v>1429</v>
      </c>
      <c r="D506" s="69" t="s">
        <v>527</v>
      </c>
      <c r="E506" s="68" t="s">
        <v>79</v>
      </c>
      <c r="F506" s="15" t="str">
        <f>IF($C506="","",IF($E506="","-",IFERROR(INDEX(SETUP!$B$55:$B$64,MATCH($E506,SETUP!$A$55:$A$64,0)),"Other")))</f>
        <v>Control</v>
      </c>
      <c r="G506" s="70">
        <v>64031</v>
      </c>
      <c r="H506" s="15" t="str">
        <f>IF($C506="","",IF($G506="","-",INDEX(SETUP!$B$26:$B$32,MATCH($G506,SETUP!$A$26:$A$32,1))))</f>
        <v>64,000 +</v>
      </c>
      <c r="I506" s="70">
        <v>8627</v>
      </c>
      <c r="J506" s="15" t="str">
        <f>IF($C506="","",IF($I506="","-",INDEX(SETUP!$B$16:$B$22,MATCH($I506,SETUP!$A$16:$A$22,1))))</f>
        <v>ELITE</v>
      </c>
      <c r="K506" s="15" t="str">
        <f>IF($C506="","",IF($I506="","-",TEXT(INT($I506/1000)*1000,"#,##0")&amp;" - "&amp;TEXT(INT($I506/1000)*1000+999,"#,##0")))</f>
        <v>8,000 - 8,999</v>
      </c>
      <c r="L506" s="71">
        <v>7.75</v>
      </c>
      <c r="M506" s="15" t="str">
        <f>IF($C506="","",IF($L506="","-",INDEX(SETUP!$B$36:$B$42,MATCH($L506,SETUP!$A$36:$A$42,1))))</f>
        <v>6k - 8k</v>
      </c>
      <c r="N506" s="17">
        <f>IF($C506="","",IF(OR($G506="",$I506=""),"",ROUND(100*(SETUP!$B$4*MIN(1,$I506/SETUP!$B$9)+SETUP!$B$5*MAX(0,MIN(1,($G506-SETUP!$B$10)/(SETUP!$B$11-SETUP!$B$10)))+SETUP!$B$6*MIN(1,IF($L506="",0,$L506)/SETUP!$B$12)),1)))</f>
        <v>74.3</v>
      </c>
      <c r="O506" s="15" t="str">
        <f>IF($C506="","",IF($N506="","-",INDEX(SETUP!$B$46:$B$51,MATCH($N506,SETUP!$A$46:$A$51,1))))</f>
        <v>S</v>
      </c>
      <c r="P506" s="15">
        <f>IF($C506="","",IF($I506="","",RANK($I506,$I$4:$I$1463)+COUNTIF($I$4:$I506,$I506)-1))</f>
        <v>113</v>
      </c>
      <c r="Q506" s="15">
        <f>IF($C506="","",COUNTIFS($B$4:$B$1463,$B506,$X$4:$X$1463,"&gt;"&amp;$X506)+COUNTIFS($B$4:$B506,$B506,$X$4:$X506,"="&amp;$X506))</f>
        <v>18</v>
      </c>
      <c r="R506" s="72">
        <f>IF($C506="","",IF($I506="","",ROUND(COUNTIF($I$4:$I$1463,"&lt;"&amp;$I506)/COUNT($I$4:$I$1463),3)))</f>
        <v>0.91500000000000004</v>
      </c>
      <c r="S506" s="15" t="str">
        <f>IF($C506="","",IF($G506="","Name only",IF(OR($I506="",$L506=""),"Partial","Complete")))</f>
        <v>Complete</v>
      </c>
      <c r="T506" s="41" t="str">
        <f>IF($C506="","",TRIM(IF(COUNTIF($C$4:$C$1463,$C506)&gt;1,"Dup name; ","")&amp;IF(AND($G506&lt;&gt;"",$G506&lt;55000),"Low CR - verify; ","")&amp;IF(AND($L506&lt;&gt;"",$L506&gt;15),"Secondary - verify; ","")&amp;IF($E506="","No class; ","")))</f>
        <v/>
      </c>
      <c r="U506" s="68"/>
      <c r="V506" s="68"/>
      <c r="W506" s="68"/>
      <c r="X506" s="73">
        <f t="shared" si="37"/>
        <v>8627</v>
      </c>
      <c r="Y506" s="41" t="str">
        <f t="shared" si="38"/>
        <v>RECKONING|18</v>
      </c>
      <c r="Z506" s="15">
        <f>IF($C506="","",IF($G506="","",RANK($G506,$G$4:$G$1463)+COUNTIF($G$4:$G506,$G506)-1))</f>
        <v>65</v>
      </c>
      <c r="AA506" s="15">
        <f>IF($C506="","",IF($N506="","",RANK($N506,$N$4:$N$1463)+COUNTIF($N$4:$N506,$N506)-1))</f>
        <v>93</v>
      </c>
      <c r="AB506" s="41" t="str">
        <f>IF($C506="","",IF($E506="","",$E506&amp;"#"&amp;(COUNTIFS($E$4:$E$1463,$E506,$X$4:$X$1463,"&gt;"&amp;$X506)+COUNTIFS($E$4:$E506,$E506,$X$4:$X506,"="&amp;$X506))))</f>
        <v>WARLOCK#24</v>
      </c>
      <c r="AC506" s="41" t="str">
        <f>IF($C506="","",$B506&amp;"@"&amp;(COUNTIFS($B$4:$B$1463,$B506,$C$4:$C$1463,"&lt;"&amp;$C506)+COUNTIFS($B$4:$B506,$B506,$C$4:$C506,$C506)))</f>
        <v>RECKONING@35</v>
      </c>
      <c r="AD506" s="41">
        <f t="shared" si="39"/>
        <v>503</v>
      </c>
      <c r="AE506" s="41" t="s">
        <v>1430</v>
      </c>
      <c r="AF506" s="73">
        <f t="shared" si="40"/>
        <v>64031</v>
      </c>
      <c r="AG506" s="74">
        <f t="shared" si="41"/>
        <v>7.75</v>
      </c>
      <c r="AH506" s="41" t="str">
        <f>IF($C506="","",$B506&amp;"|"&amp;(COUNTIFS($B$4:$B$1463,$B506,$AF$4:$AF$1463,"&gt;"&amp;$AF506)+COUNTIFS($B$4:$B506,$B506,$AF$4:$AF506,"="&amp;$AF506)))</f>
        <v>RECKONING|7</v>
      </c>
      <c r="AI506" s="41" t="str">
        <f>IF($C506="","",$B506&amp;"|"&amp;(COUNTIFS($B$4:$B$1463,$B506,$AG$4:$AG$1463,"&gt;"&amp;$AG506)+COUNTIFS($B$4:$B506,$B506,$AG$4:$AG506,"="&amp;$AG506)))</f>
        <v>RECKONING|15</v>
      </c>
    </row>
    <row r="507" spans="1:35" hidden="1">
      <c r="A507" s="69" t="s">
        <v>109</v>
      </c>
      <c r="B507" s="69" t="s">
        <v>113</v>
      </c>
      <c r="C507" s="63" t="s">
        <v>1431</v>
      </c>
      <c r="D507" s="69" t="s">
        <v>548</v>
      </c>
      <c r="E507" s="68" t="s">
        <v>74</v>
      </c>
      <c r="F507" s="19" t="str">
        <f>IF($C507="","",IF($E507="","-",IFERROR(INDEX(SETUP!$B$55:$B$64,MATCH($E507,SETUP!$A$55:$A$64,0)),"Other")))</f>
        <v>Ranged DPS</v>
      </c>
      <c r="G507" s="70">
        <v>62243</v>
      </c>
      <c r="H507" s="19" t="str">
        <f>IF($C507="","",IF($G507="","-",INDEX(SETUP!$B$26:$B$32,MATCH($G507,SETUP!$A$26:$A$32,1))))</f>
        <v>62,000 - 62,999</v>
      </c>
      <c r="I507" s="70">
        <v>3374</v>
      </c>
      <c r="J507" s="19" t="str">
        <f>IF($C507="","",IF($I507="","-",INDEX(SETUP!$B$16:$B$22,MATCH($I507,SETUP!$A$16:$A$22,1))))</f>
        <v>DEVELOPING</v>
      </c>
      <c r="K507" s="19" t="str">
        <f>IF($C507="","",IF($I507="","-",TEXT(INT($I507/1000)*1000,"#,##0")&amp;" - "&amp;TEXT(INT($I507/1000)*1000+999,"#,##0")))</f>
        <v>3,000 - 3,999</v>
      </c>
      <c r="L507" s="71">
        <v>5.6</v>
      </c>
      <c r="M507" s="19" t="str">
        <f>IF($C507="","",IF($L507="","-",INDEX(SETUP!$B$36:$B$42,MATCH($L507,SETUP!$A$36:$A$42,1))))</f>
        <v>5k - 6k</v>
      </c>
      <c r="N507" s="21">
        <f>IF($C507="","",IF(OR($G507="",$I507=""),"",ROUND(100*(SETUP!$B$4*MIN(1,$I507/SETUP!$B$9)+SETUP!$B$5*MAX(0,MIN(1,($G507-SETUP!$B$10)/(SETUP!$B$11-SETUP!$B$10)))+SETUP!$B$6*MIN(1,IF($L507="",0,$L507)/SETUP!$B$12)),1)))</f>
        <v>43.1</v>
      </c>
      <c r="O507" s="19" t="str">
        <f>IF($C507="","",IF($N507="","-",INDEX(SETUP!$B$46:$B$51,MATCH($N507,SETUP!$A$46:$A$51,1))))</f>
        <v>B</v>
      </c>
      <c r="P507" s="19">
        <f>IF($C507="","",IF($I507="","",RANK($I507,$I$4:$I$1463)+COUNTIF($I$4:$I507,$I507)-1))</f>
        <v>764</v>
      </c>
      <c r="Q507" s="19">
        <f>IF($C507="","",COUNTIFS($B$4:$B$1463,$B507,$X$4:$X$1463,"&gt;"&amp;$X507)+COUNTIFS($B$4:$B507,$B507,$X$4:$X507,"="&amp;$X507))</f>
        <v>38</v>
      </c>
      <c r="R507" s="75">
        <f>IF($C507="","",IF($I507="","",ROUND(COUNTIF($I$4:$I$1463,"&lt;"&amp;$I507)/COUNT($I$4:$I$1463),3)))</f>
        <v>0.42299999999999999</v>
      </c>
      <c r="S507" s="19" t="str">
        <f>IF($C507="","",IF($G507="","Name only",IF(OR($I507="",$L507=""),"Partial","Complete")))</f>
        <v>Complete</v>
      </c>
      <c r="T507" s="1" t="str">
        <f>IF($C507="","",TRIM(IF(COUNTIF($C$4:$C$1463,$C507)&gt;1,"Dup name; ","")&amp;IF(AND($G507&lt;&gt;"",$G507&lt;55000),"Low CR - verify; ","")&amp;IF(AND($L507&lt;&gt;"",$L507&gt;15),"Secondary - verify; ","")&amp;IF($E507="","No class; ","")))</f>
        <v/>
      </c>
      <c r="U507" s="68"/>
      <c r="V507" s="68"/>
      <c r="W507" s="68"/>
      <c r="X507" s="76">
        <f t="shared" si="37"/>
        <v>3374</v>
      </c>
      <c r="Y507" s="1" t="str">
        <f t="shared" si="38"/>
        <v>INVICTUS|38</v>
      </c>
      <c r="Z507" s="19">
        <f>IF($C507="","",IF($G507="","",RANK($G507,$G$4:$G$1463)+COUNTIF($G$4:$G507,$G507)-1))</f>
        <v>746</v>
      </c>
      <c r="AA507" s="19">
        <f>IF($C507="","",IF($N507="","",RANK($N507,$N$4:$N$1463)+COUNTIF($N$4:$N507,$N507)-1))</f>
        <v>699</v>
      </c>
      <c r="AB507" s="1" t="str">
        <f>IF($C507="","",IF($E507="","",$E507&amp;"#"&amp;(COUNTIFS($E$4:$E$1463,$E507,$X$4:$X$1463,"&gt;"&amp;$X507)+COUNTIFS($E$4:$E507,$E507,$X$4:$X507,"="&amp;$X507))))</f>
        <v>DEMON HUNTER#121</v>
      </c>
      <c r="AC507" s="1" t="str">
        <f>IF($C507="","",$B507&amp;"@"&amp;(COUNTIFS($B$4:$B$1463,$B507,$C$4:$C$1463,"&lt;"&amp;$C507)+COUNTIFS($B$4:$B507,$B507,$C$4:$C507,$C507)))</f>
        <v>INVICTUS@32</v>
      </c>
      <c r="AD507" s="1">
        <f t="shared" si="39"/>
        <v>504</v>
      </c>
      <c r="AE507" s="1" t="s">
        <v>1432</v>
      </c>
      <c r="AF507" s="76">
        <f t="shared" si="40"/>
        <v>62243</v>
      </c>
      <c r="AG507" s="77">
        <f t="shared" si="41"/>
        <v>5.6</v>
      </c>
      <c r="AH507" s="1" t="str">
        <f>IF($C507="","",$B507&amp;"|"&amp;(COUNTIFS($B$4:$B$1463,$B507,$AF$4:$AF$1463,"&gt;"&amp;$AF507)+COUNTIFS($B$4:$B507,$B507,$AF$4:$AF507,"="&amp;$AF507)))</f>
        <v>INVICTUS|46</v>
      </c>
      <c r="AI507" s="1" t="str">
        <f>IF($C507="","",$B507&amp;"|"&amp;(COUNTIFS($B$4:$B$1463,$B507,$AG$4:$AG$1463,"&gt;"&amp;$AG507)+COUNTIFS($B$4:$B507,$B507,$AG$4:$AG507,"="&amp;$AG507)))</f>
        <v>INVICTUS|18</v>
      </c>
    </row>
    <row r="508" spans="1:35" hidden="1">
      <c r="A508" s="69" t="s">
        <v>109</v>
      </c>
      <c r="B508" s="69" t="s">
        <v>113</v>
      </c>
      <c r="C508" s="63" t="s">
        <v>1433</v>
      </c>
      <c r="D508" s="69" t="s">
        <v>548</v>
      </c>
      <c r="E508" s="68" t="s">
        <v>73</v>
      </c>
      <c r="F508" s="15" t="str">
        <f>IF($C508="","",IF($E508="","-",IFERROR(INDEX(SETUP!$B$55:$B$64,MATCH($E508,SETUP!$A$55:$A$64,0)),"Other")))</f>
        <v>Frontline</v>
      </c>
      <c r="G508" s="70">
        <v>62625</v>
      </c>
      <c r="H508" s="15" t="str">
        <f>IF($C508="","",IF($G508="","-",INDEX(SETUP!$B$26:$B$32,MATCH($G508,SETUP!$A$26:$A$32,1))))</f>
        <v>62,000 - 62,999</v>
      </c>
      <c r="I508" s="70">
        <v>4970</v>
      </c>
      <c r="J508" s="15" t="str">
        <f>IF($C508="","",IF($I508="","-",INDEX(SETUP!$B$16:$B$22,MATCH($I508,SETUP!$A$16:$A$22,1))))</f>
        <v>CORE</v>
      </c>
      <c r="K508" s="15" t="str">
        <f>IF($C508="","",IF($I508="","-",TEXT(INT($I508/1000)*1000,"#,##0")&amp;" - "&amp;TEXT(INT($I508/1000)*1000+999,"#,##0")))</f>
        <v>4,000 - 4,999</v>
      </c>
      <c r="L508" s="71">
        <v>6.3</v>
      </c>
      <c r="M508" s="15" t="str">
        <f>IF($C508="","",IF($L508="","-",INDEX(SETUP!$B$36:$B$42,MATCH($L508,SETUP!$A$36:$A$42,1))))</f>
        <v>6k - 8k</v>
      </c>
      <c r="N508" s="17">
        <f>IF($C508="","",IF(OR($G508="",$I508=""),"",ROUND(100*(SETUP!$B$4*MIN(1,$I508/SETUP!$B$9)+SETUP!$B$5*MAX(0,MIN(1,($G508-SETUP!$B$10)/(SETUP!$B$11-SETUP!$B$10)))+SETUP!$B$6*MIN(1,IF($L508="",0,$L508)/SETUP!$B$12)),1)))</f>
        <v>52.3</v>
      </c>
      <c r="O508" s="15" t="str">
        <f>IF($C508="","",IF($N508="","-",INDEX(SETUP!$B$46:$B$51,MATCH($N508,SETUP!$A$46:$A$51,1))))</f>
        <v>A</v>
      </c>
      <c r="P508" s="15">
        <f>IF($C508="","",IF($I508="","",RANK($I508,$I$4:$I$1463)+COUNTIF($I$4:$I508,$I508)-1))</f>
        <v>417</v>
      </c>
      <c r="Q508" s="15">
        <f>IF($C508="","",COUNTIFS($B$4:$B$1463,$B508,$X$4:$X$1463,"&gt;"&amp;$X508)+COUNTIFS($B$4:$B508,$B508,$X$4:$X508,"="&amp;$X508))</f>
        <v>17</v>
      </c>
      <c r="R508" s="72">
        <f>IF($C508="","",IF($I508="","",ROUND(COUNTIF($I$4:$I$1463,"&lt;"&amp;$I508)/COUNT($I$4:$I$1463),3)))</f>
        <v>0.68500000000000005</v>
      </c>
      <c r="S508" s="15" t="str">
        <f>IF($C508="","",IF($G508="","Name only",IF(OR($I508="",$L508=""),"Partial","Complete")))</f>
        <v>Complete</v>
      </c>
      <c r="T508" s="41" t="str">
        <f>IF($C508="","",TRIM(IF(COUNTIF($C$4:$C$1463,$C508)&gt;1,"Dup name; ","")&amp;IF(AND($G508&lt;&gt;"",$G508&lt;55000),"Low CR - verify; ","")&amp;IF(AND($L508&lt;&gt;"",$L508&gt;15),"Secondary - verify; ","")&amp;IF($E508="","No class; ","")))</f>
        <v/>
      </c>
      <c r="U508" s="68"/>
      <c r="V508" s="68"/>
      <c r="W508" s="68"/>
      <c r="X508" s="73">
        <f t="shared" si="37"/>
        <v>4970</v>
      </c>
      <c r="Y508" s="41" t="str">
        <f t="shared" si="38"/>
        <v>INVICTUS|17</v>
      </c>
      <c r="Z508" s="15">
        <f>IF($C508="","",IF($G508="","",RANK($G508,$G$4:$G$1463)+COUNTIF($G$4:$G508,$G508)-1))</f>
        <v>600</v>
      </c>
      <c r="AA508" s="15">
        <f>IF($C508="","",IF($N508="","",RANK($N508,$N$4:$N$1463)+COUNTIF($N$4:$N508,$N508)-1))</f>
        <v>376</v>
      </c>
      <c r="AB508" s="41" t="str">
        <f>IF($C508="","",IF($E508="","",$E508&amp;"#"&amp;(COUNTIFS($E$4:$E$1463,$E508,$X$4:$X$1463,"&gt;"&amp;$X508)+COUNTIFS($E$4:$E508,$E508,$X$4:$X508,"="&amp;$X508))))</f>
        <v>CRUSADER#50</v>
      </c>
      <c r="AC508" s="41" t="str">
        <f>IF($C508="","",$B508&amp;"@"&amp;(COUNTIFS($B$4:$B$1463,$B508,$C$4:$C$1463,"&lt;"&amp;$C508)+COUNTIFS($B$4:$B508,$B508,$C$4:$C508,$C508)))</f>
        <v>INVICTUS@33</v>
      </c>
      <c r="AD508" s="41">
        <f t="shared" si="39"/>
        <v>505</v>
      </c>
      <c r="AE508" s="41" t="s">
        <v>1434</v>
      </c>
      <c r="AF508" s="73">
        <f t="shared" si="40"/>
        <v>62625</v>
      </c>
      <c r="AG508" s="74">
        <f t="shared" si="41"/>
        <v>6.3</v>
      </c>
      <c r="AH508" s="41" t="str">
        <f>IF($C508="","",$B508&amp;"|"&amp;(COUNTIFS($B$4:$B$1463,$B508,$AF$4:$AF$1463,"&gt;"&amp;$AF508)+COUNTIFS($B$4:$B508,$B508,$AF$4:$AF508,"="&amp;$AF508)))</f>
        <v>INVICTUS|35</v>
      </c>
      <c r="AI508" s="41" t="str">
        <f>IF($C508="","",$B508&amp;"|"&amp;(COUNTIFS($B$4:$B$1463,$B508,$AG$4:$AG$1463,"&gt;"&amp;$AG508)+COUNTIFS($B$4:$B508,$B508,$AG$4:$AG508,"="&amp;$AG508)))</f>
        <v>INVICTUS|7</v>
      </c>
    </row>
    <row r="509" spans="1:35" hidden="1">
      <c r="A509" s="69" t="s">
        <v>109</v>
      </c>
      <c r="B509" s="69" t="s">
        <v>108</v>
      </c>
      <c r="C509" s="63" t="s">
        <v>1435</v>
      </c>
      <c r="D509" s="69"/>
      <c r="E509" s="68" t="s">
        <v>79</v>
      </c>
      <c r="F509" s="19" t="str">
        <f>IF($C509="","",IF($E509="","-",IFERROR(INDEX(SETUP!$B$55:$B$64,MATCH($E509,SETUP!$A$55:$A$64,0)),"Other")))</f>
        <v>Control</v>
      </c>
      <c r="G509" s="70">
        <v>61902</v>
      </c>
      <c r="H509" s="19" t="str">
        <f>IF($C509="","",IF($G509="","-",INDEX(SETUP!$B$26:$B$32,MATCH($G509,SETUP!$A$26:$A$32,1))))</f>
        <v>61,000 - 61,999</v>
      </c>
      <c r="I509" s="70">
        <v>7128</v>
      </c>
      <c r="J509" s="19" t="str">
        <f>IF($C509="","",IF($I509="","-",INDEX(SETUP!$B$16:$B$22,MATCH($I509,SETUP!$A$16:$A$22,1))))</f>
        <v>VETERAN</v>
      </c>
      <c r="K509" s="19" t="str">
        <f>IF($C509="","",IF($I509="","-",TEXT(INT($I509/1000)*1000,"#,##0")&amp;" - "&amp;TEXT(INT($I509/1000)*1000+999,"#,##0")))</f>
        <v>7,000 - 7,999</v>
      </c>
      <c r="L509" s="71">
        <v>5.5</v>
      </c>
      <c r="M509" s="19" t="str">
        <f>IF($C509="","",IF($L509="","-",INDEX(SETUP!$B$36:$B$42,MATCH($L509,SETUP!$A$36:$A$42,1))))</f>
        <v>5k - 6k</v>
      </c>
      <c r="N509" s="21">
        <f>IF($C509="","",IF(OR($G509="",$I509=""),"",ROUND(100*(SETUP!$B$4*MIN(1,$I509/SETUP!$B$9)+SETUP!$B$5*MAX(0,MIN(1,($G509-SETUP!$B$10)/(SETUP!$B$11-SETUP!$B$10)))+SETUP!$B$6*MIN(1,IF($L509="",0,$L509)/SETUP!$B$12)),1)))</f>
        <v>58.4</v>
      </c>
      <c r="O509" s="19" t="str">
        <f>IF($C509="","",IF($N509="","-",INDEX(SETUP!$B$46:$B$51,MATCH($N509,SETUP!$A$46:$A$51,1))))</f>
        <v>A</v>
      </c>
      <c r="P509" s="19">
        <f>IF($C509="","",IF($I509="","",RANK($I509,$I$4:$I$1463)+COUNTIF($I$4:$I509,$I509)-1))</f>
        <v>214</v>
      </c>
      <c r="Q509" s="19">
        <f>IF($C509="","",COUNTIFS($B$4:$B$1463,$B509,$X$4:$X$1463,"&gt;"&amp;$X509)+COUNTIFS($B$4:$B509,$B509,$X$4:$X509,"="&amp;$X509))</f>
        <v>33</v>
      </c>
      <c r="R509" s="75">
        <f>IF($C509="","",IF($I509="","",ROUND(COUNTIF($I$4:$I$1463,"&lt;"&amp;$I509)/COUNT($I$4:$I$1463),3)))</f>
        <v>0.83799999999999997</v>
      </c>
      <c r="S509" s="19" t="str">
        <f>IF($C509="","",IF($G509="","Name only",IF(OR($I509="",$L509=""),"Partial","Complete")))</f>
        <v>Complete</v>
      </c>
      <c r="T509" s="1" t="str">
        <f>IF($C509="","",TRIM(IF(COUNTIF($C$4:$C$1463,$C509)&gt;1,"Dup name; ","")&amp;IF(AND($G509&lt;&gt;"",$G509&lt;55000),"Low CR - verify; ","")&amp;IF(AND($L509&lt;&gt;"",$L509&gt;15),"Secondary - verify; ","")&amp;IF($E509="","No class; ","")))</f>
        <v/>
      </c>
      <c r="U509" s="68"/>
      <c r="V509" s="68"/>
      <c r="W509" s="68"/>
      <c r="X509" s="76">
        <f t="shared" si="37"/>
        <v>7128</v>
      </c>
      <c r="Y509" s="1" t="str">
        <f t="shared" si="38"/>
        <v>SBG|33</v>
      </c>
      <c r="Z509" s="19">
        <f>IF($C509="","",IF($G509="","",RANK($G509,$G$4:$G$1463)+COUNTIF($G$4:$G509,$G509)-1))</f>
        <v>874</v>
      </c>
      <c r="AA509" s="19">
        <f>IF($C509="","",IF($N509="","",RANK($N509,$N$4:$N$1463)+COUNTIF($N$4:$N509,$N509)-1))</f>
        <v>256</v>
      </c>
      <c r="AB509" s="1" t="str">
        <f>IF($C509="","",IF($E509="","",$E509&amp;"#"&amp;(COUNTIFS($E$4:$E$1463,$E509,$X$4:$X$1463,"&gt;"&amp;$X509)+COUNTIFS($E$4:$E509,$E509,$X$4:$X509,"="&amp;$X509))))</f>
        <v>WARLOCK#47</v>
      </c>
      <c r="AC509" s="1" t="str">
        <f>IF($C509="","",$B509&amp;"@"&amp;(COUNTIFS($B$4:$B$1463,$B509,$C$4:$C$1463,"&lt;"&amp;$C509)+COUNTIFS($B$4:$B509,$B509,$C$4:$C509,$C509)))</f>
        <v>SBG@30</v>
      </c>
      <c r="AD509" s="1">
        <f t="shared" si="39"/>
        <v>506</v>
      </c>
      <c r="AE509" s="1" t="s">
        <v>1436</v>
      </c>
      <c r="AF509" s="76">
        <f t="shared" si="40"/>
        <v>61902</v>
      </c>
      <c r="AG509" s="77">
        <f t="shared" si="41"/>
        <v>5.5</v>
      </c>
      <c r="AH509" s="1" t="str">
        <f>IF($C509="","",$B509&amp;"|"&amp;(COUNTIFS($B$4:$B$1463,$B509,$AF$4:$AF$1463,"&gt;"&amp;$AF509)+COUNTIFS($B$4:$B509,$B509,$AF$4:$AF509,"="&amp;$AF509)))</f>
        <v>SBG|75</v>
      </c>
      <c r="AI509" s="1" t="str">
        <f>IF($C509="","",$B509&amp;"|"&amp;(COUNTIFS($B$4:$B$1463,$B509,$AG$4:$AG$1463,"&gt;"&amp;$AG509)+COUNTIFS($B$4:$B509,$B509,$AG$4:$AG509,"="&amp;$AG509)))</f>
        <v>SBG|56</v>
      </c>
    </row>
    <row r="510" spans="1:35">
      <c r="A510" s="69" t="s">
        <v>104</v>
      </c>
      <c r="B510" s="69" t="s">
        <v>66</v>
      </c>
      <c r="C510" s="63" t="s">
        <v>2908</v>
      </c>
      <c r="D510" s="69"/>
      <c r="E510" s="68" t="s">
        <v>80</v>
      </c>
      <c r="F510" s="19" t="str">
        <f>IF($C510="","",IF($E510="","-",IFERROR(INDEX(SETUP!$B$55:$B$64,MATCH($E510,SETUP!$A$55:$A$64,0)),"Other")))</f>
        <v>Ranged DPS</v>
      </c>
      <c r="G510" s="70">
        <v>63079</v>
      </c>
      <c r="H510" s="19" t="str">
        <f>IF($C510="","",IF($G510="","-",INDEX(SETUP!$B$26:$B$32,MATCH($G510,SETUP!$A$26:$A$32,1))))</f>
        <v>63,000 - 63,999</v>
      </c>
      <c r="I510" s="70">
        <v>4027</v>
      </c>
      <c r="J510" s="19" t="str">
        <f>IF($C510="","",IF($I510="","-",INDEX(SETUP!$B$16:$B$22,MATCH($I510,SETUP!$A$16:$A$22,1))))</f>
        <v>CORE</v>
      </c>
      <c r="K510" s="19" t="str">
        <f>IF($C510="","",IF($I510="","-",TEXT(INT($I510/1000)*1000,"#,##0")&amp;" - "&amp;TEXT(INT($I510/1000)*1000+999,"#,##0")))</f>
        <v>4,000 - 4,999</v>
      </c>
      <c r="L510" s="71">
        <v>5.03</v>
      </c>
      <c r="M510" s="19" t="str">
        <f>IF($C510="","",IF($L510="","-",INDEX(SETUP!$B$36:$B$42,MATCH($L510,SETUP!$A$36:$A$42,1))))</f>
        <v>5k - 6k</v>
      </c>
      <c r="N510" s="21">
        <f>IF($C510="","",IF(OR($G510="",$I510=""),"",ROUND(100*(SETUP!$B$4*MIN(1,$I510/SETUP!$B$9)+SETUP!$B$5*MAX(0,MIN(1,($G510-SETUP!$B$10)/(SETUP!$B$11-SETUP!$B$10)))+SETUP!$B$6*MIN(1,IF($L510="",0,$L510)/SETUP!$B$12)),1)))</f>
        <v>47.2</v>
      </c>
      <c r="O510" s="19" t="str">
        <f>IF($C510="","",IF($N510="","-",INDEX(SETUP!$B$46:$B$51,MATCH($N510,SETUP!$A$46:$A$51,1))))</f>
        <v>B</v>
      </c>
      <c r="P510" s="19">
        <f>IF($C510="","",IF($I510="","",RANK($I510,$I$4:$I$1463)+COUNTIF($I$4:$I510,$I510)-1))</f>
        <v>596</v>
      </c>
      <c r="Q510" s="19">
        <f>IF($C510="","",COUNTIFS($B$4:$B$1463,$B510,$X$4:$X$1463,"&gt;"&amp;$X510)+COUNTIFS($B$4:$B510,$B510,$X$4:$X510,"="&amp;$X510))</f>
        <v>61</v>
      </c>
      <c r="R510" s="75">
        <f>IF($C510="","",IF($I510="","",ROUND(COUNTIF($I$4:$I$1463,"&lt;"&amp;$I510)/COUNT($I$4:$I$1463),3)))</f>
        <v>0.55000000000000004</v>
      </c>
      <c r="S510" s="19" t="str">
        <f>IF($C510="","",IF($G510="","Name only",IF(OR($I510="",$L510=""),"Partial","Complete")))</f>
        <v>Complete</v>
      </c>
      <c r="T510" s="1" t="str">
        <f>IF($C510="","",TRIM(IF(COUNTIF($C$4:$C$1463,$C510)&gt;1,"Dup name; ","")&amp;IF(AND($G510&lt;&gt;"",$G510&lt;55000),"Low CR - verify; ","")&amp;IF(AND($L510&lt;&gt;"",$L510&gt;15),"Secondary - verify; ","")&amp;IF($E510="","No class; ","")))</f>
        <v/>
      </c>
      <c r="U510" s="68"/>
      <c r="V510" s="68"/>
      <c r="W510" s="68"/>
      <c r="X510" s="73">
        <f t="shared" si="37"/>
        <v>4027</v>
      </c>
      <c r="Y510" s="41" t="str">
        <f t="shared" si="38"/>
        <v>FUCT|61</v>
      </c>
      <c r="Z510" s="15">
        <f>IF($C510="","",IF($G510="","",RANK($G510,$G$4:$G$1463)+COUNTIF($G$4:$G510,$G510)-1))</f>
        <v>392</v>
      </c>
      <c r="AA510" s="15">
        <f>IF($C510="","",IF($N510="","",RANK($N510,$N$4:$N$1463)+COUNTIF($N$4:$N510,$N510)-1))</f>
        <v>545</v>
      </c>
      <c r="AB510" s="41" t="str">
        <f>IF($C510="","",IF($E510="","",$E510&amp;"#"&amp;(COUNTIFS($E$4:$E$1463,$E510,$X$4:$X$1463,"&gt;"&amp;$X510)+COUNTIFS($E$4:$E510,$E510,$X$4:$X510,"="&amp;$X510))))</f>
        <v>WIZARD#43</v>
      </c>
      <c r="AC510" s="41" t="str">
        <f>IF($C510="","",$B510&amp;"@"&amp;(COUNTIFS($B$4:$B$1463,$B510,$C$4:$C$1463,"&lt;"&amp;$C510)+COUNTIFS($B$4:$B510,$B510,$C$4:$C510,$C510)))</f>
        <v>FUCT@34</v>
      </c>
      <c r="AD510" s="41">
        <f t="shared" si="39"/>
        <v>507</v>
      </c>
      <c r="AE510" s="41" t="s">
        <v>1438</v>
      </c>
      <c r="AF510" s="73">
        <f t="shared" si="40"/>
        <v>63079</v>
      </c>
      <c r="AG510" s="74">
        <f t="shared" si="41"/>
        <v>5.03</v>
      </c>
      <c r="AH510" s="41" t="str">
        <f>IF($C510="","",$B510&amp;"|"&amp;(COUNTIFS($B$4:$B$1463,$B510,$AF$4:$AF$1463,"&gt;"&amp;$AF510)+COUNTIFS($B$4:$B510,$B510,$AF$4:$AF510,"="&amp;$AF510)))</f>
        <v>FUCT|40</v>
      </c>
      <c r="AI510" s="41" t="str">
        <f>IF($C510="","",$B510&amp;"|"&amp;(COUNTIFS($B$4:$B$1463,$B510,$AG$4:$AG$1463,"&gt;"&amp;$AG510)+COUNTIFS($B$4:$B510,$B510,$AG$4:$AG510,"="&amp;$AG510)))</f>
        <v>FUCT|46</v>
      </c>
    </row>
    <row r="511" spans="1:35" hidden="1">
      <c r="A511" s="69" t="s">
        <v>106</v>
      </c>
      <c r="B511" s="69" t="s">
        <v>86</v>
      </c>
      <c r="C511" s="63" t="s">
        <v>1439</v>
      </c>
      <c r="D511" s="69"/>
      <c r="E511" s="68" t="s">
        <v>71</v>
      </c>
      <c r="F511" s="19" t="str">
        <f>IF($C511="","",IF($E511="","-",IFERROR(INDEX(SETUP!$B$55:$B$64,MATCH($E511,SETUP!$A$55:$A$64,0)),"Other")))</f>
        <v>Frontline</v>
      </c>
      <c r="G511" s="70">
        <v>63443</v>
      </c>
      <c r="H511" s="19" t="str">
        <f>IF($C511="","",IF($G511="","-",INDEX(SETUP!$B$26:$B$32,MATCH($G511,SETUP!$A$26:$A$32,1))))</f>
        <v>63,000 - 63,999</v>
      </c>
      <c r="I511" s="70">
        <v>5147</v>
      </c>
      <c r="J511" s="19" t="str">
        <f>IF($C511="","",IF($I511="","-",INDEX(SETUP!$B$16:$B$22,MATCH($I511,SETUP!$A$16:$A$22,1))))</f>
        <v>CORE</v>
      </c>
      <c r="K511" s="19" t="str">
        <f>IF($C511="","",IF($I511="","-",TEXT(INT($I511/1000)*1000,"#,##0")&amp;" - "&amp;TEXT(INT($I511/1000)*1000+999,"#,##0")))</f>
        <v>5,000 - 5,999</v>
      </c>
      <c r="L511" s="71">
        <v>4.8</v>
      </c>
      <c r="M511" s="19" t="str">
        <f>IF($C511="","",IF($L511="","-",INDEX(SETUP!$B$36:$B$42,MATCH($L511,SETUP!$A$36:$A$42,1))))</f>
        <v>4k - 5k</v>
      </c>
      <c r="N511" s="21">
        <f>IF($C511="","",IF(OR($G511="",$I511=""),"",ROUND(100*(SETUP!$B$4*MIN(1,$I511/SETUP!$B$9)+SETUP!$B$5*MAX(0,MIN(1,($G511-SETUP!$B$10)/(SETUP!$B$11-SETUP!$B$10)))+SETUP!$B$6*MIN(1,IF($L511="",0,$L511)/SETUP!$B$12)),1)))</f>
        <v>52.7</v>
      </c>
      <c r="O511" s="19" t="str">
        <f>IF($C511="","",IF($N511="","-",INDEX(SETUP!$B$46:$B$51,MATCH($N511,SETUP!$A$46:$A$51,1))))</f>
        <v>A</v>
      </c>
      <c r="P511" s="19">
        <f>IF($C511="","",IF($I511="","",RANK($I511,$I$4:$I$1463)+COUNTIF($I$4:$I511,$I511)-1))</f>
        <v>387</v>
      </c>
      <c r="Q511" s="19">
        <f>IF($C511="","",COUNTIFS($B$4:$B$1463,$B511,$X$4:$X$1463,"&gt;"&amp;$X511)+COUNTIFS($B$4:$B511,$B511,$X$4:$X511,"="&amp;$X511))</f>
        <v>65</v>
      </c>
      <c r="R511" s="75">
        <f>IF($C511="","",IF($I511="","",ROUND(COUNTIF($I$4:$I$1463,"&lt;"&amp;$I511)/COUNT($I$4:$I$1463),3)))</f>
        <v>0.70799999999999996</v>
      </c>
      <c r="S511" s="19" t="str">
        <f>IF($C511="","",IF($G511="","Name only",IF(OR($I511="",$L511=""),"Partial","Complete")))</f>
        <v>Complete</v>
      </c>
      <c r="T511" s="1" t="str">
        <f>IF($C511="","",TRIM(IF(COUNTIF($C$4:$C$1463,$C511)&gt;1,"Dup name; ","")&amp;IF(AND($G511&lt;&gt;"",$G511&lt;55000),"Low CR - verify; ","")&amp;IF(AND($L511&lt;&gt;"",$L511&gt;15),"Secondary - verify; ","")&amp;IF($E511="","No class; ","")))</f>
        <v/>
      </c>
      <c r="U511" s="68"/>
      <c r="V511" s="68"/>
      <c r="W511" s="68"/>
      <c r="X511" s="76">
        <f t="shared" si="37"/>
        <v>5147</v>
      </c>
      <c r="Y511" s="1" t="str">
        <f t="shared" si="38"/>
        <v>VANGUARD|65</v>
      </c>
      <c r="Z511" s="19">
        <f>IF($C511="","",IF($G511="","",RANK($G511,$G$4:$G$1463)+COUNTIF($G$4:$G511,$G511)-1))</f>
        <v>208</v>
      </c>
      <c r="AA511" s="19">
        <f>IF($C511="","",IF($N511="","",RANK($N511,$N$4:$N$1463)+COUNTIF($N$4:$N511,$N511)-1))</f>
        <v>370</v>
      </c>
      <c r="AB511" s="1" t="str">
        <f>IF($C511="","",IF($E511="","",$E511&amp;"#"&amp;(COUNTIFS($E$4:$E$1463,$E511,$X$4:$X$1463,"&gt;"&amp;$X511)+COUNTIFS($E$4:$E511,$E511,$X$4:$X511,"="&amp;$X511))))</f>
        <v>BARBARIAN#78</v>
      </c>
      <c r="AC511" s="1" t="str">
        <f>IF($C511="","",$B511&amp;"@"&amp;(COUNTIFS($B$4:$B$1463,$B511,$C$4:$C$1463,"&lt;"&amp;$C511)+COUNTIFS($B$4:$B511,$B511,$C$4:$C511,$C511)))</f>
        <v>VANGUARD@46</v>
      </c>
      <c r="AD511" s="1">
        <f t="shared" si="39"/>
        <v>508</v>
      </c>
      <c r="AE511" s="1" t="s">
        <v>986</v>
      </c>
      <c r="AF511" s="76">
        <f t="shared" si="40"/>
        <v>63443</v>
      </c>
      <c r="AG511" s="77">
        <f t="shared" si="41"/>
        <v>4.8</v>
      </c>
      <c r="AH511" s="1" t="str">
        <f>IF($C511="","",$B511&amp;"|"&amp;(COUNTIFS($B$4:$B$1463,$B511,$AF$4:$AF$1463,"&gt;"&amp;$AF511)+COUNTIFS($B$4:$B511,$B511,$AF$4:$AF511,"="&amp;$AF511)))</f>
        <v>VANGUARD|44</v>
      </c>
      <c r="AI511" s="1" t="str">
        <f>IF($C511="","",$B511&amp;"|"&amp;(COUNTIFS($B$4:$B$1463,$B511,$AG$4:$AG$1463,"&gt;"&amp;$AG511)+COUNTIFS($B$4:$B511,$B511,$AG$4:$AG511,"="&amp;$AG511)))</f>
        <v>VANGUARD|72</v>
      </c>
    </row>
    <row r="512" spans="1:35" hidden="1">
      <c r="A512" s="69" t="s">
        <v>109</v>
      </c>
      <c r="B512" s="69" t="s">
        <v>113</v>
      </c>
      <c r="C512" s="63" t="s">
        <v>1440</v>
      </c>
      <c r="D512" s="69" t="s">
        <v>548</v>
      </c>
      <c r="E512" s="68" t="s">
        <v>80</v>
      </c>
      <c r="F512" s="15" t="str">
        <f>IF($C512="","",IF($E512="","-",IFERROR(INDEX(SETUP!$B$55:$B$64,MATCH($E512,SETUP!$A$55:$A$64,0)),"Other")))</f>
        <v>Ranged DPS</v>
      </c>
      <c r="G512" s="70">
        <v>61625</v>
      </c>
      <c r="H512" s="15" t="str">
        <f>IF($C512="","",IF($G512="","-",INDEX(SETUP!$B$26:$B$32,MATCH($G512,SETUP!$A$26:$A$32,1))))</f>
        <v>61,000 - 61,999</v>
      </c>
      <c r="I512" s="70">
        <v>2688</v>
      </c>
      <c r="J512" s="15" t="str">
        <f>IF($C512="","",IF($I512="","-",INDEX(SETUP!$B$16:$B$22,MATCH($I512,SETUP!$A$16:$A$22,1))))</f>
        <v>DEVELOPING</v>
      </c>
      <c r="K512" s="15" t="str">
        <f>IF($C512="","",IF($I512="","-",TEXT(INT($I512/1000)*1000,"#,##0")&amp;" - "&amp;TEXT(INT($I512/1000)*1000+999,"#,##0")))</f>
        <v>2,000 - 2,999</v>
      </c>
      <c r="L512" s="71">
        <v>3.55</v>
      </c>
      <c r="M512" s="15" t="str">
        <f>IF($C512="","",IF($L512="","-",INDEX(SETUP!$B$36:$B$42,MATCH($L512,SETUP!$A$36:$A$42,1))))</f>
        <v>3k - 4k</v>
      </c>
      <c r="N512" s="17">
        <f>IF($C512="","",IF(OR($G512="",$I512=""),"",ROUND(100*(SETUP!$B$4*MIN(1,$I512/SETUP!$B$9)+SETUP!$B$5*MAX(0,MIN(1,($G512-SETUP!$B$10)/(SETUP!$B$11-SETUP!$B$10)))+SETUP!$B$6*MIN(1,IF($L512="",0,$L512)/SETUP!$B$12)),1)))</f>
        <v>35.1</v>
      </c>
      <c r="O512" s="15" t="str">
        <f>IF($C512="","",IF($N512="","-",INDEX(SETUP!$B$46:$B$51,MATCH($N512,SETUP!$A$46:$A$51,1))))</f>
        <v>B</v>
      </c>
      <c r="P512" s="15">
        <f>IF($C512="","",IF($I512="","",RANK($I512,$I$4:$I$1463)+COUNTIF($I$4:$I512,$I512)-1))</f>
        <v>954</v>
      </c>
      <c r="Q512" s="15">
        <f>IF($C512="","",COUNTIFS($B$4:$B$1463,$B512,$X$4:$X$1463,"&gt;"&amp;$X512)+COUNTIFS($B$4:$B512,$B512,$X$4:$X512,"="&amp;$X512))</f>
        <v>63</v>
      </c>
      <c r="R512" s="72">
        <f>IF($C512="","",IF($I512="","",ROUND(COUNTIF($I$4:$I$1463,"&lt;"&amp;$I512)/COUNT($I$4:$I$1463),3)))</f>
        <v>0.27900000000000003</v>
      </c>
      <c r="S512" s="15" t="str">
        <f>IF($C512="","",IF($G512="","Name only",IF(OR($I512="",$L512=""),"Partial","Complete")))</f>
        <v>Complete</v>
      </c>
      <c r="T512" s="41" t="str">
        <f>IF($C512="","",TRIM(IF(COUNTIF($C$4:$C$1463,$C512)&gt;1,"Dup name; ","")&amp;IF(AND($G512&lt;&gt;"",$G512&lt;55000),"Low CR - verify; ","")&amp;IF(AND($L512&lt;&gt;"",$L512&gt;15),"Secondary - verify; ","")&amp;IF($E512="","No class; ","")))</f>
        <v/>
      </c>
      <c r="U512" s="68"/>
      <c r="V512" s="68"/>
      <c r="W512" s="68"/>
      <c r="X512" s="73">
        <f t="shared" si="37"/>
        <v>2688</v>
      </c>
      <c r="Y512" s="41" t="str">
        <f t="shared" si="38"/>
        <v>INVICTUS|63</v>
      </c>
      <c r="Z512" s="15">
        <f>IF($C512="","",IF($G512="","",RANK($G512,$G$4:$G$1463)+COUNTIF($G$4:$G512,$G512)-1))</f>
        <v>971</v>
      </c>
      <c r="AA512" s="15">
        <f>IF($C512="","",IF($N512="","",RANK($N512,$N$4:$N$1463)+COUNTIF($N$4:$N512,$N512)-1))</f>
        <v>1005</v>
      </c>
      <c r="AB512" s="41" t="str">
        <f>IF($C512="","",IF($E512="","",$E512&amp;"#"&amp;(COUNTIFS($E$4:$E$1463,$E512,$X$4:$X$1463,"&gt;"&amp;$X512)+COUNTIFS($E$4:$E512,$E512,$X$4:$X512,"="&amp;$X512))))</f>
        <v>WIZARD#67</v>
      </c>
      <c r="AC512" s="41" t="str">
        <f>IF($C512="","",$B512&amp;"@"&amp;(COUNTIFS($B$4:$B$1463,$B512,$C$4:$C$1463,"&lt;"&amp;$C512)+COUNTIFS($B$4:$B512,$B512,$C$4:$C512,$C512)))</f>
        <v>INVICTUS@34</v>
      </c>
      <c r="AD512" s="41">
        <f t="shared" si="39"/>
        <v>509</v>
      </c>
      <c r="AE512" s="41" t="s">
        <v>1441</v>
      </c>
      <c r="AF512" s="73">
        <f t="shared" si="40"/>
        <v>61625</v>
      </c>
      <c r="AG512" s="74">
        <f t="shared" si="41"/>
        <v>3.55</v>
      </c>
      <c r="AH512" s="41" t="str">
        <f>IF($C512="","",$B512&amp;"|"&amp;(COUNTIFS($B$4:$B$1463,$B512,$AF$4:$AF$1463,"&gt;"&amp;$AF512)+COUNTIFS($B$4:$B512,$B512,$AF$4:$AF512,"="&amp;$AF512)))</f>
        <v>INVICTUS|66</v>
      </c>
      <c r="AI512" s="41" t="str">
        <f>IF($C512="","",$B512&amp;"|"&amp;(COUNTIFS($B$4:$B$1463,$B512,$AG$4:$AG$1463,"&gt;"&amp;$AG512)+COUNTIFS($B$4:$B512,$B512,$AG$4:$AG512,"="&amp;$AG512)))</f>
        <v>INVICTUS|76</v>
      </c>
    </row>
    <row r="513" spans="1:35" hidden="1">
      <c r="A513" s="69" t="s">
        <v>109</v>
      </c>
      <c r="B513" s="69" t="s">
        <v>111</v>
      </c>
      <c r="C513" s="63" t="s">
        <v>1442</v>
      </c>
      <c r="D513" s="69" t="s">
        <v>527</v>
      </c>
      <c r="E513" s="68" t="s">
        <v>79</v>
      </c>
      <c r="F513" s="19" t="str">
        <f>IF($C513="","",IF($E513="","-",IFERROR(INDEX(SETUP!$B$55:$B$64,MATCH($E513,SETUP!$A$55:$A$64,0)),"Other")))</f>
        <v>Control</v>
      </c>
      <c r="G513" s="70">
        <v>62050</v>
      </c>
      <c r="H513" s="19" t="str">
        <f>IF($C513="","",IF($G513="","-",INDEX(SETUP!$B$26:$B$32,MATCH($G513,SETUP!$A$26:$A$32,1))))</f>
        <v>62,000 - 62,999</v>
      </c>
      <c r="I513" s="70">
        <v>3877</v>
      </c>
      <c r="J513" s="19" t="str">
        <f>IF($C513="","",IF($I513="","-",INDEX(SETUP!$B$16:$B$22,MATCH($I513,SETUP!$A$16:$A$22,1))))</f>
        <v>DEVELOPING</v>
      </c>
      <c r="K513" s="19" t="str">
        <f>IF($C513="","",IF($I513="","-",TEXT(INT($I513/1000)*1000,"#,##0")&amp;" - "&amp;TEXT(INT($I513/1000)*1000+999,"#,##0")))</f>
        <v>3,000 - 3,999</v>
      </c>
      <c r="L513" s="71">
        <v>5.95</v>
      </c>
      <c r="M513" s="19" t="str">
        <f>IF($C513="","",IF($L513="","-",INDEX(SETUP!$B$36:$B$42,MATCH($L513,SETUP!$A$36:$A$42,1))))</f>
        <v>5k - 6k</v>
      </c>
      <c r="N513" s="21">
        <f>IF($C513="","",IF(OR($G513="",$I513=""),"",ROUND(100*(SETUP!$B$4*MIN(1,$I513/SETUP!$B$9)+SETUP!$B$5*MAX(0,MIN(1,($G513-SETUP!$B$10)/(SETUP!$B$11-SETUP!$B$10)))+SETUP!$B$6*MIN(1,IF($L513="",0,$L513)/SETUP!$B$12)),1)))</f>
        <v>45.4</v>
      </c>
      <c r="O513" s="19" t="str">
        <f>IF($C513="","",IF($N513="","-",INDEX(SETUP!$B$46:$B$51,MATCH($N513,SETUP!$A$46:$A$51,1))))</f>
        <v>B</v>
      </c>
      <c r="P513" s="19">
        <f>IF($C513="","",IF($I513="","",RANK($I513,$I$4:$I$1463)+COUNTIF($I$4:$I513,$I513)-1))</f>
        <v>628</v>
      </c>
      <c r="Q513" s="19">
        <f>IF($C513="","",COUNTIFS($B$4:$B$1463,$B513,$X$4:$X$1463,"&gt;"&amp;$X513)+COUNTIFS($B$4:$B513,$B513,$X$4:$X513,"="&amp;$X513))</f>
        <v>69</v>
      </c>
      <c r="R513" s="75">
        <f>IF($C513="","",IF($I513="","",ROUND(COUNTIF($I$4:$I$1463,"&lt;"&amp;$I513)/COUNT($I$4:$I$1463),3)))</f>
        <v>0.52600000000000002</v>
      </c>
      <c r="S513" s="19" t="str">
        <f>IF($C513="","",IF($G513="","Name only",IF(OR($I513="",$L513=""),"Partial","Complete")))</f>
        <v>Complete</v>
      </c>
      <c r="T513" s="1" t="str">
        <f>IF($C513="","",TRIM(IF(COUNTIF($C$4:$C$1463,$C513)&gt;1,"Dup name; ","")&amp;IF(AND($G513&lt;&gt;"",$G513&lt;55000),"Low CR - verify; ","")&amp;IF(AND($L513&lt;&gt;"",$L513&gt;15),"Secondary - verify; ","")&amp;IF($E513="","No class; ","")))</f>
        <v/>
      </c>
      <c r="U513" s="68"/>
      <c r="V513" s="68"/>
      <c r="W513" s="68"/>
      <c r="X513" s="76">
        <f t="shared" si="37"/>
        <v>3877</v>
      </c>
      <c r="Y513" s="1" t="str">
        <f t="shared" si="38"/>
        <v>RECKONING|69</v>
      </c>
      <c r="Z513" s="19">
        <f>IF($C513="","",IF($G513="","",RANK($G513,$G$4:$G$1463)+COUNTIF($G$4:$G513,$G513)-1))</f>
        <v>815</v>
      </c>
      <c r="AA513" s="19">
        <f>IF($C513="","",IF($N513="","",RANK($N513,$N$4:$N$1463)+COUNTIF($N$4:$N513,$N513)-1))</f>
        <v>608</v>
      </c>
      <c r="AB513" s="1" t="str">
        <f>IF($C513="","",IF($E513="","",$E513&amp;"#"&amp;(COUNTIFS($E$4:$E$1463,$E513,$X$4:$X$1463,"&gt;"&amp;$X513)+COUNTIFS($E$4:$E513,$E513,$X$4:$X513,"="&amp;$X513))))</f>
        <v>WARLOCK#149</v>
      </c>
      <c r="AC513" s="1" t="str">
        <f>IF($C513="","",$B513&amp;"@"&amp;(COUNTIFS($B$4:$B$1463,$B513,$C$4:$C$1463,"&lt;"&amp;$C513)+COUNTIFS($B$4:$B513,$B513,$C$4:$C513,$C513)))</f>
        <v>RECKONING@36</v>
      </c>
      <c r="AD513" s="1">
        <f t="shared" si="39"/>
        <v>510</v>
      </c>
      <c r="AE513" s="1" t="s">
        <v>1443</v>
      </c>
      <c r="AF513" s="76">
        <f t="shared" si="40"/>
        <v>62050</v>
      </c>
      <c r="AG513" s="77">
        <f t="shared" si="41"/>
        <v>5.95</v>
      </c>
      <c r="AH513" s="1" t="str">
        <f>IF($C513="","",$B513&amp;"|"&amp;(COUNTIFS($B$4:$B$1463,$B513,$AF$4:$AF$1463,"&gt;"&amp;$AF513)+COUNTIFS($B$4:$B513,$B513,$AF$4:$AF513,"="&amp;$AF513)))</f>
        <v>RECKONING|70</v>
      </c>
      <c r="AI513" s="1" t="str">
        <f>IF($C513="","",$B513&amp;"|"&amp;(COUNTIFS($B$4:$B$1463,$B513,$AG$4:$AG$1463,"&gt;"&amp;$AG513)+COUNTIFS($B$4:$B513,$B513,$AG$4:$AG513,"="&amp;$AG513)))</f>
        <v>RECKONING|38</v>
      </c>
    </row>
    <row r="514" spans="1:35" hidden="1">
      <c r="A514" s="69" t="s">
        <v>109</v>
      </c>
      <c r="B514" s="69" t="s">
        <v>110</v>
      </c>
      <c r="C514" s="63" t="s">
        <v>1444</v>
      </c>
      <c r="D514" s="69"/>
      <c r="E514" s="68" t="s">
        <v>74</v>
      </c>
      <c r="F514" s="15" t="str">
        <f>IF($C514="","",IF($E514="","-",IFERROR(INDEX(SETUP!$B$55:$B$64,MATCH($E514,SETUP!$A$55:$A$64,0)),"Other")))</f>
        <v>Ranged DPS</v>
      </c>
      <c r="G514" s="70">
        <v>63049</v>
      </c>
      <c r="H514" s="15" t="str">
        <f>IF($C514="","",IF($G514="","-",INDEX(SETUP!$B$26:$B$32,MATCH($G514,SETUP!$A$26:$A$32,1))))</f>
        <v>63,000 - 63,999</v>
      </c>
      <c r="I514" s="70">
        <v>4956</v>
      </c>
      <c r="J514" s="15" t="str">
        <f>IF($C514="","",IF($I514="","-",INDEX(SETUP!$B$16:$B$22,MATCH($I514,SETUP!$A$16:$A$22,1))))</f>
        <v>CORE</v>
      </c>
      <c r="K514" s="15" t="str">
        <f>IF($C514="","",IF($I514="","-",TEXT(INT($I514/1000)*1000,"#,##0")&amp;" - "&amp;TEXT(INT($I514/1000)*1000+999,"#,##0")))</f>
        <v>4,000 - 4,999</v>
      </c>
      <c r="L514" s="71">
        <v>7</v>
      </c>
      <c r="M514" s="15" t="str">
        <f>IF($C514="","",IF($L514="","-",INDEX(SETUP!$B$36:$B$42,MATCH($L514,SETUP!$A$36:$A$42,1))))</f>
        <v>6k - 8k</v>
      </c>
      <c r="N514" s="17">
        <f>IF($C514="","",IF(OR($G514="",$I514=""),"",ROUND(100*(SETUP!$B$4*MIN(1,$I514/SETUP!$B$9)+SETUP!$B$5*MAX(0,MIN(1,($G514-SETUP!$B$10)/(SETUP!$B$11-SETUP!$B$10)))+SETUP!$B$6*MIN(1,IF($L514="",0,$L514)/SETUP!$B$12)),1)))</f>
        <v>54.5</v>
      </c>
      <c r="O514" s="15" t="str">
        <f>IF($C514="","",IF($N514="","-",INDEX(SETUP!$B$46:$B$51,MATCH($N514,SETUP!$A$46:$A$51,1))))</f>
        <v>A</v>
      </c>
      <c r="P514" s="15">
        <f>IF($C514="","",IF($I514="","",RANK($I514,$I$4:$I$1463)+COUNTIF($I$4:$I514,$I514)-1))</f>
        <v>421</v>
      </c>
      <c r="Q514" s="15">
        <f>IF($C514="","",COUNTIFS($B$4:$B$1463,$B514,$X$4:$X$1463,"&gt;"&amp;$X514)+COUNTIFS($B$4:$B514,$B514,$X$4:$X514,"="&amp;$X514))</f>
        <v>50</v>
      </c>
      <c r="R514" s="72">
        <f>IF($C514="","",IF($I514="","",ROUND(COUNTIF($I$4:$I$1463,"&lt;"&amp;$I514)/COUNT($I$4:$I$1463),3)))</f>
        <v>0.68200000000000005</v>
      </c>
      <c r="S514" s="15" t="str">
        <f>IF($C514="","",IF($G514="","Name only",IF(OR($I514="",$L514=""),"Partial","Complete")))</f>
        <v>Complete</v>
      </c>
      <c r="T514" s="41" t="str">
        <f>IF($C514="","",TRIM(IF(COUNTIF($C$4:$C$1463,$C514)&gt;1,"Dup name; ","")&amp;IF(AND($G514&lt;&gt;"",$G514&lt;55000),"Low CR - verify; ","")&amp;IF(AND($L514&lt;&gt;"",$L514&gt;15),"Secondary - verify; ","")&amp;IF($E514="","No class; ","")))</f>
        <v/>
      </c>
      <c r="U514" s="68"/>
      <c r="V514" s="68"/>
      <c r="W514" s="68"/>
      <c r="X514" s="73">
        <f t="shared" si="37"/>
        <v>4956</v>
      </c>
      <c r="Y514" s="41" t="str">
        <f t="shared" si="38"/>
        <v>AZUKI|50</v>
      </c>
      <c r="Z514" s="15">
        <f>IF($C514="","",IF($G514="","",RANK($G514,$G$4:$G$1463)+COUNTIF($G$4:$G514,$G514)-1))</f>
        <v>404</v>
      </c>
      <c r="AA514" s="15">
        <f>IF($C514="","",IF($N514="","",RANK($N514,$N$4:$N$1463)+COUNTIF($N$4:$N514,$N514)-1))</f>
        <v>329</v>
      </c>
      <c r="AB514" s="41" t="str">
        <f>IF($C514="","",IF($E514="","",$E514&amp;"#"&amp;(COUNTIFS($E$4:$E$1463,$E514,$X$4:$X$1463,"&gt;"&amp;$X514)+COUNTIFS($E$4:$E514,$E514,$X$4:$X514,"="&amp;$X514))))</f>
        <v>DEMON HUNTER#68</v>
      </c>
      <c r="AC514" s="41" t="str">
        <f>IF($C514="","",$B514&amp;"@"&amp;(COUNTIFS($B$4:$B$1463,$B514,$C$4:$C$1463,"&lt;"&amp;$C514)+COUNTIFS($B$4:$B514,$B514,$C$4:$C514,$C514)))</f>
        <v>AZUKI@46</v>
      </c>
      <c r="AD514" s="41">
        <f t="shared" si="39"/>
        <v>511</v>
      </c>
      <c r="AE514" s="41" t="s">
        <v>1445</v>
      </c>
      <c r="AF514" s="73">
        <f t="shared" si="40"/>
        <v>63049</v>
      </c>
      <c r="AG514" s="74">
        <f t="shared" si="41"/>
        <v>7</v>
      </c>
      <c r="AH514" s="41" t="str">
        <f>IF($C514="","",$B514&amp;"|"&amp;(COUNTIFS($B$4:$B$1463,$B514,$AF$4:$AF$1463,"&gt;"&amp;$AF514)+COUNTIFS($B$4:$B514,$B514,$AF$4:$AF514,"="&amp;$AF514)))</f>
        <v>AZUKI|39</v>
      </c>
      <c r="AI514" s="41" t="str">
        <f>IF($C514="","",$B514&amp;"|"&amp;(COUNTIFS($B$4:$B$1463,$B514,$AG$4:$AG$1463,"&gt;"&amp;$AG514)+COUNTIFS($B$4:$B514,$B514,$AG$4:$AG514,"="&amp;$AG514)))</f>
        <v>AZUKI|28</v>
      </c>
    </row>
    <row r="515" spans="1:35" hidden="1">
      <c r="A515" s="69" t="s">
        <v>109</v>
      </c>
      <c r="B515" s="69" t="s">
        <v>110</v>
      </c>
      <c r="C515" s="63" t="s">
        <v>1446</v>
      </c>
      <c r="D515" s="69"/>
      <c r="E515" s="68" t="s">
        <v>78</v>
      </c>
      <c r="F515" s="19" t="str">
        <f>IF($C515="","",IF($E515="","-",IFERROR(INDEX(SETUP!$B$55:$B$64,MATCH($E515,SETUP!$A$55:$A$64,0)),"Other")))</f>
        <v>Melee DPS</v>
      </c>
      <c r="G515" s="70">
        <v>60473</v>
      </c>
      <c r="H515" s="19" t="str">
        <f>IF($C515="","",IF($G515="","-",INDEX(SETUP!$B$26:$B$32,MATCH($G515,SETUP!$A$26:$A$32,1))))</f>
        <v>60,000 - 60,999</v>
      </c>
      <c r="I515" s="70">
        <v>3046</v>
      </c>
      <c r="J515" s="19" t="str">
        <f>IF($C515="","",IF($I515="","-",INDEX(SETUP!$B$16:$B$22,MATCH($I515,SETUP!$A$16:$A$22,1))))</f>
        <v>DEVELOPING</v>
      </c>
      <c r="K515" s="19" t="str">
        <f>IF($C515="","",IF($I515="","-",TEXT(INT($I515/1000)*1000,"#,##0")&amp;" - "&amp;TEXT(INT($I515/1000)*1000+999,"#,##0")))</f>
        <v>3,000 - 3,999</v>
      </c>
      <c r="L515" s="71">
        <v>4.75</v>
      </c>
      <c r="M515" s="19" t="str">
        <f>IF($C515="","",IF($L515="","-",INDEX(SETUP!$B$36:$B$42,MATCH($L515,SETUP!$A$36:$A$42,1))))</f>
        <v>4k - 5k</v>
      </c>
      <c r="N515" s="21">
        <f>IF($C515="","",IF(OR($G515="",$I515=""),"",ROUND(100*(SETUP!$B$4*MIN(1,$I515/SETUP!$B$9)+SETUP!$B$5*MAX(0,MIN(1,($G515-SETUP!$B$10)/(SETUP!$B$11-SETUP!$B$10)))+SETUP!$B$6*MIN(1,IF($L515="",0,$L515)/SETUP!$B$12)),1)))</f>
        <v>35.6</v>
      </c>
      <c r="O515" s="19" t="str">
        <f>IF($C515="","",IF($N515="","-",INDEX(SETUP!$B$46:$B$51,MATCH($N515,SETUP!$A$46:$A$51,1))))</f>
        <v>B</v>
      </c>
      <c r="P515" s="19">
        <f>IF($C515="","",IF($I515="","",RANK($I515,$I$4:$I$1463)+COUNTIF($I$4:$I515,$I515)-1))</f>
        <v>862</v>
      </c>
      <c r="Q515" s="19">
        <f>IF($C515="","",COUNTIFS($B$4:$B$1463,$B515,$X$4:$X$1463,"&gt;"&amp;$X515)+COUNTIFS($B$4:$B515,$B515,$X$4:$X515,"="&amp;$X515))</f>
        <v>89</v>
      </c>
      <c r="R515" s="75">
        <f>IF($C515="","",IF($I515="","",ROUND(COUNTIF($I$4:$I$1463,"&lt;"&amp;$I515)/COUNT($I$4:$I$1463),3)))</f>
        <v>0.34899999999999998</v>
      </c>
      <c r="S515" s="19" t="str">
        <f>IF($C515="","",IF($G515="","Name only",IF(OR($I515="",$L515=""),"Partial","Complete")))</f>
        <v>Complete</v>
      </c>
      <c r="T515" s="1" t="str">
        <f>IF($C515="","",TRIM(IF(COUNTIF($C$4:$C$1463,$C515)&gt;1,"Dup name; ","")&amp;IF(AND($G515&lt;&gt;"",$G515&lt;55000),"Low CR - verify; ","")&amp;IF(AND($L515&lt;&gt;"",$L515&gt;15),"Secondary - verify; ","")&amp;IF($E515="","No class; ","")))</f>
        <v/>
      </c>
      <c r="U515" s="68"/>
      <c r="V515" s="68"/>
      <c r="W515" s="68"/>
      <c r="X515" s="76">
        <f t="shared" si="37"/>
        <v>3046</v>
      </c>
      <c r="Y515" s="1" t="str">
        <f t="shared" si="38"/>
        <v>AZUKI|89</v>
      </c>
      <c r="Z515" s="19">
        <f>IF($C515="","",IF($G515="","",RANK($G515,$G$4:$G$1463)+COUNTIF($G$4:$G515,$G515)-1))</f>
        <v>1209</v>
      </c>
      <c r="AA515" s="19">
        <f>IF($C515="","",IF($N515="","",RANK($N515,$N$4:$N$1463)+COUNTIF($N$4:$N515,$N515)-1))</f>
        <v>984</v>
      </c>
      <c r="AB515" s="1" t="str">
        <f>IF($C515="","",IF($E515="","",$E515&amp;"#"&amp;(COUNTIFS($E$4:$E$1463,$E515,$X$4:$X$1463,"&gt;"&amp;$X515)+COUNTIFS($E$4:$E515,$E515,$X$4:$X515,"="&amp;$X515))))</f>
        <v>TEMPEST#35</v>
      </c>
      <c r="AC515" s="1" t="str">
        <f>IF($C515="","",$B515&amp;"@"&amp;(COUNTIFS($B$4:$B$1463,$B515,$C$4:$C$1463,"&lt;"&amp;$C515)+COUNTIFS($B$4:$B515,$B515,$C$4:$C515,$C515)))</f>
        <v>AZUKI@47</v>
      </c>
      <c r="AD515" s="1">
        <f t="shared" si="39"/>
        <v>512</v>
      </c>
      <c r="AE515" s="1" t="s">
        <v>1447</v>
      </c>
      <c r="AF515" s="76">
        <f t="shared" si="40"/>
        <v>60473</v>
      </c>
      <c r="AG515" s="77">
        <f t="shared" si="41"/>
        <v>4.75</v>
      </c>
      <c r="AH515" s="1" t="str">
        <f>IF($C515="","",$B515&amp;"|"&amp;(COUNTIFS($B$4:$B$1463,$B515,$AF$4:$AF$1463,"&gt;"&amp;$AF515)+COUNTIFS($B$4:$B515,$B515,$AF$4:$AF515,"="&amp;$AF515)))</f>
        <v>AZUKI|98</v>
      </c>
      <c r="AI515" s="1" t="str">
        <f>IF($C515="","",$B515&amp;"|"&amp;(COUNTIFS($B$4:$B$1463,$B515,$AG$4:$AG$1463,"&gt;"&amp;$AG515)+COUNTIFS($B$4:$B515,$B515,$AG$4:$AG515,"="&amp;$AG515)))</f>
        <v>AZUKI|74</v>
      </c>
    </row>
    <row r="516" spans="1:35" hidden="1">
      <c r="A516" s="69" t="s">
        <v>109</v>
      </c>
      <c r="B516" s="69" t="s">
        <v>114</v>
      </c>
      <c r="C516" s="63" t="s">
        <v>1448</v>
      </c>
      <c r="D516" s="69"/>
      <c r="E516" s="68" t="s">
        <v>71</v>
      </c>
      <c r="F516" s="15" t="str">
        <f>IF($C516="","",IF($E516="","-",IFERROR(INDEX(SETUP!$B$55:$B$64,MATCH($E516,SETUP!$A$55:$A$64,0)),"Other")))</f>
        <v>Frontline</v>
      </c>
      <c r="G516" s="70">
        <v>63152</v>
      </c>
      <c r="H516" s="15" t="str">
        <f>IF($C516="","",IF($G516="","-",INDEX(SETUP!$B$26:$B$32,MATCH($G516,SETUP!$A$26:$A$32,1))))</f>
        <v>63,000 - 63,999</v>
      </c>
      <c r="I516" s="70">
        <v>3849</v>
      </c>
      <c r="J516" s="15" t="str">
        <f>IF($C516="","",IF($I516="","-",INDEX(SETUP!$B$16:$B$22,MATCH($I516,SETUP!$A$16:$A$22,1))))</f>
        <v>DEVELOPING</v>
      </c>
      <c r="K516" s="15" t="str">
        <f>IF($C516="","",IF($I516="","-",TEXT(INT($I516/1000)*1000,"#,##0")&amp;" - "&amp;TEXT(INT($I516/1000)*1000+999,"#,##0")))</f>
        <v>3,000 - 3,999</v>
      </c>
      <c r="L516" s="71">
        <v>4.7</v>
      </c>
      <c r="M516" s="15" t="str">
        <f>IF($C516="","",IF($L516="","-",INDEX(SETUP!$B$36:$B$42,MATCH($L516,SETUP!$A$36:$A$42,1))))</f>
        <v>4k - 5k</v>
      </c>
      <c r="N516" s="17">
        <f>IF($C516="","",IF(OR($G516="",$I516=""),"",ROUND(100*(SETUP!$B$4*MIN(1,$I516/SETUP!$B$9)+SETUP!$B$5*MAX(0,MIN(1,($G516-SETUP!$B$10)/(SETUP!$B$11-SETUP!$B$10)))+SETUP!$B$6*MIN(1,IF($L516="",0,$L516)/SETUP!$B$12)),1)))</f>
        <v>46.1</v>
      </c>
      <c r="O516" s="15" t="str">
        <f>IF($C516="","",IF($N516="","-",INDEX(SETUP!$B$46:$B$51,MATCH($N516,SETUP!$A$46:$A$51,1))))</f>
        <v>B</v>
      </c>
      <c r="P516" s="15">
        <f>IF($C516="","",IF($I516="","",RANK($I516,$I$4:$I$1463)+COUNTIF($I$4:$I516,$I516)-1))</f>
        <v>635</v>
      </c>
      <c r="Q516" s="15">
        <f>IF($C516="","",COUNTIFS($B$4:$B$1463,$B516,$X$4:$X$1463,"&gt;"&amp;$X516)+COUNTIFS($B$4:$B516,$B516,$X$4:$X516,"="&amp;$X516))</f>
        <v>13</v>
      </c>
      <c r="R516" s="72">
        <f>IF($C516="","",IF($I516="","",ROUND(COUNTIF($I$4:$I$1463,"&lt;"&amp;$I516)/COUNT($I$4:$I$1463),3)))</f>
        <v>0.52100000000000002</v>
      </c>
      <c r="S516" s="15" t="str">
        <f>IF($C516="","",IF($G516="","Name only",IF(OR($I516="",$L516=""),"Partial","Complete")))</f>
        <v>Complete</v>
      </c>
      <c r="T516" s="41" t="str">
        <f>IF($C516="","",TRIM(IF(COUNTIF($C$4:$C$1463,$C516)&gt;1,"Dup name; ","")&amp;IF(AND($G516&lt;&gt;"",$G516&lt;55000),"Low CR - verify; ","")&amp;IF(AND($L516&lt;&gt;"",$L516&gt;15),"Secondary - verify; ","")&amp;IF($E516="","No class; ","")))</f>
        <v/>
      </c>
      <c r="U516" s="68"/>
      <c r="V516" s="68"/>
      <c r="W516" s="68"/>
      <c r="X516" s="73">
        <f t="shared" ref="X516:X579" si="42">IF($C516="","",IF($I516="",-1,$I516))</f>
        <v>3849</v>
      </c>
      <c r="Y516" s="41" t="str">
        <f t="shared" ref="Y516:Y579" si="43">IF($C516="","",$B516&amp;"|"&amp;$Q516)</f>
        <v>EMERALD LEAF TRIBE|13</v>
      </c>
      <c r="Z516" s="15">
        <f>IF($C516="","",IF($G516="","",RANK($G516,$G$4:$G$1463)+COUNTIF($G$4:$G516,$G516)-1))</f>
        <v>343</v>
      </c>
      <c r="AA516" s="15">
        <f>IF($C516="","",IF($N516="","",RANK($N516,$N$4:$N$1463)+COUNTIF($N$4:$N516,$N516)-1))</f>
        <v>588</v>
      </c>
      <c r="AB516" s="41" t="str">
        <f>IF($C516="","",IF($E516="","",$E516&amp;"#"&amp;(COUNTIFS($E$4:$E$1463,$E516,$X$4:$X$1463,"&gt;"&amp;$X516)+COUNTIFS($E$4:$E516,$E516,$X$4:$X516,"="&amp;$X516))))</f>
        <v>BARBARIAN#117</v>
      </c>
      <c r="AC516" s="41" t="str">
        <f>IF($C516="","",$B516&amp;"@"&amp;(COUNTIFS($B$4:$B$1463,$B516,$C$4:$C$1463,"&lt;"&amp;$C516)+COUNTIFS($B$4:$B516,$B516,$C$4:$C516,$C516)))</f>
        <v>EMERALD LEAF TRIBE@34</v>
      </c>
      <c r="AD516" s="41">
        <f t="shared" ref="AD516:AD579" si="44">IF($C516="","",ROW()-4+1)</f>
        <v>513</v>
      </c>
      <c r="AE516" s="41" t="s">
        <v>1449</v>
      </c>
      <c r="AF516" s="73">
        <f t="shared" ref="AF516:AF579" si="45">IF($C516="","",IF($G516="",-1,$G516))</f>
        <v>63152</v>
      </c>
      <c r="AG516" s="74">
        <f t="shared" ref="AG516:AG579" si="46">IF($C516="","",IF($L516="",-1,$L516))</f>
        <v>4.7</v>
      </c>
      <c r="AH516" s="41" t="str">
        <f>IF($C516="","",$B516&amp;"|"&amp;(COUNTIFS($B$4:$B$1463,$B516,$AF$4:$AF$1463,"&gt;"&amp;$AF516)+COUNTIFS($B$4:$B516,$B516,$AF$4:$AF516,"="&amp;$AF516)))</f>
        <v>EMERALD LEAF TRIBE|2</v>
      </c>
      <c r="AI516" s="41" t="str">
        <f>IF($C516="","",$B516&amp;"|"&amp;(COUNTIFS($B$4:$B$1463,$B516,$AG$4:$AG$1463,"&gt;"&amp;$AG516)+COUNTIFS($B$4:$B516,$B516,$AG$4:$AG516,"="&amp;$AG516)))</f>
        <v>EMERALD LEAF TRIBE|13</v>
      </c>
    </row>
    <row r="517" spans="1:35" hidden="1">
      <c r="A517" s="69" t="s">
        <v>106</v>
      </c>
      <c r="B517" s="69" t="s">
        <v>105</v>
      </c>
      <c r="C517" s="63" t="s">
        <v>1450</v>
      </c>
      <c r="D517" s="69" t="s">
        <v>691</v>
      </c>
      <c r="E517" s="68" t="s">
        <v>75</v>
      </c>
      <c r="F517" s="19" t="str">
        <f>IF($C517="","",IF($E517="","-",IFERROR(INDEX(SETUP!$B$55:$B$64,MATCH($E517,SETUP!$A$55:$A$64,0)),"Other")))</f>
        <v>Support</v>
      </c>
      <c r="G517" s="70">
        <v>61903</v>
      </c>
      <c r="H517" s="19" t="str">
        <f>IF($C517="","",IF($G517="","-",INDEX(SETUP!$B$26:$B$32,MATCH($G517,SETUP!$A$26:$A$32,1))))</f>
        <v>61,000 - 61,999</v>
      </c>
      <c r="I517" s="70">
        <v>4251</v>
      </c>
      <c r="J517" s="19" t="str">
        <f>IF($C517="","",IF($I517="","-",INDEX(SETUP!$B$16:$B$22,MATCH($I517,SETUP!$A$16:$A$22,1))))</f>
        <v>CORE</v>
      </c>
      <c r="K517" s="19" t="str">
        <f>IF($C517="","",IF($I517="","-",TEXT(INT($I517/1000)*1000,"#,##0")&amp;" - "&amp;TEXT(INT($I517/1000)*1000+999,"#,##0")))</f>
        <v>4,000 - 4,999</v>
      </c>
      <c r="L517" s="71">
        <v>4.45</v>
      </c>
      <c r="M517" s="19" t="str">
        <f>IF($C517="","",IF($L517="","-",INDEX(SETUP!$B$36:$B$42,MATCH($L517,SETUP!$A$36:$A$42,1))))</f>
        <v>4k - 5k</v>
      </c>
      <c r="N517" s="21">
        <f>IF($C517="","",IF(OR($G517="",$I517=""),"",ROUND(100*(SETUP!$B$4*MIN(1,$I517/SETUP!$B$9)+SETUP!$B$5*MAX(0,MIN(1,($G517-SETUP!$B$10)/(SETUP!$B$11-SETUP!$B$10)))+SETUP!$B$6*MIN(1,IF($L517="",0,$L517)/SETUP!$B$12)),1)))</f>
        <v>44.1</v>
      </c>
      <c r="O517" s="19" t="str">
        <f>IF($C517="","",IF($N517="","-",INDEX(SETUP!$B$46:$B$51,MATCH($N517,SETUP!$A$46:$A$51,1))))</f>
        <v>B</v>
      </c>
      <c r="P517" s="19">
        <f>IF($C517="","",IF($I517="","",RANK($I517,$I$4:$I$1463)+COUNTIF($I$4:$I517,$I517)-1))</f>
        <v>545</v>
      </c>
      <c r="Q517" s="19">
        <f>IF($C517="","",COUNTIFS($B$4:$B$1463,$B517,$X$4:$X$1463,"&gt;"&amp;$X517)+COUNTIFS($B$4:$B517,$B517,$X$4:$X517,"="&amp;$X517))</f>
        <v>69</v>
      </c>
      <c r="R517" s="75">
        <f>IF($C517="","",IF($I517="","",ROUND(COUNTIF($I$4:$I$1463,"&lt;"&amp;$I517)/COUNT($I$4:$I$1463),3)))</f>
        <v>0.58899999999999997</v>
      </c>
      <c r="S517" s="19" t="str">
        <f>IF($C517="","",IF($G517="","Name only",IF(OR($I517="",$L517=""),"Partial","Complete")))</f>
        <v>Complete</v>
      </c>
      <c r="T517" s="1" t="str">
        <f>IF($C517="","",TRIM(IF(COUNTIF($C$4:$C$1463,$C517)&gt;1,"Dup name; ","")&amp;IF(AND($G517&lt;&gt;"",$G517&lt;55000),"Low CR - verify; ","")&amp;IF(AND($L517&lt;&gt;"",$L517&gt;15),"Secondary - verify; ","")&amp;IF($E517="","No class; ","")))</f>
        <v/>
      </c>
      <c r="U517" s="68"/>
      <c r="V517" s="68"/>
      <c r="W517" s="68"/>
      <c r="X517" s="76">
        <f t="shared" si="42"/>
        <v>4251</v>
      </c>
      <c r="Y517" s="1" t="str">
        <f t="shared" si="43"/>
        <v>LEGENDS|69</v>
      </c>
      <c r="Z517" s="19">
        <f>IF($C517="","",IF($G517="","",RANK($G517,$G$4:$G$1463)+COUNTIF($G$4:$G517,$G517)-1))</f>
        <v>873</v>
      </c>
      <c r="AA517" s="19">
        <f>IF($C517="","",IF($N517="","",RANK($N517,$N$4:$N$1463)+COUNTIF($N$4:$N517,$N517)-1))</f>
        <v>663</v>
      </c>
      <c r="AB517" s="1" t="str">
        <f>IF($C517="","",IF($E517="","",$E517&amp;"#"&amp;(COUNTIFS($E$4:$E$1463,$E517,$X$4:$X$1463,"&gt;"&amp;$X517)+COUNTIFS($E$4:$E517,$E517,$X$4:$X517,"="&amp;$X517))))</f>
        <v>DRUID#26</v>
      </c>
      <c r="AC517" s="1" t="str">
        <f>IF($C517="","",$B517&amp;"@"&amp;(COUNTIFS($B$4:$B$1463,$B517,$C$4:$C$1463,"&lt;"&amp;$C517)+COUNTIFS($B$4:$B517,$B517,$C$4:$C517,$C517)))</f>
        <v>LEGENDS@50</v>
      </c>
      <c r="AD517" s="1">
        <f t="shared" si="44"/>
        <v>514</v>
      </c>
      <c r="AE517" s="1" t="s">
        <v>1451</v>
      </c>
      <c r="AF517" s="76">
        <f t="shared" si="45"/>
        <v>61903</v>
      </c>
      <c r="AG517" s="77">
        <f t="shared" si="46"/>
        <v>4.45</v>
      </c>
      <c r="AH517" s="1" t="str">
        <f>IF($C517="","",$B517&amp;"|"&amp;(COUNTIFS($B$4:$B$1463,$B517,$AF$4:$AF$1463,"&gt;"&amp;$AF517)+COUNTIFS($B$4:$B517,$B517,$AF$4:$AF517,"="&amp;$AF517)))</f>
        <v>LEGENDS|86</v>
      </c>
      <c r="AI517" s="1" t="str">
        <f>IF($C517="","",$B517&amp;"|"&amp;(COUNTIFS($B$4:$B$1463,$B517,$AG$4:$AG$1463,"&gt;"&amp;$AG517)+COUNTIFS($B$4:$B517,$B517,$AG$4:$AG517,"="&amp;$AG517)))</f>
        <v>LEGENDS|80</v>
      </c>
    </row>
    <row r="518" spans="1:35" hidden="1">
      <c r="A518" s="69" t="s">
        <v>106</v>
      </c>
      <c r="B518" s="69" t="s">
        <v>105</v>
      </c>
      <c r="C518" s="63" t="s">
        <v>1452</v>
      </c>
      <c r="D518" s="69"/>
      <c r="E518" s="68" t="s">
        <v>78</v>
      </c>
      <c r="F518" s="15" t="str">
        <f>IF($C518="","",IF($E518="","-",IFERROR(INDEX(SETUP!$B$55:$B$64,MATCH($E518,SETUP!$A$55:$A$64,0)),"Other")))</f>
        <v>Melee DPS</v>
      </c>
      <c r="G518" s="70">
        <v>62172</v>
      </c>
      <c r="H518" s="15" t="str">
        <f>IF($C518="","",IF($G518="","-",INDEX(SETUP!$B$26:$B$32,MATCH($G518,SETUP!$A$26:$A$32,1))))</f>
        <v>62,000 - 62,999</v>
      </c>
      <c r="I518" s="70">
        <v>5099</v>
      </c>
      <c r="J518" s="15" t="str">
        <f>IF($C518="","",IF($I518="","-",INDEX(SETUP!$B$16:$B$22,MATCH($I518,SETUP!$A$16:$A$22,1))))</f>
        <v>CORE</v>
      </c>
      <c r="K518" s="15" t="str">
        <f>IF($C518="","",IF($I518="","-",TEXT(INT($I518/1000)*1000,"#,##0")&amp;" - "&amp;TEXT(INT($I518/1000)*1000+999,"#,##0")))</f>
        <v>5,000 - 5,999</v>
      </c>
      <c r="L518" s="71">
        <v>5.81</v>
      </c>
      <c r="M518" s="15" t="str">
        <f>IF($C518="","",IF($L518="","-",INDEX(SETUP!$B$36:$B$42,MATCH($L518,SETUP!$A$36:$A$42,1))))</f>
        <v>5k - 6k</v>
      </c>
      <c r="N518" s="17">
        <f>IF($C518="","",IF(OR($G518="",$I518=""),"",ROUND(100*(SETUP!$B$4*MIN(1,$I518/SETUP!$B$9)+SETUP!$B$5*MAX(0,MIN(1,($G518-SETUP!$B$10)/(SETUP!$B$11-SETUP!$B$10)))+SETUP!$B$6*MIN(1,IF($L518="",0,$L518)/SETUP!$B$12)),1)))</f>
        <v>50.8</v>
      </c>
      <c r="O518" s="15" t="str">
        <f>IF($C518="","",IF($N518="","-",INDEX(SETUP!$B$46:$B$51,MATCH($N518,SETUP!$A$46:$A$51,1))))</f>
        <v>A</v>
      </c>
      <c r="P518" s="15">
        <f>IF($C518="","",IF($I518="","",RANK($I518,$I$4:$I$1463)+COUNTIF($I$4:$I518,$I518)-1))</f>
        <v>396</v>
      </c>
      <c r="Q518" s="15">
        <f>IF($C518="","",COUNTIFS($B$4:$B$1463,$B518,$X$4:$X$1463,"&gt;"&amp;$X518)+COUNTIFS($B$4:$B518,$B518,$X$4:$X518,"="&amp;$X518))</f>
        <v>49</v>
      </c>
      <c r="R518" s="72">
        <f>IF($C518="","",IF($I518="","",ROUND(COUNTIF($I$4:$I$1463,"&lt;"&amp;$I518)/COUNT($I$4:$I$1463),3)))</f>
        <v>0.70099999999999996</v>
      </c>
      <c r="S518" s="15" t="str">
        <f>IF($C518="","",IF($G518="","Name only",IF(OR($I518="",$L518=""),"Partial","Complete")))</f>
        <v>Complete</v>
      </c>
      <c r="T518" s="41" t="str">
        <f>IF($C518="","",TRIM(IF(COUNTIF($C$4:$C$1463,$C518)&gt;1,"Dup name; ","")&amp;IF(AND($G518&lt;&gt;"",$G518&lt;55000),"Low CR - verify; ","")&amp;IF(AND($L518&lt;&gt;"",$L518&gt;15),"Secondary - verify; ","")&amp;IF($E518="","No class; ","")))</f>
        <v/>
      </c>
      <c r="U518" s="68"/>
      <c r="V518" s="68"/>
      <c r="W518" s="68"/>
      <c r="X518" s="73">
        <f t="shared" si="42"/>
        <v>5099</v>
      </c>
      <c r="Y518" s="41" t="str">
        <f t="shared" si="43"/>
        <v>LEGENDS|49</v>
      </c>
      <c r="Z518" s="15">
        <f>IF($C518="","",IF($G518="","",RANK($G518,$G$4:$G$1463)+COUNTIF($G$4:$G518,$G518)-1))</f>
        <v>766</v>
      </c>
      <c r="AA518" s="15">
        <f>IF($C518="","",IF($N518="","",RANK($N518,$N$4:$N$1463)+COUNTIF($N$4:$N518,$N518)-1))</f>
        <v>434</v>
      </c>
      <c r="AB518" s="41" t="str">
        <f>IF($C518="","",IF($E518="","",$E518&amp;"#"&amp;(COUNTIFS($E$4:$E$1463,$E518,$X$4:$X$1463,"&gt;"&amp;$X518)+COUNTIFS($E$4:$E518,$E518,$X$4:$X518,"="&amp;$X518))))</f>
        <v>TEMPEST#15</v>
      </c>
      <c r="AC518" s="41" t="str">
        <f>IF($C518="","",$B518&amp;"@"&amp;(COUNTIFS($B$4:$B$1463,$B518,$C$4:$C$1463,"&lt;"&amp;$C518)+COUNTIFS($B$4:$B518,$B518,$C$4:$C518,$C518)))</f>
        <v>LEGENDS@51</v>
      </c>
      <c r="AD518" s="41">
        <f t="shared" si="44"/>
        <v>515</v>
      </c>
      <c r="AE518" s="41" t="s">
        <v>1453</v>
      </c>
      <c r="AF518" s="73">
        <f t="shared" si="45"/>
        <v>62172</v>
      </c>
      <c r="AG518" s="74">
        <f t="shared" si="46"/>
        <v>5.81</v>
      </c>
      <c r="AH518" s="41" t="str">
        <f>IF($C518="","",$B518&amp;"|"&amp;(COUNTIFS($B$4:$B$1463,$B518,$AF$4:$AF$1463,"&gt;"&amp;$AF518)+COUNTIFS($B$4:$B518,$B518,$AF$4:$AF518,"="&amp;$AF518)))</f>
        <v>LEGENDS|76</v>
      </c>
      <c r="AI518" s="41" t="str">
        <f>IF($C518="","",$B518&amp;"|"&amp;(COUNTIFS($B$4:$B$1463,$B518,$AG$4:$AG$1463,"&gt;"&amp;$AG518)+COUNTIFS($B$4:$B518,$B518,$AG$4:$AG518,"="&amp;$AG518)))</f>
        <v>LEGENDS|25</v>
      </c>
    </row>
    <row r="519" spans="1:35" hidden="1">
      <c r="A519" s="69" t="s">
        <v>109</v>
      </c>
      <c r="B519" s="69" t="s">
        <v>115</v>
      </c>
      <c r="C519" s="63" t="s">
        <v>1454</v>
      </c>
      <c r="D519" s="69"/>
      <c r="E519" s="68" t="s">
        <v>79</v>
      </c>
      <c r="F519" s="19" t="str">
        <f>IF($C519="","",IF($E519="","-",IFERROR(INDEX(SETUP!$B$55:$B$64,MATCH($E519,SETUP!$A$55:$A$64,0)),"Other")))</f>
        <v>Control</v>
      </c>
      <c r="G519" s="70">
        <v>56167</v>
      </c>
      <c r="H519" s="19" t="str">
        <f>IF($C519="","",IF($G519="","-",INDEX(SETUP!$B$26:$B$32,MATCH($G519,SETUP!$A$26:$A$32,1))))</f>
        <v>Under 58,000</v>
      </c>
      <c r="I519" s="70">
        <v>460</v>
      </c>
      <c r="J519" s="19" t="str">
        <f>IF($C519="","",IF($I519="","-",INDEX(SETUP!$B$16:$B$22,MATCH($I519,SETUP!$A$16:$A$22,1))))</f>
        <v>ROOKIE</v>
      </c>
      <c r="K519" s="19" t="str">
        <f>IF($C519="","",IF($I519="","-",TEXT(INT($I519/1000)*1000,"#,##0")&amp;" - "&amp;TEXT(INT($I519/1000)*1000+999,"#,##0")))</f>
        <v>0 - 999</v>
      </c>
      <c r="L519" s="71">
        <v>2.5</v>
      </c>
      <c r="M519" s="19" t="str">
        <f>IF($C519="","",IF($L519="","-",INDEX(SETUP!$B$36:$B$42,MATCH($L519,SETUP!$A$36:$A$42,1))))</f>
        <v>Under 3k</v>
      </c>
      <c r="N519" s="21">
        <f>IF($C519="","",IF(OR($G519="",$I519=""),"",ROUND(100*(SETUP!$B$4*MIN(1,$I519/SETUP!$B$9)+SETUP!$B$5*MAX(0,MIN(1,($G519-SETUP!$B$10)/(SETUP!$B$11-SETUP!$B$10)))+SETUP!$B$6*MIN(1,IF($L519="",0,$L519)/SETUP!$B$12)),1)))</f>
        <v>9.1999999999999993</v>
      </c>
      <c r="O519" s="19" t="str">
        <f>IF($C519="","",IF($N519="","-",INDEX(SETUP!$B$46:$B$51,MATCH($N519,SETUP!$A$46:$A$51,1))))</f>
        <v>D</v>
      </c>
      <c r="P519" s="19">
        <f>IF($C519="","",IF($I519="","",RANK($I519,$I$4:$I$1463)+COUNTIF($I$4:$I519,$I519)-1))</f>
        <v>1320</v>
      </c>
      <c r="Q519" s="19">
        <f>IF($C519="","",COUNTIFS($B$4:$B$1463,$B519,$X$4:$X$1463,"&gt;"&amp;$X519)+COUNTIFS($B$4:$B519,$B519,$X$4:$X519,"="&amp;$X519))</f>
        <v>68</v>
      </c>
      <c r="R519" s="75">
        <f>IF($C519="","",IF($I519="","",ROUND(COUNTIF($I$4:$I$1463,"&lt;"&amp;$I519)/COUNT($I$4:$I$1463),3)))</f>
        <v>4.0000000000000001E-3</v>
      </c>
      <c r="S519" s="19" t="str">
        <f>IF($C519="","",IF($G519="","Name only",IF(OR($I519="",$L519=""),"Partial","Complete")))</f>
        <v>Complete</v>
      </c>
      <c r="T519" s="1" t="str">
        <f>IF($C519="","",TRIM(IF(COUNTIF($C$4:$C$1463,$C519)&gt;1,"Dup name; ","")&amp;IF(AND($G519&lt;&gt;"",$G519&lt;55000),"Low CR - verify; ","")&amp;IF(AND($L519&lt;&gt;"",$L519&gt;15),"Secondary - verify; ","")&amp;IF($E519="","No class; ","")))</f>
        <v/>
      </c>
      <c r="U519" s="68"/>
      <c r="V519" s="68"/>
      <c r="W519" s="68"/>
      <c r="X519" s="76">
        <f t="shared" si="42"/>
        <v>460</v>
      </c>
      <c r="Y519" s="1" t="str">
        <f t="shared" si="43"/>
        <v>SUB ROSA|68</v>
      </c>
      <c r="Z519" s="19">
        <f>IF($C519="","",IF($G519="","",RANK($G519,$G$4:$G$1463)+COUNTIF($G$4:$G519,$G519)-1))</f>
        <v>1312</v>
      </c>
      <c r="AA519" s="19">
        <f>IF($C519="","",IF($N519="","",RANK($N519,$N$4:$N$1463)+COUNTIF($N$4:$N519,$N519)-1))</f>
        <v>1319</v>
      </c>
      <c r="AB519" s="1" t="str">
        <f>IF($C519="","",IF($E519="","",$E519&amp;"#"&amp;(COUNTIFS($E$4:$E$1463,$E519,$X$4:$X$1463,"&gt;"&amp;$X519)+COUNTIFS($E$4:$E519,$E519,$X$4:$X519,"="&amp;$X519))))</f>
        <v>WARLOCK#324</v>
      </c>
      <c r="AC519" s="1" t="str">
        <f>IF($C519="","",$B519&amp;"@"&amp;(COUNTIFS($B$4:$B$1463,$B519,$C$4:$C$1463,"&lt;"&amp;$C519)+COUNTIFS($B$4:$B519,$B519,$C$4:$C519,$C519)))</f>
        <v>SUB ROSA@32</v>
      </c>
      <c r="AD519" s="1">
        <f t="shared" si="44"/>
        <v>516</v>
      </c>
      <c r="AE519" s="1" t="s">
        <v>830</v>
      </c>
      <c r="AF519" s="76">
        <f t="shared" si="45"/>
        <v>56167</v>
      </c>
      <c r="AG519" s="77">
        <f t="shared" si="46"/>
        <v>2.5</v>
      </c>
      <c r="AH519" s="1" t="str">
        <f>IF($C519="","",$B519&amp;"|"&amp;(COUNTIFS($B$4:$B$1463,$B519,$AF$4:$AF$1463,"&gt;"&amp;$AF519)+COUNTIFS($B$4:$B519,$B519,$AF$4:$AF519,"="&amp;$AF519)))</f>
        <v>SUB ROSA|67</v>
      </c>
      <c r="AI519" s="1" t="str">
        <f>IF($C519="","",$B519&amp;"|"&amp;(COUNTIFS($B$4:$B$1463,$B519,$AG$4:$AG$1463,"&gt;"&amp;$AG519)+COUNTIFS($B$4:$B519,$B519,$AG$4:$AG519,"="&amp;$AG519)))</f>
        <v>SUB ROSA|65</v>
      </c>
    </row>
    <row r="520" spans="1:35" hidden="1">
      <c r="A520" s="69" t="s">
        <v>109</v>
      </c>
      <c r="B520" s="69" t="s">
        <v>114</v>
      </c>
      <c r="C520" s="63" t="s">
        <v>1455</v>
      </c>
      <c r="D520" s="69"/>
      <c r="E520" s="68" t="s">
        <v>78</v>
      </c>
      <c r="F520" s="15" t="str">
        <f>IF($C520="","",IF($E520="","-",IFERROR(INDEX(SETUP!$B$55:$B$64,MATCH($E520,SETUP!$A$55:$A$64,0)),"Other")))</f>
        <v>Melee DPS</v>
      </c>
      <c r="G520" s="70">
        <v>59037</v>
      </c>
      <c r="H520" s="15" t="str">
        <f>IF($C520="","",IF($G520="","-",INDEX(SETUP!$B$26:$B$32,MATCH($G520,SETUP!$A$26:$A$32,1))))</f>
        <v>58,000 - 59,999</v>
      </c>
      <c r="I520" s="70">
        <v>544</v>
      </c>
      <c r="J520" s="15" t="str">
        <f>IF($C520="","",IF($I520="","-",INDEX(SETUP!$B$16:$B$22,MATCH($I520,SETUP!$A$16:$A$22,1))))</f>
        <v>ROOKIE</v>
      </c>
      <c r="K520" s="15" t="str">
        <f>IF($C520="","",IF($I520="","-",TEXT(INT($I520/1000)*1000,"#,##0")&amp;" - "&amp;TEXT(INT($I520/1000)*1000+999,"#,##0")))</f>
        <v>0 - 999</v>
      </c>
      <c r="L520" s="71">
        <v>2.13</v>
      </c>
      <c r="M520" s="15" t="str">
        <f>IF($C520="","",IF($L520="","-",INDEX(SETUP!$B$36:$B$42,MATCH($L520,SETUP!$A$36:$A$42,1))))</f>
        <v>Under 3k</v>
      </c>
      <c r="N520" s="17">
        <f>IF($C520="","",IF(OR($G520="",$I520=""),"",ROUND(100*(SETUP!$B$4*MIN(1,$I520/SETUP!$B$9)+SETUP!$B$5*MAX(0,MIN(1,($G520-SETUP!$B$10)/(SETUP!$B$11-SETUP!$B$10)))+SETUP!$B$6*MIN(1,IF($L520="",0,$L520)/SETUP!$B$12)),1)))</f>
        <v>16.5</v>
      </c>
      <c r="O520" s="15" t="str">
        <f>IF($C520="","",IF($N520="","-",INDEX(SETUP!$B$46:$B$51,MATCH($N520,SETUP!$A$46:$A$51,1))))</f>
        <v>D</v>
      </c>
      <c r="P520" s="15">
        <f>IF($C520="","",IF($I520="","",RANK($I520,$I$4:$I$1463)+COUNTIF($I$4:$I520,$I520)-1))</f>
        <v>1314</v>
      </c>
      <c r="Q520" s="15">
        <f>IF($C520="","",COUNTIFS($B$4:$B$1463,$B520,$X$4:$X$1463,"&gt;"&amp;$X520)+COUNTIFS($B$4:$B520,$B520,$X$4:$X520,"="&amp;$X520))</f>
        <v>95</v>
      </c>
      <c r="R520" s="72">
        <f>IF($C520="","",IF($I520="","",ROUND(COUNTIF($I$4:$I$1463,"&lt;"&amp;$I520)/COUNT($I$4:$I$1463),3)))</f>
        <v>8.0000000000000002E-3</v>
      </c>
      <c r="S520" s="15" t="str">
        <f>IF($C520="","",IF($G520="","Name only",IF(OR($I520="",$L520=""),"Partial","Complete")))</f>
        <v>Complete</v>
      </c>
      <c r="T520" s="41" t="str">
        <f>IF($C520="","",TRIM(IF(COUNTIF($C$4:$C$1463,$C520)&gt;1,"Dup name; ","")&amp;IF(AND($G520&lt;&gt;"",$G520&lt;55000),"Low CR - verify; ","")&amp;IF(AND($L520&lt;&gt;"",$L520&gt;15),"Secondary - verify; ","")&amp;IF($E520="","No class; ","")))</f>
        <v/>
      </c>
      <c r="U520" s="68"/>
      <c r="V520" s="68"/>
      <c r="W520" s="68"/>
      <c r="X520" s="73">
        <f t="shared" si="42"/>
        <v>544</v>
      </c>
      <c r="Y520" s="41" t="str">
        <f t="shared" si="43"/>
        <v>EMERALD LEAF TRIBE|95</v>
      </c>
      <c r="Z520" s="15">
        <f>IF($C520="","",IF($G520="","",RANK($G520,$G$4:$G$1463)+COUNTIF($G$4:$G520,$G520)-1))</f>
        <v>1277</v>
      </c>
      <c r="AA520" s="15">
        <f>IF($C520="","",IF($N520="","",RANK($N520,$N$4:$N$1463)+COUNTIF($N$4:$N520,$N520)-1))</f>
        <v>1304</v>
      </c>
      <c r="AB520" s="41" t="str">
        <f>IF($C520="","",IF($E520="","",$E520&amp;"#"&amp;(COUNTIFS($E$4:$E$1463,$E520,$X$4:$X$1463,"&gt;"&amp;$X520)+COUNTIFS($E$4:$E520,$E520,$X$4:$X520,"="&amp;$X520))))</f>
        <v>TEMPEST#67</v>
      </c>
      <c r="AC520" s="41" t="str">
        <f>IF($C520="","",$B520&amp;"@"&amp;(COUNTIFS($B$4:$B$1463,$B520,$C$4:$C$1463,"&lt;"&amp;$C520)+COUNTIFS($B$4:$B520,$B520,$C$4:$C520,$C520)))</f>
        <v>EMERALD LEAF TRIBE@35</v>
      </c>
      <c r="AD520" s="41">
        <f t="shared" si="44"/>
        <v>517</v>
      </c>
      <c r="AE520" s="41" t="s">
        <v>1456</v>
      </c>
      <c r="AF520" s="73">
        <f t="shared" si="45"/>
        <v>59037</v>
      </c>
      <c r="AG520" s="74">
        <f t="shared" si="46"/>
        <v>2.13</v>
      </c>
      <c r="AH520" s="41" t="str">
        <f>IF($C520="","",$B520&amp;"|"&amp;(COUNTIFS($B$4:$B$1463,$B520,$AF$4:$AF$1463,"&gt;"&amp;$AF520)+COUNTIFS($B$4:$B520,$B520,$AF$4:$AF520,"="&amp;$AF520)))</f>
        <v>EMERALD LEAF TRIBE|81</v>
      </c>
      <c r="AI520" s="41" t="str">
        <f>IF($C520="","",$B520&amp;"|"&amp;(COUNTIFS($B$4:$B$1463,$B520,$AG$4:$AG$1463,"&gt;"&amp;$AG520)+COUNTIFS($B$4:$B520,$B520,$AG$4:$AG520,"="&amp;$AG520)))</f>
        <v>EMERALD LEAF TRIBE|95</v>
      </c>
    </row>
    <row r="521" spans="1:35" hidden="1">
      <c r="A521" s="69" t="s">
        <v>109</v>
      </c>
      <c r="B521" s="69" t="s">
        <v>118</v>
      </c>
      <c r="C521" s="63" t="s">
        <v>1457</v>
      </c>
      <c r="D521" s="69"/>
      <c r="E521" s="68" t="s">
        <v>74</v>
      </c>
      <c r="F521" s="19" t="str">
        <f>IF($C521="","",IF($E521="","-",IFERROR(INDEX(SETUP!$B$55:$B$64,MATCH($E521,SETUP!$A$55:$A$64,0)),"Other")))</f>
        <v>Ranged DPS</v>
      </c>
      <c r="G521" s="70">
        <v>59272</v>
      </c>
      <c r="H521" s="19" t="str">
        <f>IF($C521="","",IF($G521="","-",INDEX(SETUP!$B$26:$B$32,MATCH($G521,SETUP!$A$26:$A$32,1))))</f>
        <v>58,000 - 59,999</v>
      </c>
      <c r="I521" s="70">
        <v>531</v>
      </c>
      <c r="J521" s="19" t="str">
        <f>IF($C521="","",IF($I521="","-",INDEX(SETUP!$B$16:$B$22,MATCH($I521,SETUP!$A$16:$A$22,1))))</f>
        <v>ROOKIE</v>
      </c>
      <c r="K521" s="19" t="str">
        <f>IF($C521="","",IF($I521="","-",TEXT(INT($I521/1000)*1000,"#,##0")&amp;" - "&amp;TEXT(INT($I521/1000)*1000+999,"#,##0")))</f>
        <v>0 - 999</v>
      </c>
      <c r="L521" s="71">
        <v>2.8</v>
      </c>
      <c r="M521" s="19" t="str">
        <f>IF($C521="","",IF($L521="","-",INDEX(SETUP!$B$36:$B$42,MATCH($L521,SETUP!$A$36:$A$42,1))))</f>
        <v>Under 3k</v>
      </c>
      <c r="N521" s="21">
        <f>IF($C521="","",IF(OR($G521="",$I521=""),"",ROUND(100*(SETUP!$B$4*MIN(1,$I521/SETUP!$B$9)+SETUP!$B$5*MAX(0,MIN(1,($G521-SETUP!$B$10)/(SETUP!$B$11-SETUP!$B$10)))+SETUP!$B$6*MIN(1,IF($L521="",0,$L521)/SETUP!$B$12)),1)))</f>
        <v>18.2</v>
      </c>
      <c r="O521" s="19" t="str">
        <f>IF($C521="","",IF($N521="","-",INDEX(SETUP!$B$46:$B$51,MATCH($N521,SETUP!$A$46:$A$51,1))))</f>
        <v>D</v>
      </c>
      <c r="P521" s="19">
        <f>IF($C521="","",IF($I521="","",RANK($I521,$I$4:$I$1463)+COUNTIF($I$4:$I521,$I521)-1))</f>
        <v>1317</v>
      </c>
      <c r="Q521" s="19">
        <f>IF($C521="","",COUNTIFS($B$4:$B$1463,$B521,$X$4:$X$1463,"&gt;"&amp;$X521)+COUNTIFS($B$4:$B521,$B521,$X$4:$X521,"="&amp;$X521))</f>
        <v>97</v>
      </c>
      <c r="R521" s="75">
        <f>IF($C521="","",IF($I521="","",ROUND(COUNTIF($I$4:$I$1463,"&lt;"&amp;$I521)/COUNT($I$4:$I$1463),3)))</f>
        <v>6.0000000000000001E-3</v>
      </c>
      <c r="S521" s="19" t="str">
        <f>IF($C521="","",IF($G521="","Name only",IF(OR($I521="",$L521=""),"Partial","Complete")))</f>
        <v>Complete</v>
      </c>
      <c r="T521" s="1" t="str">
        <f>IF($C521="","",TRIM(IF(COUNTIF($C$4:$C$1463,$C521)&gt;1,"Dup name; ","")&amp;IF(AND($G521&lt;&gt;"",$G521&lt;55000),"Low CR - verify; ","")&amp;IF(AND($L521&lt;&gt;"",$L521&gt;15),"Secondary - verify; ","")&amp;IF($E521="","No class; ","")))</f>
        <v/>
      </c>
      <c r="U521" s="68"/>
      <c r="V521" s="68"/>
      <c r="W521" s="68"/>
      <c r="X521" s="76">
        <f t="shared" si="42"/>
        <v>531</v>
      </c>
      <c r="Y521" s="1" t="str">
        <f t="shared" si="43"/>
        <v>ZOMBIES|97</v>
      </c>
      <c r="Z521" s="19">
        <f>IF($C521="","",IF($G521="","",RANK($G521,$G$4:$G$1463)+COUNTIF($G$4:$G521,$G521)-1))</f>
        <v>1269</v>
      </c>
      <c r="AA521" s="19">
        <f>IF($C521="","",IF($N521="","",RANK($N521,$N$4:$N$1463)+COUNTIF($N$4:$N521,$N521)-1))</f>
        <v>1299</v>
      </c>
      <c r="AB521" s="1" t="str">
        <f>IF($C521="","",IF($E521="","",$E521&amp;"#"&amp;(COUNTIFS($E$4:$E$1463,$E521,$X$4:$X$1463,"&gt;"&amp;$X521)+COUNTIFS($E$4:$E521,$E521,$X$4:$X521,"="&amp;$X521))))</f>
        <v>DEMON HUNTER#190</v>
      </c>
      <c r="AC521" s="1" t="str">
        <f>IF($C521="","",$B521&amp;"@"&amp;(COUNTIFS($B$4:$B$1463,$B521,$C$4:$C$1463,"&lt;"&amp;$C521)+COUNTIFS($B$4:$B521,$B521,$C$4:$C521,$C521)))</f>
        <v>ZOMBIES@40</v>
      </c>
      <c r="AD521" s="1">
        <f t="shared" si="44"/>
        <v>518</v>
      </c>
      <c r="AE521" s="1" t="s">
        <v>1458</v>
      </c>
      <c r="AF521" s="76">
        <f t="shared" si="45"/>
        <v>59272</v>
      </c>
      <c r="AG521" s="77">
        <f t="shared" si="46"/>
        <v>2.8</v>
      </c>
      <c r="AH521" s="1" t="str">
        <f>IF($C521="","",$B521&amp;"|"&amp;(COUNTIFS($B$4:$B$1463,$B521,$AF$4:$AF$1463,"&gt;"&amp;$AF521)+COUNTIFS($B$4:$B521,$B521,$AF$4:$AF521,"="&amp;$AF521)))</f>
        <v>ZOMBIES|87</v>
      </c>
      <c r="AI521" s="1" t="str">
        <f>IF($C521="","",$B521&amp;"|"&amp;(COUNTIFS($B$4:$B$1463,$B521,$AG$4:$AG$1463,"&gt;"&amp;$AG521)+COUNTIFS($B$4:$B521,$B521,$AG$4:$AG521,"="&amp;$AG521)))</f>
        <v>ZOMBIES|77</v>
      </c>
    </row>
    <row r="522" spans="1:35" hidden="1">
      <c r="A522" s="69" t="s">
        <v>109</v>
      </c>
      <c r="B522" s="69" t="s">
        <v>115</v>
      </c>
      <c r="C522" s="63" t="s">
        <v>1459</v>
      </c>
      <c r="D522" s="69"/>
      <c r="E522" s="68" t="s">
        <v>78</v>
      </c>
      <c r="F522" s="15" t="str">
        <f>IF($C522="","",IF($E522="","-",IFERROR(INDEX(SETUP!$B$55:$B$64,MATCH($E522,SETUP!$A$55:$A$64,0)),"Other")))</f>
        <v>Melee DPS</v>
      </c>
      <c r="G522" s="70">
        <v>62679</v>
      </c>
      <c r="H522" s="15" t="str">
        <f>IF($C522="","",IF($G522="","-",INDEX(SETUP!$B$26:$B$32,MATCH($G522,SETUP!$A$26:$A$32,1))))</f>
        <v>62,000 - 62,999</v>
      </c>
      <c r="I522" s="70">
        <v>2100</v>
      </c>
      <c r="J522" s="15" t="str">
        <f>IF($C522="","",IF($I522="","-",INDEX(SETUP!$B$16:$B$22,MATCH($I522,SETUP!$A$16:$A$22,1))))</f>
        <v>DEVELOPING</v>
      </c>
      <c r="K522" s="15" t="str">
        <f>IF($C522="","",IF($I522="","-",TEXT(INT($I522/1000)*1000,"#,##0")&amp;" - "&amp;TEXT(INT($I522/1000)*1000+999,"#,##0")))</f>
        <v>2,000 - 2,999</v>
      </c>
      <c r="L522" s="71">
        <v>3.5</v>
      </c>
      <c r="M522" s="15" t="str">
        <f>IF($C522="","",IF($L522="","-",INDEX(SETUP!$B$36:$B$42,MATCH($L522,SETUP!$A$36:$A$42,1))))</f>
        <v>3k - 4k</v>
      </c>
      <c r="N522" s="17">
        <f>IF($C522="","",IF(OR($G522="",$I522=""),"",ROUND(100*(SETUP!$B$4*MIN(1,$I522/SETUP!$B$9)+SETUP!$B$5*MAX(0,MIN(1,($G522-SETUP!$B$10)/(SETUP!$B$11-SETUP!$B$10)))+SETUP!$B$6*MIN(1,IF($L522="",0,$L522)/SETUP!$B$12)),1)))</f>
        <v>35.200000000000003</v>
      </c>
      <c r="O522" s="15" t="str">
        <f>IF($C522="","",IF($N522="","-",INDEX(SETUP!$B$46:$B$51,MATCH($N522,SETUP!$A$46:$A$51,1))))</f>
        <v>B</v>
      </c>
      <c r="P522" s="15">
        <f>IF($C522="","",IF($I522="","",RANK($I522,$I$4:$I$1463)+COUNTIF($I$4:$I522,$I522)-1))</f>
        <v>1088</v>
      </c>
      <c r="Q522" s="15">
        <f>IF($C522="","",COUNTIFS($B$4:$B$1463,$B522,$X$4:$X$1463,"&gt;"&amp;$X522)+COUNTIFS($B$4:$B522,$B522,$X$4:$X522,"="&amp;$X522))</f>
        <v>42</v>
      </c>
      <c r="R522" s="72">
        <f>IF($C522="","",IF($I522="","",ROUND(COUNTIF($I$4:$I$1463,"&lt;"&amp;$I522)/COUNT($I$4:$I$1463),3)))</f>
        <v>0.17799999999999999</v>
      </c>
      <c r="S522" s="15" t="str">
        <f>IF($C522="","",IF($G522="","Name only",IF(OR($I522="",$L522=""),"Partial","Complete")))</f>
        <v>Complete</v>
      </c>
      <c r="T522" s="41" t="str">
        <f>IF($C522="","",TRIM(IF(COUNTIF($C$4:$C$1463,$C522)&gt;1,"Dup name; ","")&amp;IF(AND($G522&lt;&gt;"",$G522&lt;55000),"Low CR - verify; ","")&amp;IF(AND($L522&lt;&gt;"",$L522&gt;15),"Secondary - verify; ","")&amp;IF($E522="","No class; ","")))</f>
        <v/>
      </c>
      <c r="U522" s="68"/>
      <c r="V522" s="68"/>
      <c r="W522" s="68"/>
      <c r="X522" s="73">
        <f t="shared" si="42"/>
        <v>2100</v>
      </c>
      <c r="Y522" s="41" t="str">
        <f t="shared" si="43"/>
        <v>SUB ROSA|42</v>
      </c>
      <c r="Z522" s="15">
        <f>IF($C522="","",IF($G522="","",RANK($G522,$G$4:$G$1463)+COUNTIF($G$4:$G522,$G522)-1))</f>
        <v>573</v>
      </c>
      <c r="AA522" s="15">
        <f>IF($C522="","",IF($N522="","",RANK($N522,$N$4:$N$1463)+COUNTIF($N$4:$N522,$N522)-1))</f>
        <v>1001</v>
      </c>
      <c r="AB522" s="41" t="str">
        <f>IF($C522="","",IF($E522="","",$E522&amp;"#"&amp;(COUNTIFS($E$4:$E$1463,$E522,$X$4:$X$1463,"&gt;"&amp;$X522)+COUNTIFS($E$4:$E522,$E522,$X$4:$X522,"="&amp;$X522))))</f>
        <v>TEMPEST#49</v>
      </c>
      <c r="AC522" s="41" t="str">
        <f>IF($C522="","",$B522&amp;"@"&amp;(COUNTIFS($B$4:$B$1463,$B522,$C$4:$C$1463,"&lt;"&amp;$C522)+COUNTIFS($B$4:$B522,$B522,$C$4:$C522,$C522)))</f>
        <v>SUB ROSA@33</v>
      </c>
      <c r="AD522" s="41">
        <f t="shared" si="44"/>
        <v>519</v>
      </c>
      <c r="AE522" s="41" t="s">
        <v>1057</v>
      </c>
      <c r="AF522" s="73">
        <f t="shared" si="45"/>
        <v>62679</v>
      </c>
      <c r="AG522" s="74">
        <f t="shared" si="46"/>
        <v>3.5</v>
      </c>
      <c r="AH522" s="41" t="str">
        <f>IF($C522="","",$B522&amp;"|"&amp;(COUNTIFS($B$4:$B$1463,$B522,$AF$4:$AF$1463,"&gt;"&amp;$AF522)+COUNTIFS($B$4:$B522,$B522,$AF$4:$AF522,"="&amp;$AF522)))</f>
        <v>SUB ROSA|18</v>
      </c>
      <c r="AI522" s="41" t="str">
        <f>IF($C522="","",$B522&amp;"|"&amp;(COUNTIFS($B$4:$B$1463,$B522,$AG$4:$AG$1463,"&gt;"&amp;$AG522)+COUNTIFS($B$4:$B522,$B522,$AG$4:$AG522,"="&amp;$AG522)))</f>
        <v>SUB ROSA|36</v>
      </c>
    </row>
    <row r="523" spans="1:35" hidden="1">
      <c r="A523" s="69" t="s">
        <v>109</v>
      </c>
      <c r="B523" s="69" t="s">
        <v>110</v>
      </c>
      <c r="C523" s="63" t="s">
        <v>1460</v>
      </c>
      <c r="D523" s="69"/>
      <c r="E523" s="68" t="s">
        <v>78</v>
      </c>
      <c r="F523" s="19" t="str">
        <f>IF($C523="","",IF($E523="","-",IFERROR(INDEX(SETUP!$B$55:$B$64,MATCH($E523,SETUP!$A$55:$A$64,0)),"Other")))</f>
        <v>Melee DPS</v>
      </c>
      <c r="G523" s="70">
        <v>61830</v>
      </c>
      <c r="H523" s="19" t="str">
        <f>IF($C523="","",IF($G523="","-",INDEX(SETUP!$B$26:$B$32,MATCH($G523,SETUP!$A$26:$A$32,1))))</f>
        <v>61,000 - 61,999</v>
      </c>
      <c r="I523" s="70">
        <v>4002</v>
      </c>
      <c r="J523" s="19" t="str">
        <f>IF($C523="","",IF($I523="","-",INDEX(SETUP!$B$16:$B$22,MATCH($I523,SETUP!$A$16:$A$22,1))))</f>
        <v>CORE</v>
      </c>
      <c r="K523" s="19" t="str">
        <f>IF($C523="","",IF($I523="","-",TEXT(INT($I523/1000)*1000,"#,##0")&amp;" - "&amp;TEXT(INT($I523/1000)*1000+999,"#,##0")))</f>
        <v>4,000 - 4,999</v>
      </c>
      <c r="L523" s="71">
        <v>4.5</v>
      </c>
      <c r="M523" s="19" t="str">
        <f>IF($C523="","",IF($L523="","-",INDEX(SETUP!$B$36:$B$42,MATCH($L523,SETUP!$A$36:$A$42,1))))</f>
        <v>4k - 5k</v>
      </c>
      <c r="N523" s="21">
        <f>IF($C523="","",IF(OR($G523="",$I523=""),"",ROUND(100*(SETUP!$B$4*MIN(1,$I523/SETUP!$B$9)+SETUP!$B$5*MAX(0,MIN(1,($G523-SETUP!$B$10)/(SETUP!$B$11-SETUP!$B$10)))+SETUP!$B$6*MIN(1,IF($L523="",0,$L523)/SETUP!$B$12)),1)))</f>
        <v>42.9</v>
      </c>
      <c r="O523" s="19" t="str">
        <f>IF($C523="","",IF($N523="","-",INDEX(SETUP!$B$46:$B$51,MATCH($N523,SETUP!$A$46:$A$51,1))))</f>
        <v>B</v>
      </c>
      <c r="P523" s="19">
        <f>IF($C523="","",IF($I523="","",RANK($I523,$I$4:$I$1463)+COUNTIF($I$4:$I523,$I523)-1))</f>
        <v>603</v>
      </c>
      <c r="Q523" s="19">
        <f>IF($C523="","",COUNTIFS($B$4:$B$1463,$B523,$X$4:$X$1463,"&gt;"&amp;$X523)+COUNTIFS($B$4:$B523,$B523,$X$4:$X523,"="&amp;$X523))</f>
        <v>64</v>
      </c>
      <c r="R523" s="75">
        <f>IF($C523="","",IF($I523="","",ROUND(COUNTIF($I$4:$I$1463,"&lt;"&amp;$I523)/COUNT($I$4:$I$1463),3)))</f>
        <v>0.54500000000000004</v>
      </c>
      <c r="S523" s="19" t="str">
        <f>IF($C523="","",IF($G523="","Name only",IF(OR($I523="",$L523=""),"Partial","Complete")))</f>
        <v>Complete</v>
      </c>
      <c r="T523" s="1" t="str">
        <f>IF($C523="","",TRIM(IF(COUNTIF($C$4:$C$1463,$C523)&gt;1,"Dup name; ","")&amp;IF(AND($G523&lt;&gt;"",$G523&lt;55000),"Low CR - verify; ","")&amp;IF(AND($L523&lt;&gt;"",$L523&gt;15),"Secondary - verify; ","")&amp;IF($E523="","No class; ","")))</f>
        <v/>
      </c>
      <c r="U523" s="68"/>
      <c r="V523" s="68"/>
      <c r="W523" s="68"/>
      <c r="X523" s="76">
        <f t="shared" si="42"/>
        <v>4002</v>
      </c>
      <c r="Y523" s="1" t="str">
        <f t="shared" si="43"/>
        <v>AZUKI|64</v>
      </c>
      <c r="Z523" s="19">
        <f>IF($C523="","",IF($G523="","",RANK($G523,$G$4:$G$1463)+COUNTIF($G$4:$G523,$G523)-1))</f>
        <v>905</v>
      </c>
      <c r="AA523" s="19">
        <f>IF($C523="","",IF($N523="","",RANK($N523,$N$4:$N$1463)+COUNTIF($N$4:$N523,$N523)-1))</f>
        <v>707</v>
      </c>
      <c r="AB523" s="1" t="str">
        <f>IF($C523="","",IF($E523="","",$E523&amp;"#"&amp;(COUNTIFS($E$4:$E$1463,$E523,$X$4:$X$1463,"&gt;"&amp;$X523)+COUNTIFS($E$4:$E523,$E523,$X$4:$X523,"="&amp;$X523))))</f>
        <v>TEMPEST#21</v>
      </c>
      <c r="AC523" s="1" t="str">
        <f>IF($C523="","",$B523&amp;"@"&amp;(COUNTIFS($B$4:$B$1463,$B523,$C$4:$C$1463,"&lt;"&amp;$C523)+COUNTIFS($B$4:$B523,$B523,$C$4:$C523,$C523)))</f>
        <v>AZUKI@48</v>
      </c>
      <c r="AD523" s="1">
        <f t="shared" si="44"/>
        <v>520</v>
      </c>
      <c r="AE523" s="1" t="s">
        <v>1246</v>
      </c>
      <c r="AF523" s="76">
        <f t="shared" si="45"/>
        <v>61830</v>
      </c>
      <c r="AG523" s="77">
        <f t="shared" si="46"/>
        <v>4.5</v>
      </c>
      <c r="AH523" s="1" t="str">
        <f>IF($C523="","",$B523&amp;"|"&amp;(COUNTIFS($B$4:$B$1463,$B523,$AF$4:$AF$1463,"&gt;"&amp;$AF523)+COUNTIFS($B$4:$B523,$B523,$AF$4:$AF523,"="&amp;$AF523)))</f>
        <v>AZUKI|83</v>
      </c>
      <c r="AI523" s="1" t="str">
        <f>IF($C523="","",$B523&amp;"|"&amp;(COUNTIFS($B$4:$B$1463,$B523,$AG$4:$AG$1463,"&gt;"&amp;$AG523)+COUNTIFS($B$4:$B523,$B523,$AG$4:$AG523,"="&amp;$AG523)))</f>
        <v>AZUKI|82</v>
      </c>
    </row>
    <row r="524" spans="1:35" hidden="1">
      <c r="A524" s="69" t="s">
        <v>106</v>
      </c>
      <c r="B524" s="69" t="s">
        <v>107</v>
      </c>
      <c r="C524" s="63" t="s">
        <v>1461</v>
      </c>
      <c r="D524" s="69" t="s">
        <v>932</v>
      </c>
      <c r="E524" s="68" t="s">
        <v>73</v>
      </c>
      <c r="F524" s="15" t="str">
        <f>IF($C524="","",IF($E524="","-",IFERROR(INDEX(SETUP!$B$55:$B$64,MATCH($E524,SETUP!$A$55:$A$64,0)),"Other")))</f>
        <v>Frontline</v>
      </c>
      <c r="G524" s="70">
        <v>63389</v>
      </c>
      <c r="H524" s="15" t="str">
        <f>IF($C524="","",IF($G524="","-",INDEX(SETUP!$B$26:$B$32,MATCH($G524,SETUP!$A$26:$A$32,1))))</f>
        <v>63,000 - 63,999</v>
      </c>
      <c r="I524" s="70">
        <v>5030</v>
      </c>
      <c r="J524" s="15" t="str">
        <f>IF($C524="","",IF($I524="","-",INDEX(SETUP!$B$16:$B$22,MATCH($I524,SETUP!$A$16:$A$22,1))))</f>
        <v>CORE</v>
      </c>
      <c r="K524" s="15" t="str">
        <f>IF($C524="","",IF($I524="","-",TEXT(INT($I524/1000)*1000,"#,##0")&amp;" - "&amp;TEXT(INT($I524/1000)*1000+999,"#,##0")))</f>
        <v>5,000 - 5,999</v>
      </c>
      <c r="L524" s="71">
        <v>8</v>
      </c>
      <c r="M524" s="15" t="str">
        <f>IF($C524="","",IF($L524="","-",INDEX(SETUP!$B$36:$B$42,MATCH($L524,SETUP!$A$36:$A$42,1))))</f>
        <v>8k - 10k</v>
      </c>
      <c r="N524" s="17">
        <f>IF($C524="","",IF(OR($G524="",$I524=""),"",ROUND(100*(SETUP!$B$4*MIN(1,$I524/SETUP!$B$9)+SETUP!$B$5*MAX(0,MIN(1,($G524-SETUP!$B$10)/(SETUP!$B$11-SETUP!$B$10)))+SETUP!$B$6*MIN(1,IF($L524="",0,$L524)/SETUP!$B$12)),1)))</f>
        <v>57.4</v>
      </c>
      <c r="O524" s="15" t="str">
        <f>IF($C524="","",IF($N524="","-",INDEX(SETUP!$B$46:$B$51,MATCH($N524,SETUP!$A$46:$A$51,1))))</f>
        <v>A</v>
      </c>
      <c r="P524" s="15">
        <f>IF($C524="","",IF($I524="","",RANK($I524,$I$4:$I$1463)+COUNTIF($I$4:$I524,$I524)-1))</f>
        <v>411</v>
      </c>
      <c r="Q524" s="15">
        <f>IF($C524="","",COUNTIFS($B$4:$B$1463,$B524,$X$4:$X$1463,"&gt;"&amp;$X524)+COUNTIFS($B$4:$B524,$B524,$X$4:$X524,"="&amp;$X524))</f>
        <v>28</v>
      </c>
      <c r="R524" s="72">
        <f>IF($C524="","",IF($I524="","",ROUND(COUNTIF($I$4:$I$1463,"&lt;"&amp;$I524)/COUNT($I$4:$I$1463),3)))</f>
        <v>0.69</v>
      </c>
      <c r="S524" s="15" t="str">
        <f>IF($C524="","",IF($G524="","Name only",IF(OR($I524="",$L524=""),"Partial","Complete")))</f>
        <v>Complete</v>
      </c>
      <c r="T524" s="41" t="str">
        <f>IF($C524="","",TRIM(IF(COUNTIF($C$4:$C$1463,$C524)&gt;1,"Dup name; ","")&amp;IF(AND($G524&lt;&gt;"",$G524&lt;55000),"Low CR - verify; ","")&amp;IF(AND($L524&lt;&gt;"",$L524&gt;15),"Secondary - verify; ","")&amp;IF($E524="","No class; ","")))</f>
        <v/>
      </c>
      <c r="U524" s="68"/>
      <c r="V524" s="68"/>
      <c r="W524" s="68"/>
      <c r="X524" s="73">
        <f t="shared" si="42"/>
        <v>5030</v>
      </c>
      <c r="Y524" s="41" t="str">
        <f t="shared" si="43"/>
        <v>UNDYING|28</v>
      </c>
      <c r="Z524" s="15">
        <f>IF($C524="","",IF($G524="","",RANK($G524,$G$4:$G$1463)+COUNTIF($G$4:$G524,$G524)-1))</f>
        <v>226</v>
      </c>
      <c r="AA524" s="15">
        <f>IF($C524="","",IF($N524="","",RANK($N524,$N$4:$N$1463)+COUNTIF($N$4:$N524,$N524)-1))</f>
        <v>272</v>
      </c>
      <c r="AB524" s="41" t="str">
        <f>IF($C524="","",IF($E524="","",$E524&amp;"#"&amp;(COUNTIFS($E$4:$E$1463,$E524,$X$4:$X$1463,"&gt;"&amp;$X524)+COUNTIFS($E$4:$E524,$E524,$X$4:$X524,"="&amp;$X524))))</f>
        <v>CRUSADER#48</v>
      </c>
      <c r="AC524" s="41" t="str">
        <f>IF($C524="","",$B524&amp;"@"&amp;(COUNTIFS($B$4:$B$1463,$B524,$C$4:$C$1463,"&lt;"&amp;$C524)+COUNTIFS($B$4:$B524,$B524,$C$4:$C524,$C524)))</f>
        <v>UNDYING@42</v>
      </c>
      <c r="AD524" s="41">
        <f t="shared" si="44"/>
        <v>521</v>
      </c>
      <c r="AE524" s="41" t="s">
        <v>1462</v>
      </c>
      <c r="AF524" s="73">
        <f t="shared" si="45"/>
        <v>63389</v>
      </c>
      <c r="AG524" s="74">
        <f t="shared" si="46"/>
        <v>8</v>
      </c>
      <c r="AH524" s="41" t="str">
        <f>IF($C524="","",$B524&amp;"|"&amp;(COUNTIFS($B$4:$B$1463,$B524,$AF$4:$AF$1463,"&gt;"&amp;$AF524)+COUNTIFS($B$4:$B524,$B524,$AF$4:$AF524,"="&amp;$AF524)))</f>
        <v>UNDYING|14</v>
      </c>
      <c r="AI524" s="41" t="str">
        <f>IF($C524="","",$B524&amp;"|"&amp;(COUNTIFS($B$4:$B$1463,$B524,$AG$4:$AG$1463,"&gt;"&amp;$AG524)+COUNTIFS($B$4:$B524,$B524,$AG$4:$AG524,"="&amp;$AG524)))</f>
        <v>UNDYING|7</v>
      </c>
    </row>
    <row r="525" spans="1:35">
      <c r="A525" s="69" t="s">
        <v>104</v>
      </c>
      <c r="B525" s="69" t="s">
        <v>66</v>
      </c>
      <c r="C525" s="63" t="s">
        <v>325</v>
      </c>
      <c r="D525" s="69"/>
      <c r="E525" s="68" t="s">
        <v>73</v>
      </c>
      <c r="F525" s="19" t="str">
        <f>IF($C525="","",IF($E525="","-",IFERROR(INDEX(SETUP!$B$55:$B$64,MATCH($E525,SETUP!$A$55:$A$64,0)),"Other")))</f>
        <v>Frontline</v>
      </c>
      <c r="G525" s="70">
        <v>63946</v>
      </c>
      <c r="H525" s="19" t="str">
        <f>IF($C525="","",IF($G525="","-",INDEX(SETUP!$B$26:$B$32,MATCH($G525,SETUP!$A$26:$A$32,1))))</f>
        <v>63,000 - 63,999</v>
      </c>
      <c r="I525" s="70">
        <v>8503</v>
      </c>
      <c r="J525" s="19" t="str">
        <f>IF($C525="","",IF($I525="","-",INDEX(SETUP!$B$16:$B$22,MATCH($I525,SETUP!$A$16:$A$22,1))))</f>
        <v>ELITE</v>
      </c>
      <c r="K525" s="19" t="str">
        <f>IF($C525="","",IF($I525="","-",TEXT(INT($I525/1000)*1000,"#,##0")&amp;" - "&amp;TEXT(INT($I525/1000)*1000+999,"#,##0")))</f>
        <v>8,000 - 8,999</v>
      </c>
      <c r="L525" s="71">
        <v>5.75</v>
      </c>
      <c r="M525" s="19" t="str">
        <f>IF($C525="","",IF($L525="","-",INDEX(SETUP!$B$36:$B$42,MATCH($L525,SETUP!$A$36:$A$42,1))))</f>
        <v>5k - 6k</v>
      </c>
      <c r="N525" s="21">
        <f>IF($C525="","",IF(OR($G525="",$I525=""),"",ROUND(100*(SETUP!$B$4*MIN(1,$I525/SETUP!$B$9)+SETUP!$B$5*MAX(0,MIN(1,($G525-SETUP!$B$10)/(SETUP!$B$11-SETUP!$B$10)))+SETUP!$B$6*MIN(1,IF($L525="",0,$L525)/SETUP!$B$12)),1)))</f>
        <v>70.2</v>
      </c>
      <c r="O525" s="19" t="str">
        <f>IF($C525="","",IF($N525="","-",INDEX(SETUP!$B$46:$B$51,MATCH($N525,SETUP!$A$46:$A$51,1))))</f>
        <v>S</v>
      </c>
      <c r="P525" s="19">
        <f>IF($C525="","",IF($I525="","",RANK($I525,$I$4:$I$1463)+COUNTIF($I$4:$I525,$I525)-1))</f>
        <v>119</v>
      </c>
      <c r="Q525" s="19">
        <f>IF($C525="","",COUNTIFS($B$4:$B$1463,$B525,$X$4:$X$1463,"&gt;"&amp;$X525)+COUNTIFS($B$4:$B525,$B525,$X$4:$X525,"="&amp;$X525))</f>
        <v>11</v>
      </c>
      <c r="R525" s="75">
        <f>IF($C525="","",IF($I525="","",ROUND(COUNTIF($I$4:$I$1463,"&lt;"&amp;$I525)/COUNT($I$4:$I$1463),3)))</f>
        <v>0.91</v>
      </c>
      <c r="S525" s="19" t="str">
        <f>IF($C525="","",IF($G525="","Name only",IF(OR($I525="",$L525=""),"Partial","Complete")))</f>
        <v>Complete</v>
      </c>
      <c r="T525" s="1" t="str">
        <f>IF($C525="","",TRIM(IF(COUNTIF($C$4:$C$1463,$C525)&gt;1,"Dup name; ","")&amp;IF(AND($G525&lt;&gt;"",$G525&lt;55000),"Low CR - verify; ","")&amp;IF(AND($L525&lt;&gt;"",$L525&gt;15),"Secondary - verify; ","")&amp;IF($E525="","No class; ","")))</f>
        <v/>
      </c>
      <c r="U525" s="68" t="s">
        <v>265</v>
      </c>
      <c r="V525" s="68" t="s">
        <v>66</v>
      </c>
      <c r="W525" s="68" t="s">
        <v>285</v>
      </c>
      <c r="X525" s="76">
        <f t="shared" si="42"/>
        <v>8503</v>
      </c>
      <c r="Y525" s="1" t="str">
        <f t="shared" si="43"/>
        <v>FUCT|11</v>
      </c>
      <c r="Z525" s="19">
        <f>IF($C525="","",IF($G525="","",RANK($G525,$G$4:$G$1463)+COUNTIF($G$4:$G525,$G525)-1))</f>
        <v>83</v>
      </c>
      <c r="AA525" s="19">
        <f>IF($C525="","",IF($N525="","",RANK($N525,$N$4:$N$1463)+COUNTIF($N$4:$N525,$N525)-1))</f>
        <v>126</v>
      </c>
      <c r="AB525" s="1" t="str">
        <f>IF($C525="","",IF($E525="","",$E525&amp;"#"&amp;(COUNTIFS($E$4:$E$1463,$E525,$X$4:$X$1463,"&gt;"&amp;$X525)+COUNTIFS($E$4:$E525,$E525,$X$4:$X525,"="&amp;$X525))))</f>
        <v>CRUSADER#20</v>
      </c>
      <c r="AC525" s="1" t="str">
        <f>IF($C525="","",$B525&amp;"@"&amp;(COUNTIFS($B$4:$B$1463,$B525,$C$4:$C$1463,"&lt;"&amp;$C525)+COUNTIFS($B$4:$B525,$B525,$C$4:$C525,$C525)))</f>
        <v>FUCT@35</v>
      </c>
      <c r="AD525" s="1">
        <f t="shared" si="44"/>
        <v>522</v>
      </c>
      <c r="AE525" s="1" t="s">
        <v>1463</v>
      </c>
      <c r="AF525" s="76">
        <f t="shared" si="45"/>
        <v>63946</v>
      </c>
      <c r="AG525" s="77">
        <f t="shared" si="46"/>
        <v>5.75</v>
      </c>
      <c r="AH525" s="1" t="str">
        <f>IF($C525="","",$B525&amp;"|"&amp;(COUNTIFS($B$4:$B$1463,$B525,$AF$4:$AF$1463,"&gt;"&amp;$AF525)+COUNTIFS($B$4:$B525,$B525,$AF$4:$AF525,"="&amp;$AF525)))</f>
        <v>FUCT|5</v>
      </c>
      <c r="AI525" s="1" t="str">
        <f>IF($C525="","",$B525&amp;"|"&amp;(COUNTIFS($B$4:$B$1463,$B525,$AG$4:$AG$1463,"&gt;"&amp;$AG525)+COUNTIFS($B$4:$B525,$B525,$AG$4:$AG525,"="&amp;$AG525)))</f>
        <v>FUCT|24</v>
      </c>
    </row>
    <row r="526" spans="1:35" hidden="1">
      <c r="A526" s="69" t="s">
        <v>106</v>
      </c>
      <c r="B526" s="69" t="s">
        <v>86</v>
      </c>
      <c r="C526" s="63" t="s">
        <v>1464</v>
      </c>
      <c r="D526" s="69"/>
      <c r="E526" s="68" t="s">
        <v>79</v>
      </c>
      <c r="F526" s="15" t="str">
        <f>IF($C526="","",IF($E526="","-",IFERROR(INDEX(SETUP!$B$55:$B$64,MATCH($E526,SETUP!$A$55:$A$64,0)),"Other")))</f>
        <v>Control</v>
      </c>
      <c r="G526" s="70">
        <v>63518</v>
      </c>
      <c r="H526" s="15" t="str">
        <f>IF($C526="","",IF($G526="","-",INDEX(SETUP!$B$26:$B$32,MATCH($G526,SETUP!$A$26:$A$32,1))))</f>
        <v>63,000 - 63,999</v>
      </c>
      <c r="I526" s="70">
        <v>5701</v>
      </c>
      <c r="J526" s="15" t="str">
        <f>IF($C526="","",IF($I526="","-",INDEX(SETUP!$B$16:$B$22,MATCH($I526,SETUP!$A$16:$A$22,1))))</f>
        <v>CORE</v>
      </c>
      <c r="K526" s="15" t="str">
        <f>IF($C526="","",IF($I526="","-",TEXT(INT($I526/1000)*1000,"#,##0")&amp;" - "&amp;TEXT(INT($I526/1000)*1000+999,"#,##0")))</f>
        <v>5,000 - 5,999</v>
      </c>
      <c r="L526" s="71">
        <v>6.4</v>
      </c>
      <c r="M526" s="15" t="str">
        <f>IF($C526="","",IF($L526="","-",INDEX(SETUP!$B$36:$B$42,MATCH($L526,SETUP!$A$36:$A$42,1))))</f>
        <v>6k - 8k</v>
      </c>
      <c r="N526" s="17">
        <f>IF($C526="","",IF(OR($G526="",$I526=""),"",ROUND(100*(SETUP!$B$4*MIN(1,$I526/SETUP!$B$9)+SETUP!$B$5*MAX(0,MIN(1,($G526-SETUP!$B$10)/(SETUP!$B$11-SETUP!$B$10)))+SETUP!$B$6*MIN(1,IF($L526="",0,$L526)/SETUP!$B$12)),1)))</f>
        <v>58</v>
      </c>
      <c r="O526" s="15" t="str">
        <f>IF($C526="","",IF($N526="","-",INDEX(SETUP!$B$46:$B$51,MATCH($N526,SETUP!$A$46:$A$51,1))))</f>
        <v>A</v>
      </c>
      <c r="P526" s="15">
        <f>IF($C526="","",IF($I526="","",RANK($I526,$I$4:$I$1463)+COUNTIF($I$4:$I526,$I526)-1))</f>
        <v>312</v>
      </c>
      <c r="Q526" s="15">
        <f>IF($C526="","",COUNTIFS($B$4:$B$1463,$B526,$X$4:$X$1463,"&gt;"&amp;$X526)+COUNTIFS($B$4:$B526,$B526,$X$4:$X526,"="&amp;$X526))</f>
        <v>59</v>
      </c>
      <c r="R526" s="72">
        <f>IF($C526="","",IF($I526="","",ROUND(COUNTIF($I$4:$I$1463,"&lt;"&amp;$I526)/COUNT($I$4:$I$1463),3)))</f>
        <v>0.76500000000000001</v>
      </c>
      <c r="S526" s="15" t="str">
        <f>IF($C526="","",IF($G526="","Name only",IF(OR($I526="",$L526=""),"Partial","Complete")))</f>
        <v>Complete</v>
      </c>
      <c r="T526" s="41" t="str">
        <f>IF($C526="","",TRIM(IF(COUNTIF($C$4:$C$1463,$C526)&gt;1,"Dup name; ","")&amp;IF(AND($G526&lt;&gt;"",$G526&lt;55000),"Low CR - verify; ","")&amp;IF(AND($L526&lt;&gt;"",$L526&gt;15),"Secondary - verify; ","")&amp;IF($E526="","No class; ","")))</f>
        <v/>
      </c>
      <c r="U526" s="68"/>
      <c r="V526" s="68"/>
      <c r="W526" s="68"/>
      <c r="X526" s="73">
        <f t="shared" si="42"/>
        <v>5701</v>
      </c>
      <c r="Y526" s="41" t="str">
        <f t="shared" si="43"/>
        <v>VANGUARD|59</v>
      </c>
      <c r="Z526" s="15">
        <f>IF($C526="","",IF($G526="","",RANK($G526,$G$4:$G$1463)+COUNTIF($G$4:$G526,$G526)-1))</f>
        <v>187</v>
      </c>
      <c r="AA526" s="15">
        <f>IF($C526="","",IF($N526="","",RANK($N526,$N$4:$N$1463)+COUNTIF($N$4:$N526,$N526)-1))</f>
        <v>263</v>
      </c>
      <c r="AB526" s="41" t="str">
        <f>IF($C526="","",IF($E526="","",$E526&amp;"#"&amp;(COUNTIFS($E$4:$E$1463,$E526,$X$4:$X$1463,"&gt;"&amp;$X526)+COUNTIFS($E$4:$E526,$E526,$X$4:$X526,"="&amp;$X526))))</f>
        <v>WARLOCK#67</v>
      </c>
      <c r="AC526" s="41" t="str">
        <f>IF($C526="","",$B526&amp;"@"&amp;(COUNTIFS($B$4:$B$1463,$B526,$C$4:$C$1463,"&lt;"&amp;$C526)+COUNTIFS($B$4:$B526,$B526,$C$4:$C526,$C526)))</f>
        <v>VANGUARD@47</v>
      </c>
      <c r="AD526" s="41">
        <f t="shared" si="44"/>
        <v>523</v>
      </c>
      <c r="AE526" s="41" t="s">
        <v>1053</v>
      </c>
      <c r="AF526" s="73">
        <f t="shared" si="45"/>
        <v>63518</v>
      </c>
      <c r="AG526" s="74">
        <f t="shared" si="46"/>
        <v>6.4</v>
      </c>
      <c r="AH526" s="41" t="str">
        <f>IF($C526="","",$B526&amp;"|"&amp;(COUNTIFS($B$4:$B$1463,$B526,$AF$4:$AF$1463,"&gt;"&amp;$AF526)+COUNTIFS($B$4:$B526,$B526,$AF$4:$AF526,"="&amp;$AF526)))</f>
        <v>VANGUARD|39</v>
      </c>
      <c r="AI526" s="41" t="str">
        <f>IF($C526="","",$B526&amp;"|"&amp;(COUNTIFS($B$4:$B$1463,$B526,$AG$4:$AG$1463,"&gt;"&amp;$AG526)+COUNTIFS($B$4:$B526,$B526,$AG$4:$AG526,"="&amp;$AG526)))</f>
        <v>VANGUARD|33</v>
      </c>
    </row>
    <row r="527" spans="1:35">
      <c r="A527" s="69" t="s">
        <v>104</v>
      </c>
      <c r="B527" s="69" t="s">
        <v>66</v>
      </c>
      <c r="C527" s="63" t="s">
        <v>326</v>
      </c>
      <c r="D527" s="69"/>
      <c r="E527" s="68" t="s">
        <v>77</v>
      </c>
      <c r="F527" s="19" t="str">
        <f>IF($C527="","",IF($E527="","-",IFERROR(INDEX(SETUP!$B$55:$B$64,MATCH($E527,SETUP!$A$55:$A$64,0)),"Other")))</f>
        <v>Control</v>
      </c>
      <c r="G527" s="70">
        <v>63072</v>
      </c>
      <c r="H527" s="19" t="str">
        <f>IF($C527="","",IF($G527="","-",INDEX(SETUP!$B$26:$B$32,MATCH($G527,SETUP!$A$26:$A$32,1))))</f>
        <v>63,000 - 63,999</v>
      </c>
      <c r="I527" s="70">
        <v>4560</v>
      </c>
      <c r="J527" s="19" t="str">
        <f>IF($C527="","",IF($I527="","-",INDEX(SETUP!$B$16:$B$22,MATCH($I527,SETUP!$A$16:$A$22,1))))</f>
        <v>CORE</v>
      </c>
      <c r="K527" s="19" t="str">
        <f>IF($C527="","",IF($I527="","-",TEXT(INT($I527/1000)*1000,"#,##0")&amp;" - "&amp;TEXT(INT($I527/1000)*1000+999,"#,##0")))</f>
        <v>4,000 - 4,999</v>
      </c>
      <c r="L527" s="71">
        <v>5.39</v>
      </c>
      <c r="M527" s="19" t="str">
        <f>IF($C527="","",IF($L527="","-",INDEX(SETUP!$B$36:$B$42,MATCH($L527,SETUP!$A$36:$A$42,1))))</f>
        <v>5k - 6k</v>
      </c>
      <c r="N527" s="21">
        <f>IF($C527="","",IF(OR($G527="",$I527=""),"",ROUND(100*(SETUP!$B$4*MIN(1,$I527/SETUP!$B$9)+SETUP!$B$5*MAX(0,MIN(1,($G527-SETUP!$B$10)/(SETUP!$B$11-SETUP!$B$10)))+SETUP!$B$6*MIN(1,IF($L527="",0,$L527)/SETUP!$B$12)),1)))</f>
        <v>50.1</v>
      </c>
      <c r="O527" s="19" t="str">
        <f>IF($C527="","",IF($N527="","-",INDEX(SETUP!$B$46:$B$51,MATCH($N527,SETUP!$A$46:$A$51,1))))</f>
        <v>A</v>
      </c>
      <c r="P527" s="19">
        <f>IF($C527="","",IF($I527="","",RANK($I527,$I$4:$I$1463)+COUNTIF($I$4:$I527,$I527)-1))</f>
        <v>481</v>
      </c>
      <c r="Q527" s="19">
        <f>IF($C527="","",COUNTIFS($B$4:$B$1463,$B527,$X$4:$X$1463,"&gt;"&amp;$X527)+COUNTIFS($B$4:$B527,$B527,$X$4:$X527,"="&amp;$X527))</f>
        <v>48</v>
      </c>
      <c r="R527" s="75">
        <f>IF($C527="","",IF($I527="","",ROUND(COUNTIF($I$4:$I$1463,"&lt;"&amp;$I527)/COUNT($I$4:$I$1463),3)))</f>
        <v>0.63700000000000001</v>
      </c>
      <c r="S527" s="19" t="str">
        <f>IF($C527="","",IF($G527="","Name only",IF(OR($I527="",$L527=""),"Partial","Complete")))</f>
        <v>Complete</v>
      </c>
      <c r="T527" s="1" t="str">
        <f>IF($C527="","",TRIM(IF(COUNTIF($C$4:$C$1463,$C527)&gt;1,"Dup name; ","")&amp;IF(AND($G527&lt;&gt;"",$G527&lt;55000),"Low CR - verify; ","")&amp;IF(AND($L527&lt;&gt;"",$L527&gt;15),"Secondary - verify; ","")&amp;IF($E527="","No class; ","")))</f>
        <v/>
      </c>
      <c r="U527" s="68" t="s">
        <v>267</v>
      </c>
      <c r="V527" s="68" t="s">
        <v>66</v>
      </c>
      <c r="W527" s="68" t="s">
        <v>285</v>
      </c>
      <c r="X527" s="76">
        <f t="shared" si="42"/>
        <v>4560</v>
      </c>
      <c r="Y527" s="1" t="str">
        <f t="shared" si="43"/>
        <v>FUCT|48</v>
      </c>
      <c r="Z527" s="19">
        <f>IF($C527="","",IF($G527="","",RANK($G527,$G$4:$G$1463)+COUNTIF($G$4:$G527,$G527)-1))</f>
        <v>394</v>
      </c>
      <c r="AA527" s="19">
        <f>IF($C527="","",IF($N527="","",RANK($N527,$N$4:$N$1463)+COUNTIF($N$4:$N527,$N527)-1))</f>
        <v>455</v>
      </c>
      <c r="AB527" s="1" t="str">
        <f>IF($C527="","",IF($E527="","",$E527&amp;"#"&amp;(COUNTIFS($E$4:$E$1463,$E527,$X$4:$X$1463,"&gt;"&amp;$X527)+COUNTIFS($E$4:$E527,$E527,$X$4:$X527,"="&amp;$X527))))</f>
        <v>NECROMANCER#23</v>
      </c>
      <c r="AC527" s="1" t="str">
        <f>IF($C527="","",$B527&amp;"@"&amp;(COUNTIFS($B$4:$B$1463,$B527,$C$4:$C$1463,"&lt;"&amp;$C527)+COUNTIFS($B$4:$B527,$B527,$C$4:$C527,$C527)))</f>
        <v>FUCT@36</v>
      </c>
      <c r="AD527" s="1">
        <f t="shared" si="44"/>
        <v>524</v>
      </c>
      <c r="AE527" s="1" t="s">
        <v>1465</v>
      </c>
      <c r="AF527" s="76">
        <f t="shared" si="45"/>
        <v>63072</v>
      </c>
      <c r="AG527" s="77">
        <f t="shared" si="46"/>
        <v>5.39</v>
      </c>
      <c r="AH527" s="1" t="str">
        <f>IF($C527="","",$B527&amp;"|"&amp;(COUNTIFS($B$4:$B$1463,$B527,$AF$4:$AF$1463,"&gt;"&amp;$AF527)+COUNTIFS($B$4:$B527,$B527,$AF$4:$AF527,"="&amp;$AF527)))</f>
        <v>FUCT|42</v>
      </c>
      <c r="AI527" s="1" t="str">
        <f>IF($C527="","",$B527&amp;"|"&amp;(COUNTIFS($B$4:$B$1463,$B527,$AG$4:$AG$1463,"&gt;"&amp;$AG527)+COUNTIFS($B$4:$B527,$B527,$AG$4:$AG527,"="&amp;$AG527)))</f>
        <v>FUCT|32</v>
      </c>
    </row>
    <row r="528" spans="1:35" hidden="1">
      <c r="A528" s="69" t="s">
        <v>109</v>
      </c>
      <c r="B528" s="69" t="s">
        <v>117</v>
      </c>
      <c r="C528" s="63" t="s">
        <v>1466</v>
      </c>
      <c r="D528" s="69"/>
      <c r="E528" s="68" t="s">
        <v>77</v>
      </c>
      <c r="F528" s="15" t="str">
        <f>IF($C528="","",IF($E528="","-",IFERROR(INDEX(SETUP!$B$55:$B$64,MATCH($E528,SETUP!$A$55:$A$64,0)),"Other")))</f>
        <v>Control</v>
      </c>
      <c r="G528" s="70">
        <v>60671</v>
      </c>
      <c r="H528" s="15" t="str">
        <f>IF($C528="","",IF($G528="","-",INDEX(SETUP!$B$26:$B$32,MATCH($G528,SETUP!$A$26:$A$32,1))))</f>
        <v>60,000 - 60,999</v>
      </c>
      <c r="I528" s="70">
        <v>1500</v>
      </c>
      <c r="J528" s="15" t="str">
        <f>IF($C528="","",IF($I528="","-",INDEX(SETUP!$B$16:$B$22,MATCH($I528,SETUP!$A$16:$A$22,1))))</f>
        <v>ROOKIE</v>
      </c>
      <c r="K528" s="15" t="str">
        <f>IF($C528="","",IF($I528="","-",TEXT(INT($I528/1000)*1000,"#,##0")&amp;" - "&amp;TEXT(INT($I528/1000)*1000+999,"#,##0")))</f>
        <v>1,000 - 1,999</v>
      </c>
      <c r="L528" s="71">
        <v>2.8</v>
      </c>
      <c r="M528" s="15" t="str">
        <f>IF($C528="","",IF($L528="","-",INDEX(SETUP!$B$36:$B$42,MATCH($L528,SETUP!$A$36:$A$42,1))))</f>
        <v>Under 3k</v>
      </c>
      <c r="N528" s="17">
        <f>IF($C528="","",IF(OR($G528="",$I528=""),"",ROUND(100*(SETUP!$B$4*MIN(1,$I528/SETUP!$B$9)+SETUP!$B$5*MAX(0,MIN(1,($G528-SETUP!$B$10)/(SETUP!$B$11-SETUP!$B$10)))+SETUP!$B$6*MIN(1,IF($L528="",0,$L528)/SETUP!$B$12)),1)))</f>
        <v>26.1</v>
      </c>
      <c r="O528" s="15" t="str">
        <f>IF($C528="","",IF($N528="","-",INDEX(SETUP!$B$46:$B$51,MATCH($N528,SETUP!$A$46:$A$51,1))))</f>
        <v>C</v>
      </c>
      <c r="P528" s="15">
        <f>IF($C528="","",IF($I528="","",RANK($I528,$I$4:$I$1463)+COUNTIF($I$4:$I528,$I528)-1))</f>
        <v>1189</v>
      </c>
      <c r="Q528" s="15">
        <f>IF($C528="","",COUNTIFS($B$4:$B$1463,$B528,$X$4:$X$1463,"&gt;"&amp;$X528)+COUNTIFS($B$4:$B528,$B528,$X$4:$X528,"="&amp;$X528))</f>
        <v>65</v>
      </c>
      <c r="R528" s="72">
        <f>IF($C528="","",IF($I528="","",ROUND(COUNTIF($I$4:$I$1463,"&lt;"&amp;$I528)/COUNT($I$4:$I$1463),3)))</f>
        <v>0.10100000000000001</v>
      </c>
      <c r="S528" s="15" t="str">
        <f>IF($C528="","",IF($G528="","Name only",IF(OR($I528="",$L528=""),"Partial","Complete")))</f>
        <v>Complete</v>
      </c>
      <c r="T528" s="41" t="str">
        <f>IF($C528="","",TRIM(IF(COUNTIF($C$4:$C$1463,$C528)&gt;1,"Dup name; ","")&amp;IF(AND($G528&lt;&gt;"",$G528&lt;55000),"Low CR - verify; ","")&amp;IF(AND($L528&lt;&gt;"",$L528&gt;15),"Secondary - verify; ","")&amp;IF($E528="","No class; ","")))</f>
        <v/>
      </c>
      <c r="U528" s="68"/>
      <c r="V528" s="68"/>
      <c r="W528" s="68"/>
      <c r="X528" s="73">
        <f t="shared" si="42"/>
        <v>1500</v>
      </c>
      <c r="Y528" s="41" t="str">
        <f t="shared" si="43"/>
        <v>VENDETTA|65</v>
      </c>
      <c r="Z528" s="15">
        <f>IF($C528="","",IF($G528="","",RANK($G528,$G$4:$G$1463)+COUNTIF($G$4:$G528,$G528)-1))</f>
        <v>1187</v>
      </c>
      <c r="AA528" s="15">
        <f>IF($C528="","",IF($N528="","",RANK($N528,$N$4:$N$1463)+COUNTIF($N$4:$N528,$N528)-1))</f>
        <v>1225</v>
      </c>
      <c r="AB528" s="41" t="str">
        <f>IF($C528="","",IF($E528="","",$E528&amp;"#"&amp;(COUNTIFS($E$4:$E$1463,$E528,$X$4:$X$1463,"&gt;"&amp;$X528)+COUNTIFS($E$4:$E528,$E528,$X$4:$X528,"="&amp;$X528))))</f>
        <v>NECROMANCER#87</v>
      </c>
      <c r="AC528" s="41" t="str">
        <f>IF($C528="","",$B528&amp;"@"&amp;(COUNTIFS($B$4:$B$1463,$B528,$C$4:$C$1463,"&lt;"&amp;$C528)+COUNTIFS($B$4:$B528,$B528,$C$4:$C528,$C528)))</f>
        <v>VENDETTA@40</v>
      </c>
      <c r="AD528" s="41">
        <f t="shared" si="44"/>
        <v>525</v>
      </c>
      <c r="AE528" s="41" t="s">
        <v>1458</v>
      </c>
      <c r="AF528" s="73">
        <f t="shared" si="45"/>
        <v>60671</v>
      </c>
      <c r="AG528" s="74">
        <f t="shared" si="46"/>
        <v>2.8</v>
      </c>
      <c r="AH528" s="41" t="str">
        <f>IF($C528="","",$B528&amp;"|"&amp;(COUNTIFS($B$4:$B$1463,$B528,$AF$4:$AF$1463,"&gt;"&amp;$AF528)+COUNTIFS($B$4:$B528,$B528,$AF$4:$AF528,"="&amp;$AF528)))</f>
        <v>VENDETTA|75</v>
      </c>
      <c r="AI528" s="41" t="str">
        <f>IF($C528="","",$B528&amp;"|"&amp;(COUNTIFS($B$4:$B$1463,$B528,$AG$4:$AG$1463,"&gt;"&amp;$AG528)+COUNTIFS($B$4:$B528,$B528,$AG$4:$AG528,"="&amp;$AG528)))</f>
        <v>VENDETTA|86</v>
      </c>
    </row>
    <row r="529" spans="1:35" hidden="1">
      <c r="A529" s="69" t="s">
        <v>109</v>
      </c>
      <c r="B529" s="69" t="s">
        <v>115</v>
      </c>
      <c r="C529" s="63" t="s">
        <v>1467</v>
      </c>
      <c r="D529" s="69"/>
      <c r="E529" s="68" t="s">
        <v>78</v>
      </c>
      <c r="F529" s="19" t="str">
        <f>IF($C529="","",IF($E529="","-",IFERROR(INDEX(SETUP!$B$55:$B$64,MATCH($E529,SETUP!$A$55:$A$64,0)),"Other")))</f>
        <v>Melee DPS</v>
      </c>
      <c r="G529" s="70">
        <v>62024</v>
      </c>
      <c r="H529" s="19" t="str">
        <f>IF($C529="","",IF($G529="","-",INDEX(SETUP!$B$26:$B$32,MATCH($G529,SETUP!$A$26:$A$32,1))))</f>
        <v>62,000 - 62,999</v>
      </c>
      <c r="I529" s="70">
        <v>3464</v>
      </c>
      <c r="J529" s="19" t="str">
        <f>IF($C529="","",IF($I529="","-",INDEX(SETUP!$B$16:$B$22,MATCH($I529,SETUP!$A$16:$A$22,1))))</f>
        <v>DEVELOPING</v>
      </c>
      <c r="K529" s="19" t="str">
        <f>IF($C529="","",IF($I529="","-",TEXT(INT($I529/1000)*1000,"#,##0")&amp;" - "&amp;TEXT(INT($I529/1000)*1000+999,"#,##0")))</f>
        <v>3,000 - 3,999</v>
      </c>
      <c r="L529" s="71">
        <v>3.6</v>
      </c>
      <c r="M529" s="19" t="str">
        <f>IF($C529="","",IF($L529="","-",INDEX(SETUP!$B$36:$B$42,MATCH($L529,SETUP!$A$36:$A$42,1))))</f>
        <v>3k - 4k</v>
      </c>
      <c r="N529" s="21">
        <f>IF($C529="","",IF(OR($G529="",$I529=""),"",ROUND(100*(SETUP!$B$4*MIN(1,$I529/SETUP!$B$9)+SETUP!$B$5*MAX(0,MIN(1,($G529-SETUP!$B$10)/(SETUP!$B$11-SETUP!$B$10)))+SETUP!$B$6*MIN(1,IF($L529="",0,$L529)/SETUP!$B$12)),1)))</f>
        <v>39.6</v>
      </c>
      <c r="O529" s="19" t="str">
        <f>IF($C529="","",IF($N529="","-",INDEX(SETUP!$B$46:$B$51,MATCH($N529,SETUP!$A$46:$A$51,1))))</f>
        <v>B</v>
      </c>
      <c r="P529" s="19">
        <f>IF($C529="","",IF($I529="","",RANK($I529,$I$4:$I$1463)+COUNTIF($I$4:$I529,$I529)-1))</f>
        <v>741</v>
      </c>
      <c r="Q529" s="19">
        <f>IF($C529="","",COUNTIFS($B$4:$B$1463,$B529,$X$4:$X$1463,"&gt;"&amp;$X529)+COUNTIFS($B$4:$B529,$B529,$X$4:$X529,"="&amp;$X529))</f>
        <v>20</v>
      </c>
      <c r="R529" s="75">
        <f>IF($C529="","",IF($I529="","",ROUND(COUNTIF($I$4:$I$1463,"&lt;"&amp;$I529)/COUNT($I$4:$I$1463),3)))</f>
        <v>0.441</v>
      </c>
      <c r="S529" s="19" t="str">
        <f>IF($C529="","",IF($G529="","Name only",IF(OR($I529="",$L529=""),"Partial","Complete")))</f>
        <v>Complete</v>
      </c>
      <c r="T529" s="1" t="str">
        <f>IF($C529="","",TRIM(IF(COUNTIF($C$4:$C$1463,$C529)&gt;1,"Dup name; ","")&amp;IF(AND($G529&lt;&gt;"",$G529&lt;55000),"Low CR - verify; ","")&amp;IF(AND($L529&lt;&gt;"",$L529&gt;15),"Secondary - verify; ","")&amp;IF($E529="","No class; ","")))</f>
        <v/>
      </c>
      <c r="U529" s="68"/>
      <c r="V529" s="68"/>
      <c r="W529" s="68"/>
      <c r="X529" s="76">
        <f t="shared" si="42"/>
        <v>3464</v>
      </c>
      <c r="Y529" s="1" t="str">
        <f t="shared" si="43"/>
        <v>SUB ROSA|20</v>
      </c>
      <c r="Z529" s="19">
        <f>IF($C529="","",IF($G529="","",RANK($G529,$G$4:$G$1463)+COUNTIF($G$4:$G529,$G529)-1))</f>
        <v>828</v>
      </c>
      <c r="AA529" s="19">
        <f>IF($C529="","",IF($N529="","",RANK($N529,$N$4:$N$1463)+COUNTIF($N$4:$N529,$N529)-1))</f>
        <v>835</v>
      </c>
      <c r="AB529" s="1" t="str">
        <f>IF($C529="","",IF($E529="","",$E529&amp;"#"&amp;(COUNTIFS($E$4:$E$1463,$E529,$X$4:$X$1463,"&gt;"&amp;$X529)+COUNTIFS($E$4:$E529,$E529,$X$4:$X529,"="&amp;$X529))))</f>
        <v>TEMPEST#27</v>
      </c>
      <c r="AC529" s="1" t="str">
        <f>IF($C529="","",$B529&amp;"@"&amp;(COUNTIFS($B$4:$B$1463,$B529,$C$4:$C$1463,"&lt;"&amp;$C529)+COUNTIFS($B$4:$B529,$B529,$C$4:$C529,$C529)))</f>
        <v>SUB ROSA@34</v>
      </c>
      <c r="AD529" s="1">
        <f t="shared" si="44"/>
        <v>526</v>
      </c>
      <c r="AE529" s="1" t="s">
        <v>925</v>
      </c>
      <c r="AF529" s="76">
        <f t="shared" si="45"/>
        <v>62024</v>
      </c>
      <c r="AG529" s="77">
        <f t="shared" si="46"/>
        <v>3.6</v>
      </c>
      <c r="AH529" s="1" t="str">
        <f>IF($C529="","",$B529&amp;"|"&amp;(COUNTIFS($B$4:$B$1463,$B529,$AF$4:$AF$1463,"&gt;"&amp;$AF529)+COUNTIFS($B$4:$B529,$B529,$AF$4:$AF529,"="&amp;$AF529)))</f>
        <v>SUB ROSA|32</v>
      </c>
      <c r="AI529" s="1" t="str">
        <f>IF($C529="","",$B529&amp;"|"&amp;(COUNTIFS($B$4:$B$1463,$B529,$AG$4:$AG$1463,"&gt;"&amp;$AG529)+COUNTIFS($B$4:$B529,$B529,$AG$4:$AG529,"="&amp;$AG529)))</f>
        <v>SUB ROSA|35</v>
      </c>
    </row>
    <row r="530" spans="1:35" hidden="1">
      <c r="A530" s="69" t="s">
        <v>106</v>
      </c>
      <c r="B530" s="69" t="s">
        <v>107</v>
      </c>
      <c r="C530" s="63" t="s">
        <v>1468</v>
      </c>
      <c r="D530" s="69"/>
      <c r="E530" s="68" t="s">
        <v>80</v>
      </c>
      <c r="F530" s="15" t="str">
        <f>IF($C530="","",IF($E530="","-",IFERROR(INDEX(SETUP!$B$55:$B$64,MATCH($E530,SETUP!$A$55:$A$64,0)),"Other")))</f>
        <v>Ranged DPS</v>
      </c>
      <c r="G530" s="70">
        <v>62108</v>
      </c>
      <c r="H530" s="15" t="str">
        <f>IF($C530="","",IF($G530="","-",INDEX(SETUP!$B$26:$B$32,MATCH($G530,SETUP!$A$26:$A$32,1))))</f>
        <v>62,000 - 62,999</v>
      </c>
      <c r="I530" s="70">
        <v>3528</v>
      </c>
      <c r="J530" s="15" t="str">
        <f>IF($C530="","",IF($I530="","-",INDEX(SETUP!$B$16:$B$22,MATCH($I530,SETUP!$A$16:$A$22,1))))</f>
        <v>DEVELOPING</v>
      </c>
      <c r="K530" s="15" t="str">
        <f>IF($C530="","",IF($I530="","-",TEXT(INT($I530/1000)*1000,"#,##0")&amp;" - "&amp;TEXT(INT($I530/1000)*1000+999,"#,##0")))</f>
        <v>3,000 - 3,999</v>
      </c>
      <c r="L530" s="71">
        <v>6.2</v>
      </c>
      <c r="M530" s="15" t="str">
        <f>IF($C530="","",IF($L530="","-",INDEX(SETUP!$B$36:$B$42,MATCH($L530,SETUP!$A$36:$A$42,1))))</f>
        <v>6k - 8k</v>
      </c>
      <c r="N530" s="17">
        <f>IF($C530="","",IF(OR($G530="",$I530=""),"",ROUND(100*(SETUP!$B$4*MIN(1,$I530/SETUP!$B$9)+SETUP!$B$5*MAX(0,MIN(1,($G530-SETUP!$B$10)/(SETUP!$B$11-SETUP!$B$10)))+SETUP!$B$6*MIN(1,IF($L530="",0,$L530)/SETUP!$B$12)),1)))</f>
        <v>44.4</v>
      </c>
      <c r="O530" s="15" t="str">
        <f>IF($C530="","",IF($N530="","-",INDEX(SETUP!$B$46:$B$51,MATCH($N530,SETUP!$A$46:$A$51,1))))</f>
        <v>B</v>
      </c>
      <c r="P530" s="15">
        <f>IF($C530="","",IF($I530="","",RANK($I530,$I$4:$I$1463)+COUNTIF($I$4:$I530,$I530)-1))</f>
        <v>722</v>
      </c>
      <c r="Q530" s="15">
        <f>IF($C530="","",COUNTIFS($B$4:$B$1463,$B530,$X$4:$X$1463,"&gt;"&amp;$X530)+COUNTIFS($B$4:$B530,$B530,$X$4:$X530,"="&amp;$X530))</f>
        <v>69</v>
      </c>
      <c r="R530" s="72">
        <f>IF($C530="","",IF($I530="","",ROUND(COUNTIF($I$4:$I$1463,"&lt;"&amp;$I530)/COUNT($I$4:$I$1463),3)))</f>
        <v>0.45500000000000002</v>
      </c>
      <c r="S530" s="15" t="str">
        <f>IF($C530="","",IF($G530="","Name only",IF(OR($I530="",$L530=""),"Partial","Complete")))</f>
        <v>Complete</v>
      </c>
      <c r="T530" s="41" t="str">
        <f>IF($C530="","",TRIM(IF(COUNTIF($C$4:$C$1463,$C530)&gt;1,"Dup name; ","")&amp;IF(AND($G530&lt;&gt;"",$G530&lt;55000),"Low CR - verify; ","")&amp;IF(AND($L530&lt;&gt;"",$L530&gt;15),"Secondary - verify; ","")&amp;IF($E530="","No class; ","")))</f>
        <v/>
      </c>
      <c r="U530" s="68"/>
      <c r="V530" s="68"/>
      <c r="W530" s="68"/>
      <c r="X530" s="73">
        <f t="shared" si="42"/>
        <v>3528</v>
      </c>
      <c r="Y530" s="41" t="str">
        <f t="shared" si="43"/>
        <v>UNDYING|69</v>
      </c>
      <c r="Z530" s="15">
        <f>IF($C530="","",IF($G530="","",RANK($G530,$G$4:$G$1463)+COUNTIF($G$4:$G530,$G530)-1))</f>
        <v>797</v>
      </c>
      <c r="AA530" s="15">
        <f>IF($C530="","",IF($N530="","",RANK($N530,$N$4:$N$1463)+COUNTIF($N$4:$N530,$N530)-1))</f>
        <v>646</v>
      </c>
      <c r="AB530" s="41" t="str">
        <f>IF($C530="","",IF($E530="","",$E530&amp;"#"&amp;(COUNTIFS($E$4:$E$1463,$E530,$X$4:$X$1463,"&gt;"&amp;$X530)+COUNTIFS($E$4:$E530,$E530,$X$4:$X530,"="&amp;$X530))))</f>
        <v>WIZARD#53</v>
      </c>
      <c r="AC530" s="41" t="str">
        <f>IF($C530="","",$B530&amp;"@"&amp;(COUNTIFS($B$4:$B$1463,$B530,$C$4:$C$1463,"&lt;"&amp;$C530)+COUNTIFS($B$4:$B530,$B530,$C$4:$C530,$C530)))</f>
        <v>UNDYING@43</v>
      </c>
      <c r="AD530" s="41">
        <f t="shared" si="44"/>
        <v>527</v>
      </c>
      <c r="AE530" s="41" t="s">
        <v>1075</v>
      </c>
      <c r="AF530" s="73">
        <f t="shared" si="45"/>
        <v>62108</v>
      </c>
      <c r="AG530" s="74">
        <f t="shared" si="46"/>
        <v>6.2</v>
      </c>
      <c r="AH530" s="41" t="str">
        <f>IF($C530="","",$B530&amp;"|"&amp;(COUNTIFS($B$4:$B$1463,$B530,$AF$4:$AF$1463,"&gt;"&amp;$AF530)+COUNTIFS($B$4:$B530,$B530,$AF$4:$AF530,"="&amp;$AF530)))</f>
        <v>UNDYING|77</v>
      </c>
      <c r="AI530" s="41" t="str">
        <f>IF($C530="","",$B530&amp;"|"&amp;(COUNTIFS($B$4:$B$1463,$B530,$AG$4:$AG$1463,"&gt;"&amp;$AG530)+COUNTIFS($B$4:$B530,$B530,$AG$4:$AG530,"="&amp;$AG530)))</f>
        <v>UNDYING|21</v>
      </c>
    </row>
    <row r="531" spans="1:35" hidden="1">
      <c r="A531" s="69" t="s">
        <v>109</v>
      </c>
      <c r="B531" s="69" t="s">
        <v>108</v>
      </c>
      <c r="C531" s="63" t="s">
        <v>1469</v>
      </c>
      <c r="D531" s="69"/>
      <c r="E531" s="68" t="s">
        <v>71</v>
      </c>
      <c r="F531" s="19" t="str">
        <f>IF($C531="","",IF($E531="","-",IFERROR(INDEX(SETUP!$B$55:$B$64,MATCH($E531,SETUP!$A$55:$A$64,0)),"Other")))</f>
        <v>Frontline</v>
      </c>
      <c r="G531" s="70">
        <v>64041</v>
      </c>
      <c r="H531" s="19" t="str">
        <f>IF($C531="","",IF($G531="","-",INDEX(SETUP!$B$26:$B$32,MATCH($G531,SETUP!$A$26:$A$32,1))))</f>
        <v>64,000 +</v>
      </c>
      <c r="I531" s="70">
        <v>8417</v>
      </c>
      <c r="J531" s="19" t="str">
        <f>IF($C531="","",IF($I531="","-",INDEX(SETUP!$B$16:$B$22,MATCH($I531,SETUP!$A$16:$A$22,1))))</f>
        <v>ELITE</v>
      </c>
      <c r="K531" s="19" t="str">
        <f>IF($C531="","",IF($I531="","-",TEXT(INT($I531/1000)*1000,"#,##0")&amp;" - "&amp;TEXT(INT($I531/1000)*1000+999,"#,##0")))</f>
        <v>8,000 - 8,999</v>
      </c>
      <c r="L531" s="71">
        <v>7.75</v>
      </c>
      <c r="M531" s="19" t="str">
        <f>IF($C531="","",IF($L531="","-",INDEX(SETUP!$B$36:$B$42,MATCH($L531,SETUP!$A$36:$A$42,1))))</f>
        <v>6k - 8k</v>
      </c>
      <c r="N531" s="21">
        <f>IF($C531="","",IF(OR($G531="",$I531=""),"",ROUND(100*(SETUP!$B$4*MIN(1,$I531/SETUP!$B$9)+SETUP!$B$5*MAX(0,MIN(1,($G531-SETUP!$B$10)/(SETUP!$B$11-SETUP!$B$10)))+SETUP!$B$6*MIN(1,IF($L531="",0,$L531)/SETUP!$B$12)),1)))</f>
        <v>73.400000000000006</v>
      </c>
      <c r="O531" s="19" t="str">
        <f>IF($C531="","",IF($N531="","-",INDEX(SETUP!$B$46:$B$51,MATCH($N531,SETUP!$A$46:$A$51,1))))</f>
        <v>S</v>
      </c>
      <c r="P531" s="19">
        <f>IF($C531="","",IF($I531="","",RANK($I531,$I$4:$I$1463)+COUNTIF($I$4:$I531,$I531)-1))</f>
        <v>122</v>
      </c>
      <c r="Q531" s="19">
        <f>IF($C531="","",COUNTIFS($B$4:$B$1463,$B531,$X$4:$X$1463,"&gt;"&amp;$X531)+COUNTIFS($B$4:$B531,$B531,$X$4:$X531,"="&amp;$X531))</f>
        <v>20</v>
      </c>
      <c r="R531" s="75">
        <f>IF($C531="","",IF($I531="","",ROUND(COUNTIF($I$4:$I$1463,"&lt;"&amp;$I531)/COUNT($I$4:$I$1463),3)))</f>
        <v>0.90800000000000003</v>
      </c>
      <c r="S531" s="19" t="str">
        <f>IF($C531="","",IF($G531="","Name only",IF(OR($I531="",$L531=""),"Partial","Complete")))</f>
        <v>Complete</v>
      </c>
      <c r="T531" s="1" t="str">
        <f>IF($C531="","",TRIM(IF(COUNTIF($C$4:$C$1463,$C531)&gt;1,"Dup name; ","")&amp;IF(AND($G531&lt;&gt;"",$G531&lt;55000),"Low CR - verify; ","")&amp;IF(AND($L531&lt;&gt;"",$L531&gt;15),"Secondary - verify; ","")&amp;IF($E531="","No class; ","")))</f>
        <v/>
      </c>
      <c r="U531" s="68"/>
      <c r="V531" s="68"/>
      <c r="W531" s="68"/>
      <c r="X531" s="76">
        <f t="shared" si="42"/>
        <v>8417</v>
      </c>
      <c r="Y531" s="1" t="str">
        <f t="shared" si="43"/>
        <v>SBG|20</v>
      </c>
      <c r="Z531" s="19">
        <f>IF($C531="","",IF($G531="","",RANK($G531,$G$4:$G$1463)+COUNTIF($G$4:$G531,$G531)-1))</f>
        <v>63</v>
      </c>
      <c r="AA531" s="19">
        <f>IF($C531="","",IF($N531="","",RANK($N531,$N$4:$N$1463)+COUNTIF($N$4:$N531,$N531)-1))</f>
        <v>103</v>
      </c>
      <c r="AB531" s="1" t="str">
        <f>IF($C531="","",IF($E531="","",$E531&amp;"#"&amp;(COUNTIFS($E$4:$E$1463,$E531,$X$4:$X$1463,"&gt;"&amp;$X531)+COUNTIFS($E$4:$E531,$E531,$X$4:$X531,"="&amp;$X531))))</f>
        <v>BARBARIAN#25</v>
      </c>
      <c r="AC531" s="1" t="str">
        <f>IF($C531="","",$B531&amp;"@"&amp;(COUNTIFS($B$4:$B$1463,$B531,$C$4:$C$1463,"&lt;"&amp;$C531)+COUNTIFS($B$4:$B531,$B531,$C$4:$C531,$C531)))</f>
        <v>SBG@31</v>
      </c>
      <c r="AD531" s="1">
        <f t="shared" si="44"/>
        <v>528</v>
      </c>
      <c r="AE531" s="1" t="s">
        <v>1470</v>
      </c>
      <c r="AF531" s="76">
        <f t="shared" si="45"/>
        <v>64041</v>
      </c>
      <c r="AG531" s="77">
        <f t="shared" si="46"/>
        <v>7.75</v>
      </c>
      <c r="AH531" s="1" t="str">
        <f>IF($C531="","",$B531&amp;"|"&amp;(COUNTIFS($B$4:$B$1463,$B531,$AF$4:$AF$1463,"&gt;"&amp;$AF531)+COUNTIFS($B$4:$B531,$B531,$AF$4:$AF531,"="&amp;$AF531)))</f>
        <v>SBG|12</v>
      </c>
      <c r="AI531" s="1" t="str">
        <f>IF($C531="","",$B531&amp;"|"&amp;(COUNTIFS($B$4:$B$1463,$B531,$AG$4:$AG$1463,"&gt;"&amp;$AG531)+COUNTIFS($B$4:$B531,$B531,$AG$4:$AG531,"="&amp;$AG531)))</f>
        <v>SBG|17</v>
      </c>
    </row>
    <row r="532" spans="1:35" hidden="1">
      <c r="A532" s="69" t="s">
        <v>106</v>
      </c>
      <c r="B532" s="69" t="s">
        <v>105</v>
      </c>
      <c r="C532" s="63" t="s">
        <v>1471</v>
      </c>
      <c r="D532" s="69" t="s">
        <v>691</v>
      </c>
      <c r="E532" s="68" t="s">
        <v>79</v>
      </c>
      <c r="F532" s="15" t="str">
        <f>IF($C532="","",IF($E532="","-",IFERROR(INDEX(SETUP!$B$55:$B$64,MATCH($E532,SETUP!$A$55:$A$64,0)),"Other")))</f>
        <v>Control</v>
      </c>
      <c r="G532" s="70">
        <v>63056</v>
      </c>
      <c r="H532" s="15" t="str">
        <f>IF($C532="","",IF($G532="","-",INDEX(SETUP!$B$26:$B$32,MATCH($G532,SETUP!$A$26:$A$32,1))))</f>
        <v>63,000 - 63,999</v>
      </c>
      <c r="I532" s="70">
        <v>3646</v>
      </c>
      <c r="J532" s="15" t="str">
        <f>IF($C532="","",IF($I532="","-",INDEX(SETUP!$B$16:$B$22,MATCH($I532,SETUP!$A$16:$A$22,1))))</f>
        <v>DEVELOPING</v>
      </c>
      <c r="K532" s="15" t="str">
        <f>IF($C532="","",IF($I532="","-",TEXT(INT($I532/1000)*1000,"#,##0")&amp;" - "&amp;TEXT(INT($I532/1000)*1000+999,"#,##0")))</f>
        <v>3,000 - 3,999</v>
      </c>
      <c r="L532" s="71">
        <v>5.09</v>
      </c>
      <c r="M532" s="15" t="str">
        <f>IF($C532="","",IF($L532="","-",INDEX(SETUP!$B$36:$B$42,MATCH($L532,SETUP!$A$36:$A$42,1))))</f>
        <v>5k - 6k</v>
      </c>
      <c r="N532" s="17">
        <f>IF($C532="","",IF(OR($G532="",$I532=""),"",ROUND(100*(SETUP!$B$4*MIN(1,$I532/SETUP!$B$9)+SETUP!$B$5*MAX(0,MIN(1,($G532-SETUP!$B$10)/(SETUP!$B$11-SETUP!$B$10)))+SETUP!$B$6*MIN(1,IF($L532="",0,$L532)/SETUP!$B$12)),1)))</f>
        <v>45.6</v>
      </c>
      <c r="O532" s="15" t="str">
        <f>IF($C532="","",IF($N532="","-",INDEX(SETUP!$B$46:$B$51,MATCH($N532,SETUP!$A$46:$A$51,1))))</f>
        <v>B</v>
      </c>
      <c r="P532" s="15">
        <f>IF($C532="","",IF($I532="","",RANK($I532,$I$4:$I$1463)+COUNTIF($I$4:$I532,$I532)-1))</f>
        <v>691</v>
      </c>
      <c r="Q532" s="15">
        <f>IF($C532="","",COUNTIFS($B$4:$B$1463,$B532,$X$4:$X$1463,"&gt;"&amp;$X532)+COUNTIFS($B$4:$B532,$B532,$X$4:$X532,"="&amp;$X532))</f>
        <v>81</v>
      </c>
      <c r="R532" s="72">
        <f>IF($C532="","",IF($I532="","",ROUND(COUNTIF($I$4:$I$1463,"&lt;"&amp;$I532)/COUNT($I$4:$I$1463),3)))</f>
        <v>0.47799999999999998</v>
      </c>
      <c r="S532" s="15" t="str">
        <f>IF($C532="","",IF($G532="","Name only",IF(OR($I532="",$L532=""),"Partial","Complete")))</f>
        <v>Complete</v>
      </c>
      <c r="T532" s="41" t="str">
        <f>IF($C532="","",TRIM(IF(COUNTIF($C$4:$C$1463,$C532)&gt;1,"Dup name; ","")&amp;IF(AND($G532&lt;&gt;"",$G532&lt;55000),"Low CR - verify; ","")&amp;IF(AND($L532&lt;&gt;"",$L532&gt;15),"Secondary - verify; ","")&amp;IF($E532="","No class; ","")))</f>
        <v/>
      </c>
      <c r="U532" s="68"/>
      <c r="V532" s="68"/>
      <c r="W532" s="68"/>
      <c r="X532" s="73">
        <f t="shared" si="42"/>
        <v>3646</v>
      </c>
      <c r="Y532" s="41" t="str">
        <f t="shared" si="43"/>
        <v>LEGENDS|81</v>
      </c>
      <c r="Z532" s="15">
        <f>IF($C532="","",IF($G532="","",RANK($G532,$G$4:$G$1463)+COUNTIF($G$4:$G532,$G532)-1))</f>
        <v>399</v>
      </c>
      <c r="AA532" s="15">
        <f>IF($C532="","",IF($N532="","",RANK($N532,$N$4:$N$1463)+COUNTIF($N$4:$N532,$N532)-1))</f>
        <v>601</v>
      </c>
      <c r="AB532" s="41" t="str">
        <f>IF($C532="","",IF($E532="","",$E532&amp;"#"&amp;(COUNTIFS($E$4:$E$1463,$E532,$X$4:$X$1463,"&gt;"&amp;$X532)+COUNTIFS($E$4:$E532,$E532,$X$4:$X532,"="&amp;$X532))))</f>
        <v>WARLOCK#170</v>
      </c>
      <c r="AC532" s="41" t="str">
        <f>IF($C532="","",$B532&amp;"@"&amp;(COUNTIFS($B$4:$B$1463,$B532,$C$4:$C$1463,"&lt;"&amp;$C532)+COUNTIFS($B$4:$B532,$B532,$C$4:$C532,$C532)))</f>
        <v>LEGENDS@52</v>
      </c>
      <c r="AD532" s="41">
        <f t="shared" si="44"/>
        <v>529</v>
      </c>
      <c r="AE532" s="41" t="s">
        <v>1472</v>
      </c>
      <c r="AF532" s="73">
        <f t="shared" si="45"/>
        <v>63056</v>
      </c>
      <c r="AG532" s="74">
        <f t="shared" si="46"/>
        <v>5.09</v>
      </c>
      <c r="AH532" s="41" t="str">
        <f>IF($C532="","",$B532&amp;"|"&amp;(COUNTIFS($B$4:$B$1463,$B532,$AF$4:$AF$1463,"&gt;"&amp;$AF532)+COUNTIFS($B$4:$B532,$B532,$AF$4:$AF532,"="&amp;$AF532)))</f>
        <v>LEGENDS|47</v>
      </c>
      <c r="AI532" s="41" t="str">
        <f>IF($C532="","",$B532&amp;"|"&amp;(COUNTIFS($B$4:$B$1463,$B532,$AG$4:$AG$1463,"&gt;"&amp;$AG532)+COUNTIFS($B$4:$B532,$B532,$AG$4:$AG532,"="&amp;$AG532)))</f>
        <v>LEGENDS|62</v>
      </c>
    </row>
    <row r="533" spans="1:35" hidden="1">
      <c r="A533" s="69" t="s">
        <v>109</v>
      </c>
      <c r="B533" s="69" t="s">
        <v>111</v>
      </c>
      <c r="C533" s="63" t="s">
        <v>1473</v>
      </c>
      <c r="D533" s="69" t="s">
        <v>527</v>
      </c>
      <c r="E533" s="68" t="s">
        <v>79</v>
      </c>
      <c r="F533" s="19" t="str">
        <f>IF($C533="","",IF($E533="","-",IFERROR(INDEX(SETUP!$B$55:$B$64,MATCH($E533,SETUP!$A$55:$A$64,0)),"Other")))</f>
        <v>Control</v>
      </c>
      <c r="G533" s="70">
        <v>63168</v>
      </c>
      <c r="H533" s="19" t="str">
        <f>IF($C533="","",IF($G533="","-",INDEX(SETUP!$B$26:$B$32,MATCH($G533,SETUP!$A$26:$A$32,1))))</f>
        <v>63,000 - 63,999</v>
      </c>
      <c r="I533" s="70">
        <v>4278</v>
      </c>
      <c r="J533" s="19" t="str">
        <f>IF($C533="","",IF($I533="","-",INDEX(SETUP!$B$16:$B$22,MATCH($I533,SETUP!$A$16:$A$22,1))))</f>
        <v>CORE</v>
      </c>
      <c r="K533" s="19" t="str">
        <f>IF($C533="","",IF($I533="","-",TEXT(INT($I533/1000)*1000,"#,##0")&amp;" - "&amp;TEXT(INT($I533/1000)*1000+999,"#,##0")))</f>
        <v>4,000 - 4,999</v>
      </c>
      <c r="L533" s="71">
        <v>5.0999999999999996</v>
      </c>
      <c r="M533" s="19" t="str">
        <f>IF($C533="","",IF($L533="","-",INDEX(SETUP!$B$36:$B$42,MATCH($L533,SETUP!$A$36:$A$42,1))))</f>
        <v>5k - 6k</v>
      </c>
      <c r="N533" s="21">
        <f>IF($C533="","",IF(OR($G533="",$I533=""),"",ROUND(100*(SETUP!$B$4*MIN(1,$I533/SETUP!$B$9)+SETUP!$B$5*MAX(0,MIN(1,($G533-SETUP!$B$10)/(SETUP!$B$11-SETUP!$B$10)))+SETUP!$B$6*MIN(1,IF($L533="",0,$L533)/SETUP!$B$12)),1)))</f>
        <v>48.7</v>
      </c>
      <c r="O533" s="19" t="str">
        <f>IF($C533="","",IF($N533="","-",INDEX(SETUP!$B$46:$B$51,MATCH($N533,SETUP!$A$46:$A$51,1))))</f>
        <v>B</v>
      </c>
      <c r="P533" s="19">
        <f>IF($C533="","",IF($I533="","",RANK($I533,$I$4:$I$1463)+COUNTIF($I$4:$I533,$I533)-1))</f>
        <v>538</v>
      </c>
      <c r="Q533" s="19">
        <f>IF($C533="","",COUNTIFS($B$4:$B$1463,$B533,$X$4:$X$1463,"&gt;"&amp;$X533)+COUNTIFS($B$4:$B533,$B533,$X$4:$X533,"="&amp;$X533))</f>
        <v>56</v>
      </c>
      <c r="R533" s="75">
        <f>IF($C533="","",IF($I533="","",ROUND(COUNTIF($I$4:$I$1463,"&lt;"&amp;$I533)/COUNT($I$4:$I$1463),3)))</f>
        <v>0.59299999999999997</v>
      </c>
      <c r="S533" s="19" t="str">
        <f>IF($C533="","",IF($G533="","Name only",IF(OR($I533="",$L533=""),"Partial","Complete")))</f>
        <v>Complete</v>
      </c>
      <c r="T533" s="1" t="str">
        <f>IF($C533="","",TRIM(IF(COUNTIF($C$4:$C$1463,$C533)&gt;1,"Dup name; ","")&amp;IF(AND($G533&lt;&gt;"",$G533&lt;55000),"Low CR - verify; ","")&amp;IF(AND($L533&lt;&gt;"",$L533&gt;15),"Secondary - verify; ","")&amp;IF($E533="","No class; ","")))</f>
        <v/>
      </c>
      <c r="U533" s="68"/>
      <c r="V533" s="68"/>
      <c r="W533" s="68"/>
      <c r="X533" s="76">
        <f t="shared" si="42"/>
        <v>4278</v>
      </c>
      <c r="Y533" s="1" t="str">
        <f t="shared" si="43"/>
        <v>RECKONING|56</v>
      </c>
      <c r="Z533" s="19">
        <f>IF($C533="","",IF($G533="","",RANK($G533,$G$4:$G$1463)+COUNTIF($G$4:$G533,$G533)-1))</f>
        <v>334</v>
      </c>
      <c r="AA533" s="19">
        <f>IF($C533="","",IF($N533="","",RANK($N533,$N$4:$N$1463)+COUNTIF($N$4:$N533,$N533)-1))</f>
        <v>494</v>
      </c>
      <c r="AB533" s="1" t="str">
        <f>IF($C533="","",IF($E533="","",$E533&amp;"#"&amp;(COUNTIFS($E$4:$E$1463,$E533,$X$4:$X$1463,"&gt;"&amp;$X533)+COUNTIFS($E$4:$E533,$E533,$X$4:$X533,"="&amp;$X533))))</f>
        <v>WARLOCK#124</v>
      </c>
      <c r="AC533" s="1" t="str">
        <f>IF($C533="","",$B533&amp;"@"&amp;(COUNTIFS($B$4:$B$1463,$B533,$C$4:$C$1463,"&lt;"&amp;$C533)+COUNTIFS($B$4:$B533,$B533,$C$4:$C533,$C533)))</f>
        <v>RECKONING@37</v>
      </c>
      <c r="AD533" s="1">
        <f t="shared" si="44"/>
        <v>530</v>
      </c>
      <c r="AE533" s="1" t="s">
        <v>743</v>
      </c>
      <c r="AF533" s="76">
        <f t="shared" si="45"/>
        <v>63168</v>
      </c>
      <c r="AG533" s="77">
        <f t="shared" si="46"/>
        <v>5.0999999999999996</v>
      </c>
      <c r="AH533" s="1" t="str">
        <f>IF($C533="","",$B533&amp;"|"&amp;(COUNTIFS($B$4:$B$1463,$B533,$AF$4:$AF$1463,"&gt;"&amp;$AF533)+COUNTIFS($B$4:$B533,$B533,$AF$4:$AF533,"="&amp;$AF533)))</f>
        <v>RECKONING|36</v>
      </c>
      <c r="AI533" s="1" t="str">
        <f>IF($C533="","",$B533&amp;"|"&amp;(COUNTIFS($B$4:$B$1463,$B533,$AG$4:$AG$1463,"&gt;"&amp;$AG533)+COUNTIFS($B$4:$B533,$B533,$AG$4:$AG533,"="&amp;$AG533)))</f>
        <v>RECKONING|60</v>
      </c>
    </row>
    <row r="534" spans="1:35" hidden="1">
      <c r="A534" s="69" t="s">
        <v>109</v>
      </c>
      <c r="B534" s="69" t="s">
        <v>117</v>
      </c>
      <c r="C534" s="63" t="s">
        <v>1474</v>
      </c>
      <c r="D534" s="69"/>
      <c r="E534" s="68" t="s">
        <v>75</v>
      </c>
      <c r="F534" s="15" t="str">
        <f>IF($C534="","",IF($E534="","-",IFERROR(INDEX(SETUP!$B$55:$B$64,MATCH($E534,SETUP!$A$55:$A$64,0)),"Other")))</f>
        <v>Support</v>
      </c>
      <c r="G534" s="70">
        <v>62525</v>
      </c>
      <c r="H534" s="15" t="str">
        <f>IF($C534="","",IF($G534="","-",INDEX(SETUP!$B$26:$B$32,MATCH($G534,SETUP!$A$26:$A$32,1))))</f>
        <v>62,000 - 62,999</v>
      </c>
      <c r="I534" s="70">
        <v>1411</v>
      </c>
      <c r="J534" s="15" t="str">
        <f>IF($C534="","",IF($I534="","-",INDEX(SETUP!$B$16:$B$22,MATCH($I534,SETUP!$A$16:$A$22,1))))</f>
        <v>ROOKIE</v>
      </c>
      <c r="K534" s="15" t="str">
        <f>IF($C534="","",IF($I534="","-",TEXT(INT($I534/1000)*1000,"#,##0")&amp;" - "&amp;TEXT(INT($I534/1000)*1000+999,"#,##0")))</f>
        <v>1,000 - 1,999</v>
      </c>
      <c r="L534" s="71">
        <v>3.9</v>
      </c>
      <c r="M534" s="15" t="str">
        <f>IF($C534="","",IF($L534="","-",INDEX(SETUP!$B$36:$B$42,MATCH($L534,SETUP!$A$36:$A$42,1))))</f>
        <v>3k - 4k</v>
      </c>
      <c r="N534" s="17">
        <f>IF($C534="","",IF(OR($G534="",$I534=""),"",ROUND(100*(SETUP!$B$4*MIN(1,$I534/SETUP!$B$9)+SETUP!$B$5*MAX(0,MIN(1,($G534-SETUP!$B$10)/(SETUP!$B$11-SETUP!$B$10)))+SETUP!$B$6*MIN(1,IF($L534="",0,$L534)/SETUP!$B$12)),1)))</f>
        <v>32.5</v>
      </c>
      <c r="O534" s="15" t="str">
        <f>IF($C534="","",IF($N534="","-",INDEX(SETUP!$B$46:$B$51,MATCH($N534,SETUP!$A$46:$A$51,1))))</f>
        <v>C</v>
      </c>
      <c r="P534" s="15">
        <f>IF($C534="","",IF($I534="","",RANK($I534,$I$4:$I$1463)+COUNTIF($I$4:$I534,$I534)-1))</f>
        <v>1210</v>
      </c>
      <c r="Q534" s="15">
        <f>IF($C534="","",COUNTIFS($B$4:$B$1463,$B534,$X$4:$X$1463,"&gt;"&amp;$X534)+COUNTIFS($B$4:$B534,$B534,$X$4:$X534,"="&amp;$X534))</f>
        <v>71</v>
      </c>
      <c r="R534" s="72">
        <f>IF($C534="","",IF($I534="","",ROUND(COUNTIF($I$4:$I$1463,"&lt;"&amp;$I534)/COUNT($I$4:$I$1463),3)))</f>
        <v>8.6999999999999994E-2</v>
      </c>
      <c r="S534" s="15" t="str">
        <f>IF($C534="","",IF($G534="","Name only",IF(OR($I534="",$L534=""),"Partial","Complete")))</f>
        <v>Complete</v>
      </c>
      <c r="T534" s="41" t="str">
        <f>IF($C534="","",TRIM(IF(COUNTIF($C$4:$C$1463,$C534)&gt;1,"Dup name; ","")&amp;IF(AND($G534&lt;&gt;"",$G534&lt;55000),"Low CR - verify; ","")&amp;IF(AND($L534&lt;&gt;"",$L534&gt;15),"Secondary - verify; ","")&amp;IF($E534="","No class; ","")))</f>
        <v/>
      </c>
      <c r="U534" s="68"/>
      <c r="V534" s="68"/>
      <c r="W534" s="68"/>
      <c r="X534" s="73">
        <f t="shared" si="42"/>
        <v>1411</v>
      </c>
      <c r="Y534" s="41" t="str">
        <f t="shared" si="43"/>
        <v>VENDETTA|71</v>
      </c>
      <c r="Z534" s="15">
        <f>IF($C534="","",IF($G534="","",RANK($G534,$G$4:$G$1463)+COUNTIF($G$4:$G534,$G534)-1))</f>
        <v>641</v>
      </c>
      <c r="AA534" s="15">
        <f>IF($C534="","",IF($N534="","",RANK($N534,$N$4:$N$1463)+COUNTIF($N$4:$N534,$N534)-1))</f>
        <v>1082</v>
      </c>
      <c r="AB534" s="41" t="str">
        <f>IF($C534="","",IF($E534="","",$E534&amp;"#"&amp;(COUNTIFS($E$4:$E$1463,$E534,$X$4:$X$1463,"&gt;"&amp;$X534)+COUNTIFS($E$4:$E534,$E534,$X$4:$X534,"="&amp;$X534))))</f>
        <v>DRUID#59</v>
      </c>
      <c r="AC534" s="41" t="str">
        <f>IF($C534="","",$B534&amp;"@"&amp;(COUNTIFS($B$4:$B$1463,$B534,$C$4:$C$1463,"&lt;"&amp;$C534)+COUNTIFS($B$4:$B534,$B534,$C$4:$C534,$C534)))</f>
        <v>VENDETTA@41</v>
      </c>
      <c r="AD534" s="41">
        <f t="shared" si="44"/>
        <v>531</v>
      </c>
      <c r="AE534" s="41" t="s">
        <v>1475</v>
      </c>
      <c r="AF534" s="73">
        <f t="shared" si="45"/>
        <v>62525</v>
      </c>
      <c r="AG534" s="74">
        <f t="shared" si="46"/>
        <v>3.9</v>
      </c>
      <c r="AH534" s="41" t="str">
        <f>IF($C534="","",$B534&amp;"|"&amp;(COUNTIFS($B$4:$B$1463,$B534,$AF$4:$AF$1463,"&gt;"&amp;$AF534)+COUNTIFS($B$4:$B534,$B534,$AF$4:$AF534,"="&amp;$AF534)))</f>
        <v>VENDETTA|17</v>
      </c>
      <c r="AI534" s="41" t="str">
        <f>IF($C534="","",$B534&amp;"|"&amp;(COUNTIFS($B$4:$B$1463,$B534,$AG$4:$AG$1463,"&gt;"&amp;$AG534)+COUNTIFS($B$4:$B534,$B534,$AG$4:$AG534,"="&amp;$AG534)))</f>
        <v>VENDETTA|43</v>
      </c>
    </row>
    <row r="535" spans="1:35" hidden="1">
      <c r="A535" s="69" t="s">
        <v>109</v>
      </c>
      <c r="B535" s="69" t="s">
        <v>116</v>
      </c>
      <c r="C535" s="63" t="s">
        <v>1476</v>
      </c>
      <c r="D535" s="69" t="s">
        <v>530</v>
      </c>
      <c r="E535" s="68" t="s">
        <v>73</v>
      </c>
      <c r="F535" s="19" t="str">
        <f>IF($C535="","",IF($E535="","-",IFERROR(INDEX(SETUP!$B$55:$B$64,MATCH($E535,SETUP!$A$55:$A$64,0)),"Other")))</f>
        <v>Frontline</v>
      </c>
      <c r="G535" s="70">
        <v>61599</v>
      </c>
      <c r="H535" s="19" t="str">
        <f>IF($C535="","",IF($G535="","-",INDEX(SETUP!$B$26:$B$32,MATCH($G535,SETUP!$A$26:$A$32,1))))</f>
        <v>61,000 - 61,999</v>
      </c>
      <c r="I535" s="70">
        <v>3566</v>
      </c>
      <c r="J535" s="19" t="str">
        <f>IF($C535="","",IF($I535="","-",INDEX(SETUP!$B$16:$B$22,MATCH($I535,SETUP!$A$16:$A$22,1))))</f>
        <v>DEVELOPING</v>
      </c>
      <c r="K535" s="19" t="str">
        <f>IF($C535="","",IF($I535="","-",TEXT(INT($I535/1000)*1000,"#,##0")&amp;" - "&amp;TEXT(INT($I535/1000)*1000+999,"#,##0")))</f>
        <v>3,000 - 3,999</v>
      </c>
      <c r="L535" s="71">
        <v>6</v>
      </c>
      <c r="M535" s="19" t="str">
        <f>IF($C535="","",IF($L535="","-",INDEX(SETUP!$B$36:$B$42,MATCH($L535,SETUP!$A$36:$A$42,1))))</f>
        <v>6k - 8k</v>
      </c>
      <c r="N535" s="21">
        <f>IF($C535="","",IF(OR($G535="",$I535=""),"",ROUND(100*(SETUP!$B$4*MIN(1,$I535/SETUP!$B$9)+SETUP!$B$5*MAX(0,MIN(1,($G535-SETUP!$B$10)/(SETUP!$B$11-SETUP!$B$10)))+SETUP!$B$6*MIN(1,IF($L535="",0,$L535)/SETUP!$B$12)),1)))</f>
        <v>42.9</v>
      </c>
      <c r="O535" s="19" t="str">
        <f>IF($C535="","",IF($N535="","-",INDEX(SETUP!$B$46:$B$51,MATCH($N535,SETUP!$A$46:$A$51,1))))</f>
        <v>B</v>
      </c>
      <c r="P535" s="19">
        <f>IF($C535="","",IF($I535="","",RANK($I535,$I$4:$I$1463)+COUNTIF($I$4:$I535,$I535)-1))</f>
        <v>709</v>
      </c>
      <c r="Q535" s="19">
        <f>IF($C535="","",COUNTIFS($B$4:$B$1463,$B535,$X$4:$X$1463,"&gt;"&amp;$X535)+COUNTIFS($B$4:$B535,$B535,$X$4:$X535,"="&amp;$X535))</f>
        <v>40</v>
      </c>
      <c r="R535" s="75">
        <f>IF($C535="","",IF($I535="","",ROUND(COUNTIF($I$4:$I$1463,"&lt;"&amp;$I535)/COUNT($I$4:$I$1463),3)))</f>
        <v>0.46500000000000002</v>
      </c>
      <c r="S535" s="19" t="str">
        <f>IF($C535="","",IF($G535="","Name only",IF(OR($I535="",$L535=""),"Partial","Complete")))</f>
        <v>Complete</v>
      </c>
      <c r="T535" s="1" t="str">
        <f>IF($C535="","",TRIM(IF(COUNTIF($C$4:$C$1463,$C535)&gt;1,"Dup name; ","")&amp;IF(AND($G535&lt;&gt;"",$G535&lt;55000),"Low CR - verify; ","")&amp;IF(AND($L535&lt;&gt;"",$L535&gt;15),"Secondary - verify; ","")&amp;IF($E535="","No class; ","")))</f>
        <v/>
      </c>
      <c r="U535" s="68"/>
      <c r="V535" s="68"/>
      <c r="W535" s="68"/>
      <c r="X535" s="76">
        <f t="shared" si="42"/>
        <v>3566</v>
      </c>
      <c r="Y535" s="1" t="str">
        <f t="shared" si="43"/>
        <v>VENGEANCE|40</v>
      </c>
      <c r="Z535" s="19">
        <f>IF($C535="","",IF($G535="","",RANK($G535,$G$4:$G$1463)+COUNTIF($G$4:$G535,$G535)-1))</f>
        <v>978</v>
      </c>
      <c r="AA535" s="19">
        <f>IF($C535="","",IF($N535="","",RANK($N535,$N$4:$N$1463)+COUNTIF($N$4:$N535,$N535)-1))</f>
        <v>708</v>
      </c>
      <c r="AB535" s="1" t="str">
        <f>IF($C535="","",IF($E535="","",$E535&amp;"#"&amp;(COUNTIFS($E$4:$E$1463,$E535,$X$4:$X$1463,"&gt;"&amp;$X535)+COUNTIFS($E$4:$E535,$E535,$X$4:$X535,"="&amp;$X535))))</f>
        <v>CRUSADER#80</v>
      </c>
      <c r="AC535" s="1" t="str">
        <f>IF($C535="","",$B535&amp;"@"&amp;(COUNTIFS($B$4:$B$1463,$B535,$C$4:$C$1463,"&lt;"&amp;$C535)+COUNTIFS($B$4:$B535,$B535,$C$4:$C535,$C535)))</f>
        <v>VENGEANCE@37</v>
      </c>
      <c r="AD535" s="1">
        <f t="shared" si="44"/>
        <v>532</v>
      </c>
      <c r="AE535" s="1" t="s">
        <v>1477</v>
      </c>
      <c r="AF535" s="76">
        <f t="shared" si="45"/>
        <v>61599</v>
      </c>
      <c r="AG535" s="77">
        <f t="shared" si="46"/>
        <v>6</v>
      </c>
      <c r="AH535" s="1" t="str">
        <f>IF($C535="","",$B535&amp;"|"&amp;(COUNTIFS($B$4:$B$1463,$B535,$AF$4:$AF$1463,"&gt;"&amp;$AF535)+COUNTIFS($B$4:$B535,$B535,$AF$4:$AF535,"="&amp;$AF535)))</f>
        <v>VENGEANCE|63</v>
      </c>
      <c r="AI535" s="1" t="str">
        <f>IF($C535="","",$B535&amp;"|"&amp;(COUNTIFS($B$4:$B$1463,$B535,$AG$4:$AG$1463,"&gt;"&amp;$AG535)+COUNTIFS($B$4:$B535,$B535,$AG$4:$AG535,"="&amp;$AG535)))</f>
        <v>VENGEANCE|12</v>
      </c>
    </row>
    <row r="536" spans="1:35" hidden="1">
      <c r="A536" s="69" t="s">
        <v>106</v>
      </c>
      <c r="B536" s="69" t="s">
        <v>86</v>
      </c>
      <c r="C536" s="63" t="s">
        <v>1478</v>
      </c>
      <c r="D536" s="69"/>
      <c r="E536" s="68" t="s">
        <v>79</v>
      </c>
      <c r="F536" s="15" t="str">
        <f>IF($C536="","",IF($E536="","-",IFERROR(INDEX(SETUP!$B$55:$B$64,MATCH($E536,SETUP!$A$55:$A$64,0)),"Other")))</f>
        <v>Control</v>
      </c>
      <c r="G536" s="70">
        <v>64349</v>
      </c>
      <c r="H536" s="15" t="str">
        <f>IF($C536="","",IF($G536="","-",INDEX(SETUP!$B$26:$B$32,MATCH($G536,SETUP!$A$26:$A$32,1))))</f>
        <v>64,000 +</v>
      </c>
      <c r="I536" s="70">
        <v>9889</v>
      </c>
      <c r="J536" s="15" t="str">
        <f>IF($C536="","",IF($I536="","-",INDEX(SETUP!$B$16:$B$22,MATCH($I536,SETUP!$A$16:$A$22,1))))</f>
        <v>ELITE</v>
      </c>
      <c r="K536" s="15" t="str">
        <f>IF($C536="","",IF($I536="","-",TEXT(INT($I536/1000)*1000,"#,##0")&amp;" - "&amp;TEXT(INT($I536/1000)*1000+999,"#,##0")))</f>
        <v>9,000 - 9,999</v>
      </c>
      <c r="L536" s="71">
        <v>6.62</v>
      </c>
      <c r="M536" s="15" t="str">
        <f>IF($C536="","",IF($L536="","-",INDEX(SETUP!$B$36:$B$42,MATCH($L536,SETUP!$A$36:$A$42,1))))</f>
        <v>6k - 8k</v>
      </c>
      <c r="N536" s="17">
        <f>IF($C536="","",IF(OR($G536="",$I536=""),"",ROUND(100*(SETUP!$B$4*MIN(1,$I536/SETUP!$B$9)+SETUP!$B$5*MAX(0,MIN(1,($G536-SETUP!$B$10)/(SETUP!$B$11-SETUP!$B$10)))+SETUP!$B$6*MIN(1,IF($L536="",0,$L536)/SETUP!$B$12)),1)))</f>
        <v>78.8</v>
      </c>
      <c r="O536" s="15" t="str">
        <f>IF($C536="","",IF($N536="","-",INDEX(SETUP!$B$46:$B$51,MATCH($N536,SETUP!$A$46:$A$51,1))))</f>
        <v>S</v>
      </c>
      <c r="P536" s="15">
        <f>IF($C536="","",IF($I536="","",RANK($I536,$I$4:$I$1463)+COUNTIF($I$4:$I536,$I536)-1))</f>
        <v>58</v>
      </c>
      <c r="Q536" s="15">
        <f>IF($C536="","",COUNTIFS($B$4:$B$1463,$B536,$X$4:$X$1463,"&gt;"&amp;$X536)+COUNTIFS($B$4:$B536,$B536,$X$4:$X536,"="&amp;$X536))</f>
        <v>12</v>
      </c>
      <c r="R536" s="72">
        <f>IF($C536="","",IF($I536="","",ROUND(COUNTIF($I$4:$I$1463,"&lt;"&amp;$I536)/COUNT($I$4:$I$1463),3)))</f>
        <v>0.95599999999999996</v>
      </c>
      <c r="S536" s="15" t="str">
        <f>IF($C536="","",IF($G536="","Name only",IF(OR($I536="",$L536=""),"Partial","Complete")))</f>
        <v>Complete</v>
      </c>
      <c r="T536" s="41" t="str">
        <f>IF($C536="","",TRIM(IF(COUNTIF($C$4:$C$1463,$C536)&gt;1,"Dup name; ","")&amp;IF(AND($G536&lt;&gt;"",$G536&lt;55000),"Low CR - verify; ","")&amp;IF(AND($L536&lt;&gt;"",$L536&gt;15),"Secondary - verify; ","")&amp;IF($E536="","No class; ","")))</f>
        <v/>
      </c>
      <c r="U536" s="68"/>
      <c r="V536" s="68"/>
      <c r="W536" s="68"/>
      <c r="X536" s="73">
        <f t="shared" si="42"/>
        <v>9889</v>
      </c>
      <c r="Y536" s="41" t="str">
        <f t="shared" si="43"/>
        <v>VANGUARD|12</v>
      </c>
      <c r="Z536" s="15">
        <f>IF($C536="","",IF($G536="","",RANK($G536,$G$4:$G$1463)+COUNTIF($G$4:$G536,$G536)-1))</f>
        <v>15</v>
      </c>
      <c r="AA536" s="15">
        <f>IF($C536="","",IF($N536="","",RANK($N536,$N$4:$N$1463)+COUNTIF($N$4:$N536,$N536)-1))</f>
        <v>61</v>
      </c>
      <c r="AB536" s="41" t="str">
        <f>IF($C536="","",IF($E536="","",$E536&amp;"#"&amp;(COUNTIFS($E$4:$E$1463,$E536,$X$4:$X$1463,"&gt;"&amp;$X536)+COUNTIFS($E$4:$E536,$E536,$X$4:$X536,"="&amp;$X536))))</f>
        <v>WARLOCK#12</v>
      </c>
      <c r="AC536" s="41" t="str">
        <f>IF($C536="","",$B536&amp;"@"&amp;(COUNTIFS($B$4:$B$1463,$B536,$C$4:$C$1463,"&lt;"&amp;$C536)+COUNTIFS($B$4:$B536,$B536,$C$4:$C536,$C536)))</f>
        <v>VANGUARD@48</v>
      </c>
      <c r="AD536" s="41">
        <f t="shared" si="44"/>
        <v>533</v>
      </c>
      <c r="AE536" s="41" t="s">
        <v>1479</v>
      </c>
      <c r="AF536" s="73">
        <f t="shared" si="45"/>
        <v>64349</v>
      </c>
      <c r="AG536" s="74">
        <f t="shared" si="46"/>
        <v>6.62</v>
      </c>
      <c r="AH536" s="41" t="str">
        <f>IF($C536="","",$B536&amp;"|"&amp;(COUNTIFS($B$4:$B$1463,$B536,$AF$4:$AF$1463,"&gt;"&amp;$AF536)+COUNTIFS($B$4:$B536,$B536,$AF$4:$AF536,"="&amp;$AF536)))</f>
        <v>VANGUARD|3</v>
      </c>
      <c r="AI536" s="41" t="str">
        <f>IF($C536="","",$B536&amp;"|"&amp;(COUNTIFS($B$4:$B$1463,$B536,$AG$4:$AG$1463,"&gt;"&amp;$AG536)+COUNTIFS($B$4:$B536,$B536,$AG$4:$AG536,"="&amp;$AG536)))</f>
        <v>VANGUARD|26</v>
      </c>
    </row>
    <row r="537" spans="1:35" hidden="1">
      <c r="A537" s="69" t="s">
        <v>106</v>
      </c>
      <c r="B537" s="69" t="s">
        <v>105</v>
      </c>
      <c r="C537" s="63" t="s">
        <v>1480</v>
      </c>
      <c r="D537" s="69"/>
      <c r="E537" s="68" t="s">
        <v>79</v>
      </c>
      <c r="F537" s="19" t="str">
        <f>IF($C537="","",IF($E537="","-",IFERROR(INDEX(SETUP!$B$55:$B$64,MATCH($E537,SETUP!$A$55:$A$64,0)),"Other")))</f>
        <v>Control</v>
      </c>
      <c r="G537" s="70">
        <v>62062</v>
      </c>
      <c r="H537" s="19" t="str">
        <f>IF($C537="","",IF($G537="","-",INDEX(SETUP!$B$26:$B$32,MATCH($G537,SETUP!$A$26:$A$32,1))))</f>
        <v>62,000 - 62,999</v>
      </c>
      <c r="I537" s="70">
        <v>3150</v>
      </c>
      <c r="J537" s="19" t="str">
        <f>IF($C537="","",IF($I537="","-",INDEX(SETUP!$B$16:$B$22,MATCH($I537,SETUP!$A$16:$A$22,1))))</f>
        <v>DEVELOPING</v>
      </c>
      <c r="K537" s="19" t="str">
        <f>IF($C537="","",IF($I537="","-",TEXT(INT($I537/1000)*1000,"#,##0")&amp;" - "&amp;TEXT(INT($I537/1000)*1000+999,"#,##0")))</f>
        <v>3,000 - 3,999</v>
      </c>
      <c r="L537" s="71">
        <v>4.96</v>
      </c>
      <c r="M537" s="19" t="str">
        <f>IF($C537="","",IF($L537="","-",INDEX(SETUP!$B$36:$B$42,MATCH($L537,SETUP!$A$36:$A$42,1))))</f>
        <v>4k - 5k</v>
      </c>
      <c r="N537" s="21">
        <f>IF($C537="","",IF(OR($G537="",$I537=""),"",ROUND(100*(SETUP!$B$4*MIN(1,$I537/SETUP!$B$9)+SETUP!$B$5*MAX(0,MIN(1,($G537-SETUP!$B$10)/(SETUP!$B$11-SETUP!$B$10)))+SETUP!$B$6*MIN(1,IF($L537="",0,$L537)/SETUP!$B$12)),1)))</f>
        <v>40.6</v>
      </c>
      <c r="O537" s="19" t="str">
        <f>IF($C537="","",IF($N537="","-",INDEX(SETUP!$B$46:$B$51,MATCH($N537,SETUP!$A$46:$A$51,1))))</f>
        <v>B</v>
      </c>
      <c r="P537" s="19">
        <f>IF($C537="","",IF($I537="","",RANK($I537,$I$4:$I$1463)+COUNTIF($I$4:$I537,$I537)-1))</f>
        <v>837</v>
      </c>
      <c r="Q537" s="19">
        <f>IF($C537="","",COUNTIFS($B$4:$B$1463,$B537,$X$4:$X$1463,"&gt;"&amp;$X537)+COUNTIFS($B$4:$B537,$B537,$X$4:$X537,"="&amp;$X537))</f>
        <v>92</v>
      </c>
      <c r="R537" s="75">
        <f>IF($C537="","",IF($I537="","",ROUND(COUNTIF($I$4:$I$1463,"&lt;"&amp;$I537)/COUNT($I$4:$I$1463),3)))</f>
        <v>0.36799999999999999</v>
      </c>
      <c r="S537" s="19" t="str">
        <f>IF($C537="","",IF($G537="","Name only",IF(OR($I537="",$L537=""),"Partial","Complete")))</f>
        <v>Complete</v>
      </c>
      <c r="T537" s="1" t="str">
        <f>IF($C537="","",TRIM(IF(COUNTIF($C$4:$C$1463,$C537)&gt;1,"Dup name; ","")&amp;IF(AND($G537&lt;&gt;"",$G537&lt;55000),"Low CR - verify; ","")&amp;IF(AND($L537&lt;&gt;"",$L537&gt;15),"Secondary - verify; ","")&amp;IF($E537="","No class; ","")))</f>
        <v/>
      </c>
      <c r="U537" s="68"/>
      <c r="V537" s="68"/>
      <c r="W537" s="68"/>
      <c r="X537" s="76">
        <f t="shared" si="42"/>
        <v>3150</v>
      </c>
      <c r="Y537" s="1" t="str">
        <f t="shared" si="43"/>
        <v>LEGENDS|92</v>
      </c>
      <c r="Z537" s="19">
        <f>IF($C537="","",IF($G537="","",RANK($G537,$G$4:$G$1463)+COUNTIF($G$4:$G537,$G537)-1))</f>
        <v>811</v>
      </c>
      <c r="AA537" s="19">
        <f>IF($C537="","",IF($N537="","",RANK($N537,$N$4:$N$1463)+COUNTIF($N$4:$N537,$N537)-1))</f>
        <v>796</v>
      </c>
      <c r="AB537" s="1" t="str">
        <f>IF($C537="","",IF($E537="","",$E537&amp;"#"&amp;(COUNTIFS($E$4:$E$1463,$E537,$X$4:$X$1463,"&gt;"&amp;$X537)+COUNTIFS($E$4:$E537,$E537,$X$4:$X537,"="&amp;$X537))))</f>
        <v>WARLOCK#206</v>
      </c>
      <c r="AC537" s="1" t="str">
        <f>IF($C537="","",$B537&amp;"@"&amp;(COUNTIFS($B$4:$B$1463,$B537,$C$4:$C$1463,"&lt;"&amp;$C537)+COUNTIFS($B$4:$B537,$B537,$C$4:$C537,$C537)))</f>
        <v>LEGENDS@53</v>
      </c>
      <c r="AD537" s="1">
        <f t="shared" si="44"/>
        <v>534</v>
      </c>
      <c r="AE537" s="1" t="s">
        <v>1481</v>
      </c>
      <c r="AF537" s="76">
        <f t="shared" si="45"/>
        <v>62062</v>
      </c>
      <c r="AG537" s="77">
        <f t="shared" si="46"/>
        <v>4.96</v>
      </c>
      <c r="AH537" s="1" t="str">
        <f>IF($C537="","",$B537&amp;"|"&amp;(COUNTIFS($B$4:$B$1463,$B537,$AF$4:$AF$1463,"&gt;"&amp;$AF537)+COUNTIFS($B$4:$B537,$B537,$AF$4:$AF537,"="&amp;$AF537)))</f>
        <v>LEGENDS|79</v>
      </c>
      <c r="AI537" s="1" t="str">
        <f>IF($C537="","",$B537&amp;"|"&amp;(COUNTIFS($B$4:$B$1463,$B537,$AG$4:$AG$1463,"&gt;"&amp;$AG537)+COUNTIFS($B$4:$B537,$B537,$AG$4:$AG537,"="&amp;$AG537)))</f>
        <v>LEGENDS|66</v>
      </c>
    </row>
    <row r="538" spans="1:35" hidden="1">
      <c r="A538" s="69" t="s">
        <v>109</v>
      </c>
      <c r="B538" s="69" t="s">
        <v>115</v>
      </c>
      <c r="C538" s="63" t="s">
        <v>1482</v>
      </c>
      <c r="D538" s="69"/>
      <c r="E538" s="68" t="s">
        <v>71</v>
      </c>
      <c r="F538" s="15" t="str">
        <f>IF($C538="","",IF($E538="","-",IFERROR(INDEX(SETUP!$B$55:$B$64,MATCH($E538,SETUP!$A$55:$A$64,0)),"Other")))</f>
        <v>Frontline</v>
      </c>
      <c r="G538" s="70">
        <v>61765</v>
      </c>
      <c r="H538" s="15" t="str">
        <f>IF($C538="","",IF($G538="","-",INDEX(SETUP!$B$26:$B$32,MATCH($G538,SETUP!$A$26:$A$32,1))))</f>
        <v>61,000 - 61,999</v>
      </c>
      <c r="I538" s="70">
        <v>7163</v>
      </c>
      <c r="J538" s="15" t="str">
        <f>IF($C538="","",IF($I538="","-",INDEX(SETUP!$B$16:$B$22,MATCH($I538,SETUP!$A$16:$A$22,1))))</f>
        <v>VETERAN</v>
      </c>
      <c r="K538" s="15" t="str">
        <f>IF($C538="","",IF($I538="","-",TEXT(INT($I538/1000)*1000,"#,##0")&amp;" - "&amp;TEXT(INT($I538/1000)*1000+999,"#,##0")))</f>
        <v>7,000 - 7,999</v>
      </c>
      <c r="L538" s="71">
        <v>5.5</v>
      </c>
      <c r="M538" s="15" t="str">
        <f>IF($C538="","",IF($L538="","-",INDEX(SETUP!$B$36:$B$42,MATCH($L538,SETUP!$A$36:$A$42,1))))</f>
        <v>5k - 6k</v>
      </c>
      <c r="N538" s="17">
        <f>IF($C538="","",IF(OR($G538="",$I538=""),"",ROUND(100*(SETUP!$B$4*MIN(1,$I538/SETUP!$B$9)+SETUP!$B$5*MAX(0,MIN(1,($G538-SETUP!$B$10)/(SETUP!$B$11-SETUP!$B$10)))+SETUP!$B$6*MIN(1,IF($L538="",0,$L538)/SETUP!$B$12)),1)))</f>
        <v>58.2</v>
      </c>
      <c r="O538" s="15" t="str">
        <f>IF($C538="","",IF($N538="","-",INDEX(SETUP!$B$46:$B$51,MATCH($N538,SETUP!$A$46:$A$51,1))))</f>
        <v>A</v>
      </c>
      <c r="P538" s="15">
        <f>IF($C538="","",IF($I538="","",RANK($I538,$I$4:$I$1463)+COUNTIF($I$4:$I538,$I538)-1))</f>
        <v>209</v>
      </c>
      <c r="Q538" s="15">
        <f>IF($C538="","",COUNTIFS($B$4:$B$1463,$B538,$X$4:$X$1463,"&gt;"&amp;$X538)+COUNTIFS($B$4:$B538,$B538,$X$4:$X538,"="&amp;$X538))</f>
        <v>5</v>
      </c>
      <c r="R538" s="72">
        <f>IF($C538="","",IF($I538="","",ROUND(COUNTIF($I$4:$I$1463,"&lt;"&amp;$I538)/COUNT($I$4:$I$1463),3)))</f>
        <v>0.84199999999999997</v>
      </c>
      <c r="S538" s="15" t="str">
        <f>IF($C538="","",IF($G538="","Name only",IF(OR($I538="",$L538=""),"Partial","Complete")))</f>
        <v>Complete</v>
      </c>
      <c r="T538" s="41" t="str">
        <f>IF($C538="","",TRIM(IF(COUNTIF($C$4:$C$1463,$C538)&gt;1,"Dup name; ","")&amp;IF(AND($G538&lt;&gt;"",$G538&lt;55000),"Low CR - verify; ","")&amp;IF(AND($L538&lt;&gt;"",$L538&gt;15),"Secondary - verify; ","")&amp;IF($E538="","No class; ","")))</f>
        <v/>
      </c>
      <c r="U538" s="68"/>
      <c r="V538" s="68"/>
      <c r="W538" s="68"/>
      <c r="X538" s="73">
        <f t="shared" si="42"/>
        <v>7163</v>
      </c>
      <c r="Y538" s="41" t="str">
        <f t="shared" si="43"/>
        <v>SUB ROSA|5</v>
      </c>
      <c r="Z538" s="15">
        <f>IF($C538="","",IF($G538="","",RANK($G538,$G$4:$G$1463)+COUNTIF($G$4:$G538,$G538)-1))</f>
        <v>919</v>
      </c>
      <c r="AA538" s="15">
        <f>IF($C538="","",IF($N538="","",RANK($N538,$N$4:$N$1463)+COUNTIF($N$4:$N538,$N538)-1))</f>
        <v>260</v>
      </c>
      <c r="AB538" s="41" t="str">
        <f>IF($C538="","",IF($E538="","",$E538&amp;"#"&amp;(COUNTIFS($E$4:$E$1463,$E538,$X$4:$X$1463,"&gt;"&amp;$X538)+COUNTIFS($E$4:$E538,$E538,$X$4:$X538,"="&amp;$X538))))</f>
        <v>BARBARIAN#45</v>
      </c>
      <c r="AC538" s="41" t="str">
        <f>IF($C538="","",$B538&amp;"@"&amp;(COUNTIFS($B$4:$B$1463,$B538,$C$4:$C$1463,"&lt;"&amp;$C538)+COUNTIFS($B$4:$B538,$B538,$C$4:$C538,$C538)))</f>
        <v>SUB ROSA@35</v>
      </c>
      <c r="AD538" s="41">
        <f t="shared" si="44"/>
        <v>535</v>
      </c>
      <c r="AE538" s="41" t="s">
        <v>602</v>
      </c>
      <c r="AF538" s="73">
        <f t="shared" si="45"/>
        <v>61765</v>
      </c>
      <c r="AG538" s="74">
        <f t="shared" si="46"/>
        <v>5.5</v>
      </c>
      <c r="AH538" s="41" t="str">
        <f>IF($C538="","",$B538&amp;"|"&amp;(COUNTIFS($B$4:$B$1463,$B538,$AF$4:$AF$1463,"&gt;"&amp;$AF538)+COUNTIFS($B$4:$B538,$B538,$AF$4:$AF538,"="&amp;$AF538)))</f>
        <v>SUB ROSA|38</v>
      </c>
      <c r="AI538" s="41" t="str">
        <f>IF($C538="","",$B538&amp;"|"&amp;(COUNTIFS($B$4:$B$1463,$B538,$AG$4:$AG$1463,"&gt;"&amp;$AG538)+COUNTIFS($B$4:$B538,$B538,$AG$4:$AG538,"="&amp;$AG538)))</f>
        <v>SUB ROSA|7</v>
      </c>
    </row>
    <row r="539" spans="1:35" hidden="1">
      <c r="A539" s="69" t="s">
        <v>109</v>
      </c>
      <c r="B539" s="69" t="s">
        <v>110</v>
      </c>
      <c r="C539" s="63" t="s">
        <v>1483</v>
      </c>
      <c r="D539" s="69"/>
      <c r="E539" s="68" t="s">
        <v>80</v>
      </c>
      <c r="F539" s="19" t="str">
        <f>IF($C539="","",IF($E539="","-",IFERROR(INDEX(SETUP!$B$55:$B$64,MATCH($E539,SETUP!$A$55:$A$64,0)),"Other")))</f>
        <v>Ranged DPS</v>
      </c>
      <c r="G539" s="70">
        <v>62522</v>
      </c>
      <c r="H539" s="19" t="str">
        <f>IF($C539="","",IF($G539="","-",INDEX(SETUP!$B$26:$B$32,MATCH($G539,SETUP!$A$26:$A$32,1))))</f>
        <v>62,000 - 62,999</v>
      </c>
      <c r="I539" s="70">
        <v>3716</v>
      </c>
      <c r="J539" s="19" t="str">
        <f>IF($C539="","",IF($I539="","-",INDEX(SETUP!$B$16:$B$22,MATCH($I539,SETUP!$A$16:$A$22,1))))</f>
        <v>DEVELOPING</v>
      </c>
      <c r="K539" s="19" t="str">
        <f>IF($C539="","",IF($I539="","-",TEXT(INT($I539/1000)*1000,"#,##0")&amp;" - "&amp;TEXT(INT($I539/1000)*1000+999,"#,##0")))</f>
        <v>3,000 - 3,999</v>
      </c>
      <c r="L539" s="71">
        <v>6.2</v>
      </c>
      <c r="M539" s="19" t="str">
        <f>IF($C539="","",IF($L539="","-",INDEX(SETUP!$B$36:$B$42,MATCH($L539,SETUP!$A$36:$A$42,1))))</f>
        <v>6k - 8k</v>
      </c>
      <c r="N539" s="21">
        <f>IF($C539="","",IF(OR($G539="",$I539=""),"",ROUND(100*(SETUP!$B$4*MIN(1,$I539/SETUP!$B$9)+SETUP!$B$5*MAX(0,MIN(1,($G539-SETUP!$B$10)/(SETUP!$B$11-SETUP!$B$10)))+SETUP!$B$6*MIN(1,IF($L539="",0,$L539)/SETUP!$B$12)),1)))</f>
        <v>46.3</v>
      </c>
      <c r="O539" s="19" t="str">
        <f>IF($C539="","",IF($N539="","-",INDEX(SETUP!$B$46:$B$51,MATCH($N539,SETUP!$A$46:$A$51,1))))</f>
        <v>B</v>
      </c>
      <c r="P539" s="19">
        <f>IF($C539="","",IF($I539="","",RANK($I539,$I$4:$I$1463)+COUNTIF($I$4:$I539,$I539)-1))</f>
        <v>675</v>
      </c>
      <c r="Q539" s="19">
        <f>IF($C539="","",COUNTIFS($B$4:$B$1463,$B539,$X$4:$X$1463,"&gt;"&amp;$X539)+COUNTIFS($B$4:$B539,$B539,$X$4:$X539,"="&amp;$X539))</f>
        <v>68</v>
      </c>
      <c r="R539" s="75">
        <f>IF($C539="","",IF($I539="","",ROUND(COUNTIF($I$4:$I$1463,"&lt;"&amp;$I539)/COUNT($I$4:$I$1463),3)))</f>
        <v>0.49099999999999999</v>
      </c>
      <c r="S539" s="19" t="str">
        <f>IF($C539="","",IF($G539="","Name only",IF(OR($I539="",$L539=""),"Partial","Complete")))</f>
        <v>Complete</v>
      </c>
      <c r="T539" s="1" t="str">
        <f>IF($C539="","",TRIM(IF(COUNTIF($C$4:$C$1463,$C539)&gt;1,"Dup name; ","")&amp;IF(AND($G539&lt;&gt;"",$G539&lt;55000),"Low CR - verify; ","")&amp;IF(AND($L539&lt;&gt;"",$L539&gt;15),"Secondary - verify; ","")&amp;IF($E539="","No class; ","")))</f>
        <v/>
      </c>
      <c r="U539" s="68"/>
      <c r="V539" s="68"/>
      <c r="W539" s="68"/>
      <c r="X539" s="76">
        <f t="shared" si="42"/>
        <v>3716</v>
      </c>
      <c r="Y539" s="1" t="str">
        <f t="shared" si="43"/>
        <v>AZUKI|68</v>
      </c>
      <c r="Z539" s="19">
        <f>IF($C539="","",IF($G539="","",RANK($G539,$G$4:$G$1463)+COUNTIF($G$4:$G539,$G539)-1))</f>
        <v>643</v>
      </c>
      <c r="AA539" s="19">
        <f>IF($C539="","",IF($N539="","",RANK($N539,$N$4:$N$1463)+COUNTIF($N$4:$N539,$N539)-1))</f>
        <v>577</v>
      </c>
      <c r="AB539" s="1" t="str">
        <f>IF($C539="","",IF($E539="","",$E539&amp;"#"&amp;(COUNTIFS($E$4:$E$1463,$E539,$X$4:$X$1463,"&gt;"&amp;$X539)+COUNTIFS($E$4:$E539,$E539,$X$4:$X539,"="&amp;$X539))))</f>
        <v>WIZARD#47</v>
      </c>
      <c r="AC539" s="1" t="str">
        <f>IF($C539="","",$B539&amp;"@"&amp;(COUNTIFS($B$4:$B$1463,$B539,$C$4:$C$1463,"&lt;"&amp;$C539)+COUNTIFS($B$4:$B539,$B539,$C$4:$C539,$C539)))</f>
        <v>AZUKI@49</v>
      </c>
      <c r="AD539" s="1">
        <f t="shared" si="44"/>
        <v>536</v>
      </c>
      <c r="AE539" s="1" t="s">
        <v>1484</v>
      </c>
      <c r="AF539" s="76">
        <f t="shared" si="45"/>
        <v>62522</v>
      </c>
      <c r="AG539" s="77">
        <f t="shared" si="46"/>
        <v>6.2</v>
      </c>
      <c r="AH539" s="1" t="str">
        <f>IF($C539="","",$B539&amp;"|"&amp;(COUNTIFS($B$4:$B$1463,$B539,$AF$4:$AF$1463,"&gt;"&amp;$AF539)+COUNTIFS($B$4:$B539,$B539,$AF$4:$AF539,"="&amp;$AF539)))</f>
        <v>AZUKI|56</v>
      </c>
      <c r="AI539" s="1" t="str">
        <f>IF($C539="","",$B539&amp;"|"&amp;(COUNTIFS($B$4:$B$1463,$B539,$AG$4:$AG$1463,"&gt;"&amp;$AG539)+COUNTIFS($B$4:$B539,$B539,$AG$4:$AG539,"="&amp;$AG539)))</f>
        <v>AZUKI|39</v>
      </c>
    </row>
    <row r="540" spans="1:35" hidden="1">
      <c r="A540" s="69" t="s">
        <v>109</v>
      </c>
      <c r="B540" s="69" t="s">
        <v>112</v>
      </c>
      <c r="C540" s="63" t="s">
        <v>1485</v>
      </c>
      <c r="D540" s="69" t="s">
        <v>567</v>
      </c>
      <c r="E540" s="68" t="s">
        <v>74</v>
      </c>
      <c r="F540" s="15" t="str">
        <f>IF($C540="","",IF($E540="","-",IFERROR(INDEX(SETUP!$B$55:$B$64,MATCH($E540,SETUP!$A$55:$A$64,0)),"Other")))</f>
        <v>Ranged DPS</v>
      </c>
      <c r="G540" s="70">
        <v>60681</v>
      </c>
      <c r="H540" s="15" t="str">
        <f>IF($C540="","",IF($G540="","-",INDEX(SETUP!$B$26:$B$32,MATCH($G540,SETUP!$A$26:$A$32,1))))</f>
        <v>60,000 - 60,999</v>
      </c>
      <c r="I540" s="70">
        <v>2019</v>
      </c>
      <c r="J540" s="15" t="str">
        <f>IF($C540="","",IF($I540="","-",INDEX(SETUP!$B$16:$B$22,MATCH($I540,SETUP!$A$16:$A$22,1))))</f>
        <v>DEVELOPING</v>
      </c>
      <c r="K540" s="15" t="str">
        <f>IF($C540="","",IF($I540="","-",TEXT(INT($I540/1000)*1000,"#,##0")&amp;" - "&amp;TEXT(INT($I540/1000)*1000+999,"#,##0")))</f>
        <v>2,000 - 2,999</v>
      </c>
      <c r="L540" s="71">
        <v>3.95</v>
      </c>
      <c r="M540" s="15" t="str">
        <f>IF($C540="","",IF($L540="","-",INDEX(SETUP!$B$36:$B$42,MATCH($L540,SETUP!$A$36:$A$42,1))))</f>
        <v>3k - 4k</v>
      </c>
      <c r="N540" s="17">
        <f>IF($C540="","",IF(OR($G540="",$I540=""),"",ROUND(100*(SETUP!$B$4*MIN(1,$I540/SETUP!$B$9)+SETUP!$B$5*MAX(0,MIN(1,($G540-SETUP!$B$10)/(SETUP!$B$11-SETUP!$B$10)))+SETUP!$B$6*MIN(1,IF($L540="",0,$L540)/SETUP!$B$12)),1)))</f>
        <v>30.3</v>
      </c>
      <c r="O540" s="15" t="str">
        <f>IF($C540="","",IF($N540="","-",INDEX(SETUP!$B$46:$B$51,MATCH($N540,SETUP!$A$46:$A$51,1))))</f>
        <v>C</v>
      </c>
      <c r="P540" s="15">
        <f>IF($C540="","",IF($I540="","",RANK($I540,$I$4:$I$1463)+COUNTIF($I$4:$I540,$I540)-1))</f>
        <v>1112</v>
      </c>
      <c r="Q540" s="15">
        <f>IF($C540="","",COUNTIFS($B$4:$B$1463,$B540,$X$4:$X$1463,"&gt;"&amp;$X540)+COUNTIFS($B$4:$B540,$B540,$X$4:$X540,"="&amp;$X540))</f>
        <v>86</v>
      </c>
      <c r="R540" s="72">
        <f>IF($C540="","",IF($I540="","",ROUND(COUNTIF($I$4:$I$1463,"&lt;"&amp;$I540)/COUNT($I$4:$I$1463),3)))</f>
        <v>0.161</v>
      </c>
      <c r="S540" s="15" t="str">
        <f>IF($C540="","",IF($G540="","Name only",IF(OR($I540="",$L540=""),"Partial","Complete")))</f>
        <v>Complete</v>
      </c>
      <c r="T540" s="41" t="str">
        <f>IF($C540="","",TRIM(IF(COUNTIF($C$4:$C$1463,$C540)&gt;1,"Dup name; ","")&amp;IF(AND($G540&lt;&gt;"",$G540&lt;55000),"Low CR - verify; ","")&amp;IF(AND($L540&lt;&gt;"",$L540&gt;15),"Secondary - verify; ","")&amp;IF($E540="","No class; ","")))</f>
        <v/>
      </c>
      <c r="U540" s="68"/>
      <c r="V540" s="68"/>
      <c r="W540" s="68"/>
      <c r="X540" s="73">
        <f t="shared" si="42"/>
        <v>2019</v>
      </c>
      <c r="Y540" s="41" t="str">
        <f t="shared" si="43"/>
        <v>ACHERON|86</v>
      </c>
      <c r="Z540" s="15">
        <f>IF($C540="","",IF($G540="","",RANK($G540,$G$4:$G$1463)+COUNTIF($G$4:$G540,$G540)-1))</f>
        <v>1185</v>
      </c>
      <c r="AA540" s="15">
        <f>IF($C540="","",IF($N540="","",RANK($N540,$N$4:$N$1463)+COUNTIF($N$4:$N540,$N540)-1))</f>
        <v>1143</v>
      </c>
      <c r="AB540" s="41" t="str">
        <f>IF($C540="","",IF($E540="","",$E540&amp;"#"&amp;(COUNTIFS($E$4:$E$1463,$E540,$X$4:$X$1463,"&gt;"&amp;$X540)+COUNTIFS($E$4:$E540,$E540,$X$4:$X540,"="&amp;$X540))))</f>
        <v>DEMON HUNTER#171</v>
      </c>
      <c r="AC540" s="41" t="str">
        <f>IF($C540="","",$B540&amp;"@"&amp;(COUNTIFS($B$4:$B$1463,$B540,$C$4:$C$1463,"&lt;"&amp;$C540)+COUNTIFS($B$4:$B540,$B540,$C$4:$C540,$C540)))</f>
        <v>ACHERON@31</v>
      </c>
      <c r="AD540" s="41">
        <f t="shared" si="44"/>
        <v>537</v>
      </c>
      <c r="AE540" s="41" t="s">
        <v>1486</v>
      </c>
      <c r="AF540" s="73">
        <f t="shared" si="45"/>
        <v>60681</v>
      </c>
      <c r="AG540" s="74">
        <f t="shared" si="46"/>
        <v>3.95</v>
      </c>
      <c r="AH540" s="41" t="str">
        <f>IF($C540="","",$B540&amp;"|"&amp;(COUNTIFS($B$4:$B$1463,$B540,$AF$4:$AF$1463,"&gt;"&amp;$AF540)+COUNTIFS($B$4:$B540,$B540,$AF$4:$AF540,"="&amp;$AF540)))</f>
        <v>ACHERON|90</v>
      </c>
      <c r="AI540" s="41" t="str">
        <f>IF($C540="","",$B540&amp;"|"&amp;(COUNTIFS($B$4:$B$1463,$B540,$AG$4:$AG$1463,"&gt;"&amp;$AG540)+COUNTIFS($B$4:$B540,$B540,$AG$4:$AG540,"="&amp;$AG540)))</f>
        <v>ACHERON|78</v>
      </c>
    </row>
    <row r="541" spans="1:35" hidden="1">
      <c r="A541" s="69" t="s">
        <v>109</v>
      </c>
      <c r="B541" s="69" t="s">
        <v>114</v>
      </c>
      <c r="C541" s="63" t="s">
        <v>1487</v>
      </c>
      <c r="D541" s="69"/>
      <c r="E541" s="68" t="s">
        <v>77</v>
      </c>
      <c r="F541" s="19" t="str">
        <f>IF($C541="","",IF($E541="","-",IFERROR(INDEX(SETUP!$B$55:$B$64,MATCH($E541,SETUP!$A$55:$A$64,0)),"Other")))</f>
        <v>Control</v>
      </c>
      <c r="G541" s="70">
        <v>61184</v>
      </c>
      <c r="H541" s="19" t="str">
        <f>IF($C541="","",IF($G541="","-",INDEX(SETUP!$B$26:$B$32,MATCH($G541,SETUP!$A$26:$A$32,1))))</f>
        <v>61,000 - 61,999</v>
      </c>
      <c r="I541" s="70">
        <v>3295</v>
      </c>
      <c r="J541" s="19" t="str">
        <f>IF($C541="","",IF($I541="","-",INDEX(SETUP!$B$16:$B$22,MATCH($I541,SETUP!$A$16:$A$22,1))))</f>
        <v>DEVELOPING</v>
      </c>
      <c r="K541" s="19" t="str">
        <f>IF($C541="","",IF($I541="","-",TEXT(INT($I541/1000)*1000,"#,##0")&amp;" - "&amp;TEXT(INT($I541/1000)*1000+999,"#,##0")))</f>
        <v>3,000 - 3,999</v>
      </c>
      <c r="L541" s="71">
        <v>2.8</v>
      </c>
      <c r="M541" s="19" t="str">
        <f>IF($C541="","",IF($L541="","-",INDEX(SETUP!$B$36:$B$42,MATCH($L541,SETUP!$A$36:$A$42,1))))</f>
        <v>Under 3k</v>
      </c>
      <c r="N541" s="21">
        <f>IF($C541="","",IF(OR($G541="",$I541=""),"",ROUND(100*(SETUP!$B$4*MIN(1,$I541/SETUP!$B$9)+SETUP!$B$5*MAX(0,MIN(1,($G541-SETUP!$B$10)/(SETUP!$B$11-SETUP!$B$10)))+SETUP!$B$6*MIN(1,IF($L541="",0,$L541)/SETUP!$B$12)),1)))</f>
        <v>35.299999999999997</v>
      </c>
      <c r="O541" s="19" t="str">
        <f>IF($C541="","",IF($N541="","-",INDEX(SETUP!$B$46:$B$51,MATCH($N541,SETUP!$A$46:$A$51,1))))</f>
        <v>B</v>
      </c>
      <c r="P541" s="19">
        <f>IF($C541="","",IF($I541="","",RANK($I541,$I$4:$I$1463)+COUNTIF($I$4:$I541,$I541)-1))</f>
        <v>796</v>
      </c>
      <c r="Q541" s="19">
        <f>IF($C541="","",COUNTIFS($B$4:$B$1463,$B541,$X$4:$X$1463,"&gt;"&amp;$X541)+COUNTIFS($B$4:$B541,$B541,$X$4:$X541,"="&amp;$X541))</f>
        <v>22</v>
      </c>
      <c r="R541" s="75">
        <f>IF($C541="","",IF($I541="","",ROUND(COUNTIF($I$4:$I$1463,"&lt;"&amp;$I541)/COUNT($I$4:$I$1463),3)))</f>
        <v>0.39900000000000002</v>
      </c>
      <c r="S541" s="19" t="str">
        <f>IF($C541="","",IF($G541="","Name only",IF(OR($I541="",$L541=""),"Partial","Complete")))</f>
        <v>Complete</v>
      </c>
      <c r="T541" s="1" t="str">
        <f>IF($C541="","",TRIM(IF(COUNTIF($C$4:$C$1463,$C541)&gt;1,"Dup name; ","")&amp;IF(AND($G541&lt;&gt;"",$G541&lt;55000),"Low CR - verify; ","")&amp;IF(AND($L541&lt;&gt;"",$L541&gt;15),"Secondary - verify; ","")&amp;IF($E541="","No class; ","")))</f>
        <v/>
      </c>
      <c r="U541" s="68"/>
      <c r="V541" s="68"/>
      <c r="W541" s="68"/>
      <c r="X541" s="76">
        <f t="shared" si="42"/>
        <v>3295</v>
      </c>
      <c r="Y541" s="1" t="str">
        <f t="shared" si="43"/>
        <v>EMERALD LEAF TRIBE|22</v>
      </c>
      <c r="Z541" s="19">
        <f>IF($C541="","",IF($G541="","",RANK($G541,$G$4:$G$1463)+COUNTIF($G$4:$G541,$G541)-1))</f>
        <v>1095</v>
      </c>
      <c r="AA541" s="19">
        <f>IF($C541="","",IF($N541="","",RANK($N541,$N$4:$N$1463)+COUNTIF($N$4:$N541,$N541)-1))</f>
        <v>995</v>
      </c>
      <c r="AB541" s="1" t="str">
        <f>IF($C541="","",IF($E541="","",$E541&amp;"#"&amp;(COUNTIFS($E$4:$E$1463,$E541,$X$4:$X$1463,"&gt;"&amp;$X541)+COUNTIFS($E$4:$E541,$E541,$X$4:$X541,"="&amp;$X541))))</f>
        <v>NECROMANCER#41</v>
      </c>
      <c r="AC541" s="1" t="str">
        <f>IF($C541="","",$B541&amp;"@"&amp;(COUNTIFS($B$4:$B$1463,$B541,$C$4:$C$1463,"&lt;"&amp;$C541)+COUNTIFS($B$4:$B541,$B541,$C$4:$C541,$C541)))</f>
        <v>EMERALD LEAF TRIBE@36</v>
      </c>
      <c r="AD541" s="1">
        <f t="shared" si="44"/>
        <v>538</v>
      </c>
      <c r="AE541" s="1" t="s">
        <v>1488</v>
      </c>
      <c r="AF541" s="76">
        <f t="shared" si="45"/>
        <v>61184</v>
      </c>
      <c r="AG541" s="77">
        <f t="shared" si="46"/>
        <v>2.8</v>
      </c>
      <c r="AH541" s="1" t="str">
        <f>IF($C541="","",$B541&amp;"|"&amp;(COUNTIFS($B$4:$B$1463,$B541,$AF$4:$AF$1463,"&gt;"&amp;$AF541)+COUNTIFS($B$4:$B541,$B541,$AF$4:$AF541,"="&amp;$AF541)))</f>
        <v>EMERALD LEAF TRIBE|51</v>
      </c>
      <c r="AI541" s="1" t="str">
        <f>IF($C541="","",$B541&amp;"|"&amp;(COUNTIFS($B$4:$B$1463,$B541,$AG$4:$AG$1463,"&gt;"&amp;$AG541)+COUNTIFS($B$4:$B541,$B541,$AG$4:$AG541,"="&amp;$AG541)))</f>
        <v>EMERALD LEAF TRIBE|88</v>
      </c>
    </row>
    <row r="542" spans="1:35" hidden="1">
      <c r="A542" s="69" t="s">
        <v>109</v>
      </c>
      <c r="B542" s="69" t="s">
        <v>112</v>
      </c>
      <c r="C542" s="63" t="s">
        <v>1489</v>
      </c>
      <c r="D542" s="69" t="s">
        <v>567</v>
      </c>
      <c r="E542" s="68" t="s">
        <v>74</v>
      </c>
      <c r="F542" s="15" t="str">
        <f>IF($C542="","",IF($E542="","-",IFERROR(INDEX(SETUP!$B$55:$B$64,MATCH($E542,SETUP!$A$55:$A$64,0)),"Other")))</f>
        <v>Ranged DPS</v>
      </c>
      <c r="G542" s="70">
        <v>62343</v>
      </c>
      <c r="H542" s="15" t="str">
        <f>IF($C542="","",IF($G542="","-",INDEX(SETUP!$B$26:$B$32,MATCH($G542,SETUP!$A$26:$A$32,1))))</f>
        <v>62,000 - 62,999</v>
      </c>
      <c r="I542" s="70">
        <v>4044</v>
      </c>
      <c r="J542" s="15" t="str">
        <f>IF($C542="","",IF($I542="","-",INDEX(SETUP!$B$16:$B$22,MATCH($I542,SETUP!$A$16:$A$22,1))))</f>
        <v>CORE</v>
      </c>
      <c r="K542" s="15" t="str">
        <f>IF($C542="","",IF($I542="","-",TEXT(INT($I542/1000)*1000,"#,##0")&amp;" - "&amp;TEXT(INT($I542/1000)*1000+999,"#,##0")))</f>
        <v>4,000 - 4,999</v>
      </c>
      <c r="L542" s="71">
        <v>6.7</v>
      </c>
      <c r="M542" s="15" t="str">
        <f>IF($C542="","",IF($L542="","-",INDEX(SETUP!$B$36:$B$42,MATCH($L542,SETUP!$A$36:$A$42,1))))</f>
        <v>6k - 8k</v>
      </c>
      <c r="N542" s="17">
        <f>IF($C542="","",IF(OR($G542="",$I542=""),"",ROUND(100*(SETUP!$B$4*MIN(1,$I542/SETUP!$B$9)+SETUP!$B$5*MAX(0,MIN(1,($G542-SETUP!$B$10)/(SETUP!$B$11-SETUP!$B$10)))+SETUP!$B$6*MIN(1,IF($L542="",0,$L542)/SETUP!$B$12)),1)))</f>
        <v>48.1</v>
      </c>
      <c r="O542" s="15" t="str">
        <f>IF($C542="","",IF($N542="","-",INDEX(SETUP!$B$46:$B$51,MATCH($N542,SETUP!$A$46:$A$51,1))))</f>
        <v>B</v>
      </c>
      <c r="P542" s="15">
        <f>IF($C542="","",IF($I542="","",RANK($I542,$I$4:$I$1463)+COUNTIF($I$4:$I542,$I542)-1))</f>
        <v>588</v>
      </c>
      <c r="Q542" s="15">
        <f>IF($C542="","",COUNTIFS($B$4:$B$1463,$B542,$X$4:$X$1463,"&gt;"&amp;$X542)+COUNTIFS($B$4:$B542,$B542,$X$4:$X542,"="&amp;$X542))</f>
        <v>42</v>
      </c>
      <c r="R542" s="72">
        <f>IF($C542="","",IF($I542="","",ROUND(COUNTIF($I$4:$I$1463,"&lt;"&amp;$I542)/COUNT($I$4:$I$1463),3)))</f>
        <v>0.55600000000000005</v>
      </c>
      <c r="S542" s="15" t="str">
        <f>IF($C542="","",IF($G542="","Name only",IF(OR($I542="",$L542=""),"Partial","Complete")))</f>
        <v>Complete</v>
      </c>
      <c r="T542" s="41" t="str">
        <f>IF($C542="","",TRIM(IF(COUNTIF($C$4:$C$1463,$C542)&gt;1,"Dup name; ","")&amp;IF(AND($G542&lt;&gt;"",$G542&lt;55000),"Low CR - verify; ","")&amp;IF(AND($L542&lt;&gt;"",$L542&gt;15),"Secondary - verify; ","")&amp;IF($E542="","No class; ","")))</f>
        <v/>
      </c>
      <c r="U542" s="68"/>
      <c r="V542" s="68"/>
      <c r="W542" s="68"/>
      <c r="X542" s="73">
        <f t="shared" si="42"/>
        <v>4044</v>
      </c>
      <c r="Y542" s="41" t="str">
        <f t="shared" si="43"/>
        <v>ACHERON|42</v>
      </c>
      <c r="Z542" s="15">
        <f>IF($C542="","",IF($G542="","",RANK($G542,$G$4:$G$1463)+COUNTIF($G$4:$G542,$G542)-1))</f>
        <v>713</v>
      </c>
      <c r="AA542" s="15">
        <f>IF($C542="","",IF($N542="","",RANK($N542,$N$4:$N$1463)+COUNTIF($N$4:$N542,$N542)-1))</f>
        <v>515</v>
      </c>
      <c r="AB542" s="41" t="str">
        <f>IF($C542="","",IF($E542="","",$E542&amp;"#"&amp;(COUNTIFS($E$4:$E$1463,$E542,$X$4:$X$1463,"&gt;"&amp;$X542)+COUNTIFS($E$4:$E542,$E542,$X$4:$X542,"="&amp;$X542))))</f>
        <v>DEMON HUNTER#94</v>
      </c>
      <c r="AC542" s="41" t="str">
        <f>IF($C542="","",$B542&amp;"@"&amp;(COUNTIFS($B$4:$B$1463,$B542,$C$4:$C$1463,"&lt;"&amp;$C542)+COUNTIFS($B$4:$B542,$B542,$C$4:$C542,$C542)))</f>
        <v>ACHERON@32</v>
      </c>
      <c r="AD542" s="41">
        <f t="shared" si="44"/>
        <v>539</v>
      </c>
      <c r="AE542" s="41" t="s">
        <v>1490</v>
      </c>
      <c r="AF542" s="73">
        <f t="shared" si="45"/>
        <v>62343</v>
      </c>
      <c r="AG542" s="74">
        <f t="shared" si="46"/>
        <v>6.7</v>
      </c>
      <c r="AH542" s="41" t="str">
        <f>IF($C542="","",$B542&amp;"|"&amp;(COUNTIFS($B$4:$B$1463,$B542,$AF$4:$AF$1463,"&gt;"&amp;$AF542)+COUNTIFS($B$4:$B542,$B542,$AF$4:$AF542,"="&amp;$AF542)))</f>
        <v>ACHERON|53</v>
      </c>
      <c r="AI542" s="41" t="str">
        <f>IF($C542="","",$B542&amp;"|"&amp;(COUNTIFS($B$4:$B$1463,$B542,$AG$4:$AG$1463,"&gt;"&amp;$AG542)+COUNTIFS($B$4:$B542,$B542,$AG$4:$AG542,"="&amp;$AG542)))</f>
        <v>ACHERON|11</v>
      </c>
    </row>
    <row r="543" spans="1:35">
      <c r="A543" s="69" t="s">
        <v>104</v>
      </c>
      <c r="B543" s="69" t="s">
        <v>66</v>
      </c>
      <c r="C543" s="63" t="s">
        <v>1425</v>
      </c>
      <c r="D543" s="69"/>
      <c r="E543" s="68" t="s">
        <v>74</v>
      </c>
      <c r="F543" s="15" t="str">
        <f>IF($C543="","",IF($E543="","-",IFERROR(INDEX(SETUP!$B$55:$B$64,MATCH($E543,SETUP!$A$55:$A$64,0)),"Other")))</f>
        <v>Ranged DPS</v>
      </c>
      <c r="G543" s="70">
        <v>62946</v>
      </c>
      <c r="H543" s="15" t="str">
        <f>IF($C543="","",IF($G543="","-",INDEX(SETUP!$B$26:$B$32,MATCH($G543,SETUP!$A$26:$A$32,1))))</f>
        <v>62,000 - 62,999</v>
      </c>
      <c r="I543" s="70">
        <v>2552</v>
      </c>
      <c r="J543" s="15" t="str">
        <f>IF($C543="","",IF($I543="","-",INDEX(SETUP!$B$16:$B$22,MATCH($I543,SETUP!$A$16:$A$22,1))))</f>
        <v>DEVELOPING</v>
      </c>
      <c r="K543" s="15" t="str">
        <f>IF($C543="","",IF($I543="","-",TEXT(INT($I543/1000)*1000,"#,##0")&amp;" - "&amp;TEXT(INT($I543/1000)*1000+999,"#,##0")))</f>
        <v>2,000 - 2,999</v>
      </c>
      <c r="L543" s="71">
        <v>4.13</v>
      </c>
      <c r="M543" s="15" t="str">
        <f>IF($C543="","",IF($L543="","-",INDEX(SETUP!$B$36:$B$42,MATCH($L543,SETUP!$A$36:$A$42,1))))</f>
        <v>4k - 5k</v>
      </c>
      <c r="N543" s="17">
        <f>IF($C543="","",IF(OR($G543="",$I543=""),"",ROUND(100*(SETUP!$B$4*MIN(1,$I543/SETUP!$B$9)+SETUP!$B$5*MAX(0,MIN(1,($G543-SETUP!$B$10)/(SETUP!$B$11-SETUP!$B$10)))+SETUP!$B$6*MIN(1,IF($L543="",0,$L543)/SETUP!$B$12)),1)))</f>
        <v>38.9</v>
      </c>
      <c r="O543" s="15" t="str">
        <f>IF($C543="","",IF($N543="","-",INDEX(SETUP!$B$46:$B$51,MATCH($N543,SETUP!$A$46:$A$51,1))))</f>
        <v>B</v>
      </c>
      <c r="P543" s="15">
        <f>IF($C543="","",IF($I543="","",RANK($I543,$I$4:$I$1463)+COUNTIF($I$4:$I543,$I543)-1))</f>
        <v>994</v>
      </c>
      <c r="Q543" s="15">
        <f>IF($C543="","",COUNTIFS($B$4:$B$1463,$B543,$X$4:$X$1463,"&gt;"&amp;$X543)+COUNTIFS($B$4:$B543,$B543,$X$4:$X543,"="&amp;$X543))</f>
        <v>98</v>
      </c>
      <c r="R543" s="72">
        <f>IF($C543="","",IF($I543="","",ROUND(COUNTIF($I$4:$I$1463,"&lt;"&amp;$I543)/COUNT($I$4:$I$1463),3)))</f>
        <v>0.249</v>
      </c>
      <c r="S543" s="15" t="str">
        <f>IF($C543="","",IF($G543="","Name only",IF(OR($I543="",$L543=""),"Partial","Complete")))</f>
        <v>Complete</v>
      </c>
      <c r="T543" s="41" t="str">
        <f>IF($C543="","",TRIM(IF(COUNTIF($C$4:$C$1463,$C543)&gt;1,"Dup name; ","")&amp;IF(AND($G543&lt;&gt;"",$G543&lt;55000),"Low CR - verify; ","")&amp;IF(AND($L543&lt;&gt;"",$L543&gt;15),"Secondary - verify; ","")&amp;IF($E543="","No class; ","")))</f>
        <v/>
      </c>
      <c r="U543" s="68"/>
      <c r="V543" s="68"/>
      <c r="W543" s="68"/>
      <c r="X543" s="76">
        <f t="shared" si="42"/>
        <v>2552</v>
      </c>
      <c r="Y543" s="1" t="str">
        <f t="shared" si="43"/>
        <v>FUCT|98</v>
      </c>
      <c r="Z543" s="19">
        <f>IF($C543="","",IF($G543="","",RANK($G543,$G$4:$G$1463)+COUNTIF($G$4:$G543,$G543)-1))</f>
        <v>451</v>
      </c>
      <c r="AA543" s="19">
        <f>IF($C543="","",IF($N543="","",RANK($N543,$N$4:$N$1463)+COUNTIF($N$4:$N543,$N543)-1))</f>
        <v>864</v>
      </c>
      <c r="AB543" s="1" t="str">
        <f>IF($C543="","",IF($E543="","",$E543&amp;"#"&amp;(COUNTIFS($E$4:$E$1463,$E543,$X$4:$X$1463,"&gt;"&amp;$X543)+COUNTIFS($E$4:$E543,$E543,$X$4:$X543,"="&amp;$X543))))</f>
        <v>DEMON HUNTER#159</v>
      </c>
      <c r="AC543" s="1" t="str">
        <f>IF($C543="","",$B543&amp;"@"&amp;(COUNTIFS($B$4:$B$1463,$B543,$C$4:$C$1463,"&lt;"&amp;$C543)+COUNTIFS($B$4:$B543,$B543,$C$4:$C543,$C543)))</f>
        <v>FUCT@37</v>
      </c>
      <c r="AD543" s="1">
        <f t="shared" si="44"/>
        <v>540</v>
      </c>
      <c r="AE543" s="1" t="s">
        <v>1492</v>
      </c>
      <c r="AF543" s="76">
        <f t="shared" si="45"/>
        <v>62946</v>
      </c>
      <c r="AG543" s="77">
        <f t="shared" si="46"/>
        <v>4.13</v>
      </c>
      <c r="AH543" s="1" t="str">
        <f>IF($C543="","",$B543&amp;"|"&amp;(COUNTIFS($B$4:$B$1463,$B543,$AF$4:$AF$1463,"&gt;"&amp;$AF543)+COUNTIFS($B$4:$B543,$B543,$AF$4:$AF543,"="&amp;$AF543)))</f>
        <v>FUCT|46</v>
      </c>
      <c r="AI543" s="1" t="str">
        <f>IF($C543="","",$B543&amp;"|"&amp;(COUNTIFS($B$4:$B$1463,$B543,$AG$4:$AG$1463,"&gt;"&amp;$AG543)+COUNTIFS($B$4:$B543,$B543,$AG$4:$AG543,"="&amp;$AG543)))</f>
        <v>FUCT|74</v>
      </c>
    </row>
    <row r="544" spans="1:35" hidden="1">
      <c r="A544" s="69" t="s">
        <v>106</v>
      </c>
      <c r="B544" s="69" t="s">
        <v>107</v>
      </c>
      <c r="C544" s="63" t="s">
        <v>1493</v>
      </c>
      <c r="D544" s="69"/>
      <c r="E544" s="68" t="s">
        <v>77</v>
      </c>
      <c r="F544" s="15" t="str">
        <f>IF($C544="","",IF($E544="","-",IFERROR(INDEX(SETUP!$B$55:$B$64,MATCH($E544,SETUP!$A$55:$A$64,0)),"Other")))</f>
        <v>Control</v>
      </c>
      <c r="G544" s="70">
        <v>62081</v>
      </c>
      <c r="H544" s="15" t="str">
        <f>IF($C544="","",IF($G544="","-",INDEX(SETUP!$B$26:$B$32,MATCH($G544,SETUP!$A$26:$A$32,1))))</f>
        <v>62,000 - 62,999</v>
      </c>
      <c r="I544" s="70">
        <v>3514</v>
      </c>
      <c r="J544" s="15" t="str">
        <f>IF($C544="","",IF($I544="","-",INDEX(SETUP!$B$16:$B$22,MATCH($I544,SETUP!$A$16:$A$22,1))))</f>
        <v>DEVELOPING</v>
      </c>
      <c r="K544" s="15" t="str">
        <f>IF($C544="","",IF($I544="","-",TEXT(INT($I544/1000)*1000,"#,##0")&amp;" - "&amp;TEXT(INT($I544/1000)*1000+999,"#,##0")))</f>
        <v>3,000 - 3,999</v>
      </c>
      <c r="L544" s="71">
        <v>6.1</v>
      </c>
      <c r="M544" s="15" t="str">
        <f>IF($C544="","",IF($L544="","-",INDEX(SETUP!$B$36:$B$42,MATCH($L544,SETUP!$A$36:$A$42,1))))</f>
        <v>6k - 8k</v>
      </c>
      <c r="N544" s="17">
        <f>IF($C544="","",IF(OR($G544="",$I544=""),"",ROUND(100*(SETUP!$B$4*MIN(1,$I544/SETUP!$B$9)+SETUP!$B$5*MAX(0,MIN(1,($G544-SETUP!$B$10)/(SETUP!$B$11-SETUP!$B$10)))+SETUP!$B$6*MIN(1,IF($L544="",0,$L544)/SETUP!$B$12)),1)))</f>
        <v>44.1</v>
      </c>
      <c r="O544" s="15" t="str">
        <f>IF($C544="","",IF($N544="","-",INDEX(SETUP!$B$46:$B$51,MATCH($N544,SETUP!$A$46:$A$51,1))))</f>
        <v>B</v>
      </c>
      <c r="P544" s="15">
        <f>IF($C544="","",IF($I544="","",RANK($I544,$I$4:$I$1463)+COUNTIF($I$4:$I544,$I544)-1))</f>
        <v>726</v>
      </c>
      <c r="Q544" s="15">
        <f>IF($C544="","",COUNTIFS($B$4:$B$1463,$B544,$X$4:$X$1463,"&gt;"&amp;$X544)+COUNTIFS($B$4:$B544,$B544,$X$4:$X544,"="&amp;$X544))</f>
        <v>70</v>
      </c>
      <c r="R544" s="72">
        <f>IF($C544="","",IF($I544="","",ROUND(COUNTIF($I$4:$I$1463,"&lt;"&amp;$I544)/COUNT($I$4:$I$1463),3)))</f>
        <v>0.45200000000000001</v>
      </c>
      <c r="S544" s="15" t="str">
        <f>IF($C544="","",IF($G544="","Name only",IF(OR($I544="",$L544=""),"Partial","Complete")))</f>
        <v>Complete</v>
      </c>
      <c r="T544" s="41" t="str">
        <f>IF($C544="","",TRIM(IF(COUNTIF($C$4:$C$1463,$C544)&gt;1,"Dup name; ","")&amp;IF(AND($G544&lt;&gt;"",$G544&lt;55000),"Low CR - verify; ","")&amp;IF(AND($L544&lt;&gt;"",$L544&gt;15),"Secondary - verify; ","")&amp;IF($E544="","No class; ","")))</f>
        <v/>
      </c>
      <c r="U544" s="68"/>
      <c r="V544" s="68"/>
      <c r="W544" s="68"/>
      <c r="X544" s="73">
        <f t="shared" si="42"/>
        <v>3514</v>
      </c>
      <c r="Y544" s="41" t="str">
        <f t="shared" si="43"/>
        <v>UNDYING|70</v>
      </c>
      <c r="Z544" s="15">
        <f>IF($C544="","",IF($G544="","",RANK($G544,$G$4:$G$1463)+COUNTIF($G$4:$G544,$G544)-1))</f>
        <v>805</v>
      </c>
      <c r="AA544" s="15">
        <f>IF($C544="","",IF($N544="","",RANK($N544,$N$4:$N$1463)+COUNTIF($N$4:$N544,$N544)-1))</f>
        <v>664</v>
      </c>
      <c r="AB544" s="41" t="str">
        <f>IF($C544="","",IF($E544="","",$E544&amp;"#"&amp;(COUNTIFS($E$4:$E$1463,$E544,$X$4:$X$1463,"&gt;"&amp;$X544)+COUNTIFS($E$4:$E544,$E544,$X$4:$X544,"="&amp;$X544))))</f>
        <v>NECROMANCER#37</v>
      </c>
      <c r="AC544" s="41" t="str">
        <f>IF($C544="","",$B544&amp;"@"&amp;(COUNTIFS($B$4:$B$1463,$B544,$C$4:$C$1463,"&lt;"&amp;$C544)+COUNTIFS($B$4:$B544,$B544,$C$4:$C544,$C544)))</f>
        <v>UNDYING@44</v>
      </c>
      <c r="AD544" s="41">
        <f t="shared" si="44"/>
        <v>541</v>
      </c>
      <c r="AE544" s="41" t="s">
        <v>1494</v>
      </c>
      <c r="AF544" s="73">
        <f t="shared" si="45"/>
        <v>62081</v>
      </c>
      <c r="AG544" s="74">
        <f t="shared" si="46"/>
        <v>6.1</v>
      </c>
      <c r="AH544" s="41" t="str">
        <f>IF($C544="","",$B544&amp;"|"&amp;(COUNTIFS($B$4:$B$1463,$B544,$AF$4:$AF$1463,"&gt;"&amp;$AF544)+COUNTIFS($B$4:$B544,$B544,$AF$4:$AF544,"="&amp;$AF544)))</f>
        <v>UNDYING|79</v>
      </c>
      <c r="AI544" s="41" t="str">
        <f>IF($C544="","",$B544&amp;"|"&amp;(COUNTIFS($B$4:$B$1463,$B544,$AG$4:$AG$1463,"&gt;"&amp;$AG544)+COUNTIFS($B$4:$B544,$B544,$AG$4:$AG544,"="&amp;$AG544)))</f>
        <v>UNDYING|24</v>
      </c>
    </row>
    <row r="545" spans="1:35" hidden="1">
      <c r="A545" s="69" t="s">
        <v>109</v>
      </c>
      <c r="B545" s="69" t="s">
        <v>110</v>
      </c>
      <c r="C545" s="63" t="s">
        <v>1495</v>
      </c>
      <c r="D545" s="69"/>
      <c r="E545" s="68" t="s">
        <v>79</v>
      </c>
      <c r="F545" s="19" t="str">
        <f>IF($C545="","",IF($E545="","-",IFERROR(INDEX(SETUP!$B$55:$B$64,MATCH($E545,SETUP!$A$55:$A$64,0)),"Other")))</f>
        <v>Control</v>
      </c>
      <c r="G545" s="70">
        <v>64247</v>
      </c>
      <c r="H545" s="19" t="str">
        <f>IF($C545="","",IF($G545="","-",INDEX(SETUP!$B$26:$B$32,MATCH($G545,SETUP!$A$26:$A$32,1))))</f>
        <v>64,000 +</v>
      </c>
      <c r="I545" s="70">
        <v>9701</v>
      </c>
      <c r="J545" s="19" t="str">
        <f>IF($C545="","",IF($I545="","-",INDEX(SETUP!$B$16:$B$22,MATCH($I545,SETUP!$A$16:$A$22,1))))</f>
        <v>ELITE</v>
      </c>
      <c r="K545" s="19" t="str">
        <f>IF($C545="","",IF($I545="","-",TEXT(INT($I545/1000)*1000,"#,##0")&amp;" - "&amp;TEXT(INT($I545/1000)*1000+999,"#,##0")))</f>
        <v>9,000 - 9,999</v>
      </c>
      <c r="L545" s="71">
        <v>6.83</v>
      </c>
      <c r="M545" s="19" t="str">
        <f>IF($C545="","",IF($L545="","-",INDEX(SETUP!$B$36:$B$42,MATCH($L545,SETUP!$A$36:$A$42,1))))</f>
        <v>6k - 8k</v>
      </c>
      <c r="N545" s="21">
        <f>IF($C545="","",IF(OR($G545="",$I545=""),"",ROUND(100*(SETUP!$B$4*MIN(1,$I545/SETUP!$B$9)+SETUP!$B$5*MAX(0,MIN(1,($G545-SETUP!$B$10)/(SETUP!$B$11-SETUP!$B$10)))+SETUP!$B$6*MIN(1,IF($L545="",0,$L545)/SETUP!$B$12)),1)))</f>
        <v>78.099999999999994</v>
      </c>
      <c r="O545" s="19" t="str">
        <f>IF($C545="","",IF($N545="","-",INDEX(SETUP!$B$46:$B$51,MATCH($N545,SETUP!$A$46:$A$51,1))))</f>
        <v>S</v>
      </c>
      <c r="P545" s="19">
        <f>IF($C545="","",IF($I545="","",RANK($I545,$I$4:$I$1463)+COUNTIF($I$4:$I545,$I545)-1))</f>
        <v>67</v>
      </c>
      <c r="Q545" s="19">
        <f>IF($C545="","",COUNTIFS($B$4:$B$1463,$B545,$X$4:$X$1463,"&gt;"&amp;$X545)+COUNTIFS($B$4:$B545,$B545,$X$4:$X545,"="&amp;$X545))</f>
        <v>15</v>
      </c>
      <c r="R545" s="75">
        <f>IF($C545="","",IF($I545="","",ROUND(COUNTIF($I$4:$I$1463,"&lt;"&amp;$I545)/COUNT($I$4:$I$1463),3)))</f>
        <v>0.94899999999999995</v>
      </c>
      <c r="S545" s="19" t="str">
        <f>IF($C545="","",IF($G545="","Name only",IF(OR($I545="",$L545=""),"Partial","Complete")))</f>
        <v>Complete</v>
      </c>
      <c r="T545" s="1" t="str">
        <f>IF($C545="","",TRIM(IF(COUNTIF($C$4:$C$1463,$C545)&gt;1,"Dup name; ","")&amp;IF(AND($G545&lt;&gt;"",$G545&lt;55000),"Low CR - verify; ","")&amp;IF(AND($L545&lt;&gt;"",$L545&gt;15),"Secondary - verify; ","")&amp;IF($E545="","No class; ","")))</f>
        <v/>
      </c>
      <c r="U545" s="68"/>
      <c r="V545" s="68"/>
      <c r="W545" s="68"/>
      <c r="X545" s="76">
        <f t="shared" si="42"/>
        <v>9701</v>
      </c>
      <c r="Y545" s="1" t="str">
        <f t="shared" si="43"/>
        <v>AZUKI|15</v>
      </c>
      <c r="Z545" s="19">
        <f>IF($C545="","",IF($G545="","",RANK($G545,$G$4:$G$1463)+COUNTIF($G$4:$G545,$G545)-1))</f>
        <v>30</v>
      </c>
      <c r="AA545" s="19">
        <f>IF($C545="","",IF($N545="","",RANK($N545,$N$4:$N$1463)+COUNTIF($N$4:$N545,$N545)-1))</f>
        <v>67</v>
      </c>
      <c r="AB545" s="1" t="str">
        <f>IF($C545="","",IF($E545="","",$E545&amp;"#"&amp;(COUNTIFS($E$4:$E$1463,$E545,$X$4:$X$1463,"&gt;"&amp;$X545)+COUNTIFS($E$4:$E545,$E545,$X$4:$X545,"="&amp;$X545))))</f>
        <v>WARLOCK#15</v>
      </c>
      <c r="AC545" s="1" t="str">
        <f>IF($C545="","",$B545&amp;"@"&amp;(COUNTIFS($B$4:$B$1463,$B545,$C$4:$C$1463,"&lt;"&amp;$C545)+COUNTIFS($B$4:$B545,$B545,$C$4:$C545,$C545)))</f>
        <v>AZUKI@50</v>
      </c>
      <c r="AD545" s="1">
        <f t="shared" si="44"/>
        <v>542</v>
      </c>
      <c r="AE545" s="1" t="s">
        <v>1496</v>
      </c>
      <c r="AF545" s="76">
        <f t="shared" si="45"/>
        <v>64247</v>
      </c>
      <c r="AG545" s="77">
        <f t="shared" si="46"/>
        <v>6.83</v>
      </c>
      <c r="AH545" s="1" t="str">
        <f>IF($C545="","",$B545&amp;"|"&amp;(COUNTIFS($B$4:$B$1463,$B545,$AF$4:$AF$1463,"&gt;"&amp;$AF545)+COUNTIFS($B$4:$B545,$B545,$AF$4:$AF545,"="&amp;$AF545)))</f>
        <v>AZUKI|8</v>
      </c>
      <c r="AI545" s="1" t="str">
        <f>IF($C545="","",$B545&amp;"|"&amp;(COUNTIFS($B$4:$B$1463,$B545,$AG$4:$AG$1463,"&gt;"&amp;$AG545)+COUNTIFS($B$4:$B545,$B545,$AG$4:$AG545,"="&amp;$AG545)))</f>
        <v>AZUKI|32</v>
      </c>
    </row>
    <row r="546" spans="1:35" hidden="1">
      <c r="A546" s="69" t="s">
        <v>109</v>
      </c>
      <c r="B546" s="69" t="s">
        <v>118</v>
      </c>
      <c r="C546" s="63" t="s">
        <v>1497</v>
      </c>
      <c r="D546" s="69"/>
      <c r="E546" s="68" t="s">
        <v>79</v>
      </c>
      <c r="F546" s="15" t="str">
        <f>IF($C546="","",IF($E546="","-",IFERROR(INDEX(SETUP!$B$55:$B$64,MATCH($E546,SETUP!$A$55:$A$64,0)),"Other")))</f>
        <v>Control</v>
      </c>
      <c r="G546" s="70">
        <v>60916</v>
      </c>
      <c r="H546" s="15" t="str">
        <f>IF($C546="","",IF($G546="","-",INDEX(SETUP!$B$26:$B$32,MATCH($G546,SETUP!$A$26:$A$32,1))))</f>
        <v>60,000 - 60,999</v>
      </c>
      <c r="I546" s="70">
        <v>1639</v>
      </c>
      <c r="J546" s="15" t="str">
        <f>IF($C546="","",IF($I546="","-",INDEX(SETUP!$B$16:$B$22,MATCH($I546,SETUP!$A$16:$A$22,1))))</f>
        <v>ROOKIE</v>
      </c>
      <c r="K546" s="15" t="str">
        <f>IF($C546="","",IF($I546="","-",TEXT(INT($I546/1000)*1000,"#,##0")&amp;" - "&amp;TEXT(INT($I546/1000)*1000+999,"#,##0")))</f>
        <v>1,000 - 1,999</v>
      </c>
      <c r="L546" s="71">
        <v>3.4</v>
      </c>
      <c r="M546" s="15" t="str">
        <f>IF($C546="","",IF($L546="","-",INDEX(SETUP!$B$36:$B$42,MATCH($L546,SETUP!$A$36:$A$42,1))))</f>
        <v>3k - 4k</v>
      </c>
      <c r="N546" s="17">
        <f>IF($C546="","",IF(OR($G546="",$I546=""),"",ROUND(100*(SETUP!$B$4*MIN(1,$I546/SETUP!$B$9)+SETUP!$B$5*MAX(0,MIN(1,($G546-SETUP!$B$10)/(SETUP!$B$11-SETUP!$B$10)))+SETUP!$B$6*MIN(1,IF($L546="",0,$L546)/SETUP!$B$12)),1)))</f>
        <v>28.4</v>
      </c>
      <c r="O546" s="15" t="str">
        <f>IF($C546="","",IF($N546="","-",INDEX(SETUP!$B$46:$B$51,MATCH($N546,SETUP!$A$46:$A$51,1))))</f>
        <v>C</v>
      </c>
      <c r="P546" s="15">
        <f>IF($C546="","",IF($I546="","",RANK($I546,$I$4:$I$1463)+COUNTIF($I$4:$I546,$I546)-1))</f>
        <v>1169</v>
      </c>
      <c r="Q546" s="15">
        <f>IF($C546="","",COUNTIFS($B$4:$B$1463,$B546,$X$4:$X$1463,"&gt;"&amp;$X546)+COUNTIFS($B$4:$B546,$B546,$X$4:$X546,"="&amp;$X546))</f>
        <v>52</v>
      </c>
      <c r="R546" s="72">
        <f>IF($C546="","",IF($I546="","",ROUND(COUNTIF($I$4:$I$1463,"&lt;"&amp;$I546)/COUNT($I$4:$I$1463),3)))</f>
        <v>0.11700000000000001</v>
      </c>
      <c r="S546" s="15" t="str">
        <f>IF($C546="","",IF($G546="","Name only",IF(OR($I546="",$L546=""),"Partial","Complete")))</f>
        <v>Complete</v>
      </c>
      <c r="T546" s="41" t="str">
        <f>IF($C546="","",TRIM(IF(COUNTIF($C$4:$C$1463,$C546)&gt;1,"Dup name; ","")&amp;IF(AND($G546&lt;&gt;"",$G546&lt;55000),"Low CR - verify; ","")&amp;IF(AND($L546&lt;&gt;"",$L546&gt;15),"Secondary - verify; ","")&amp;IF($E546="","No class; ","")))</f>
        <v/>
      </c>
      <c r="U546" s="68"/>
      <c r="V546" s="68"/>
      <c r="W546" s="68"/>
      <c r="X546" s="73">
        <f t="shared" si="42"/>
        <v>1639</v>
      </c>
      <c r="Y546" s="41" t="str">
        <f t="shared" si="43"/>
        <v>ZOMBIES|52</v>
      </c>
      <c r="Z546" s="15">
        <f>IF($C546="","",IF($G546="","",RANK($G546,$G$4:$G$1463)+COUNTIF($G$4:$G546,$G546)-1))</f>
        <v>1148</v>
      </c>
      <c r="AA546" s="15">
        <f>IF($C546="","",IF($N546="","",RANK($N546,$N$4:$N$1463)+COUNTIF($N$4:$N546,$N546)-1))</f>
        <v>1184</v>
      </c>
      <c r="AB546" s="41" t="str">
        <f>IF($C546="","",IF($E546="","",$E546&amp;"#"&amp;(COUNTIFS($E$4:$E$1463,$E546,$X$4:$X$1463,"&gt;"&amp;$X546)+COUNTIFS($E$4:$E546,$E546,$X$4:$X546,"="&amp;$X546))))</f>
        <v>WARLOCK#289</v>
      </c>
      <c r="AC546" s="41" t="str">
        <f>IF($C546="","",$B546&amp;"@"&amp;(COUNTIFS($B$4:$B$1463,$B546,$C$4:$C$1463,"&lt;"&amp;$C546)+COUNTIFS($B$4:$B546,$B546,$C$4:$C546,$C546)))</f>
        <v>ZOMBIES@41</v>
      </c>
      <c r="AD546" s="41">
        <f t="shared" si="44"/>
        <v>543</v>
      </c>
      <c r="AE546" s="41" t="s">
        <v>642</v>
      </c>
      <c r="AF546" s="73">
        <f t="shared" si="45"/>
        <v>60916</v>
      </c>
      <c r="AG546" s="74">
        <f t="shared" si="46"/>
        <v>3.4</v>
      </c>
      <c r="AH546" s="41" t="str">
        <f>IF($C546="","",$B546&amp;"|"&amp;(COUNTIFS($B$4:$B$1463,$B546,$AF$4:$AF$1463,"&gt;"&amp;$AF546)+COUNTIFS($B$4:$B546,$B546,$AF$4:$AF546,"="&amp;$AF546)))</f>
        <v>ZOMBIES|57</v>
      </c>
      <c r="AI546" s="41" t="str">
        <f>IF($C546="","",$B546&amp;"|"&amp;(COUNTIFS($B$4:$B$1463,$B546,$AG$4:$AG$1463,"&gt;"&amp;$AG546)+COUNTIFS($B$4:$B546,$B546,$AG$4:$AG546,"="&amp;$AG546)))</f>
        <v>ZOMBIES|52</v>
      </c>
    </row>
    <row r="547" spans="1:35" hidden="1">
      <c r="A547" s="69" t="s">
        <v>109</v>
      </c>
      <c r="B547" s="69" t="s">
        <v>111</v>
      </c>
      <c r="C547" s="63" t="s">
        <v>1498</v>
      </c>
      <c r="D547" s="69" t="s">
        <v>527</v>
      </c>
      <c r="E547" s="68" t="s">
        <v>79</v>
      </c>
      <c r="F547" s="19" t="str">
        <f>IF($C547="","",IF($E547="","-",IFERROR(INDEX(SETUP!$B$55:$B$64,MATCH($E547,SETUP!$A$55:$A$64,0)),"Other")))</f>
        <v>Control</v>
      </c>
      <c r="G547" s="70">
        <v>63145</v>
      </c>
      <c r="H547" s="19" t="str">
        <f>IF($C547="","",IF($G547="","-",INDEX(SETUP!$B$26:$B$32,MATCH($G547,SETUP!$A$26:$A$32,1))))</f>
        <v>63,000 - 63,999</v>
      </c>
      <c r="I547" s="70">
        <v>4278</v>
      </c>
      <c r="J547" s="19" t="str">
        <f>IF($C547="","",IF($I547="","-",INDEX(SETUP!$B$16:$B$22,MATCH($I547,SETUP!$A$16:$A$22,1))))</f>
        <v>CORE</v>
      </c>
      <c r="K547" s="19" t="str">
        <f>IF($C547="","",IF($I547="","-",TEXT(INT($I547/1000)*1000,"#,##0")&amp;" - "&amp;TEXT(INT($I547/1000)*1000+999,"#,##0")))</f>
        <v>4,000 - 4,999</v>
      </c>
      <c r="L547" s="71">
        <v>5</v>
      </c>
      <c r="M547" s="19" t="str">
        <f>IF($C547="","",IF($L547="","-",INDEX(SETUP!$B$36:$B$42,MATCH($L547,SETUP!$A$36:$A$42,1))))</f>
        <v>5k - 6k</v>
      </c>
      <c r="N547" s="21">
        <f>IF($C547="","",IF(OR($G547="",$I547=""),"",ROUND(100*(SETUP!$B$4*MIN(1,$I547/SETUP!$B$9)+SETUP!$B$5*MAX(0,MIN(1,($G547-SETUP!$B$10)/(SETUP!$B$11-SETUP!$B$10)))+SETUP!$B$6*MIN(1,IF($L547="",0,$L547)/SETUP!$B$12)),1)))</f>
        <v>48.4</v>
      </c>
      <c r="O547" s="19" t="str">
        <f>IF($C547="","",IF($N547="","-",INDEX(SETUP!$B$46:$B$51,MATCH($N547,SETUP!$A$46:$A$51,1))))</f>
        <v>B</v>
      </c>
      <c r="P547" s="19">
        <f>IF($C547="","",IF($I547="","",RANK($I547,$I$4:$I$1463)+COUNTIF($I$4:$I547,$I547)-1))</f>
        <v>539</v>
      </c>
      <c r="Q547" s="19">
        <f>IF($C547="","",COUNTIFS($B$4:$B$1463,$B547,$X$4:$X$1463,"&gt;"&amp;$X547)+COUNTIFS($B$4:$B547,$B547,$X$4:$X547,"="&amp;$X547))</f>
        <v>57</v>
      </c>
      <c r="R547" s="75">
        <f>IF($C547="","",IF($I547="","",ROUND(COUNTIF($I$4:$I$1463,"&lt;"&amp;$I547)/COUNT($I$4:$I$1463),3)))</f>
        <v>0.59299999999999997</v>
      </c>
      <c r="S547" s="19" t="str">
        <f>IF($C547="","",IF($G547="","Name only",IF(OR($I547="",$L547=""),"Partial","Complete")))</f>
        <v>Complete</v>
      </c>
      <c r="T547" s="1" t="str">
        <f>IF($C547="","",TRIM(IF(COUNTIF($C$4:$C$1463,$C547)&gt;1,"Dup name; ","")&amp;IF(AND($G547&lt;&gt;"",$G547&lt;55000),"Low CR - verify; ","")&amp;IF(AND($L547&lt;&gt;"",$L547&gt;15),"Secondary - verify; ","")&amp;IF($E547="","No class; ","")))</f>
        <v/>
      </c>
      <c r="U547" s="68"/>
      <c r="V547" s="68"/>
      <c r="W547" s="68"/>
      <c r="X547" s="76">
        <f t="shared" si="42"/>
        <v>4278</v>
      </c>
      <c r="Y547" s="1" t="str">
        <f t="shared" si="43"/>
        <v>RECKONING|57</v>
      </c>
      <c r="Z547" s="19">
        <f>IF($C547="","",IF($G547="","",RANK($G547,$G$4:$G$1463)+COUNTIF($G$4:$G547,$G547)-1))</f>
        <v>349</v>
      </c>
      <c r="AA547" s="19">
        <f>IF($C547="","",IF($N547="","",RANK($N547,$N$4:$N$1463)+COUNTIF($N$4:$N547,$N547)-1))</f>
        <v>506</v>
      </c>
      <c r="AB547" s="1" t="str">
        <f>IF($C547="","",IF($E547="","",$E547&amp;"#"&amp;(COUNTIFS($E$4:$E$1463,$E547,$X$4:$X$1463,"&gt;"&amp;$X547)+COUNTIFS($E$4:$E547,$E547,$X$4:$X547,"="&amp;$X547))))</f>
        <v>WARLOCK#125</v>
      </c>
      <c r="AC547" s="1" t="str">
        <f>IF($C547="","",$B547&amp;"@"&amp;(COUNTIFS($B$4:$B$1463,$B547,$C$4:$C$1463,"&lt;"&amp;$C547)+COUNTIFS($B$4:$B547,$B547,$C$4:$C547,$C547)))</f>
        <v>RECKONING@38</v>
      </c>
      <c r="AD547" s="1">
        <f t="shared" si="44"/>
        <v>544</v>
      </c>
      <c r="AE547" s="1" t="s">
        <v>790</v>
      </c>
      <c r="AF547" s="76">
        <f t="shared" si="45"/>
        <v>63145</v>
      </c>
      <c r="AG547" s="77">
        <f t="shared" si="46"/>
        <v>5</v>
      </c>
      <c r="AH547" s="1" t="str">
        <f>IF($C547="","",$B547&amp;"|"&amp;(COUNTIFS($B$4:$B$1463,$B547,$AF$4:$AF$1463,"&gt;"&amp;$AF547)+COUNTIFS($B$4:$B547,$B547,$AF$4:$AF547,"="&amp;$AF547)))</f>
        <v>RECKONING|37</v>
      </c>
      <c r="AI547" s="1" t="str">
        <f>IF($C547="","",$B547&amp;"|"&amp;(COUNTIFS($B$4:$B$1463,$B547,$AG$4:$AG$1463,"&gt;"&amp;$AG547)+COUNTIFS($B$4:$B547,$B547,$AG$4:$AG547,"="&amp;$AG547)))</f>
        <v>RECKONING|65</v>
      </c>
    </row>
    <row r="548" spans="1:35" hidden="1">
      <c r="A548" s="69" t="s">
        <v>109</v>
      </c>
      <c r="B548" s="69" t="s">
        <v>111</v>
      </c>
      <c r="C548" s="63" t="s">
        <v>1499</v>
      </c>
      <c r="D548" s="69" t="s">
        <v>527</v>
      </c>
      <c r="E548" s="68" t="s">
        <v>75</v>
      </c>
      <c r="F548" s="15" t="str">
        <f>IF($C548="","",IF($E548="","-",IFERROR(INDEX(SETUP!$B$55:$B$64,MATCH($E548,SETUP!$A$55:$A$64,0)),"Other")))</f>
        <v>Support</v>
      </c>
      <c r="G548" s="70">
        <v>62804</v>
      </c>
      <c r="H548" s="15" t="str">
        <f>IF($C548="","",IF($G548="","-",INDEX(SETUP!$B$26:$B$32,MATCH($G548,SETUP!$A$26:$A$32,1))))</f>
        <v>62,000 - 62,999</v>
      </c>
      <c r="I548" s="70">
        <v>3308</v>
      </c>
      <c r="J548" s="15" t="str">
        <f>IF($C548="","",IF($I548="","-",INDEX(SETUP!$B$16:$B$22,MATCH($I548,SETUP!$A$16:$A$22,1))))</f>
        <v>DEVELOPING</v>
      </c>
      <c r="K548" s="15" t="str">
        <f>IF($C548="","",IF($I548="","-",TEXT(INT($I548/1000)*1000,"#,##0")&amp;" - "&amp;TEXT(INT($I548/1000)*1000+999,"#,##0")))</f>
        <v>3,000 - 3,999</v>
      </c>
      <c r="L548" s="71">
        <v>5</v>
      </c>
      <c r="M548" s="15" t="str">
        <f>IF($C548="","",IF($L548="","-",INDEX(SETUP!$B$36:$B$42,MATCH($L548,SETUP!$A$36:$A$42,1))))</f>
        <v>5k - 6k</v>
      </c>
      <c r="N548" s="17">
        <f>IF($C548="","",IF(OR($G548="",$I548=""),"",ROUND(100*(SETUP!$B$4*MIN(1,$I548/SETUP!$B$9)+SETUP!$B$5*MAX(0,MIN(1,($G548-SETUP!$B$10)/(SETUP!$B$11-SETUP!$B$10)))+SETUP!$B$6*MIN(1,IF($L548="",0,$L548)/SETUP!$B$12)),1)))</f>
        <v>43.3</v>
      </c>
      <c r="O548" s="15" t="str">
        <f>IF($C548="","",IF($N548="","-",INDEX(SETUP!$B$46:$B$51,MATCH($N548,SETUP!$A$46:$A$51,1))))</f>
        <v>B</v>
      </c>
      <c r="P548" s="15">
        <f>IF($C548="","",IF($I548="","",RANK($I548,$I$4:$I$1463)+COUNTIF($I$4:$I548,$I548)-1))</f>
        <v>787</v>
      </c>
      <c r="Q548" s="15">
        <f>IF($C548="","",COUNTIFS($B$4:$B$1463,$B548,$X$4:$X$1463,"&gt;"&amp;$X548)+COUNTIFS($B$4:$B548,$B548,$X$4:$X548,"="&amp;$X548))</f>
        <v>82</v>
      </c>
      <c r="R548" s="72">
        <f>IF($C548="","",IF($I548="","",ROUND(COUNTIF($I$4:$I$1463,"&lt;"&amp;$I548)/COUNT($I$4:$I$1463),3)))</f>
        <v>0.40600000000000003</v>
      </c>
      <c r="S548" s="15" t="str">
        <f>IF($C548="","",IF($G548="","Name only",IF(OR($I548="",$L548=""),"Partial","Complete")))</f>
        <v>Complete</v>
      </c>
      <c r="T548" s="41" t="str">
        <f>IF($C548="","",TRIM(IF(COUNTIF($C$4:$C$1463,$C548)&gt;1,"Dup name; ","")&amp;IF(AND($G548&lt;&gt;"",$G548&lt;55000),"Low CR - verify; ","")&amp;IF(AND($L548&lt;&gt;"",$L548&gt;15),"Secondary - verify; ","")&amp;IF($E548="","No class; ","")))</f>
        <v/>
      </c>
      <c r="U548" s="68"/>
      <c r="V548" s="68"/>
      <c r="W548" s="68"/>
      <c r="X548" s="73">
        <f t="shared" si="42"/>
        <v>3308</v>
      </c>
      <c r="Y548" s="41" t="str">
        <f t="shared" si="43"/>
        <v>RECKONING|82</v>
      </c>
      <c r="Z548" s="15">
        <f>IF($C548="","",IF($G548="","",RANK($G548,$G$4:$G$1463)+COUNTIF($G$4:$G548,$G548)-1))</f>
        <v>517</v>
      </c>
      <c r="AA548" s="15">
        <f>IF($C548="","",IF($N548="","",RANK($N548,$N$4:$N$1463)+COUNTIF($N$4:$N548,$N548)-1))</f>
        <v>691</v>
      </c>
      <c r="AB548" s="41" t="str">
        <f>IF($C548="","",IF($E548="","",$E548&amp;"#"&amp;(COUNTIFS($E$4:$E$1463,$E548,$X$4:$X$1463,"&gt;"&amp;$X548)+COUNTIFS($E$4:$E548,$E548,$X$4:$X548,"="&amp;$X548))))</f>
        <v>DRUID#37</v>
      </c>
      <c r="AC548" s="41" t="str">
        <f>IF($C548="","",$B548&amp;"@"&amp;(COUNTIFS($B$4:$B$1463,$B548,$C$4:$C$1463,"&lt;"&amp;$C548)+COUNTIFS($B$4:$B548,$B548,$C$4:$C548,$C548)))</f>
        <v>RECKONING@39</v>
      </c>
      <c r="AD548" s="41">
        <f t="shared" si="44"/>
        <v>545</v>
      </c>
      <c r="AE548" s="41" t="s">
        <v>790</v>
      </c>
      <c r="AF548" s="73">
        <f t="shared" si="45"/>
        <v>62804</v>
      </c>
      <c r="AG548" s="74">
        <f t="shared" si="46"/>
        <v>5</v>
      </c>
      <c r="AH548" s="41" t="str">
        <f>IF($C548="","",$B548&amp;"|"&amp;(COUNTIFS($B$4:$B$1463,$B548,$AF$4:$AF$1463,"&gt;"&amp;$AF548)+COUNTIFS($B$4:$B548,$B548,$AF$4:$AF548,"="&amp;$AF548)))</f>
        <v>RECKONING|49</v>
      </c>
      <c r="AI548" s="41" t="str">
        <f>IF($C548="","",$B548&amp;"|"&amp;(COUNTIFS($B$4:$B$1463,$B548,$AG$4:$AG$1463,"&gt;"&amp;$AG548)+COUNTIFS($B$4:$B548,$B548,$AG$4:$AG548,"="&amp;$AG548)))</f>
        <v>RECKONING|66</v>
      </c>
    </row>
    <row r="549" spans="1:35" hidden="1">
      <c r="A549" s="69" t="s">
        <v>109</v>
      </c>
      <c r="B549" s="69" t="s">
        <v>115</v>
      </c>
      <c r="C549" s="63" t="s">
        <v>1500</v>
      </c>
      <c r="D549" s="69"/>
      <c r="E549" s="68" t="s">
        <v>78</v>
      </c>
      <c r="F549" s="19" t="str">
        <f>IF($C549="","",IF($E549="","-",IFERROR(INDEX(SETUP!$B$55:$B$64,MATCH($E549,SETUP!$A$55:$A$64,0)),"Other")))</f>
        <v>Melee DPS</v>
      </c>
      <c r="G549" s="70">
        <v>59749</v>
      </c>
      <c r="H549" s="19" t="str">
        <f>IF($C549="","",IF($G549="","-",INDEX(SETUP!$B$26:$B$32,MATCH($G549,SETUP!$A$26:$A$32,1))))</f>
        <v>58,000 - 59,999</v>
      </c>
      <c r="I549" s="70">
        <v>963</v>
      </c>
      <c r="J549" s="19" t="str">
        <f>IF($C549="","",IF($I549="","-",INDEX(SETUP!$B$16:$B$22,MATCH($I549,SETUP!$A$16:$A$22,1))))</f>
        <v>ROOKIE</v>
      </c>
      <c r="K549" s="19" t="str">
        <f>IF($C549="","",IF($I549="","-",TEXT(INT($I549/1000)*1000,"#,##0")&amp;" - "&amp;TEXT(INT($I549/1000)*1000+999,"#,##0")))</f>
        <v>0 - 999</v>
      </c>
      <c r="L549" s="71">
        <v>2.85</v>
      </c>
      <c r="M549" s="19" t="str">
        <f>IF($C549="","",IF($L549="","-",INDEX(SETUP!$B$36:$B$42,MATCH($L549,SETUP!$A$36:$A$42,1))))</f>
        <v>Under 3k</v>
      </c>
      <c r="N549" s="21">
        <f>IF($C549="","",IF(OR($G549="",$I549=""),"",ROUND(100*(SETUP!$B$4*MIN(1,$I549/SETUP!$B$9)+SETUP!$B$5*MAX(0,MIN(1,($G549-SETUP!$B$10)/(SETUP!$B$11-SETUP!$B$10)))+SETUP!$B$6*MIN(1,IF($L549="",0,$L549)/SETUP!$B$12)),1)))</f>
        <v>21.5</v>
      </c>
      <c r="O549" s="19" t="str">
        <f>IF($C549="","",IF($N549="","-",INDEX(SETUP!$B$46:$B$51,MATCH($N549,SETUP!$A$46:$A$51,1))))</f>
        <v>C</v>
      </c>
      <c r="P549" s="19">
        <f>IF($C549="","",IF($I549="","",RANK($I549,$I$4:$I$1463)+COUNTIF($I$4:$I549,$I549)-1))</f>
        <v>1281</v>
      </c>
      <c r="Q549" s="19">
        <f>IF($C549="","",COUNTIFS($B$4:$B$1463,$B549,$X$4:$X$1463,"&gt;"&amp;$X549)+COUNTIFS($B$4:$B549,$B549,$X$4:$X549,"="&amp;$X549))</f>
        <v>63</v>
      </c>
      <c r="R549" s="75">
        <f>IF($C549="","",IF($I549="","",ROUND(COUNTIF($I$4:$I$1463,"&lt;"&amp;$I549)/COUNT($I$4:$I$1463),3)))</f>
        <v>3.3000000000000002E-2</v>
      </c>
      <c r="S549" s="19" t="str">
        <f>IF($C549="","",IF($G549="","Name only",IF(OR($I549="",$L549=""),"Partial","Complete")))</f>
        <v>Complete</v>
      </c>
      <c r="T549" s="1" t="str">
        <f>IF($C549="","",TRIM(IF(COUNTIF($C$4:$C$1463,$C549)&gt;1,"Dup name; ","")&amp;IF(AND($G549&lt;&gt;"",$G549&lt;55000),"Low CR - verify; ","")&amp;IF(AND($L549&lt;&gt;"",$L549&gt;15),"Secondary - verify; ","")&amp;IF($E549="","No class; ","")))</f>
        <v/>
      </c>
      <c r="U549" s="68"/>
      <c r="V549" s="68"/>
      <c r="W549" s="68"/>
      <c r="X549" s="76">
        <f t="shared" si="42"/>
        <v>963</v>
      </c>
      <c r="Y549" s="1" t="str">
        <f t="shared" si="43"/>
        <v>SUB ROSA|63</v>
      </c>
      <c r="Z549" s="19">
        <f>IF($C549="","",IF($G549="","",RANK($G549,$G$4:$G$1463)+COUNTIF($G$4:$G549,$G549)-1))</f>
        <v>1253</v>
      </c>
      <c r="AA549" s="19">
        <f>IF($C549="","",IF($N549="","",RANK($N549,$N$4:$N$1463)+COUNTIF($N$4:$N549,$N549)-1))</f>
        <v>1282</v>
      </c>
      <c r="AB549" s="1" t="str">
        <f>IF($C549="","",IF($E549="","",$E549&amp;"#"&amp;(COUNTIFS($E$4:$E$1463,$E549,$X$4:$X$1463,"&gt;"&amp;$X549)+COUNTIFS($E$4:$E549,$E549,$X$4:$X549,"="&amp;$X549))))</f>
        <v>TEMPEST#61</v>
      </c>
      <c r="AC549" s="1" t="str">
        <f>IF($C549="","",$B549&amp;"@"&amp;(COUNTIFS($B$4:$B$1463,$B549,$C$4:$C$1463,"&lt;"&amp;$C549)+COUNTIFS($B$4:$B549,$B549,$C$4:$C549,$C549)))</f>
        <v>SUB ROSA@36</v>
      </c>
      <c r="AD549" s="1">
        <f t="shared" si="44"/>
        <v>546</v>
      </c>
      <c r="AE549" s="1" t="s">
        <v>1501</v>
      </c>
      <c r="AF549" s="76">
        <f t="shared" si="45"/>
        <v>59749</v>
      </c>
      <c r="AG549" s="77">
        <f t="shared" si="46"/>
        <v>2.85</v>
      </c>
      <c r="AH549" s="1" t="str">
        <f>IF($C549="","",$B549&amp;"|"&amp;(COUNTIFS($B$4:$B$1463,$B549,$AF$4:$AF$1463,"&gt;"&amp;$AF549)+COUNTIFS($B$4:$B549,$B549,$AF$4:$AF549,"="&amp;$AF549)))</f>
        <v>SUB ROSA|58</v>
      </c>
      <c r="AI549" s="1" t="str">
        <f>IF($C549="","",$B549&amp;"|"&amp;(COUNTIFS($B$4:$B$1463,$B549,$AG$4:$AG$1463,"&gt;"&amp;$AG549)+COUNTIFS($B$4:$B549,$B549,$AG$4:$AG549,"="&amp;$AG549)))</f>
        <v>SUB ROSA|59</v>
      </c>
    </row>
    <row r="550" spans="1:35" hidden="1">
      <c r="A550" s="69" t="s">
        <v>109</v>
      </c>
      <c r="B550" s="69" t="s">
        <v>114</v>
      </c>
      <c r="C550" s="63" t="s">
        <v>1502</v>
      </c>
      <c r="D550" s="69"/>
      <c r="E550" s="68" t="s">
        <v>74</v>
      </c>
      <c r="F550" s="15" t="str">
        <f>IF($C550="","",IF($E550="","-",IFERROR(INDEX(SETUP!$B$55:$B$64,MATCH($E550,SETUP!$A$55:$A$64,0)),"Other")))</f>
        <v>Ranged DPS</v>
      </c>
      <c r="G550" s="70">
        <v>62839</v>
      </c>
      <c r="H550" s="15" t="str">
        <f>IF($C550="","",IF($G550="","-",INDEX(SETUP!$B$26:$B$32,MATCH($G550,SETUP!$A$26:$A$32,1))))</f>
        <v>62,000 - 62,999</v>
      </c>
      <c r="I550" s="70">
        <v>3352</v>
      </c>
      <c r="J550" s="15" t="str">
        <f>IF($C550="","",IF($I550="","-",INDEX(SETUP!$B$16:$B$22,MATCH($I550,SETUP!$A$16:$A$22,1))))</f>
        <v>DEVELOPING</v>
      </c>
      <c r="K550" s="15" t="str">
        <f>IF($C550="","",IF($I550="","-",TEXT(INT($I550/1000)*1000,"#,##0")&amp;" - "&amp;TEXT(INT($I550/1000)*1000+999,"#,##0")))</f>
        <v>3,000 - 3,999</v>
      </c>
      <c r="L550" s="71">
        <v>3.57</v>
      </c>
      <c r="M550" s="15" t="str">
        <f>IF($C550="","",IF($L550="","-",INDEX(SETUP!$B$36:$B$42,MATCH($L550,SETUP!$A$36:$A$42,1))))</f>
        <v>3k - 4k</v>
      </c>
      <c r="N550" s="17">
        <f>IF($C550="","",IF(OR($G550="",$I550=""),"",ROUND(100*(SETUP!$B$4*MIN(1,$I550/SETUP!$B$9)+SETUP!$B$5*MAX(0,MIN(1,($G550-SETUP!$B$10)/(SETUP!$B$11-SETUP!$B$10)))+SETUP!$B$6*MIN(1,IF($L550="",0,$L550)/SETUP!$B$12)),1)))</f>
        <v>41.2</v>
      </c>
      <c r="O550" s="15" t="str">
        <f>IF($C550="","",IF($N550="","-",INDEX(SETUP!$B$46:$B$51,MATCH($N550,SETUP!$A$46:$A$51,1))))</f>
        <v>B</v>
      </c>
      <c r="P550" s="15">
        <f>IF($C550="","",IF($I550="","",RANK($I550,$I$4:$I$1463)+COUNTIF($I$4:$I550,$I550)-1))</f>
        <v>771</v>
      </c>
      <c r="Q550" s="15">
        <f>IF($C550="","",COUNTIFS($B$4:$B$1463,$B550,$X$4:$X$1463,"&gt;"&amp;$X550)+COUNTIFS($B$4:$B550,$B550,$X$4:$X550,"="&amp;$X550))</f>
        <v>19</v>
      </c>
      <c r="R550" s="72">
        <f>IF($C550="","",IF($I550="","",ROUND(COUNTIF($I$4:$I$1463,"&lt;"&amp;$I550)/COUNT($I$4:$I$1463),3)))</f>
        <v>0.41799999999999998</v>
      </c>
      <c r="S550" s="15" t="str">
        <f>IF($C550="","",IF($G550="","Name only",IF(OR($I550="",$L550=""),"Partial","Complete")))</f>
        <v>Complete</v>
      </c>
      <c r="T550" s="41" t="str">
        <f>IF($C550="","",TRIM(IF(COUNTIF($C$4:$C$1463,$C550)&gt;1,"Dup name; ","")&amp;IF(AND($G550&lt;&gt;"",$G550&lt;55000),"Low CR - verify; ","")&amp;IF(AND($L550&lt;&gt;"",$L550&gt;15),"Secondary - verify; ","")&amp;IF($E550="","No class; ","")))</f>
        <v/>
      </c>
      <c r="U550" s="68"/>
      <c r="V550" s="68"/>
      <c r="W550" s="68"/>
      <c r="X550" s="73">
        <f t="shared" si="42"/>
        <v>3352</v>
      </c>
      <c r="Y550" s="41" t="str">
        <f t="shared" si="43"/>
        <v>EMERALD LEAF TRIBE|19</v>
      </c>
      <c r="Z550" s="15">
        <f>IF($C550="","",IF($G550="","",RANK($G550,$G$4:$G$1463)+COUNTIF($G$4:$G550,$G550)-1))</f>
        <v>503</v>
      </c>
      <c r="AA550" s="15">
        <f>IF($C550="","",IF($N550="","",RANK($N550,$N$4:$N$1463)+COUNTIF($N$4:$N550,$N550)-1))</f>
        <v>764</v>
      </c>
      <c r="AB550" s="41" t="str">
        <f>IF($C550="","",IF($E550="","",$E550&amp;"#"&amp;(COUNTIFS($E$4:$E$1463,$E550,$X$4:$X$1463,"&gt;"&amp;$X550)+COUNTIFS($E$4:$E550,$E550,$X$4:$X550,"="&amp;$X550))))</f>
        <v>DEMON HUNTER#124</v>
      </c>
      <c r="AC550" s="41" t="str">
        <f>IF($C550="","",$B550&amp;"@"&amp;(COUNTIFS($B$4:$B$1463,$B550,$C$4:$C$1463,"&lt;"&amp;$C550)+COUNTIFS($B$4:$B550,$B550,$C$4:$C550,$C550)))</f>
        <v>EMERALD LEAF TRIBE@37</v>
      </c>
      <c r="AD550" s="41">
        <f t="shared" si="44"/>
        <v>547</v>
      </c>
      <c r="AE550" s="41" t="s">
        <v>1503</v>
      </c>
      <c r="AF550" s="73">
        <f t="shared" si="45"/>
        <v>62839</v>
      </c>
      <c r="AG550" s="74">
        <f t="shared" si="46"/>
        <v>3.57</v>
      </c>
      <c r="AH550" s="41" t="str">
        <f>IF($C550="","",$B550&amp;"|"&amp;(COUNTIFS($B$4:$B$1463,$B550,$AF$4:$AF$1463,"&gt;"&amp;$AF550)+COUNTIFS($B$4:$B550,$B550,$AF$4:$AF550,"="&amp;$AF550)))</f>
        <v>EMERALD LEAF TRIBE|11</v>
      </c>
      <c r="AI550" s="41" t="str">
        <f>IF($C550="","",$B550&amp;"|"&amp;(COUNTIFS($B$4:$B$1463,$B550,$AG$4:$AG$1463,"&gt;"&amp;$AG550)+COUNTIFS($B$4:$B550,$B550,$AG$4:$AG550,"="&amp;$AG550)))</f>
        <v>EMERALD LEAF TRIBE|49</v>
      </c>
    </row>
    <row r="551" spans="1:35" hidden="1">
      <c r="A551" s="69" t="s">
        <v>106</v>
      </c>
      <c r="B551" s="69" t="s">
        <v>107</v>
      </c>
      <c r="C551" s="63" t="s">
        <v>1504</v>
      </c>
      <c r="D551" s="69"/>
      <c r="E551" s="68" t="s">
        <v>79</v>
      </c>
      <c r="F551" s="19" t="str">
        <f>IF($C551="","",IF($E551="","-",IFERROR(INDEX(SETUP!$B$55:$B$64,MATCH($E551,SETUP!$A$55:$A$64,0)),"Other")))</f>
        <v>Control</v>
      </c>
      <c r="G551" s="70">
        <v>62455</v>
      </c>
      <c r="H551" s="19" t="str">
        <f>IF($C551="","",IF($G551="","-",INDEX(SETUP!$B$26:$B$32,MATCH($G551,SETUP!$A$26:$A$32,1))))</f>
        <v>62,000 - 62,999</v>
      </c>
      <c r="I551" s="70">
        <v>6930</v>
      </c>
      <c r="J551" s="19" t="str">
        <f>IF($C551="","",IF($I551="","-",INDEX(SETUP!$B$16:$B$22,MATCH($I551,SETUP!$A$16:$A$22,1))))</f>
        <v>VETERAN</v>
      </c>
      <c r="K551" s="19" t="str">
        <f>IF($C551="","",IF($I551="","-",TEXT(INT($I551/1000)*1000,"#,##0")&amp;" - "&amp;TEXT(INT($I551/1000)*1000+999,"#,##0")))</f>
        <v>6,000 - 6,999</v>
      </c>
      <c r="L551" s="71">
        <v>8.5</v>
      </c>
      <c r="M551" s="19" t="str">
        <f>IF($C551="","",IF($L551="","-",INDEX(SETUP!$B$36:$B$42,MATCH($L551,SETUP!$A$36:$A$42,1))))</f>
        <v>8k - 10k</v>
      </c>
      <c r="N551" s="21">
        <f>IF($C551="","",IF(OR($G551="",$I551=""),"",ROUND(100*(SETUP!$B$4*MIN(1,$I551/SETUP!$B$9)+SETUP!$B$5*MAX(0,MIN(1,($G551-SETUP!$B$10)/(SETUP!$B$11-SETUP!$B$10)))+SETUP!$B$6*MIN(1,IF($L551="",0,$L551)/SETUP!$B$12)),1)))</f>
        <v>64</v>
      </c>
      <c r="O551" s="19" t="str">
        <f>IF($C551="","",IF($N551="","-",INDEX(SETUP!$B$46:$B$51,MATCH($N551,SETUP!$A$46:$A$51,1))))</f>
        <v>A</v>
      </c>
      <c r="P551" s="19">
        <f>IF($C551="","",IF($I551="","",RANK($I551,$I$4:$I$1463)+COUNTIF($I$4:$I551,$I551)-1))</f>
        <v>225</v>
      </c>
      <c r="Q551" s="19">
        <f>IF($C551="","",COUNTIFS($B$4:$B$1463,$B551,$X$4:$X$1463,"&gt;"&amp;$X551)+COUNTIFS($B$4:$B551,$B551,$X$4:$X551,"="&amp;$X551))</f>
        <v>16</v>
      </c>
      <c r="R551" s="75">
        <f>IF($C551="","",IF($I551="","",ROUND(COUNTIF($I$4:$I$1463,"&lt;"&amp;$I551)/COUNT($I$4:$I$1463),3)))</f>
        <v>0.83</v>
      </c>
      <c r="S551" s="19" t="str">
        <f>IF($C551="","",IF($G551="","Name only",IF(OR($I551="",$L551=""),"Partial","Complete")))</f>
        <v>Complete</v>
      </c>
      <c r="T551" s="1" t="str">
        <f>IF($C551="","",TRIM(IF(COUNTIF($C$4:$C$1463,$C551)&gt;1,"Dup name; ","")&amp;IF(AND($G551&lt;&gt;"",$G551&lt;55000),"Low CR - verify; ","")&amp;IF(AND($L551&lt;&gt;"",$L551&gt;15),"Secondary - verify; ","")&amp;IF($E551="","No class; ","")))</f>
        <v/>
      </c>
      <c r="U551" s="68"/>
      <c r="V551" s="68"/>
      <c r="W551" s="68"/>
      <c r="X551" s="76">
        <f t="shared" si="42"/>
        <v>6930</v>
      </c>
      <c r="Y551" s="1" t="str">
        <f t="shared" si="43"/>
        <v>UNDYING|16</v>
      </c>
      <c r="Z551" s="19">
        <f>IF($C551="","",IF($G551="","",RANK($G551,$G$4:$G$1463)+COUNTIF($G$4:$G551,$G551)-1))</f>
        <v>667</v>
      </c>
      <c r="AA551" s="19">
        <f>IF($C551="","",IF($N551="","",RANK($N551,$N$4:$N$1463)+COUNTIF($N$4:$N551,$N551)-1))</f>
        <v>188</v>
      </c>
      <c r="AB551" s="1" t="str">
        <f>IF($C551="","",IF($E551="","",$E551&amp;"#"&amp;(COUNTIFS($E$4:$E$1463,$E551,$X$4:$X$1463,"&gt;"&amp;$X551)+COUNTIFS($E$4:$E551,$E551,$X$4:$X551,"="&amp;$X551))))</f>
        <v>WARLOCK#48</v>
      </c>
      <c r="AC551" s="1" t="str">
        <f>IF($C551="","",$B551&amp;"@"&amp;(COUNTIFS($B$4:$B$1463,$B551,$C$4:$C$1463,"&lt;"&amp;$C551)+COUNTIFS($B$4:$B551,$B551,$C$4:$C551,$C551)))</f>
        <v>UNDYING@47</v>
      </c>
      <c r="AD551" s="1">
        <f t="shared" si="44"/>
        <v>548</v>
      </c>
      <c r="AE551" s="1" t="s">
        <v>1505</v>
      </c>
      <c r="AF551" s="76">
        <f t="shared" si="45"/>
        <v>62455</v>
      </c>
      <c r="AG551" s="77">
        <f t="shared" si="46"/>
        <v>8.5</v>
      </c>
      <c r="AH551" s="1" t="str">
        <f>IF($C551="","",$B551&amp;"|"&amp;(COUNTIFS($B$4:$B$1463,$B551,$AF$4:$AF$1463,"&gt;"&amp;$AF551)+COUNTIFS($B$4:$B551,$B551,$AF$4:$AF551,"="&amp;$AF551)))</f>
        <v>UNDYING|65</v>
      </c>
      <c r="AI551" s="1" t="str">
        <f>IF($C551="","",$B551&amp;"|"&amp;(COUNTIFS($B$4:$B$1463,$B551,$AG$4:$AG$1463,"&gt;"&amp;$AG551)+COUNTIFS($B$4:$B551,$B551,$AG$4:$AG551,"="&amp;$AG551)))</f>
        <v>UNDYING|3</v>
      </c>
    </row>
    <row r="552" spans="1:35" hidden="1">
      <c r="A552" s="69" t="s">
        <v>106</v>
      </c>
      <c r="B552" s="69" t="s">
        <v>86</v>
      </c>
      <c r="C552" s="63" t="s">
        <v>1506</v>
      </c>
      <c r="D552" s="69"/>
      <c r="E552" s="68" t="s">
        <v>72</v>
      </c>
      <c r="F552" s="15" t="str">
        <f>IF($C552="","",IF($E552="","-",IFERROR(INDEX(SETUP!$B$55:$B$64,MATCH($E552,SETUP!$A$55:$A$64,0)),"Other")))</f>
        <v>Frontline</v>
      </c>
      <c r="G552" s="70">
        <v>63118</v>
      </c>
      <c r="H552" s="15" t="str">
        <f>IF($C552="","",IF($G552="","-",INDEX(SETUP!$B$26:$B$32,MATCH($G552,SETUP!$A$26:$A$32,1))))</f>
        <v>63,000 - 63,999</v>
      </c>
      <c r="I552" s="70">
        <v>3328</v>
      </c>
      <c r="J552" s="15" t="str">
        <f>IF($C552="","",IF($I552="","-",INDEX(SETUP!$B$16:$B$22,MATCH($I552,SETUP!$A$16:$A$22,1))))</f>
        <v>DEVELOPING</v>
      </c>
      <c r="K552" s="15" t="str">
        <f>IF($C552="","",IF($I552="","-",TEXT(INT($I552/1000)*1000,"#,##0")&amp;" - "&amp;TEXT(INT($I552/1000)*1000+999,"#,##0")))</f>
        <v>3,000 - 3,999</v>
      </c>
      <c r="L552" s="71">
        <v>5.25</v>
      </c>
      <c r="M552" s="15" t="str">
        <f>IF($C552="","",IF($L552="","-",INDEX(SETUP!$B$36:$B$42,MATCH($L552,SETUP!$A$36:$A$42,1))))</f>
        <v>5k - 6k</v>
      </c>
      <c r="N552" s="17">
        <f>IF($C552="","",IF(OR($G552="",$I552=""),"",ROUND(100*(SETUP!$B$4*MIN(1,$I552/SETUP!$B$9)+SETUP!$B$5*MAX(0,MIN(1,($G552-SETUP!$B$10)/(SETUP!$B$11-SETUP!$B$10)))+SETUP!$B$6*MIN(1,IF($L552="",0,$L552)/SETUP!$B$12)),1)))</f>
        <v>44.6</v>
      </c>
      <c r="O552" s="15" t="str">
        <f>IF($C552="","",IF($N552="","-",INDEX(SETUP!$B$46:$B$51,MATCH($N552,SETUP!$A$46:$A$51,1))))</f>
        <v>B</v>
      </c>
      <c r="P552" s="15">
        <f>IF($C552="","",IF($I552="","",RANK($I552,$I$4:$I$1463)+COUNTIF($I$4:$I552,$I552)-1))</f>
        <v>779</v>
      </c>
      <c r="Q552" s="15">
        <f>IF($C552="","",COUNTIFS($B$4:$B$1463,$B552,$X$4:$X$1463,"&gt;"&amp;$X552)+COUNTIFS($B$4:$B552,$B552,$X$4:$X552,"="&amp;$X552))</f>
        <v>87</v>
      </c>
      <c r="R552" s="72">
        <f>IF($C552="","",IF($I552="","",ROUND(COUNTIF($I$4:$I$1463,"&lt;"&amp;$I552)/COUNT($I$4:$I$1463),3)))</f>
        <v>0.41199999999999998</v>
      </c>
      <c r="S552" s="15" t="str">
        <f>IF($C552="","",IF($G552="","Name only",IF(OR($I552="",$L552=""),"Partial","Complete")))</f>
        <v>Complete</v>
      </c>
      <c r="T552" s="41" t="str">
        <f>IF($C552="","",TRIM(IF(COUNTIF($C$4:$C$1463,$C552)&gt;1,"Dup name; ","")&amp;IF(AND($G552&lt;&gt;"",$G552&lt;55000),"Low CR - verify; ","")&amp;IF(AND($L552&lt;&gt;"",$L552&gt;15),"Secondary - verify; ","")&amp;IF($E552="","No class; ","")))</f>
        <v/>
      </c>
      <c r="U552" s="68"/>
      <c r="V552" s="68"/>
      <c r="W552" s="68"/>
      <c r="X552" s="73">
        <f t="shared" si="42"/>
        <v>3328</v>
      </c>
      <c r="Y552" s="41" t="str">
        <f t="shared" si="43"/>
        <v>VANGUARD|87</v>
      </c>
      <c r="Z552" s="15">
        <f>IF($C552="","",IF($G552="","",RANK($G552,$G$4:$G$1463)+COUNTIF($G$4:$G552,$G552)-1))</f>
        <v>365</v>
      </c>
      <c r="AA552" s="15">
        <f>IF($C552="","",IF($N552="","",RANK($N552,$N$4:$N$1463)+COUNTIF($N$4:$N552,$N552)-1))</f>
        <v>636</v>
      </c>
      <c r="AB552" s="41" t="str">
        <f>IF($C552="","",IF($E552="","",$E552&amp;"#"&amp;(COUNTIFS($E$4:$E$1463,$E552,$X$4:$X$1463,"&gt;"&amp;$X552)+COUNTIFS($E$4:$E552,$E552,$X$4:$X552,"="&amp;$X552))))</f>
        <v>BLOOD KNIGHT#54</v>
      </c>
      <c r="AC552" s="41" t="str">
        <f>IF($C552="","",$B552&amp;"@"&amp;(COUNTIFS($B$4:$B$1463,$B552,$C$4:$C$1463,"&lt;"&amp;$C552)+COUNTIFS($B$4:$B552,$B552,$C$4:$C552,$C552)))</f>
        <v>VANGUARD@49</v>
      </c>
      <c r="AD552" s="41">
        <f t="shared" si="44"/>
        <v>549</v>
      </c>
      <c r="AE552" s="41" t="s">
        <v>1507</v>
      </c>
      <c r="AF552" s="73">
        <f t="shared" si="45"/>
        <v>63118</v>
      </c>
      <c r="AG552" s="74">
        <f t="shared" si="46"/>
        <v>5.25</v>
      </c>
      <c r="AH552" s="41" t="str">
        <f>IF($C552="","",$B552&amp;"|"&amp;(COUNTIFS($B$4:$B$1463,$B552,$AF$4:$AF$1463,"&gt;"&amp;$AF552)+COUNTIFS($B$4:$B552,$B552,$AF$4:$AF552,"="&amp;$AF552)))</f>
        <v>VANGUARD|60</v>
      </c>
      <c r="AI552" s="41" t="str">
        <f>IF($C552="","",$B552&amp;"|"&amp;(COUNTIFS($B$4:$B$1463,$B552,$AG$4:$AG$1463,"&gt;"&amp;$AG552)+COUNTIFS($B$4:$B552,$B552,$AG$4:$AG552,"="&amp;$AG552)))</f>
        <v>VANGUARD|59</v>
      </c>
    </row>
    <row r="553" spans="1:35" hidden="1">
      <c r="A553" s="69" t="s">
        <v>109</v>
      </c>
      <c r="B553" s="69" t="s">
        <v>117</v>
      </c>
      <c r="C553" s="63" t="s">
        <v>1508</v>
      </c>
      <c r="D553" s="69"/>
      <c r="E553" s="68" t="s">
        <v>73</v>
      </c>
      <c r="F553" s="19" t="str">
        <f>IF($C553="","",IF($E553="","-",IFERROR(INDEX(SETUP!$B$55:$B$64,MATCH($E553,SETUP!$A$55:$A$64,0)),"Other")))</f>
        <v>Frontline</v>
      </c>
      <c r="G553" s="70">
        <v>63061</v>
      </c>
      <c r="H553" s="19" t="str">
        <f>IF($C553="","",IF($G553="","-",INDEX(SETUP!$B$26:$B$32,MATCH($G553,SETUP!$A$26:$A$32,1))))</f>
        <v>63,000 - 63,999</v>
      </c>
      <c r="I553" s="70">
        <v>3513</v>
      </c>
      <c r="J553" s="19" t="str">
        <f>IF($C553="","",IF($I553="","-",INDEX(SETUP!$B$16:$B$22,MATCH($I553,SETUP!$A$16:$A$22,1))))</f>
        <v>DEVELOPING</v>
      </c>
      <c r="K553" s="19" t="str">
        <f>IF($C553="","",IF($I553="","-",TEXT(INT($I553/1000)*1000,"#,##0")&amp;" - "&amp;TEXT(INT($I553/1000)*1000+999,"#,##0")))</f>
        <v>3,000 - 3,999</v>
      </c>
      <c r="L553" s="71">
        <v>4.5</v>
      </c>
      <c r="M553" s="19" t="str">
        <f>IF($C553="","",IF($L553="","-",INDEX(SETUP!$B$36:$B$42,MATCH($L553,SETUP!$A$36:$A$42,1))))</f>
        <v>4k - 5k</v>
      </c>
      <c r="N553" s="21">
        <f>IF($C553="","",IF(OR($G553="",$I553=""),"",ROUND(100*(SETUP!$B$4*MIN(1,$I553/SETUP!$B$9)+SETUP!$B$5*MAX(0,MIN(1,($G553-SETUP!$B$10)/(SETUP!$B$11-SETUP!$B$10)))+SETUP!$B$6*MIN(1,IF($L553="",0,$L553)/SETUP!$B$12)),1)))</f>
        <v>44</v>
      </c>
      <c r="O553" s="19" t="str">
        <f>IF($C553="","",IF($N553="","-",INDEX(SETUP!$B$46:$B$51,MATCH($N553,SETUP!$A$46:$A$51,1))))</f>
        <v>B</v>
      </c>
      <c r="P553" s="19">
        <f>IF($C553="","",IF($I553="","",RANK($I553,$I$4:$I$1463)+COUNTIF($I$4:$I553,$I553)-1))</f>
        <v>727</v>
      </c>
      <c r="Q553" s="19">
        <f>IF($C553="","",COUNTIFS($B$4:$B$1463,$B553,$X$4:$X$1463,"&gt;"&amp;$X553)+COUNTIFS($B$4:$B553,$B553,$X$4:$X553,"="&amp;$X553))</f>
        <v>7</v>
      </c>
      <c r="R553" s="75">
        <f>IF($C553="","",IF($I553="","",ROUND(COUNTIF($I$4:$I$1463,"&lt;"&amp;$I553)/COUNT($I$4:$I$1463),3)))</f>
        <v>0.45100000000000001</v>
      </c>
      <c r="S553" s="19" t="str">
        <f>IF($C553="","",IF($G553="","Name only",IF(OR($I553="",$L553=""),"Partial","Complete")))</f>
        <v>Complete</v>
      </c>
      <c r="T553" s="1" t="str">
        <f>IF($C553="","",TRIM(IF(COUNTIF($C$4:$C$1463,$C553)&gt;1,"Dup name; ","")&amp;IF(AND($G553&lt;&gt;"",$G553&lt;55000),"Low CR - verify; ","")&amp;IF(AND($L553&lt;&gt;"",$L553&gt;15),"Secondary - verify; ","")&amp;IF($E553="","No class; ","")))</f>
        <v/>
      </c>
      <c r="U553" s="68"/>
      <c r="V553" s="68"/>
      <c r="W553" s="68"/>
      <c r="X553" s="76">
        <f t="shared" si="42"/>
        <v>3513</v>
      </c>
      <c r="Y553" s="1" t="str">
        <f t="shared" si="43"/>
        <v>VENDETTA|7</v>
      </c>
      <c r="Z553" s="19">
        <f>IF($C553="","",IF($G553="","",RANK($G553,$G$4:$G$1463)+COUNTIF($G$4:$G553,$G553)-1))</f>
        <v>395</v>
      </c>
      <c r="AA553" s="19">
        <f>IF($C553="","",IF($N553="","",RANK($N553,$N$4:$N$1463)+COUNTIF($N$4:$N553,$N553)-1))</f>
        <v>670</v>
      </c>
      <c r="AB553" s="1" t="str">
        <f>IF($C553="","",IF($E553="","",$E553&amp;"#"&amp;(COUNTIFS($E$4:$E$1463,$E553,$X$4:$X$1463,"&gt;"&amp;$X553)+COUNTIFS($E$4:$E553,$E553,$X$4:$X553,"="&amp;$X553))))</f>
        <v>CRUSADER#81</v>
      </c>
      <c r="AC553" s="1" t="str">
        <f>IF($C553="","",$B553&amp;"@"&amp;(COUNTIFS($B$4:$B$1463,$B553,$C$4:$C$1463,"&lt;"&amp;$C553)+COUNTIFS($B$4:$B553,$B553,$C$4:$C553,$C553)))</f>
        <v>VENDETTA@42</v>
      </c>
      <c r="AD553" s="1">
        <f t="shared" si="44"/>
        <v>550</v>
      </c>
      <c r="AE553" s="1" t="s">
        <v>1246</v>
      </c>
      <c r="AF553" s="76">
        <f t="shared" si="45"/>
        <v>63061</v>
      </c>
      <c r="AG553" s="77">
        <f t="shared" si="46"/>
        <v>4.5</v>
      </c>
      <c r="AH553" s="1" t="str">
        <f>IF($C553="","",$B553&amp;"|"&amp;(COUNTIFS($B$4:$B$1463,$B553,$AF$4:$AF$1463,"&gt;"&amp;$AF553)+COUNTIFS($B$4:$B553,$B553,$AF$4:$AF553,"="&amp;$AF553)))</f>
        <v>VENDETTA|4</v>
      </c>
      <c r="AI553" s="1" t="str">
        <f>IF($C553="","",$B553&amp;"|"&amp;(COUNTIFS($B$4:$B$1463,$B553,$AG$4:$AG$1463,"&gt;"&amp;$AG553)+COUNTIFS($B$4:$B553,$B553,$AG$4:$AG553,"="&amp;$AG553)))</f>
        <v>VENDETTA|17</v>
      </c>
    </row>
    <row r="554" spans="1:35" hidden="1">
      <c r="A554" s="69" t="s">
        <v>109</v>
      </c>
      <c r="B554" s="69" t="s">
        <v>108</v>
      </c>
      <c r="C554" s="63" t="s">
        <v>1509</v>
      </c>
      <c r="D554" s="69"/>
      <c r="E554" s="68" t="s">
        <v>71</v>
      </c>
      <c r="F554" s="15" t="str">
        <f>IF($C554="","",IF($E554="","-",IFERROR(INDEX(SETUP!$B$55:$B$64,MATCH($E554,SETUP!$A$55:$A$64,0)),"Other")))</f>
        <v>Frontline</v>
      </c>
      <c r="G554" s="70">
        <v>62606</v>
      </c>
      <c r="H554" s="15" t="str">
        <f>IF($C554="","",IF($G554="","-",INDEX(SETUP!$B$26:$B$32,MATCH($G554,SETUP!$A$26:$A$32,1))))</f>
        <v>62,000 - 62,999</v>
      </c>
      <c r="I554" s="70">
        <v>3452</v>
      </c>
      <c r="J554" s="15" t="str">
        <f>IF($C554="","",IF($I554="","-",INDEX(SETUP!$B$16:$B$22,MATCH($I554,SETUP!$A$16:$A$22,1))))</f>
        <v>DEVELOPING</v>
      </c>
      <c r="K554" s="15" t="str">
        <f>IF($C554="","",IF($I554="","-",TEXT(INT($I554/1000)*1000,"#,##0")&amp;" - "&amp;TEXT(INT($I554/1000)*1000+999,"#,##0")))</f>
        <v>3,000 - 3,999</v>
      </c>
      <c r="L554" s="71">
        <v>4.8499999999999996</v>
      </c>
      <c r="M554" s="15" t="str">
        <f>IF($C554="","",IF($L554="","-",INDEX(SETUP!$B$36:$B$42,MATCH($L554,SETUP!$A$36:$A$42,1))))</f>
        <v>4k - 5k</v>
      </c>
      <c r="N554" s="17">
        <f>IF($C554="","",IF(OR($G554="",$I554=""),"",ROUND(100*(SETUP!$B$4*MIN(1,$I554/SETUP!$B$9)+SETUP!$B$5*MAX(0,MIN(1,($G554-SETUP!$B$10)/(SETUP!$B$11-SETUP!$B$10)))+SETUP!$B$6*MIN(1,IF($L554="",0,$L554)/SETUP!$B$12)),1)))</f>
        <v>43.2</v>
      </c>
      <c r="O554" s="15" t="str">
        <f>IF($C554="","",IF($N554="","-",INDEX(SETUP!$B$46:$B$51,MATCH($N554,SETUP!$A$46:$A$51,1))))</f>
        <v>B</v>
      </c>
      <c r="P554" s="15">
        <f>IF($C554="","",IF($I554="","",RANK($I554,$I$4:$I$1463)+COUNTIF($I$4:$I554,$I554)-1))</f>
        <v>745</v>
      </c>
      <c r="Q554" s="15">
        <f>IF($C554="","",COUNTIFS($B$4:$B$1463,$B554,$X$4:$X$1463,"&gt;"&amp;$X554)+COUNTIFS($B$4:$B554,$B554,$X$4:$X554,"="&amp;$X554))</f>
        <v>84</v>
      </c>
      <c r="R554" s="72">
        <f>IF($C554="","",IF($I554="","",ROUND(COUNTIF($I$4:$I$1463,"&lt;"&amp;$I554)/COUNT($I$4:$I$1463),3)))</f>
        <v>0.438</v>
      </c>
      <c r="S554" s="15" t="str">
        <f>IF($C554="","",IF($G554="","Name only",IF(OR($I554="",$L554=""),"Partial","Complete")))</f>
        <v>Complete</v>
      </c>
      <c r="T554" s="41" t="str">
        <f>IF($C554="","",TRIM(IF(COUNTIF($C$4:$C$1463,$C554)&gt;1,"Dup name; ","")&amp;IF(AND($G554&lt;&gt;"",$G554&lt;55000),"Low CR - verify; ","")&amp;IF(AND($L554&lt;&gt;"",$L554&gt;15),"Secondary - verify; ","")&amp;IF($E554="","No class; ","")))</f>
        <v/>
      </c>
      <c r="U554" s="68"/>
      <c r="V554" s="68"/>
      <c r="W554" s="68"/>
      <c r="X554" s="73">
        <f t="shared" si="42"/>
        <v>3452</v>
      </c>
      <c r="Y554" s="41" t="str">
        <f t="shared" si="43"/>
        <v>SBG|84</v>
      </c>
      <c r="Z554" s="15">
        <f>IF($C554="","",IF($G554="","",RANK($G554,$G$4:$G$1463)+COUNTIF($G$4:$G554,$G554)-1))</f>
        <v>610</v>
      </c>
      <c r="AA554" s="15">
        <f>IF($C554="","",IF($N554="","",RANK($N554,$N$4:$N$1463)+COUNTIF($N$4:$N554,$N554)-1))</f>
        <v>695</v>
      </c>
      <c r="AB554" s="41" t="str">
        <f>IF($C554="","",IF($E554="","",$E554&amp;"#"&amp;(COUNTIFS($E$4:$E$1463,$E554,$X$4:$X$1463,"&gt;"&amp;$X554)+COUNTIFS($E$4:$E554,$E554,$X$4:$X554,"="&amp;$X554))))</f>
        <v>BARBARIAN#129</v>
      </c>
      <c r="AC554" s="41" t="str">
        <f>IF($C554="","",$B554&amp;"@"&amp;(COUNTIFS($B$4:$B$1463,$B554,$C$4:$C$1463,"&lt;"&amp;$C554)+COUNTIFS($B$4:$B554,$B554,$C$4:$C554,$C554)))</f>
        <v>SBG@32</v>
      </c>
      <c r="AD554" s="41">
        <f t="shared" si="44"/>
        <v>551</v>
      </c>
      <c r="AE554" s="41" t="s">
        <v>1510</v>
      </c>
      <c r="AF554" s="73">
        <f t="shared" si="45"/>
        <v>62606</v>
      </c>
      <c r="AG554" s="74">
        <f t="shared" si="46"/>
        <v>4.8499999999999996</v>
      </c>
      <c r="AH554" s="41" t="str">
        <f>IF($C554="","",$B554&amp;"|"&amp;(COUNTIFS($B$4:$B$1463,$B554,$AF$4:$AF$1463,"&gt;"&amp;$AF554)+COUNTIFS($B$4:$B554,$B554,$AF$4:$AF554,"="&amp;$AF554)))</f>
        <v>SBG|56</v>
      </c>
      <c r="AI554" s="41" t="str">
        <f>IF($C554="","",$B554&amp;"|"&amp;(COUNTIFS($B$4:$B$1463,$B554,$AG$4:$AG$1463,"&gt;"&amp;$AG554)+COUNTIFS($B$4:$B554,$B554,$AG$4:$AG554,"="&amp;$AG554)))</f>
        <v>SBG|78</v>
      </c>
    </row>
    <row r="555" spans="1:35" hidden="1">
      <c r="A555" s="69" t="s">
        <v>109</v>
      </c>
      <c r="B555" s="69" t="s">
        <v>115</v>
      </c>
      <c r="C555" s="63" t="s">
        <v>1511</v>
      </c>
      <c r="D555" s="69"/>
      <c r="E555" s="68" t="s">
        <v>79</v>
      </c>
      <c r="F555" s="19" t="str">
        <f>IF($C555="","",IF($E555="","-",IFERROR(INDEX(SETUP!$B$55:$B$64,MATCH($E555,SETUP!$A$55:$A$64,0)),"Other")))</f>
        <v>Control</v>
      </c>
      <c r="G555" s="70">
        <v>62357</v>
      </c>
      <c r="H555" s="19" t="str">
        <f>IF($C555="","",IF($G555="","-",INDEX(SETUP!$B$26:$B$32,MATCH($G555,SETUP!$A$26:$A$32,1))))</f>
        <v>62,000 - 62,999</v>
      </c>
      <c r="I555" s="70">
        <v>3140</v>
      </c>
      <c r="J555" s="19" t="str">
        <f>IF($C555="","",IF($I555="","-",INDEX(SETUP!$B$16:$B$22,MATCH($I555,SETUP!$A$16:$A$22,1))))</f>
        <v>DEVELOPING</v>
      </c>
      <c r="K555" s="19" t="str">
        <f>IF($C555="","",IF($I555="","-",TEXT(INT($I555/1000)*1000,"#,##0")&amp;" - "&amp;TEXT(INT($I555/1000)*1000+999,"#,##0")))</f>
        <v>3,000 - 3,999</v>
      </c>
      <c r="L555" s="71">
        <v>4.5</v>
      </c>
      <c r="M555" s="19" t="str">
        <f>IF($C555="","",IF($L555="","-",INDEX(SETUP!$B$36:$B$42,MATCH($L555,SETUP!$A$36:$A$42,1))))</f>
        <v>4k - 5k</v>
      </c>
      <c r="N555" s="21">
        <f>IF($C555="","",IF(OR($G555="",$I555=""),"",ROUND(100*(SETUP!$B$4*MIN(1,$I555/SETUP!$B$9)+SETUP!$B$5*MAX(0,MIN(1,($G555-SETUP!$B$10)/(SETUP!$B$11-SETUP!$B$10)))+SETUP!$B$6*MIN(1,IF($L555="",0,$L555)/SETUP!$B$12)),1)))</f>
        <v>40.6</v>
      </c>
      <c r="O555" s="19" t="str">
        <f>IF($C555="","",IF($N555="","-",INDEX(SETUP!$B$46:$B$51,MATCH($N555,SETUP!$A$46:$A$51,1))))</f>
        <v>B</v>
      </c>
      <c r="P555" s="19">
        <f>IF($C555="","",IF($I555="","",RANK($I555,$I$4:$I$1463)+COUNTIF($I$4:$I555,$I555)-1))</f>
        <v>844</v>
      </c>
      <c r="Q555" s="19">
        <f>IF($C555="","",COUNTIFS($B$4:$B$1463,$B555,$X$4:$X$1463,"&gt;"&amp;$X555)+COUNTIFS($B$4:$B555,$B555,$X$4:$X555,"="&amp;$X555))</f>
        <v>23</v>
      </c>
      <c r="R555" s="75">
        <f>IF($C555="","",IF($I555="","",ROUND(COUNTIF($I$4:$I$1463,"&lt;"&amp;$I555)/COUNT($I$4:$I$1463),3)))</f>
        <v>0.36199999999999999</v>
      </c>
      <c r="S555" s="19" t="str">
        <f>IF($C555="","",IF($G555="","Name only",IF(OR($I555="",$L555=""),"Partial","Complete")))</f>
        <v>Complete</v>
      </c>
      <c r="T555" s="1" t="str">
        <f>IF($C555="","",TRIM(IF(COUNTIF($C$4:$C$1463,$C555)&gt;1,"Dup name; ","")&amp;IF(AND($G555&lt;&gt;"",$G555&lt;55000),"Low CR - verify; ","")&amp;IF(AND($L555&lt;&gt;"",$L555&gt;15),"Secondary - verify; ","")&amp;IF($E555="","No class; ","")))</f>
        <v/>
      </c>
      <c r="U555" s="68"/>
      <c r="V555" s="68"/>
      <c r="W555" s="68"/>
      <c r="X555" s="76">
        <f t="shared" si="42"/>
        <v>3140</v>
      </c>
      <c r="Y555" s="1" t="str">
        <f t="shared" si="43"/>
        <v>SUB ROSA|23</v>
      </c>
      <c r="Z555" s="19">
        <f>IF($C555="","",IF($G555="","",RANK($G555,$G$4:$G$1463)+COUNTIF($G$4:$G555,$G555)-1))</f>
        <v>708</v>
      </c>
      <c r="AA555" s="19">
        <f>IF($C555="","",IF($N555="","",RANK($N555,$N$4:$N$1463)+COUNTIF($N$4:$N555,$N555)-1))</f>
        <v>797</v>
      </c>
      <c r="AB555" s="1" t="str">
        <f>IF($C555="","",IF($E555="","",$E555&amp;"#"&amp;(COUNTIFS($E$4:$E$1463,$E555,$X$4:$X$1463,"&gt;"&amp;$X555)+COUNTIFS($E$4:$E555,$E555,$X$4:$X555,"="&amp;$X555))))</f>
        <v>WARLOCK#209</v>
      </c>
      <c r="AC555" s="1" t="str">
        <f>IF($C555="","",$B555&amp;"@"&amp;(COUNTIFS($B$4:$B$1463,$B555,$C$4:$C$1463,"&lt;"&amp;$C555)+COUNTIFS($B$4:$B555,$B555,$C$4:$C555,$C555)))</f>
        <v>SUB ROSA@37</v>
      </c>
      <c r="AD555" s="1">
        <f t="shared" si="44"/>
        <v>552</v>
      </c>
      <c r="AE555" s="1" t="s">
        <v>630</v>
      </c>
      <c r="AF555" s="76">
        <f t="shared" si="45"/>
        <v>62357</v>
      </c>
      <c r="AG555" s="77">
        <f t="shared" si="46"/>
        <v>4.5</v>
      </c>
      <c r="AH555" s="1" t="str">
        <f>IF($C555="","",$B555&amp;"|"&amp;(COUNTIFS($B$4:$B$1463,$B555,$AF$4:$AF$1463,"&gt;"&amp;$AF555)+COUNTIFS($B$4:$B555,$B555,$AF$4:$AF555,"="&amp;$AF555)))</f>
        <v>SUB ROSA|23</v>
      </c>
      <c r="AI555" s="1" t="str">
        <f>IF($C555="","",$B555&amp;"|"&amp;(COUNTIFS($B$4:$B$1463,$B555,$AG$4:$AG$1463,"&gt;"&amp;$AG555)+COUNTIFS($B$4:$B555,$B555,$AG$4:$AG555,"="&amp;$AG555)))</f>
        <v>SUB ROSA|19</v>
      </c>
    </row>
    <row r="556" spans="1:35" hidden="1">
      <c r="A556" s="69" t="s">
        <v>109</v>
      </c>
      <c r="B556" s="69" t="s">
        <v>115</v>
      </c>
      <c r="C556" s="63" t="s">
        <v>1512</v>
      </c>
      <c r="D556" s="69"/>
      <c r="E556" s="68" t="s">
        <v>77</v>
      </c>
      <c r="F556" s="15" t="str">
        <f>IF($C556="","",IF($E556="","-",IFERROR(INDEX(SETUP!$B$55:$B$64,MATCH($E556,SETUP!$A$55:$A$64,0)),"Other")))</f>
        <v>Control</v>
      </c>
      <c r="G556" s="70">
        <v>61433</v>
      </c>
      <c r="H556" s="15" t="str">
        <f>IF($C556="","",IF($G556="","-",INDEX(SETUP!$B$26:$B$32,MATCH($G556,SETUP!$A$26:$A$32,1))))</f>
        <v>61,000 - 61,999</v>
      </c>
      <c r="I556" s="70">
        <v>2630</v>
      </c>
      <c r="J556" s="15" t="str">
        <f>IF($C556="","",IF($I556="","-",INDEX(SETUP!$B$16:$B$22,MATCH($I556,SETUP!$A$16:$A$22,1))))</f>
        <v>DEVELOPING</v>
      </c>
      <c r="K556" s="15" t="str">
        <f>IF($C556="","",IF($I556="","-",TEXT(INT($I556/1000)*1000,"#,##0")&amp;" - "&amp;TEXT(INT($I556/1000)*1000+999,"#,##0")))</f>
        <v>2,000 - 2,999</v>
      </c>
      <c r="L556" s="71">
        <v>3.5</v>
      </c>
      <c r="M556" s="15" t="str">
        <f>IF($C556="","",IF($L556="","-",INDEX(SETUP!$B$36:$B$42,MATCH($L556,SETUP!$A$36:$A$42,1))))</f>
        <v>3k - 4k</v>
      </c>
      <c r="N556" s="17">
        <f>IF($C556="","",IF(OR($G556="",$I556=""),"",ROUND(100*(SETUP!$B$4*MIN(1,$I556/SETUP!$B$9)+SETUP!$B$5*MAX(0,MIN(1,($G556-SETUP!$B$10)/(SETUP!$B$11-SETUP!$B$10)))+SETUP!$B$6*MIN(1,IF($L556="",0,$L556)/SETUP!$B$12)),1)))</f>
        <v>34.200000000000003</v>
      </c>
      <c r="O556" s="15" t="str">
        <f>IF($C556="","",IF($N556="","-",INDEX(SETUP!$B$46:$B$51,MATCH($N556,SETUP!$A$46:$A$51,1))))</f>
        <v>C</v>
      </c>
      <c r="P556" s="15">
        <f>IF($C556="","",IF($I556="","",RANK($I556,$I$4:$I$1463)+COUNTIF($I$4:$I556,$I556)-1))</f>
        <v>971</v>
      </c>
      <c r="Q556" s="15">
        <f>IF($C556="","",COUNTIFS($B$4:$B$1463,$B556,$X$4:$X$1463,"&gt;"&amp;$X556)+COUNTIFS($B$4:$B556,$B556,$X$4:$X556,"="&amp;$X556))</f>
        <v>32</v>
      </c>
      <c r="R556" s="72">
        <f>IF($C556="","",IF($I556="","",ROUND(COUNTIF($I$4:$I$1463,"&lt;"&amp;$I556)/COUNT($I$4:$I$1463),3)))</f>
        <v>0.26600000000000001</v>
      </c>
      <c r="S556" s="15" t="str">
        <f>IF($C556="","",IF($G556="","Name only",IF(OR($I556="",$L556=""),"Partial","Complete")))</f>
        <v>Complete</v>
      </c>
      <c r="T556" s="41" t="str">
        <f>IF($C556="","",TRIM(IF(COUNTIF($C$4:$C$1463,$C556)&gt;1,"Dup name; ","")&amp;IF(AND($G556&lt;&gt;"",$G556&lt;55000),"Low CR - verify; ","")&amp;IF(AND($L556&lt;&gt;"",$L556&gt;15),"Secondary - verify; ","")&amp;IF($E556="","No class; ","")))</f>
        <v/>
      </c>
      <c r="U556" s="68"/>
      <c r="V556" s="68"/>
      <c r="W556" s="68"/>
      <c r="X556" s="73">
        <f t="shared" si="42"/>
        <v>2630</v>
      </c>
      <c r="Y556" s="41" t="str">
        <f t="shared" si="43"/>
        <v>SUB ROSA|32</v>
      </c>
      <c r="Z556" s="15">
        <f>IF($C556="","",IF($G556="","",RANK($G556,$G$4:$G$1463)+COUNTIF($G$4:$G556,$G556)-1))</f>
        <v>1021</v>
      </c>
      <c r="AA556" s="15">
        <f>IF($C556="","",IF($N556="","",RANK($N556,$N$4:$N$1463)+COUNTIF($N$4:$N556,$N556)-1))</f>
        <v>1039</v>
      </c>
      <c r="AB556" s="41" t="str">
        <f>IF($C556="","",IF($E556="","",$E556&amp;"#"&amp;(COUNTIFS($E$4:$E$1463,$E556,$X$4:$X$1463,"&gt;"&amp;$X556)+COUNTIFS($E$4:$E556,$E556,$X$4:$X556,"="&amp;$X556))))</f>
        <v>NECROMANCER#60</v>
      </c>
      <c r="AC556" s="41" t="str">
        <f>IF($C556="","",$B556&amp;"@"&amp;(COUNTIFS($B$4:$B$1463,$B556,$C$4:$C$1463,"&lt;"&amp;$C556)+COUNTIFS($B$4:$B556,$B556,$C$4:$C556,$C556)))</f>
        <v>SUB ROSA@38</v>
      </c>
      <c r="AD556" s="41">
        <f t="shared" si="44"/>
        <v>553</v>
      </c>
      <c r="AE556" s="41" t="s">
        <v>1057</v>
      </c>
      <c r="AF556" s="73">
        <f t="shared" si="45"/>
        <v>61433</v>
      </c>
      <c r="AG556" s="74">
        <f t="shared" si="46"/>
        <v>3.5</v>
      </c>
      <c r="AH556" s="41" t="str">
        <f>IF($C556="","",$B556&amp;"|"&amp;(COUNTIFS($B$4:$B$1463,$B556,$AF$4:$AF$1463,"&gt;"&amp;$AF556)+COUNTIFS($B$4:$B556,$B556,$AF$4:$AF556,"="&amp;$AF556)))</f>
        <v>SUB ROSA|46</v>
      </c>
      <c r="AI556" s="41" t="str">
        <f>IF($C556="","",$B556&amp;"|"&amp;(COUNTIFS($B$4:$B$1463,$B556,$AG$4:$AG$1463,"&gt;"&amp;$AG556)+COUNTIFS($B$4:$B556,$B556,$AG$4:$AG556,"="&amp;$AG556)))</f>
        <v>SUB ROSA|37</v>
      </c>
    </row>
    <row r="557" spans="1:35" hidden="1">
      <c r="A557" s="69" t="s">
        <v>109</v>
      </c>
      <c r="B557" s="69" t="s">
        <v>114</v>
      </c>
      <c r="C557" s="63" t="s">
        <v>1513</v>
      </c>
      <c r="D557" s="69"/>
      <c r="E557" s="68" t="s">
        <v>73</v>
      </c>
      <c r="F557" s="19" t="str">
        <f>IF($C557="","",IF($E557="","-",IFERROR(INDEX(SETUP!$B$55:$B$64,MATCH($E557,SETUP!$A$55:$A$64,0)),"Other")))</f>
        <v>Frontline</v>
      </c>
      <c r="G557" s="70">
        <v>58611</v>
      </c>
      <c r="H557" s="19" t="str">
        <f>IF($C557="","",IF($G557="","-",INDEX(SETUP!$B$26:$B$32,MATCH($G557,SETUP!$A$26:$A$32,1))))</f>
        <v>58,000 - 59,999</v>
      </c>
      <c r="I557" s="70">
        <v>3733</v>
      </c>
      <c r="J557" s="19" t="str">
        <f>IF($C557="","",IF($I557="","-",INDEX(SETUP!$B$16:$B$22,MATCH($I557,SETUP!$A$16:$A$22,1))))</f>
        <v>DEVELOPING</v>
      </c>
      <c r="K557" s="19" t="str">
        <f>IF($C557="","",IF($I557="","-",TEXT(INT($I557/1000)*1000,"#,##0")&amp;" - "&amp;TEXT(INT($I557/1000)*1000+999,"#,##0")))</f>
        <v>3,000 - 3,999</v>
      </c>
      <c r="L557" s="71">
        <v>4.03</v>
      </c>
      <c r="M557" s="19" t="str">
        <f>IF($C557="","",IF($L557="","-",INDEX(SETUP!$B$36:$B$42,MATCH($L557,SETUP!$A$36:$A$42,1))))</f>
        <v>4k - 5k</v>
      </c>
      <c r="N557" s="21">
        <f>IF($C557="","",IF(OR($G557="",$I557=""),"",ROUND(100*(SETUP!$B$4*MIN(1,$I557/SETUP!$B$9)+SETUP!$B$5*MAX(0,MIN(1,($G557-SETUP!$B$10)/(SETUP!$B$11-SETUP!$B$10)))+SETUP!$B$6*MIN(1,IF($L557="",0,$L557)/SETUP!$B$12)),1)))</f>
        <v>32.5</v>
      </c>
      <c r="O557" s="19" t="str">
        <f>IF($C557="","",IF($N557="","-",INDEX(SETUP!$B$46:$B$51,MATCH($N557,SETUP!$A$46:$A$51,1))))</f>
        <v>C</v>
      </c>
      <c r="P557" s="19">
        <f>IF($C557="","",IF($I557="","",RANK($I557,$I$4:$I$1463)+COUNTIF($I$4:$I557,$I557)-1))</f>
        <v>671</v>
      </c>
      <c r="Q557" s="19">
        <f>IF($C557="","",COUNTIFS($B$4:$B$1463,$B557,$X$4:$X$1463,"&gt;"&amp;$X557)+COUNTIFS($B$4:$B557,$B557,$X$4:$X557,"="&amp;$X557))</f>
        <v>15</v>
      </c>
      <c r="R557" s="75">
        <f>IF($C557="","",IF($I557="","",ROUND(COUNTIF($I$4:$I$1463,"&lt;"&amp;$I557)/COUNT($I$4:$I$1463),3)))</f>
        <v>0.49399999999999999</v>
      </c>
      <c r="S557" s="19" t="str">
        <f>IF($C557="","",IF($G557="","Name only",IF(OR($I557="",$L557=""),"Partial","Complete")))</f>
        <v>Complete</v>
      </c>
      <c r="T557" s="1" t="str">
        <f>IF($C557="","",TRIM(IF(COUNTIF($C$4:$C$1463,$C557)&gt;1,"Dup name; ","")&amp;IF(AND($G557&lt;&gt;"",$G557&lt;55000),"Low CR - verify; ","")&amp;IF(AND($L557&lt;&gt;"",$L557&gt;15),"Secondary - verify; ","")&amp;IF($E557="","No class; ","")))</f>
        <v/>
      </c>
      <c r="U557" s="68"/>
      <c r="V557" s="68"/>
      <c r="W557" s="68"/>
      <c r="X557" s="76">
        <f t="shared" si="42"/>
        <v>3733</v>
      </c>
      <c r="Y557" s="1" t="str">
        <f t="shared" si="43"/>
        <v>EMERALD LEAF TRIBE|15</v>
      </c>
      <c r="Z557" s="19">
        <f>IF($C557="","",IF($G557="","",RANK($G557,$G$4:$G$1463)+COUNTIF($G$4:$G557,$G557)-1))</f>
        <v>1284</v>
      </c>
      <c r="AA557" s="19">
        <f>IF($C557="","",IF($N557="","",RANK($N557,$N$4:$N$1463)+COUNTIF($N$4:$N557,$N557)-1))</f>
        <v>1083</v>
      </c>
      <c r="AB557" s="1" t="str">
        <f>IF($C557="","",IF($E557="","",$E557&amp;"#"&amp;(COUNTIFS($E$4:$E$1463,$E557,$X$4:$X$1463,"&gt;"&amp;$X557)+COUNTIFS($E$4:$E557,$E557,$X$4:$X557,"="&amp;$X557))))</f>
        <v>CRUSADER#78</v>
      </c>
      <c r="AC557" s="1" t="str">
        <f>IF($C557="","",$B557&amp;"@"&amp;(COUNTIFS($B$4:$B$1463,$B557,$C$4:$C$1463,"&lt;"&amp;$C557)+COUNTIFS($B$4:$B557,$B557,$C$4:$C557,$C557)))</f>
        <v>EMERALD LEAF TRIBE@38</v>
      </c>
      <c r="AD557" s="1">
        <f t="shared" si="44"/>
        <v>554</v>
      </c>
      <c r="AE557" s="1" t="s">
        <v>1514</v>
      </c>
      <c r="AF557" s="76">
        <f t="shared" si="45"/>
        <v>58611</v>
      </c>
      <c r="AG557" s="77">
        <f t="shared" si="46"/>
        <v>4.03</v>
      </c>
      <c r="AH557" s="1" t="str">
        <f>IF($C557="","",$B557&amp;"|"&amp;(COUNTIFS($B$4:$B$1463,$B557,$AF$4:$AF$1463,"&gt;"&amp;$AF557)+COUNTIFS($B$4:$B557,$B557,$AF$4:$AF557,"="&amp;$AF557)))</f>
        <v>EMERALD LEAF TRIBE|85</v>
      </c>
      <c r="AI557" s="1" t="str">
        <f>IF($C557="","",$B557&amp;"|"&amp;(COUNTIFS($B$4:$B$1463,$B557,$AG$4:$AG$1463,"&gt;"&amp;$AG557)+COUNTIFS($B$4:$B557,$B557,$AG$4:$AG557,"="&amp;$AG557)))</f>
        <v>EMERALD LEAF TRIBE|31</v>
      </c>
    </row>
    <row r="558" spans="1:35" hidden="1">
      <c r="A558" s="69" t="s">
        <v>109</v>
      </c>
      <c r="B558" s="69" t="s">
        <v>118</v>
      </c>
      <c r="C558" s="63" t="s">
        <v>1515</v>
      </c>
      <c r="D558" s="69"/>
      <c r="E558" s="68" t="s">
        <v>74</v>
      </c>
      <c r="F558" s="15" t="str">
        <f>IF($C558="","",IF($E558="","-",IFERROR(INDEX(SETUP!$B$55:$B$64,MATCH($E558,SETUP!$A$55:$A$64,0)),"Other")))</f>
        <v>Ranged DPS</v>
      </c>
      <c r="G558" s="70">
        <v>61297</v>
      </c>
      <c r="H558" s="15" t="str">
        <f>IF($C558="","",IF($G558="","-",INDEX(SETUP!$B$26:$B$32,MATCH($G558,SETUP!$A$26:$A$32,1))))</f>
        <v>61,000 - 61,999</v>
      </c>
      <c r="I558" s="70">
        <v>841</v>
      </c>
      <c r="J558" s="15" t="str">
        <f>IF($C558="","",IF($I558="","-",INDEX(SETUP!$B$16:$B$22,MATCH($I558,SETUP!$A$16:$A$22,1))))</f>
        <v>ROOKIE</v>
      </c>
      <c r="K558" s="15" t="str">
        <f>IF($C558="","",IF($I558="","-",TEXT(INT($I558/1000)*1000,"#,##0")&amp;" - "&amp;TEXT(INT($I558/1000)*1000+999,"#,##0")))</f>
        <v>0 - 999</v>
      </c>
      <c r="L558" s="71">
        <v>2.7</v>
      </c>
      <c r="M558" s="15" t="str">
        <f>IF($C558="","",IF($L558="","-",INDEX(SETUP!$B$36:$B$42,MATCH($L558,SETUP!$A$36:$A$42,1))))</f>
        <v>Under 3k</v>
      </c>
      <c r="N558" s="17">
        <f>IF($C558="","",IF(OR($G558="",$I558=""),"",ROUND(100*(SETUP!$B$4*MIN(1,$I558/SETUP!$B$9)+SETUP!$B$5*MAX(0,MIN(1,($G558-SETUP!$B$10)/(SETUP!$B$11-SETUP!$B$10)))+SETUP!$B$6*MIN(1,IF($L558="",0,$L558)/SETUP!$B$12)),1)))</f>
        <v>24.7</v>
      </c>
      <c r="O558" s="15" t="str">
        <f>IF($C558="","",IF($N558="","-",INDEX(SETUP!$B$46:$B$51,MATCH($N558,SETUP!$A$46:$A$51,1))))</f>
        <v>C</v>
      </c>
      <c r="P558" s="15">
        <f>IF($C558="","",IF($I558="","",RANK($I558,$I$4:$I$1463)+COUNTIF($I$4:$I558,$I558)-1))</f>
        <v>1291</v>
      </c>
      <c r="Q558" s="15">
        <f>IF($C558="","",COUNTIFS($B$4:$B$1463,$B558,$X$4:$X$1463,"&gt;"&amp;$X558)+COUNTIFS($B$4:$B558,$B558,$X$4:$X558,"="&amp;$X558))</f>
        <v>87</v>
      </c>
      <c r="R558" s="72">
        <f>IF($C558="","",IF($I558="","",ROUND(COUNTIF($I$4:$I$1463,"&lt;"&amp;$I558)/COUNT($I$4:$I$1463),3)))</f>
        <v>2.5999999999999999E-2</v>
      </c>
      <c r="S558" s="15" t="str">
        <f>IF($C558="","",IF($G558="","Name only",IF(OR($I558="",$L558=""),"Partial","Complete")))</f>
        <v>Complete</v>
      </c>
      <c r="T558" s="41" t="str">
        <f>IF($C558="","",TRIM(IF(COUNTIF($C$4:$C$1463,$C558)&gt;1,"Dup name; ","")&amp;IF(AND($G558&lt;&gt;"",$G558&lt;55000),"Low CR - verify; ","")&amp;IF(AND($L558&lt;&gt;"",$L558&gt;15),"Secondary - verify; ","")&amp;IF($E558="","No class; ","")))</f>
        <v/>
      </c>
      <c r="U558" s="68"/>
      <c r="V558" s="68"/>
      <c r="W558" s="68"/>
      <c r="X558" s="73">
        <f t="shared" si="42"/>
        <v>841</v>
      </c>
      <c r="Y558" s="41" t="str">
        <f t="shared" si="43"/>
        <v>ZOMBIES|87</v>
      </c>
      <c r="Z558" s="15">
        <f>IF($C558="","",IF($G558="","",RANK($G558,$G$4:$G$1463)+COUNTIF($G$4:$G558,$G558)-1))</f>
        <v>1061</v>
      </c>
      <c r="AA558" s="15">
        <f>IF($C558="","",IF($N558="","",RANK($N558,$N$4:$N$1463)+COUNTIF($N$4:$N558,$N558)-1))</f>
        <v>1250</v>
      </c>
      <c r="AB558" s="41" t="str">
        <f>IF($C558="","",IF($E558="","",$E558&amp;"#"&amp;(COUNTIFS($E$4:$E$1463,$E558,$X$4:$X$1463,"&gt;"&amp;$X558)+COUNTIFS($E$4:$E558,$E558,$X$4:$X558,"="&amp;$X558))))</f>
        <v>DEMON HUNTER#185</v>
      </c>
      <c r="AC558" s="41" t="str">
        <f>IF($C558="","",$B558&amp;"@"&amp;(COUNTIFS($B$4:$B$1463,$B558,$C$4:$C$1463,"&lt;"&amp;$C558)+COUNTIFS($B$4:$B558,$B558,$C$4:$C558,$C558)))</f>
        <v>ZOMBIES@42</v>
      </c>
      <c r="AD558" s="41">
        <f t="shared" si="44"/>
        <v>555</v>
      </c>
      <c r="AE558" s="41" t="s">
        <v>570</v>
      </c>
      <c r="AF558" s="73">
        <f t="shared" si="45"/>
        <v>61297</v>
      </c>
      <c r="AG558" s="74">
        <f t="shared" si="46"/>
        <v>2.7</v>
      </c>
      <c r="AH558" s="41" t="str">
        <f>IF($C558="","",$B558&amp;"|"&amp;(COUNTIFS($B$4:$B$1463,$B558,$AF$4:$AF$1463,"&gt;"&amp;$AF558)+COUNTIFS($B$4:$B558,$B558,$AF$4:$AF558,"="&amp;$AF558)))</f>
        <v>ZOMBIES|43</v>
      </c>
      <c r="AI558" s="41" t="str">
        <f>IF($C558="","",$B558&amp;"|"&amp;(COUNTIFS($B$4:$B$1463,$B558,$AG$4:$AG$1463,"&gt;"&amp;$AG558)+COUNTIFS($B$4:$B558,$B558,$AG$4:$AG558,"="&amp;$AG558)))</f>
        <v>ZOMBIES|89</v>
      </c>
    </row>
    <row r="559" spans="1:35" hidden="1">
      <c r="A559" s="69" t="s">
        <v>109</v>
      </c>
      <c r="B559" s="69" t="s">
        <v>111</v>
      </c>
      <c r="C559" s="63" t="s">
        <v>1516</v>
      </c>
      <c r="D559" s="69" t="s">
        <v>527</v>
      </c>
      <c r="E559" s="68" t="s">
        <v>79</v>
      </c>
      <c r="F559" s="19" t="str">
        <f>IF($C559="","",IF($E559="","-",IFERROR(INDEX(SETUP!$B$55:$B$64,MATCH($E559,SETUP!$A$55:$A$64,0)),"Other")))</f>
        <v>Control</v>
      </c>
      <c r="G559" s="70">
        <v>63058</v>
      </c>
      <c r="H559" s="19" t="str">
        <f>IF($C559="","",IF($G559="","-",INDEX(SETUP!$B$26:$B$32,MATCH($G559,SETUP!$A$26:$A$32,1))))</f>
        <v>63,000 - 63,999</v>
      </c>
      <c r="I559" s="70">
        <v>3738</v>
      </c>
      <c r="J559" s="19" t="str">
        <f>IF($C559="","",IF($I559="","-",INDEX(SETUP!$B$16:$B$22,MATCH($I559,SETUP!$A$16:$A$22,1))))</f>
        <v>DEVELOPING</v>
      </c>
      <c r="K559" s="19" t="str">
        <f>IF($C559="","",IF($I559="","-",TEXT(INT($I559/1000)*1000,"#,##0")&amp;" - "&amp;TEXT(INT($I559/1000)*1000+999,"#,##0")))</f>
        <v>3,000 - 3,999</v>
      </c>
      <c r="L559" s="71">
        <v>4.5999999999999996</v>
      </c>
      <c r="M559" s="19" t="str">
        <f>IF($C559="","",IF($L559="","-",INDEX(SETUP!$B$36:$B$42,MATCH($L559,SETUP!$A$36:$A$42,1))))</f>
        <v>4k - 5k</v>
      </c>
      <c r="N559" s="21">
        <f>IF($C559="","",IF(OR($G559="",$I559=""),"",ROUND(100*(SETUP!$B$4*MIN(1,$I559/SETUP!$B$9)+SETUP!$B$5*MAX(0,MIN(1,($G559-SETUP!$B$10)/(SETUP!$B$11-SETUP!$B$10)))+SETUP!$B$6*MIN(1,IF($L559="",0,$L559)/SETUP!$B$12)),1)))</f>
        <v>45.2</v>
      </c>
      <c r="O559" s="19" t="str">
        <f>IF($C559="","",IF($N559="","-",INDEX(SETUP!$B$46:$B$51,MATCH($N559,SETUP!$A$46:$A$51,1))))</f>
        <v>B</v>
      </c>
      <c r="P559" s="19">
        <f>IF($C559="","",IF($I559="","",RANK($I559,$I$4:$I$1463)+COUNTIF($I$4:$I559,$I559)-1))</f>
        <v>670</v>
      </c>
      <c r="Q559" s="19">
        <f>IF($C559="","",COUNTIFS($B$4:$B$1463,$B559,$X$4:$X$1463,"&gt;"&amp;$X559)+COUNTIFS($B$4:$B559,$B559,$X$4:$X559,"="&amp;$X559))</f>
        <v>75</v>
      </c>
      <c r="R559" s="75">
        <f>IF($C559="","",IF($I559="","",ROUND(COUNTIF($I$4:$I$1463,"&lt;"&amp;$I559)/COUNT($I$4:$I$1463),3)))</f>
        <v>0.49399999999999999</v>
      </c>
      <c r="S559" s="19" t="str">
        <f>IF($C559="","",IF($G559="","Name only",IF(OR($I559="",$L559=""),"Partial","Complete")))</f>
        <v>Complete</v>
      </c>
      <c r="T559" s="1" t="str">
        <f>IF($C559="","",TRIM(IF(COUNTIF($C$4:$C$1463,$C559)&gt;1,"Dup name; ","")&amp;IF(AND($G559&lt;&gt;"",$G559&lt;55000),"Low CR - verify; ","")&amp;IF(AND($L559&lt;&gt;"",$L559&gt;15),"Secondary - verify; ","")&amp;IF($E559="","No class; ","")))</f>
        <v/>
      </c>
      <c r="U559" s="68"/>
      <c r="V559" s="68"/>
      <c r="W559" s="68"/>
      <c r="X559" s="76">
        <f t="shared" si="42"/>
        <v>3738</v>
      </c>
      <c r="Y559" s="1" t="str">
        <f t="shared" si="43"/>
        <v>RECKONING|75</v>
      </c>
      <c r="Z559" s="19">
        <f>IF($C559="","",IF($G559="","",RANK($G559,$G$4:$G$1463)+COUNTIF($G$4:$G559,$G559)-1))</f>
        <v>396</v>
      </c>
      <c r="AA559" s="19">
        <f>IF($C559="","",IF($N559="","",RANK($N559,$N$4:$N$1463)+COUNTIF($N$4:$N559,$N559)-1))</f>
        <v>615</v>
      </c>
      <c r="AB559" s="1" t="str">
        <f>IF($C559="","",IF($E559="","",$E559&amp;"#"&amp;(COUNTIFS($E$4:$E$1463,$E559,$X$4:$X$1463,"&gt;"&amp;$X559)+COUNTIFS($E$4:$E559,$E559,$X$4:$X559,"="&amp;$X559))))</f>
        <v>WARLOCK#162</v>
      </c>
      <c r="AC559" s="1" t="str">
        <f>IF($C559="","",$B559&amp;"@"&amp;(COUNTIFS($B$4:$B$1463,$B559,$C$4:$C$1463,"&lt;"&amp;$C559)+COUNTIFS($B$4:$B559,$B559,$C$4:$C559,$C559)))</f>
        <v>RECKONING@40</v>
      </c>
      <c r="AD559" s="1">
        <f t="shared" si="44"/>
        <v>556</v>
      </c>
      <c r="AE559" s="1" t="s">
        <v>1517</v>
      </c>
      <c r="AF559" s="76">
        <f t="shared" si="45"/>
        <v>63058</v>
      </c>
      <c r="AG559" s="77">
        <f t="shared" si="46"/>
        <v>4.5999999999999996</v>
      </c>
      <c r="AH559" s="1" t="str">
        <f>IF($C559="","",$B559&amp;"|"&amp;(COUNTIFS($B$4:$B$1463,$B559,$AF$4:$AF$1463,"&gt;"&amp;$AF559)+COUNTIFS($B$4:$B559,$B559,$AF$4:$AF559,"="&amp;$AF559)))</f>
        <v>RECKONING|41</v>
      </c>
      <c r="AI559" s="1" t="str">
        <f>IF($C559="","",$B559&amp;"|"&amp;(COUNTIFS($B$4:$B$1463,$B559,$AG$4:$AG$1463,"&gt;"&amp;$AG559)+COUNTIFS($B$4:$B559,$B559,$AG$4:$AG559,"="&amp;$AG559)))</f>
        <v>RECKONING|79</v>
      </c>
    </row>
    <row r="560" spans="1:35" hidden="1">
      <c r="A560" s="69" t="s">
        <v>109</v>
      </c>
      <c r="B560" s="69" t="s">
        <v>112</v>
      </c>
      <c r="C560" s="63" t="s">
        <v>1518</v>
      </c>
      <c r="D560" s="69" t="s">
        <v>567</v>
      </c>
      <c r="E560" s="68" t="s">
        <v>72</v>
      </c>
      <c r="F560" s="15" t="str">
        <f>IF($C560="","",IF($E560="","-",IFERROR(INDEX(SETUP!$B$55:$B$64,MATCH($E560,SETUP!$A$55:$A$64,0)),"Other")))</f>
        <v>Frontline</v>
      </c>
      <c r="G560" s="70">
        <v>62771</v>
      </c>
      <c r="H560" s="15" t="str">
        <f>IF($C560="","",IF($G560="","-",INDEX(SETUP!$B$26:$B$32,MATCH($G560,SETUP!$A$26:$A$32,1))))</f>
        <v>62,000 - 62,999</v>
      </c>
      <c r="I560" s="70">
        <v>4968</v>
      </c>
      <c r="J560" s="15" t="str">
        <f>IF($C560="","",IF($I560="","-",INDEX(SETUP!$B$16:$B$22,MATCH($I560,SETUP!$A$16:$A$22,1))))</f>
        <v>CORE</v>
      </c>
      <c r="K560" s="15" t="str">
        <f>IF($C560="","",IF($I560="","-",TEXT(INT($I560/1000)*1000,"#,##0")&amp;" - "&amp;TEXT(INT($I560/1000)*1000+999,"#,##0")))</f>
        <v>4,000 - 4,999</v>
      </c>
      <c r="L560" s="71">
        <v>3.8</v>
      </c>
      <c r="M560" s="15" t="str">
        <f>IF($C560="","",IF($L560="","-",INDEX(SETUP!$B$36:$B$42,MATCH($L560,SETUP!$A$36:$A$42,1))))</f>
        <v>3k - 4k</v>
      </c>
      <c r="N560" s="17">
        <f>IF($C560="","",IF(OR($G560="",$I560=""),"",ROUND(100*(SETUP!$B$4*MIN(1,$I560/SETUP!$B$9)+SETUP!$B$5*MAX(0,MIN(1,($G560-SETUP!$B$10)/(SETUP!$B$11-SETUP!$B$10)))+SETUP!$B$6*MIN(1,IF($L560="",0,$L560)/SETUP!$B$12)),1)))</f>
        <v>48.5</v>
      </c>
      <c r="O560" s="15" t="str">
        <f>IF($C560="","",IF($N560="","-",INDEX(SETUP!$B$46:$B$51,MATCH($N560,SETUP!$A$46:$A$51,1))))</f>
        <v>B</v>
      </c>
      <c r="P560" s="15">
        <f>IF($C560="","",IF($I560="","",RANK($I560,$I$4:$I$1463)+COUNTIF($I$4:$I560,$I560)-1))</f>
        <v>418</v>
      </c>
      <c r="Q560" s="15">
        <f>IF($C560="","",COUNTIFS($B$4:$B$1463,$B560,$X$4:$X$1463,"&gt;"&amp;$X560)+COUNTIFS($B$4:$B560,$B560,$X$4:$X560,"="&amp;$X560))</f>
        <v>26</v>
      </c>
      <c r="R560" s="72">
        <f>IF($C560="","",IF($I560="","",ROUND(COUNTIF($I$4:$I$1463,"&lt;"&amp;$I560)/COUNT($I$4:$I$1463),3)))</f>
        <v>0.68500000000000005</v>
      </c>
      <c r="S560" s="15" t="str">
        <f>IF($C560="","",IF($G560="","Name only",IF(OR($I560="",$L560=""),"Partial","Complete")))</f>
        <v>Complete</v>
      </c>
      <c r="T560" s="41" t="str">
        <f>IF($C560="","",TRIM(IF(COUNTIF($C$4:$C$1463,$C560)&gt;1,"Dup name; ","")&amp;IF(AND($G560&lt;&gt;"",$G560&lt;55000),"Low CR - verify; ","")&amp;IF(AND($L560&lt;&gt;"",$L560&gt;15),"Secondary - verify; ","")&amp;IF($E560="","No class; ","")))</f>
        <v/>
      </c>
      <c r="U560" s="68"/>
      <c r="V560" s="68"/>
      <c r="W560" s="68"/>
      <c r="X560" s="73">
        <f t="shared" si="42"/>
        <v>4968</v>
      </c>
      <c r="Y560" s="41" t="str">
        <f t="shared" si="43"/>
        <v>ACHERON|26</v>
      </c>
      <c r="Z560" s="15">
        <f>IF($C560="","",IF($G560="","",RANK($G560,$G$4:$G$1463)+COUNTIF($G$4:$G560,$G560)-1))</f>
        <v>531</v>
      </c>
      <c r="AA560" s="15">
        <f>IF($C560="","",IF($N560="","",RANK($N560,$N$4:$N$1463)+COUNTIF($N$4:$N560,$N560)-1))</f>
        <v>500</v>
      </c>
      <c r="AB560" s="41" t="str">
        <f>IF($C560="","",IF($E560="","",$E560&amp;"#"&amp;(COUNTIFS($E$4:$E$1463,$E560,$X$4:$X$1463,"&gt;"&amp;$X560)+COUNTIFS($E$4:$E560,$E560,$X$4:$X560,"="&amp;$X560))))</f>
        <v>BLOOD KNIGHT#28</v>
      </c>
      <c r="AC560" s="41" t="str">
        <f>IF($C560="","",$B560&amp;"@"&amp;(COUNTIFS($B$4:$B$1463,$B560,$C$4:$C$1463,"&lt;"&amp;$C560)+COUNTIFS($B$4:$B560,$B560,$C$4:$C560,$C560)))</f>
        <v>ACHERON@33</v>
      </c>
      <c r="AD560" s="41">
        <f t="shared" si="44"/>
        <v>557</v>
      </c>
      <c r="AE560" s="41" t="s">
        <v>1519</v>
      </c>
      <c r="AF560" s="73">
        <f t="shared" si="45"/>
        <v>62771</v>
      </c>
      <c r="AG560" s="74">
        <f t="shared" si="46"/>
        <v>3.8</v>
      </c>
      <c r="AH560" s="41" t="str">
        <f>IF($C560="","",$B560&amp;"|"&amp;(COUNTIFS($B$4:$B$1463,$B560,$AF$4:$AF$1463,"&gt;"&amp;$AF560)+COUNTIFS($B$4:$B560,$B560,$AF$4:$AF560,"="&amp;$AF560)))</f>
        <v>ACHERON|41</v>
      </c>
      <c r="AI560" s="41" t="str">
        <f>IF($C560="","",$B560&amp;"|"&amp;(COUNTIFS($B$4:$B$1463,$B560,$AG$4:$AG$1463,"&gt;"&amp;$AG560)+COUNTIFS($B$4:$B560,$B560,$AG$4:$AG560,"="&amp;$AG560)))</f>
        <v>ACHERON|83</v>
      </c>
    </row>
    <row r="561" spans="1:35" hidden="1">
      <c r="A561" s="69" t="s">
        <v>109</v>
      </c>
      <c r="B561" s="69" t="s">
        <v>117</v>
      </c>
      <c r="C561" s="63" t="s">
        <v>1520</v>
      </c>
      <c r="D561" s="69"/>
      <c r="E561" s="68" t="s">
        <v>79</v>
      </c>
      <c r="F561" s="19" t="str">
        <f>IF($C561="","",IF($E561="","-",IFERROR(INDEX(SETUP!$B$55:$B$64,MATCH($E561,SETUP!$A$55:$A$64,0)),"Other")))</f>
        <v>Control</v>
      </c>
      <c r="G561" s="70">
        <v>61385</v>
      </c>
      <c r="H561" s="19" t="str">
        <f>IF($C561="","",IF($G561="","-",INDEX(SETUP!$B$26:$B$32,MATCH($G561,SETUP!$A$26:$A$32,1))))</f>
        <v>61,000 - 61,999</v>
      </c>
      <c r="I561" s="70">
        <v>2671</v>
      </c>
      <c r="J561" s="19" t="str">
        <f>IF($C561="","",IF($I561="","-",INDEX(SETUP!$B$16:$B$22,MATCH($I561,SETUP!$A$16:$A$22,1))))</f>
        <v>DEVELOPING</v>
      </c>
      <c r="K561" s="19" t="str">
        <f>IF($C561="","",IF($I561="","-",TEXT(INT($I561/1000)*1000,"#,##0")&amp;" - "&amp;TEXT(INT($I561/1000)*1000+999,"#,##0")))</f>
        <v>2,000 - 2,999</v>
      </c>
      <c r="L561" s="71">
        <v>4.2</v>
      </c>
      <c r="M561" s="19" t="str">
        <f>IF($C561="","",IF($L561="","-",INDEX(SETUP!$B$36:$B$42,MATCH($L561,SETUP!$A$36:$A$42,1))))</f>
        <v>4k - 5k</v>
      </c>
      <c r="N561" s="21">
        <f>IF($C561="","",IF(OR($G561="",$I561=""),"",ROUND(100*(SETUP!$B$4*MIN(1,$I561/SETUP!$B$9)+SETUP!$B$5*MAX(0,MIN(1,($G561-SETUP!$B$10)/(SETUP!$B$11-SETUP!$B$10)))+SETUP!$B$6*MIN(1,IF($L561="",0,$L561)/SETUP!$B$12)),1)))</f>
        <v>35.5</v>
      </c>
      <c r="O561" s="19" t="str">
        <f>IF($C561="","",IF($N561="","-",INDEX(SETUP!$B$46:$B$51,MATCH($N561,SETUP!$A$46:$A$51,1))))</f>
        <v>B</v>
      </c>
      <c r="P561" s="19">
        <f>IF($C561="","",IF($I561="","",RANK($I561,$I$4:$I$1463)+COUNTIF($I$4:$I561,$I561)-1))</f>
        <v>961</v>
      </c>
      <c r="Q561" s="19">
        <f>IF($C561="","",COUNTIFS($B$4:$B$1463,$B561,$X$4:$X$1463,"&gt;"&amp;$X561)+COUNTIFS($B$4:$B561,$B561,$X$4:$X561,"="&amp;$X561))</f>
        <v>26</v>
      </c>
      <c r="R561" s="75">
        <f>IF($C561="","",IF($I561="","",ROUND(COUNTIF($I$4:$I$1463,"&lt;"&amp;$I561)/COUNT($I$4:$I$1463),3)))</f>
        <v>0.27500000000000002</v>
      </c>
      <c r="S561" s="19" t="str">
        <f>IF($C561="","",IF($G561="","Name only",IF(OR($I561="",$L561=""),"Partial","Complete")))</f>
        <v>Complete</v>
      </c>
      <c r="T561" s="1" t="str">
        <f>IF($C561="","",TRIM(IF(COUNTIF($C$4:$C$1463,$C561)&gt;1,"Dup name; ","")&amp;IF(AND($G561&lt;&gt;"",$G561&lt;55000),"Low CR - verify; ","")&amp;IF(AND($L561&lt;&gt;"",$L561&gt;15),"Secondary - verify; ","")&amp;IF($E561="","No class; ","")))</f>
        <v/>
      </c>
      <c r="U561" s="68"/>
      <c r="V561" s="68"/>
      <c r="W561" s="68"/>
      <c r="X561" s="76">
        <f t="shared" si="42"/>
        <v>2671</v>
      </c>
      <c r="Y561" s="1" t="str">
        <f t="shared" si="43"/>
        <v>VENDETTA|26</v>
      </c>
      <c r="Z561" s="19">
        <f>IF($C561="","",IF($G561="","",RANK($G561,$G$4:$G$1463)+COUNTIF($G$4:$G561,$G561)-1))</f>
        <v>1037</v>
      </c>
      <c r="AA561" s="19">
        <f>IF($C561="","",IF($N561="","",RANK($N561,$N$4:$N$1463)+COUNTIF($N$4:$N561,$N561)-1))</f>
        <v>989</v>
      </c>
      <c r="AB561" s="1" t="str">
        <f>IF($C561="","",IF($E561="","",$E561&amp;"#"&amp;(COUNTIFS($E$4:$E$1463,$E561,$X$4:$X$1463,"&gt;"&amp;$X561)+COUNTIFS($E$4:$E561,$E561,$X$4:$X561,"="&amp;$X561))))</f>
        <v>WARLOCK#238</v>
      </c>
      <c r="AC561" s="1" t="str">
        <f>IF($C561="","",$B561&amp;"@"&amp;(COUNTIFS($B$4:$B$1463,$B561,$C$4:$C$1463,"&lt;"&amp;$C561)+COUNTIFS($B$4:$B561,$B561,$C$4:$C561,$C561)))</f>
        <v>VENDETTA@43</v>
      </c>
      <c r="AD561" s="1">
        <f t="shared" si="44"/>
        <v>558</v>
      </c>
      <c r="AE561" s="1" t="s">
        <v>539</v>
      </c>
      <c r="AF561" s="76">
        <f t="shared" si="45"/>
        <v>61385</v>
      </c>
      <c r="AG561" s="77">
        <f t="shared" si="46"/>
        <v>4.2</v>
      </c>
      <c r="AH561" s="1" t="str">
        <f>IF($C561="","",$B561&amp;"|"&amp;(COUNTIFS($B$4:$B$1463,$B561,$AF$4:$AF$1463,"&gt;"&amp;$AF561)+COUNTIFS($B$4:$B561,$B561,$AF$4:$AF561,"="&amp;$AF561)))</f>
        <v>VENDETTA|55</v>
      </c>
      <c r="AI561" s="1" t="str">
        <f>IF($C561="","",$B561&amp;"|"&amp;(COUNTIFS($B$4:$B$1463,$B561,$AG$4:$AG$1463,"&gt;"&amp;$AG561)+COUNTIFS($B$4:$B561,$B561,$AG$4:$AG561,"="&amp;$AG561)))</f>
        <v>VENDETTA|25</v>
      </c>
    </row>
    <row r="562" spans="1:35" hidden="1">
      <c r="A562" s="69" t="s">
        <v>109</v>
      </c>
      <c r="B562" s="69" t="s">
        <v>118</v>
      </c>
      <c r="C562" s="63" t="s">
        <v>1521</v>
      </c>
      <c r="D562" s="69"/>
      <c r="E562" s="68" t="s">
        <v>79</v>
      </c>
      <c r="F562" s="15" t="str">
        <f>IF($C562="","",IF($E562="","-",IFERROR(INDEX(SETUP!$B$55:$B$64,MATCH($E562,SETUP!$A$55:$A$64,0)),"Other")))</f>
        <v>Control</v>
      </c>
      <c r="G562" s="70">
        <v>62129</v>
      </c>
      <c r="H562" s="15" t="str">
        <f>IF($C562="","",IF($G562="","-",INDEX(SETUP!$B$26:$B$32,MATCH($G562,SETUP!$A$26:$A$32,1))))</f>
        <v>62,000 - 62,999</v>
      </c>
      <c r="I562" s="70">
        <v>2404</v>
      </c>
      <c r="J562" s="15" t="str">
        <f>IF($C562="","",IF($I562="","-",INDEX(SETUP!$B$16:$B$22,MATCH($I562,SETUP!$A$16:$A$22,1))))</f>
        <v>DEVELOPING</v>
      </c>
      <c r="K562" s="15" t="str">
        <f>IF($C562="","",IF($I562="","-",TEXT(INT($I562/1000)*1000,"#,##0")&amp;" - "&amp;TEXT(INT($I562/1000)*1000+999,"#,##0")))</f>
        <v>2,000 - 2,999</v>
      </c>
      <c r="L562" s="71">
        <v>4</v>
      </c>
      <c r="M562" s="15" t="str">
        <f>IF($C562="","",IF($L562="","-",INDEX(SETUP!$B$36:$B$42,MATCH($L562,SETUP!$A$36:$A$42,1))))</f>
        <v>4k - 5k</v>
      </c>
      <c r="N562" s="17">
        <f>IF($C562="","",IF(OR($G562="",$I562=""),"",ROUND(100*(SETUP!$B$4*MIN(1,$I562/SETUP!$B$9)+SETUP!$B$5*MAX(0,MIN(1,($G562-SETUP!$B$10)/(SETUP!$B$11-SETUP!$B$10)))+SETUP!$B$6*MIN(1,IF($L562="",0,$L562)/SETUP!$B$12)),1)))</f>
        <v>35.9</v>
      </c>
      <c r="O562" s="15" t="str">
        <f>IF($C562="","",IF($N562="","-",INDEX(SETUP!$B$46:$B$51,MATCH($N562,SETUP!$A$46:$A$51,1))))</f>
        <v>B</v>
      </c>
      <c r="P562" s="15">
        <f>IF($C562="","",IF($I562="","",RANK($I562,$I$4:$I$1463)+COUNTIF($I$4:$I562,$I562)-1))</f>
        <v>1029</v>
      </c>
      <c r="Q562" s="15">
        <f>IF($C562="","",COUNTIFS($B$4:$B$1463,$B562,$X$4:$X$1463,"&gt;"&amp;$X562)+COUNTIFS($B$4:$B562,$B562,$X$4:$X562,"="&amp;$X562))</f>
        <v>29</v>
      </c>
      <c r="R562" s="72">
        <f>IF($C562="","",IF($I562="","",ROUND(COUNTIF($I$4:$I$1463,"&lt;"&amp;$I562)/COUNT($I$4:$I$1463),3)))</f>
        <v>0.223</v>
      </c>
      <c r="S562" s="15" t="str">
        <f>IF($C562="","",IF($G562="","Name only",IF(OR($I562="",$L562=""),"Partial","Complete")))</f>
        <v>Complete</v>
      </c>
      <c r="T562" s="41" t="str">
        <f>IF($C562="","",TRIM(IF(COUNTIF($C$4:$C$1463,$C562)&gt;1,"Dup name; ","")&amp;IF(AND($G562&lt;&gt;"",$G562&lt;55000),"Low CR - verify; ","")&amp;IF(AND($L562&lt;&gt;"",$L562&gt;15),"Secondary - verify; ","")&amp;IF($E562="","No class; ","")))</f>
        <v/>
      </c>
      <c r="U562" s="68"/>
      <c r="V562" s="68"/>
      <c r="W562" s="68"/>
      <c r="X562" s="73">
        <f t="shared" si="42"/>
        <v>2404</v>
      </c>
      <c r="Y562" s="41" t="str">
        <f t="shared" si="43"/>
        <v>ZOMBIES|29</v>
      </c>
      <c r="Z562" s="15">
        <f>IF($C562="","",IF($G562="","",RANK($G562,$G$4:$G$1463)+COUNTIF($G$4:$G562,$G562)-1))</f>
        <v>786</v>
      </c>
      <c r="AA562" s="15">
        <f>IF($C562="","",IF($N562="","",RANK($N562,$N$4:$N$1463)+COUNTIF($N$4:$N562,$N562)-1))</f>
        <v>971</v>
      </c>
      <c r="AB562" s="41" t="str">
        <f>IF($C562="","",IF($E562="","",$E562&amp;"#"&amp;(COUNTIFS($E$4:$E$1463,$E562,$X$4:$X$1463,"&gt;"&amp;$X562)+COUNTIFS($E$4:$E562,$E562,$X$4:$X562,"="&amp;$X562))))</f>
        <v>WARLOCK#257</v>
      </c>
      <c r="AC562" s="41" t="str">
        <f>IF($C562="","",$B562&amp;"@"&amp;(COUNTIFS($B$4:$B$1463,$B562,$C$4:$C$1463,"&lt;"&amp;$C562)+COUNTIFS($B$4:$B562,$B562,$C$4:$C562,$C562)))</f>
        <v>ZOMBIES@44</v>
      </c>
      <c r="AD562" s="41">
        <f t="shared" si="44"/>
        <v>559</v>
      </c>
      <c r="AE562" s="41" t="s">
        <v>851</v>
      </c>
      <c r="AF562" s="73">
        <f t="shared" si="45"/>
        <v>62129</v>
      </c>
      <c r="AG562" s="74">
        <f t="shared" si="46"/>
        <v>4</v>
      </c>
      <c r="AH562" s="41" t="str">
        <f>IF($C562="","",$B562&amp;"|"&amp;(COUNTIFS($B$4:$B$1463,$B562,$AF$4:$AF$1463,"&gt;"&amp;$AF562)+COUNTIFS($B$4:$B562,$B562,$AF$4:$AF562,"="&amp;$AF562)))</f>
        <v>ZOMBIES|25</v>
      </c>
      <c r="AI562" s="41" t="str">
        <f>IF($C562="","",$B562&amp;"|"&amp;(COUNTIFS($B$4:$B$1463,$B562,$AG$4:$AG$1463,"&gt;"&amp;$AG562)+COUNTIFS($B$4:$B562,$B562,$AG$4:$AG562,"="&amp;$AG562)))</f>
        <v>ZOMBIES|28</v>
      </c>
    </row>
    <row r="563" spans="1:35" hidden="1">
      <c r="A563" s="69" t="s">
        <v>109</v>
      </c>
      <c r="B563" s="69" t="s">
        <v>115</v>
      </c>
      <c r="C563" s="63" t="s">
        <v>1522</v>
      </c>
      <c r="D563" s="69" t="s">
        <v>1182</v>
      </c>
      <c r="E563" s="68" t="s">
        <v>74</v>
      </c>
      <c r="F563" s="19" t="str">
        <f>IF($C563="","",IF($E563="","-",IFERROR(INDEX(SETUP!$B$55:$B$64,MATCH($E563,SETUP!$A$55:$A$64,0)),"Other")))</f>
        <v>Ranged DPS</v>
      </c>
      <c r="G563" s="70">
        <v>62610</v>
      </c>
      <c r="H563" s="19" t="str">
        <f>IF($C563="","",IF($G563="","-",INDEX(SETUP!$B$26:$B$32,MATCH($G563,SETUP!$A$26:$A$32,1))))</f>
        <v>62,000 - 62,999</v>
      </c>
      <c r="I563" s="70">
        <v>3932</v>
      </c>
      <c r="J563" s="19" t="str">
        <f>IF($C563="","",IF($I563="","-",INDEX(SETUP!$B$16:$B$22,MATCH($I563,SETUP!$A$16:$A$22,1))))</f>
        <v>DEVELOPING</v>
      </c>
      <c r="K563" s="19" t="str">
        <f>IF($C563="","",IF($I563="","-",TEXT(INT($I563/1000)*1000,"#,##0")&amp;" - "&amp;TEXT(INT($I563/1000)*1000+999,"#,##0")))</f>
        <v>3,000 - 3,999</v>
      </c>
      <c r="L563" s="71">
        <v>5.6</v>
      </c>
      <c r="M563" s="19" t="str">
        <f>IF($C563="","",IF($L563="","-",INDEX(SETUP!$B$36:$B$42,MATCH($L563,SETUP!$A$36:$A$42,1))))</f>
        <v>5k - 6k</v>
      </c>
      <c r="N563" s="21">
        <f>IF($C563="","",IF(OR($G563="",$I563=""),"",ROUND(100*(SETUP!$B$4*MIN(1,$I563/SETUP!$B$9)+SETUP!$B$5*MAX(0,MIN(1,($G563-SETUP!$B$10)/(SETUP!$B$11-SETUP!$B$10)))+SETUP!$B$6*MIN(1,IF($L563="",0,$L563)/SETUP!$B$12)),1)))</f>
        <v>46.5</v>
      </c>
      <c r="O563" s="19" t="str">
        <f>IF($C563="","",IF($N563="","-",INDEX(SETUP!$B$46:$B$51,MATCH($N563,SETUP!$A$46:$A$51,1))))</f>
        <v>B</v>
      </c>
      <c r="P563" s="19">
        <f>IF($C563="","",IF($I563="","",RANK($I563,$I$4:$I$1463)+COUNTIF($I$4:$I563,$I563)-1))</f>
        <v>615</v>
      </c>
      <c r="Q563" s="19">
        <f>IF($C563="","",COUNTIFS($B$4:$B$1463,$B563,$X$4:$X$1463,"&gt;"&amp;$X563)+COUNTIFS($B$4:$B563,$B563,$X$4:$X563,"="&amp;$X563))</f>
        <v>16</v>
      </c>
      <c r="R563" s="75">
        <f>IF($C563="","",IF($I563="","",ROUND(COUNTIF($I$4:$I$1463,"&lt;"&amp;$I563)/COUNT($I$4:$I$1463),3)))</f>
        <v>0.53600000000000003</v>
      </c>
      <c r="S563" s="19" t="str">
        <f>IF($C563="","",IF($G563="","Name only",IF(OR($I563="",$L563=""),"Partial","Complete")))</f>
        <v>Complete</v>
      </c>
      <c r="T563" s="1" t="str">
        <f>IF($C563="","",TRIM(IF(COUNTIF($C$4:$C$1463,$C563)&gt;1,"Dup name; ","")&amp;IF(AND($G563&lt;&gt;"",$G563&lt;55000),"Low CR - verify; ","")&amp;IF(AND($L563&lt;&gt;"",$L563&gt;15),"Secondary - verify; ","")&amp;IF($E563="","No class; ","")))</f>
        <v/>
      </c>
      <c r="U563" s="68"/>
      <c r="V563" s="68"/>
      <c r="W563" s="68"/>
      <c r="X563" s="76">
        <f t="shared" si="42"/>
        <v>3932</v>
      </c>
      <c r="Y563" s="1" t="str">
        <f t="shared" si="43"/>
        <v>SUB ROSA|16</v>
      </c>
      <c r="Z563" s="19">
        <f>IF($C563="","",IF($G563="","",RANK($G563,$G$4:$G$1463)+COUNTIF($G$4:$G563,$G563)-1))</f>
        <v>606</v>
      </c>
      <c r="AA563" s="19">
        <f>IF($C563="","",IF($N563="","",RANK($N563,$N$4:$N$1463)+COUNTIF($N$4:$N563,$N563)-1))</f>
        <v>570</v>
      </c>
      <c r="AB563" s="1" t="str">
        <f>IF($C563="","",IF($E563="","",$E563&amp;"#"&amp;(COUNTIFS($E$4:$E$1463,$E563,$X$4:$X$1463,"&gt;"&amp;$X563)+COUNTIFS($E$4:$E563,$E563,$X$4:$X563,"="&amp;$X563))))</f>
        <v>DEMON HUNTER#99</v>
      </c>
      <c r="AC563" s="1" t="str">
        <f>IF($C563="","",$B563&amp;"@"&amp;(COUNTIFS($B$4:$B$1463,$B563,$C$4:$C$1463,"&lt;"&amp;$C563)+COUNTIFS($B$4:$B563,$B563,$C$4:$C563,$C563)))</f>
        <v>SUB ROSA@39</v>
      </c>
      <c r="AD563" s="1">
        <f t="shared" si="44"/>
        <v>560</v>
      </c>
      <c r="AE563" s="1" t="s">
        <v>998</v>
      </c>
      <c r="AF563" s="76">
        <f t="shared" si="45"/>
        <v>62610</v>
      </c>
      <c r="AG563" s="77">
        <f t="shared" si="46"/>
        <v>5.6</v>
      </c>
      <c r="AH563" s="1" t="str">
        <f>IF($C563="","",$B563&amp;"|"&amp;(COUNTIFS($B$4:$B$1463,$B563,$AF$4:$AF$1463,"&gt;"&amp;$AF563)+COUNTIFS($B$4:$B563,$B563,$AF$4:$AF563,"="&amp;$AF563)))</f>
        <v>SUB ROSA|20</v>
      </c>
      <c r="AI563" s="1" t="str">
        <f>IF($C563="","",$B563&amp;"|"&amp;(COUNTIFS($B$4:$B$1463,$B563,$AG$4:$AG$1463,"&gt;"&amp;$AG563)+COUNTIFS($B$4:$B563,$B563,$AG$4:$AG563,"="&amp;$AG563)))</f>
        <v>SUB ROSA|6</v>
      </c>
    </row>
    <row r="564" spans="1:35" hidden="1">
      <c r="A564" s="69" t="s">
        <v>109</v>
      </c>
      <c r="B564" s="69" t="s">
        <v>108</v>
      </c>
      <c r="C564" s="63" t="s">
        <v>1523</v>
      </c>
      <c r="D564" s="69"/>
      <c r="E564" s="68" t="s">
        <v>76</v>
      </c>
      <c r="F564" s="15" t="str">
        <f>IF($C564="","",IF($E564="","-",IFERROR(INDEX(SETUP!$B$55:$B$64,MATCH($E564,SETUP!$A$55:$A$64,0)),"Other")))</f>
        <v>Support</v>
      </c>
      <c r="G564" s="70">
        <v>62621</v>
      </c>
      <c r="H564" s="15" t="str">
        <f>IF($C564="","",IF($G564="","-",INDEX(SETUP!$B$26:$B$32,MATCH($G564,SETUP!$A$26:$A$32,1))))</f>
        <v>62,000 - 62,999</v>
      </c>
      <c r="I564" s="70">
        <v>2304</v>
      </c>
      <c r="J564" s="15" t="str">
        <f>IF($C564="","",IF($I564="","-",INDEX(SETUP!$B$16:$B$22,MATCH($I564,SETUP!$A$16:$A$22,1))))</f>
        <v>DEVELOPING</v>
      </c>
      <c r="K564" s="15" t="str">
        <f>IF($C564="","",IF($I564="","-",TEXT(INT($I564/1000)*1000,"#,##0")&amp;" - "&amp;TEXT(INT($I564/1000)*1000+999,"#,##0")))</f>
        <v>2,000 - 2,999</v>
      </c>
      <c r="L564" s="71">
        <v>4.2</v>
      </c>
      <c r="M564" s="15" t="str">
        <f>IF($C564="","",IF($L564="","-",INDEX(SETUP!$B$36:$B$42,MATCH($L564,SETUP!$A$36:$A$42,1))))</f>
        <v>4k - 5k</v>
      </c>
      <c r="N564" s="17">
        <f>IF($C564="","",IF(OR($G564="",$I564=""),"",ROUND(100*(SETUP!$B$4*MIN(1,$I564/SETUP!$B$9)+SETUP!$B$5*MAX(0,MIN(1,($G564-SETUP!$B$10)/(SETUP!$B$11-SETUP!$B$10)))+SETUP!$B$6*MIN(1,IF($L564="",0,$L564)/SETUP!$B$12)),1)))</f>
        <v>37.1</v>
      </c>
      <c r="O564" s="15" t="str">
        <f>IF($C564="","",IF($N564="","-",INDEX(SETUP!$B$46:$B$51,MATCH($N564,SETUP!$A$46:$A$51,1))))</f>
        <v>B</v>
      </c>
      <c r="P564" s="15">
        <f>IF($C564="","",IF($I564="","",RANK($I564,$I$4:$I$1463)+COUNTIF($I$4:$I564,$I564)-1))</f>
        <v>1044</v>
      </c>
      <c r="Q564" s="15">
        <f>IF($C564="","",COUNTIFS($B$4:$B$1463,$B564,$X$4:$X$1463,"&gt;"&amp;$X564)+COUNTIFS($B$4:$B564,$B564,$X$4:$X564,"="&amp;$X564))</f>
        <v>96</v>
      </c>
      <c r="R564" s="72">
        <f>IF($C564="","",IF($I564="","",ROUND(COUNTIF($I$4:$I$1463,"&lt;"&amp;$I564)/COUNT($I$4:$I$1463),3)))</f>
        <v>0.21199999999999999</v>
      </c>
      <c r="S564" s="15" t="str">
        <f>IF($C564="","",IF($G564="","Name only",IF(OR($I564="",$L564=""),"Partial","Complete")))</f>
        <v>Complete</v>
      </c>
      <c r="T564" s="41" t="str">
        <f>IF($C564="","",TRIM(IF(COUNTIF($C$4:$C$1463,$C564)&gt;1,"Dup name; ","")&amp;IF(AND($G564&lt;&gt;"",$G564&lt;55000),"Low CR - verify; ","")&amp;IF(AND($L564&lt;&gt;"",$L564&gt;15),"Secondary - verify; ","")&amp;IF($E564="","No class; ","")))</f>
        <v/>
      </c>
      <c r="U564" s="68"/>
      <c r="V564" s="68"/>
      <c r="W564" s="68"/>
      <c r="X564" s="73">
        <f t="shared" si="42"/>
        <v>2304</v>
      </c>
      <c r="Y564" s="41" t="str">
        <f t="shared" si="43"/>
        <v>SBG|96</v>
      </c>
      <c r="Z564" s="15">
        <f>IF($C564="","",IF($G564="","",RANK($G564,$G$4:$G$1463)+COUNTIF($G$4:$G564,$G564)-1))</f>
        <v>601</v>
      </c>
      <c r="AA564" s="15">
        <f>IF($C564="","",IF($N564="","",RANK($N564,$N$4:$N$1463)+COUNTIF($N$4:$N564,$N564)-1))</f>
        <v>923</v>
      </c>
      <c r="AB564" s="41" t="str">
        <f>IF($C564="","",IF($E564="","",$E564&amp;"#"&amp;(COUNTIFS($E$4:$E$1463,$E564,$X$4:$X$1463,"&gt;"&amp;$X564)+COUNTIFS($E$4:$E564,$E564,$X$4:$X564,"="&amp;$X564))))</f>
        <v>MONK#36</v>
      </c>
      <c r="AC564" s="41" t="str">
        <f>IF($C564="","",$B564&amp;"@"&amp;(COUNTIFS($B$4:$B$1463,$B564,$C$4:$C$1463,"&lt;"&amp;$C564)+COUNTIFS($B$4:$B564,$B564,$C$4:$C564,$C564)))</f>
        <v>SBG@33</v>
      </c>
      <c r="AD564" s="41">
        <f t="shared" si="44"/>
        <v>561</v>
      </c>
      <c r="AE564" s="41" t="s">
        <v>1524</v>
      </c>
      <c r="AF564" s="73">
        <f t="shared" si="45"/>
        <v>62621</v>
      </c>
      <c r="AG564" s="74">
        <f t="shared" si="46"/>
        <v>4.2</v>
      </c>
      <c r="AH564" s="41" t="str">
        <f>IF($C564="","",$B564&amp;"|"&amp;(COUNTIFS($B$4:$B$1463,$B564,$AF$4:$AF$1463,"&gt;"&amp;$AF564)+COUNTIFS($B$4:$B564,$B564,$AF$4:$AF564,"="&amp;$AF564)))</f>
        <v>SBG|55</v>
      </c>
      <c r="AI564" s="41" t="str">
        <f>IF($C564="","",$B564&amp;"|"&amp;(COUNTIFS($B$4:$B$1463,$B564,$AG$4:$AG$1463,"&gt;"&amp;$AG564)+COUNTIFS($B$4:$B564,$B564,$AG$4:$AG564,"="&amp;$AG564)))</f>
        <v>SBG|90</v>
      </c>
    </row>
    <row r="565" spans="1:35" hidden="1">
      <c r="A565" s="69" t="s">
        <v>109</v>
      </c>
      <c r="B565" s="69" t="s">
        <v>111</v>
      </c>
      <c r="C565" s="63" t="s">
        <v>1525</v>
      </c>
      <c r="D565" s="69" t="s">
        <v>527</v>
      </c>
      <c r="E565" s="68" t="s">
        <v>71</v>
      </c>
      <c r="F565" s="19" t="str">
        <f>IF($C565="","",IF($E565="","-",IFERROR(INDEX(SETUP!$B$55:$B$64,MATCH($E565,SETUP!$A$55:$A$64,0)),"Other")))</f>
        <v>Frontline</v>
      </c>
      <c r="G565" s="70">
        <v>64143</v>
      </c>
      <c r="H565" s="19" t="str">
        <f>IF($C565="","",IF($G565="","-",INDEX(SETUP!$B$26:$B$32,MATCH($G565,SETUP!$A$26:$A$32,1))))</f>
        <v>64,000 +</v>
      </c>
      <c r="I565" s="70">
        <v>8218</v>
      </c>
      <c r="J565" s="19" t="str">
        <f>IF($C565="","",IF($I565="","-",INDEX(SETUP!$B$16:$B$22,MATCH($I565,SETUP!$A$16:$A$22,1))))</f>
        <v>ELITE</v>
      </c>
      <c r="K565" s="19" t="str">
        <f>IF($C565="","",IF($I565="","-",TEXT(INT($I565/1000)*1000,"#,##0")&amp;" - "&amp;TEXT(INT($I565/1000)*1000+999,"#,##0")))</f>
        <v>8,000 - 8,999</v>
      </c>
      <c r="L565" s="71">
        <v>6.4</v>
      </c>
      <c r="M565" s="19" t="str">
        <f>IF($C565="","",IF($L565="","-",INDEX(SETUP!$B$36:$B$42,MATCH($L565,SETUP!$A$36:$A$42,1))))</f>
        <v>6k - 8k</v>
      </c>
      <c r="N565" s="21">
        <f>IF($C565="","",IF(OR($G565="",$I565=""),"",ROUND(100*(SETUP!$B$4*MIN(1,$I565/SETUP!$B$9)+SETUP!$B$5*MAX(0,MIN(1,($G565-SETUP!$B$10)/(SETUP!$B$11-SETUP!$B$10)))+SETUP!$B$6*MIN(1,IF($L565="",0,$L565)/SETUP!$B$12)),1)))</f>
        <v>70.599999999999994</v>
      </c>
      <c r="O565" s="19" t="str">
        <f>IF($C565="","",IF($N565="","-",INDEX(SETUP!$B$46:$B$51,MATCH($N565,SETUP!$A$46:$A$51,1))))</f>
        <v>S</v>
      </c>
      <c r="P565" s="19">
        <f>IF($C565="","",IF($I565="","",RANK($I565,$I$4:$I$1463)+COUNTIF($I$4:$I565,$I565)-1))</f>
        <v>136</v>
      </c>
      <c r="Q565" s="19">
        <f>IF($C565="","",COUNTIFS($B$4:$B$1463,$B565,$X$4:$X$1463,"&gt;"&amp;$X565)+COUNTIFS($B$4:$B565,$B565,$X$4:$X565,"="&amp;$X565))</f>
        <v>21</v>
      </c>
      <c r="R565" s="75">
        <f>IF($C565="","",IF($I565="","",ROUND(COUNTIF($I$4:$I$1463,"&lt;"&amp;$I565)/COUNT($I$4:$I$1463),3)))</f>
        <v>0.89700000000000002</v>
      </c>
      <c r="S565" s="19" t="str">
        <f>IF($C565="","",IF($G565="","Name only",IF(OR($I565="",$L565=""),"Partial","Complete")))</f>
        <v>Complete</v>
      </c>
      <c r="T565" s="1" t="str">
        <f>IF($C565="","",TRIM(IF(COUNTIF($C$4:$C$1463,$C565)&gt;1,"Dup name; ","")&amp;IF(AND($G565&lt;&gt;"",$G565&lt;55000),"Low CR - verify; ","")&amp;IF(AND($L565&lt;&gt;"",$L565&gt;15),"Secondary - verify; ","")&amp;IF($E565="","No class; ","")))</f>
        <v/>
      </c>
      <c r="U565" s="68"/>
      <c r="V565" s="68"/>
      <c r="W565" s="68"/>
      <c r="X565" s="76">
        <f t="shared" si="42"/>
        <v>8218</v>
      </c>
      <c r="Y565" s="1" t="str">
        <f t="shared" si="43"/>
        <v>RECKONING|21</v>
      </c>
      <c r="Z565" s="19">
        <f>IF($C565="","",IF($G565="","",RANK($G565,$G$4:$G$1463)+COUNTIF($G$4:$G565,$G565)-1))</f>
        <v>54</v>
      </c>
      <c r="AA565" s="19">
        <f>IF($C565="","",IF($N565="","",RANK($N565,$N$4:$N$1463)+COUNTIF($N$4:$N565,$N565)-1))</f>
        <v>124</v>
      </c>
      <c r="AB565" s="1" t="str">
        <f>IF($C565="","",IF($E565="","",$E565&amp;"#"&amp;(COUNTIFS($E$4:$E$1463,$E565,$X$4:$X$1463,"&gt;"&amp;$X565)+COUNTIFS($E$4:$E565,$E565,$X$4:$X565,"="&amp;$X565))))</f>
        <v>BARBARIAN#29</v>
      </c>
      <c r="AC565" s="1" t="str">
        <f>IF($C565="","",$B565&amp;"@"&amp;(COUNTIFS($B$4:$B$1463,$B565,$C$4:$C$1463,"&lt;"&amp;$C565)+COUNTIFS($B$4:$B565,$B565,$C$4:$C565,$C565)))</f>
        <v>RECKONING@41</v>
      </c>
      <c r="AD565" s="1">
        <f t="shared" si="44"/>
        <v>562</v>
      </c>
      <c r="AE565" s="1" t="s">
        <v>1526</v>
      </c>
      <c r="AF565" s="76">
        <f t="shared" si="45"/>
        <v>64143</v>
      </c>
      <c r="AG565" s="77">
        <f t="shared" si="46"/>
        <v>6.4</v>
      </c>
      <c r="AH565" s="1" t="str">
        <f>IF($C565="","",$B565&amp;"|"&amp;(COUNTIFS($B$4:$B$1463,$B565,$AF$4:$AF$1463,"&gt;"&amp;$AF565)+COUNTIFS($B$4:$B565,$B565,$AF$4:$AF565,"="&amp;$AF565)))</f>
        <v>RECKONING|5</v>
      </c>
      <c r="AI565" s="1" t="str">
        <f>IF($C565="","",$B565&amp;"|"&amp;(COUNTIFS($B$4:$B$1463,$B565,$AG$4:$AG$1463,"&gt;"&amp;$AG565)+COUNTIFS($B$4:$B565,$B565,$AG$4:$AG565,"="&amp;$AG565)))</f>
        <v>RECKONING|31</v>
      </c>
    </row>
    <row r="566" spans="1:35" hidden="1">
      <c r="A566" s="69" t="s">
        <v>109</v>
      </c>
      <c r="B566" s="69" t="s">
        <v>110</v>
      </c>
      <c r="C566" s="63" t="s">
        <v>1527</v>
      </c>
      <c r="D566" s="69"/>
      <c r="E566" s="68" t="s">
        <v>71</v>
      </c>
      <c r="F566" s="15" t="str">
        <f>IF($C566="","",IF($E566="","-",IFERROR(INDEX(SETUP!$B$55:$B$64,MATCH($E566,SETUP!$A$55:$A$64,0)),"Other")))</f>
        <v>Frontline</v>
      </c>
      <c r="G566" s="70">
        <v>64368</v>
      </c>
      <c r="H566" s="15" t="str">
        <f>IF($C566="","",IF($G566="","-",INDEX(SETUP!$B$26:$B$32,MATCH($G566,SETUP!$A$26:$A$32,1))))</f>
        <v>64,000 +</v>
      </c>
      <c r="I566" s="70">
        <v>10553</v>
      </c>
      <c r="J566" s="15" t="str">
        <f>IF($C566="","",IF($I566="","-",INDEX(SETUP!$B$16:$B$22,MATCH($I566,SETUP!$A$16:$A$22,1))))</f>
        <v>APEX</v>
      </c>
      <c r="K566" s="15" t="str">
        <f>IF($C566="","",IF($I566="","-",TEXT(INT($I566/1000)*1000,"#,##0")&amp;" - "&amp;TEXT(INT($I566/1000)*1000+999,"#,##0")))</f>
        <v>10,000 - 10,999</v>
      </c>
      <c r="L566" s="71">
        <v>9</v>
      </c>
      <c r="M566" s="15" t="str">
        <f>IF($C566="","",IF($L566="","-",INDEX(SETUP!$B$36:$B$42,MATCH($L566,SETUP!$A$36:$A$42,1))))</f>
        <v>8k - 10k</v>
      </c>
      <c r="N566" s="17">
        <f>IF($C566="","",IF(OR($G566="",$I566=""),"",ROUND(100*(SETUP!$B$4*MIN(1,$I566/SETUP!$B$9)+SETUP!$B$5*MAX(0,MIN(1,($G566-SETUP!$B$10)/(SETUP!$B$11-SETUP!$B$10)))+SETUP!$B$6*MIN(1,IF($L566="",0,$L566)/SETUP!$B$12)),1)))</f>
        <v>85.7</v>
      </c>
      <c r="O566" s="15" t="str">
        <f>IF($C566="","",IF($N566="","-",INDEX(SETUP!$B$46:$B$51,MATCH($N566,SETUP!$A$46:$A$51,1))))</f>
        <v>S+</v>
      </c>
      <c r="P566" s="15">
        <f>IF($C566="","",IF($I566="","",RANK($I566,$I$4:$I$1463)+COUNTIF($I$4:$I566,$I566)-1))</f>
        <v>21</v>
      </c>
      <c r="Q566" s="15">
        <f>IF($C566="","",COUNTIFS($B$4:$B$1463,$B566,$X$4:$X$1463,"&gt;"&amp;$X566)+COUNTIFS($B$4:$B566,$B566,$X$4:$X566,"="&amp;$X566))</f>
        <v>7</v>
      </c>
      <c r="R566" s="72">
        <f>IF($C566="","",IF($I566="","",ROUND(COUNTIF($I$4:$I$1463,"&lt;"&amp;$I566)/COUNT($I$4:$I$1463),3)))</f>
        <v>0.98399999999999999</v>
      </c>
      <c r="S566" s="15" t="str">
        <f>IF($C566="","",IF($G566="","Name only",IF(OR($I566="",$L566=""),"Partial","Complete")))</f>
        <v>Complete</v>
      </c>
      <c r="T566" s="41" t="str">
        <f>IF($C566="","",TRIM(IF(COUNTIF($C$4:$C$1463,$C566)&gt;1,"Dup name; ","")&amp;IF(AND($G566&lt;&gt;"",$G566&lt;55000),"Low CR - verify; ","")&amp;IF(AND($L566&lt;&gt;"",$L566&gt;15),"Secondary - verify; ","")&amp;IF($E566="","No class; ","")))</f>
        <v/>
      </c>
      <c r="U566" s="68"/>
      <c r="V566" s="68"/>
      <c r="W566" s="68"/>
      <c r="X566" s="73">
        <f t="shared" si="42"/>
        <v>10553</v>
      </c>
      <c r="Y566" s="41" t="str">
        <f t="shared" si="43"/>
        <v>AZUKI|7</v>
      </c>
      <c r="Z566" s="15">
        <f>IF($C566="","",IF($G566="","",RANK($G566,$G$4:$G$1463)+COUNTIF($G$4:$G566,$G566)-1))</f>
        <v>11</v>
      </c>
      <c r="AA566" s="15">
        <f>IF($C566="","",IF($N566="","",RANK($N566,$N$4:$N$1463)+COUNTIF($N$4:$N566,$N566)-1))</f>
        <v>21</v>
      </c>
      <c r="AB566" s="41" t="str">
        <f>IF($C566="","",IF($E566="","",$E566&amp;"#"&amp;(COUNTIFS($E$4:$E$1463,$E566,$X$4:$X$1463,"&gt;"&amp;$X566)+COUNTIFS($E$4:$E566,$E566,$X$4:$X566,"="&amp;$X566))))</f>
        <v>BARBARIAN#3</v>
      </c>
      <c r="AC566" s="41" t="str">
        <f>IF($C566="","",$B566&amp;"@"&amp;(COUNTIFS($B$4:$B$1463,$B566,$C$4:$C$1463,"&lt;"&amp;$C566)+COUNTIFS($B$4:$B566,$B566,$C$4:$C566,$C566)))</f>
        <v>AZUKI@51</v>
      </c>
      <c r="AD566" s="41">
        <f t="shared" si="44"/>
        <v>563</v>
      </c>
      <c r="AE566" s="41" t="s">
        <v>1528</v>
      </c>
      <c r="AF566" s="73">
        <f t="shared" si="45"/>
        <v>64368</v>
      </c>
      <c r="AG566" s="74">
        <f t="shared" si="46"/>
        <v>9</v>
      </c>
      <c r="AH566" s="41" t="str">
        <f>IF($C566="","",$B566&amp;"|"&amp;(COUNTIFS($B$4:$B$1463,$B566,$AF$4:$AF$1463,"&gt;"&amp;$AF566)+COUNTIFS($B$4:$B566,$B566,$AF$4:$AF566,"="&amp;$AF566)))</f>
        <v>AZUKI|5</v>
      </c>
      <c r="AI566" s="41" t="str">
        <f>IF($C566="","",$B566&amp;"|"&amp;(COUNTIFS($B$4:$B$1463,$B566,$AG$4:$AG$1463,"&gt;"&amp;$AG566)+COUNTIFS($B$4:$B566,$B566,$AG$4:$AG566,"="&amp;$AG566)))</f>
        <v>AZUKI|11</v>
      </c>
    </row>
    <row r="567" spans="1:35">
      <c r="A567" s="69" t="s">
        <v>104</v>
      </c>
      <c r="B567" s="69" t="s">
        <v>66</v>
      </c>
      <c r="C567" s="63" t="s">
        <v>1437</v>
      </c>
      <c r="D567" s="69"/>
      <c r="E567" s="68" t="s">
        <v>71</v>
      </c>
      <c r="F567" s="15" t="str">
        <f>IF($C567="","",IF($E567="","-",IFERROR(INDEX(SETUP!$B$55:$B$64,MATCH($E567,SETUP!$A$55:$A$64,0)),"Other")))</f>
        <v>Frontline</v>
      </c>
      <c r="G567" s="70">
        <v>61713</v>
      </c>
      <c r="H567" s="15" t="str">
        <f>IF($C567="","",IF($G567="","-",INDEX(SETUP!$B$26:$B$32,MATCH($G567,SETUP!$A$26:$A$32,1))))</f>
        <v>61,000 - 61,999</v>
      </c>
      <c r="I567" s="70">
        <v>3384</v>
      </c>
      <c r="J567" s="15" t="str">
        <f>IF($C567="","",IF($I567="","-",INDEX(SETUP!$B$16:$B$22,MATCH($I567,SETUP!$A$16:$A$22,1))))</f>
        <v>DEVELOPING</v>
      </c>
      <c r="K567" s="15" t="str">
        <f>IF($C567="","",IF($I567="","-",TEXT(INT($I567/1000)*1000,"#,##0")&amp;" - "&amp;TEXT(INT($I567/1000)*1000+999,"#,##0")))</f>
        <v>3,000 - 3,999</v>
      </c>
      <c r="L567" s="71">
        <v>3.68</v>
      </c>
      <c r="M567" s="15" t="str">
        <f>IF($C567="","",IF($L567="","-",INDEX(SETUP!$B$36:$B$42,MATCH($L567,SETUP!$A$36:$A$42,1))))</f>
        <v>3k - 4k</v>
      </c>
      <c r="N567" s="17">
        <f>IF($C567="","",IF(OR($G567="",$I567=""),"",ROUND(100*(SETUP!$B$4*MIN(1,$I567/SETUP!$B$9)+SETUP!$B$5*MAX(0,MIN(1,($G567-SETUP!$B$10)/(SETUP!$B$11-SETUP!$B$10)))+SETUP!$B$6*MIN(1,IF($L567="",0,$L567)/SETUP!$B$12)),1)))</f>
        <v>38.6</v>
      </c>
      <c r="O567" s="15" t="str">
        <f>IF($C567="","",IF($N567="","-",INDEX(SETUP!$B$46:$B$51,MATCH($N567,SETUP!$A$46:$A$51,1))))</f>
        <v>B</v>
      </c>
      <c r="P567" s="15">
        <f>IF($C567="","",IF($I567="","",RANK($I567,$I$4:$I$1463)+COUNTIF($I$4:$I567,$I567)-1))</f>
        <v>762</v>
      </c>
      <c r="Q567" s="15">
        <f>IF($C567="","",COUNTIFS($B$4:$B$1463,$B567,$X$4:$X$1463,"&gt;"&amp;$X567)+COUNTIFS($B$4:$B567,$B567,$X$4:$X567,"="&amp;$X567))</f>
        <v>76</v>
      </c>
      <c r="R567" s="72">
        <f>IF($C567="","",IF($I567="","",ROUND(COUNTIF($I$4:$I$1463,"&lt;"&amp;$I567)/COUNT($I$4:$I$1463),3)))</f>
        <v>0.42499999999999999</v>
      </c>
      <c r="S567" s="15" t="str">
        <f>IF($C567="","",IF($G567="","Name only",IF(OR($I567="",$L567=""),"Partial","Complete")))</f>
        <v>Complete</v>
      </c>
      <c r="T567" s="41" t="str">
        <f>IF($C567="","",TRIM(IF(COUNTIF($C$4:$C$1463,$C567)&gt;1,"Dup name; ","")&amp;IF(AND($G567&lt;&gt;"",$G567&lt;55000),"Low CR - verify; ","")&amp;IF(AND($L567&lt;&gt;"",$L567&gt;15),"Secondary - verify; ","")&amp;IF($E567="","No class; ","")))</f>
        <v/>
      </c>
      <c r="U567" s="68" t="s">
        <v>264</v>
      </c>
      <c r="V567" s="68" t="s">
        <v>66</v>
      </c>
      <c r="W567" s="68" t="s">
        <v>285</v>
      </c>
      <c r="X567" s="76">
        <f t="shared" si="42"/>
        <v>3384</v>
      </c>
      <c r="Y567" s="1" t="str">
        <f t="shared" si="43"/>
        <v>FUCT|76</v>
      </c>
      <c r="Z567" s="19">
        <f>IF($C567="","",IF($G567="","",RANK($G567,$G$4:$G$1463)+COUNTIF($G$4:$G567,$G567)-1))</f>
        <v>938</v>
      </c>
      <c r="AA567" s="19">
        <f>IF($C567="","",IF($N567="","",RANK($N567,$N$4:$N$1463)+COUNTIF($N$4:$N567,$N567)-1))</f>
        <v>876</v>
      </c>
      <c r="AB567" s="1" t="str">
        <f>IF($C567="","",IF($E567="","",$E567&amp;"#"&amp;(COUNTIFS($E$4:$E$1463,$E567,$X$4:$X$1463,"&gt;"&amp;$X567)+COUNTIFS($E$4:$E567,$E567,$X$4:$X567,"="&amp;$X567))))</f>
        <v>BARBARIAN#135</v>
      </c>
      <c r="AC567" s="1" t="str">
        <f>IF($C567="","",$B567&amp;"@"&amp;(COUNTIFS($B$4:$B$1463,$B567,$C$4:$C$1463,"&lt;"&amp;$C567)+COUNTIFS($B$4:$B567,$B567,$C$4:$C567,$C567)))</f>
        <v>FUCT@38</v>
      </c>
      <c r="AD567" s="1">
        <f t="shared" si="44"/>
        <v>564</v>
      </c>
      <c r="AE567" s="1" t="s">
        <v>1530</v>
      </c>
      <c r="AF567" s="76">
        <f t="shared" si="45"/>
        <v>61713</v>
      </c>
      <c r="AG567" s="77">
        <f t="shared" si="46"/>
        <v>3.68</v>
      </c>
      <c r="AH567" s="1" t="str">
        <f>IF($C567="","",$B567&amp;"|"&amp;(COUNTIFS($B$4:$B$1463,$B567,$AF$4:$AF$1463,"&gt;"&amp;$AF567)+COUNTIFS($B$4:$B567,$B567,$AF$4:$AF567,"="&amp;$AF567)))</f>
        <v>FUCT|87</v>
      </c>
      <c r="AI567" s="1" t="str">
        <f>IF($C567="","",$B567&amp;"|"&amp;(COUNTIFS($B$4:$B$1463,$B567,$AG$4:$AG$1463,"&gt;"&amp;$AG567)+COUNTIFS($B$4:$B567,$B567,$AG$4:$AG567,"="&amp;$AG567)))</f>
        <v>FUCT|91</v>
      </c>
    </row>
    <row r="568" spans="1:35" hidden="1">
      <c r="A568" s="69" t="s">
        <v>106</v>
      </c>
      <c r="B568" s="69" t="s">
        <v>107</v>
      </c>
      <c r="C568" s="63" t="s">
        <v>1531</v>
      </c>
      <c r="D568" s="69"/>
      <c r="E568" s="68" t="s">
        <v>71</v>
      </c>
      <c r="F568" s="15" t="str">
        <f>IF($C568="","",IF($E568="","-",IFERROR(INDEX(SETUP!$B$55:$B$64,MATCH($E568,SETUP!$A$55:$A$64,0)),"Other")))</f>
        <v>Frontline</v>
      </c>
      <c r="G568" s="70">
        <v>62086</v>
      </c>
      <c r="H568" s="15" t="str">
        <f>IF($C568="","",IF($G568="","-",INDEX(SETUP!$B$26:$B$32,MATCH($G568,SETUP!$A$26:$A$32,1))))</f>
        <v>62,000 - 62,999</v>
      </c>
      <c r="I568" s="70">
        <v>6226</v>
      </c>
      <c r="J568" s="15" t="str">
        <f>IF($C568="","",IF($I568="","-",INDEX(SETUP!$B$16:$B$22,MATCH($I568,SETUP!$A$16:$A$22,1))))</f>
        <v>VETERAN</v>
      </c>
      <c r="K568" s="15" t="str">
        <f>IF($C568="","",IF($I568="","-",TEXT(INT($I568/1000)*1000,"#,##0")&amp;" - "&amp;TEXT(INT($I568/1000)*1000+999,"#,##0")))</f>
        <v>6,000 - 6,999</v>
      </c>
      <c r="L568" s="71">
        <v>5.65</v>
      </c>
      <c r="M568" s="15" t="str">
        <f>IF($C568="","",IF($L568="","-",INDEX(SETUP!$B$36:$B$42,MATCH($L568,SETUP!$A$36:$A$42,1))))</f>
        <v>5k - 6k</v>
      </c>
      <c r="N568" s="17">
        <f>IF($C568="","",IF(OR($G568="",$I568=""),"",ROUND(100*(SETUP!$B$4*MIN(1,$I568/SETUP!$B$9)+SETUP!$B$5*MAX(0,MIN(1,($G568-SETUP!$B$10)/(SETUP!$B$11-SETUP!$B$10)))+SETUP!$B$6*MIN(1,IF($L568="",0,$L568)/SETUP!$B$12)),1)))</f>
        <v>55.2</v>
      </c>
      <c r="O568" s="15" t="str">
        <f>IF($C568="","",IF($N568="","-",INDEX(SETUP!$B$46:$B$51,MATCH($N568,SETUP!$A$46:$A$51,1))))</f>
        <v>A</v>
      </c>
      <c r="P568" s="15">
        <f>IF($C568="","",IF($I568="","",RANK($I568,$I$4:$I$1463)+COUNTIF($I$4:$I568,$I568)-1))</f>
        <v>261</v>
      </c>
      <c r="Q568" s="15">
        <f>IF($C568="","",COUNTIFS($B$4:$B$1463,$B568,$X$4:$X$1463,"&gt;"&amp;$X568)+COUNTIFS($B$4:$B568,$B568,$X$4:$X568,"="&amp;$X568))</f>
        <v>18</v>
      </c>
      <c r="R568" s="72">
        <f>IF($C568="","",IF($I568="","",ROUND(COUNTIF($I$4:$I$1463,"&lt;"&amp;$I568)/COUNT($I$4:$I$1463),3)))</f>
        <v>0.80300000000000005</v>
      </c>
      <c r="S568" s="15" t="str">
        <f>IF($C568="","",IF($G568="","Name only",IF(OR($I568="",$L568=""),"Partial","Complete")))</f>
        <v>Complete</v>
      </c>
      <c r="T568" s="41" t="str">
        <f>IF($C568="","",TRIM(IF(COUNTIF($C$4:$C$1463,$C568)&gt;1,"Dup name; ","")&amp;IF(AND($G568&lt;&gt;"",$G568&lt;55000),"Low CR - verify; ","")&amp;IF(AND($L568&lt;&gt;"",$L568&gt;15),"Secondary - verify; ","")&amp;IF($E568="","No class; ","")))</f>
        <v/>
      </c>
      <c r="U568" s="68"/>
      <c r="V568" s="68"/>
      <c r="W568" s="68"/>
      <c r="X568" s="73">
        <f t="shared" si="42"/>
        <v>6226</v>
      </c>
      <c r="Y568" s="41" t="str">
        <f t="shared" si="43"/>
        <v>UNDYING|18</v>
      </c>
      <c r="Z568" s="15">
        <f>IF($C568="","",IF($G568="","",RANK($G568,$G$4:$G$1463)+COUNTIF($G$4:$G568,$G568)-1))</f>
        <v>803</v>
      </c>
      <c r="AA568" s="15">
        <f>IF($C568="","",IF($N568="","",RANK($N568,$N$4:$N$1463)+COUNTIF($N$4:$N568,$N568)-1))</f>
        <v>314</v>
      </c>
      <c r="AB568" s="41" t="str">
        <f>IF($C568="","",IF($E568="","",$E568&amp;"#"&amp;(COUNTIFS($E$4:$E$1463,$E568,$X$4:$X$1463,"&gt;"&amp;$X568)+COUNTIFS($E$4:$E568,$E568,$X$4:$X568,"="&amp;$X568))))</f>
        <v>BARBARIAN#52</v>
      </c>
      <c r="AC568" s="41" t="str">
        <f>IF($C568="","",$B568&amp;"@"&amp;(COUNTIFS($B$4:$B$1463,$B568,$C$4:$C$1463,"&lt;"&amp;$C568)+COUNTIFS($B$4:$B568,$B568,$C$4:$C568,$C568)))</f>
        <v>UNDYING@48</v>
      </c>
      <c r="AD568" s="41">
        <f t="shared" si="44"/>
        <v>565</v>
      </c>
      <c r="AE568" s="41" t="s">
        <v>1532</v>
      </c>
      <c r="AF568" s="73">
        <f t="shared" si="45"/>
        <v>62086</v>
      </c>
      <c r="AG568" s="74">
        <f t="shared" si="46"/>
        <v>5.65</v>
      </c>
      <c r="AH568" s="41" t="str">
        <f>IF($C568="","",$B568&amp;"|"&amp;(COUNTIFS($B$4:$B$1463,$B568,$AF$4:$AF$1463,"&gt;"&amp;$AF568)+COUNTIFS($B$4:$B568,$B568,$AF$4:$AF568,"="&amp;$AF568)))</f>
        <v>UNDYING|78</v>
      </c>
      <c r="AI568" s="41" t="str">
        <f>IF($C568="","",$B568&amp;"|"&amp;(COUNTIFS($B$4:$B$1463,$B568,$AG$4:$AG$1463,"&gt;"&amp;$AG568)+COUNTIFS($B$4:$B568,$B568,$AG$4:$AG568,"="&amp;$AG568)))</f>
        <v>UNDYING|33</v>
      </c>
    </row>
    <row r="569" spans="1:35" hidden="1">
      <c r="A569" s="69" t="s">
        <v>106</v>
      </c>
      <c r="B569" s="69" t="s">
        <v>105</v>
      </c>
      <c r="C569" s="63" t="s">
        <v>1533</v>
      </c>
      <c r="D569" s="69"/>
      <c r="E569" s="68" t="s">
        <v>71</v>
      </c>
      <c r="F569" s="19" t="str">
        <f>IF($C569="","",IF($E569="","-",IFERROR(INDEX(SETUP!$B$55:$B$64,MATCH($E569,SETUP!$A$55:$A$64,0)),"Other")))</f>
        <v>Frontline</v>
      </c>
      <c r="G569" s="70">
        <v>63821</v>
      </c>
      <c r="H569" s="19" t="str">
        <f>IF($C569="","",IF($G569="","-",INDEX(SETUP!$B$26:$B$32,MATCH($G569,SETUP!$A$26:$A$32,1))))</f>
        <v>63,000 - 63,999</v>
      </c>
      <c r="I569" s="70">
        <v>7433</v>
      </c>
      <c r="J569" s="19" t="str">
        <f>IF($C569="","",IF($I569="","-",INDEX(SETUP!$B$16:$B$22,MATCH($I569,SETUP!$A$16:$A$22,1))))</f>
        <v>VETERAN</v>
      </c>
      <c r="K569" s="19" t="str">
        <f>IF($C569="","",IF($I569="","-",TEXT(INT($I569/1000)*1000,"#,##0")&amp;" - "&amp;TEXT(INT($I569/1000)*1000+999,"#,##0")))</f>
        <v>7,000 - 7,999</v>
      </c>
      <c r="L569" s="71">
        <v>6.43</v>
      </c>
      <c r="M569" s="19" t="str">
        <f>IF($C569="","",IF($L569="","-",INDEX(SETUP!$B$36:$B$42,MATCH($L569,SETUP!$A$36:$A$42,1))))</f>
        <v>6k - 8k</v>
      </c>
      <c r="N569" s="21">
        <f>IF($C569="","",IF(OR($G569="",$I569=""),"",ROUND(100*(SETUP!$B$4*MIN(1,$I569/SETUP!$B$9)+SETUP!$B$5*MAX(0,MIN(1,($G569-SETUP!$B$10)/(SETUP!$B$11-SETUP!$B$10)))+SETUP!$B$6*MIN(1,IF($L569="",0,$L569)/SETUP!$B$12)),1)))</f>
        <v>66.400000000000006</v>
      </c>
      <c r="O569" s="19" t="str">
        <f>IF($C569="","",IF($N569="","-",INDEX(SETUP!$B$46:$B$51,MATCH($N569,SETUP!$A$46:$A$51,1))))</f>
        <v>S</v>
      </c>
      <c r="P569" s="19">
        <f>IF($C569="","",IF($I569="","",RANK($I569,$I$4:$I$1463)+COUNTIF($I$4:$I569,$I569)-1))</f>
        <v>177</v>
      </c>
      <c r="Q569" s="19">
        <f>IF($C569="","",COUNTIFS($B$4:$B$1463,$B569,$X$4:$X$1463,"&gt;"&amp;$X569)+COUNTIFS($B$4:$B569,$B569,$X$4:$X569,"="&amp;$X569))</f>
        <v>18</v>
      </c>
      <c r="R569" s="75">
        <f>IF($C569="","",IF($I569="","",ROUND(COUNTIF($I$4:$I$1463,"&lt;"&amp;$I569)/COUNT($I$4:$I$1463),3)))</f>
        <v>0.86599999999999999</v>
      </c>
      <c r="S569" s="19" t="str">
        <f>IF($C569="","",IF($G569="","Name only",IF(OR($I569="",$L569=""),"Partial","Complete")))</f>
        <v>Complete</v>
      </c>
      <c r="T569" s="1" t="str">
        <f>IF($C569="","",TRIM(IF(COUNTIF($C$4:$C$1463,$C569)&gt;1,"Dup name; ","")&amp;IF(AND($G569&lt;&gt;"",$G569&lt;55000),"Low CR - verify; ","")&amp;IF(AND($L569&lt;&gt;"",$L569&gt;15),"Secondary - verify; ","")&amp;IF($E569="","No class; ","")))</f>
        <v/>
      </c>
      <c r="U569" s="68"/>
      <c r="V569" s="68"/>
      <c r="W569" s="68"/>
      <c r="X569" s="76">
        <f t="shared" si="42"/>
        <v>7433</v>
      </c>
      <c r="Y569" s="1" t="str">
        <f t="shared" si="43"/>
        <v>LEGENDS|18</v>
      </c>
      <c r="Z569" s="19">
        <f>IF($C569="","",IF($G569="","",RANK($G569,$G$4:$G$1463)+COUNTIF($G$4:$G569,$G569)-1))</f>
        <v>114</v>
      </c>
      <c r="AA569" s="19">
        <f>IF($C569="","",IF($N569="","",RANK($N569,$N$4:$N$1463)+COUNTIF($N$4:$N569,$N569)-1))</f>
        <v>164</v>
      </c>
      <c r="AB569" s="1" t="str">
        <f>IF($C569="","",IF($E569="","",$E569&amp;"#"&amp;(COUNTIFS($E$4:$E$1463,$E569,$X$4:$X$1463,"&gt;"&amp;$X569)+COUNTIFS($E$4:$E569,$E569,$X$4:$X569,"="&amp;$X569))))</f>
        <v>BARBARIAN#40</v>
      </c>
      <c r="AC569" s="1" t="str">
        <f>IF($C569="","",$B569&amp;"@"&amp;(COUNTIFS($B$4:$B$1463,$B569,$C$4:$C$1463,"&lt;"&amp;$C569)+COUNTIFS($B$4:$B569,$B569,$C$4:$C569,$C569)))</f>
        <v>LEGENDS@54</v>
      </c>
      <c r="AD569" s="1">
        <f t="shared" si="44"/>
        <v>566</v>
      </c>
      <c r="AE569" s="1" t="s">
        <v>1534</v>
      </c>
      <c r="AF569" s="76">
        <f t="shared" si="45"/>
        <v>63821</v>
      </c>
      <c r="AG569" s="77">
        <f t="shared" si="46"/>
        <v>6.43</v>
      </c>
      <c r="AH569" s="1" t="str">
        <f>IF($C569="","",$B569&amp;"|"&amp;(COUNTIFS($B$4:$B$1463,$B569,$AF$4:$AF$1463,"&gt;"&amp;$AF569)+COUNTIFS($B$4:$B569,$B569,$AF$4:$AF569,"="&amp;$AF569)))</f>
        <v>LEGENDS|8</v>
      </c>
      <c r="AI569" s="1" t="str">
        <f>IF($C569="","",$B569&amp;"|"&amp;(COUNTIFS($B$4:$B$1463,$B569,$AG$4:$AG$1463,"&gt;"&amp;$AG569)+COUNTIFS($B$4:$B569,$B569,$AG$4:$AG569,"="&amp;$AG569)))</f>
        <v>LEGENDS|11</v>
      </c>
    </row>
    <row r="570" spans="1:35" hidden="1">
      <c r="A570" s="69" t="s">
        <v>109</v>
      </c>
      <c r="B570" s="69" t="s">
        <v>111</v>
      </c>
      <c r="C570" s="63" t="s">
        <v>1535</v>
      </c>
      <c r="D570" s="69" t="s">
        <v>527</v>
      </c>
      <c r="E570" s="68" t="s">
        <v>79</v>
      </c>
      <c r="F570" s="15" t="str">
        <f>IF($C570="","",IF($E570="","-",IFERROR(INDEX(SETUP!$B$55:$B$64,MATCH($E570,SETUP!$A$55:$A$64,0)),"Other")))</f>
        <v>Control</v>
      </c>
      <c r="G570" s="70">
        <v>61136</v>
      </c>
      <c r="H570" s="15" t="str">
        <f>IF($C570="","",IF($G570="","-",INDEX(SETUP!$B$26:$B$32,MATCH($G570,SETUP!$A$26:$A$32,1))))</f>
        <v>61,000 - 61,999</v>
      </c>
      <c r="I570" s="70">
        <v>3590</v>
      </c>
      <c r="J570" s="15" t="str">
        <f>IF($C570="","",IF($I570="","-",INDEX(SETUP!$B$16:$B$22,MATCH($I570,SETUP!$A$16:$A$22,1))))</f>
        <v>DEVELOPING</v>
      </c>
      <c r="K570" s="15" t="str">
        <f>IF($C570="","",IF($I570="","-",TEXT(INT($I570/1000)*1000,"#,##0")&amp;" - "&amp;TEXT(INT($I570/1000)*1000+999,"#,##0")))</f>
        <v>3,000 - 3,999</v>
      </c>
      <c r="L570" s="71">
        <v>6.65</v>
      </c>
      <c r="M570" s="15" t="str">
        <f>IF($C570="","",IF($L570="","-",INDEX(SETUP!$B$36:$B$42,MATCH($L570,SETUP!$A$36:$A$42,1))))</f>
        <v>6k - 8k</v>
      </c>
      <c r="N570" s="17">
        <f>IF($C570="","",IF(OR($G570="",$I570=""),"",ROUND(100*(SETUP!$B$4*MIN(1,$I570/SETUP!$B$9)+SETUP!$B$5*MAX(0,MIN(1,($G570-SETUP!$B$10)/(SETUP!$B$11-SETUP!$B$10)))+SETUP!$B$6*MIN(1,IF($L570="",0,$L570)/SETUP!$B$12)),1)))</f>
        <v>42.9</v>
      </c>
      <c r="O570" s="15" t="str">
        <f>IF($C570="","",IF($N570="","-",INDEX(SETUP!$B$46:$B$51,MATCH($N570,SETUP!$A$46:$A$51,1))))</f>
        <v>B</v>
      </c>
      <c r="P570" s="15">
        <f>IF($C570="","",IF($I570="","",RANK($I570,$I$4:$I$1463)+COUNTIF($I$4:$I570,$I570)-1))</f>
        <v>704</v>
      </c>
      <c r="Q570" s="15">
        <f>IF($C570="","",COUNTIFS($B$4:$B$1463,$B570,$X$4:$X$1463,"&gt;"&amp;$X570)+COUNTIFS($B$4:$B570,$B570,$X$4:$X570,"="&amp;$X570))</f>
        <v>79</v>
      </c>
      <c r="R570" s="72">
        <f>IF($C570="","",IF($I570="","",ROUND(COUNTIF($I$4:$I$1463,"&lt;"&amp;$I570)/COUNT($I$4:$I$1463),3)))</f>
        <v>0.46899999999999997</v>
      </c>
      <c r="S570" s="15" t="str">
        <f>IF($C570="","",IF($G570="","Name only",IF(OR($I570="",$L570=""),"Partial","Complete")))</f>
        <v>Complete</v>
      </c>
      <c r="T570" s="41" t="str">
        <f>IF($C570="","",TRIM(IF(COUNTIF($C$4:$C$1463,$C570)&gt;1,"Dup name; ","")&amp;IF(AND($G570&lt;&gt;"",$G570&lt;55000),"Low CR - verify; ","")&amp;IF(AND($L570&lt;&gt;"",$L570&gt;15),"Secondary - verify; ","")&amp;IF($E570="","No class; ","")))</f>
        <v/>
      </c>
      <c r="U570" s="68"/>
      <c r="V570" s="68"/>
      <c r="W570" s="68"/>
      <c r="X570" s="73">
        <f t="shared" si="42"/>
        <v>3590</v>
      </c>
      <c r="Y570" s="41" t="str">
        <f t="shared" si="43"/>
        <v>RECKONING|79</v>
      </c>
      <c r="Z570" s="15">
        <f>IF($C570="","",IF($G570="","",RANK($G570,$G$4:$G$1463)+COUNTIF($G$4:$G570,$G570)-1))</f>
        <v>1109</v>
      </c>
      <c r="AA570" s="15">
        <f>IF($C570="","",IF($N570="","",RANK($N570,$N$4:$N$1463)+COUNTIF($N$4:$N570,$N570)-1))</f>
        <v>709</v>
      </c>
      <c r="AB570" s="41" t="str">
        <f>IF($C570="","",IF($E570="","",$E570&amp;"#"&amp;(COUNTIFS($E$4:$E$1463,$E570,$X$4:$X$1463,"&gt;"&amp;$X570)+COUNTIFS($E$4:$E570,$E570,$X$4:$X570,"="&amp;$X570))))</f>
        <v>WARLOCK#175</v>
      </c>
      <c r="AC570" s="41" t="str">
        <f>IF($C570="","",$B570&amp;"@"&amp;(COUNTIFS($B$4:$B$1463,$B570,$C$4:$C$1463,"&lt;"&amp;$C570)+COUNTIFS($B$4:$B570,$B570,$C$4:$C570,$C570)))</f>
        <v>RECKONING@42</v>
      </c>
      <c r="AD570" s="41">
        <f t="shared" si="44"/>
        <v>567</v>
      </c>
      <c r="AE570" s="41" t="s">
        <v>1536</v>
      </c>
      <c r="AF570" s="73">
        <f t="shared" si="45"/>
        <v>61136</v>
      </c>
      <c r="AG570" s="74">
        <f t="shared" si="46"/>
        <v>6.65</v>
      </c>
      <c r="AH570" s="41" t="str">
        <f>IF($C570="","",$B570&amp;"|"&amp;(COUNTIFS($B$4:$B$1463,$B570,$AF$4:$AF$1463,"&gt;"&amp;$AF570)+COUNTIFS($B$4:$B570,$B570,$AF$4:$AF570,"="&amp;$AF570)))</f>
        <v>RECKONING|92</v>
      </c>
      <c r="AI570" s="41" t="str">
        <f>IF($C570="","",$B570&amp;"|"&amp;(COUNTIFS($B$4:$B$1463,$B570,$AG$4:$AG$1463,"&gt;"&amp;$AG570)+COUNTIFS($B$4:$B570,$B570,$AG$4:$AG570,"="&amp;$AG570)))</f>
        <v>RECKONING|26</v>
      </c>
    </row>
    <row r="571" spans="1:35" hidden="1">
      <c r="A571" s="69" t="s">
        <v>109</v>
      </c>
      <c r="B571" s="69" t="s">
        <v>108</v>
      </c>
      <c r="C571" s="63" t="s">
        <v>1537</v>
      </c>
      <c r="D571" s="69"/>
      <c r="E571" s="68" t="s">
        <v>79</v>
      </c>
      <c r="F571" s="19" t="str">
        <f>IF($C571="","",IF($E571="","-",IFERROR(INDEX(SETUP!$B$55:$B$64,MATCH($E571,SETUP!$A$55:$A$64,0)),"Other")))</f>
        <v>Control</v>
      </c>
      <c r="G571" s="70">
        <v>61002</v>
      </c>
      <c r="H571" s="19" t="str">
        <f>IF($C571="","",IF($G571="","-",INDEX(SETUP!$B$26:$B$32,MATCH($G571,SETUP!$A$26:$A$32,1))))</f>
        <v>61,000 - 61,999</v>
      </c>
      <c r="I571" s="70">
        <v>2964</v>
      </c>
      <c r="J571" s="19" t="str">
        <f>IF($C571="","",IF($I571="","-",INDEX(SETUP!$B$16:$B$22,MATCH($I571,SETUP!$A$16:$A$22,1))))</f>
        <v>DEVELOPING</v>
      </c>
      <c r="K571" s="19" t="str">
        <f>IF($C571="","",IF($I571="","-",TEXT(INT($I571/1000)*1000,"#,##0")&amp;" - "&amp;TEXT(INT($I571/1000)*1000+999,"#,##0")))</f>
        <v>2,000 - 2,999</v>
      </c>
      <c r="L571" s="71">
        <v>4.3</v>
      </c>
      <c r="M571" s="19" t="str">
        <f>IF($C571="","",IF($L571="","-",INDEX(SETUP!$B$36:$B$42,MATCH($L571,SETUP!$A$36:$A$42,1))))</f>
        <v>4k - 5k</v>
      </c>
      <c r="N571" s="21">
        <f>IF($C571="","",IF(OR($G571="",$I571=""),"",ROUND(100*(SETUP!$B$4*MIN(1,$I571/SETUP!$B$9)+SETUP!$B$5*MAX(0,MIN(1,($G571-SETUP!$B$10)/(SETUP!$B$11-SETUP!$B$10)))+SETUP!$B$6*MIN(1,IF($L571="",0,$L571)/SETUP!$B$12)),1)))</f>
        <v>35.9</v>
      </c>
      <c r="O571" s="19" t="str">
        <f>IF($C571="","",IF($N571="","-",INDEX(SETUP!$B$46:$B$51,MATCH($N571,SETUP!$A$46:$A$51,1))))</f>
        <v>B</v>
      </c>
      <c r="P571" s="19">
        <f>IF($C571="","",IF($I571="","",RANK($I571,$I$4:$I$1463)+COUNTIF($I$4:$I571,$I571)-1))</f>
        <v>893</v>
      </c>
      <c r="Q571" s="19">
        <f>IF($C571="","",COUNTIFS($B$4:$B$1463,$B571,$X$4:$X$1463,"&gt;"&amp;$X571)+COUNTIFS($B$4:$B571,$B571,$X$4:$X571,"="&amp;$X571))</f>
        <v>92</v>
      </c>
      <c r="R571" s="75">
        <f>IF($C571="","",IF($I571="","",ROUND(COUNTIF($I$4:$I$1463,"&lt;"&amp;$I571)/COUNT($I$4:$I$1463),3)))</f>
        <v>0.32600000000000001</v>
      </c>
      <c r="S571" s="19" t="str">
        <f>IF($C571="","",IF($G571="","Name only",IF(OR($I571="",$L571=""),"Partial","Complete")))</f>
        <v>Complete</v>
      </c>
      <c r="T571" s="1" t="str">
        <f>IF($C571="","",TRIM(IF(COUNTIF($C$4:$C$1463,$C571)&gt;1,"Dup name; ","")&amp;IF(AND($G571&lt;&gt;"",$G571&lt;55000),"Low CR - verify; ","")&amp;IF(AND($L571&lt;&gt;"",$L571&gt;15),"Secondary - verify; ","")&amp;IF($E571="","No class; ","")))</f>
        <v/>
      </c>
      <c r="U571" s="68"/>
      <c r="V571" s="68"/>
      <c r="W571" s="68"/>
      <c r="X571" s="76">
        <f t="shared" si="42"/>
        <v>2964</v>
      </c>
      <c r="Y571" s="1" t="str">
        <f t="shared" si="43"/>
        <v>SBG|92</v>
      </c>
      <c r="Z571" s="19">
        <f>IF($C571="","",IF($G571="","",RANK($G571,$G$4:$G$1463)+COUNTIF($G$4:$G571,$G571)-1))</f>
        <v>1131</v>
      </c>
      <c r="AA571" s="19">
        <f>IF($C571="","",IF($N571="","",RANK($N571,$N$4:$N$1463)+COUNTIF($N$4:$N571,$N571)-1))</f>
        <v>972</v>
      </c>
      <c r="AB571" s="1" t="str">
        <f>IF($C571="","",IF($E571="","",$E571&amp;"#"&amp;(COUNTIFS($E$4:$E$1463,$E571,$X$4:$X$1463,"&gt;"&amp;$X571)+COUNTIFS($E$4:$E571,$E571,$X$4:$X571,"="&amp;$X571))))</f>
        <v>WARLOCK#223</v>
      </c>
      <c r="AC571" s="1" t="str">
        <f>IF($C571="","",$B571&amp;"@"&amp;(COUNTIFS($B$4:$B$1463,$B571,$C$4:$C$1463,"&lt;"&amp;$C571)+COUNTIFS($B$4:$B571,$B571,$C$4:$C571,$C571)))</f>
        <v>SBG@34</v>
      </c>
      <c r="AD571" s="1">
        <f t="shared" si="44"/>
        <v>568</v>
      </c>
      <c r="AE571" s="1" t="s">
        <v>956</v>
      </c>
      <c r="AF571" s="76">
        <f t="shared" si="45"/>
        <v>61002</v>
      </c>
      <c r="AG571" s="77">
        <f t="shared" si="46"/>
        <v>4.3</v>
      </c>
      <c r="AH571" s="1" t="str">
        <f>IF($C571="","",$B571&amp;"|"&amp;(COUNTIFS($B$4:$B$1463,$B571,$AF$4:$AF$1463,"&gt;"&amp;$AF571)+COUNTIFS($B$4:$B571,$B571,$AF$4:$AF571,"="&amp;$AF571)))</f>
        <v>SBG|91</v>
      </c>
      <c r="AI571" s="1" t="str">
        <f>IF($C571="","",$B571&amp;"|"&amp;(COUNTIFS($B$4:$B$1463,$B571,$AG$4:$AG$1463,"&gt;"&amp;$AG571)+COUNTIFS($B$4:$B571,$B571,$AG$4:$AG571,"="&amp;$AG571)))</f>
        <v>SBG|88</v>
      </c>
    </row>
    <row r="572" spans="1:35" hidden="1">
      <c r="A572" s="69" t="s">
        <v>109</v>
      </c>
      <c r="B572" s="69" t="s">
        <v>113</v>
      </c>
      <c r="C572" s="63" t="s">
        <v>1538</v>
      </c>
      <c r="D572" s="69" t="s">
        <v>548</v>
      </c>
      <c r="E572" s="68" t="s">
        <v>77</v>
      </c>
      <c r="F572" s="15" t="str">
        <f>IF($C572="","",IF($E572="","-",IFERROR(INDEX(SETUP!$B$55:$B$64,MATCH($E572,SETUP!$A$55:$A$64,0)),"Other")))</f>
        <v>Control</v>
      </c>
      <c r="G572" s="70">
        <v>63280</v>
      </c>
      <c r="H572" s="15" t="str">
        <f>IF($C572="","",IF($G572="","-",INDEX(SETUP!$B$26:$B$32,MATCH($G572,SETUP!$A$26:$A$32,1))))</f>
        <v>63,000 - 63,999</v>
      </c>
      <c r="I572" s="70">
        <v>5528</v>
      </c>
      <c r="J572" s="15" t="str">
        <f>IF($C572="","",IF($I572="","-",INDEX(SETUP!$B$16:$B$22,MATCH($I572,SETUP!$A$16:$A$22,1))))</f>
        <v>CORE</v>
      </c>
      <c r="K572" s="15" t="str">
        <f>IF($C572="","",IF($I572="","-",TEXT(INT($I572/1000)*1000,"#,##0")&amp;" - "&amp;TEXT(INT($I572/1000)*1000+999,"#,##0")))</f>
        <v>5,000 - 5,999</v>
      </c>
      <c r="L572" s="71">
        <v>5.65</v>
      </c>
      <c r="M572" s="15" t="str">
        <f>IF($C572="","",IF($L572="","-",INDEX(SETUP!$B$36:$B$42,MATCH($L572,SETUP!$A$36:$A$42,1))))</f>
        <v>5k - 6k</v>
      </c>
      <c r="N572" s="17">
        <f>IF($C572="","",IF(OR($G572="",$I572=""),"",ROUND(100*(SETUP!$B$4*MIN(1,$I572/SETUP!$B$9)+SETUP!$B$5*MAX(0,MIN(1,($G572-SETUP!$B$10)/(SETUP!$B$11-SETUP!$B$10)))+SETUP!$B$6*MIN(1,IF($L572="",0,$L572)/SETUP!$B$12)),1)))</f>
        <v>55.3</v>
      </c>
      <c r="O572" s="15" t="str">
        <f>IF($C572="","",IF($N572="","-",INDEX(SETUP!$B$46:$B$51,MATCH($N572,SETUP!$A$46:$A$51,1))))</f>
        <v>A</v>
      </c>
      <c r="P572" s="15">
        <f>IF($C572="","",IF($I572="","",RANK($I572,$I$4:$I$1463)+COUNTIF($I$4:$I572,$I572)-1))</f>
        <v>332</v>
      </c>
      <c r="Q572" s="15">
        <f>IF($C572="","",COUNTIFS($B$4:$B$1463,$B572,$X$4:$X$1463,"&gt;"&amp;$X572)+COUNTIFS($B$4:$B572,$B572,$X$4:$X572,"="&amp;$X572))</f>
        <v>11</v>
      </c>
      <c r="R572" s="72">
        <f>IF($C572="","",IF($I572="","",ROUND(COUNTIF($I$4:$I$1463,"&lt;"&amp;$I572)/COUNT($I$4:$I$1463),3)))</f>
        <v>0.749</v>
      </c>
      <c r="S572" s="15" t="str">
        <f>IF($C572="","",IF($G572="","Name only",IF(OR($I572="",$L572=""),"Partial","Complete")))</f>
        <v>Complete</v>
      </c>
      <c r="T572" s="41" t="str">
        <f>IF($C572="","",TRIM(IF(COUNTIF($C$4:$C$1463,$C572)&gt;1,"Dup name; ","")&amp;IF(AND($G572&lt;&gt;"",$G572&lt;55000),"Low CR - verify; ","")&amp;IF(AND($L572&lt;&gt;"",$L572&gt;15),"Secondary - verify; ","")&amp;IF($E572="","No class; ","")))</f>
        <v/>
      </c>
      <c r="U572" s="68"/>
      <c r="V572" s="68"/>
      <c r="W572" s="68"/>
      <c r="X572" s="73">
        <f t="shared" si="42"/>
        <v>5528</v>
      </c>
      <c r="Y572" s="41" t="str">
        <f t="shared" si="43"/>
        <v>INVICTUS|11</v>
      </c>
      <c r="Z572" s="15">
        <f>IF($C572="","",IF($G572="","",RANK($G572,$G$4:$G$1463)+COUNTIF($G$4:$G572,$G572)-1))</f>
        <v>270</v>
      </c>
      <c r="AA572" s="15">
        <f>IF($C572="","",IF($N572="","",RANK($N572,$N$4:$N$1463)+COUNTIF($N$4:$N572,$N572)-1))</f>
        <v>310</v>
      </c>
      <c r="AB572" s="41" t="str">
        <f>IF($C572="","",IF($E572="","",$E572&amp;"#"&amp;(COUNTIFS($E$4:$E$1463,$E572,$X$4:$X$1463,"&gt;"&amp;$X572)+COUNTIFS($E$4:$E572,$E572,$X$4:$X572,"="&amp;$X572))))</f>
        <v>NECROMANCER#15</v>
      </c>
      <c r="AC572" s="41" t="str">
        <f>IF($C572="","",$B572&amp;"@"&amp;(COUNTIFS($B$4:$B$1463,$B572,$C$4:$C$1463,"&lt;"&amp;$C572)+COUNTIFS($B$4:$B572,$B572,$C$4:$C572,$C572)))</f>
        <v>INVICTUS@35</v>
      </c>
      <c r="AD572" s="41">
        <f t="shared" si="44"/>
        <v>569</v>
      </c>
      <c r="AE572" s="41" t="s">
        <v>1539</v>
      </c>
      <c r="AF572" s="73">
        <f t="shared" si="45"/>
        <v>63280</v>
      </c>
      <c r="AG572" s="74">
        <f t="shared" si="46"/>
        <v>5.65</v>
      </c>
      <c r="AH572" s="41" t="str">
        <f>IF($C572="","",$B572&amp;"|"&amp;(COUNTIFS($B$4:$B$1463,$B572,$AF$4:$AF$1463,"&gt;"&amp;$AF572)+COUNTIFS($B$4:$B572,$B572,$AF$4:$AF572,"="&amp;$AF572)))</f>
        <v>INVICTUS|10</v>
      </c>
      <c r="AI572" s="41" t="str">
        <f>IF($C572="","",$B572&amp;"|"&amp;(COUNTIFS($B$4:$B$1463,$B572,$AG$4:$AG$1463,"&gt;"&amp;$AG572)+COUNTIFS($B$4:$B572,$B572,$AG$4:$AG572,"="&amp;$AG572)))</f>
        <v>INVICTUS|16</v>
      </c>
    </row>
    <row r="573" spans="1:35" hidden="1">
      <c r="A573" s="69" t="s">
        <v>109</v>
      </c>
      <c r="B573" s="69" t="s">
        <v>112</v>
      </c>
      <c r="C573" s="63" t="s">
        <v>1540</v>
      </c>
      <c r="D573" s="69" t="s">
        <v>567</v>
      </c>
      <c r="E573" s="68" t="s">
        <v>72</v>
      </c>
      <c r="F573" s="19" t="str">
        <f>IF($C573="","",IF($E573="","-",IFERROR(INDEX(SETUP!$B$55:$B$64,MATCH($E573,SETUP!$A$55:$A$64,0)),"Other")))</f>
        <v>Frontline</v>
      </c>
      <c r="G573" s="70">
        <v>63381</v>
      </c>
      <c r="H573" s="19" t="str">
        <f>IF($C573="","",IF($G573="","-",INDEX(SETUP!$B$26:$B$32,MATCH($G573,SETUP!$A$26:$A$32,1))))</f>
        <v>63,000 - 63,999</v>
      </c>
      <c r="I573" s="70">
        <v>5080</v>
      </c>
      <c r="J573" s="19" t="str">
        <f>IF($C573="","",IF($I573="","-",INDEX(SETUP!$B$16:$B$22,MATCH($I573,SETUP!$A$16:$A$22,1))))</f>
        <v>CORE</v>
      </c>
      <c r="K573" s="19" t="str">
        <f>IF($C573="","",IF($I573="","-",TEXT(INT($I573/1000)*1000,"#,##0")&amp;" - "&amp;TEXT(INT($I573/1000)*1000+999,"#,##0")))</f>
        <v>5,000 - 5,999</v>
      </c>
      <c r="L573" s="71">
        <v>3.8</v>
      </c>
      <c r="M573" s="19" t="str">
        <f>IF($C573="","",IF($L573="","-",INDEX(SETUP!$B$36:$B$42,MATCH($L573,SETUP!$A$36:$A$42,1))))</f>
        <v>3k - 4k</v>
      </c>
      <c r="N573" s="21">
        <f>IF($C573="","",IF(OR($G573="",$I573=""),"",ROUND(100*(SETUP!$B$4*MIN(1,$I573/SETUP!$B$9)+SETUP!$B$5*MAX(0,MIN(1,($G573-SETUP!$B$10)/(SETUP!$B$11-SETUP!$B$10)))+SETUP!$B$6*MIN(1,IF($L573="",0,$L573)/SETUP!$B$12)),1)))</f>
        <v>50.6</v>
      </c>
      <c r="O573" s="19" t="str">
        <f>IF($C573="","",IF($N573="","-",INDEX(SETUP!$B$46:$B$51,MATCH($N573,SETUP!$A$46:$A$51,1))))</f>
        <v>A</v>
      </c>
      <c r="P573" s="19">
        <f>IF($C573="","",IF($I573="","",RANK($I573,$I$4:$I$1463)+COUNTIF($I$4:$I573,$I573)-1))</f>
        <v>401</v>
      </c>
      <c r="Q573" s="19">
        <f>IF($C573="","",COUNTIFS($B$4:$B$1463,$B573,$X$4:$X$1463,"&gt;"&amp;$X573)+COUNTIFS($B$4:$B573,$B573,$X$4:$X573,"="&amp;$X573))</f>
        <v>25</v>
      </c>
      <c r="R573" s="75">
        <f>IF($C573="","",IF($I573="","",ROUND(COUNTIF($I$4:$I$1463,"&lt;"&amp;$I573)/COUNT($I$4:$I$1463),3)))</f>
        <v>0.69699999999999995</v>
      </c>
      <c r="S573" s="19" t="str">
        <f>IF($C573="","",IF($G573="","Name only",IF(OR($I573="",$L573=""),"Partial","Complete")))</f>
        <v>Complete</v>
      </c>
      <c r="T573" s="1" t="str">
        <f>IF($C573="","",TRIM(IF(COUNTIF($C$4:$C$1463,$C573)&gt;1,"Dup name; ","")&amp;IF(AND($G573&lt;&gt;"",$G573&lt;55000),"Low CR - verify; ","")&amp;IF(AND($L573&lt;&gt;"",$L573&gt;15),"Secondary - verify; ","")&amp;IF($E573="","No class; ","")))</f>
        <v/>
      </c>
      <c r="U573" s="68"/>
      <c r="V573" s="68"/>
      <c r="W573" s="68"/>
      <c r="X573" s="76">
        <f t="shared" si="42"/>
        <v>5080</v>
      </c>
      <c r="Y573" s="1" t="str">
        <f t="shared" si="43"/>
        <v>ACHERON|25</v>
      </c>
      <c r="Z573" s="19">
        <f>IF($C573="","",IF($G573="","",RANK($G573,$G$4:$G$1463)+COUNTIF($G$4:$G573,$G573)-1))</f>
        <v>229</v>
      </c>
      <c r="AA573" s="19">
        <f>IF($C573="","",IF($N573="","",RANK($N573,$N$4:$N$1463)+COUNTIF($N$4:$N573,$N573)-1))</f>
        <v>439</v>
      </c>
      <c r="AB573" s="1" t="str">
        <f>IF($C573="","",IF($E573="","",$E573&amp;"#"&amp;(COUNTIFS($E$4:$E$1463,$E573,$X$4:$X$1463,"&gt;"&amp;$X573)+COUNTIFS($E$4:$E573,$E573,$X$4:$X573,"="&amp;$X573))))</f>
        <v>BLOOD KNIGHT#26</v>
      </c>
      <c r="AC573" s="1" t="str">
        <f>IF($C573="","",$B573&amp;"@"&amp;(COUNTIFS($B$4:$B$1463,$B573,$C$4:$C$1463,"&lt;"&amp;$C573)+COUNTIFS($B$4:$B573,$B573,$C$4:$C573,$C573)))</f>
        <v>ACHERON@34</v>
      </c>
      <c r="AD573" s="1">
        <f t="shared" si="44"/>
        <v>570</v>
      </c>
      <c r="AE573" s="1" t="s">
        <v>1541</v>
      </c>
      <c r="AF573" s="76">
        <f t="shared" si="45"/>
        <v>63381</v>
      </c>
      <c r="AG573" s="77">
        <f t="shared" si="46"/>
        <v>3.8</v>
      </c>
      <c r="AH573" s="1" t="str">
        <f>IF($C573="","",$B573&amp;"|"&amp;(COUNTIFS($B$4:$B$1463,$B573,$AF$4:$AF$1463,"&gt;"&amp;$AF573)+COUNTIFS($B$4:$B573,$B573,$AF$4:$AF573,"="&amp;$AF573)))</f>
        <v>ACHERON|12</v>
      </c>
      <c r="AI573" s="1" t="str">
        <f>IF($C573="","",$B573&amp;"|"&amp;(COUNTIFS($B$4:$B$1463,$B573,$AG$4:$AG$1463,"&gt;"&amp;$AG573)+COUNTIFS($B$4:$B573,$B573,$AG$4:$AG573,"="&amp;$AG573)))</f>
        <v>ACHERON|84</v>
      </c>
    </row>
    <row r="574" spans="1:35">
      <c r="A574" s="69" t="s">
        <v>104</v>
      </c>
      <c r="B574" s="69" t="s">
        <v>66</v>
      </c>
      <c r="C574" s="63" t="s">
        <v>329</v>
      </c>
      <c r="D574" s="69"/>
      <c r="E574" s="68" t="s">
        <v>79</v>
      </c>
      <c r="F574" s="19" t="str">
        <f>IF($C574="","",IF($E574="","-",IFERROR(INDEX(SETUP!$B$55:$B$64,MATCH($E574,SETUP!$A$55:$A$64,0)),"Other")))</f>
        <v>Control</v>
      </c>
      <c r="G574" s="70">
        <v>61882</v>
      </c>
      <c r="H574" s="19" t="str">
        <f>IF($C574="","",IF($G574="","-",INDEX(SETUP!$B$26:$B$32,MATCH($G574,SETUP!$A$26:$A$32,1))))</f>
        <v>61,000 - 61,999</v>
      </c>
      <c r="I574" s="70">
        <v>8770</v>
      </c>
      <c r="J574" s="19" t="str">
        <f>IF($C574="","",IF($I574="","-",INDEX(SETUP!$B$16:$B$22,MATCH($I574,SETUP!$A$16:$A$22,1))))</f>
        <v>ELITE</v>
      </c>
      <c r="K574" s="19" t="str">
        <f>IF($C574="","",IF($I574="","-",TEXT(INT($I574/1000)*1000,"#,##0")&amp;" - "&amp;TEXT(INT($I574/1000)*1000+999,"#,##0")))</f>
        <v>8,000 - 8,999</v>
      </c>
      <c r="L574" s="71">
        <v>5.31</v>
      </c>
      <c r="M574" s="19" t="str">
        <f>IF($C574="","",IF($L574="","-",INDEX(SETUP!$B$36:$B$42,MATCH($L574,SETUP!$A$36:$A$42,1))))</f>
        <v>5k - 6k</v>
      </c>
      <c r="N574" s="21">
        <f>IF($C574="","",IF(OR($G574="",$I574=""),"",ROUND(100*(SETUP!$B$4*MIN(1,$I574/SETUP!$B$9)+SETUP!$B$5*MAX(0,MIN(1,($G574-SETUP!$B$10)/(SETUP!$B$11-SETUP!$B$10)))+SETUP!$B$6*MIN(1,IF($L574="",0,$L574)/SETUP!$B$12)),1)))</f>
        <v>65.2</v>
      </c>
      <c r="O574" s="19" t="str">
        <f>IF($C574="","",IF($N574="","-",INDEX(SETUP!$B$46:$B$51,MATCH($N574,SETUP!$A$46:$A$51,1))))</f>
        <v>S</v>
      </c>
      <c r="P574" s="19">
        <f>IF($C574="","",IF($I574="","",RANK($I574,$I$4:$I$1463)+COUNTIF($I$4:$I574,$I574)-1))</f>
        <v>102</v>
      </c>
      <c r="Q574" s="19">
        <f>IF($C574="","",COUNTIFS($B$4:$B$1463,$B574,$X$4:$X$1463,"&gt;"&amp;$X574)+COUNTIFS($B$4:$B574,$B574,$X$4:$X574,"="&amp;$X574))</f>
        <v>9</v>
      </c>
      <c r="R574" s="75">
        <f>IF($C574="","",IF($I574="","",ROUND(COUNTIF($I$4:$I$1463,"&lt;"&amp;$I574)/COUNT($I$4:$I$1463),3)))</f>
        <v>0.92300000000000004</v>
      </c>
      <c r="S574" s="19" t="str">
        <f>IF($C574="","",IF($G574="","Name only",IF(OR($I574="",$L574=""),"Partial","Complete")))</f>
        <v>Complete</v>
      </c>
      <c r="T574" s="1" t="str">
        <f>IF($C574="","",TRIM(IF(COUNTIF($C$4:$C$1463,$C574)&gt;1,"Dup name; ","")&amp;IF(AND($G574&lt;&gt;"",$G574&lt;55000),"Low CR - verify; ","")&amp;IF(AND($L574&lt;&gt;"",$L574&gt;15),"Secondary - verify; ","")&amp;IF($E574="","No class; ","")))</f>
        <v/>
      </c>
      <c r="U574" s="68" t="s">
        <v>273</v>
      </c>
      <c r="V574" s="68" t="s">
        <v>66</v>
      </c>
      <c r="W574" s="68" t="s">
        <v>285</v>
      </c>
      <c r="X574" s="73">
        <f t="shared" si="42"/>
        <v>8770</v>
      </c>
      <c r="Y574" s="41" t="str">
        <f t="shared" si="43"/>
        <v>FUCT|9</v>
      </c>
      <c r="Z574" s="15">
        <f>IF($C574="","",IF($G574="","",RANK($G574,$G$4:$G$1463)+COUNTIF($G$4:$G574,$G574)-1))</f>
        <v>881</v>
      </c>
      <c r="AA574" s="15">
        <f>IF($C574="","",IF($N574="","",RANK($N574,$N$4:$N$1463)+COUNTIF($N$4:$N574,$N574)-1))</f>
        <v>175</v>
      </c>
      <c r="AB574" s="41" t="str">
        <f>IF($C574="","",IF($E574="","",$E574&amp;"#"&amp;(COUNTIFS($E$4:$E$1463,$E574,$X$4:$X$1463,"&gt;"&amp;$X574)+COUNTIFS($E$4:$E574,$E574,$X$4:$X574,"="&amp;$X574))))</f>
        <v>WARLOCK#21</v>
      </c>
      <c r="AC574" s="41" t="str">
        <f>IF($C574="","",$B574&amp;"@"&amp;(COUNTIFS($B$4:$B$1463,$B574,$C$4:$C$1463,"&lt;"&amp;$C574)+COUNTIFS($B$4:$B574,$B574,$C$4:$C574,$C574)))</f>
        <v>FUCT@39</v>
      </c>
      <c r="AD574" s="41">
        <f t="shared" si="44"/>
        <v>571</v>
      </c>
      <c r="AE574" s="41" t="s">
        <v>1542</v>
      </c>
      <c r="AF574" s="73">
        <f t="shared" si="45"/>
        <v>61882</v>
      </c>
      <c r="AG574" s="74">
        <f t="shared" si="46"/>
        <v>5.31</v>
      </c>
      <c r="AH574" s="41" t="str">
        <f>IF($C574="","",$B574&amp;"|"&amp;(COUNTIFS($B$4:$B$1463,$B574,$AF$4:$AF$1463,"&gt;"&amp;$AF574)+COUNTIFS($B$4:$B574,$B574,$AF$4:$AF574,"="&amp;$AF574)))</f>
        <v>FUCT|82</v>
      </c>
      <c r="AI574" s="41" t="str">
        <f>IF($C574="","",$B574&amp;"|"&amp;(COUNTIFS($B$4:$B$1463,$B574,$AG$4:$AG$1463,"&gt;"&amp;$AG574)+COUNTIFS($B$4:$B574,$B574,$AG$4:$AG574,"="&amp;$AG574)))</f>
        <v>FUCT|35</v>
      </c>
    </row>
    <row r="575" spans="1:35" hidden="1">
      <c r="A575" s="69" t="s">
        <v>109</v>
      </c>
      <c r="B575" s="69" t="s">
        <v>118</v>
      </c>
      <c r="C575" s="63" t="s">
        <v>1543</v>
      </c>
      <c r="D575" s="69"/>
      <c r="E575" s="68" t="s">
        <v>71</v>
      </c>
      <c r="F575" s="19" t="str">
        <f>IF($C575="","",IF($E575="","-",IFERROR(INDEX(SETUP!$B$55:$B$64,MATCH($E575,SETUP!$A$55:$A$64,0)),"Other")))</f>
        <v>Frontline</v>
      </c>
      <c r="G575" s="70">
        <v>61288</v>
      </c>
      <c r="H575" s="19" t="str">
        <f>IF($C575="","",IF($G575="","-",INDEX(SETUP!$B$26:$B$32,MATCH($G575,SETUP!$A$26:$A$32,1))))</f>
        <v>61,000 - 61,999</v>
      </c>
      <c r="I575" s="70">
        <v>1150</v>
      </c>
      <c r="J575" s="19" t="str">
        <f>IF($C575="","",IF($I575="","-",INDEX(SETUP!$B$16:$B$22,MATCH($I575,SETUP!$A$16:$A$22,1))))</f>
        <v>ROOKIE</v>
      </c>
      <c r="K575" s="19" t="str">
        <f>IF($C575="","",IF($I575="","-",TEXT(INT($I575/1000)*1000,"#,##0")&amp;" - "&amp;TEXT(INT($I575/1000)*1000+999,"#,##0")))</f>
        <v>1,000 - 1,999</v>
      </c>
      <c r="L575" s="71">
        <v>2.5</v>
      </c>
      <c r="M575" s="19" t="str">
        <f>IF($C575="","",IF($L575="","-",INDEX(SETUP!$B$36:$B$42,MATCH($L575,SETUP!$A$36:$A$42,1))))</f>
        <v>Under 3k</v>
      </c>
      <c r="N575" s="21">
        <f>IF($C575="","",IF(OR($G575="",$I575=""),"",ROUND(100*(SETUP!$B$4*MIN(1,$I575/SETUP!$B$9)+SETUP!$B$5*MAX(0,MIN(1,($G575-SETUP!$B$10)/(SETUP!$B$11-SETUP!$B$10)))+SETUP!$B$6*MIN(1,IF($L575="",0,$L575)/SETUP!$B$12)),1)))</f>
        <v>25.7</v>
      </c>
      <c r="O575" s="19" t="str">
        <f>IF($C575="","",IF($N575="","-",INDEX(SETUP!$B$46:$B$51,MATCH($N575,SETUP!$A$46:$A$51,1))))</f>
        <v>C</v>
      </c>
      <c r="P575" s="19">
        <f>IF($C575="","",IF($I575="","",RANK($I575,$I$4:$I$1463)+COUNTIF($I$4:$I575,$I575)-1))</f>
        <v>1249</v>
      </c>
      <c r="Q575" s="19">
        <f>IF($C575="","",COUNTIFS($B$4:$B$1463,$B575,$X$4:$X$1463,"&gt;"&amp;$X575)+COUNTIFS($B$4:$B575,$B575,$X$4:$X575,"="&amp;$X575))</f>
        <v>74</v>
      </c>
      <c r="R575" s="75">
        <f>IF($C575="","",IF($I575="","",ROUND(COUNTIF($I$4:$I$1463,"&lt;"&amp;$I575)/COUNT($I$4:$I$1463),3)))</f>
        <v>5.7000000000000002E-2</v>
      </c>
      <c r="S575" s="19" t="str">
        <f>IF($C575="","",IF($G575="","Name only",IF(OR($I575="",$L575=""),"Partial","Complete")))</f>
        <v>Complete</v>
      </c>
      <c r="T575" s="1" t="str">
        <f>IF($C575="","",TRIM(IF(COUNTIF($C$4:$C$1463,$C575)&gt;1,"Dup name; ","")&amp;IF(AND($G575&lt;&gt;"",$G575&lt;55000),"Low CR - verify; ","")&amp;IF(AND($L575&lt;&gt;"",$L575&gt;15),"Secondary - verify; ","")&amp;IF($E575="","No class; ","")))</f>
        <v/>
      </c>
      <c r="U575" s="68"/>
      <c r="V575" s="68"/>
      <c r="W575" s="68"/>
      <c r="X575" s="76">
        <f t="shared" si="42"/>
        <v>1150</v>
      </c>
      <c r="Y575" s="1" t="str">
        <f t="shared" si="43"/>
        <v>ZOMBIES|74</v>
      </c>
      <c r="Z575" s="19">
        <f>IF($C575="","",IF($G575="","",RANK($G575,$G$4:$G$1463)+COUNTIF($G$4:$G575,$G575)-1))</f>
        <v>1067</v>
      </c>
      <c r="AA575" s="19">
        <f>IF($C575="","",IF($N575="","",RANK($N575,$N$4:$N$1463)+COUNTIF($N$4:$N575,$N575)-1))</f>
        <v>1232</v>
      </c>
      <c r="AB575" s="1" t="str">
        <f>IF($C575="","",IF($E575="","",$E575&amp;"#"&amp;(COUNTIFS($E$4:$E$1463,$E575,$X$4:$X$1463,"&gt;"&amp;$X575)+COUNTIFS($E$4:$E575,$E575,$X$4:$X575,"="&amp;$X575))))</f>
        <v>BARBARIAN#207</v>
      </c>
      <c r="AC575" s="1" t="str">
        <f>IF($C575="","",$B575&amp;"@"&amp;(COUNTIFS($B$4:$B$1463,$B575,$C$4:$C$1463,"&lt;"&amp;$C575)+COUNTIFS($B$4:$B575,$B575,$C$4:$C575,$C575)))</f>
        <v>ZOMBIES@45</v>
      </c>
      <c r="AD575" s="1">
        <f t="shared" si="44"/>
        <v>572</v>
      </c>
      <c r="AE575" s="1" t="s">
        <v>842</v>
      </c>
      <c r="AF575" s="76">
        <f t="shared" si="45"/>
        <v>61288</v>
      </c>
      <c r="AG575" s="77">
        <f t="shared" si="46"/>
        <v>2.5</v>
      </c>
      <c r="AH575" s="1" t="str">
        <f>IF($C575="","",$B575&amp;"|"&amp;(COUNTIFS($B$4:$B$1463,$B575,$AF$4:$AF$1463,"&gt;"&amp;$AF575)+COUNTIFS($B$4:$B575,$B575,$AF$4:$AF575,"="&amp;$AF575)))</f>
        <v>ZOMBIES|46</v>
      </c>
      <c r="AI575" s="1" t="str">
        <f>IF($C575="","",$B575&amp;"|"&amp;(COUNTIFS($B$4:$B$1463,$B575,$AG$4:$AG$1463,"&gt;"&amp;$AG575)+COUNTIFS($B$4:$B575,$B575,$AG$4:$AG575,"="&amp;$AG575)))</f>
        <v>ZOMBIES|95</v>
      </c>
    </row>
    <row r="576" spans="1:35" hidden="1">
      <c r="A576" s="69" t="s">
        <v>109</v>
      </c>
      <c r="B576" s="69" t="s">
        <v>114</v>
      </c>
      <c r="C576" s="63" t="s">
        <v>1544</v>
      </c>
      <c r="D576" s="69"/>
      <c r="E576" s="68" t="s">
        <v>71</v>
      </c>
      <c r="F576" s="15" t="str">
        <f>IF($C576="","",IF($E576="","-",IFERROR(INDEX(SETUP!$B$55:$B$64,MATCH($E576,SETUP!$A$55:$A$64,0)),"Other")))</f>
        <v>Frontline</v>
      </c>
      <c r="G576" s="70">
        <v>62271</v>
      </c>
      <c r="H576" s="15" t="str">
        <f>IF($C576="","",IF($G576="","-",INDEX(SETUP!$B$26:$B$32,MATCH($G576,SETUP!$A$26:$A$32,1))))</f>
        <v>62,000 - 62,999</v>
      </c>
      <c r="I576" s="70">
        <v>3795</v>
      </c>
      <c r="J576" s="15" t="str">
        <f>IF($C576="","",IF($I576="","-",INDEX(SETUP!$B$16:$B$22,MATCH($I576,SETUP!$A$16:$A$22,1))))</f>
        <v>DEVELOPING</v>
      </c>
      <c r="K576" s="15" t="str">
        <f>IF($C576="","",IF($I576="","-",TEXT(INT($I576/1000)*1000,"#,##0")&amp;" - "&amp;TEXT(INT($I576/1000)*1000+999,"#,##0")))</f>
        <v>3,000 - 3,999</v>
      </c>
      <c r="L576" s="71">
        <v>5.5</v>
      </c>
      <c r="M576" s="15" t="str">
        <f>IF($C576="","",IF($L576="","-",INDEX(SETUP!$B$36:$B$42,MATCH($L576,SETUP!$A$36:$A$42,1))))</f>
        <v>5k - 6k</v>
      </c>
      <c r="N576" s="17">
        <f>IF($C576="","",IF(OR($G576="",$I576=""),"",ROUND(100*(SETUP!$B$4*MIN(1,$I576/SETUP!$B$9)+SETUP!$B$5*MAX(0,MIN(1,($G576-SETUP!$B$10)/(SETUP!$B$11-SETUP!$B$10)))+SETUP!$B$6*MIN(1,IF($L576="",0,$L576)/SETUP!$B$12)),1)))</f>
        <v>44.9</v>
      </c>
      <c r="O576" s="15" t="str">
        <f>IF($C576="","",IF($N576="","-",INDEX(SETUP!$B$46:$B$51,MATCH($N576,SETUP!$A$46:$A$51,1))))</f>
        <v>B</v>
      </c>
      <c r="P576" s="15">
        <f>IF($C576="","",IF($I576="","",RANK($I576,$I$4:$I$1463)+COUNTIF($I$4:$I576,$I576)-1))</f>
        <v>650</v>
      </c>
      <c r="Q576" s="15">
        <f>IF($C576="","",COUNTIFS($B$4:$B$1463,$B576,$X$4:$X$1463,"&gt;"&amp;$X576)+COUNTIFS($B$4:$B576,$B576,$X$4:$X576,"="&amp;$X576))</f>
        <v>14</v>
      </c>
      <c r="R576" s="72">
        <f>IF($C576="","",IF($I576="","",ROUND(COUNTIF($I$4:$I$1463,"&lt;"&amp;$I576)/COUNT($I$4:$I$1463),3)))</f>
        <v>0.50900000000000001</v>
      </c>
      <c r="S576" s="15" t="str">
        <f>IF($C576="","",IF($G576="","Name only",IF(OR($I576="",$L576=""),"Partial","Complete")))</f>
        <v>Complete</v>
      </c>
      <c r="T576" s="41" t="str">
        <f>IF($C576="","",TRIM(IF(COUNTIF($C$4:$C$1463,$C576)&gt;1,"Dup name; ","")&amp;IF(AND($G576&lt;&gt;"",$G576&lt;55000),"Low CR - verify; ","")&amp;IF(AND($L576&lt;&gt;"",$L576&gt;15),"Secondary - verify; ","")&amp;IF($E576="","No class; ","")))</f>
        <v/>
      </c>
      <c r="U576" s="68"/>
      <c r="V576" s="68"/>
      <c r="W576" s="68"/>
      <c r="X576" s="73">
        <f t="shared" si="42"/>
        <v>3795</v>
      </c>
      <c r="Y576" s="41" t="str">
        <f t="shared" si="43"/>
        <v>EMERALD LEAF TRIBE|14</v>
      </c>
      <c r="Z576" s="15">
        <f>IF($C576="","",IF($G576="","",RANK($G576,$G$4:$G$1463)+COUNTIF($G$4:$G576,$G576)-1))</f>
        <v>732</v>
      </c>
      <c r="AA576" s="15">
        <f>IF($C576="","",IF($N576="","",RANK($N576,$N$4:$N$1463)+COUNTIF($N$4:$N576,$N576)-1))</f>
        <v>626</v>
      </c>
      <c r="AB576" s="41" t="str">
        <f>IF($C576="","",IF($E576="","",$E576&amp;"#"&amp;(COUNTIFS($E$4:$E$1463,$E576,$X$4:$X$1463,"&gt;"&amp;$X576)+COUNTIFS($E$4:$E576,$E576,$X$4:$X576,"="&amp;$X576))))</f>
        <v>BARBARIAN#120</v>
      </c>
      <c r="AC576" s="41" t="str">
        <f>IF($C576="","",$B576&amp;"@"&amp;(COUNTIFS($B$4:$B$1463,$B576,$C$4:$C$1463,"&lt;"&amp;$C576)+COUNTIFS($B$4:$B576,$B576,$C$4:$C576,$C576)))</f>
        <v>EMERALD LEAF TRIBE@39</v>
      </c>
      <c r="AD576" s="41">
        <f t="shared" si="44"/>
        <v>573</v>
      </c>
      <c r="AE576" s="41" t="s">
        <v>1545</v>
      </c>
      <c r="AF576" s="73">
        <f t="shared" si="45"/>
        <v>62271</v>
      </c>
      <c r="AG576" s="74">
        <f t="shared" si="46"/>
        <v>5.5</v>
      </c>
      <c r="AH576" s="41" t="str">
        <f>IF($C576="","",$B576&amp;"|"&amp;(COUNTIFS($B$4:$B$1463,$B576,$AF$4:$AF$1463,"&gt;"&amp;$AF576)+COUNTIFS($B$4:$B576,$B576,$AF$4:$AF576,"="&amp;$AF576)))</f>
        <v>EMERALD LEAF TRIBE|21</v>
      </c>
      <c r="AI576" s="41" t="str">
        <f>IF($C576="","",$B576&amp;"|"&amp;(COUNTIFS($B$4:$B$1463,$B576,$AG$4:$AG$1463,"&gt;"&amp;$AG576)+COUNTIFS($B$4:$B576,$B576,$AG$4:$AG576,"="&amp;$AG576)))</f>
        <v>EMERALD LEAF TRIBE|2</v>
      </c>
    </row>
    <row r="577" spans="1:35" hidden="1">
      <c r="A577" s="69" t="s">
        <v>106</v>
      </c>
      <c r="B577" s="69" t="s">
        <v>105</v>
      </c>
      <c r="C577" s="63" t="s">
        <v>1546</v>
      </c>
      <c r="D577" s="69"/>
      <c r="E577" s="68" t="s">
        <v>75</v>
      </c>
      <c r="F577" s="19" t="str">
        <f>IF($C577="","",IF($E577="","-",IFERROR(INDEX(SETUP!$B$55:$B$64,MATCH($E577,SETUP!$A$55:$A$64,0)),"Other")))</f>
        <v>Support</v>
      </c>
      <c r="G577" s="70">
        <v>61945</v>
      </c>
      <c r="H577" s="19" t="str">
        <f>IF($C577="","",IF($G577="","-",INDEX(SETUP!$B$26:$B$32,MATCH($G577,SETUP!$A$26:$A$32,1))))</f>
        <v>61,000 - 61,999</v>
      </c>
      <c r="I577" s="70">
        <v>5730</v>
      </c>
      <c r="J577" s="19" t="str">
        <f>IF($C577="","",IF($I577="","-",INDEX(SETUP!$B$16:$B$22,MATCH($I577,SETUP!$A$16:$A$22,1))))</f>
        <v>CORE</v>
      </c>
      <c r="K577" s="19" t="str">
        <f>IF($C577="","",IF($I577="","-",TEXT(INT($I577/1000)*1000,"#,##0")&amp;" - "&amp;TEXT(INT($I577/1000)*1000+999,"#,##0")))</f>
        <v>5,000 - 5,999</v>
      </c>
      <c r="L577" s="71">
        <v>5.0999999999999996</v>
      </c>
      <c r="M577" s="19" t="str">
        <f>IF($C577="","",IF($L577="","-",INDEX(SETUP!$B$36:$B$42,MATCH($L577,SETUP!$A$36:$A$42,1))))</f>
        <v>5k - 6k</v>
      </c>
      <c r="N577" s="21">
        <f>IF($C577="","",IF(OR($G577="",$I577=""),"",ROUND(100*(SETUP!$B$4*MIN(1,$I577/SETUP!$B$9)+SETUP!$B$5*MAX(0,MIN(1,($G577-SETUP!$B$10)/(SETUP!$B$11-SETUP!$B$10)))+SETUP!$B$6*MIN(1,IF($L577="",0,$L577)/SETUP!$B$12)),1)))</f>
        <v>51.8</v>
      </c>
      <c r="O577" s="19" t="str">
        <f>IF($C577="","",IF($N577="","-",INDEX(SETUP!$B$46:$B$51,MATCH($N577,SETUP!$A$46:$A$51,1))))</f>
        <v>A</v>
      </c>
      <c r="P577" s="19">
        <f>IF($C577="","",IF($I577="","",RANK($I577,$I$4:$I$1463)+COUNTIF($I$4:$I577,$I577)-1))</f>
        <v>310</v>
      </c>
      <c r="Q577" s="19">
        <f>IF($C577="","",COUNTIFS($B$4:$B$1463,$B577,$X$4:$X$1463,"&gt;"&amp;$X577)+COUNTIFS($B$4:$B577,$B577,$X$4:$X577,"="&amp;$X577))</f>
        <v>34</v>
      </c>
      <c r="R577" s="75">
        <f>IF($C577="","",IF($I577="","",ROUND(COUNTIF($I$4:$I$1463,"&lt;"&amp;$I577)/COUNT($I$4:$I$1463),3)))</f>
        <v>0.76600000000000001</v>
      </c>
      <c r="S577" s="19" t="str">
        <f>IF($C577="","",IF($G577="","Name only",IF(OR($I577="",$L577=""),"Partial","Complete")))</f>
        <v>Complete</v>
      </c>
      <c r="T577" s="1" t="str">
        <f>IF($C577="","",TRIM(IF(COUNTIF($C$4:$C$1463,$C577)&gt;1,"Dup name; ","")&amp;IF(AND($G577&lt;&gt;"",$G577&lt;55000),"Low CR - verify; ","")&amp;IF(AND($L577&lt;&gt;"",$L577&gt;15),"Secondary - verify; ","")&amp;IF($E577="","No class; ","")))</f>
        <v/>
      </c>
      <c r="U577" s="68"/>
      <c r="V577" s="68"/>
      <c r="W577" s="68"/>
      <c r="X577" s="76">
        <f t="shared" si="42"/>
        <v>5730</v>
      </c>
      <c r="Y577" s="1" t="str">
        <f t="shared" si="43"/>
        <v>LEGENDS|34</v>
      </c>
      <c r="Z577" s="19">
        <f>IF($C577="","",IF($G577="","",RANK($G577,$G$4:$G$1463)+COUNTIF($G$4:$G577,$G577)-1))</f>
        <v>850</v>
      </c>
      <c r="AA577" s="19">
        <f>IF($C577="","",IF($N577="","",RANK($N577,$N$4:$N$1463)+COUNTIF($N$4:$N577,$N577)-1))</f>
        <v>397</v>
      </c>
      <c r="AB577" s="1" t="str">
        <f>IF($C577="","",IF($E577="","",$E577&amp;"#"&amp;(COUNTIFS($E$4:$E$1463,$E577,$X$4:$X$1463,"&gt;"&amp;$X577)+COUNTIFS($E$4:$E577,$E577,$X$4:$X577,"="&amp;$X577))))</f>
        <v>DRUID#17</v>
      </c>
      <c r="AC577" s="1" t="str">
        <f>IF($C577="","",$B577&amp;"@"&amp;(COUNTIFS($B$4:$B$1463,$B577,$C$4:$C$1463,"&lt;"&amp;$C577)+COUNTIFS($B$4:$B577,$B577,$C$4:$C577,$C577)))</f>
        <v>LEGENDS@55</v>
      </c>
      <c r="AD577" s="1">
        <f t="shared" si="44"/>
        <v>574</v>
      </c>
      <c r="AE577" s="1" t="s">
        <v>1547</v>
      </c>
      <c r="AF577" s="76">
        <f t="shared" si="45"/>
        <v>61945</v>
      </c>
      <c r="AG577" s="77">
        <f t="shared" si="46"/>
        <v>5.0999999999999996</v>
      </c>
      <c r="AH577" s="1" t="str">
        <f>IF($C577="","",$B577&amp;"|"&amp;(COUNTIFS($B$4:$B$1463,$B577,$AF$4:$AF$1463,"&gt;"&amp;$AF577)+COUNTIFS($B$4:$B577,$B577,$AF$4:$AF577,"="&amp;$AF577)))</f>
        <v>LEGENDS|83</v>
      </c>
      <c r="AI577" s="1" t="str">
        <f>IF($C577="","",$B577&amp;"|"&amp;(COUNTIFS($B$4:$B$1463,$B577,$AG$4:$AG$1463,"&gt;"&amp;$AG577)+COUNTIFS($B$4:$B577,$B577,$AG$4:$AG577,"="&amp;$AG577)))</f>
        <v>LEGENDS|61</v>
      </c>
    </row>
    <row r="578" spans="1:35" hidden="1">
      <c r="A578" s="69" t="s">
        <v>106</v>
      </c>
      <c r="B578" s="69" t="s">
        <v>86</v>
      </c>
      <c r="C578" s="63" t="s">
        <v>1548</v>
      </c>
      <c r="D578" s="69"/>
      <c r="E578" s="68" t="s">
        <v>73</v>
      </c>
      <c r="F578" s="15" t="str">
        <f>IF($C578="","",IF($E578="","-",IFERROR(INDEX(SETUP!$B$55:$B$64,MATCH($E578,SETUP!$A$55:$A$64,0)),"Other")))</f>
        <v>Frontline</v>
      </c>
      <c r="G578" s="70">
        <v>64020</v>
      </c>
      <c r="H578" s="15" t="str">
        <f>IF($C578="","",IF($G578="","-",INDEX(SETUP!$B$26:$B$32,MATCH($G578,SETUP!$A$26:$A$32,1))))</f>
        <v>64,000 +</v>
      </c>
      <c r="I578" s="70">
        <v>8916</v>
      </c>
      <c r="J578" s="15" t="str">
        <f>IF($C578="","",IF($I578="","-",INDEX(SETUP!$B$16:$B$22,MATCH($I578,SETUP!$A$16:$A$22,1))))</f>
        <v>ELITE</v>
      </c>
      <c r="K578" s="15" t="str">
        <f>IF($C578="","",IF($I578="","-",TEXT(INT($I578/1000)*1000,"#,##0")&amp;" - "&amp;TEXT(INT($I578/1000)*1000+999,"#,##0")))</f>
        <v>8,000 - 8,999</v>
      </c>
      <c r="L578" s="71">
        <v>6.5</v>
      </c>
      <c r="M578" s="15" t="str">
        <f>IF($C578="","",IF($L578="","-",INDEX(SETUP!$B$36:$B$42,MATCH($L578,SETUP!$A$36:$A$42,1))))</f>
        <v>6k - 8k</v>
      </c>
      <c r="N578" s="17">
        <f>IF($C578="","",IF(OR($G578="",$I578=""),"",ROUND(100*(SETUP!$B$4*MIN(1,$I578/SETUP!$B$9)+SETUP!$B$5*MAX(0,MIN(1,($G578-SETUP!$B$10)/(SETUP!$B$11-SETUP!$B$10)))+SETUP!$B$6*MIN(1,IF($L578="",0,$L578)/SETUP!$B$12)),1)))</f>
        <v>73.5</v>
      </c>
      <c r="O578" s="15" t="str">
        <f>IF($C578="","",IF($N578="","-",INDEX(SETUP!$B$46:$B$51,MATCH($N578,SETUP!$A$46:$A$51,1))))</f>
        <v>S</v>
      </c>
      <c r="P578" s="15">
        <f>IF($C578="","",IF($I578="","",RANK($I578,$I$4:$I$1463)+COUNTIF($I$4:$I578,$I578)-1))</f>
        <v>100</v>
      </c>
      <c r="Q578" s="15">
        <f>IF($C578="","",COUNTIFS($B$4:$B$1463,$B578,$X$4:$X$1463,"&gt;"&amp;$X578)+COUNTIFS($B$4:$B578,$B578,$X$4:$X578,"="&amp;$X578))</f>
        <v>25</v>
      </c>
      <c r="R578" s="72">
        <f>IF($C578="","",IF($I578="","",ROUND(COUNTIF($I$4:$I$1463,"&lt;"&amp;$I578)/COUNT($I$4:$I$1463),3)))</f>
        <v>0.92500000000000004</v>
      </c>
      <c r="S578" s="15" t="str">
        <f>IF($C578="","",IF($G578="","Name only",IF(OR($I578="",$L578=""),"Partial","Complete")))</f>
        <v>Complete</v>
      </c>
      <c r="T578" s="41" t="str">
        <f>IF($C578="","",TRIM(IF(COUNTIF($C$4:$C$1463,$C578)&gt;1,"Dup name; ","")&amp;IF(AND($G578&lt;&gt;"",$G578&lt;55000),"Low CR - verify; ","")&amp;IF(AND($L578&lt;&gt;"",$L578&gt;15),"Secondary - verify; ","")&amp;IF($E578="","No class; ","")))</f>
        <v/>
      </c>
      <c r="U578" s="68"/>
      <c r="V578" s="68"/>
      <c r="W578" s="68"/>
      <c r="X578" s="73">
        <f t="shared" si="42"/>
        <v>8916</v>
      </c>
      <c r="Y578" s="41" t="str">
        <f t="shared" si="43"/>
        <v>VANGUARD|25</v>
      </c>
      <c r="Z578" s="15">
        <f>IF($C578="","",IF($G578="","",RANK($G578,$G$4:$G$1463)+COUNTIF($G$4:$G578,$G578)-1))</f>
        <v>69</v>
      </c>
      <c r="AA578" s="15">
        <f>IF($C578="","",IF($N578="","",RANK($N578,$N$4:$N$1463)+COUNTIF($N$4:$N578,$N578)-1))</f>
        <v>101</v>
      </c>
      <c r="AB578" s="41" t="str">
        <f>IF($C578="","",IF($E578="","",$E578&amp;"#"&amp;(COUNTIFS($E$4:$E$1463,$E578,$X$4:$X$1463,"&gt;"&amp;$X578)+COUNTIFS($E$4:$E578,$E578,$X$4:$X578,"="&amp;$X578))))</f>
        <v>CRUSADER#18</v>
      </c>
      <c r="AC578" s="41" t="str">
        <f>IF($C578="","",$B578&amp;"@"&amp;(COUNTIFS($B$4:$B$1463,$B578,$C$4:$C$1463,"&lt;"&amp;$C578)+COUNTIFS($B$4:$B578,$B578,$C$4:$C578,$C578)))</f>
        <v>VANGUARD@50</v>
      </c>
      <c r="AD578" s="41">
        <f t="shared" si="44"/>
        <v>575</v>
      </c>
      <c r="AE578" s="41" t="s">
        <v>634</v>
      </c>
      <c r="AF578" s="73">
        <f t="shared" si="45"/>
        <v>64020</v>
      </c>
      <c r="AG578" s="74">
        <f t="shared" si="46"/>
        <v>6.5</v>
      </c>
      <c r="AH578" s="41" t="str">
        <f>IF($C578="","",$B578&amp;"|"&amp;(COUNTIFS($B$4:$B$1463,$B578,$AF$4:$AF$1463,"&gt;"&amp;$AF578)+COUNTIFS($B$4:$B578,$B578,$AF$4:$AF578,"="&amp;$AF578)))</f>
        <v>VANGUARD|17</v>
      </c>
      <c r="AI578" s="41" t="str">
        <f>IF($C578="","",$B578&amp;"|"&amp;(COUNTIFS($B$4:$B$1463,$B578,$AG$4:$AG$1463,"&gt;"&amp;$AG578)+COUNTIFS($B$4:$B578,$B578,$AG$4:$AG578,"="&amp;$AG578)))</f>
        <v>VANGUARD|30</v>
      </c>
    </row>
    <row r="579" spans="1:35">
      <c r="A579" s="69" t="s">
        <v>104</v>
      </c>
      <c r="B579" s="69" t="s">
        <v>66</v>
      </c>
      <c r="C579" s="63" t="s">
        <v>1491</v>
      </c>
      <c r="D579" s="69"/>
      <c r="E579" s="68" t="s">
        <v>79</v>
      </c>
      <c r="F579" s="19" t="str">
        <f>IF($C579="","",IF($E579="","-",IFERROR(INDEX(SETUP!$B$55:$B$64,MATCH($E579,SETUP!$A$55:$A$64,0)),"Other")))</f>
        <v>Control</v>
      </c>
      <c r="G579" s="70">
        <v>63117</v>
      </c>
      <c r="H579" s="19" t="str">
        <f>IF($C579="","",IF($G579="","-",INDEX(SETUP!$B$26:$B$32,MATCH($G579,SETUP!$A$26:$A$32,1))))</f>
        <v>63,000 - 63,999</v>
      </c>
      <c r="I579" s="70">
        <v>3156</v>
      </c>
      <c r="J579" s="19" t="str">
        <f>IF($C579="","",IF($I579="","-",INDEX(SETUP!$B$16:$B$22,MATCH($I579,SETUP!$A$16:$A$22,1))))</f>
        <v>DEVELOPING</v>
      </c>
      <c r="K579" s="19" t="str">
        <f>IF($C579="","",IF($I579="","-",TEXT(INT($I579/1000)*1000,"#,##0")&amp;" - "&amp;TEXT(INT($I579/1000)*1000+999,"#,##0")))</f>
        <v>3,000 - 3,999</v>
      </c>
      <c r="L579" s="71">
        <v>3.66</v>
      </c>
      <c r="M579" s="19" t="str">
        <f>IF($C579="","",IF($L579="","-",INDEX(SETUP!$B$36:$B$42,MATCH($L579,SETUP!$A$36:$A$42,1))))</f>
        <v>3k - 4k</v>
      </c>
      <c r="N579" s="21">
        <f>IF($C579="","",IF(OR($G579="",$I579=""),"",ROUND(100*(SETUP!$B$4*MIN(1,$I579/SETUP!$B$9)+SETUP!$B$5*MAX(0,MIN(1,($G579-SETUP!$B$10)/(SETUP!$B$11-SETUP!$B$10)))+SETUP!$B$6*MIN(1,IF($L579="",0,$L579)/SETUP!$B$12)),1)))</f>
        <v>41.2</v>
      </c>
      <c r="O579" s="19" t="str">
        <f>IF($C579="","",IF($N579="","-",INDEX(SETUP!$B$46:$B$51,MATCH($N579,SETUP!$A$46:$A$51,1))))</f>
        <v>B</v>
      </c>
      <c r="P579" s="19">
        <f>IF($C579="","",IF($I579="","",RANK($I579,$I$4:$I$1463)+COUNTIF($I$4:$I579,$I579)-1))</f>
        <v>835</v>
      </c>
      <c r="Q579" s="19">
        <f>IF($C579="","",COUNTIFS($B$4:$B$1463,$B579,$X$4:$X$1463,"&gt;"&amp;$X579)+COUNTIFS($B$4:$B579,$B579,$X$4:$X579,"="&amp;$X579))</f>
        <v>89</v>
      </c>
      <c r="R579" s="75">
        <f>IF($C579="","",IF($I579="","",ROUND(COUNTIF($I$4:$I$1463,"&lt;"&amp;$I579)/COUNT($I$4:$I$1463),3)))</f>
        <v>0.37</v>
      </c>
      <c r="S579" s="19" t="str">
        <f>IF($C579="","",IF($G579="","Name only",IF(OR($I579="",$L579=""),"Partial","Complete")))</f>
        <v>Complete</v>
      </c>
      <c r="T579" s="1" t="str">
        <f>IF($C579="","",TRIM(IF(COUNTIF($C$4:$C$1463,$C579)&gt;1,"Dup name; ","")&amp;IF(AND($G579&lt;&gt;"",$G579&lt;55000),"Low CR - verify; ","")&amp;IF(AND($L579&lt;&gt;"",$L579&gt;15),"Secondary - verify; ","")&amp;IF($E579="","No class; ","")))</f>
        <v/>
      </c>
      <c r="U579" s="68"/>
      <c r="V579" s="68"/>
      <c r="W579" s="68"/>
      <c r="X579" s="76">
        <f t="shared" si="42"/>
        <v>3156</v>
      </c>
      <c r="Y579" s="1" t="str">
        <f t="shared" si="43"/>
        <v>FUCT|89</v>
      </c>
      <c r="Z579" s="19">
        <f>IF($C579="","",IF($G579="","",RANK($G579,$G$4:$G$1463)+COUNTIF($G$4:$G579,$G579)-1))</f>
        <v>367</v>
      </c>
      <c r="AA579" s="19">
        <f>IF($C579="","",IF($N579="","",RANK($N579,$N$4:$N$1463)+COUNTIF($N$4:$N579,$N579)-1))</f>
        <v>765</v>
      </c>
      <c r="AB579" s="1" t="str">
        <f>IF($C579="","",IF($E579="","",$E579&amp;"#"&amp;(COUNTIFS($E$4:$E$1463,$E579,$X$4:$X$1463,"&gt;"&amp;$X579)+COUNTIFS($E$4:$E579,$E579,$X$4:$X579,"="&amp;$X579))))</f>
        <v>WARLOCK#205</v>
      </c>
      <c r="AC579" s="1" t="str">
        <f>IF($C579="","",$B579&amp;"@"&amp;(COUNTIFS($B$4:$B$1463,$B579,$C$4:$C$1463,"&lt;"&amp;$C579)+COUNTIFS($B$4:$B579,$B579,$C$4:$C579,$C579)))</f>
        <v>FUCT@40</v>
      </c>
      <c r="AD579" s="1">
        <f t="shared" si="44"/>
        <v>576</v>
      </c>
      <c r="AE579" s="1" t="s">
        <v>1550</v>
      </c>
      <c r="AF579" s="76">
        <f t="shared" si="45"/>
        <v>63117</v>
      </c>
      <c r="AG579" s="77">
        <f t="shared" si="46"/>
        <v>3.66</v>
      </c>
      <c r="AH579" s="1" t="str">
        <f>IF($C579="","",$B579&amp;"|"&amp;(COUNTIFS($B$4:$B$1463,$B579,$AF$4:$AF$1463,"&gt;"&amp;$AF579)+COUNTIFS($B$4:$B579,$B579,$AF$4:$AF579,"="&amp;$AF579)))</f>
        <v>FUCT|36</v>
      </c>
      <c r="AI579" s="1" t="str">
        <f>IF($C579="","",$B579&amp;"|"&amp;(COUNTIFS($B$4:$B$1463,$B579,$AG$4:$AG$1463,"&gt;"&amp;$AG579)+COUNTIFS($B$4:$B579,$B579,$AG$4:$AG579,"="&amp;$AG579)))</f>
        <v>FUCT|92</v>
      </c>
    </row>
    <row r="580" spans="1:35" hidden="1">
      <c r="A580" s="69" t="s">
        <v>106</v>
      </c>
      <c r="B580" s="69" t="s">
        <v>107</v>
      </c>
      <c r="C580" s="63" t="s">
        <v>1551</v>
      </c>
      <c r="D580" s="69"/>
      <c r="E580" s="68" t="s">
        <v>79</v>
      </c>
      <c r="F580" s="15" t="str">
        <f>IF($C580="","",IF($E580="","-",IFERROR(INDEX(SETUP!$B$55:$B$64,MATCH($E580,SETUP!$A$55:$A$64,0)),"Other")))</f>
        <v>Control</v>
      </c>
      <c r="G580" s="70">
        <v>62575</v>
      </c>
      <c r="H580" s="15" t="str">
        <f>IF($C580="","",IF($G580="","-",INDEX(SETUP!$B$26:$B$32,MATCH($G580,SETUP!$A$26:$A$32,1))))</f>
        <v>62,000 - 62,999</v>
      </c>
      <c r="I580" s="70">
        <v>5393</v>
      </c>
      <c r="J580" s="15" t="str">
        <f>IF($C580="","",IF($I580="","-",INDEX(SETUP!$B$16:$B$22,MATCH($I580,SETUP!$A$16:$A$22,1))))</f>
        <v>CORE</v>
      </c>
      <c r="K580" s="15" t="str">
        <f>IF($C580="","",IF($I580="","-",TEXT(INT($I580/1000)*1000,"#,##0")&amp;" - "&amp;TEXT(INT($I580/1000)*1000+999,"#,##0")))</f>
        <v>5,000 - 5,999</v>
      </c>
      <c r="L580" s="71">
        <v>5.99</v>
      </c>
      <c r="M580" s="15" t="str">
        <f>IF($C580="","",IF($L580="","-",INDEX(SETUP!$B$36:$B$42,MATCH($L580,SETUP!$A$36:$A$42,1))))</f>
        <v>5k - 6k</v>
      </c>
      <c r="N580" s="17">
        <f>IF($C580="","",IF(OR($G580="",$I580=""),"",ROUND(100*(SETUP!$B$4*MIN(1,$I580/SETUP!$B$9)+SETUP!$B$5*MAX(0,MIN(1,($G580-SETUP!$B$10)/(SETUP!$B$11-SETUP!$B$10)))+SETUP!$B$6*MIN(1,IF($L580="",0,$L580)/SETUP!$B$12)),1)))</f>
        <v>53.5</v>
      </c>
      <c r="O580" s="15" t="str">
        <f>IF($C580="","",IF($N580="","-",INDEX(SETUP!$B$46:$B$51,MATCH($N580,SETUP!$A$46:$A$51,1))))</f>
        <v>A</v>
      </c>
      <c r="P580" s="15">
        <f>IF($C580="","",IF($I580="","",RANK($I580,$I$4:$I$1463)+COUNTIF($I$4:$I580,$I580)-1))</f>
        <v>347</v>
      </c>
      <c r="Q580" s="15">
        <f>IF($C580="","",COUNTIFS($B$4:$B$1463,$B580,$X$4:$X$1463,"&gt;"&amp;$X580)+COUNTIFS($B$4:$B580,$B580,$X$4:$X580,"="&amp;$X580))</f>
        <v>25</v>
      </c>
      <c r="R580" s="72">
        <f>IF($C580="","",IF($I580="","",ROUND(COUNTIF($I$4:$I$1463,"&lt;"&amp;$I580)/COUNT($I$4:$I$1463),3)))</f>
        <v>0.73799999999999999</v>
      </c>
      <c r="S580" s="15" t="str">
        <f>IF($C580="","",IF($G580="","Name only",IF(OR($I580="",$L580=""),"Partial","Complete")))</f>
        <v>Complete</v>
      </c>
      <c r="T580" s="41" t="str">
        <f>IF($C580="","",TRIM(IF(COUNTIF($C$4:$C$1463,$C580)&gt;1,"Dup name; ","")&amp;IF(AND($G580&lt;&gt;"",$G580&lt;55000),"Low CR - verify; ","")&amp;IF(AND($L580&lt;&gt;"",$L580&gt;15),"Secondary - verify; ","")&amp;IF($E580="","No class; ","")))</f>
        <v/>
      </c>
      <c r="U580" s="68"/>
      <c r="V580" s="68"/>
      <c r="W580" s="68"/>
      <c r="X580" s="73">
        <f t="shared" ref="X580:X643" si="47">IF($C580="","",IF($I580="",-1,$I580))</f>
        <v>5393</v>
      </c>
      <c r="Y580" s="41" t="str">
        <f t="shared" ref="Y580:Y643" si="48">IF($C580="","",$B580&amp;"|"&amp;$Q580)</f>
        <v>UNDYING|25</v>
      </c>
      <c r="Z580" s="15">
        <f>IF($C580="","",IF($G580="","",RANK($G580,$G$4:$G$1463)+COUNTIF($G$4:$G580,$G580)-1))</f>
        <v>624</v>
      </c>
      <c r="AA580" s="15">
        <f>IF($C580="","",IF($N580="","",RANK($N580,$N$4:$N$1463)+COUNTIF($N$4:$N580,$N580)-1))</f>
        <v>350</v>
      </c>
      <c r="AB580" s="41" t="str">
        <f>IF($C580="","",IF($E580="","",$E580&amp;"#"&amp;(COUNTIFS($E$4:$E$1463,$E580,$X$4:$X$1463,"&gt;"&amp;$X580)+COUNTIFS($E$4:$E580,$E580,$X$4:$X580,"="&amp;$X580))))</f>
        <v>WARLOCK#78</v>
      </c>
      <c r="AC580" s="41" t="str">
        <f>IF($C580="","",$B580&amp;"@"&amp;(COUNTIFS($B$4:$B$1463,$B580,$C$4:$C$1463,"&lt;"&amp;$C580)+COUNTIFS($B$4:$B580,$B580,$C$4:$C580,$C580)))</f>
        <v>UNDYING@46</v>
      </c>
      <c r="AD580" s="41">
        <f t="shared" ref="AD580:AD643" si="49">IF($C580="","",ROW()-4+1)</f>
        <v>577</v>
      </c>
      <c r="AE580" s="41" t="s">
        <v>1552</v>
      </c>
      <c r="AF580" s="73">
        <f t="shared" ref="AF580:AF643" si="50">IF($C580="","",IF($G580="",-1,$G580))</f>
        <v>62575</v>
      </c>
      <c r="AG580" s="74">
        <f t="shared" ref="AG580:AG643" si="51">IF($C580="","",IF($L580="",-1,$L580))</f>
        <v>5.99</v>
      </c>
      <c r="AH580" s="41" t="str">
        <f>IF($C580="","",$B580&amp;"|"&amp;(COUNTIFS($B$4:$B$1463,$B580,$AF$4:$AF$1463,"&gt;"&amp;$AF580)+COUNTIFS($B$4:$B580,$B580,$AF$4:$AF580,"="&amp;$AF580)))</f>
        <v>UNDYING|63</v>
      </c>
      <c r="AI580" s="41" t="str">
        <f>IF($C580="","",$B580&amp;"|"&amp;(COUNTIFS($B$4:$B$1463,$B580,$AG$4:$AG$1463,"&gt;"&amp;$AG580)+COUNTIFS($B$4:$B580,$B580,$AG$4:$AG580,"="&amp;$AG580)))</f>
        <v>UNDYING|25</v>
      </c>
    </row>
    <row r="581" spans="1:35" hidden="1">
      <c r="A581" s="69" t="s">
        <v>106</v>
      </c>
      <c r="B581" s="69" t="s">
        <v>107</v>
      </c>
      <c r="C581" s="63" t="s">
        <v>1553</v>
      </c>
      <c r="D581" s="69" t="s">
        <v>1554</v>
      </c>
      <c r="E581" s="68" t="s">
        <v>80</v>
      </c>
      <c r="F581" s="19" t="str">
        <f>IF($C581="","",IF($E581="","-",IFERROR(INDEX(SETUP!$B$55:$B$64,MATCH($E581,SETUP!$A$55:$A$64,0)),"Other")))</f>
        <v>Ranged DPS</v>
      </c>
      <c r="G581" s="70">
        <v>62398</v>
      </c>
      <c r="H581" s="19" t="str">
        <f>IF($C581="","",IF($G581="","-",INDEX(SETUP!$B$26:$B$32,MATCH($G581,SETUP!$A$26:$A$32,1))))</f>
        <v>62,000 - 62,999</v>
      </c>
      <c r="I581" s="70">
        <v>4448</v>
      </c>
      <c r="J581" s="19" t="str">
        <f>IF($C581="","",IF($I581="","-",INDEX(SETUP!$B$16:$B$22,MATCH($I581,SETUP!$A$16:$A$22,1))))</f>
        <v>CORE</v>
      </c>
      <c r="K581" s="19" t="str">
        <f>IF($C581="","",IF($I581="","-",TEXT(INT($I581/1000)*1000,"#,##0")&amp;" - "&amp;TEXT(INT($I581/1000)*1000+999,"#,##0")))</f>
        <v>4,000 - 4,999</v>
      </c>
      <c r="L581" s="71">
        <v>6.2</v>
      </c>
      <c r="M581" s="19" t="str">
        <f>IF($C581="","",IF($L581="","-",INDEX(SETUP!$B$36:$B$42,MATCH($L581,SETUP!$A$36:$A$42,1))))</f>
        <v>6k - 8k</v>
      </c>
      <c r="N581" s="21">
        <f>IF($C581="","",IF(OR($G581="",$I581=""),"",ROUND(100*(SETUP!$B$4*MIN(1,$I581/SETUP!$B$9)+SETUP!$B$5*MAX(0,MIN(1,($G581-SETUP!$B$10)/(SETUP!$B$11-SETUP!$B$10)))+SETUP!$B$6*MIN(1,IF($L581="",0,$L581)/SETUP!$B$12)),1)))</f>
        <v>49.2</v>
      </c>
      <c r="O581" s="19" t="str">
        <f>IF($C581="","",IF($N581="","-",INDEX(SETUP!$B$46:$B$51,MATCH($N581,SETUP!$A$46:$A$51,1))))</f>
        <v>B</v>
      </c>
      <c r="P581" s="19">
        <f>IF($C581="","",IF($I581="","",RANK($I581,$I$4:$I$1463)+COUNTIF($I$4:$I581,$I581)-1))</f>
        <v>505</v>
      </c>
      <c r="Q581" s="19">
        <f>IF($C581="","",COUNTIFS($B$4:$B$1463,$B581,$X$4:$X$1463,"&gt;"&amp;$X581)+COUNTIFS($B$4:$B581,$B581,$X$4:$X581,"="&amp;$X581))</f>
        <v>38</v>
      </c>
      <c r="R581" s="75">
        <f>IF($C581="","",IF($I581="","",ROUND(COUNTIF($I$4:$I$1463,"&lt;"&amp;$I581)/COUNT($I$4:$I$1463),3)))</f>
        <v>0.61899999999999999</v>
      </c>
      <c r="S581" s="19" t="str">
        <f>IF($C581="","",IF($G581="","Name only",IF(OR($I581="",$L581=""),"Partial","Complete")))</f>
        <v>Complete</v>
      </c>
      <c r="T581" s="1" t="str">
        <f>IF($C581="","",TRIM(IF(COUNTIF($C$4:$C$1463,$C581)&gt;1,"Dup name; ","")&amp;IF(AND($G581&lt;&gt;"",$G581&lt;55000),"Low CR - verify; ","")&amp;IF(AND($L581&lt;&gt;"",$L581&gt;15),"Secondary - verify; ","")&amp;IF($E581="","No class; ","")))</f>
        <v/>
      </c>
      <c r="U581" s="68"/>
      <c r="V581" s="68"/>
      <c r="W581" s="68"/>
      <c r="X581" s="76">
        <f t="shared" si="47"/>
        <v>4448</v>
      </c>
      <c r="Y581" s="1" t="str">
        <f t="shared" si="48"/>
        <v>UNDYING|38</v>
      </c>
      <c r="Z581" s="19">
        <f>IF($C581="","",IF($G581="","",RANK($G581,$G$4:$G$1463)+COUNTIF($G$4:$G581,$G581)-1))</f>
        <v>693</v>
      </c>
      <c r="AA581" s="19">
        <f>IF($C581="","",IF($N581="","",RANK($N581,$N$4:$N$1463)+COUNTIF($N$4:$N581,$N581)-1))</f>
        <v>475</v>
      </c>
      <c r="AB581" s="1" t="str">
        <f>IF($C581="","",IF($E581="","",$E581&amp;"#"&amp;(COUNTIFS($E$4:$E$1463,$E581,$X$4:$X$1463,"&gt;"&amp;$X581)+COUNTIFS($E$4:$E581,$E581,$X$4:$X581,"="&amp;$X581))))</f>
        <v>WIZARD#34</v>
      </c>
      <c r="AC581" s="1" t="str">
        <f>IF($C581="","",$B581&amp;"@"&amp;(COUNTIFS($B$4:$B$1463,$B581,$C$4:$C$1463,"&lt;"&amp;$C581)+COUNTIFS($B$4:$B581,$B581,$C$4:$C581,$C581)))</f>
        <v>UNDYING@45</v>
      </c>
      <c r="AD581" s="1">
        <f t="shared" si="49"/>
        <v>578</v>
      </c>
      <c r="AE581" s="1" t="s">
        <v>1075</v>
      </c>
      <c r="AF581" s="76">
        <f t="shared" si="50"/>
        <v>62398</v>
      </c>
      <c r="AG581" s="77">
        <f t="shared" si="51"/>
        <v>6.2</v>
      </c>
      <c r="AH581" s="1" t="str">
        <f>IF($C581="","",$B581&amp;"|"&amp;(COUNTIFS($B$4:$B$1463,$B581,$AF$4:$AF$1463,"&gt;"&amp;$AF581)+COUNTIFS($B$4:$B581,$B581,$AF$4:$AF581,"="&amp;$AF581)))</f>
        <v>UNDYING|69</v>
      </c>
      <c r="AI581" s="1" t="str">
        <f>IF($C581="","",$B581&amp;"|"&amp;(COUNTIFS($B$4:$B$1463,$B581,$AG$4:$AG$1463,"&gt;"&amp;$AG581)+COUNTIFS($B$4:$B581,$B581,$AG$4:$AG581,"="&amp;$AG581)))</f>
        <v>UNDYING|22</v>
      </c>
    </row>
    <row r="582" spans="1:35" hidden="1">
      <c r="A582" s="69" t="s">
        <v>109</v>
      </c>
      <c r="B582" s="69" t="s">
        <v>118</v>
      </c>
      <c r="C582" s="63" t="s">
        <v>1555</v>
      </c>
      <c r="D582" s="69"/>
      <c r="E582" s="68" t="s">
        <v>75</v>
      </c>
      <c r="F582" s="15" t="str">
        <f>IF($C582="","",IF($E582="","-",IFERROR(INDEX(SETUP!$B$55:$B$64,MATCH($E582,SETUP!$A$55:$A$64,0)),"Other")))</f>
        <v>Support</v>
      </c>
      <c r="G582" s="70">
        <v>60506</v>
      </c>
      <c r="H582" s="15" t="str">
        <f>IF($C582="","",IF($G582="","-",INDEX(SETUP!$B$26:$B$32,MATCH($G582,SETUP!$A$26:$A$32,1))))</f>
        <v>60,000 - 60,999</v>
      </c>
      <c r="I582" s="70">
        <v>1560</v>
      </c>
      <c r="J582" s="15" t="str">
        <f>IF($C582="","",IF($I582="","-",INDEX(SETUP!$B$16:$B$22,MATCH($I582,SETUP!$A$16:$A$22,1))))</f>
        <v>ROOKIE</v>
      </c>
      <c r="K582" s="15" t="str">
        <f>IF($C582="","",IF($I582="","-",TEXT(INT($I582/1000)*1000,"#,##0")&amp;" - "&amp;TEXT(INT($I582/1000)*1000+999,"#,##0")))</f>
        <v>1,000 - 1,999</v>
      </c>
      <c r="L582" s="71">
        <v>2.6</v>
      </c>
      <c r="M582" s="15" t="str">
        <f>IF($C582="","",IF($L582="","-",INDEX(SETUP!$B$36:$B$42,MATCH($L582,SETUP!$A$36:$A$42,1))))</f>
        <v>Under 3k</v>
      </c>
      <c r="N582" s="17">
        <f>IF($C582="","",IF(OR($G582="",$I582=""),"",ROUND(100*(SETUP!$B$4*MIN(1,$I582/SETUP!$B$9)+SETUP!$B$5*MAX(0,MIN(1,($G582-SETUP!$B$10)/(SETUP!$B$11-SETUP!$B$10)))+SETUP!$B$6*MIN(1,IF($L582="",0,$L582)/SETUP!$B$12)),1)))</f>
        <v>25.6</v>
      </c>
      <c r="O582" s="15" t="str">
        <f>IF($C582="","",IF($N582="","-",INDEX(SETUP!$B$46:$B$51,MATCH($N582,SETUP!$A$46:$A$51,1))))</f>
        <v>C</v>
      </c>
      <c r="P582" s="15">
        <f>IF($C582="","",IF($I582="","",RANK($I582,$I$4:$I$1463)+COUNTIF($I$4:$I582,$I582)-1))</f>
        <v>1179</v>
      </c>
      <c r="Q582" s="15">
        <f>IF($C582="","",COUNTIFS($B$4:$B$1463,$B582,$X$4:$X$1463,"&gt;"&amp;$X582)+COUNTIFS($B$4:$B582,$B582,$X$4:$X582,"="&amp;$X582))</f>
        <v>56</v>
      </c>
      <c r="R582" s="72">
        <f>IF($C582="","",IF($I582="","",ROUND(COUNTIF($I$4:$I$1463,"&lt;"&amp;$I582)/COUNT($I$4:$I$1463),3)))</f>
        <v>0.11</v>
      </c>
      <c r="S582" s="15" t="str">
        <f>IF($C582="","",IF($G582="","Name only",IF(OR($I582="",$L582=""),"Partial","Complete")))</f>
        <v>Complete</v>
      </c>
      <c r="T582" s="41" t="str">
        <f>IF($C582="","",TRIM(IF(COUNTIF($C$4:$C$1463,$C582)&gt;1,"Dup name; ","")&amp;IF(AND($G582&lt;&gt;"",$G582&lt;55000),"Low CR - verify; ","")&amp;IF(AND($L582&lt;&gt;"",$L582&gt;15),"Secondary - verify; ","")&amp;IF($E582="","No class; ","")))</f>
        <v/>
      </c>
      <c r="U582" s="68"/>
      <c r="V582" s="68"/>
      <c r="W582" s="68"/>
      <c r="X582" s="73">
        <f t="shared" si="47"/>
        <v>1560</v>
      </c>
      <c r="Y582" s="41" t="str">
        <f t="shared" si="48"/>
        <v>ZOMBIES|56</v>
      </c>
      <c r="Z582" s="15">
        <f>IF($C582="","",IF($G582="","",RANK($G582,$G$4:$G$1463)+COUNTIF($G$4:$G582,$G582)-1))</f>
        <v>1206</v>
      </c>
      <c r="AA582" s="15">
        <f>IF($C582="","",IF($N582="","",RANK($N582,$N$4:$N$1463)+COUNTIF($N$4:$N582,$N582)-1))</f>
        <v>1234</v>
      </c>
      <c r="AB582" s="41" t="str">
        <f>IF($C582="","",IF($E582="","",$E582&amp;"#"&amp;(COUNTIFS($E$4:$E$1463,$E582,$X$4:$X$1463,"&gt;"&amp;$X582)+COUNTIFS($E$4:$E582,$E582,$X$4:$X582,"="&amp;$X582))))</f>
        <v>DRUID#56</v>
      </c>
      <c r="AC582" s="41" t="str">
        <f>IF($C582="","",$B582&amp;"@"&amp;(COUNTIFS($B$4:$B$1463,$B582,$C$4:$C$1463,"&lt;"&amp;$C582)+COUNTIFS($B$4:$B582,$B582,$C$4:$C582,$C582)))</f>
        <v>ZOMBIES@43</v>
      </c>
      <c r="AD582" s="41">
        <f t="shared" si="49"/>
        <v>579</v>
      </c>
      <c r="AE582" s="41" t="s">
        <v>1230</v>
      </c>
      <c r="AF582" s="73">
        <f t="shared" si="50"/>
        <v>60506</v>
      </c>
      <c r="AG582" s="74">
        <f t="shared" si="51"/>
        <v>2.6</v>
      </c>
      <c r="AH582" s="41" t="str">
        <f>IF($C582="","",$B582&amp;"|"&amp;(COUNTIFS($B$4:$B$1463,$B582,$AF$4:$AF$1463,"&gt;"&amp;$AF582)+COUNTIFS($B$4:$B582,$B582,$AF$4:$AF582,"="&amp;$AF582)))</f>
        <v>ZOMBIES|68</v>
      </c>
      <c r="AI582" s="41" t="str">
        <f>IF($C582="","",$B582&amp;"|"&amp;(COUNTIFS($B$4:$B$1463,$B582,$AG$4:$AG$1463,"&gt;"&amp;$AG582)+COUNTIFS($B$4:$B582,$B582,$AG$4:$AG582,"="&amp;$AG582)))</f>
        <v>ZOMBIES|93</v>
      </c>
    </row>
    <row r="583" spans="1:35" hidden="1">
      <c r="A583" s="69" t="s">
        <v>109</v>
      </c>
      <c r="B583" s="69" t="s">
        <v>111</v>
      </c>
      <c r="C583" s="63" t="s">
        <v>1556</v>
      </c>
      <c r="D583" s="69" t="s">
        <v>527</v>
      </c>
      <c r="E583" s="68" t="s">
        <v>74</v>
      </c>
      <c r="F583" s="19" t="str">
        <f>IF($C583="","",IF($E583="","-",IFERROR(INDEX(SETUP!$B$55:$B$64,MATCH($E583,SETUP!$A$55:$A$64,0)),"Other")))</f>
        <v>Ranged DPS</v>
      </c>
      <c r="G583" s="70">
        <v>63732</v>
      </c>
      <c r="H583" s="19" t="str">
        <f>IF($C583="","",IF($G583="","-",INDEX(SETUP!$B$26:$B$32,MATCH($G583,SETUP!$A$26:$A$32,1))))</f>
        <v>63,000 - 63,999</v>
      </c>
      <c r="I583" s="70">
        <v>8751</v>
      </c>
      <c r="J583" s="19" t="str">
        <f>IF($C583="","",IF($I583="","-",INDEX(SETUP!$B$16:$B$22,MATCH($I583,SETUP!$A$16:$A$22,1))))</f>
        <v>ELITE</v>
      </c>
      <c r="K583" s="19" t="str">
        <f>IF($C583="","",IF($I583="","-",TEXT(INT($I583/1000)*1000,"#,##0")&amp;" - "&amp;TEXT(INT($I583/1000)*1000+999,"#,##0")))</f>
        <v>8,000 - 8,999</v>
      </c>
      <c r="L583" s="71">
        <v>7.25</v>
      </c>
      <c r="M583" s="19" t="str">
        <f>IF($C583="","",IF($L583="","-",INDEX(SETUP!$B$36:$B$42,MATCH($L583,SETUP!$A$36:$A$42,1))))</f>
        <v>6k - 8k</v>
      </c>
      <c r="N583" s="21">
        <f>IF($C583="","",IF(OR($G583="",$I583=""),"",ROUND(100*(SETUP!$B$4*MIN(1,$I583/SETUP!$B$9)+SETUP!$B$5*MAX(0,MIN(1,($G583-SETUP!$B$10)/(SETUP!$B$11-SETUP!$B$10)))+SETUP!$B$6*MIN(1,IF($L583="",0,$L583)/SETUP!$B$12)),1)))</f>
        <v>73.3</v>
      </c>
      <c r="O583" s="19" t="str">
        <f>IF($C583="","",IF($N583="","-",INDEX(SETUP!$B$46:$B$51,MATCH($N583,SETUP!$A$46:$A$51,1))))</f>
        <v>S</v>
      </c>
      <c r="P583" s="19">
        <f>IF($C583="","",IF($I583="","",RANK($I583,$I$4:$I$1463)+COUNTIF($I$4:$I583,$I583)-1))</f>
        <v>104</v>
      </c>
      <c r="Q583" s="19">
        <f>IF($C583="","",COUNTIFS($B$4:$B$1463,$B583,$X$4:$X$1463,"&gt;"&amp;$X583)+COUNTIFS($B$4:$B583,$B583,$X$4:$X583,"="&amp;$X583))</f>
        <v>16</v>
      </c>
      <c r="R583" s="75">
        <f>IF($C583="","",IF($I583="","",ROUND(COUNTIF($I$4:$I$1463,"&lt;"&amp;$I583)/COUNT($I$4:$I$1463),3)))</f>
        <v>0.92200000000000004</v>
      </c>
      <c r="S583" s="19" t="str">
        <f>IF($C583="","",IF($G583="","Name only",IF(OR($I583="",$L583=""),"Partial","Complete")))</f>
        <v>Complete</v>
      </c>
      <c r="T583" s="1" t="str">
        <f>IF($C583="","",TRIM(IF(COUNTIF($C$4:$C$1463,$C583)&gt;1,"Dup name; ","")&amp;IF(AND($G583&lt;&gt;"",$G583&lt;55000),"Low CR - verify; ","")&amp;IF(AND($L583&lt;&gt;"",$L583&gt;15),"Secondary - verify; ","")&amp;IF($E583="","No class; ","")))</f>
        <v/>
      </c>
      <c r="U583" s="68"/>
      <c r="V583" s="68"/>
      <c r="W583" s="68"/>
      <c r="X583" s="76">
        <f t="shared" si="47"/>
        <v>8751</v>
      </c>
      <c r="Y583" s="1" t="str">
        <f t="shared" si="48"/>
        <v>RECKONING|16</v>
      </c>
      <c r="Z583" s="19">
        <f>IF($C583="","",IF($G583="","",RANK($G583,$G$4:$G$1463)+COUNTIF($G$4:$G583,$G583)-1))</f>
        <v>129</v>
      </c>
      <c r="AA583" s="19">
        <f>IF($C583="","",IF($N583="","",RANK($N583,$N$4:$N$1463)+COUNTIF($N$4:$N583,$N583)-1))</f>
        <v>104</v>
      </c>
      <c r="AB583" s="1" t="str">
        <f>IF($C583="","",IF($E583="","",$E583&amp;"#"&amp;(COUNTIFS($E$4:$E$1463,$E583,$X$4:$X$1463,"&gt;"&amp;$X583)+COUNTIFS($E$4:$E583,$E583,$X$4:$X583,"="&amp;$X583))))</f>
        <v>DEMON HUNTER#18</v>
      </c>
      <c r="AC583" s="1" t="str">
        <f>IF($C583="","",$B583&amp;"@"&amp;(COUNTIFS($B$4:$B$1463,$B583,$C$4:$C$1463,"&lt;"&amp;$C583)+COUNTIFS($B$4:$B583,$B583,$C$4:$C583,$C583)))</f>
        <v>RECKONING@43</v>
      </c>
      <c r="AD583" s="1">
        <f t="shared" si="49"/>
        <v>580</v>
      </c>
      <c r="AE583" s="1" t="s">
        <v>1557</v>
      </c>
      <c r="AF583" s="76">
        <f t="shared" si="50"/>
        <v>63732</v>
      </c>
      <c r="AG583" s="77">
        <f t="shared" si="51"/>
        <v>7.25</v>
      </c>
      <c r="AH583" s="1" t="str">
        <f>IF($C583="","",$B583&amp;"|"&amp;(COUNTIFS($B$4:$B$1463,$B583,$AF$4:$AF$1463,"&gt;"&amp;$AF583)+COUNTIFS($B$4:$B583,$B583,$AF$4:$AF583,"="&amp;$AF583)))</f>
        <v>RECKONING|16</v>
      </c>
      <c r="AI583" s="1" t="str">
        <f>IF($C583="","",$B583&amp;"|"&amp;(COUNTIFS($B$4:$B$1463,$B583,$AG$4:$AG$1463,"&gt;"&amp;$AG583)+COUNTIFS($B$4:$B583,$B583,$AG$4:$AG583,"="&amp;$AG583)))</f>
        <v>RECKONING|21</v>
      </c>
    </row>
    <row r="584" spans="1:35">
      <c r="A584" s="69" t="s">
        <v>104</v>
      </c>
      <c r="B584" s="69" t="s">
        <v>66</v>
      </c>
      <c r="C584" s="63" t="s">
        <v>1529</v>
      </c>
      <c r="D584" s="69"/>
      <c r="E584" s="68" t="s">
        <v>79</v>
      </c>
      <c r="F584" s="19" t="str">
        <f>IF($C584="","",IF($E584="","-",IFERROR(INDEX(SETUP!$B$55:$B$64,MATCH($E584,SETUP!$A$55:$A$64,0)),"Other")))</f>
        <v>Control</v>
      </c>
      <c r="G584" s="70">
        <v>61353</v>
      </c>
      <c r="H584" s="19" t="str">
        <f>IF($C584="","",IF($G584="","-",INDEX(SETUP!$B$26:$B$32,MATCH($G584,SETUP!$A$26:$A$32,1))))</f>
        <v>61,000 - 61,999</v>
      </c>
      <c r="I584" s="70">
        <v>3311</v>
      </c>
      <c r="J584" s="19" t="str">
        <f>IF($C584="","",IF($I584="","-",INDEX(SETUP!$B$16:$B$22,MATCH($I584,SETUP!$A$16:$A$22,1))))</f>
        <v>DEVELOPING</v>
      </c>
      <c r="K584" s="19" t="str">
        <f>IF($C584="","",IF($I584="","-",TEXT(INT($I584/1000)*1000,"#,##0")&amp;" - "&amp;TEXT(INT($I584/1000)*1000+999,"#,##0")))</f>
        <v>3,000 - 3,999</v>
      </c>
      <c r="L584" s="71">
        <v>4.96</v>
      </c>
      <c r="M584" s="19" t="str">
        <f>IF($C584="","",IF($L584="","-",INDEX(SETUP!$B$36:$B$42,MATCH($L584,SETUP!$A$36:$A$42,1))))</f>
        <v>4k - 5k</v>
      </c>
      <c r="N584" s="21">
        <f>IF($C584="","",IF(OR($G584="",$I584=""),"",ROUND(100*(SETUP!$B$4*MIN(1,$I584/SETUP!$B$9)+SETUP!$B$5*MAX(0,MIN(1,($G584-SETUP!$B$10)/(SETUP!$B$11-SETUP!$B$10)))+SETUP!$B$6*MIN(1,IF($L584="",0,$L584)/SETUP!$B$12)),1)))</f>
        <v>39.4</v>
      </c>
      <c r="O584" s="19" t="str">
        <f>IF($C584="","",IF($N584="","-",INDEX(SETUP!$B$46:$B$51,MATCH($N584,SETUP!$A$46:$A$51,1))))</f>
        <v>B</v>
      </c>
      <c r="P584" s="19">
        <f>IF($C584="","",IF($I584="","",RANK($I584,$I$4:$I$1463)+COUNTIF($I$4:$I584,$I584)-1))</f>
        <v>784</v>
      </c>
      <c r="Q584" s="19">
        <f>IF($C584="","",COUNTIFS($B$4:$B$1463,$B584,$X$4:$X$1463,"&gt;"&amp;$X584)+COUNTIFS($B$4:$B584,$B584,$X$4:$X584,"="&amp;$X584))</f>
        <v>79</v>
      </c>
      <c r="R584" s="75">
        <f>IF($C584="","",IF($I584="","",ROUND(COUNTIF($I$4:$I$1463,"&lt;"&amp;$I584)/COUNT($I$4:$I$1463),3)))</f>
        <v>0.40799999999999997</v>
      </c>
      <c r="S584" s="19" t="str">
        <f>IF($C584="","",IF($G584="","Name only",IF(OR($I584="",$L584=""),"Partial","Complete")))</f>
        <v>Complete</v>
      </c>
      <c r="T584" s="1" t="str">
        <f>IF($C584="","",TRIM(IF(COUNTIF($C$4:$C$1463,$C584)&gt;1,"Dup name; ","")&amp;IF(AND($G584&lt;&gt;"",$G584&lt;55000),"Low CR - verify; ","")&amp;IF(AND($L584&lt;&gt;"",$L584&gt;15),"Secondary - verify; ","")&amp;IF($E584="","No class; ","")))</f>
        <v/>
      </c>
      <c r="U584" s="68"/>
      <c r="V584" s="68"/>
      <c r="W584" s="68"/>
      <c r="X584" s="73">
        <f t="shared" si="47"/>
        <v>3311</v>
      </c>
      <c r="Y584" s="41" t="str">
        <f t="shared" si="48"/>
        <v>FUCT|79</v>
      </c>
      <c r="Z584" s="15">
        <f>IF($C584="","",IF($G584="","",RANK($G584,$G$4:$G$1463)+COUNTIF($G$4:$G584,$G584)-1))</f>
        <v>1049</v>
      </c>
      <c r="AA584" s="15">
        <f>IF($C584="","",IF($N584="","",RANK($N584,$N$4:$N$1463)+COUNTIF($N$4:$N584,$N584)-1))</f>
        <v>844</v>
      </c>
      <c r="AB584" s="41" t="str">
        <f>IF($C584="","",IF($E584="","",$E584&amp;"#"&amp;(COUNTIFS($E$4:$E$1463,$E584,$X$4:$X$1463,"&gt;"&amp;$X584)+COUNTIFS($E$4:$E584,$E584,$X$4:$X584,"="&amp;$X584))))</f>
        <v>WARLOCK#191</v>
      </c>
      <c r="AC584" s="41" t="str">
        <f>IF($C584="","",$B584&amp;"@"&amp;(COUNTIFS($B$4:$B$1463,$B584,$C$4:$C$1463,"&lt;"&amp;$C584)+COUNTIFS($B$4:$B584,$B584,$C$4:$C584,$C584)))</f>
        <v>FUCT@41</v>
      </c>
      <c r="AD584" s="41">
        <f t="shared" si="49"/>
        <v>581</v>
      </c>
      <c r="AE584" s="41" t="s">
        <v>1558</v>
      </c>
      <c r="AF584" s="73">
        <f t="shared" si="50"/>
        <v>61353</v>
      </c>
      <c r="AG584" s="74">
        <f t="shared" si="51"/>
        <v>4.96</v>
      </c>
      <c r="AH584" s="41" t="str">
        <f>IF($C584="","",$B584&amp;"|"&amp;(COUNTIFS($B$4:$B$1463,$B584,$AF$4:$AF$1463,"&gt;"&amp;$AF584)+COUNTIFS($B$4:$B584,$B584,$AF$4:$AF584,"="&amp;$AF584)))</f>
        <v>FUCT|93</v>
      </c>
      <c r="AI584" s="41" t="str">
        <f>IF($C584="","",$B584&amp;"|"&amp;(COUNTIFS($B$4:$B$1463,$B584,$AG$4:$AG$1463,"&gt;"&amp;$AG584)+COUNTIFS($B$4:$B584,$B584,$AG$4:$AG584,"="&amp;$AG584)))</f>
        <v>FUCT|49</v>
      </c>
    </row>
    <row r="585" spans="1:35">
      <c r="A585" s="69" t="s">
        <v>104</v>
      </c>
      <c r="B585" s="69" t="s">
        <v>66</v>
      </c>
      <c r="C585" s="63" t="s">
        <v>333</v>
      </c>
      <c r="D585" s="69"/>
      <c r="E585" s="68" t="s">
        <v>80</v>
      </c>
      <c r="F585" s="15" t="str">
        <f>IF($C585="","",IF($E585="","-",IFERROR(INDEX(SETUP!$B$55:$B$64,MATCH($E585,SETUP!$A$55:$A$64,0)),"Other")))</f>
        <v>Ranged DPS</v>
      </c>
      <c r="G585" s="70">
        <v>61194</v>
      </c>
      <c r="H585" s="15" t="str">
        <f>IF($C585="","",IF($G585="","-",INDEX(SETUP!$B$26:$B$32,MATCH($G585,SETUP!$A$26:$A$32,1))))</f>
        <v>61,000 - 61,999</v>
      </c>
      <c r="I585" s="70">
        <v>3182</v>
      </c>
      <c r="J585" s="15" t="str">
        <f>IF($C585="","",IF($I585="","-",INDEX(SETUP!$B$16:$B$22,MATCH($I585,SETUP!$A$16:$A$22,1))))</f>
        <v>DEVELOPING</v>
      </c>
      <c r="K585" s="15" t="str">
        <f>IF($C585="","",IF($I585="","-",TEXT(INT($I585/1000)*1000,"#,##0")&amp;" - "&amp;TEXT(INT($I585/1000)*1000+999,"#,##0")))</f>
        <v>3,000 - 3,999</v>
      </c>
      <c r="L585" s="71">
        <v>3.99</v>
      </c>
      <c r="M585" s="15" t="str">
        <f>IF($C585="","",IF($L585="","-",INDEX(SETUP!$B$36:$B$42,MATCH($L585,SETUP!$A$36:$A$42,1))))</f>
        <v>3k - 4k</v>
      </c>
      <c r="N585" s="17">
        <f>IF($C585="","",IF(OR($G585="",$I585=""),"",ROUND(100*(SETUP!$B$4*MIN(1,$I585/SETUP!$B$9)+SETUP!$B$5*MAX(0,MIN(1,($G585-SETUP!$B$10)/(SETUP!$B$11-SETUP!$B$10)))+SETUP!$B$6*MIN(1,IF($L585="",0,$L585)/SETUP!$B$12)),1)))</f>
        <v>36.799999999999997</v>
      </c>
      <c r="O585" s="15" t="str">
        <f>IF($C585="","",IF($N585="","-",INDEX(SETUP!$B$46:$B$51,MATCH($N585,SETUP!$A$46:$A$51,1))))</f>
        <v>B</v>
      </c>
      <c r="P585" s="15">
        <f>IF($C585="","",IF($I585="","",RANK($I585,$I$4:$I$1463)+COUNTIF($I$4:$I585,$I585)-1))</f>
        <v>825</v>
      </c>
      <c r="Q585" s="15">
        <f>IF($C585="","",COUNTIFS($B$4:$B$1463,$B585,$X$4:$X$1463,"&gt;"&amp;$X585)+COUNTIFS($B$4:$B585,$B585,$X$4:$X585,"="&amp;$X585))</f>
        <v>87</v>
      </c>
      <c r="R585" s="72">
        <f>IF($C585="","",IF($I585="","",ROUND(COUNTIF($I$4:$I$1463,"&lt;"&amp;$I585)/COUNT($I$4:$I$1463),3)))</f>
        <v>0.377</v>
      </c>
      <c r="S585" s="15" t="str">
        <f>IF($C585="","",IF($G585="","Name only",IF(OR($I585="",$L585=""),"Partial","Complete")))</f>
        <v>Complete</v>
      </c>
      <c r="T585" s="41" t="str">
        <f>IF($C585="","",TRIM(IF(COUNTIF($C$4:$C$1463,$C585)&gt;1,"Dup name; ","")&amp;IF(AND($G585&lt;&gt;"",$G585&lt;55000),"Low CR - verify; ","")&amp;IF(AND($L585&lt;&gt;"",$L585&gt;15),"Secondary - verify; ","")&amp;IF($E585="","No class; ","")))</f>
        <v/>
      </c>
      <c r="U585" s="68" t="s">
        <v>263</v>
      </c>
      <c r="V585" s="68" t="s">
        <v>66</v>
      </c>
      <c r="W585" s="68" t="s">
        <v>285</v>
      </c>
      <c r="X585" s="76">
        <f t="shared" si="47"/>
        <v>3182</v>
      </c>
      <c r="Y585" s="1" t="str">
        <f t="shared" si="48"/>
        <v>FUCT|87</v>
      </c>
      <c r="Z585" s="19">
        <f>IF($C585="","",IF($G585="","",RANK($G585,$G$4:$G$1463)+COUNTIF($G$4:$G585,$G585)-1))</f>
        <v>1091</v>
      </c>
      <c r="AA585" s="19">
        <f>IF($C585="","",IF($N585="","",RANK($N585,$N$4:$N$1463)+COUNTIF($N$4:$N585,$N585)-1))</f>
        <v>935</v>
      </c>
      <c r="AB585" s="1" t="str">
        <f>IF($C585="","",IF($E585="","",$E585&amp;"#"&amp;(COUNTIFS($E$4:$E$1463,$E585,$X$4:$X$1463,"&gt;"&amp;$X585)+COUNTIFS($E$4:$E585,$E585,$X$4:$X585,"="&amp;$X585))))</f>
        <v>WIZARD#61</v>
      </c>
      <c r="AC585" s="1" t="str">
        <f>IF($C585="","",$B585&amp;"@"&amp;(COUNTIFS($B$4:$B$1463,$B585,$C$4:$C$1463,"&lt;"&amp;$C585)+COUNTIFS($B$4:$B585,$B585,$C$4:$C585,$C585)))</f>
        <v>FUCT@42</v>
      </c>
      <c r="AD585" s="1">
        <f t="shared" si="49"/>
        <v>582</v>
      </c>
      <c r="AE585" s="1" t="s">
        <v>1559</v>
      </c>
      <c r="AF585" s="76">
        <f t="shared" si="50"/>
        <v>61194</v>
      </c>
      <c r="AG585" s="77">
        <f t="shared" si="51"/>
        <v>3.99</v>
      </c>
      <c r="AH585" s="1" t="str">
        <f>IF($C585="","",$B585&amp;"|"&amp;(COUNTIFS($B$4:$B$1463,$B585,$AF$4:$AF$1463,"&gt;"&amp;$AF585)+COUNTIFS($B$4:$B585,$B585,$AF$4:$AF585,"="&amp;$AF585)))</f>
        <v>FUCT|98</v>
      </c>
      <c r="AI585" s="1" t="str">
        <f>IF($C585="","",$B585&amp;"|"&amp;(COUNTIFS($B$4:$B$1463,$B585,$AG$4:$AG$1463,"&gt;"&amp;$AG585)+COUNTIFS($B$4:$B585,$B585,$AG$4:$AG585,"="&amp;$AG585)))</f>
        <v>FUCT|82</v>
      </c>
    </row>
    <row r="586" spans="1:35" hidden="1">
      <c r="A586" s="69" t="s">
        <v>109</v>
      </c>
      <c r="B586" s="69" t="s">
        <v>118</v>
      </c>
      <c r="C586" s="63" t="s">
        <v>1560</v>
      </c>
      <c r="D586" s="69"/>
      <c r="E586" s="68" t="s">
        <v>77</v>
      </c>
      <c r="F586" s="15" t="str">
        <f>IF($C586="","",IF($E586="","-",IFERROR(INDEX(SETUP!$B$55:$B$64,MATCH($E586,SETUP!$A$55:$A$64,0)),"Other")))</f>
        <v>Control</v>
      </c>
      <c r="G586" s="70">
        <v>62487</v>
      </c>
      <c r="H586" s="15" t="str">
        <f>IF($C586="","",IF($G586="","-",INDEX(SETUP!$B$26:$B$32,MATCH($G586,SETUP!$A$26:$A$32,1))))</f>
        <v>62,000 - 62,999</v>
      </c>
      <c r="I586" s="70">
        <v>1230</v>
      </c>
      <c r="J586" s="15" t="str">
        <f>IF($C586="","",IF($I586="","-",INDEX(SETUP!$B$16:$B$22,MATCH($I586,SETUP!$A$16:$A$22,1))))</f>
        <v>ROOKIE</v>
      </c>
      <c r="K586" s="15" t="str">
        <f>IF($C586="","",IF($I586="","-",TEXT(INT($I586/1000)*1000,"#,##0")&amp;" - "&amp;TEXT(INT($I586/1000)*1000+999,"#,##0")))</f>
        <v>1,000 - 1,999</v>
      </c>
      <c r="L586" s="71">
        <v>3.2</v>
      </c>
      <c r="M586" s="15" t="str">
        <f>IF($C586="","",IF($L586="","-",INDEX(SETUP!$B$36:$B$42,MATCH($L586,SETUP!$A$36:$A$42,1))))</f>
        <v>3k - 4k</v>
      </c>
      <c r="N586" s="17">
        <f>IF($C586="","",IF(OR($G586="",$I586=""),"",ROUND(100*(SETUP!$B$4*MIN(1,$I586/SETUP!$B$9)+SETUP!$B$5*MAX(0,MIN(1,($G586-SETUP!$B$10)/(SETUP!$B$11-SETUP!$B$10)))+SETUP!$B$6*MIN(1,IF($L586="",0,$L586)/SETUP!$B$12)),1)))</f>
        <v>30.4</v>
      </c>
      <c r="O586" s="15" t="str">
        <f>IF($C586="","",IF($N586="","-",INDEX(SETUP!$B$46:$B$51,MATCH($N586,SETUP!$A$46:$A$51,1))))</f>
        <v>C</v>
      </c>
      <c r="P586" s="15">
        <f>IF($C586="","",IF($I586="","",RANK($I586,$I$4:$I$1463)+COUNTIF($I$4:$I586,$I586)-1))</f>
        <v>1239</v>
      </c>
      <c r="Q586" s="15">
        <f>IF($C586="","",COUNTIFS($B$4:$B$1463,$B586,$X$4:$X$1463,"&gt;"&amp;$X586)+COUNTIFS($B$4:$B586,$B586,$X$4:$X586,"="&amp;$X586))</f>
        <v>70</v>
      </c>
      <c r="R586" s="72">
        <f>IF($C586="","",IF($I586="","",ROUND(COUNTIF($I$4:$I$1463,"&lt;"&amp;$I586)/COUNT($I$4:$I$1463),3)))</f>
        <v>6.4000000000000001E-2</v>
      </c>
      <c r="S586" s="15" t="str">
        <f>IF($C586="","",IF($G586="","Name only",IF(OR($I586="",$L586=""),"Partial","Complete")))</f>
        <v>Complete</v>
      </c>
      <c r="T586" s="41" t="str">
        <f>IF($C586="","",TRIM(IF(COUNTIF($C$4:$C$1463,$C586)&gt;1,"Dup name; ","")&amp;IF(AND($G586&lt;&gt;"",$G586&lt;55000),"Low CR - verify; ","")&amp;IF(AND($L586&lt;&gt;"",$L586&gt;15),"Secondary - verify; ","")&amp;IF($E586="","No class; ","")))</f>
        <v/>
      </c>
      <c r="U586" s="68"/>
      <c r="V586" s="68"/>
      <c r="W586" s="68"/>
      <c r="X586" s="73">
        <f t="shared" si="47"/>
        <v>1230</v>
      </c>
      <c r="Y586" s="41" t="str">
        <f t="shared" si="48"/>
        <v>ZOMBIES|70</v>
      </c>
      <c r="Z586" s="15">
        <f>IF($C586="","",IF($G586="","",RANK($G586,$G$4:$G$1463)+COUNTIF($G$4:$G586,$G586)-1))</f>
        <v>658</v>
      </c>
      <c r="AA586" s="15">
        <f>IF($C586="","",IF($N586="","",RANK($N586,$N$4:$N$1463)+COUNTIF($N$4:$N586,$N586)-1))</f>
        <v>1141</v>
      </c>
      <c r="AB586" s="41" t="str">
        <f>IF($C586="","",IF($E586="","",$E586&amp;"#"&amp;(COUNTIFS($E$4:$E$1463,$E586,$X$4:$X$1463,"&gt;"&amp;$X586)+COUNTIFS($E$4:$E586,$E586,$X$4:$X586,"="&amp;$X586))))</f>
        <v>NECROMANCER#96</v>
      </c>
      <c r="AC586" s="41" t="str">
        <f>IF($C586="","",$B586&amp;"@"&amp;(COUNTIFS($B$4:$B$1463,$B586,$C$4:$C$1463,"&lt;"&amp;$C586)+COUNTIFS($B$4:$B586,$B586,$C$4:$C586,$C586)))</f>
        <v>ZOMBIES@46</v>
      </c>
      <c r="AD586" s="41">
        <f t="shared" si="49"/>
        <v>583</v>
      </c>
      <c r="AE586" s="41" t="s">
        <v>1160</v>
      </c>
      <c r="AF586" s="73">
        <f t="shared" si="50"/>
        <v>62487</v>
      </c>
      <c r="AG586" s="74">
        <f t="shared" si="51"/>
        <v>3.2</v>
      </c>
      <c r="AH586" s="41" t="str">
        <f>IF($C586="","",$B586&amp;"|"&amp;(COUNTIFS($B$4:$B$1463,$B586,$AF$4:$AF$1463,"&gt;"&amp;$AF586)+COUNTIFS($B$4:$B586,$B586,$AF$4:$AF586,"="&amp;$AF586)))</f>
        <v>ZOMBIES|15</v>
      </c>
      <c r="AI586" s="41" t="str">
        <f>IF($C586="","",$B586&amp;"|"&amp;(COUNTIFS($B$4:$B$1463,$B586,$AG$4:$AG$1463,"&gt;"&amp;$AG586)+COUNTIFS($B$4:$B586,$B586,$AG$4:$AG586,"="&amp;$AG586)))</f>
        <v>ZOMBIES|60</v>
      </c>
    </row>
    <row r="587" spans="1:35" hidden="1">
      <c r="A587" s="69" t="s">
        <v>106</v>
      </c>
      <c r="B587" s="69" t="s">
        <v>105</v>
      </c>
      <c r="C587" s="63" t="s">
        <v>1561</v>
      </c>
      <c r="D587" s="69"/>
      <c r="E587" s="68" t="s">
        <v>73</v>
      </c>
      <c r="F587" s="19" t="str">
        <f>IF($C587="","",IF($E587="","-",IFERROR(INDEX(SETUP!$B$55:$B$64,MATCH($E587,SETUP!$A$55:$A$64,0)),"Other")))</f>
        <v>Frontline</v>
      </c>
      <c r="G587" s="70">
        <v>62957</v>
      </c>
      <c r="H587" s="19" t="str">
        <f>IF($C587="","",IF($G587="","-",INDEX(SETUP!$B$26:$B$32,MATCH($G587,SETUP!$A$26:$A$32,1))))</f>
        <v>62,000 - 62,999</v>
      </c>
      <c r="I587" s="70">
        <v>6026</v>
      </c>
      <c r="J587" s="19" t="str">
        <f>IF($C587="","",IF($I587="","-",INDEX(SETUP!$B$16:$B$22,MATCH($I587,SETUP!$A$16:$A$22,1))))</f>
        <v>VETERAN</v>
      </c>
      <c r="K587" s="19" t="str">
        <f>IF($C587="","",IF($I587="","-",TEXT(INT($I587/1000)*1000,"#,##0")&amp;" - "&amp;TEXT(INT($I587/1000)*1000+999,"#,##0")))</f>
        <v>6,000 - 6,999</v>
      </c>
      <c r="L587" s="71">
        <v>4.51</v>
      </c>
      <c r="M587" s="19" t="str">
        <f>IF($C587="","",IF($L587="","-",INDEX(SETUP!$B$36:$B$42,MATCH($L587,SETUP!$A$36:$A$42,1))))</f>
        <v>4k - 5k</v>
      </c>
      <c r="N587" s="21">
        <f>IF($C587="","",IF(OR($G587="",$I587=""),"",ROUND(100*(SETUP!$B$4*MIN(1,$I587/SETUP!$B$9)+SETUP!$B$5*MAX(0,MIN(1,($G587-SETUP!$B$10)/(SETUP!$B$11-SETUP!$B$10)))+SETUP!$B$6*MIN(1,IF($L587="",0,$L587)/SETUP!$B$12)),1)))</f>
        <v>54.8</v>
      </c>
      <c r="O587" s="19" t="str">
        <f>IF($C587="","",IF($N587="","-",INDEX(SETUP!$B$46:$B$51,MATCH($N587,SETUP!$A$46:$A$51,1))))</f>
        <v>A</v>
      </c>
      <c r="P587" s="19">
        <f>IF($C587="","",IF($I587="","",RANK($I587,$I$4:$I$1463)+COUNTIF($I$4:$I587,$I587)-1))</f>
        <v>285</v>
      </c>
      <c r="Q587" s="19">
        <f>IF($C587="","",COUNTIFS($B$4:$B$1463,$B587,$X$4:$X$1463,"&gt;"&amp;$X587)+COUNTIFS($B$4:$B587,$B587,$X$4:$X587,"="&amp;$X587))</f>
        <v>30</v>
      </c>
      <c r="R587" s="75">
        <f>IF($C587="","",IF($I587="","",ROUND(COUNTIF($I$4:$I$1463,"&lt;"&amp;$I587)/COUNT($I$4:$I$1463),3)))</f>
        <v>0.78500000000000003</v>
      </c>
      <c r="S587" s="19" t="str">
        <f>IF($C587="","",IF($G587="","Name only",IF(OR($I587="",$L587=""),"Partial","Complete")))</f>
        <v>Complete</v>
      </c>
      <c r="T587" s="1" t="str">
        <f>IF($C587="","",TRIM(IF(COUNTIF($C$4:$C$1463,$C587)&gt;1,"Dup name; ","")&amp;IF(AND($G587&lt;&gt;"",$G587&lt;55000),"Low CR - verify; ","")&amp;IF(AND($L587&lt;&gt;"",$L587&gt;15),"Secondary - verify; ","")&amp;IF($E587="","No class; ","")))</f>
        <v/>
      </c>
      <c r="U587" s="68"/>
      <c r="V587" s="68"/>
      <c r="W587" s="68"/>
      <c r="X587" s="76">
        <f t="shared" si="47"/>
        <v>6026</v>
      </c>
      <c r="Y587" s="1" t="str">
        <f t="shared" si="48"/>
        <v>LEGENDS|30</v>
      </c>
      <c r="Z587" s="19">
        <f>IF($C587="","",IF($G587="","",RANK($G587,$G$4:$G$1463)+COUNTIF($G$4:$G587,$G587)-1))</f>
        <v>445</v>
      </c>
      <c r="AA587" s="19">
        <f>IF($C587="","",IF($N587="","",RANK($N587,$N$4:$N$1463)+COUNTIF($N$4:$N587,$N587)-1))</f>
        <v>321</v>
      </c>
      <c r="AB587" s="1" t="str">
        <f>IF($C587="","",IF($E587="","",$E587&amp;"#"&amp;(COUNTIFS($E$4:$E$1463,$E587,$X$4:$X$1463,"&gt;"&amp;$X587)+COUNTIFS($E$4:$E587,$E587,$X$4:$X587,"="&amp;$X587))))</f>
        <v>CRUSADER#41</v>
      </c>
      <c r="AC587" s="1" t="str">
        <f>IF($C587="","",$B587&amp;"@"&amp;(COUNTIFS($B$4:$B$1463,$B587,$C$4:$C$1463,"&lt;"&amp;$C587)+COUNTIFS($B$4:$B587,$B587,$C$4:$C587,$C587)))</f>
        <v>LEGENDS@56</v>
      </c>
      <c r="AD587" s="1">
        <f t="shared" si="49"/>
        <v>584</v>
      </c>
      <c r="AE587" s="1" t="s">
        <v>1562</v>
      </c>
      <c r="AF587" s="76">
        <f t="shared" si="50"/>
        <v>62957</v>
      </c>
      <c r="AG587" s="77">
        <f t="shared" si="51"/>
        <v>4.51</v>
      </c>
      <c r="AH587" s="1" t="str">
        <f>IF($C587="","",$B587&amp;"|"&amp;(COUNTIFS($B$4:$B$1463,$B587,$AF$4:$AF$1463,"&gt;"&amp;$AF587)+COUNTIFS($B$4:$B587,$B587,$AF$4:$AF587,"="&amp;$AF587)))</f>
        <v>LEGENDS|54</v>
      </c>
      <c r="AI587" s="1" t="str">
        <f>IF($C587="","",$B587&amp;"|"&amp;(COUNTIFS($B$4:$B$1463,$B587,$AG$4:$AG$1463,"&gt;"&amp;$AG587)+COUNTIFS($B$4:$B587,$B587,$AG$4:$AG587,"="&amp;$AG587)))</f>
        <v>LEGENDS|78</v>
      </c>
    </row>
    <row r="588" spans="1:35" hidden="1">
      <c r="A588" s="69" t="s">
        <v>106</v>
      </c>
      <c r="B588" s="69" t="s">
        <v>107</v>
      </c>
      <c r="C588" s="63" t="s">
        <v>1563</v>
      </c>
      <c r="D588" s="69"/>
      <c r="E588" s="68" t="s">
        <v>73</v>
      </c>
      <c r="F588" s="15" t="str">
        <f>IF($C588="","",IF($E588="","-",IFERROR(INDEX(SETUP!$B$55:$B$64,MATCH($E588,SETUP!$A$55:$A$64,0)),"Other")))</f>
        <v>Frontline</v>
      </c>
      <c r="G588" s="70">
        <v>63276</v>
      </c>
      <c r="H588" s="15" t="str">
        <f>IF($C588="","",IF($G588="","-",INDEX(SETUP!$B$26:$B$32,MATCH($G588,SETUP!$A$26:$A$32,1))))</f>
        <v>63,000 - 63,999</v>
      </c>
      <c r="I588" s="70">
        <v>4037</v>
      </c>
      <c r="J588" s="15" t="str">
        <f>IF($C588="","",IF($I588="","-",INDEX(SETUP!$B$16:$B$22,MATCH($I588,SETUP!$A$16:$A$22,1))))</f>
        <v>CORE</v>
      </c>
      <c r="K588" s="15" t="str">
        <f>IF($C588="","",IF($I588="","-",TEXT(INT($I588/1000)*1000,"#,##0")&amp;" - "&amp;TEXT(INT($I588/1000)*1000+999,"#,##0")))</f>
        <v>4,000 - 4,999</v>
      </c>
      <c r="L588" s="71">
        <v>4.8</v>
      </c>
      <c r="M588" s="15" t="str">
        <f>IF($C588="","",IF($L588="","-",INDEX(SETUP!$B$36:$B$42,MATCH($L588,SETUP!$A$36:$A$42,1))))</f>
        <v>4k - 5k</v>
      </c>
      <c r="N588" s="17">
        <f>IF($C588="","",IF(OR($G588="",$I588=""),"",ROUND(100*(SETUP!$B$4*MIN(1,$I588/SETUP!$B$9)+SETUP!$B$5*MAX(0,MIN(1,($G588-SETUP!$B$10)/(SETUP!$B$11-SETUP!$B$10)))+SETUP!$B$6*MIN(1,IF($L588="",0,$L588)/SETUP!$B$12)),1)))</f>
        <v>47.4</v>
      </c>
      <c r="O588" s="15" t="str">
        <f>IF($C588="","",IF($N588="","-",INDEX(SETUP!$B$46:$B$51,MATCH($N588,SETUP!$A$46:$A$51,1))))</f>
        <v>B</v>
      </c>
      <c r="P588" s="15">
        <f>IF($C588="","",IF($I588="","",RANK($I588,$I$4:$I$1463)+COUNTIF($I$4:$I588,$I588)-1))</f>
        <v>591</v>
      </c>
      <c r="Q588" s="15">
        <f>IF($C588="","",COUNTIFS($B$4:$B$1463,$B588,$X$4:$X$1463,"&gt;"&amp;$X588)+COUNTIFS($B$4:$B588,$B588,$X$4:$X588,"="&amp;$X588))</f>
        <v>51</v>
      </c>
      <c r="R588" s="72">
        <f>IF($C588="","",IF($I588="","",ROUND(COUNTIF($I$4:$I$1463,"&lt;"&amp;$I588)/COUNT($I$4:$I$1463),3)))</f>
        <v>0.55400000000000005</v>
      </c>
      <c r="S588" s="15" t="str">
        <f>IF($C588="","",IF($G588="","Name only",IF(OR($I588="",$L588=""),"Partial","Complete")))</f>
        <v>Complete</v>
      </c>
      <c r="T588" s="41" t="str">
        <f>IF($C588="","",TRIM(IF(COUNTIF($C$4:$C$1463,$C588)&gt;1,"Dup name; ","")&amp;IF(AND($G588&lt;&gt;"",$G588&lt;55000),"Low CR - verify; ","")&amp;IF(AND($L588&lt;&gt;"",$L588&gt;15),"Secondary - verify; ","")&amp;IF($E588="","No class; ","")))</f>
        <v/>
      </c>
      <c r="U588" s="68"/>
      <c r="V588" s="68"/>
      <c r="W588" s="68"/>
      <c r="X588" s="73">
        <f t="shared" si="47"/>
        <v>4037</v>
      </c>
      <c r="Y588" s="41" t="str">
        <f t="shared" si="48"/>
        <v>UNDYING|51</v>
      </c>
      <c r="Z588" s="15">
        <f>IF($C588="","",IF($G588="","",RANK($G588,$G$4:$G$1463)+COUNTIF($G$4:$G588,$G588)-1))</f>
        <v>273</v>
      </c>
      <c r="AA588" s="15">
        <f>IF($C588="","",IF($N588="","",RANK($N588,$N$4:$N$1463)+COUNTIF($N$4:$N588,$N588)-1))</f>
        <v>538</v>
      </c>
      <c r="AB588" s="41" t="str">
        <f>IF($C588="","",IF($E588="","",$E588&amp;"#"&amp;(COUNTIFS($E$4:$E$1463,$E588,$X$4:$X$1463,"&gt;"&amp;$X588)+COUNTIFS($E$4:$E588,$E588,$X$4:$X588,"="&amp;$X588))))</f>
        <v>CRUSADER#72</v>
      </c>
      <c r="AC588" s="41" t="str">
        <f>IF($C588="","",$B588&amp;"@"&amp;(COUNTIFS($B$4:$B$1463,$B588,$C$4:$C$1463,"&lt;"&amp;$C588)+COUNTIFS($B$4:$B588,$B588,$C$4:$C588,$C588)))</f>
        <v>UNDYING@49</v>
      </c>
      <c r="AD588" s="41">
        <f t="shared" si="49"/>
        <v>585</v>
      </c>
      <c r="AE588" s="41" t="s">
        <v>986</v>
      </c>
      <c r="AF588" s="73">
        <f t="shared" si="50"/>
        <v>63276</v>
      </c>
      <c r="AG588" s="74">
        <f t="shared" si="51"/>
        <v>4.8</v>
      </c>
      <c r="AH588" s="41" t="str">
        <f>IF($C588="","",$B588&amp;"|"&amp;(COUNTIFS($B$4:$B$1463,$B588,$AF$4:$AF$1463,"&gt;"&amp;$AF588)+COUNTIFS($B$4:$B588,$B588,$AF$4:$AF588,"="&amp;$AF588)))</f>
        <v>UNDYING|24</v>
      </c>
      <c r="AI588" s="41" t="str">
        <f>IF($C588="","",$B588&amp;"|"&amp;(COUNTIFS($B$4:$B$1463,$B588,$AG$4:$AG$1463,"&gt;"&amp;$AG588)+COUNTIFS($B$4:$B588,$B588,$AG$4:$AG588,"="&amp;$AG588)))</f>
        <v>UNDYING|59</v>
      </c>
    </row>
    <row r="589" spans="1:35" hidden="1">
      <c r="A589" s="69" t="s">
        <v>109</v>
      </c>
      <c r="B589" s="69" t="s">
        <v>113</v>
      </c>
      <c r="C589" s="63" t="s">
        <v>1564</v>
      </c>
      <c r="D589" s="69" t="s">
        <v>548</v>
      </c>
      <c r="E589" s="68" t="s">
        <v>80</v>
      </c>
      <c r="F589" s="19" t="str">
        <f>IF($C589="","",IF($E589="","-",IFERROR(INDEX(SETUP!$B$55:$B$64,MATCH($E589,SETUP!$A$55:$A$64,0)),"Other")))</f>
        <v>Ranged DPS</v>
      </c>
      <c r="G589" s="70">
        <v>62548</v>
      </c>
      <c r="H589" s="19" t="str">
        <f>IF($C589="","",IF($G589="","-",INDEX(SETUP!$B$26:$B$32,MATCH($G589,SETUP!$A$26:$A$32,1))))</f>
        <v>62,000 - 62,999</v>
      </c>
      <c r="I589" s="70">
        <v>3492</v>
      </c>
      <c r="J589" s="19" t="str">
        <f>IF($C589="","",IF($I589="","-",INDEX(SETUP!$B$16:$B$22,MATCH($I589,SETUP!$A$16:$A$22,1))))</f>
        <v>DEVELOPING</v>
      </c>
      <c r="K589" s="19" t="str">
        <f>IF($C589="","",IF($I589="","-",TEXT(INT($I589/1000)*1000,"#,##0")&amp;" - "&amp;TEXT(INT($I589/1000)*1000+999,"#,##0")))</f>
        <v>3,000 - 3,999</v>
      </c>
      <c r="L589" s="71">
        <v>4.8</v>
      </c>
      <c r="M589" s="19" t="str">
        <f>IF($C589="","",IF($L589="","-",INDEX(SETUP!$B$36:$B$42,MATCH($L589,SETUP!$A$36:$A$42,1))))</f>
        <v>4k - 5k</v>
      </c>
      <c r="N589" s="21">
        <f>IF($C589="","",IF(OR($G589="",$I589=""),"",ROUND(100*(SETUP!$B$4*MIN(1,$I589/SETUP!$B$9)+SETUP!$B$5*MAX(0,MIN(1,($G589-SETUP!$B$10)/(SETUP!$B$11-SETUP!$B$10)))+SETUP!$B$6*MIN(1,IF($L589="",0,$L589)/SETUP!$B$12)),1)))</f>
        <v>43.1</v>
      </c>
      <c r="O589" s="19" t="str">
        <f>IF($C589="","",IF($N589="","-",INDEX(SETUP!$B$46:$B$51,MATCH($N589,SETUP!$A$46:$A$51,1))))</f>
        <v>B</v>
      </c>
      <c r="P589" s="19">
        <f>IF($C589="","",IF($I589="","",RANK($I589,$I$4:$I$1463)+COUNTIF($I$4:$I589,$I589)-1))</f>
        <v>734</v>
      </c>
      <c r="Q589" s="19">
        <f>IF($C589="","",COUNTIFS($B$4:$B$1463,$B589,$X$4:$X$1463,"&gt;"&amp;$X589)+COUNTIFS($B$4:$B589,$B589,$X$4:$X589,"="&amp;$X589))</f>
        <v>36</v>
      </c>
      <c r="R589" s="75">
        <f>IF($C589="","",IF($I589="","",ROUND(COUNTIF($I$4:$I$1463,"&lt;"&amp;$I589)/COUNT($I$4:$I$1463),3)))</f>
        <v>0.44600000000000001</v>
      </c>
      <c r="S589" s="19" t="str">
        <f>IF($C589="","",IF($G589="","Name only",IF(OR($I589="",$L589=""),"Partial","Complete")))</f>
        <v>Complete</v>
      </c>
      <c r="T589" s="1" t="str">
        <f>IF($C589="","",TRIM(IF(COUNTIF($C$4:$C$1463,$C589)&gt;1,"Dup name; ","")&amp;IF(AND($G589&lt;&gt;"",$G589&lt;55000),"Low CR - verify; ","")&amp;IF(AND($L589&lt;&gt;"",$L589&gt;15),"Secondary - verify; ","")&amp;IF($E589="","No class; ","")))</f>
        <v/>
      </c>
      <c r="U589" s="68"/>
      <c r="V589" s="68"/>
      <c r="W589" s="68"/>
      <c r="X589" s="76">
        <f t="shared" si="47"/>
        <v>3492</v>
      </c>
      <c r="Y589" s="1" t="str">
        <f t="shared" si="48"/>
        <v>INVICTUS|36</v>
      </c>
      <c r="Z589" s="19">
        <f>IF($C589="","",IF($G589="","",RANK($G589,$G$4:$G$1463)+COUNTIF($G$4:$G589,$G589)-1))</f>
        <v>634</v>
      </c>
      <c r="AA589" s="19">
        <f>IF($C589="","",IF($N589="","",RANK($N589,$N$4:$N$1463)+COUNTIF($N$4:$N589,$N589)-1))</f>
        <v>700</v>
      </c>
      <c r="AB589" s="1" t="str">
        <f>IF($C589="","",IF($E589="","",$E589&amp;"#"&amp;(COUNTIFS($E$4:$E$1463,$E589,$X$4:$X$1463,"&gt;"&amp;$X589)+COUNTIFS($E$4:$E589,$E589,$X$4:$X589,"="&amp;$X589))))</f>
        <v>WIZARD#56</v>
      </c>
      <c r="AC589" s="1" t="str">
        <f>IF($C589="","",$B589&amp;"@"&amp;(COUNTIFS($B$4:$B$1463,$B589,$C$4:$C$1463,"&lt;"&amp;$C589)+COUNTIFS($B$4:$B589,$B589,$C$4:$C589,$C589)))</f>
        <v>INVICTUS@36</v>
      </c>
      <c r="AD589" s="1">
        <f t="shared" si="49"/>
        <v>586</v>
      </c>
      <c r="AE589" s="1" t="s">
        <v>1565</v>
      </c>
      <c r="AF589" s="76">
        <f t="shared" si="50"/>
        <v>62548</v>
      </c>
      <c r="AG589" s="77">
        <f t="shared" si="51"/>
        <v>4.8</v>
      </c>
      <c r="AH589" s="1" t="str">
        <f>IF($C589="","",$B589&amp;"|"&amp;(COUNTIFS($B$4:$B$1463,$B589,$AF$4:$AF$1463,"&gt;"&amp;$AF589)+COUNTIFS($B$4:$B589,$B589,$AF$4:$AF589,"="&amp;$AF589)))</f>
        <v>INVICTUS|38</v>
      </c>
      <c r="AI589" s="1" t="str">
        <f>IF($C589="","",$B589&amp;"|"&amp;(COUNTIFS($B$4:$B$1463,$B589,$AG$4:$AG$1463,"&gt;"&amp;$AG589)+COUNTIFS($B$4:$B589,$B589,$AG$4:$AG589,"="&amp;$AG589)))</f>
        <v>INVICTUS|38</v>
      </c>
    </row>
    <row r="590" spans="1:35" hidden="1">
      <c r="A590" s="69" t="s">
        <v>109</v>
      </c>
      <c r="B590" s="69" t="s">
        <v>110</v>
      </c>
      <c r="C590" s="63" t="s">
        <v>1566</v>
      </c>
      <c r="D590" s="69" t="s">
        <v>604</v>
      </c>
      <c r="E590" s="68" t="s">
        <v>74</v>
      </c>
      <c r="F590" s="15" t="str">
        <f>IF($C590="","",IF($E590="","-",IFERROR(INDEX(SETUP!$B$55:$B$64,MATCH($E590,SETUP!$A$55:$A$64,0)),"Other")))</f>
        <v>Ranged DPS</v>
      </c>
      <c r="G590" s="70">
        <v>62262</v>
      </c>
      <c r="H590" s="15" t="str">
        <f>IF($C590="","",IF($G590="","-",INDEX(SETUP!$B$26:$B$32,MATCH($G590,SETUP!$A$26:$A$32,1))))</f>
        <v>62,000 - 62,999</v>
      </c>
      <c r="I590" s="70">
        <v>4939</v>
      </c>
      <c r="J590" s="15" t="str">
        <f>IF($C590="","",IF($I590="","-",INDEX(SETUP!$B$16:$B$22,MATCH($I590,SETUP!$A$16:$A$22,1))))</f>
        <v>CORE</v>
      </c>
      <c r="K590" s="15" t="str">
        <f>IF($C590="","",IF($I590="","-",TEXT(INT($I590/1000)*1000,"#,##0")&amp;" - "&amp;TEXT(INT($I590/1000)*1000+999,"#,##0")))</f>
        <v>4,000 - 4,999</v>
      </c>
      <c r="L590" s="71">
        <v>4.4000000000000004</v>
      </c>
      <c r="M590" s="15" t="str">
        <f>IF($C590="","",IF($L590="","-",INDEX(SETUP!$B$36:$B$42,MATCH($L590,SETUP!$A$36:$A$42,1))))</f>
        <v>4k - 5k</v>
      </c>
      <c r="N590" s="17">
        <f>IF($C590="","",IF(OR($G590="",$I590=""),"",ROUND(100*(SETUP!$B$4*MIN(1,$I590/SETUP!$B$9)+SETUP!$B$5*MAX(0,MIN(1,($G590-SETUP!$B$10)/(SETUP!$B$11-SETUP!$B$10)))+SETUP!$B$6*MIN(1,IF($L590="",0,$L590)/SETUP!$B$12)),1)))</f>
        <v>48</v>
      </c>
      <c r="O590" s="15" t="str">
        <f>IF($C590="","",IF($N590="","-",INDEX(SETUP!$B$46:$B$51,MATCH($N590,SETUP!$A$46:$A$51,1))))</f>
        <v>B</v>
      </c>
      <c r="P590" s="15">
        <f>IF($C590="","",IF($I590="","",RANK($I590,$I$4:$I$1463)+COUNTIF($I$4:$I590,$I590)-1))</f>
        <v>424</v>
      </c>
      <c r="Q590" s="15">
        <f>IF($C590="","",COUNTIFS($B$4:$B$1463,$B590,$X$4:$X$1463,"&gt;"&amp;$X590)+COUNTIFS($B$4:$B590,$B590,$X$4:$X590,"="&amp;$X590))</f>
        <v>51</v>
      </c>
      <c r="R590" s="72">
        <f>IF($C590="","",IF($I590="","",ROUND(COUNTIF($I$4:$I$1463,"&lt;"&amp;$I590)/COUNT($I$4:$I$1463),3)))</f>
        <v>0.67900000000000005</v>
      </c>
      <c r="S590" s="15" t="str">
        <f>IF($C590="","",IF($G590="","Name only",IF(OR($I590="",$L590=""),"Partial","Complete")))</f>
        <v>Complete</v>
      </c>
      <c r="T590" s="41" t="str">
        <f>IF($C590="","",TRIM(IF(COUNTIF($C$4:$C$1463,$C590)&gt;1,"Dup name; ","")&amp;IF(AND($G590&lt;&gt;"",$G590&lt;55000),"Low CR - verify; ","")&amp;IF(AND($L590&lt;&gt;"",$L590&gt;15),"Secondary - verify; ","")&amp;IF($E590="","No class; ","")))</f>
        <v/>
      </c>
      <c r="U590" s="68"/>
      <c r="V590" s="68"/>
      <c r="W590" s="68"/>
      <c r="X590" s="73">
        <f t="shared" si="47"/>
        <v>4939</v>
      </c>
      <c r="Y590" s="41" t="str">
        <f t="shared" si="48"/>
        <v>AZUKI|51</v>
      </c>
      <c r="Z590" s="15">
        <f>IF($C590="","",IF($G590="","",RANK($G590,$G$4:$G$1463)+COUNTIF($G$4:$G590,$G590)-1))</f>
        <v>740</v>
      </c>
      <c r="AA590" s="15">
        <f>IF($C590="","",IF($N590="","",RANK($N590,$N$4:$N$1463)+COUNTIF($N$4:$N590,$N590)-1))</f>
        <v>517</v>
      </c>
      <c r="AB590" s="41" t="str">
        <f>IF($C590="","",IF($E590="","",$E590&amp;"#"&amp;(COUNTIFS($E$4:$E$1463,$E590,$X$4:$X$1463,"&gt;"&amp;$X590)+COUNTIFS($E$4:$E590,$E590,$X$4:$X590,"="&amp;$X590))))</f>
        <v>DEMON HUNTER#70</v>
      </c>
      <c r="AC590" s="41" t="str">
        <f>IF($C590="","",$B590&amp;"@"&amp;(COUNTIFS($B$4:$B$1463,$B590,$C$4:$C$1463,"&lt;"&amp;$C590)+COUNTIFS($B$4:$B590,$B590,$C$4:$C590,$C590)))</f>
        <v>AZUKI@52</v>
      </c>
      <c r="AD590" s="41">
        <f t="shared" si="49"/>
        <v>587</v>
      </c>
      <c r="AE590" s="41" t="s">
        <v>1567</v>
      </c>
      <c r="AF590" s="73">
        <f t="shared" si="50"/>
        <v>62262</v>
      </c>
      <c r="AG590" s="74">
        <f t="shared" si="51"/>
        <v>4.4000000000000004</v>
      </c>
      <c r="AH590" s="41" t="str">
        <f>IF($C590="","",$B590&amp;"|"&amp;(COUNTIFS($B$4:$B$1463,$B590,$AF$4:$AF$1463,"&gt;"&amp;$AF590)+COUNTIFS($B$4:$B590,$B590,$AF$4:$AF590,"="&amp;$AF590)))</f>
        <v>AZUKI|65</v>
      </c>
      <c r="AI590" s="41" t="str">
        <f>IF($C590="","",$B590&amp;"|"&amp;(COUNTIFS($B$4:$B$1463,$B590,$AG$4:$AG$1463,"&gt;"&amp;$AG590)+COUNTIFS($B$4:$B590,$B590,$AG$4:$AG590,"="&amp;$AG590)))</f>
        <v>AZUKI|83</v>
      </c>
    </row>
    <row r="591" spans="1:35" hidden="1">
      <c r="A591" s="69" t="s">
        <v>109</v>
      </c>
      <c r="B591" s="69" t="s">
        <v>118</v>
      </c>
      <c r="C591" s="63" t="s">
        <v>1568</v>
      </c>
      <c r="D591" s="69"/>
      <c r="E591" s="68" t="s">
        <v>71</v>
      </c>
      <c r="F591" s="19" t="str">
        <f>IF($C591="","",IF($E591="","-",IFERROR(INDEX(SETUP!$B$55:$B$64,MATCH($E591,SETUP!$A$55:$A$64,0)),"Other")))</f>
        <v>Frontline</v>
      </c>
      <c r="G591" s="70">
        <v>60011</v>
      </c>
      <c r="H591" s="19" t="str">
        <f>IF($C591="","",IF($G591="","-",INDEX(SETUP!$B$26:$B$32,MATCH($G591,SETUP!$A$26:$A$32,1))))</f>
        <v>60,000 - 60,999</v>
      </c>
      <c r="I591" s="70">
        <v>1310</v>
      </c>
      <c r="J591" s="19" t="str">
        <f>IF($C591="","",IF($I591="","-",INDEX(SETUP!$B$16:$B$22,MATCH($I591,SETUP!$A$16:$A$22,1))))</f>
        <v>ROOKIE</v>
      </c>
      <c r="K591" s="19" t="str">
        <f>IF($C591="","",IF($I591="","-",TEXT(INT($I591/1000)*1000,"#,##0")&amp;" - "&amp;TEXT(INT($I591/1000)*1000+999,"#,##0")))</f>
        <v>1,000 - 1,999</v>
      </c>
      <c r="L591" s="71">
        <v>2.8</v>
      </c>
      <c r="M591" s="19" t="str">
        <f>IF($C591="","",IF($L591="","-",INDEX(SETUP!$B$36:$B$42,MATCH($L591,SETUP!$A$36:$A$42,1))))</f>
        <v>Under 3k</v>
      </c>
      <c r="N591" s="21">
        <f>IF($C591="","",IF(OR($G591="",$I591=""),"",ROUND(100*(SETUP!$B$4*MIN(1,$I591/SETUP!$B$9)+SETUP!$B$5*MAX(0,MIN(1,($G591-SETUP!$B$10)/(SETUP!$B$11-SETUP!$B$10)))+SETUP!$B$6*MIN(1,IF($L591="",0,$L591)/SETUP!$B$12)),1)))</f>
        <v>23.6</v>
      </c>
      <c r="O591" s="19" t="str">
        <f>IF($C591="","",IF($N591="","-",INDEX(SETUP!$B$46:$B$51,MATCH($N591,SETUP!$A$46:$A$51,1))))</f>
        <v>C</v>
      </c>
      <c r="P591" s="19">
        <f>IF($C591="","",IF($I591="","",RANK($I591,$I$4:$I$1463)+COUNTIF($I$4:$I591,$I591)-1))</f>
        <v>1227</v>
      </c>
      <c r="Q591" s="19">
        <f>IF($C591="","",COUNTIFS($B$4:$B$1463,$B591,$X$4:$X$1463,"&gt;"&amp;$X591)+COUNTIFS($B$4:$B591,$B591,$X$4:$X591,"="&amp;$X591))</f>
        <v>68</v>
      </c>
      <c r="R591" s="75">
        <f>IF($C591="","",IF($I591="","",ROUND(COUNTIF($I$4:$I$1463,"&lt;"&amp;$I591)/COUNT($I$4:$I$1463),3)))</f>
        <v>7.2999999999999995E-2</v>
      </c>
      <c r="S591" s="19" t="str">
        <f>IF($C591="","",IF($G591="","Name only",IF(OR($I591="",$L591=""),"Partial","Complete")))</f>
        <v>Complete</v>
      </c>
      <c r="T591" s="1" t="str">
        <f>IF($C591="","",TRIM(IF(COUNTIF($C$4:$C$1463,$C591)&gt;1,"Dup name; ","")&amp;IF(AND($G591&lt;&gt;"",$G591&lt;55000),"Low CR - verify; ","")&amp;IF(AND($L591&lt;&gt;"",$L591&gt;15),"Secondary - verify; ","")&amp;IF($E591="","No class; ","")))</f>
        <v/>
      </c>
      <c r="U591" s="68"/>
      <c r="V591" s="68"/>
      <c r="W591" s="68"/>
      <c r="X591" s="76">
        <f t="shared" si="47"/>
        <v>1310</v>
      </c>
      <c r="Y591" s="1" t="str">
        <f t="shared" si="48"/>
        <v>ZOMBIES|68</v>
      </c>
      <c r="Z591" s="19">
        <f>IF($C591="","",IF($G591="","",RANK($G591,$G$4:$G$1463)+COUNTIF($G$4:$G591,$G591)-1))</f>
        <v>1236</v>
      </c>
      <c r="AA591" s="19">
        <f>IF($C591="","",IF($N591="","",RANK($N591,$N$4:$N$1463)+COUNTIF($N$4:$N591,$N591)-1))</f>
        <v>1262</v>
      </c>
      <c r="AB591" s="1" t="str">
        <f>IF($C591="","",IF($E591="","",$E591&amp;"#"&amp;(COUNTIFS($E$4:$E$1463,$E591,$X$4:$X$1463,"&gt;"&amp;$X591)+COUNTIFS($E$4:$E591,$E591,$X$4:$X591,"="&amp;$X591))))</f>
        <v>BARBARIAN#204</v>
      </c>
      <c r="AC591" s="1" t="str">
        <f>IF($C591="","",$B591&amp;"@"&amp;(COUNTIFS($B$4:$B$1463,$B591,$C$4:$C$1463,"&lt;"&amp;$C591)+COUNTIFS($B$4:$B591,$B591,$C$4:$C591,$C591)))</f>
        <v>ZOMBIES@47</v>
      </c>
      <c r="AD591" s="1">
        <f t="shared" si="49"/>
        <v>588</v>
      </c>
      <c r="AE591" s="1" t="s">
        <v>1458</v>
      </c>
      <c r="AF591" s="76">
        <f t="shared" si="50"/>
        <v>60011</v>
      </c>
      <c r="AG591" s="77">
        <f t="shared" si="51"/>
        <v>2.8</v>
      </c>
      <c r="AH591" s="1" t="str">
        <f>IF($C591="","",$B591&amp;"|"&amp;(COUNTIFS($B$4:$B$1463,$B591,$AF$4:$AF$1463,"&gt;"&amp;$AF591)+COUNTIFS($B$4:$B591,$B591,$AF$4:$AF591,"="&amp;$AF591)))</f>
        <v>ZOMBIES|79</v>
      </c>
      <c r="AI591" s="1" t="str">
        <f>IF($C591="","",$B591&amp;"|"&amp;(COUNTIFS($B$4:$B$1463,$B591,$AG$4:$AG$1463,"&gt;"&amp;$AG591)+COUNTIFS($B$4:$B591,$B591,$AG$4:$AG591,"="&amp;$AG591)))</f>
        <v>ZOMBIES|78</v>
      </c>
    </row>
    <row r="592" spans="1:35" hidden="1">
      <c r="A592" s="69" t="s">
        <v>106</v>
      </c>
      <c r="B592" s="69" t="s">
        <v>105</v>
      </c>
      <c r="C592" s="63" t="s">
        <v>1569</v>
      </c>
      <c r="D592" s="69"/>
      <c r="E592" s="68" t="s">
        <v>73</v>
      </c>
      <c r="F592" s="15" t="str">
        <f>IF($C592="","",IF($E592="","-",IFERROR(INDEX(SETUP!$B$55:$B$64,MATCH($E592,SETUP!$A$55:$A$64,0)),"Other")))</f>
        <v>Frontline</v>
      </c>
      <c r="G592" s="70">
        <v>62367</v>
      </c>
      <c r="H592" s="15" t="str">
        <f>IF($C592="","",IF($G592="","-",INDEX(SETUP!$B$26:$B$32,MATCH($G592,SETUP!$A$26:$A$32,1))))</f>
        <v>62,000 - 62,999</v>
      </c>
      <c r="I592" s="70">
        <v>3462</v>
      </c>
      <c r="J592" s="15" t="str">
        <f>IF($C592="","",IF($I592="","-",INDEX(SETUP!$B$16:$B$22,MATCH($I592,SETUP!$A$16:$A$22,1))))</f>
        <v>DEVELOPING</v>
      </c>
      <c r="K592" s="15" t="str">
        <f>IF($C592="","",IF($I592="","-",TEXT(INT($I592/1000)*1000,"#,##0")&amp;" - "&amp;TEXT(INT($I592/1000)*1000+999,"#,##0")))</f>
        <v>3,000 - 3,999</v>
      </c>
      <c r="L592" s="71">
        <v>4.33</v>
      </c>
      <c r="M592" s="15" t="str">
        <f>IF($C592="","",IF($L592="","-",INDEX(SETUP!$B$36:$B$42,MATCH($L592,SETUP!$A$36:$A$42,1))))</f>
        <v>4k - 5k</v>
      </c>
      <c r="N592" s="17">
        <f>IF($C592="","",IF(OR($G592="",$I592=""),"",ROUND(100*(SETUP!$B$4*MIN(1,$I592/SETUP!$B$9)+SETUP!$B$5*MAX(0,MIN(1,($G592-SETUP!$B$10)/(SETUP!$B$11-SETUP!$B$10)))+SETUP!$B$6*MIN(1,IF($L592="",0,$L592)/SETUP!$B$12)),1)))</f>
        <v>41.7</v>
      </c>
      <c r="O592" s="15" t="str">
        <f>IF($C592="","",IF($N592="","-",INDEX(SETUP!$B$46:$B$51,MATCH($N592,SETUP!$A$46:$A$51,1))))</f>
        <v>B</v>
      </c>
      <c r="P592" s="15">
        <f>IF($C592="","",IF($I592="","",RANK($I592,$I$4:$I$1463)+COUNTIF($I$4:$I592,$I592)-1))</f>
        <v>742</v>
      </c>
      <c r="Q592" s="15">
        <f>IF($C592="","",COUNTIFS($B$4:$B$1463,$B592,$X$4:$X$1463,"&gt;"&amp;$X592)+COUNTIFS($B$4:$B592,$B592,$X$4:$X592,"="&amp;$X592))</f>
        <v>85</v>
      </c>
      <c r="R592" s="72">
        <f>IF($C592="","",IF($I592="","",ROUND(COUNTIF($I$4:$I$1463,"&lt;"&amp;$I592)/COUNT($I$4:$I$1463),3)))</f>
        <v>0.44</v>
      </c>
      <c r="S592" s="15" t="str">
        <f>IF($C592="","",IF($G592="","Name only",IF(OR($I592="",$L592=""),"Partial","Complete")))</f>
        <v>Complete</v>
      </c>
      <c r="T592" s="41" t="str">
        <f>IF($C592="","",TRIM(IF(COUNTIF($C$4:$C$1463,$C592)&gt;1,"Dup name; ","")&amp;IF(AND($G592&lt;&gt;"",$G592&lt;55000),"Low CR - verify; ","")&amp;IF(AND($L592&lt;&gt;"",$L592&gt;15),"Secondary - verify; ","")&amp;IF($E592="","No class; ","")))</f>
        <v/>
      </c>
      <c r="U592" s="68"/>
      <c r="V592" s="68"/>
      <c r="W592" s="68"/>
      <c r="X592" s="73">
        <f t="shared" si="47"/>
        <v>3462</v>
      </c>
      <c r="Y592" s="41" t="str">
        <f t="shared" si="48"/>
        <v>LEGENDS|85</v>
      </c>
      <c r="Z592" s="15">
        <f>IF($C592="","",IF($G592="","",RANK($G592,$G$4:$G$1463)+COUNTIF($G$4:$G592,$G592)-1))</f>
        <v>706</v>
      </c>
      <c r="AA592" s="15">
        <f>IF($C592="","",IF($N592="","",RANK($N592,$N$4:$N$1463)+COUNTIF($N$4:$N592,$N592)-1))</f>
        <v>749</v>
      </c>
      <c r="AB592" s="41" t="str">
        <f>IF($C592="","",IF($E592="","",$E592&amp;"#"&amp;(COUNTIFS($E$4:$E$1463,$E592,$X$4:$X$1463,"&gt;"&amp;$X592)+COUNTIFS($E$4:$E592,$E592,$X$4:$X592,"="&amp;$X592))))</f>
        <v>CRUSADER#85</v>
      </c>
      <c r="AC592" s="41" t="str">
        <f>IF($C592="","",$B592&amp;"@"&amp;(COUNTIFS($B$4:$B$1463,$B592,$C$4:$C$1463,"&lt;"&amp;$C592)+COUNTIFS($B$4:$B592,$B592,$C$4:$C592,$C592)))</f>
        <v>LEGENDS@57</v>
      </c>
      <c r="AD592" s="41">
        <f t="shared" si="49"/>
        <v>589</v>
      </c>
      <c r="AE592" s="41" t="s">
        <v>1570</v>
      </c>
      <c r="AF592" s="73">
        <f t="shared" si="50"/>
        <v>62367</v>
      </c>
      <c r="AG592" s="74">
        <f t="shared" si="51"/>
        <v>4.33</v>
      </c>
      <c r="AH592" s="41" t="str">
        <f>IF($C592="","",$B592&amp;"|"&amp;(COUNTIFS($B$4:$B$1463,$B592,$AF$4:$AF$1463,"&gt;"&amp;$AF592)+COUNTIFS($B$4:$B592,$B592,$AF$4:$AF592,"="&amp;$AF592)))</f>
        <v>LEGENDS|73</v>
      </c>
      <c r="AI592" s="41" t="str">
        <f>IF($C592="","",$B592&amp;"|"&amp;(COUNTIFS($B$4:$B$1463,$B592,$AG$4:$AG$1463,"&gt;"&amp;$AG592)+COUNTIFS($B$4:$B592,$B592,$AG$4:$AG592,"="&amp;$AG592)))</f>
        <v>LEGENDS|82</v>
      </c>
    </row>
    <row r="593" spans="1:35" hidden="1">
      <c r="A593" s="69" t="s">
        <v>109</v>
      </c>
      <c r="B593" s="69" t="s">
        <v>113</v>
      </c>
      <c r="C593" s="63" t="s">
        <v>1571</v>
      </c>
      <c r="D593" s="69" t="s">
        <v>548</v>
      </c>
      <c r="E593" s="68" t="s">
        <v>78</v>
      </c>
      <c r="F593" s="19" t="str">
        <f>IF($C593="","",IF($E593="","-",IFERROR(INDEX(SETUP!$B$55:$B$64,MATCH($E593,SETUP!$A$55:$A$64,0)),"Other")))</f>
        <v>Melee DPS</v>
      </c>
      <c r="G593" s="70">
        <v>63310</v>
      </c>
      <c r="H593" s="19" t="str">
        <f>IF($C593="","",IF($G593="","-",INDEX(SETUP!$B$26:$B$32,MATCH($G593,SETUP!$A$26:$A$32,1))))</f>
        <v>63,000 - 63,999</v>
      </c>
      <c r="I593" s="70">
        <v>4978</v>
      </c>
      <c r="J593" s="19" t="str">
        <f>IF($C593="","",IF($I593="","-",INDEX(SETUP!$B$16:$B$22,MATCH($I593,SETUP!$A$16:$A$22,1))))</f>
        <v>CORE</v>
      </c>
      <c r="K593" s="19" t="str">
        <f>IF($C593="","",IF($I593="","-",TEXT(INT($I593/1000)*1000,"#,##0")&amp;" - "&amp;TEXT(INT($I593/1000)*1000+999,"#,##0")))</f>
        <v>4,000 - 4,999</v>
      </c>
      <c r="L593" s="71">
        <v>5.4</v>
      </c>
      <c r="M593" s="19" t="str">
        <f>IF($C593="","",IF($L593="","-",INDEX(SETUP!$B$36:$B$42,MATCH($L593,SETUP!$A$36:$A$42,1))))</f>
        <v>5k - 6k</v>
      </c>
      <c r="N593" s="21">
        <f>IF($C593="","",IF(OR($G593="",$I593=""),"",ROUND(100*(SETUP!$B$4*MIN(1,$I593/SETUP!$B$9)+SETUP!$B$5*MAX(0,MIN(1,($G593-SETUP!$B$10)/(SETUP!$B$11-SETUP!$B$10)))+SETUP!$B$6*MIN(1,IF($L593="",0,$L593)/SETUP!$B$12)),1)))</f>
        <v>52.6</v>
      </c>
      <c r="O593" s="19" t="str">
        <f>IF($C593="","",IF($N593="","-",INDEX(SETUP!$B$46:$B$51,MATCH($N593,SETUP!$A$46:$A$51,1))))</f>
        <v>A</v>
      </c>
      <c r="P593" s="19">
        <f>IF($C593="","",IF($I593="","",RANK($I593,$I$4:$I$1463)+COUNTIF($I$4:$I593,$I593)-1))</f>
        <v>415</v>
      </c>
      <c r="Q593" s="19">
        <f>IF($C593="","",COUNTIFS($B$4:$B$1463,$B593,$X$4:$X$1463,"&gt;"&amp;$X593)+COUNTIFS($B$4:$B593,$B593,$X$4:$X593,"="&amp;$X593))</f>
        <v>16</v>
      </c>
      <c r="R593" s="75">
        <f>IF($C593="","",IF($I593="","",ROUND(COUNTIF($I$4:$I$1463,"&lt;"&amp;$I593)/COUNT($I$4:$I$1463),3)))</f>
        <v>0.68700000000000006</v>
      </c>
      <c r="S593" s="19" t="str">
        <f>IF($C593="","",IF($G593="","Name only",IF(OR($I593="",$L593=""),"Partial","Complete")))</f>
        <v>Complete</v>
      </c>
      <c r="T593" s="1" t="str">
        <f>IF($C593="","",TRIM(IF(COUNTIF($C$4:$C$1463,$C593)&gt;1,"Dup name; ","")&amp;IF(AND($G593&lt;&gt;"",$G593&lt;55000),"Low CR - verify; ","")&amp;IF(AND($L593&lt;&gt;"",$L593&gt;15),"Secondary - verify; ","")&amp;IF($E593="","No class; ","")))</f>
        <v/>
      </c>
      <c r="U593" s="68"/>
      <c r="V593" s="68"/>
      <c r="W593" s="68"/>
      <c r="X593" s="76">
        <f t="shared" si="47"/>
        <v>4978</v>
      </c>
      <c r="Y593" s="1" t="str">
        <f t="shared" si="48"/>
        <v>INVICTUS|16</v>
      </c>
      <c r="Z593" s="19">
        <f>IF($C593="","",IF($G593="","",RANK($G593,$G$4:$G$1463)+COUNTIF($G$4:$G593,$G593)-1))</f>
        <v>256</v>
      </c>
      <c r="AA593" s="19">
        <f>IF($C593="","",IF($N593="","",RANK($N593,$N$4:$N$1463)+COUNTIF($N$4:$N593,$N593)-1))</f>
        <v>371</v>
      </c>
      <c r="AB593" s="1" t="str">
        <f>IF($C593="","",IF($E593="","",$E593&amp;"#"&amp;(COUNTIFS($E$4:$E$1463,$E593,$X$4:$X$1463,"&gt;"&amp;$X593)+COUNTIFS($E$4:$E593,$E593,$X$4:$X593,"="&amp;$X593))))</f>
        <v>TEMPEST#16</v>
      </c>
      <c r="AC593" s="1" t="str">
        <f>IF($C593="","",$B593&amp;"@"&amp;(COUNTIFS($B$4:$B$1463,$B593,$C$4:$C$1463,"&lt;"&amp;$C593)+COUNTIFS($B$4:$B593,$B593,$C$4:$C593,$C593)))</f>
        <v>INVICTUS@37</v>
      </c>
      <c r="AD593" s="1">
        <f t="shared" si="49"/>
        <v>590</v>
      </c>
      <c r="AE593" s="1" t="s">
        <v>1572</v>
      </c>
      <c r="AF593" s="76">
        <f t="shared" si="50"/>
        <v>63310</v>
      </c>
      <c r="AG593" s="77">
        <f t="shared" si="51"/>
        <v>5.4</v>
      </c>
      <c r="AH593" s="1" t="str">
        <f>IF($C593="","",$B593&amp;"|"&amp;(COUNTIFS($B$4:$B$1463,$B593,$AF$4:$AF$1463,"&gt;"&amp;$AF593)+COUNTIFS($B$4:$B593,$B593,$AF$4:$AF593,"="&amp;$AF593)))</f>
        <v>INVICTUS|9</v>
      </c>
      <c r="AI593" s="1" t="str">
        <f>IF($C593="","",$B593&amp;"|"&amp;(COUNTIFS($B$4:$B$1463,$B593,$AG$4:$AG$1463,"&gt;"&amp;$AG593)+COUNTIFS($B$4:$B593,$B593,$AG$4:$AG593,"="&amp;$AG593)))</f>
        <v>INVICTUS|21</v>
      </c>
    </row>
    <row r="594" spans="1:35" hidden="1">
      <c r="A594" s="69" t="s">
        <v>109</v>
      </c>
      <c r="B594" s="69" t="s">
        <v>112</v>
      </c>
      <c r="C594" s="63" t="s">
        <v>1573</v>
      </c>
      <c r="D594" s="69" t="s">
        <v>567</v>
      </c>
      <c r="E594" s="68" t="s">
        <v>77</v>
      </c>
      <c r="F594" s="15" t="str">
        <f>IF($C594="","",IF($E594="","-",IFERROR(INDEX(SETUP!$B$55:$B$64,MATCH($E594,SETUP!$A$55:$A$64,0)),"Other")))</f>
        <v>Control</v>
      </c>
      <c r="G594" s="70">
        <v>62867</v>
      </c>
      <c r="H594" s="15" t="str">
        <f>IF($C594="","",IF($G594="","-",INDEX(SETUP!$B$26:$B$32,MATCH($G594,SETUP!$A$26:$A$32,1))))</f>
        <v>62,000 - 62,999</v>
      </c>
      <c r="I594" s="70">
        <v>2696</v>
      </c>
      <c r="J594" s="15" t="str">
        <f>IF($C594="","",IF($I594="","-",INDEX(SETUP!$B$16:$B$22,MATCH($I594,SETUP!$A$16:$A$22,1))))</f>
        <v>DEVELOPING</v>
      </c>
      <c r="K594" s="15" t="str">
        <f>IF($C594="","",IF($I594="","-",TEXT(INT($I594/1000)*1000,"#,##0")&amp;" - "&amp;TEXT(INT($I594/1000)*1000+999,"#,##0")))</f>
        <v>2,000 - 2,999</v>
      </c>
      <c r="L594" s="71">
        <v>3.6</v>
      </c>
      <c r="M594" s="15" t="str">
        <f>IF($C594="","",IF($L594="","-",INDEX(SETUP!$B$36:$B$42,MATCH($L594,SETUP!$A$36:$A$42,1))))</f>
        <v>3k - 4k</v>
      </c>
      <c r="N594" s="17">
        <f>IF($C594="","",IF(OR($G594="",$I594=""),"",ROUND(100*(SETUP!$B$4*MIN(1,$I594/SETUP!$B$9)+SETUP!$B$5*MAX(0,MIN(1,($G594-SETUP!$B$10)/(SETUP!$B$11-SETUP!$B$10)))+SETUP!$B$6*MIN(1,IF($L594="",0,$L594)/SETUP!$B$12)),1)))</f>
        <v>38.5</v>
      </c>
      <c r="O594" s="15" t="str">
        <f>IF($C594="","",IF($N594="","-",INDEX(SETUP!$B$46:$B$51,MATCH($N594,SETUP!$A$46:$A$51,1))))</f>
        <v>B</v>
      </c>
      <c r="P594" s="15">
        <f>IF($C594="","",IF($I594="","",RANK($I594,$I$4:$I$1463)+COUNTIF($I$4:$I594,$I594)-1))</f>
        <v>953</v>
      </c>
      <c r="Q594" s="15">
        <f>IF($C594="","",COUNTIFS($B$4:$B$1463,$B594,$X$4:$X$1463,"&gt;"&amp;$X594)+COUNTIFS($B$4:$B594,$B594,$X$4:$X594,"="&amp;$X594))</f>
        <v>73</v>
      </c>
      <c r="R594" s="72">
        <f>IF($C594="","",IF($I594="","",ROUND(COUNTIF($I$4:$I$1463,"&lt;"&amp;$I594)/COUNT($I$4:$I$1463),3)))</f>
        <v>0.28100000000000003</v>
      </c>
      <c r="S594" s="15" t="str">
        <f>IF($C594="","",IF($G594="","Name only",IF(OR($I594="",$L594=""),"Partial","Complete")))</f>
        <v>Complete</v>
      </c>
      <c r="T594" s="41" t="str">
        <f>IF($C594="","",TRIM(IF(COUNTIF($C$4:$C$1463,$C594)&gt;1,"Dup name; ","")&amp;IF(AND($G594&lt;&gt;"",$G594&lt;55000),"Low CR - verify; ","")&amp;IF(AND($L594&lt;&gt;"",$L594&gt;15),"Secondary - verify; ","")&amp;IF($E594="","No class; ","")))</f>
        <v/>
      </c>
      <c r="U594" s="68"/>
      <c r="V594" s="68"/>
      <c r="W594" s="68"/>
      <c r="X594" s="73">
        <f t="shared" si="47"/>
        <v>2696</v>
      </c>
      <c r="Y594" s="41" t="str">
        <f t="shared" si="48"/>
        <v>ACHERON|73</v>
      </c>
      <c r="Z594" s="15">
        <f>IF($C594="","",IF($G594="","",RANK($G594,$G$4:$G$1463)+COUNTIF($G$4:$G594,$G594)-1))</f>
        <v>487</v>
      </c>
      <c r="AA594" s="15">
        <f>IF($C594="","",IF($N594="","",RANK($N594,$N$4:$N$1463)+COUNTIF($N$4:$N594,$N594)-1))</f>
        <v>881</v>
      </c>
      <c r="AB594" s="41" t="str">
        <f>IF($C594="","",IF($E594="","",$E594&amp;"#"&amp;(COUNTIFS($E$4:$E$1463,$E594,$X$4:$X$1463,"&gt;"&amp;$X594)+COUNTIFS($E$4:$E594,$E594,$X$4:$X594,"="&amp;$X594))))</f>
        <v>NECROMANCER#57</v>
      </c>
      <c r="AC594" s="41" t="str">
        <f>IF($C594="","",$B594&amp;"@"&amp;(COUNTIFS($B$4:$B$1463,$B594,$C$4:$C$1463,"&lt;"&amp;$C594)+COUNTIFS($B$4:$B594,$B594,$C$4:$C594,$C594)))</f>
        <v>ACHERON@35</v>
      </c>
      <c r="AD594" s="41">
        <f t="shared" si="49"/>
        <v>591</v>
      </c>
      <c r="AE594" s="41" t="s">
        <v>1574</v>
      </c>
      <c r="AF594" s="73">
        <f t="shared" si="50"/>
        <v>62867</v>
      </c>
      <c r="AG594" s="74">
        <f t="shared" si="51"/>
        <v>3.6</v>
      </c>
      <c r="AH594" s="41" t="str">
        <f>IF($C594="","",$B594&amp;"|"&amp;(COUNTIFS($B$4:$B$1463,$B594,$AF$4:$AF$1463,"&gt;"&amp;$AF594)+COUNTIFS($B$4:$B594,$B594,$AF$4:$AF594,"="&amp;$AF594)))</f>
        <v>ACHERON|37</v>
      </c>
      <c r="AI594" s="41" t="str">
        <f>IF($C594="","",$B594&amp;"|"&amp;(COUNTIFS($B$4:$B$1463,$B594,$AG$4:$AG$1463,"&gt;"&amp;$AG594)+COUNTIFS($B$4:$B594,$B594,$AG$4:$AG594,"="&amp;$AG594)))</f>
        <v>ACHERON|87</v>
      </c>
    </row>
    <row r="595" spans="1:35" hidden="1">
      <c r="A595" s="69" t="s">
        <v>109</v>
      </c>
      <c r="B595" s="69" t="s">
        <v>108</v>
      </c>
      <c r="C595" s="63" t="s">
        <v>1575</v>
      </c>
      <c r="D595" s="69"/>
      <c r="E595" s="68" t="s">
        <v>79</v>
      </c>
      <c r="F595" s="19" t="str">
        <f>IF($C595="","",IF($E595="","-",IFERROR(INDEX(SETUP!$B$55:$B$64,MATCH($E595,SETUP!$A$55:$A$64,0)),"Other")))</f>
        <v>Control</v>
      </c>
      <c r="G595" s="70">
        <v>63203</v>
      </c>
      <c r="H595" s="19" t="str">
        <f>IF($C595="","",IF($G595="","-",INDEX(SETUP!$B$26:$B$32,MATCH($G595,SETUP!$A$26:$A$32,1))))</f>
        <v>63,000 - 63,999</v>
      </c>
      <c r="I595" s="70">
        <v>4751</v>
      </c>
      <c r="J595" s="19" t="str">
        <f>IF($C595="","",IF($I595="","-",INDEX(SETUP!$B$16:$B$22,MATCH($I595,SETUP!$A$16:$A$22,1))))</f>
        <v>CORE</v>
      </c>
      <c r="K595" s="19" t="str">
        <f>IF($C595="","",IF($I595="","-",TEXT(INT($I595/1000)*1000,"#,##0")&amp;" - "&amp;TEXT(INT($I595/1000)*1000+999,"#,##0")))</f>
        <v>4,000 - 4,999</v>
      </c>
      <c r="L595" s="71">
        <v>5.85</v>
      </c>
      <c r="M595" s="19" t="str">
        <f>IF($C595="","",IF($L595="","-",INDEX(SETUP!$B$36:$B$42,MATCH($L595,SETUP!$A$36:$A$42,1))))</f>
        <v>5k - 6k</v>
      </c>
      <c r="N595" s="21">
        <f>IF($C595="","",IF(OR($G595="",$I595=""),"",ROUND(100*(SETUP!$B$4*MIN(1,$I595/SETUP!$B$9)+SETUP!$B$5*MAX(0,MIN(1,($G595-SETUP!$B$10)/(SETUP!$B$11-SETUP!$B$10)))+SETUP!$B$6*MIN(1,IF($L595="",0,$L595)/SETUP!$B$12)),1)))</f>
        <v>52.1</v>
      </c>
      <c r="O595" s="19" t="str">
        <f>IF($C595="","",IF($N595="","-",INDEX(SETUP!$B$46:$B$51,MATCH($N595,SETUP!$A$46:$A$51,1))))</f>
        <v>A</v>
      </c>
      <c r="P595" s="19">
        <f>IF($C595="","",IF($I595="","",RANK($I595,$I$4:$I$1463)+COUNTIF($I$4:$I595,$I595)-1))</f>
        <v>447</v>
      </c>
      <c r="Q595" s="19">
        <f>IF($C595="","",COUNTIFS($B$4:$B$1463,$B595,$X$4:$X$1463,"&gt;"&amp;$X595)+COUNTIFS($B$4:$B595,$B595,$X$4:$X595,"="&amp;$X595))</f>
        <v>60</v>
      </c>
      <c r="R595" s="75">
        <f>IF($C595="","",IF($I595="","",ROUND(COUNTIF($I$4:$I$1463,"&lt;"&amp;$I595)/COUNT($I$4:$I$1463),3)))</f>
        <v>0.66300000000000003</v>
      </c>
      <c r="S595" s="19" t="str">
        <f>IF($C595="","",IF($G595="","Name only",IF(OR($I595="",$L595=""),"Partial","Complete")))</f>
        <v>Complete</v>
      </c>
      <c r="T595" s="1" t="str">
        <f>IF($C595="","",TRIM(IF(COUNTIF($C$4:$C$1463,$C595)&gt;1,"Dup name; ","")&amp;IF(AND($G595&lt;&gt;"",$G595&lt;55000),"Low CR - verify; ","")&amp;IF(AND($L595&lt;&gt;"",$L595&gt;15),"Secondary - verify; ","")&amp;IF($E595="","No class; ","")))</f>
        <v/>
      </c>
      <c r="U595" s="68"/>
      <c r="V595" s="68"/>
      <c r="W595" s="68"/>
      <c r="X595" s="76">
        <f t="shared" si="47"/>
        <v>4751</v>
      </c>
      <c r="Y595" s="1" t="str">
        <f t="shared" si="48"/>
        <v>SBG|60</v>
      </c>
      <c r="Z595" s="19">
        <f>IF($C595="","",IF($G595="","",RANK($G595,$G$4:$G$1463)+COUNTIF($G$4:$G595,$G595)-1))</f>
        <v>316</v>
      </c>
      <c r="AA595" s="19">
        <f>IF($C595="","",IF($N595="","",RANK($N595,$N$4:$N$1463)+COUNTIF($N$4:$N595,$N595)-1))</f>
        <v>388</v>
      </c>
      <c r="AB595" s="1" t="str">
        <f>IF($C595="","",IF($E595="","",$E595&amp;"#"&amp;(COUNTIFS($E$4:$E$1463,$E595,$X$4:$X$1463,"&gt;"&amp;$X595)+COUNTIFS($E$4:$E595,$E595,$X$4:$X595,"="&amp;$X595))))</f>
        <v>WARLOCK#104</v>
      </c>
      <c r="AC595" s="1" t="str">
        <f>IF($C595="","",$B595&amp;"@"&amp;(COUNTIFS($B$4:$B$1463,$B595,$C$4:$C$1463,"&lt;"&amp;$C595)+COUNTIFS($B$4:$B595,$B595,$C$4:$C595,$C595)))</f>
        <v>SBG@35</v>
      </c>
      <c r="AD595" s="1">
        <f t="shared" si="49"/>
        <v>592</v>
      </c>
      <c r="AE595" s="1" t="s">
        <v>1576</v>
      </c>
      <c r="AF595" s="76">
        <f t="shared" si="50"/>
        <v>63203</v>
      </c>
      <c r="AG595" s="77">
        <f t="shared" si="51"/>
        <v>5.85</v>
      </c>
      <c r="AH595" s="1" t="str">
        <f>IF($C595="","",$B595&amp;"|"&amp;(COUNTIFS($B$4:$B$1463,$B595,$AF$4:$AF$1463,"&gt;"&amp;$AF595)+COUNTIFS($B$4:$B595,$B595,$AF$4:$AF595,"="&amp;$AF595)))</f>
        <v>SBG|38</v>
      </c>
      <c r="AI595" s="1" t="str">
        <f>IF($C595="","",$B595&amp;"|"&amp;(COUNTIFS($B$4:$B$1463,$B595,$AG$4:$AG$1463,"&gt;"&amp;$AG595)+COUNTIFS($B$4:$B595,$B595,$AG$4:$AG595,"="&amp;$AG595)))</f>
        <v>SBG|45</v>
      </c>
    </row>
    <row r="596" spans="1:35">
      <c r="A596" s="69" t="s">
        <v>104</v>
      </c>
      <c r="B596" s="69" t="s">
        <v>66</v>
      </c>
      <c r="C596" s="63" t="s">
        <v>1549</v>
      </c>
      <c r="D596" s="69"/>
      <c r="E596" s="68" t="s">
        <v>75</v>
      </c>
      <c r="F596" s="19" t="str">
        <f>IF($C596="","",IF($E596="","-",IFERROR(INDEX(SETUP!$B$55:$B$64,MATCH($E596,SETUP!$A$55:$A$64,0)),"Other")))</f>
        <v>Support</v>
      </c>
      <c r="G596" s="70">
        <v>62802</v>
      </c>
      <c r="H596" s="19" t="str">
        <f>IF($C596="","",IF($G596="","-",INDEX(SETUP!$B$26:$B$32,MATCH($G596,SETUP!$A$26:$A$32,1))))</f>
        <v>62,000 - 62,999</v>
      </c>
      <c r="I596" s="70">
        <v>10077</v>
      </c>
      <c r="J596" s="19" t="str">
        <f>IF($C596="","",IF($I596="","-",INDEX(SETUP!$B$16:$B$22,MATCH($I596,SETUP!$A$16:$A$22,1))))</f>
        <v>APEX</v>
      </c>
      <c r="K596" s="19" t="str">
        <f>IF($C596="","",IF($I596="","-",TEXT(INT($I596/1000)*1000,"#,##0")&amp;" - "&amp;TEXT(INT($I596/1000)*1000+999,"#,##0")))</f>
        <v>10,000 - 10,999</v>
      </c>
      <c r="L596" s="71">
        <v>9.1</v>
      </c>
      <c r="M596" s="19" t="str">
        <f>IF($C596="","",IF($L596="","-",INDEX(SETUP!$B$36:$B$42,MATCH($L596,SETUP!$A$36:$A$42,1))))</f>
        <v>8k - 10k</v>
      </c>
      <c r="N596" s="21">
        <f>IF($C596="","",IF(OR($G596="",$I596=""),"",ROUND(100*(SETUP!$B$4*MIN(1,$I596/SETUP!$B$9)+SETUP!$B$5*MAX(0,MIN(1,($G596-SETUP!$B$10)/(SETUP!$B$11-SETUP!$B$10)))+SETUP!$B$6*MIN(1,IF($L596="",0,$L596)/SETUP!$B$12)),1)))</f>
        <v>79.7</v>
      </c>
      <c r="O596" s="19" t="str">
        <f>IF($C596="","",IF($N596="","-",INDEX(SETUP!$B$46:$B$51,MATCH($N596,SETUP!$A$46:$A$51,1))))</f>
        <v>S</v>
      </c>
      <c r="P596" s="19">
        <f>IF($C596="","",IF($I596="","",RANK($I596,$I$4:$I$1463)+COUNTIF($I$4:$I596,$I596)-1))</f>
        <v>48</v>
      </c>
      <c r="Q596" s="19">
        <f>IF($C596="","",COUNTIFS($B$4:$B$1463,$B596,$X$4:$X$1463,"&gt;"&amp;$X596)+COUNTIFS($B$4:$B596,$B596,$X$4:$X596,"="&amp;$X596))</f>
        <v>4</v>
      </c>
      <c r="R596" s="75">
        <f>IF($C596="","",IF($I596="","",ROUND(COUNTIF($I$4:$I$1463,"&lt;"&amp;$I596)/COUNT($I$4:$I$1463),3)))</f>
        <v>0.96399999999999997</v>
      </c>
      <c r="S596" s="19" t="str">
        <f>IF($C596="","",IF($G596="","Name only",IF(OR($I596="",$L596=""),"Partial","Complete")))</f>
        <v>Complete</v>
      </c>
      <c r="T596" s="1" t="str">
        <f>IF($C596="","",TRIM(IF(COUNTIF($C$4:$C$1463,$C596)&gt;1,"Dup name; ","")&amp;IF(AND($G596&lt;&gt;"",$G596&lt;55000),"Low CR - verify; ","")&amp;IF(AND($L596&lt;&gt;"",$L596&gt;15),"Secondary - verify; ","")&amp;IF($E596="","No class; ","")))</f>
        <v/>
      </c>
      <c r="U596" s="68"/>
      <c r="V596" s="68"/>
      <c r="W596" s="68"/>
      <c r="X596" s="73">
        <f t="shared" si="47"/>
        <v>10077</v>
      </c>
      <c r="Y596" s="41" t="str">
        <f t="shared" si="48"/>
        <v>FUCT|4</v>
      </c>
      <c r="Z596" s="15">
        <f>IF($C596="","",IF($G596="","",RANK($G596,$G$4:$G$1463)+COUNTIF($G$4:$G596,$G596)-1))</f>
        <v>518</v>
      </c>
      <c r="AA596" s="15">
        <f>IF($C596="","",IF($N596="","",RANK($N596,$N$4:$N$1463)+COUNTIF($N$4:$N596,$N596)-1))</f>
        <v>55</v>
      </c>
      <c r="AB596" s="41" t="str">
        <f>IF($C596="","",IF($E596="","",$E596&amp;"#"&amp;(COUNTIFS($E$4:$E$1463,$E596,$X$4:$X$1463,"&gt;"&amp;$X596)+COUNTIFS($E$4:$E596,$E596,$X$4:$X596,"="&amp;$X596))))</f>
        <v>DRUID#3</v>
      </c>
      <c r="AC596" s="41" t="str">
        <f>IF($C596="","",$B596&amp;"@"&amp;(COUNTIFS($B$4:$B$1463,$B596,$C$4:$C$1463,"&lt;"&amp;$C596)+COUNTIFS($B$4:$B596,$B596,$C$4:$C596,$C596)))</f>
        <v>FUCT@43</v>
      </c>
      <c r="AD596" s="41">
        <f t="shared" si="49"/>
        <v>593</v>
      </c>
      <c r="AE596" s="41" t="s">
        <v>1578</v>
      </c>
      <c r="AF596" s="73">
        <f t="shared" si="50"/>
        <v>62802</v>
      </c>
      <c r="AG596" s="74">
        <f t="shared" si="51"/>
        <v>9.1</v>
      </c>
      <c r="AH596" s="41" t="str">
        <f>IF($C596="","",$B596&amp;"|"&amp;(COUNTIFS($B$4:$B$1463,$B596,$AF$4:$AF$1463,"&gt;"&amp;$AF596)+COUNTIFS($B$4:$B596,$B596,$AF$4:$AF596,"="&amp;$AF596)))</f>
        <v>FUCT|56</v>
      </c>
      <c r="AI596" s="41" t="str">
        <f>IF($C596="","",$B596&amp;"|"&amp;(COUNTIFS($B$4:$B$1463,$B596,$AG$4:$AG$1463,"&gt;"&amp;$AG596)+COUNTIFS($B$4:$B596,$B596,$AG$4:$AG596,"="&amp;$AG596)))</f>
        <v>FUCT|2</v>
      </c>
    </row>
    <row r="597" spans="1:35" hidden="1">
      <c r="A597" s="69" t="s">
        <v>109</v>
      </c>
      <c r="B597" s="69" t="s">
        <v>113</v>
      </c>
      <c r="C597" s="63" t="s">
        <v>1579</v>
      </c>
      <c r="D597" s="69" t="s">
        <v>548</v>
      </c>
      <c r="E597" s="68" t="s">
        <v>71</v>
      </c>
      <c r="F597" s="19" t="str">
        <f>IF($C597="","",IF($E597="","-",IFERROR(INDEX(SETUP!$B$55:$B$64,MATCH($E597,SETUP!$A$55:$A$64,0)),"Other")))</f>
        <v>Frontline</v>
      </c>
      <c r="G597" s="70">
        <v>61897</v>
      </c>
      <c r="H597" s="19" t="str">
        <f>IF($C597="","",IF($G597="","-",INDEX(SETUP!$B$26:$B$32,MATCH($G597,SETUP!$A$26:$A$32,1))))</f>
        <v>61,000 - 61,999</v>
      </c>
      <c r="I597" s="70">
        <v>2116</v>
      </c>
      <c r="J597" s="19" t="str">
        <f>IF($C597="","",IF($I597="","-",INDEX(SETUP!$B$16:$B$22,MATCH($I597,SETUP!$A$16:$A$22,1))))</f>
        <v>DEVELOPING</v>
      </c>
      <c r="K597" s="19" t="str">
        <f>IF($C597="","",IF($I597="","-",TEXT(INT($I597/1000)*1000,"#,##0")&amp;" - "&amp;TEXT(INT($I597/1000)*1000+999,"#,##0")))</f>
        <v>2,000 - 2,999</v>
      </c>
      <c r="L597" s="71">
        <v>3.75</v>
      </c>
      <c r="M597" s="19" t="str">
        <f>IF($C597="","",IF($L597="","-",INDEX(SETUP!$B$36:$B$42,MATCH($L597,SETUP!$A$36:$A$42,1))))</f>
        <v>3k - 4k</v>
      </c>
      <c r="N597" s="21">
        <f>IF($C597="","",IF(OR($G597="",$I597=""),"",ROUND(100*(SETUP!$B$4*MIN(1,$I597/SETUP!$B$9)+SETUP!$B$5*MAX(0,MIN(1,($G597-SETUP!$B$10)/(SETUP!$B$11-SETUP!$B$10)))+SETUP!$B$6*MIN(1,IF($L597="",0,$L597)/SETUP!$B$12)),1)))</f>
        <v>33.6</v>
      </c>
      <c r="O597" s="19" t="str">
        <f>IF($C597="","",IF($N597="","-",INDEX(SETUP!$B$46:$B$51,MATCH($N597,SETUP!$A$46:$A$51,1))))</f>
        <v>C</v>
      </c>
      <c r="P597" s="19">
        <f>IF($C597="","",IF($I597="","",RANK($I597,$I$4:$I$1463)+COUNTIF($I$4:$I597,$I597)-1))</f>
        <v>1083</v>
      </c>
      <c r="Q597" s="19">
        <f>IF($C597="","",COUNTIFS($B$4:$B$1463,$B597,$X$4:$X$1463,"&gt;"&amp;$X597)+COUNTIFS($B$4:$B597,$B597,$X$4:$X597,"="&amp;$X597))</f>
        <v>77</v>
      </c>
      <c r="R597" s="75">
        <f>IF($C597="","",IF($I597="","",ROUND(COUNTIF($I$4:$I$1463,"&lt;"&amp;$I597)/COUNT($I$4:$I$1463),3)))</f>
        <v>0.183</v>
      </c>
      <c r="S597" s="19" t="str">
        <f>IF($C597="","",IF($G597="","Name only",IF(OR($I597="",$L597=""),"Partial","Complete")))</f>
        <v>Complete</v>
      </c>
      <c r="T597" s="1" t="str">
        <f>IF($C597="","",TRIM(IF(COUNTIF($C$4:$C$1463,$C597)&gt;1,"Dup name; ","")&amp;IF(AND($G597&lt;&gt;"",$G597&lt;55000),"Low CR - verify; ","")&amp;IF(AND($L597&lt;&gt;"",$L597&gt;15),"Secondary - verify; ","")&amp;IF($E597="","No class; ","")))</f>
        <v/>
      </c>
      <c r="U597" s="68"/>
      <c r="V597" s="68"/>
      <c r="W597" s="68"/>
      <c r="X597" s="76">
        <f t="shared" si="47"/>
        <v>2116</v>
      </c>
      <c r="Y597" s="1" t="str">
        <f t="shared" si="48"/>
        <v>INVICTUS|77</v>
      </c>
      <c r="Z597" s="19">
        <f>IF($C597="","",IF($G597="","",RANK($G597,$G$4:$G$1463)+COUNTIF($G$4:$G597,$G597)-1))</f>
        <v>875</v>
      </c>
      <c r="AA597" s="19">
        <f>IF($C597="","",IF($N597="","",RANK($N597,$N$4:$N$1463)+COUNTIF($N$4:$N597,$N597)-1))</f>
        <v>1054</v>
      </c>
      <c r="AB597" s="1" t="str">
        <f>IF($C597="","",IF($E597="","",$E597&amp;"#"&amp;(COUNTIFS($E$4:$E$1463,$E597,$X$4:$X$1463,"&gt;"&amp;$X597)+COUNTIFS($E$4:$E597,$E597,$X$4:$X597,"="&amp;$X597))))</f>
        <v>BARBARIAN#187</v>
      </c>
      <c r="AC597" s="1" t="str">
        <f>IF($C597="","",$B597&amp;"@"&amp;(COUNTIFS($B$4:$B$1463,$B597,$C$4:$C$1463,"&lt;"&amp;$C597)+COUNTIFS($B$4:$B597,$B597,$C$4:$C597,$C597)))</f>
        <v>INVICTUS@38</v>
      </c>
      <c r="AD597" s="1">
        <f t="shared" si="49"/>
        <v>594</v>
      </c>
      <c r="AE597" s="1" t="s">
        <v>1580</v>
      </c>
      <c r="AF597" s="76">
        <f t="shared" si="50"/>
        <v>61897</v>
      </c>
      <c r="AG597" s="77">
        <f t="shared" si="51"/>
        <v>3.75</v>
      </c>
      <c r="AH597" s="1" t="str">
        <f>IF($C597="","",$B597&amp;"|"&amp;(COUNTIFS($B$4:$B$1463,$B597,$AF$4:$AF$1463,"&gt;"&amp;$AF597)+COUNTIFS($B$4:$B597,$B597,$AF$4:$AF597,"="&amp;$AF597)))</f>
        <v>INVICTUS|58</v>
      </c>
      <c r="AI597" s="1" t="str">
        <f>IF($C597="","",$B597&amp;"|"&amp;(COUNTIFS($B$4:$B$1463,$B597,$AG$4:$AG$1463,"&gt;"&amp;$AG597)+COUNTIFS($B$4:$B597,$B597,$AG$4:$AG597,"="&amp;$AG597)))</f>
        <v>INVICTUS|65</v>
      </c>
    </row>
    <row r="598" spans="1:35" hidden="1">
      <c r="A598" s="69" t="s">
        <v>109</v>
      </c>
      <c r="B598" s="69" t="s">
        <v>118</v>
      </c>
      <c r="C598" s="63" t="s">
        <v>1581</v>
      </c>
      <c r="D598" s="69"/>
      <c r="E598" s="68" t="s">
        <v>79</v>
      </c>
      <c r="F598" s="15" t="str">
        <f>IF($C598="","",IF($E598="","-",IFERROR(INDEX(SETUP!$B$55:$B$64,MATCH($E598,SETUP!$A$55:$A$64,0)),"Other")))</f>
        <v>Control</v>
      </c>
      <c r="G598" s="70">
        <v>62081</v>
      </c>
      <c r="H598" s="15" t="str">
        <f>IF($C598="","",IF($G598="","-",INDEX(SETUP!$B$26:$B$32,MATCH($G598,SETUP!$A$26:$A$32,1))))</f>
        <v>62,000 - 62,999</v>
      </c>
      <c r="I598" s="70">
        <v>1740</v>
      </c>
      <c r="J598" s="15" t="str">
        <f>IF($C598="","",IF($I598="","-",INDEX(SETUP!$B$16:$B$22,MATCH($I598,SETUP!$A$16:$A$22,1))))</f>
        <v>ROOKIE</v>
      </c>
      <c r="K598" s="15" t="str">
        <f>IF($C598="","",IF($I598="","-",TEXT(INT($I598/1000)*1000,"#,##0")&amp;" - "&amp;TEXT(INT($I598/1000)*1000+999,"#,##0")))</f>
        <v>1,000 - 1,999</v>
      </c>
      <c r="L598" s="71">
        <v>5.0999999999999996</v>
      </c>
      <c r="M598" s="15" t="str">
        <f>IF($C598="","",IF($L598="","-",INDEX(SETUP!$B$36:$B$42,MATCH($L598,SETUP!$A$36:$A$42,1))))</f>
        <v>5k - 6k</v>
      </c>
      <c r="N598" s="17">
        <f>IF($C598="","",IF(OR($G598="",$I598=""),"",ROUND(100*(SETUP!$B$4*MIN(1,$I598/SETUP!$B$9)+SETUP!$B$5*MAX(0,MIN(1,($G598-SETUP!$B$10)/(SETUP!$B$11-SETUP!$B$10)))+SETUP!$B$6*MIN(1,IF($L598="",0,$L598)/SETUP!$B$12)),1)))</f>
        <v>34.700000000000003</v>
      </c>
      <c r="O598" s="15" t="str">
        <f>IF($C598="","",IF($N598="","-",INDEX(SETUP!$B$46:$B$51,MATCH($N598,SETUP!$A$46:$A$51,1))))</f>
        <v>C</v>
      </c>
      <c r="P598" s="15">
        <f>IF($C598="","",IF($I598="","",RANK($I598,$I$4:$I$1463)+COUNTIF($I$4:$I598,$I598)-1))</f>
        <v>1155</v>
      </c>
      <c r="Q598" s="15">
        <f>IF($C598="","",COUNTIFS($B$4:$B$1463,$B598,$X$4:$X$1463,"&gt;"&amp;$X598)+COUNTIFS($B$4:$B598,$B598,$X$4:$X598,"="&amp;$X598))</f>
        <v>49</v>
      </c>
      <c r="R598" s="72">
        <f>IF($C598="","",IF($I598="","",ROUND(COUNTIF($I$4:$I$1463,"&lt;"&amp;$I598)/COUNT($I$4:$I$1463),3)))</f>
        <v>0.128</v>
      </c>
      <c r="S598" s="15" t="str">
        <f>IF($C598="","",IF($G598="","Name only",IF(OR($I598="",$L598=""),"Partial","Complete")))</f>
        <v>Complete</v>
      </c>
      <c r="T598" s="41" t="str">
        <f>IF($C598="","",TRIM(IF(COUNTIF($C$4:$C$1463,$C598)&gt;1,"Dup name; ","")&amp;IF(AND($G598&lt;&gt;"",$G598&lt;55000),"Low CR - verify; ","")&amp;IF(AND($L598&lt;&gt;"",$L598&gt;15),"Secondary - verify; ","")&amp;IF($E598="","No class; ","")))</f>
        <v/>
      </c>
      <c r="U598" s="68"/>
      <c r="V598" s="68"/>
      <c r="W598" s="68"/>
      <c r="X598" s="73">
        <f t="shared" si="47"/>
        <v>1740</v>
      </c>
      <c r="Y598" s="41" t="str">
        <f t="shared" si="48"/>
        <v>ZOMBIES|49</v>
      </c>
      <c r="Z598" s="15">
        <f>IF($C598="","",IF($G598="","",RANK($G598,$G$4:$G$1463)+COUNTIF($G$4:$G598,$G598)-1))</f>
        <v>806</v>
      </c>
      <c r="AA598" s="15">
        <f>IF($C598="","",IF($N598="","",RANK($N598,$N$4:$N$1463)+COUNTIF($N$4:$N598,$N598)-1))</f>
        <v>1013</v>
      </c>
      <c r="AB598" s="41" t="str">
        <f>IF($C598="","",IF($E598="","",$E598&amp;"#"&amp;(COUNTIFS($E$4:$E$1463,$E598,$X$4:$X$1463,"&gt;"&amp;$X598)+COUNTIFS($E$4:$E598,$E598,$X$4:$X598,"="&amp;$X598))))</f>
        <v>WARLOCK#286</v>
      </c>
      <c r="AC598" s="41" t="str">
        <f>IF($C598="","",$B598&amp;"@"&amp;(COUNTIFS($B$4:$B$1463,$B598,$C$4:$C$1463,"&lt;"&amp;$C598)+COUNTIFS($B$4:$B598,$B598,$C$4:$C598,$C598)))</f>
        <v>ZOMBIES@48</v>
      </c>
      <c r="AD598" s="41">
        <f t="shared" si="49"/>
        <v>595</v>
      </c>
      <c r="AE598" s="41" t="s">
        <v>1582</v>
      </c>
      <c r="AF598" s="73">
        <f t="shared" si="50"/>
        <v>62081</v>
      </c>
      <c r="AG598" s="74">
        <f t="shared" si="51"/>
        <v>5.0999999999999996</v>
      </c>
      <c r="AH598" s="41" t="str">
        <f>IF($C598="","",$B598&amp;"|"&amp;(COUNTIFS($B$4:$B$1463,$B598,$AF$4:$AF$1463,"&gt;"&amp;$AF598)+COUNTIFS($B$4:$B598,$B598,$AF$4:$AF598,"="&amp;$AF598)))</f>
        <v>ZOMBIES|26</v>
      </c>
      <c r="AI598" s="41" t="str">
        <f>IF($C598="","",$B598&amp;"|"&amp;(COUNTIFS($B$4:$B$1463,$B598,$AG$4:$AG$1463,"&gt;"&amp;$AG598)+COUNTIFS($B$4:$B598,$B598,$AG$4:$AG598,"="&amp;$AG598)))</f>
        <v>ZOMBIES|10</v>
      </c>
    </row>
    <row r="599" spans="1:35" hidden="1">
      <c r="A599" s="69" t="s">
        <v>109</v>
      </c>
      <c r="B599" s="69" t="s">
        <v>114</v>
      </c>
      <c r="C599" s="63" t="s">
        <v>1583</v>
      </c>
      <c r="D599" s="69"/>
      <c r="E599" s="68" t="s">
        <v>71</v>
      </c>
      <c r="F599" s="19" t="str">
        <f>IF($C599="","",IF($E599="","-",IFERROR(INDEX(SETUP!$B$55:$B$64,MATCH($E599,SETUP!$A$55:$A$64,0)),"Other")))</f>
        <v>Frontline</v>
      </c>
      <c r="G599" s="70">
        <v>60878</v>
      </c>
      <c r="H599" s="19" t="str">
        <f>IF($C599="","",IF($G599="","-",INDEX(SETUP!$B$26:$B$32,MATCH($G599,SETUP!$A$26:$A$32,1))))</f>
        <v>60,000 - 60,999</v>
      </c>
      <c r="I599" s="70">
        <v>985</v>
      </c>
      <c r="J599" s="19" t="str">
        <f>IF($C599="","",IF($I599="","-",INDEX(SETUP!$B$16:$B$22,MATCH($I599,SETUP!$A$16:$A$22,1))))</f>
        <v>ROOKIE</v>
      </c>
      <c r="K599" s="19" t="str">
        <f>IF($C599="","",IF($I599="","-",TEXT(INT($I599/1000)*1000,"#,##0")&amp;" - "&amp;TEXT(INT($I599/1000)*1000+999,"#,##0")))</f>
        <v>0 - 999</v>
      </c>
      <c r="L599" s="71">
        <v>3.1</v>
      </c>
      <c r="M599" s="19" t="str">
        <f>IF($C599="","",IF($L599="","-",INDEX(SETUP!$B$36:$B$42,MATCH($L599,SETUP!$A$36:$A$42,1))))</f>
        <v>3k - 4k</v>
      </c>
      <c r="N599" s="21">
        <f>IF($C599="","",IF(OR($G599="",$I599=""),"",ROUND(100*(SETUP!$B$4*MIN(1,$I599/SETUP!$B$9)+SETUP!$B$5*MAX(0,MIN(1,($G599-SETUP!$B$10)/(SETUP!$B$11-SETUP!$B$10)))+SETUP!$B$6*MIN(1,IF($L599="",0,$L599)/SETUP!$B$12)),1)))</f>
        <v>24.9</v>
      </c>
      <c r="O599" s="19" t="str">
        <f>IF($C599="","",IF($N599="","-",INDEX(SETUP!$B$46:$B$51,MATCH($N599,SETUP!$A$46:$A$51,1))))</f>
        <v>C</v>
      </c>
      <c r="P599" s="19">
        <f>IF($C599="","",IF($I599="","",RANK($I599,$I$4:$I$1463)+COUNTIF($I$4:$I599,$I599)-1))</f>
        <v>1278</v>
      </c>
      <c r="Q599" s="19">
        <f>IF($C599="","",COUNTIFS($B$4:$B$1463,$B599,$X$4:$X$1463,"&gt;"&amp;$X599)+COUNTIFS($B$4:$B599,$B599,$X$4:$X599,"="&amp;$X599))</f>
        <v>85</v>
      </c>
      <c r="R599" s="75">
        <f>IF($C599="","",IF($I599="","",ROUND(COUNTIF($I$4:$I$1463,"&lt;"&amp;$I599)/COUNT($I$4:$I$1463),3)))</f>
        <v>3.5000000000000003E-2</v>
      </c>
      <c r="S599" s="19" t="str">
        <f>IF($C599="","",IF($G599="","Name only",IF(OR($I599="",$L599=""),"Partial","Complete")))</f>
        <v>Complete</v>
      </c>
      <c r="T599" s="1" t="str">
        <f>IF($C599="","",TRIM(IF(COUNTIF($C$4:$C$1463,$C599)&gt;1,"Dup name; ","")&amp;IF(AND($G599&lt;&gt;"",$G599&lt;55000),"Low CR - verify; ","")&amp;IF(AND($L599&lt;&gt;"",$L599&gt;15),"Secondary - verify; ","")&amp;IF($E599="","No class; ","")))</f>
        <v/>
      </c>
      <c r="U599" s="68"/>
      <c r="V599" s="68"/>
      <c r="W599" s="68"/>
      <c r="X599" s="76">
        <f t="shared" si="47"/>
        <v>985</v>
      </c>
      <c r="Y599" s="1" t="str">
        <f t="shared" si="48"/>
        <v>EMERALD LEAF TRIBE|85</v>
      </c>
      <c r="Z599" s="19">
        <f>IF($C599="","",IF($G599="","",RANK($G599,$G$4:$G$1463)+COUNTIF($G$4:$G599,$G599)-1))</f>
        <v>1159</v>
      </c>
      <c r="AA599" s="19">
        <f>IF($C599="","",IF($N599="","",RANK($N599,$N$4:$N$1463)+COUNTIF($N$4:$N599,$N599)-1))</f>
        <v>1246</v>
      </c>
      <c r="AB599" s="1" t="str">
        <f>IF($C599="","",IF($E599="","",$E599&amp;"#"&amp;(COUNTIFS($E$4:$E$1463,$E599,$X$4:$X$1463,"&gt;"&amp;$X599)+COUNTIFS($E$4:$E599,$E599,$X$4:$X599,"="&amp;$X599))))</f>
        <v>BARBARIAN#213</v>
      </c>
      <c r="AC599" s="1" t="str">
        <f>IF($C599="","",$B599&amp;"@"&amp;(COUNTIFS($B$4:$B$1463,$B599,$C$4:$C$1463,"&lt;"&amp;$C599)+COUNTIFS($B$4:$B599,$B599,$C$4:$C599,$C599)))</f>
        <v>EMERALD LEAF TRIBE@40</v>
      </c>
      <c r="AD599" s="1">
        <f t="shared" si="49"/>
        <v>596</v>
      </c>
      <c r="AE599" s="1" t="s">
        <v>1584</v>
      </c>
      <c r="AF599" s="76">
        <f t="shared" si="50"/>
        <v>60878</v>
      </c>
      <c r="AG599" s="77">
        <f t="shared" si="51"/>
        <v>3.1</v>
      </c>
      <c r="AH599" s="1" t="str">
        <f>IF($C599="","",$B599&amp;"|"&amp;(COUNTIFS($B$4:$B$1463,$B599,$AF$4:$AF$1463,"&gt;"&amp;$AF599)+COUNTIFS($B$4:$B599,$B599,$AF$4:$AF599,"="&amp;$AF599)))</f>
        <v>EMERALD LEAF TRIBE|62</v>
      </c>
      <c r="AI599" s="1" t="str">
        <f>IF($C599="","",$B599&amp;"|"&amp;(COUNTIFS($B$4:$B$1463,$B599,$AG$4:$AG$1463,"&gt;"&amp;$AG599)+COUNTIFS($B$4:$B599,$B599,$AG$4:$AG599,"="&amp;$AG599)))</f>
        <v>EMERALD LEAF TRIBE|74</v>
      </c>
    </row>
    <row r="600" spans="1:35" hidden="1">
      <c r="A600" s="69" t="s">
        <v>106</v>
      </c>
      <c r="B600" s="69" t="s">
        <v>107</v>
      </c>
      <c r="C600" s="63" t="s">
        <v>1585</v>
      </c>
      <c r="D600" s="69"/>
      <c r="E600" s="68" t="s">
        <v>71</v>
      </c>
      <c r="F600" s="15" t="str">
        <f>IF($C600="","",IF($E600="","-",IFERROR(INDEX(SETUP!$B$55:$B$64,MATCH($E600,SETUP!$A$55:$A$64,0)),"Other")))</f>
        <v>Frontline</v>
      </c>
      <c r="G600" s="70">
        <v>63315</v>
      </c>
      <c r="H600" s="15" t="str">
        <f>IF($C600="","",IF($G600="","-",INDEX(SETUP!$B$26:$B$32,MATCH($G600,SETUP!$A$26:$A$32,1))))</f>
        <v>63,000 - 63,999</v>
      </c>
      <c r="I600" s="70">
        <v>4763</v>
      </c>
      <c r="J600" s="15" t="str">
        <f>IF($C600="","",IF($I600="","-",INDEX(SETUP!$B$16:$B$22,MATCH($I600,SETUP!$A$16:$A$22,1))))</f>
        <v>CORE</v>
      </c>
      <c r="K600" s="15" t="str">
        <f>IF($C600="","",IF($I600="","-",TEXT(INT($I600/1000)*1000,"#,##0")&amp;" - "&amp;TEXT(INT($I600/1000)*1000+999,"#,##0")))</f>
        <v>4,000 - 4,999</v>
      </c>
      <c r="L600" s="71">
        <v>5.0999999999999996</v>
      </c>
      <c r="M600" s="15" t="str">
        <f>IF($C600="","",IF($L600="","-",INDEX(SETUP!$B$36:$B$42,MATCH($L600,SETUP!$A$36:$A$42,1))))</f>
        <v>5k - 6k</v>
      </c>
      <c r="N600" s="17">
        <f>IF($C600="","",IF(OR($G600="",$I600=""),"",ROUND(100*(SETUP!$B$4*MIN(1,$I600/SETUP!$B$9)+SETUP!$B$5*MAX(0,MIN(1,($G600-SETUP!$B$10)/(SETUP!$B$11-SETUP!$B$10)))+SETUP!$B$6*MIN(1,IF($L600="",0,$L600)/SETUP!$B$12)),1)))</f>
        <v>51.2</v>
      </c>
      <c r="O600" s="15" t="str">
        <f>IF($C600="","",IF($N600="","-",INDEX(SETUP!$B$46:$B$51,MATCH($N600,SETUP!$A$46:$A$51,1))))</f>
        <v>A</v>
      </c>
      <c r="P600" s="15">
        <f>IF($C600="","",IF($I600="","",RANK($I600,$I$4:$I$1463)+COUNTIF($I$4:$I600,$I600)-1))</f>
        <v>445</v>
      </c>
      <c r="Q600" s="15">
        <f>IF($C600="","",COUNTIFS($B$4:$B$1463,$B600,$X$4:$X$1463,"&gt;"&amp;$X600)+COUNTIFS($B$4:$B600,$B600,$X$4:$X600,"="&amp;$X600))</f>
        <v>30</v>
      </c>
      <c r="R600" s="72">
        <f>IF($C600="","",IF($I600="","",ROUND(COUNTIF($I$4:$I$1463,"&lt;"&amp;$I600)/COUNT($I$4:$I$1463),3)))</f>
        <v>0.66400000000000003</v>
      </c>
      <c r="S600" s="15" t="str">
        <f>IF($C600="","",IF($G600="","Name only",IF(OR($I600="",$L600=""),"Partial","Complete")))</f>
        <v>Complete</v>
      </c>
      <c r="T600" s="41" t="str">
        <f>IF($C600="","",TRIM(IF(COUNTIF($C$4:$C$1463,$C600)&gt;1,"Dup name; ","")&amp;IF(AND($G600&lt;&gt;"",$G600&lt;55000),"Low CR - verify; ","")&amp;IF(AND($L600&lt;&gt;"",$L600&gt;15),"Secondary - verify; ","")&amp;IF($E600="","No class; ","")))</f>
        <v/>
      </c>
      <c r="U600" s="68"/>
      <c r="V600" s="68"/>
      <c r="W600" s="68"/>
      <c r="X600" s="73">
        <f t="shared" si="47"/>
        <v>4763</v>
      </c>
      <c r="Y600" s="41" t="str">
        <f t="shared" si="48"/>
        <v>UNDYING|30</v>
      </c>
      <c r="Z600" s="15">
        <f>IF($C600="","",IF($G600="","",RANK($G600,$G$4:$G$1463)+COUNTIF($G$4:$G600,$G600)-1))</f>
        <v>251</v>
      </c>
      <c r="AA600" s="15">
        <f>IF($C600="","",IF($N600="","",RANK($N600,$N$4:$N$1463)+COUNTIF($N$4:$N600,$N600)-1))</f>
        <v>417</v>
      </c>
      <c r="AB600" s="41" t="str">
        <f>IF($C600="","",IF($E600="","",$E600&amp;"#"&amp;(COUNTIFS($E$4:$E$1463,$E600,$X$4:$X$1463,"&gt;"&amp;$X600)+COUNTIFS($E$4:$E600,$E600,$X$4:$X600,"="&amp;$X600))))</f>
        <v>BARBARIAN#90</v>
      </c>
      <c r="AC600" s="41" t="str">
        <f>IF($C600="","",$B600&amp;"@"&amp;(COUNTIFS($B$4:$B$1463,$B600,$C$4:$C$1463,"&lt;"&amp;$C600)+COUNTIFS($B$4:$B600,$B600,$C$4:$C600,$C600)))</f>
        <v>UNDYING@50</v>
      </c>
      <c r="AD600" s="41">
        <f t="shared" si="49"/>
        <v>597</v>
      </c>
      <c r="AE600" s="41" t="s">
        <v>559</v>
      </c>
      <c r="AF600" s="73">
        <f t="shared" si="50"/>
        <v>63315</v>
      </c>
      <c r="AG600" s="74">
        <f t="shared" si="51"/>
        <v>5.0999999999999996</v>
      </c>
      <c r="AH600" s="41" t="str">
        <f>IF($C600="","",$B600&amp;"|"&amp;(COUNTIFS($B$4:$B$1463,$B600,$AF$4:$AF$1463,"&gt;"&amp;$AF600)+COUNTIFS($B$4:$B600,$B600,$AF$4:$AF600,"="&amp;$AF600)))</f>
        <v>UNDYING|20</v>
      </c>
      <c r="AI600" s="41" t="str">
        <f>IF($C600="","",$B600&amp;"|"&amp;(COUNTIFS($B$4:$B$1463,$B600,$AG$4:$AG$1463,"&gt;"&amp;$AG600)+COUNTIFS($B$4:$B600,$B600,$AG$4:$AG600,"="&amp;$AG600)))</f>
        <v>UNDYING|48</v>
      </c>
    </row>
    <row r="601" spans="1:35" hidden="1">
      <c r="A601" s="69" t="s">
        <v>109</v>
      </c>
      <c r="B601" s="69" t="s">
        <v>111</v>
      </c>
      <c r="C601" s="63" t="s">
        <v>1586</v>
      </c>
      <c r="D601" s="69" t="s">
        <v>527</v>
      </c>
      <c r="E601" s="68" t="s">
        <v>79</v>
      </c>
      <c r="F601" s="19" t="str">
        <f>IF($C601="","",IF($E601="","-",IFERROR(INDEX(SETUP!$B$55:$B$64,MATCH($E601,SETUP!$A$55:$A$64,0)),"Other")))</f>
        <v>Control</v>
      </c>
      <c r="G601" s="70">
        <v>63098</v>
      </c>
      <c r="H601" s="19" t="str">
        <f>IF($C601="","",IF($G601="","-",INDEX(SETUP!$B$26:$B$32,MATCH($G601,SETUP!$A$26:$A$32,1))))</f>
        <v>63,000 - 63,999</v>
      </c>
      <c r="I601" s="70">
        <v>5364</v>
      </c>
      <c r="J601" s="19" t="str">
        <f>IF($C601="","",IF($I601="","-",INDEX(SETUP!$B$16:$B$22,MATCH($I601,SETUP!$A$16:$A$22,1))))</f>
        <v>CORE</v>
      </c>
      <c r="K601" s="19" t="str">
        <f>IF($C601="","",IF($I601="","-",TEXT(INT($I601/1000)*1000,"#,##0")&amp;" - "&amp;TEXT(INT($I601/1000)*1000+999,"#,##0")))</f>
        <v>5,000 - 5,999</v>
      </c>
      <c r="L601" s="71">
        <v>5.95</v>
      </c>
      <c r="M601" s="19" t="str">
        <f>IF($C601="","",IF($L601="","-",INDEX(SETUP!$B$36:$B$42,MATCH($L601,SETUP!$A$36:$A$42,1))))</f>
        <v>5k - 6k</v>
      </c>
      <c r="N601" s="21">
        <f>IF($C601="","",IF(OR($G601="",$I601=""),"",ROUND(100*(SETUP!$B$4*MIN(1,$I601/SETUP!$B$9)+SETUP!$B$5*MAX(0,MIN(1,($G601-SETUP!$B$10)/(SETUP!$B$11-SETUP!$B$10)))+SETUP!$B$6*MIN(1,IF($L601="",0,$L601)/SETUP!$B$12)),1)))</f>
        <v>54.6</v>
      </c>
      <c r="O601" s="19" t="str">
        <f>IF($C601="","",IF($N601="","-",INDEX(SETUP!$B$46:$B$51,MATCH($N601,SETUP!$A$46:$A$51,1))))</f>
        <v>A</v>
      </c>
      <c r="P601" s="19">
        <f>IF($C601="","",IF($I601="","",RANK($I601,$I$4:$I$1463)+COUNTIF($I$4:$I601,$I601)-1))</f>
        <v>350</v>
      </c>
      <c r="Q601" s="19">
        <f>IF($C601="","",COUNTIFS($B$4:$B$1463,$B601,$X$4:$X$1463,"&gt;"&amp;$X601)+COUNTIFS($B$4:$B601,$B601,$X$4:$X601,"="&amp;$X601))</f>
        <v>40</v>
      </c>
      <c r="R601" s="75">
        <f>IF($C601="","",IF($I601="","",ROUND(COUNTIF($I$4:$I$1463,"&lt;"&amp;$I601)/COUNT($I$4:$I$1463),3)))</f>
        <v>0.73599999999999999</v>
      </c>
      <c r="S601" s="19" t="str">
        <f>IF($C601="","",IF($G601="","Name only",IF(OR($I601="",$L601=""),"Partial","Complete")))</f>
        <v>Complete</v>
      </c>
      <c r="T601" s="1" t="str">
        <f>IF($C601="","",TRIM(IF(COUNTIF($C$4:$C$1463,$C601)&gt;1,"Dup name; ","")&amp;IF(AND($G601&lt;&gt;"",$G601&lt;55000),"Low CR - verify; ","")&amp;IF(AND($L601&lt;&gt;"",$L601&gt;15),"Secondary - verify; ","")&amp;IF($E601="","No class; ","")))</f>
        <v/>
      </c>
      <c r="U601" s="68"/>
      <c r="V601" s="68"/>
      <c r="W601" s="68"/>
      <c r="X601" s="76">
        <f t="shared" si="47"/>
        <v>5364</v>
      </c>
      <c r="Y601" s="1" t="str">
        <f t="shared" si="48"/>
        <v>RECKONING|40</v>
      </c>
      <c r="Z601" s="19">
        <f>IF($C601="","",IF($G601="","",RANK($G601,$G$4:$G$1463)+COUNTIF($G$4:$G601,$G601)-1))</f>
        <v>381</v>
      </c>
      <c r="AA601" s="19">
        <f>IF($C601="","",IF($N601="","",RANK($N601,$N$4:$N$1463)+COUNTIF($N$4:$N601,$N601)-1))</f>
        <v>327</v>
      </c>
      <c r="AB601" s="1" t="str">
        <f>IF($C601="","",IF($E601="","",$E601&amp;"#"&amp;(COUNTIFS($E$4:$E$1463,$E601,$X$4:$X$1463,"&gt;"&amp;$X601)+COUNTIFS($E$4:$E601,$E601,$X$4:$X601,"="&amp;$X601))))</f>
        <v>WARLOCK#80</v>
      </c>
      <c r="AC601" s="1" t="str">
        <f>IF($C601="","",$B601&amp;"@"&amp;(COUNTIFS($B$4:$B$1463,$B601,$C$4:$C$1463,"&lt;"&amp;$C601)+COUNTIFS($B$4:$B601,$B601,$C$4:$C601,$C601)))</f>
        <v>RECKONING@44</v>
      </c>
      <c r="AD601" s="1">
        <f t="shared" si="49"/>
        <v>598</v>
      </c>
      <c r="AE601" s="1" t="s">
        <v>1587</v>
      </c>
      <c r="AF601" s="76">
        <f t="shared" si="50"/>
        <v>63098</v>
      </c>
      <c r="AG601" s="77">
        <f t="shared" si="51"/>
        <v>5.95</v>
      </c>
      <c r="AH601" s="1" t="str">
        <f>IF($C601="","",$B601&amp;"|"&amp;(COUNTIFS($B$4:$B$1463,$B601,$AF$4:$AF$1463,"&gt;"&amp;$AF601)+COUNTIFS($B$4:$B601,$B601,$AF$4:$AF601,"="&amp;$AF601)))</f>
        <v>RECKONING|40</v>
      </c>
      <c r="AI601" s="1" t="str">
        <f>IF($C601="","",$B601&amp;"|"&amp;(COUNTIFS($B$4:$B$1463,$B601,$AG$4:$AG$1463,"&gt;"&amp;$AG601)+COUNTIFS($B$4:$B601,$B601,$AG$4:$AG601,"="&amp;$AG601)))</f>
        <v>RECKONING|39</v>
      </c>
    </row>
    <row r="602" spans="1:35" hidden="1">
      <c r="A602" s="69" t="s">
        <v>109</v>
      </c>
      <c r="B602" s="69" t="s">
        <v>113</v>
      </c>
      <c r="C602" s="63" t="s">
        <v>1588</v>
      </c>
      <c r="D602" s="69" t="s">
        <v>548</v>
      </c>
      <c r="E602" s="68" t="s">
        <v>79</v>
      </c>
      <c r="F602" s="15" t="str">
        <f>IF($C602="","",IF($E602="","-",IFERROR(INDEX(SETUP!$B$55:$B$64,MATCH($E602,SETUP!$A$55:$A$64,0)),"Other")))</f>
        <v>Control</v>
      </c>
      <c r="G602" s="70">
        <v>63029</v>
      </c>
      <c r="H602" s="15" t="str">
        <f>IF($C602="","",IF($G602="","-",INDEX(SETUP!$B$26:$B$32,MATCH($G602,SETUP!$A$26:$A$32,1))))</f>
        <v>63,000 - 63,999</v>
      </c>
      <c r="I602" s="70">
        <v>4113</v>
      </c>
      <c r="J602" s="15" t="str">
        <f>IF($C602="","",IF($I602="","-",INDEX(SETUP!$B$16:$B$22,MATCH($I602,SETUP!$A$16:$A$22,1))))</f>
        <v>CORE</v>
      </c>
      <c r="K602" s="15" t="str">
        <f>IF($C602="","",IF($I602="","-",TEXT(INT($I602/1000)*1000,"#,##0")&amp;" - "&amp;TEXT(INT($I602/1000)*1000+999,"#,##0")))</f>
        <v>4,000 - 4,999</v>
      </c>
      <c r="L602" s="71">
        <v>5.2</v>
      </c>
      <c r="M602" s="15" t="str">
        <f>IF($C602="","",IF($L602="","-",INDEX(SETUP!$B$36:$B$42,MATCH($L602,SETUP!$A$36:$A$42,1))))</f>
        <v>5k - 6k</v>
      </c>
      <c r="N602" s="17">
        <f>IF($C602="","",IF(OR($G602="",$I602=""),"",ROUND(100*(SETUP!$B$4*MIN(1,$I602/SETUP!$B$9)+SETUP!$B$5*MAX(0,MIN(1,($G602-SETUP!$B$10)/(SETUP!$B$11-SETUP!$B$10)))+SETUP!$B$6*MIN(1,IF($L602="",0,$L602)/SETUP!$B$12)),1)))</f>
        <v>47.7</v>
      </c>
      <c r="O602" s="15" t="str">
        <f>IF($C602="","",IF($N602="","-",INDEX(SETUP!$B$46:$B$51,MATCH($N602,SETUP!$A$46:$A$51,1))))</f>
        <v>B</v>
      </c>
      <c r="P602" s="15">
        <f>IF($C602="","",IF($I602="","",RANK($I602,$I$4:$I$1463)+COUNTIF($I$4:$I602,$I602)-1))</f>
        <v>575</v>
      </c>
      <c r="Q602" s="15">
        <f>IF($C602="","",COUNTIFS($B$4:$B$1463,$B602,$X$4:$X$1463,"&gt;"&amp;$X602)+COUNTIFS($B$4:$B602,$B602,$X$4:$X602,"="&amp;$X602))</f>
        <v>25</v>
      </c>
      <c r="R602" s="72">
        <f>IF($C602="","",IF($I602="","",ROUND(COUNTIF($I$4:$I$1463,"&lt;"&amp;$I602)/COUNT($I$4:$I$1463),3)))</f>
        <v>0.56599999999999995</v>
      </c>
      <c r="S602" s="15" t="str">
        <f>IF($C602="","",IF($G602="","Name only",IF(OR($I602="",$L602=""),"Partial","Complete")))</f>
        <v>Complete</v>
      </c>
      <c r="T602" s="41" t="str">
        <f>IF($C602="","",TRIM(IF(COUNTIF($C$4:$C$1463,$C602)&gt;1,"Dup name; ","")&amp;IF(AND($G602&lt;&gt;"",$G602&lt;55000),"Low CR - verify; ","")&amp;IF(AND($L602&lt;&gt;"",$L602&gt;15),"Secondary - verify; ","")&amp;IF($E602="","No class; ","")))</f>
        <v/>
      </c>
      <c r="U602" s="68"/>
      <c r="V602" s="68"/>
      <c r="W602" s="68"/>
      <c r="X602" s="73">
        <f t="shared" si="47"/>
        <v>4113</v>
      </c>
      <c r="Y602" s="41" t="str">
        <f t="shared" si="48"/>
        <v>INVICTUS|25</v>
      </c>
      <c r="Z602" s="15">
        <f>IF($C602="","",IF($G602="","",RANK($G602,$G$4:$G$1463)+COUNTIF($G$4:$G602,$G602)-1))</f>
        <v>414</v>
      </c>
      <c r="AA602" s="15">
        <f>IF($C602="","",IF($N602="","",RANK($N602,$N$4:$N$1463)+COUNTIF($N$4:$N602,$N602)-1))</f>
        <v>528</v>
      </c>
      <c r="AB602" s="41" t="str">
        <f>IF($C602="","",IF($E602="","",$E602&amp;"#"&amp;(COUNTIFS($E$4:$E$1463,$E602,$X$4:$X$1463,"&gt;"&amp;$X602)+COUNTIFS($E$4:$E602,$E602,$X$4:$X602,"="&amp;$X602))))</f>
        <v>WARLOCK#135</v>
      </c>
      <c r="AC602" s="41" t="str">
        <f>IF($C602="","",$B602&amp;"@"&amp;(COUNTIFS($B$4:$B$1463,$B602,$C$4:$C$1463,"&lt;"&amp;$C602)+COUNTIFS($B$4:$B602,$B602,$C$4:$C602,$C602)))</f>
        <v>INVICTUS@39</v>
      </c>
      <c r="AD602" s="41">
        <f t="shared" si="49"/>
        <v>599</v>
      </c>
      <c r="AE602" s="41" t="s">
        <v>1589</v>
      </c>
      <c r="AF602" s="73">
        <f t="shared" si="50"/>
        <v>63029</v>
      </c>
      <c r="AG602" s="74">
        <f t="shared" si="51"/>
        <v>5.2</v>
      </c>
      <c r="AH602" s="41" t="str">
        <f>IF($C602="","",$B602&amp;"|"&amp;(COUNTIFS($B$4:$B$1463,$B602,$AF$4:$AF$1463,"&gt;"&amp;$AF602)+COUNTIFS($B$4:$B602,$B602,$AF$4:$AF602,"="&amp;$AF602)))</f>
        <v>INVICTUS|22</v>
      </c>
      <c r="AI602" s="41" t="str">
        <f>IF($C602="","",$B602&amp;"|"&amp;(COUNTIFS($B$4:$B$1463,$B602,$AG$4:$AG$1463,"&gt;"&amp;$AG602)+COUNTIFS($B$4:$B602,$B602,$AG$4:$AG602,"="&amp;$AG602)))</f>
        <v>INVICTUS|24</v>
      </c>
    </row>
    <row r="603" spans="1:35" hidden="1">
      <c r="A603" s="69" t="s">
        <v>109</v>
      </c>
      <c r="B603" s="69" t="s">
        <v>115</v>
      </c>
      <c r="C603" s="63" t="s">
        <v>1590</v>
      </c>
      <c r="D603" s="69"/>
      <c r="E603" s="68" t="s">
        <v>76</v>
      </c>
      <c r="F603" s="19" t="str">
        <f>IF($C603="","",IF($E603="","-",IFERROR(INDEX(SETUP!$B$55:$B$64,MATCH($E603,SETUP!$A$55:$A$64,0)),"Other")))</f>
        <v>Support</v>
      </c>
      <c r="G603" s="70">
        <v>61732</v>
      </c>
      <c r="H603" s="19" t="str">
        <f>IF($C603="","",IF($G603="","-",INDEX(SETUP!$B$26:$B$32,MATCH($G603,SETUP!$A$26:$A$32,1))))</f>
        <v>61,000 - 61,999</v>
      </c>
      <c r="I603" s="70">
        <v>2100</v>
      </c>
      <c r="J603" s="19" t="str">
        <f>IF($C603="","",IF($I603="","-",INDEX(SETUP!$B$16:$B$22,MATCH($I603,SETUP!$A$16:$A$22,1))))</f>
        <v>DEVELOPING</v>
      </c>
      <c r="K603" s="19" t="str">
        <f>IF($C603="","",IF($I603="","-",TEXT(INT($I603/1000)*1000,"#,##0")&amp;" - "&amp;TEXT(INT($I603/1000)*1000+999,"#,##0")))</f>
        <v>2,000 - 2,999</v>
      </c>
      <c r="L603" s="71">
        <v>4.0999999999999996</v>
      </c>
      <c r="M603" s="19" t="str">
        <f>IF($C603="","",IF($L603="","-",INDEX(SETUP!$B$36:$B$42,MATCH($L603,SETUP!$A$36:$A$42,1))))</f>
        <v>4k - 5k</v>
      </c>
      <c r="N603" s="21">
        <f>IF($C603="","",IF(OR($G603="",$I603=""),"",ROUND(100*(SETUP!$B$4*MIN(1,$I603/SETUP!$B$9)+SETUP!$B$5*MAX(0,MIN(1,($G603-SETUP!$B$10)/(SETUP!$B$11-SETUP!$B$10)))+SETUP!$B$6*MIN(1,IF($L603="",0,$L603)/SETUP!$B$12)),1)))</f>
        <v>33.700000000000003</v>
      </c>
      <c r="O603" s="19" t="str">
        <f>IF($C603="","",IF($N603="","-",INDEX(SETUP!$B$46:$B$51,MATCH($N603,SETUP!$A$46:$A$51,1))))</f>
        <v>C</v>
      </c>
      <c r="P603" s="19">
        <f>IF($C603="","",IF($I603="","",RANK($I603,$I$4:$I$1463)+COUNTIF($I$4:$I603,$I603)-1))</f>
        <v>1089</v>
      </c>
      <c r="Q603" s="19">
        <f>IF($C603="","",COUNTIFS($B$4:$B$1463,$B603,$X$4:$X$1463,"&gt;"&amp;$X603)+COUNTIFS($B$4:$B603,$B603,$X$4:$X603,"="&amp;$X603))</f>
        <v>43</v>
      </c>
      <c r="R603" s="75">
        <f>IF($C603="","",IF($I603="","",ROUND(COUNTIF($I$4:$I$1463,"&lt;"&amp;$I603)/COUNT($I$4:$I$1463),3)))</f>
        <v>0.17799999999999999</v>
      </c>
      <c r="S603" s="19" t="str">
        <f>IF($C603="","",IF($G603="","Name only",IF(OR($I603="",$L603=""),"Partial","Complete")))</f>
        <v>Complete</v>
      </c>
      <c r="T603" s="1" t="str">
        <f>IF($C603="","",TRIM(IF(COUNTIF($C$4:$C$1463,$C603)&gt;1,"Dup name; ","")&amp;IF(AND($G603&lt;&gt;"",$G603&lt;55000),"Low CR - verify; ","")&amp;IF(AND($L603&lt;&gt;"",$L603&gt;15),"Secondary - verify; ","")&amp;IF($E603="","No class; ","")))</f>
        <v/>
      </c>
      <c r="U603" s="68"/>
      <c r="V603" s="68"/>
      <c r="W603" s="68"/>
      <c r="X603" s="76">
        <f t="shared" si="47"/>
        <v>2100</v>
      </c>
      <c r="Y603" s="1" t="str">
        <f t="shared" si="48"/>
        <v>SUB ROSA|43</v>
      </c>
      <c r="Z603" s="19">
        <f>IF($C603="","",IF($G603="","",RANK($G603,$G$4:$G$1463)+COUNTIF($G$4:$G603,$G603)-1))</f>
        <v>932</v>
      </c>
      <c r="AA603" s="19">
        <f>IF($C603="","",IF($N603="","",RANK($N603,$N$4:$N$1463)+COUNTIF($N$4:$N603,$N603)-1))</f>
        <v>1052</v>
      </c>
      <c r="AB603" s="1" t="str">
        <f>IF($C603="","",IF($E603="","",$E603&amp;"#"&amp;(COUNTIFS($E$4:$E$1463,$E603,$X$4:$X$1463,"&gt;"&amp;$X603)+COUNTIFS($E$4:$E603,$E603,$X$4:$X603,"="&amp;$X603))))</f>
        <v>MONK#37</v>
      </c>
      <c r="AC603" s="1" t="str">
        <f>IF($C603="","",$B603&amp;"@"&amp;(COUNTIFS($B$4:$B$1463,$B603,$C$4:$C$1463,"&lt;"&amp;$C603)+COUNTIFS($B$4:$B603,$B603,$C$4:$C603,$C603)))</f>
        <v>SUB ROSA@40</v>
      </c>
      <c r="AD603" s="1">
        <f t="shared" si="49"/>
        <v>600</v>
      </c>
      <c r="AE603" s="1" t="s">
        <v>1361</v>
      </c>
      <c r="AF603" s="76">
        <f t="shared" si="50"/>
        <v>61732</v>
      </c>
      <c r="AG603" s="77">
        <f t="shared" si="51"/>
        <v>4.0999999999999996</v>
      </c>
      <c r="AH603" s="1" t="str">
        <f>IF($C603="","",$B603&amp;"|"&amp;(COUNTIFS($B$4:$B$1463,$B603,$AF$4:$AF$1463,"&gt;"&amp;$AF603)+COUNTIFS($B$4:$B603,$B603,$AF$4:$AF603,"="&amp;$AF603)))</f>
        <v>SUB ROSA|39</v>
      </c>
      <c r="AI603" s="1" t="str">
        <f>IF($C603="","",$B603&amp;"|"&amp;(COUNTIFS($B$4:$B$1463,$B603,$AG$4:$AG$1463,"&gt;"&amp;$AG603)+COUNTIFS($B$4:$B603,$B603,$AG$4:$AG603,"="&amp;$AG603)))</f>
        <v>SUB ROSA|28</v>
      </c>
    </row>
    <row r="604" spans="1:35" hidden="1">
      <c r="A604" s="69" t="s">
        <v>106</v>
      </c>
      <c r="B604" s="69" t="s">
        <v>107</v>
      </c>
      <c r="C604" s="63" t="s">
        <v>1591</v>
      </c>
      <c r="D604" s="69"/>
      <c r="E604" s="68" t="s">
        <v>73</v>
      </c>
      <c r="F604" s="15" t="str">
        <f>IF($C604="","",IF($E604="","-",IFERROR(INDEX(SETUP!$B$55:$B$64,MATCH($E604,SETUP!$A$55:$A$64,0)),"Other")))</f>
        <v>Frontline</v>
      </c>
      <c r="G604" s="70">
        <v>63304</v>
      </c>
      <c r="H604" s="15" t="str">
        <f>IF($C604="","",IF($G604="","-",INDEX(SETUP!$B$26:$B$32,MATCH($G604,SETUP!$A$26:$A$32,1))))</f>
        <v>63,000 - 63,999</v>
      </c>
      <c r="I604" s="70">
        <v>8843</v>
      </c>
      <c r="J604" s="15" t="str">
        <f>IF($C604="","",IF($I604="","-",INDEX(SETUP!$B$16:$B$22,MATCH($I604,SETUP!$A$16:$A$22,1))))</f>
        <v>ELITE</v>
      </c>
      <c r="K604" s="15" t="str">
        <f>IF($C604="","",IF($I604="","-",TEXT(INT($I604/1000)*1000,"#,##0")&amp;" - "&amp;TEXT(INT($I604/1000)*1000+999,"#,##0")))</f>
        <v>8,000 - 8,999</v>
      </c>
      <c r="L604" s="71">
        <v>6.7</v>
      </c>
      <c r="M604" s="15" t="str">
        <f>IF($C604="","",IF($L604="","-",INDEX(SETUP!$B$36:$B$42,MATCH($L604,SETUP!$A$36:$A$42,1))))</f>
        <v>6k - 8k</v>
      </c>
      <c r="N604" s="17">
        <f>IF($C604="","",IF(OR($G604="",$I604=""),"",ROUND(100*(SETUP!$B$4*MIN(1,$I604/SETUP!$B$9)+SETUP!$B$5*MAX(0,MIN(1,($G604-SETUP!$B$10)/(SETUP!$B$11-SETUP!$B$10)))+SETUP!$B$6*MIN(1,IF($L604="",0,$L604)/SETUP!$B$12)),1)))</f>
        <v>71.599999999999994</v>
      </c>
      <c r="O604" s="15" t="str">
        <f>IF($C604="","",IF($N604="","-",INDEX(SETUP!$B$46:$B$51,MATCH($N604,SETUP!$A$46:$A$51,1))))</f>
        <v>S</v>
      </c>
      <c r="P604" s="15">
        <f>IF($C604="","",IF($I604="","",RANK($I604,$I$4:$I$1463)+COUNTIF($I$4:$I604,$I604)-1))</f>
        <v>101</v>
      </c>
      <c r="Q604" s="15">
        <f>IF($C604="","",COUNTIFS($B$4:$B$1463,$B604,$X$4:$X$1463,"&gt;"&amp;$X604)+COUNTIFS($B$4:$B604,$B604,$X$4:$X604,"="&amp;$X604))</f>
        <v>3</v>
      </c>
      <c r="R604" s="72">
        <f>IF($C604="","",IF($I604="","",ROUND(COUNTIF($I$4:$I$1463,"&lt;"&amp;$I604)/COUNT($I$4:$I$1463),3)))</f>
        <v>0.92400000000000004</v>
      </c>
      <c r="S604" s="15" t="str">
        <f>IF($C604="","",IF($G604="","Name only",IF(OR($I604="",$L604=""),"Partial","Complete")))</f>
        <v>Complete</v>
      </c>
      <c r="T604" s="41" t="str">
        <f>IF($C604="","",TRIM(IF(COUNTIF($C$4:$C$1463,$C604)&gt;1,"Dup name; ","")&amp;IF(AND($G604&lt;&gt;"",$G604&lt;55000),"Low CR - verify; ","")&amp;IF(AND($L604&lt;&gt;"",$L604&gt;15),"Secondary - verify; ","")&amp;IF($E604="","No class; ","")))</f>
        <v/>
      </c>
      <c r="U604" s="68"/>
      <c r="V604" s="68"/>
      <c r="W604" s="68"/>
      <c r="X604" s="73">
        <f t="shared" si="47"/>
        <v>8843</v>
      </c>
      <c r="Y604" s="41" t="str">
        <f t="shared" si="48"/>
        <v>UNDYING|3</v>
      </c>
      <c r="Z604" s="15">
        <f>IF($C604="","",IF($G604="","",RANK($G604,$G$4:$G$1463)+COUNTIF($G$4:$G604,$G604)-1))</f>
        <v>261</v>
      </c>
      <c r="AA604" s="15">
        <f>IF($C604="","",IF($N604="","",RANK($N604,$N$4:$N$1463)+COUNTIF($N$4:$N604,$N604)-1))</f>
        <v>116</v>
      </c>
      <c r="AB604" s="41" t="str">
        <f>IF($C604="","",IF($E604="","",$E604&amp;"#"&amp;(COUNTIFS($E$4:$E$1463,$E604,$X$4:$X$1463,"&gt;"&amp;$X604)+COUNTIFS($E$4:$E604,$E604,$X$4:$X604,"="&amp;$X604))))</f>
        <v>CRUSADER#19</v>
      </c>
      <c r="AC604" s="41" t="str">
        <f>IF($C604="","",$B604&amp;"@"&amp;(COUNTIFS($B$4:$B$1463,$B604,$C$4:$C$1463,"&lt;"&amp;$C604)+COUNTIFS($B$4:$B604,$B604,$C$4:$C604,$C604)))</f>
        <v>UNDYING@51</v>
      </c>
      <c r="AD604" s="41">
        <f t="shared" si="49"/>
        <v>601</v>
      </c>
      <c r="AE604" s="41" t="s">
        <v>741</v>
      </c>
      <c r="AF604" s="73">
        <f t="shared" si="50"/>
        <v>63304</v>
      </c>
      <c r="AG604" s="74">
        <f t="shared" si="51"/>
        <v>6.7</v>
      </c>
      <c r="AH604" s="41" t="str">
        <f>IF($C604="","",$B604&amp;"|"&amp;(COUNTIFS($B$4:$B$1463,$B604,$AF$4:$AF$1463,"&gt;"&amp;$AF604)+COUNTIFS($B$4:$B604,$B604,$AF$4:$AF604,"="&amp;$AF604)))</f>
        <v>UNDYING|21</v>
      </c>
      <c r="AI604" s="41" t="str">
        <f>IF($C604="","",$B604&amp;"|"&amp;(COUNTIFS($B$4:$B$1463,$B604,$AG$4:$AG$1463,"&gt;"&amp;$AG604)+COUNTIFS($B$4:$B604,$B604,$AG$4:$AG604,"="&amp;$AG604)))</f>
        <v>UNDYING|11</v>
      </c>
    </row>
    <row r="605" spans="1:35" hidden="1">
      <c r="A605" s="69" t="s">
        <v>106</v>
      </c>
      <c r="B605" s="69" t="s">
        <v>107</v>
      </c>
      <c r="C605" s="63" t="s">
        <v>1592</v>
      </c>
      <c r="D605" s="69"/>
      <c r="E605" s="68" t="s">
        <v>71</v>
      </c>
      <c r="F605" s="19" t="str">
        <f>IF($C605="","",IF($E605="","-",IFERROR(INDEX(SETUP!$B$55:$B$64,MATCH($E605,SETUP!$A$55:$A$64,0)),"Other")))</f>
        <v>Frontline</v>
      </c>
      <c r="G605" s="70">
        <v>62722</v>
      </c>
      <c r="H605" s="19" t="str">
        <f>IF($C605="","",IF($G605="","-",INDEX(SETUP!$B$26:$B$32,MATCH($G605,SETUP!$A$26:$A$32,1))))</f>
        <v>62,000 - 62,999</v>
      </c>
      <c r="I605" s="70">
        <v>2134</v>
      </c>
      <c r="J605" s="19" t="str">
        <f>IF($C605="","",IF($I605="","-",INDEX(SETUP!$B$16:$B$22,MATCH($I605,SETUP!$A$16:$A$22,1))))</f>
        <v>DEVELOPING</v>
      </c>
      <c r="K605" s="19" t="str">
        <f>IF($C605="","",IF($I605="","-",TEXT(INT($I605/1000)*1000,"#,##0")&amp;" - "&amp;TEXT(INT($I605/1000)*1000+999,"#,##0")))</f>
        <v>2,000 - 2,999</v>
      </c>
      <c r="L605" s="71">
        <v>3.65</v>
      </c>
      <c r="M605" s="19" t="str">
        <f>IF($C605="","",IF($L605="","-",INDEX(SETUP!$B$36:$B$42,MATCH($L605,SETUP!$A$36:$A$42,1))))</f>
        <v>3k - 4k</v>
      </c>
      <c r="N605" s="21">
        <f>IF($C605="","",IF(OR($G605="",$I605=""),"",ROUND(100*(SETUP!$B$4*MIN(1,$I605/SETUP!$B$9)+SETUP!$B$5*MAX(0,MIN(1,($G605-SETUP!$B$10)/(SETUP!$B$11-SETUP!$B$10)))+SETUP!$B$6*MIN(1,IF($L605="",0,$L605)/SETUP!$B$12)),1)))</f>
        <v>35.700000000000003</v>
      </c>
      <c r="O605" s="19" t="str">
        <f>IF($C605="","",IF($N605="","-",INDEX(SETUP!$B$46:$B$51,MATCH($N605,SETUP!$A$46:$A$51,1))))</f>
        <v>B</v>
      </c>
      <c r="P605" s="19">
        <f>IF($C605="","",IF($I605="","",RANK($I605,$I$4:$I$1463)+COUNTIF($I$4:$I605,$I605)-1))</f>
        <v>1078</v>
      </c>
      <c r="Q605" s="19">
        <f>IF($C605="","",COUNTIFS($B$4:$B$1463,$B605,$X$4:$X$1463,"&gt;"&amp;$X605)+COUNTIFS($B$4:$B605,$B605,$X$4:$X605,"="&amp;$X605))</f>
        <v>94</v>
      </c>
      <c r="R605" s="75">
        <f>IF($C605="","",IF($I605="","",ROUND(COUNTIF($I$4:$I$1463,"&lt;"&amp;$I605)/COUNT($I$4:$I$1463),3)))</f>
        <v>0.186</v>
      </c>
      <c r="S605" s="19" t="str">
        <f>IF($C605="","",IF($G605="","Name only",IF(OR($I605="",$L605=""),"Partial","Complete")))</f>
        <v>Complete</v>
      </c>
      <c r="T605" s="1" t="str">
        <f>IF($C605="","",TRIM(IF(COUNTIF($C$4:$C$1463,$C605)&gt;1,"Dup name; ","")&amp;IF(AND($G605&lt;&gt;"",$G605&lt;55000),"Low CR - verify; ","")&amp;IF(AND($L605&lt;&gt;"",$L605&gt;15),"Secondary - verify; ","")&amp;IF($E605="","No class; ","")))</f>
        <v/>
      </c>
      <c r="U605" s="68"/>
      <c r="V605" s="68"/>
      <c r="W605" s="68"/>
      <c r="X605" s="76">
        <f t="shared" si="47"/>
        <v>2134</v>
      </c>
      <c r="Y605" s="1" t="str">
        <f t="shared" si="48"/>
        <v>UNDYING|94</v>
      </c>
      <c r="Z605" s="19">
        <f>IF($C605="","",IF($G605="","",RANK($G605,$G$4:$G$1463)+COUNTIF($G$4:$G605,$G605)-1))</f>
        <v>559</v>
      </c>
      <c r="AA605" s="19">
        <f>IF($C605="","",IF($N605="","",RANK($N605,$N$4:$N$1463)+COUNTIF($N$4:$N605,$N605)-1))</f>
        <v>981</v>
      </c>
      <c r="AB605" s="1" t="str">
        <f>IF($C605="","",IF($E605="","",$E605&amp;"#"&amp;(COUNTIFS($E$4:$E$1463,$E605,$X$4:$X$1463,"&gt;"&amp;$X605)+COUNTIFS($E$4:$E605,$E605,$X$4:$X605,"="&amp;$X605))))</f>
        <v>BARBARIAN#186</v>
      </c>
      <c r="AC605" s="1" t="str">
        <f>IF($C605="","",$B605&amp;"@"&amp;(COUNTIFS($B$4:$B$1463,$B605,$C$4:$C$1463,"&lt;"&amp;$C605)+COUNTIFS($B$4:$B605,$B605,$C$4:$C605,$C605)))</f>
        <v>UNDYING@52</v>
      </c>
      <c r="AD605" s="1">
        <f t="shared" si="49"/>
        <v>602</v>
      </c>
      <c r="AE605" s="1" t="s">
        <v>868</v>
      </c>
      <c r="AF605" s="76">
        <f t="shared" si="50"/>
        <v>62722</v>
      </c>
      <c r="AG605" s="77">
        <f t="shared" si="51"/>
        <v>3.65</v>
      </c>
      <c r="AH605" s="1" t="str">
        <f>IF($C605="","",$B605&amp;"|"&amp;(COUNTIFS($B$4:$B$1463,$B605,$AF$4:$AF$1463,"&gt;"&amp;$AF605)+COUNTIFS($B$4:$B605,$B605,$AF$4:$AF605,"="&amp;$AF605)))</f>
        <v>UNDYING|55</v>
      </c>
      <c r="AI605" s="1" t="str">
        <f>IF($C605="","",$B605&amp;"|"&amp;(COUNTIFS($B$4:$B$1463,$B605,$AG$4:$AG$1463,"&gt;"&amp;$AG605)+COUNTIFS($B$4:$B605,$B605,$AG$4:$AG605,"="&amp;$AG605)))</f>
        <v>UNDYING|89</v>
      </c>
    </row>
    <row r="606" spans="1:35" hidden="1">
      <c r="A606" s="69" t="s">
        <v>109</v>
      </c>
      <c r="B606" s="69" t="s">
        <v>113</v>
      </c>
      <c r="C606" s="63" t="s">
        <v>1593</v>
      </c>
      <c r="D606" s="69" t="s">
        <v>548</v>
      </c>
      <c r="E606" s="68" t="s">
        <v>72</v>
      </c>
      <c r="F606" s="15" t="str">
        <f>IF($C606="","",IF($E606="","-",IFERROR(INDEX(SETUP!$B$55:$B$64,MATCH($E606,SETUP!$A$55:$A$64,0)),"Other")))</f>
        <v>Frontline</v>
      </c>
      <c r="G606" s="70">
        <v>62684</v>
      </c>
      <c r="H606" s="15" t="str">
        <f>IF($C606="","",IF($G606="","-",INDEX(SETUP!$B$26:$B$32,MATCH($G606,SETUP!$A$26:$A$32,1))))</f>
        <v>62,000 - 62,999</v>
      </c>
      <c r="I606" s="70">
        <v>3451</v>
      </c>
      <c r="J606" s="15" t="str">
        <f>IF($C606="","",IF($I606="","-",INDEX(SETUP!$B$16:$B$22,MATCH($I606,SETUP!$A$16:$A$22,1))))</f>
        <v>DEVELOPING</v>
      </c>
      <c r="K606" s="15" t="str">
        <f>IF($C606="","",IF($I606="","-",TEXT(INT($I606/1000)*1000,"#,##0")&amp;" - "&amp;TEXT(INT($I606/1000)*1000+999,"#,##0")))</f>
        <v>3,000 - 3,999</v>
      </c>
      <c r="L606" s="71">
        <v>4.4000000000000004</v>
      </c>
      <c r="M606" s="15" t="str">
        <f>IF($C606="","",IF($L606="","-",INDEX(SETUP!$B$36:$B$42,MATCH($L606,SETUP!$A$36:$A$42,1))))</f>
        <v>4k - 5k</v>
      </c>
      <c r="N606" s="17">
        <f>IF($C606="","",IF(OR($G606="",$I606=""),"",ROUND(100*(SETUP!$B$4*MIN(1,$I606/SETUP!$B$9)+SETUP!$B$5*MAX(0,MIN(1,($G606-SETUP!$B$10)/(SETUP!$B$11-SETUP!$B$10)))+SETUP!$B$6*MIN(1,IF($L606="",0,$L606)/SETUP!$B$12)),1)))</f>
        <v>42.6</v>
      </c>
      <c r="O606" s="15" t="str">
        <f>IF($C606="","",IF($N606="","-",INDEX(SETUP!$B$46:$B$51,MATCH($N606,SETUP!$A$46:$A$51,1))))</f>
        <v>B</v>
      </c>
      <c r="P606" s="15">
        <f>IF($C606="","",IF($I606="","",RANK($I606,$I$4:$I$1463)+COUNTIF($I$4:$I606,$I606)-1))</f>
        <v>746</v>
      </c>
      <c r="Q606" s="15">
        <f>IF($C606="","",COUNTIFS($B$4:$B$1463,$B606,$X$4:$X$1463,"&gt;"&amp;$X606)+COUNTIFS($B$4:$B606,$B606,$X$4:$X606,"="&amp;$X606))</f>
        <v>37</v>
      </c>
      <c r="R606" s="72">
        <f>IF($C606="","",IF($I606="","",ROUND(COUNTIF($I$4:$I$1463,"&lt;"&amp;$I606)/COUNT($I$4:$I$1463),3)))</f>
        <v>0.437</v>
      </c>
      <c r="S606" s="15" t="str">
        <f>IF($C606="","",IF($G606="","Name only",IF(OR($I606="",$L606=""),"Partial","Complete")))</f>
        <v>Complete</v>
      </c>
      <c r="T606" s="41" t="str">
        <f>IF($C606="","",TRIM(IF(COUNTIF($C$4:$C$1463,$C606)&gt;1,"Dup name; ","")&amp;IF(AND($G606&lt;&gt;"",$G606&lt;55000),"Low CR - verify; ","")&amp;IF(AND($L606&lt;&gt;"",$L606&gt;15),"Secondary - verify; ","")&amp;IF($E606="","No class; ","")))</f>
        <v/>
      </c>
      <c r="U606" s="68"/>
      <c r="V606" s="68"/>
      <c r="W606" s="68"/>
      <c r="X606" s="73">
        <f t="shared" si="47"/>
        <v>3451</v>
      </c>
      <c r="Y606" s="41" t="str">
        <f t="shared" si="48"/>
        <v>INVICTUS|37</v>
      </c>
      <c r="Z606" s="15">
        <f>IF($C606="","",IF($G606="","",RANK($G606,$G$4:$G$1463)+COUNTIF($G$4:$G606,$G606)-1))</f>
        <v>571</v>
      </c>
      <c r="AA606" s="15">
        <f>IF($C606="","",IF($N606="","",RANK($N606,$N$4:$N$1463)+COUNTIF($N$4:$N606,$N606)-1))</f>
        <v>717</v>
      </c>
      <c r="AB606" s="41" t="str">
        <f>IF($C606="","",IF($E606="","",$E606&amp;"#"&amp;(COUNTIFS($E$4:$E$1463,$E606,$X$4:$X$1463,"&gt;"&amp;$X606)+COUNTIFS($E$4:$E606,$E606,$X$4:$X606,"="&amp;$X606))))</f>
        <v>BLOOD KNIGHT#50</v>
      </c>
      <c r="AC606" s="41" t="str">
        <f>IF($C606="","",$B606&amp;"@"&amp;(COUNTIFS($B$4:$B$1463,$B606,$C$4:$C$1463,"&lt;"&amp;$C606)+COUNTIFS($B$4:$B606,$B606,$C$4:$C606,$C606)))</f>
        <v>INVICTUS@40</v>
      </c>
      <c r="AD606" s="41">
        <f t="shared" si="49"/>
        <v>603</v>
      </c>
      <c r="AE606" s="41" t="s">
        <v>1594</v>
      </c>
      <c r="AF606" s="73">
        <f t="shared" si="50"/>
        <v>62684</v>
      </c>
      <c r="AG606" s="74">
        <f t="shared" si="51"/>
        <v>4.4000000000000004</v>
      </c>
      <c r="AH606" s="41" t="str">
        <f>IF($C606="","",$B606&amp;"|"&amp;(COUNTIFS($B$4:$B$1463,$B606,$AF$4:$AF$1463,"&gt;"&amp;$AF606)+COUNTIFS($B$4:$B606,$B606,$AF$4:$AF606,"="&amp;$AF606)))</f>
        <v>INVICTUS|31</v>
      </c>
      <c r="AI606" s="41" t="str">
        <f>IF($C606="","",$B606&amp;"|"&amp;(COUNTIFS($B$4:$B$1463,$B606,$AG$4:$AG$1463,"&gt;"&amp;$AG606)+COUNTIFS($B$4:$B606,$B606,$AG$4:$AG606,"="&amp;$AG606)))</f>
        <v>INVICTUS|49</v>
      </c>
    </row>
    <row r="607" spans="1:35" hidden="1">
      <c r="A607" s="69" t="s">
        <v>106</v>
      </c>
      <c r="B607" s="69" t="s">
        <v>107</v>
      </c>
      <c r="C607" s="63" t="s">
        <v>1595</v>
      </c>
      <c r="D607" s="69"/>
      <c r="E607" s="68" t="s">
        <v>75</v>
      </c>
      <c r="F607" s="19" t="str">
        <f>IF($C607="","",IF($E607="","-",IFERROR(INDEX(SETUP!$B$55:$B$64,MATCH($E607,SETUP!$A$55:$A$64,0)),"Other")))</f>
        <v>Support</v>
      </c>
      <c r="G607" s="70">
        <v>62611</v>
      </c>
      <c r="H607" s="19" t="str">
        <f>IF($C607="","",IF($G607="","-",INDEX(SETUP!$B$26:$B$32,MATCH($G607,SETUP!$A$26:$A$32,1))))</f>
        <v>62,000 - 62,999</v>
      </c>
      <c r="I607" s="70">
        <v>2506</v>
      </c>
      <c r="J607" s="19" t="str">
        <f>IF($C607="","",IF($I607="","-",INDEX(SETUP!$B$16:$B$22,MATCH($I607,SETUP!$A$16:$A$22,1))))</f>
        <v>DEVELOPING</v>
      </c>
      <c r="K607" s="19" t="str">
        <f>IF($C607="","",IF($I607="","-",TEXT(INT($I607/1000)*1000,"#,##0")&amp;" - "&amp;TEXT(INT($I607/1000)*1000+999,"#,##0")))</f>
        <v>2,000 - 2,999</v>
      </c>
      <c r="L607" s="71">
        <v>3.65</v>
      </c>
      <c r="M607" s="19" t="str">
        <f>IF($C607="","",IF($L607="","-",INDEX(SETUP!$B$36:$B$42,MATCH($L607,SETUP!$A$36:$A$42,1))))</f>
        <v>3k - 4k</v>
      </c>
      <c r="N607" s="21">
        <f>IF($C607="","",IF(OR($G607="",$I607=""),"",ROUND(100*(SETUP!$B$4*MIN(1,$I607/SETUP!$B$9)+SETUP!$B$5*MAX(0,MIN(1,($G607-SETUP!$B$10)/(SETUP!$B$11-SETUP!$B$10)))+SETUP!$B$6*MIN(1,IF($L607="",0,$L607)/SETUP!$B$12)),1)))</f>
        <v>37.1</v>
      </c>
      <c r="O607" s="19" t="str">
        <f>IF($C607="","",IF($N607="","-",INDEX(SETUP!$B$46:$B$51,MATCH($N607,SETUP!$A$46:$A$51,1))))</f>
        <v>B</v>
      </c>
      <c r="P607" s="19">
        <f>IF($C607="","",IF($I607="","",RANK($I607,$I$4:$I$1463)+COUNTIF($I$4:$I607,$I607)-1))</f>
        <v>1008</v>
      </c>
      <c r="Q607" s="19">
        <f>IF($C607="","",COUNTIFS($B$4:$B$1463,$B607,$X$4:$X$1463,"&gt;"&amp;$X607)+COUNTIFS($B$4:$B607,$B607,$X$4:$X607,"="&amp;$X607))</f>
        <v>90</v>
      </c>
      <c r="R607" s="75">
        <f>IF($C607="","",IF($I607="","",ROUND(COUNTIF($I$4:$I$1463,"&lt;"&amp;$I607)/COUNT($I$4:$I$1463),3)))</f>
        <v>0.23899999999999999</v>
      </c>
      <c r="S607" s="19" t="str">
        <f>IF($C607="","",IF($G607="","Name only",IF(OR($I607="",$L607=""),"Partial","Complete")))</f>
        <v>Complete</v>
      </c>
      <c r="T607" s="1" t="str">
        <f>IF($C607="","",TRIM(IF(COUNTIF($C$4:$C$1463,$C607)&gt;1,"Dup name; ","")&amp;IF(AND($G607&lt;&gt;"",$G607&lt;55000),"Low CR - verify; ","")&amp;IF(AND($L607&lt;&gt;"",$L607&gt;15),"Secondary - verify; ","")&amp;IF($E607="","No class; ","")))</f>
        <v/>
      </c>
      <c r="U607" s="68"/>
      <c r="V607" s="68"/>
      <c r="W607" s="68"/>
      <c r="X607" s="76">
        <f t="shared" si="47"/>
        <v>2506</v>
      </c>
      <c r="Y607" s="1" t="str">
        <f t="shared" si="48"/>
        <v>UNDYING|90</v>
      </c>
      <c r="Z607" s="19">
        <f>IF($C607="","",IF($G607="","",RANK($G607,$G$4:$G$1463)+COUNTIF($G$4:$G607,$G607)-1))</f>
        <v>605</v>
      </c>
      <c r="AA607" s="19">
        <f>IF($C607="","",IF($N607="","",RANK($N607,$N$4:$N$1463)+COUNTIF($N$4:$N607,$N607)-1))</f>
        <v>924</v>
      </c>
      <c r="AB607" s="1" t="str">
        <f>IF($C607="","",IF($E607="","",$E607&amp;"#"&amp;(COUNTIFS($E$4:$E$1463,$E607,$X$4:$X$1463,"&gt;"&amp;$X607)+COUNTIFS($E$4:$E607,$E607,$X$4:$X607,"="&amp;$X607))))</f>
        <v>DRUID#47</v>
      </c>
      <c r="AC607" s="1" t="str">
        <f>IF($C607="","",$B607&amp;"@"&amp;(COUNTIFS($B$4:$B$1463,$B607,$C$4:$C$1463,"&lt;"&amp;$C607)+COUNTIFS($B$4:$B607,$B607,$C$4:$C607,$C607)))</f>
        <v>UNDYING@53</v>
      </c>
      <c r="AD607" s="1">
        <f t="shared" si="49"/>
        <v>604</v>
      </c>
      <c r="AE607" s="1" t="s">
        <v>868</v>
      </c>
      <c r="AF607" s="76">
        <f t="shared" si="50"/>
        <v>62611</v>
      </c>
      <c r="AG607" s="77">
        <f t="shared" si="51"/>
        <v>3.65</v>
      </c>
      <c r="AH607" s="1" t="str">
        <f>IF($C607="","",$B607&amp;"|"&amp;(COUNTIFS($B$4:$B$1463,$B607,$AF$4:$AF$1463,"&gt;"&amp;$AF607)+COUNTIFS($B$4:$B607,$B607,$AF$4:$AF607,"="&amp;$AF607)))</f>
        <v>UNDYING|62</v>
      </c>
      <c r="AI607" s="1" t="str">
        <f>IF($C607="","",$B607&amp;"|"&amp;(COUNTIFS($B$4:$B$1463,$B607,$AG$4:$AG$1463,"&gt;"&amp;$AG607)+COUNTIFS($B$4:$B607,$B607,$AG$4:$AG607,"="&amp;$AG607)))</f>
        <v>UNDYING|90</v>
      </c>
    </row>
    <row r="608" spans="1:35" hidden="1">
      <c r="A608" s="69" t="s">
        <v>109</v>
      </c>
      <c r="B608" s="69" t="s">
        <v>115</v>
      </c>
      <c r="C608" s="63" t="s">
        <v>1596</v>
      </c>
      <c r="D608" s="69"/>
      <c r="E608" s="68"/>
      <c r="F608" s="15" t="str">
        <f>IF($C608="","",IF($E608="","-",IFERROR(INDEX(SETUP!$B$55:$B$64,MATCH($E608,SETUP!$A$55:$A$64,0)),"Other")))</f>
        <v>-</v>
      </c>
      <c r="G608" s="70"/>
      <c r="H608" s="15" t="str">
        <f>IF($C608="","",IF($G608="","-",INDEX(SETUP!$B$26:$B$32,MATCH($G608,SETUP!$A$26:$A$32,1))))</f>
        <v>-</v>
      </c>
      <c r="I608" s="70"/>
      <c r="J608" s="15" t="str">
        <f>IF($C608="","",IF($I608="","-",INDEX(SETUP!$B$16:$B$22,MATCH($I608,SETUP!$A$16:$A$22,1))))</f>
        <v>-</v>
      </c>
      <c r="K608" s="15" t="str">
        <f>IF($C608="","",IF($I608="","-",TEXT(INT($I608/1000)*1000,"#,##0")&amp;" - "&amp;TEXT(INT($I608/1000)*1000+999,"#,##0")))</f>
        <v>-</v>
      </c>
      <c r="L608" s="71"/>
      <c r="M608" s="15" t="str">
        <f>IF($C608="","",IF($L608="","-",INDEX(SETUP!$B$36:$B$42,MATCH($L608,SETUP!$A$36:$A$42,1))))</f>
        <v>-</v>
      </c>
      <c r="N608" s="17" t="str">
        <f>IF($C608="","",IF(OR($G608="",$I608=""),"",ROUND(100*(SETUP!$B$4*MIN(1,$I608/SETUP!$B$9)+SETUP!$B$5*MAX(0,MIN(1,($G608-SETUP!$B$10)/(SETUP!$B$11-SETUP!$B$10)))+SETUP!$B$6*MIN(1,IF($L608="",0,$L608)/SETUP!$B$12)),1)))</f>
        <v/>
      </c>
      <c r="O608" s="15" t="str">
        <f>IF($C608="","",IF($N608="","-",INDEX(SETUP!$B$46:$B$51,MATCH($N608,SETUP!$A$46:$A$51,1))))</f>
        <v>-</v>
      </c>
      <c r="P608" s="15" t="str">
        <f>IF($C608="","",IF($I608="","",RANK($I608,$I$4:$I$1463)+COUNTIF($I$4:$I608,$I608)-1))</f>
        <v/>
      </c>
      <c r="Q608" s="15">
        <f>IF($C608="","",COUNTIFS($B$4:$B$1463,$B608,$X$4:$X$1463,"&gt;"&amp;$X608)+COUNTIFS($B$4:$B608,$B608,$X$4:$X608,"="&amp;$X608))</f>
        <v>69</v>
      </c>
      <c r="R608" s="72" t="str">
        <f>IF($C608="","",IF($I608="","",ROUND(COUNTIF($I$4:$I$1463,"&lt;"&amp;$I608)/COUNT($I$4:$I$1463),3)))</f>
        <v/>
      </c>
      <c r="S608" s="15" t="str">
        <f>IF($C608="","",IF($G608="","Name only",IF(OR($I608="",$L608=""),"Partial","Complete")))</f>
        <v>Name only</v>
      </c>
      <c r="T608" s="41" t="str">
        <f>IF($C608="","",TRIM(IF(COUNTIF($C$4:$C$1463,$C608)&gt;1,"Dup name; ","")&amp;IF(AND($G608&lt;&gt;"",$G608&lt;55000),"Low CR - verify; ","")&amp;IF(AND($L608&lt;&gt;"",$L608&gt;15),"Secondary - verify; ","")&amp;IF($E608="","No class; ","")))</f>
        <v>No class;</v>
      </c>
      <c r="U608" s="68"/>
      <c r="V608" s="68"/>
      <c r="W608" s="68"/>
      <c r="X608" s="41">
        <f t="shared" si="47"/>
        <v>-1</v>
      </c>
      <c r="Y608" s="41" t="str">
        <f t="shared" si="48"/>
        <v>SUB ROSA|69</v>
      </c>
      <c r="Z608" s="15" t="str">
        <f>IF($C608="","",IF($G608="","",RANK($G608,$G$4:$G$1463)+COUNTIF($G$4:$G608,$G608)-1))</f>
        <v/>
      </c>
      <c r="AA608" s="15" t="str">
        <f>IF($C608="","",IF($N608="","",RANK($N608,$N$4:$N$1463)+COUNTIF($N$4:$N608,$N608)-1))</f>
        <v/>
      </c>
      <c r="AB608" s="41" t="str">
        <f>IF($C608="","",IF($E608="","",$E608&amp;"#"&amp;(COUNTIFS($E$4:$E$1463,$E608,$X$4:$X$1463,"&gt;"&amp;$X608)+COUNTIFS($E$4:$E608,$E608,$X$4:$X608,"="&amp;$X608))))</f>
        <v/>
      </c>
      <c r="AC608" s="41" t="str">
        <f>IF($C608="","",$B608&amp;"@"&amp;(COUNTIFS($B$4:$B$1463,$B608,$C$4:$C$1463,"&lt;"&amp;$C608)+COUNTIFS($B$4:$B608,$B608,$C$4:$C608,$C608)))</f>
        <v>SUB ROSA@41</v>
      </c>
      <c r="AD608" s="41">
        <f t="shared" si="49"/>
        <v>605</v>
      </c>
      <c r="AE608" s="41"/>
      <c r="AF608" s="41">
        <f t="shared" si="50"/>
        <v>-1</v>
      </c>
      <c r="AG608" s="41">
        <f t="shared" si="51"/>
        <v>-1</v>
      </c>
      <c r="AH608" s="41" t="str">
        <f>IF($C608="","",$B608&amp;"|"&amp;(COUNTIFS($B$4:$B$1463,$B608,$AF$4:$AF$1463,"&gt;"&amp;$AF608)+COUNTIFS($B$4:$B608,$B608,$AF$4:$AF608,"="&amp;$AF608)))</f>
        <v>SUB ROSA|69</v>
      </c>
      <c r="AI608" s="41" t="str">
        <f>IF($C608="","",$B608&amp;"|"&amp;(COUNTIFS($B$4:$B$1463,$B608,$AG$4:$AG$1463,"&gt;"&amp;$AG608)+COUNTIFS($B$4:$B608,$B608,$AG$4:$AG608,"="&amp;$AG608)))</f>
        <v>SUB ROSA|69</v>
      </c>
    </row>
    <row r="609" spans="1:35" hidden="1">
      <c r="A609" s="69" t="s">
        <v>109</v>
      </c>
      <c r="B609" s="69" t="s">
        <v>117</v>
      </c>
      <c r="C609" s="63" t="s">
        <v>1597</v>
      </c>
      <c r="D609" s="69"/>
      <c r="E609" s="68" t="s">
        <v>71</v>
      </c>
      <c r="F609" s="19" t="str">
        <f>IF($C609="","",IF($E609="","-",IFERROR(INDEX(SETUP!$B$55:$B$64,MATCH($E609,SETUP!$A$55:$A$64,0)),"Other")))</f>
        <v>Frontline</v>
      </c>
      <c r="G609" s="70">
        <v>62966</v>
      </c>
      <c r="H609" s="19" t="str">
        <f>IF($C609="","",IF($G609="","-",INDEX(SETUP!$B$26:$B$32,MATCH($G609,SETUP!$A$26:$A$32,1))))</f>
        <v>62,000 - 62,999</v>
      </c>
      <c r="I609" s="70">
        <v>2998</v>
      </c>
      <c r="J609" s="19" t="str">
        <f>IF($C609="","",IF($I609="","-",INDEX(SETUP!$B$16:$B$22,MATCH($I609,SETUP!$A$16:$A$22,1))))</f>
        <v>DEVELOPING</v>
      </c>
      <c r="K609" s="19" t="str">
        <f>IF($C609="","",IF($I609="","-",TEXT(INT($I609/1000)*1000,"#,##0")&amp;" - "&amp;TEXT(INT($I609/1000)*1000+999,"#,##0")))</f>
        <v>2,000 - 2,999</v>
      </c>
      <c r="L609" s="71">
        <v>4.2</v>
      </c>
      <c r="M609" s="19" t="str">
        <f>IF($C609="","",IF($L609="","-",INDEX(SETUP!$B$36:$B$42,MATCH($L609,SETUP!$A$36:$A$42,1))))</f>
        <v>4k - 5k</v>
      </c>
      <c r="N609" s="21">
        <f>IF($C609="","",IF(OR($G609="",$I609=""),"",ROUND(100*(SETUP!$B$4*MIN(1,$I609/SETUP!$B$9)+SETUP!$B$5*MAX(0,MIN(1,($G609-SETUP!$B$10)/(SETUP!$B$11-SETUP!$B$10)))+SETUP!$B$6*MIN(1,IF($L609="",0,$L609)/SETUP!$B$12)),1)))</f>
        <v>41</v>
      </c>
      <c r="O609" s="19" t="str">
        <f>IF($C609="","",IF($N609="","-",INDEX(SETUP!$B$46:$B$51,MATCH($N609,SETUP!$A$46:$A$51,1))))</f>
        <v>B</v>
      </c>
      <c r="P609" s="19">
        <f>IF($C609="","",IF($I609="","",RANK($I609,$I$4:$I$1463)+COUNTIF($I$4:$I609,$I609)-1))</f>
        <v>886</v>
      </c>
      <c r="Q609" s="19">
        <f>IF($C609="","",COUNTIFS($B$4:$B$1463,$B609,$X$4:$X$1463,"&gt;"&amp;$X609)+COUNTIFS($B$4:$B609,$B609,$X$4:$X609,"="&amp;$X609))</f>
        <v>15</v>
      </c>
      <c r="R609" s="75">
        <f>IF($C609="","",IF($I609="","",ROUND(COUNTIF($I$4:$I$1463,"&lt;"&amp;$I609)/COUNT($I$4:$I$1463),3)))</f>
        <v>0.33100000000000002</v>
      </c>
      <c r="S609" s="19" t="str">
        <f>IF($C609="","",IF($G609="","Name only",IF(OR($I609="",$L609=""),"Partial","Complete")))</f>
        <v>Complete</v>
      </c>
      <c r="T609" s="1" t="str">
        <f>IF($C609="","",TRIM(IF(COUNTIF($C$4:$C$1463,$C609)&gt;1,"Dup name; ","")&amp;IF(AND($G609&lt;&gt;"",$G609&lt;55000),"Low CR - verify; ","")&amp;IF(AND($L609&lt;&gt;"",$L609&gt;15),"Secondary - verify; ","")&amp;IF($E609="","No class; ","")))</f>
        <v/>
      </c>
      <c r="U609" s="68"/>
      <c r="V609" s="68"/>
      <c r="W609" s="68"/>
      <c r="X609" s="76">
        <f t="shared" si="47"/>
        <v>2998</v>
      </c>
      <c r="Y609" s="1" t="str">
        <f t="shared" si="48"/>
        <v>VENDETTA|15</v>
      </c>
      <c r="Z609" s="19">
        <f>IF($C609="","",IF($G609="","",RANK($G609,$G$4:$G$1463)+COUNTIF($G$4:$G609,$G609)-1))</f>
        <v>441</v>
      </c>
      <c r="AA609" s="19">
        <f>IF($C609="","",IF($N609="","",RANK($N609,$N$4:$N$1463)+COUNTIF($N$4:$N609,$N609)-1))</f>
        <v>777</v>
      </c>
      <c r="AB609" s="1" t="str">
        <f>IF($C609="","",IF($E609="","",$E609&amp;"#"&amp;(COUNTIFS($E$4:$E$1463,$E609,$X$4:$X$1463,"&gt;"&amp;$X609)+COUNTIFS($E$4:$E609,$E609,$X$4:$X609,"="&amp;$X609))))</f>
        <v>BARBARIAN#155</v>
      </c>
      <c r="AC609" s="1" t="str">
        <f>IF($C609="","",$B609&amp;"@"&amp;(COUNTIFS($B$4:$B$1463,$B609,$C$4:$C$1463,"&lt;"&amp;$C609)+COUNTIFS($B$4:$B609,$B609,$C$4:$C609,$C609)))</f>
        <v>VENDETTA@44</v>
      </c>
      <c r="AD609" s="1">
        <f t="shared" si="49"/>
        <v>606</v>
      </c>
      <c r="AE609" s="1" t="s">
        <v>539</v>
      </c>
      <c r="AF609" s="76">
        <f t="shared" si="50"/>
        <v>62966</v>
      </c>
      <c r="AG609" s="77">
        <f t="shared" si="51"/>
        <v>4.2</v>
      </c>
      <c r="AH609" s="1" t="str">
        <f>IF($C609="","",$B609&amp;"|"&amp;(COUNTIFS($B$4:$B$1463,$B609,$AF$4:$AF$1463,"&gt;"&amp;$AF609)+COUNTIFS($B$4:$B609,$B609,$AF$4:$AF609,"="&amp;$AF609)))</f>
        <v>VENDETTA|5</v>
      </c>
      <c r="AI609" s="1" t="str">
        <f>IF($C609="","",$B609&amp;"|"&amp;(COUNTIFS($B$4:$B$1463,$B609,$AG$4:$AG$1463,"&gt;"&amp;$AG609)+COUNTIFS($B$4:$B609,$B609,$AG$4:$AG609,"="&amp;$AG609)))</f>
        <v>VENDETTA|26</v>
      </c>
    </row>
    <row r="610" spans="1:35" hidden="1">
      <c r="A610" s="69" t="s">
        <v>109</v>
      </c>
      <c r="B610" s="69" t="s">
        <v>108</v>
      </c>
      <c r="C610" s="63" t="s">
        <v>1598</v>
      </c>
      <c r="D610" s="69"/>
      <c r="E610" s="68" t="s">
        <v>79</v>
      </c>
      <c r="F610" s="15" t="str">
        <f>IF($C610="","",IF($E610="","-",IFERROR(INDEX(SETUP!$B$55:$B$64,MATCH($E610,SETUP!$A$55:$A$64,0)),"Other")))</f>
        <v>Control</v>
      </c>
      <c r="G610" s="70">
        <v>63671</v>
      </c>
      <c r="H610" s="15" t="str">
        <f>IF($C610="","",IF($G610="","-",INDEX(SETUP!$B$26:$B$32,MATCH($G610,SETUP!$A$26:$A$32,1))))</f>
        <v>63,000 - 63,999</v>
      </c>
      <c r="I610" s="70">
        <v>8727</v>
      </c>
      <c r="J610" s="15" t="str">
        <f>IF($C610="","",IF($I610="","-",INDEX(SETUP!$B$16:$B$22,MATCH($I610,SETUP!$A$16:$A$22,1))))</f>
        <v>ELITE</v>
      </c>
      <c r="K610" s="15" t="str">
        <f>IF($C610="","",IF($I610="","-",TEXT(INT($I610/1000)*1000,"#,##0")&amp;" - "&amp;TEXT(INT($I610/1000)*1000+999,"#,##0")))</f>
        <v>8,000 - 8,999</v>
      </c>
      <c r="L610" s="71">
        <v>8.35</v>
      </c>
      <c r="M610" s="15" t="str">
        <f>IF($C610="","",IF($L610="","-",INDEX(SETUP!$B$36:$B$42,MATCH($L610,SETUP!$A$36:$A$42,1))))</f>
        <v>8k - 10k</v>
      </c>
      <c r="N610" s="17">
        <f>IF($C610="","",IF(OR($G610="",$I610=""),"",ROUND(100*(SETUP!$B$4*MIN(1,$I610/SETUP!$B$9)+SETUP!$B$5*MAX(0,MIN(1,($G610-SETUP!$B$10)/(SETUP!$B$11-SETUP!$B$10)))+SETUP!$B$6*MIN(1,IF($L610="",0,$L610)/SETUP!$B$12)),1)))</f>
        <v>74.8</v>
      </c>
      <c r="O610" s="15" t="str">
        <f>IF($C610="","",IF($N610="","-",INDEX(SETUP!$B$46:$B$51,MATCH($N610,SETUP!$A$46:$A$51,1))))</f>
        <v>S</v>
      </c>
      <c r="P610" s="15">
        <f>IF($C610="","",IF($I610="","",RANK($I610,$I$4:$I$1463)+COUNTIF($I$4:$I610,$I610)-1))</f>
        <v>106</v>
      </c>
      <c r="Q610" s="15">
        <f>IF($C610="","",COUNTIFS($B$4:$B$1463,$B610,$X$4:$X$1463,"&gt;"&amp;$X610)+COUNTIFS($B$4:$B610,$B610,$X$4:$X610,"="&amp;$X610))</f>
        <v>14</v>
      </c>
      <c r="R610" s="72">
        <f>IF($C610="","",IF($I610="","",ROUND(COUNTIF($I$4:$I$1463,"&lt;"&amp;$I610)/COUNT($I$4:$I$1463),3)))</f>
        <v>0.92</v>
      </c>
      <c r="S610" s="15" t="str">
        <f>IF($C610="","",IF($G610="","Name only",IF(OR($I610="",$L610=""),"Partial","Complete")))</f>
        <v>Complete</v>
      </c>
      <c r="T610" s="41" t="str">
        <f>IF($C610="","",TRIM(IF(COUNTIF($C$4:$C$1463,$C610)&gt;1,"Dup name; ","")&amp;IF(AND($G610&lt;&gt;"",$G610&lt;55000),"Low CR - verify; ","")&amp;IF(AND($L610&lt;&gt;"",$L610&gt;15),"Secondary - verify; ","")&amp;IF($E610="","No class; ","")))</f>
        <v/>
      </c>
      <c r="U610" s="68"/>
      <c r="V610" s="68"/>
      <c r="W610" s="68"/>
      <c r="X610" s="73">
        <f t="shared" si="47"/>
        <v>8727</v>
      </c>
      <c r="Y610" s="41" t="str">
        <f t="shared" si="48"/>
        <v>SBG|14</v>
      </c>
      <c r="Z610" s="15">
        <f>IF($C610="","",IF($G610="","",RANK($G610,$G$4:$G$1463)+COUNTIF($G$4:$G610,$G610)-1))</f>
        <v>143</v>
      </c>
      <c r="AA610" s="15">
        <f>IF($C610="","",IF($N610="","",RANK($N610,$N$4:$N$1463)+COUNTIF($N$4:$N610,$N610)-1))</f>
        <v>90</v>
      </c>
      <c r="AB610" s="41" t="str">
        <f>IF($C610="","",IF($E610="","",$E610&amp;"#"&amp;(COUNTIFS($E$4:$E$1463,$E610,$X$4:$X$1463,"&gt;"&amp;$X610)+COUNTIFS($E$4:$E610,$E610,$X$4:$X610,"="&amp;$X610))))</f>
        <v>WARLOCK#23</v>
      </c>
      <c r="AC610" s="41" t="str">
        <f>IF($C610="","",$B610&amp;"@"&amp;(COUNTIFS($B$4:$B$1463,$B610,$C$4:$C$1463,"&lt;"&amp;$C610)+COUNTIFS($B$4:$B610,$B610,$C$4:$C610,$C610)))</f>
        <v>SBG@37</v>
      </c>
      <c r="AD610" s="41">
        <f t="shared" si="49"/>
        <v>607</v>
      </c>
      <c r="AE610" s="41" t="s">
        <v>1599</v>
      </c>
      <c r="AF610" s="73">
        <f t="shared" si="50"/>
        <v>63671</v>
      </c>
      <c r="AG610" s="74">
        <f t="shared" si="51"/>
        <v>8.35</v>
      </c>
      <c r="AH610" s="41" t="str">
        <f>IF($C610="","",$B610&amp;"|"&amp;(COUNTIFS($B$4:$B$1463,$B610,$AF$4:$AF$1463,"&gt;"&amp;$AF610)+COUNTIFS($B$4:$B610,$B610,$AF$4:$AF610,"="&amp;$AF610)))</f>
        <v>SBG|26</v>
      </c>
      <c r="AI610" s="41" t="str">
        <f>IF($C610="","",$B610&amp;"|"&amp;(COUNTIFS($B$4:$B$1463,$B610,$AG$4:$AG$1463,"&gt;"&amp;$AG610)+COUNTIFS($B$4:$B610,$B610,$AG$4:$AG610,"="&amp;$AG610)))</f>
        <v>SBG|10</v>
      </c>
    </row>
    <row r="611" spans="1:35" hidden="1">
      <c r="A611" s="69" t="s">
        <v>109</v>
      </c>
      <c r="B611" s="69" t="s">
        <v>112</v>
      </c>
      <c r="C611" s="63" t="s">
        <v>1600</v>
      </c>
      <c r="D611" s="69" t="s">
        <v>567</v>
      </c>
      <c r="E611" s="68" t="s">
        <v>72</v>
      </c>
      <c r="F611" s="19" t="str">
        <f>IF($C611="","",IF($E611="","-",IFERROR(INDEX(SETUP!$B$55:$B$64,MATCH($E611,SETUP!$A$55:$A$64,0)),"Other")))</f>
        <v>Frontline</v>
      </c>
      <c r="G611" s="70">
        <v>62408</v>
      </c>
      <c r="H611" s="19" t="str">
        <f>IF($C611="","",IF($G611="","-",INDEX(SETUP!$B$26:$B$32,MATCH($G611,SETUP!$A$26:$A$32,1))))</f>
        <v>62,000 - 62,999</v>
      </c>
      <c r="I611" s="70">
        <v>1095</v>
      </c>
      <c r="J611" s="19" t="str">
        <f>IF($C611="","",IF($I611="","-",INDEX(SETUP!$B$16:$B$22,MATCH($I611,SETUP!$A$16:$A$22,1))))</f>
        <v>ROOKIE</v>
      </c>
      <c r="K611" s="19" t="str">
        <f>IF($C611="","",IF($I611="","-",TEXT(INT($I611/1000)*1000,"#,##0")&amp;" - "&amp;TEXT(INT($I611/1000)*1000+999,"#,##0")))</f>
        <v>1,000 - 1,999</v>
      </c>
      <c r="L611" s="71">
        <v>3.1</v>
      </c>
      <c r="M611" s="19" t="str">
        <f>IF($C611="","",IF($L611="","-",INDEX(SETUP!$B$36:$B$42,MATCH($L611,SETUP!$A$36:$A$42,1))))</f>
        <v>3k - 4k</v>
      </c>
      <c r="N611" s="21">
        <f>IF($C611="","",IF(OR($G611="",$I611=""),"",ROUND(100*(SETUP!$B$4*MIN(1,$I611/SETUP!$B$9)+SETUP!$B$5*MAX(0,MIN(1,($G611-SETUP!$B$10)/(SETUP!$B$11-SETUP!$B$10)))+SETUP!$B$6*MIN(1,IF($L611="",0,$L611)/SETUP!$B$12)),1)))</f>
        <v>29.4</v>
      </c>
      <c r="O611" s="19" t="str">
        <f>IF($C611="","",IF($N611="","-",INDEX(SETUP!$B$46:$B$51,MATCH($N611,SETUP!$A$46:$A$51,1))))</f>
        <v>C</v>
      </c>
      <c r="P611" s="19">
        <f>IF($C611="","",IF($I611="","",RANK($I611,$I$4:$I$1463)+COUNTIF($I$4:$I611,$I611)-1))</f>
        <v>1256</v>
      </c>
      <c r="Q611" s="19">
        <f>IF($C611="","",COUNTIFS($B$4:$B$1463,$B611,$X$4:$X$1463,"&gt;"&amp;$X611)+COUNTIFS($B$4:$B611,$B611,$X$4:$X611,"="&amp;$X611))</f>
        <v>91</v>
      </c>
      <c r="R611" s="75">
        <f>IF($C611="","",IF($I611="","",ROUND(COUNTIF($I$4:$I$1463,"&lt;"&amp;$I611)/COUNT($I$4:$I$1463),3)))</f>
        <v>5.0999999999999997E-2</v>
      </c>
      <c r="S611" s="19" t="str">
        <f>IF($C611="","",IF($G611="","Name only",IF(OR($I611="",$L611=""),"Partial","Complete")))</f>
        <v>Complete</v>
      </c>
      <c r="T611" s="1" t="str">
        <f>IF($C611="","",TRIM(IF(COUNTIF($C$4:$C$1463,$C611)&gt;1,"Dup name; ","")&amp;IF(AND($G611&lt;&gt;"",$G611&lt;55000),"Low CR - verify; ","")&amp;IF(AND($L611&lt;&gt;"",$L611&gt;15),"Secondary - verify; ","")&amp;IF($E611="","No class; ","")))</f>
        <v/>
      </c>
      <c r="U611" s="68"/>
      <c r="V611" s="68"/>
      <c r="W611" s="68"/>
      <c r="X611" s="76">
        <f t="shared" si="47"/>
        <v>1095</v>
      </c>
      <c r="Y611" s="1" t="str">
        <f t="shared" si="48"/>
        <v>ACHERON|91</v>
      </c>
      <c r="Z611" s="19">
        <f>IF($C611="","",IF($G611="","",RANK($G611,$G$4:$G$1463)+COUNTIF($G$4:$G611,$G611)-1))</f>
        <v>688</v>
      </c>
      <c r="AA611" s="19">
        <f>IF($C611="","",IF($N611="","",RANK($N611,$N$4:$N$1463)+COUNTIF($N$4:$N611,$N611)-1))</f>
        <v>1160</v>
      </c>
      <c r="AB611" s="1" t="str">
        <f>IF($C611="","",IF($E611="","",$E611&amp;"#"&amp;(COUNTIFS($E$4:$E$1463,$E611,$X$4:$X$1463,"&gt;"&amp;$X611)+COUNTIFS($E$4:$E611,$E611,$X$4:$X611,"="&amp;$X611))))</f>
        <v>BLOOD KNIGHT#90</v>
      </c>
      <c r="AC611" s="1" t="str">
        <f>IF($C611="","",$B611&amp;"@"&amp;(COUNTIFS($B$4:$B$1463,$B611,$C$4:$C$1463,"&lt;"&amp;$C611)+COUNTIFS($B$4:$B611,$B611,$C$4:$C611,$C611)))</f>
        <v>ACHERON@36</v>
      </c>
      <c r="AD611" s="1">
        <f t="shared" si="49"/>
        <v>608</v>
      </c>
      <c r="AE611" s="1" t="s">
        <v>1601</v>
      </c>
      <c r="AF611" s="76">
        <f t="shared" si="50"/>
        <v>62408</v>
      </c>
      <c r="AG611" s="77">
        <f t="shared" si="51"/>
        <v>3.1</v>
      </c>
      <c r="AH611" s="1" t="str">
        <f>IF($C611="","",$B611&amp;"|"&amp;(COUNTIFS($B$4:$B$1463,$B611,$AF$4:$AF$1463,"&gt;"&amp;$AF611)+COUNTIFS($B$4:$B611,$B611,$AF$4:$AF611,"="&amp;$AF611)))</f>
        <v>ACHERON|52</v>
      </c>
      <c r="AI611" s="1" t="str">
        <f>IF($C611="","",$B611&amp;"|"&amp;(COUNTIFS($B$4:$B$1463,$B611,$AG$4:$AG$1463,"&gt;"&amp;$AG611)+COUNTIFS($B$4:$B611,$B611,$AG$4:$AG611,"="&amp;$AG611)))</f>
        <v>ACHERON|91</v>
      </c>
    </row>
    <row r="612" spans="1:35" hidden="1">
      <c r="A612" s="69" t="s">
        <v>109</v>
      </c>
      <c r="B612" s="69" t="s">
        <v>108</v>
      </c>
      <c r="C612" s="63" t="s">
        <v>1602</v>
      </c>
      <c r="D612" s="69"/>
      <c r="E612" s="68" t="s">
        <v>74</v>
      </c>
      <c r="F612" s="15" t="str">
        <f>IF($C612="","",IF($E612="","-",IFERROR(INDEX(SETUP!$B$55:$B$64,MATCH($E612,SETUP!$A$55:$A$64,0)),"Other")))</f>
        <v>Ranged DPS</v>
      </c>
      <c r="G612" s="70">
        <v>63250</v>
      </c>
      <c r="H612" s="15" t="str">
        <f>IF($C612="","",IF($G612="","-",INDEX(SETUP!$B$26:$B$32,MATCH($G612,SETUP!$A$26:$A$32,1))))</f>
        <v>63,000 - 63,999</v>
      </c>
      <c r="I612" s="70">
        <v>5226</v>
      </c>
      <c r="J612" s="15" t="str">
        <f>IF($C612="","",IF($I612="","-",INDEX(SETUP!$B$16:$B$22,MATCH($I612,SETUP!$A$16:$A$22,1))))</f>
        <v>CORE</v>
      </c>
      <c r="K612" s="15" t="str">
        <f>IF($C612="","",IF($I612="","-",TEXT(INT($I612/1000)*1000,"#,##0")&amp;" - "&amp;TEXT(INT($I612/1000)*1000+999,"#,##0")))</f>
        <v>5,000 - 5,999</v>
      </c>
      <c r="L612" s="71">
        <v>5.3</v>
      </c>
      <c r="M612" s="15" t="str">
        <f>IF($C612="","",IF($L612="","-",INDEX(SETUP!$B$36:$B$42,MATCH($L612,SETUP!$A$36:$A$42,1))))</f>
        <v>5k - 6k</v>
      </c>
      <c r="N612" s="17">
        <f>IF($C612="","",IF(OR($G612="",$I612=""),"",ROUND(100*(SETUP!$B$4*MIN(1,$I612/SETUP!$B$9)+SETUP!$B$5*MAX(0,MIN(1,($G612-SETUP!$B$10)/(SETUP!$B$11-SETUP!$B$10)))+SETUP!$B$6*MIN(1,IF($L612="",0,$L612)/SETUP!$B$12)),1)))</f>
        <v>53.4</v>
      </c>
      <c r="O612" s="15" t="str">
        <f>IF($C612="","",IF($N612="","-",INDEX(SETUP!$B$46:$B$51,MATCH($N612,SETUP!$A$46:$A$51,1))))</f>
        <v>A</v>
      </c>
      <c r="P612" s="15">
        <f>IF($C612="","",IF($I612="","",RANK($I612,$I$4:$I$1463)+COUNTIF($I$4:$I612,$I612)-1))</f>
        <v>376</v>
      </c>
      <c r="Q612" s="15">
        <f>IF($C612="","",COUNTIFS($B$4:$B$1463,$B612,$X$4:$X$1463,"&gt;"&amp;$X612)+COUNTIFS($B$4:$B612,$B612,$X$4:$X612,"="&amp;$X612))</f>
        <v>55</v>
      </c>
      <c r="R612" s="72">
        <f>IF($C612="","",IF($I612="","",ROUND(COUNTIF($I$4:$I$1463,"&lt;"&amp;$I612)/COUNT($I$4:$I$1463),3)))</f>
        <v>0.71599999999999997</v>
      </c>
      <c r="S612" s="15" t="str">
        <f>IF($C612="","",IF($G612="","Name only",IF(OR($I612="",$L612=""),"Partial","Complete")))</f>
        <v>Complete</v>
      </c>
      <c r="T612" s="41" t="str">
        <f>IF($C612="","",TRIM(IF(COUNTIF($C$4:$C$1463,$C612)&gt;1,"Dup name; ","")&amp;IF(AND($G612&lt;&gt;"",$G612&lt;55000),"Low CR - verify; ","")&amp;IF(AND($L612&lt;&gt;"",$L612&gt;15),"Secondary - verify; ","")&amp;IF($E612="","No class; ","")))</f>
        <v/>
      </c>
      <c r="U612" s="68"/>
      <c r="V612" s="68"/>
      <c r="W612" s="68"/>
      <c r="X612" s="73">
        <f t="shared" si="47"/>
        <v>5226</v>
      </c>
      <c r="Y612" s="41" t="str">
        <f t="shared" si="48"/>
        <v>SBG|55</v>
      </c>
      <c r="Z612" s="15">
        <f>IF($C612="","",IF($G612="","",RANK($G612,$G$4:$G$1463)+COUNTIF($G$4:$G612,$G612)-1))</f>
        <v>291</v>
      </c>
      <c r="AA612" s="15">
        <f>IF($C612="","",IF($N612="","",RANK($N612,$N$4:$N$1463)+COUNTIF($N$4:$N612,$N612)-1))</f>
        <v>358</v>
      </c>
      <c r="AB612" s="41" t="str">
        <f>IF($C612="","",IF($E612="","",$E612&amp;"#"&amp;(COUNTIFS($E$4:$E$1463,$E612,$X$4:$X$1463,"&gt;"&amp;$X612)+COUNTIFS($E$4:$E612,$E612,$X$4:$X612,"="&amp;$X612))))</f>
        <v>DEMON HUNTER#60</v>
      </c>
      <c r="AC612" s="41" t="str">
        <f>IF($C612="","",$B612&amp;"@"&amp;(COUNTIFS($B$4:$B$1463,$B612,$C$4:$C$1463,"&lt;"&amp;$C612)+COUNTIFS($B$4:$B612,$B612,$C$4:$C612,$C612)))</f>
        <v>SBG@38</v>
      </c>
      <c r="AD612" s="41">
        <f t="shared" si="49"/>
        <v>609</v>
      </c>
      <c r="AE612" s="41" t="s">
        <v>1603</v>
      </c>
      <c r="AF612" s="73">
        <f t="shared" si="50"/>
        <v>63250</v>
      </c>
      <c r="AG612" s="74">
        <f t="shared" si="51"/>
        <v>5.3</v>
      </c>
      <c r="AH612" s="41" t="str">
        <f>IF($C612="","",$B612&amp;"|"&amp;(COUNTIFS($B$4:$B$1463,$B612,$AF$4:$AF$1463,"&gt;"&amp;$AF612)+COUNTIFS($B$4:$B612,$B612,$AF$4:$AF612,"="&amp;$AF612)))</f>
        <v>SBG|36</v>
      </c>
      <c r="AI612" s="41" t="str">
        <f>IF($C612="","",$B612&amp;"|"&amp;(COUNTIFS($B$4:$B$1463,$B612,$AG$4:$AG$1463,"&gt;"&amp;$AG612)+COUNTIFS($B$4:$B612,$B612,$AG$4:$AG612,"="&amp;$AG612)))</f>
        <v>SBG|64</v>
      </c>
    </row>
    <row r="613" spans="1:35" hidden="1">
      <c r="A613" s="69" t="s">
        <v>109</v>
      </c>
      <c r="B613" s="69" t="s">
        <v>108</v>
      </c>
      <c r="C613" s="63" t="s">
        <v>1604</v>
      </c>
      <c r="D613" s="69"/>
      <c r="E613" s="68" t="s">
        <v>77</v>
      </c>
      <c r="F613" s="19" t="str">
        <f>IF($C613="","",IF($E613="","-",IFERROR(INDEX(SETUP!$B$55:$B$64,MATCH($E613,SETUP!$A$55:$A$64,0)),"Other")))</f>
        <v>Control</v>
      </c>
      <c r="G613" s="70">
        <v>61646</v>
      </c>
      <c r="H613" s="19" t="str">
        <f>IF($C613="","",IF($G613="","-",INDEX(SETUP!$B$26:$B$32,MATCH($G613,SETUP!$A$26:$A$32,1))))</f>
        <v>61,000 - 61,999</v>
      </c>
      <c r="I613" s="70">
        <v>3038</v>
      </c>
      <c r="J613" s="19" t="str">
        <f>IF($C613="","",IF($I613="","-",INDEX(SETUP!$B$16:$B$22,MATCH($I613,SETUP!$A$16:$A$22,1))))</f>
        <v>DEVELOPING</v>
      </c>
      <c r="K613" s="19" t="str">
        <f>IF($C613="","",IF($I613="","-",TEXT(INT($I613/1000)*1000,"#,##0")&amp;" - "&amp;TEXT(INT($I613/1000)*1000+999,"#,##0")))</f>
        <v>3,000 - 3,999</v>
      </c>
      <c r="L613" s="71">
        <v>3.95</v>
      </c>
      <c r="M613" s="19" t="str">
        <f>IF($C613="","",IF($L613="","-",INDEX(SETUP!$B$36:$B$42,MATCH($L613,SETUP!$A$36:$A$42,1))))</f>
        <v>3k - 4k</v>
      </c>
      <c r="N613" s="21">
        <f>IF($C613="","",IF(OR($G613="",$I613=""),"",ROUND(100*(SETUP!$B$4*MIN(1,$I613/SETUP!$B$9)+SETUP!$B$5*MAX(0,MIN(1,($G613-SETUP!$B$10)/(SETUP!$B$11-SETUP!$B$10)))+SETUP!$B$6*MIN(1,IF($L613="",0,$L613)/SETUP!$B$12)),1)))</f>
        <v>37.299999999999997</v>
      </c>
      <c r="O613" s="19" t="str">
        <f>IF($C613="","",IF($N613="","-",INDEX(SETUP!$B$46:$B$51,MATCH($N613,SETUP!$A$46:$A$51,1))))</f>
        <v>B</v>
      </c>
      <c r="P613" s="19">
        <f>IF($C613="","",IF($I613="","",RANK($I613,$I$4:$I$1463)+COUNTIF($I$4:$I613,$I613)-1))</f>
        <v>865</v>
      </c>
      <c r="Q613" s="19">
        <f>IF($C613="","",COUNTIFS($B$4:$B$1463,$B613,$X$4:$X$1463,"&gt;"&amp;$X613)+COUNTIFS($B$4:$B613,$B613,$X$4:$X613,"="&amp;$X613))</f>
        <v>90</v>
      </c>
      <c r="R613" s="75">
        <f>IF($C613="","",IF($I613="","",ROUND(COUNTIF($I$4:$I$1463,"&lt;"&amp;$I613)/COUNT($I$4:$I$1463),3)))</f>
        <v>0.34699999999999998</v>
      </c>
      <c r="S613" s="19" t="str">
        <f>IF($C613="","",IF($G613="","Name only",IF(OR($I613="",$L613=""),"Partial","Complete")))</f>
        <v>Complete</v>
      </c>
      <c r="T613" s="1" t="str">
        <f>IF($C613="","",TRIM(IF(COUNTIF($C$4:$C$1463,$C613)&gt;1,"Dup name; ","")&amp;IF(AND($G613&lt;&gt;"",$G613&lt;55000),"Low CR - verify; ","")&amp;IF(AND($L613&lt;&gt;"",$L613&gt;15),"Secondary - verify; ","")&amp;IF($E613="","No class; ","")))</f>
        <v/>
      </c>
      <c r="U613" s="68"/>
      <c r="V613" s="68"/>
      <c r="W613" s="68"/>
      <c r="X613" s="76">
        <f t="shared" si="47"/>
        <v>3038</v>
      </c>
      <c r="Y613" s="1" t="str">
        <f t="shared" si="48"/>
        <v>SBG|90</v>
      </c>
      <c r="Z613" s="19">
        <f>IF($C613="","",IF($G613="","",RANK($G613,$G$4:$G$1463)+COUNTIF($G$4:$G613,$G613)-1))</f>
        <v>961</v>
      </c>
      <c r="AA613" s="19">
        <f>IF($C613="","",IF($N613="","",RANK($N613,$N$4:$N$1463)+COUNTIF($N$4:$N613,$N613)-1))</f>
        <v>918</v>
      </c>
      <c r="AB613" s="1" t="str">
        <f>IF($C613="","",IF($E613="","",$E613&amp;"#"&amp;(COUNTIFS($E$4:$E$1463,$E613,$X$4:$X$1463,"&gt;"&amp;$X613)+COUNTIFS($E$4:$E613,$E613,$X$4:$X613,"="&amp;$X613))))</f>
        <v>NECROMANCER#46</v>
      </c>
      <c r="AC613" s="1" t="str">
        <f>IF($C613="","",$B613&amp;"@"&amp;(COUNTIFS($B$4:$B$1463,$B613,$C$4:$C$1463,"&lt;"&amp;$C613)+COUNTIFS($B$4:$B613,$B613,$C$4:$C613,$C613)))</f>
        <v>SBG@36</v>
      </c>
      <c r="AD613" s="1">
        <f t="shared" si="49"/>
        <v>610</v>
      </c>
      <c r="AE613" s="1" t="s">
        <v>1605</v>
      </c>
      <c r="AF613" s="76">
        <f t="shared" si="50"/>
        <v>61646</v>
      </c>
      <c r="AG613" s="77">
        <f t="shared" si="51"/>
        <v>3.95</v>
      </c>
      <c r="AH613" s="1" t="str">
        <f>IF($C613="","",$B613&amp;"|"&amp;(COUNTIFS($B$4:$B$1463,$B613,$AF$4:$AF$1463,"&gt;"&amp;$AF613)+COUNTIFS($B$4:$B613,$B613,$AF$4:$AF613,"="&amp;$AF613)))</f>
        <v>SBG|79</v>
      </c>
      <c r="AI613" s="1" t="str">
        <f>IF($C613="","",$B613&amp;"|"&amp;(COUNTIFS($B$4:$B$1463,$B613,$AG$4:$AG$1463,"&gt;"&amp;$AG613)+COUNTIFS($B$4:$B613,$B613,$AG$4:$AG613,"="&amp;$AG613)))</f>
        <v>SBG|93</v>
      </c>
    </row>
    <row r="614" spans="1:35" hidden="1">
      <c r="A614" s="69" t="s">
        <v>109</v>
      </c>
      <c r="B614" s="69" t="s">
        <v>116</v>
      </c>
      <c r="C614" s="63" t="s">
        <v>1606</v>
      </c>
      <c r="D614" s="69" t="s">
        <v>530</v>
      </c>
      <c r="E614" s="68" t="s">
        <v>79</v>
      </c>
      <c r="F614" s="15" t="str">
        <f>IF($C614="","",IF($E614="","-",IFERROR(INDEX(SETUP!$B$55:$B$64,MATCH($E614,SETUP!$A$55:$A$64,0)),"Other")))</f>
        <v>Control</v>
      </c>
      <c r="G614" s="70">
        <v>62730</v>
      </c>
      <c r="H614" s="15" t="str">
        <f>IF($C614="","",IF($G614="","-",INDEX(SETUP!$B$26:$B$32,MATCH($G614,SETUP!$A$26:$A$32,1))))</f>
        <v>62,000 - 62,999</v>
      </c>
      <c r="I614" s="70">
        <v>2536</v>
      </c>
      <c r="J614" s="15" t="str">
        <f>IF($C614="","",IF($I614="","-",INDEX(SETUP!$B$16:$B$22,MATCH($I614,SETUP!$A$16:$A$22,1))))</f>
        <v>DEVELOPING</v>
      </c>
      <c r="K614" s="15" t="str">
        <f>IF($C614="","",IF($I614="","-",TEXT(INT($I614/1000)*1000,"#,##0")&amp;" - "&amp;TEXT(INT($I614/1000)*1000+999,"#,##0")))</f>
        <v>2,000 - 2,999</v>
      </c>
      <c r="L614" s="71">
        <v>4.17</v>
      </c>
      <c r="M614" s="15" t="str">
        <f>IF($C614="","",IF($L614="","-",INDEX(SETUP!$B$36:$B$42,MATCH($L614,SETUP!$A$36:$A$42,1))))</f>
        <v>4k - 5k</v>
      </c>
      <c r="N614" s="17">
        <f>IF($C614="","",IF(OR($G614="",$I614=""),"",ROUND(100*(SETUP!$B$4*MIN(1,$I614/SETUP!$B$9)+SETUP!$B$5*MAX(0,MIN(1,($G614-SETUP!$B$10)/(SETUP!$B$11-SETUP!$B$10)))+SETUP!$B$6*MIN(1,IF($L614="",0,$L614)/SETUP!$B$12)),1)))</f>
        <v>38.4</v>
      </c>
      <c r="O614" s="15" t="str">
        <f>IF($C614="","",IF($N614="","-",INDEX(SETUP!$B$46:$B$51,MATCH($N614,SETUP!$A$46:$A$51,1))))</f>
        <v>B</v>
      </c>
      <c r="P614" s="15">
        <f>IF($C614="","",IF($I614="","",RANK($I614,$I$4:$I$1463)+COUNTIF($I$4:$I614,$I614)-1))</f>
        <v>999</v>
      </c>
      <c r="Q614" s="15">
        <f>IF($C614="","",COUNTIFS($B$4:$B$1463,$B614,$X$4:$X$1463,"&gt;"&amp;$X614)+COUNTIFS($B$4:$B614,$B614,$X$4:$X614,"="&amp;$X614))</f>
        <v>70</v>
      </c>
      <c r="R614" s="72">
        <f>IF($C614="","",IF($I614="","",ROUND(COUNTIF($I$4:$I$1463,"&lt;"&amp;$I614)/COUNT($I$4:$I$1463),3)))</f>
        <v>0.245</v>
      </c>
      <c r="S614" s="15" t="str">
        <f>IF($C614="","",IF($G614="","Name only",IF(OR($I614="",$L614=""),"Partial","Complete")))</f>
        <v>Complete</v>
      </c>
      <c r="T614" s="41" t="str">
        <f>IF($C614="","",TRIM(IF(COUNTIF($C$4:$C$1463,$C614)&gt;1,"Dup name; ","")&amp;IF(AND($G614&lt;&gt;"",$G614&lt;55000),"Low CR - verify; ","")&amp;IF(AND($L614&lt;&gt;"",$L614&gt;15),"Secondary - verify; ","")&amp;IF($E614="","No class; ","")))</f>
        <v/>
      </c>
      <c r="U614" s="68"/>
      <c r="V614" s="68"/>
      <c r="W614" s="68"/>
      <c r="X614" s="73">
        <f t="shared" si="47"/>
        <v>2536</v>
      </c>
      <c r="Y614" s="41" t="str">
        <f t="shared" si="48"/>
        <v>VENGEANCE|70</v>
      </c>
      <c r="Z614" s="15">
        <f>IF($C614="","",IF($G614="","",RANK($G614,$G$4:$G$1463)+COUNTIF($G$4:$G614,$G614)-1))</f>
        <v>556</v>
      </c>
      <c r="AA614" s="15">
        <f>IF($C614="","",IF($N614="","",RANK($N614,$N$4:$N$1463)+COUNTIF($N$4:$N614,$N614)-1))</f>
        <v>890</v>
      </c>
      <c r="AB614" s="41" t="str">
        <f>IF($C614="","",IF($E614="","",$E614&amp;"#"&amp;(COUNTIFS($E$4:$E$1463,$E614,$X$4:$X$1463,"&gt;"&amp;$X614)+COUNTIFS($E$4:$E614,$E614,$X$4:$X614,"="&amp;$X614))))</f>
        <v>WARLOCK#247</v>
      </c>
      <c r="AC614" s="41" t="str">
        <f>IF($C614="","",$B614&amp;"@"&amp;(COUNTIFS($B$4:$B$1463,$B614,$C$4:$C$1463,"&lt;"&amp;$C614)+COUNTIFS($B$4:$B614,$B614,$C$4:$C614,$C614)))</f>
        <v>VENGEANCE@38</v>
      </c>
      <c r="AD614" s="41">
        <f t="shared" si="49"/>
        <v>611</v>
      </c>
      <c r="AE614" s="41" t="s">
        <v>1607</v>
      </c>
      <c r="AF614" s="73">
        <f t="shared" si="50"/>
        <v>62730</v>
      </c>
      <c r="AG614" s="74">
        <f t="shared" si="51"/>
        <v>4.17</v>
      </c>
      <c r="AH614" s="41" t="str">
        <f>IF($C614="","",$B614&amp;"|"&amp;(COUNTIFS($B$4:$B$1463,$B614,$AF$4:$AF$1463,"&gt;"&amp;$AF614)+COUNTIFS($B$4:$B614,$B614,$AF$4:$AF614,"="&amp;$AF614)))</f>
        <v>VENGEANCE|30</v>
      </c>
      <c r="AI614" s="41" t="str">
        <f>IF($C614="","",$B614&amp;"|"&amp;(COUNTIFS($B$4:$B$1463,$B614,$AG$4:$AG$1463,"&gt;"&amp;$AG614)+COUNTIFS($B$4:$B614,$B614,$AG$4:$AG614,"="&amp;$AG614)))</f>
        <v>VENGEANCE|61</v>
      </c>
    </row>
    <row r="615" spans="1:35">
      <c r="A615" s="69" t="s">
        <v>104</v>
      </c>
      <c r="B615" s="69" t="s">
        <v>66</v>
      </c>
      <c r="C615" s="63" t="s">
        <v>335</v>
      </c>
      <c r="D615" s="69"/>
      <c r="E615" s="68" t="s">
        <v>79</v>
      </c>
      <c r="F615" s="15" t="str">
        <f>IF($C615="","",IF($E615="","-",IFERROR(INDEX(SETUP!$B$55:$B$64,MATCH($E615,SETUP!$A$55:$A$64,0)),"Other")))</f>
        <v>Control</v>
      </c>
      <c r="G615" s="70">
        <v>61878</v>
      </c>
      <c r="H615" s="15" t="str">
        <f>IF($C615="","",IF($G615="","-",INDEX(SETUP!$B$26:$B$32,MATCH($G615,SETUP!$A$26:$A$32,1))))</f>
        <v>61,000 - 61,999</v>
      </c>
      <c r="I615" s="70">
        <v>3001</v>
      </c>
      <c r="J615" s="15" t="str">
        <f>IF($C615="","",IF($I615="","-",INDEX(SETUP!$B$16:$B$22,MATCH($I615,SETUP!$A$16:$A$22,1))))</f>
        <v>DEVELOPING</v>
      </c>
      <c r="K615" s="15" t="str">
        <f>IF($C615="","",IF($I615="","-",TEXT(INT($I615/1000)*1000,"#,##0")&amp;" - "&amp;TEXT(INT($I615/1000)*1000+999,"#,##0")))</f>
        <v>3,000 - 3,999</v>
      </c>
      <c r="L615" s="71">
        <v>3.94</v>
      </c>
      <c r="M615" s="15" t="str">
        <f>IF($C615="","",IF($L615="","-",INDEX(SETUP!$B$36:$B$42,MATCH($L615,SETUP!$A$36:$A$42,1))))</f>
        <v>3k - 4k</v>
      </c>
      <c r="N615" s="17">
        <f>IF($C615="","",IF(OR($G615="",$I615=""),"",ROUND(100*(SETUP!$B$4*MIN(1,$I615/SETUP!$B$9)+SETUP!$B$5*MAX(0,MIN(1,($G615-SETUP!$B$10)/(SETUP!$B$11-SETUP!$B$10)))+SETUP!$B$6*MIN(1,IF($L615="",0,$L615)/SETUP!$B$12)),1)))</f>
        <v>37.799999999999997</v>
      </c>
      <c r="O615" s="15" t="str">
        <f>IF($C615="","",IF($N615="","-",INDEX(SETUP!$B$46:$B$51,MATCH($N615,SETUP!$A$46:$A$51,1))))</f>
        <v>B</v>
      </c>
      <c r="P615" s="15">
        <f>IF($C615="","",IF($I615="","",RANK($I615,$I$4:$I$1463)+COUNTIF($I$4:$I615,$I615)-1))</f>
        <v>885</v>
      </c>
      <c r="Q615" s="15">
        <f>IF($C615="","",COUNTIFS($B$4:$B$1463,$B615,$X$4:$X$1463,"&gt;"&amp;$X615)+COUNTIFS($B$4:$B615,$B615,$X$4:$X615,"="&amp;$X615))</f>
        <v>93</v>
      </c>
      <c r="R615" s="72">
        <f>IF($C615="","",IF($I615="","",ROUND(COUNTIF($I$4:$I$1463,"&lt;"&amp;$I615)/COUNT($I$4:$I$1463),3)))</f>
        <v>0.33200000000000002</v>
      </c>
      <c r="S615" s="15" t="str">
        <f>IF($C615="","",IF($G615="","Name only",IF(OR($I615="",$L615=""),"Partial","Complete")))</f>
        <v>Complete</v>
      </c>
      <c r="T615" s="41" t="str">
        <f>IF($C615="","",TRIM(IF(COUNTIF($C$4:$C$1463,$C615)&gt;1,"Dup name; ","")&amp;IF(AND($G615&lt;&gt;"",$G615&lt;55000),"Low CR - verify; ","")&amp;IF(AND($L615&lt;&gt;"",$L615&gt;15),"Secondary - verify; ","")&amp;IF($E615="","No class; ","")))</f>
        <v/>
      </c>
      <c r="U615" s="68" t="s">
        <v>267</v>
      </c>
      <c r="V615" s="68" t="s">
        <v>66</v>
      </c>
      <c r="W615" s="68" t="s">
        <v>285</v>
      </c>
      <c r="X615" s="76">
        <f t="shared" si="47"/>
        <v>3001</v>
      </c>
      <c r="Y615" s="1" t="str">
        <f t="shared" si="48"/>
        <v>FUCT|93</v>
      </c>
      <c r="Z615" s="19">
        <f>IF($C615="","",IF($G615="","",RANK($G615,$G$4:$G$1463)+COUNTIF($G$4:$G615,$G615)-1))</f>
        <v>885</v>
      </c>
      <c r="AA615" s="19">
        <f>IF($C615="","",IF($N615="","",RANK($N615,$N$4:$N$1463)+COUNTIF($N$4:$N615,$N615)-1))</f>
        <v>906</v>
      </c>
      <c r="AB615" s="1" t="str">
        <f>IF($C615="","",IF($E615="","",$E615&amp;"#"&amp;(COUNTIFS($E$4:$E$1463,$E615,$X$4:$X$1463,"&gt;"&amp;$X615)+COUNTIFS($E$4:$E615,$E615,$X$4:$X615,"="&amp;$X615))))</f>
        <v>WARLOCK#219</v>
      </c>
      <c r="AC615" s="1" t="str">
        <f>IF($C615="","",$B615&amp;"@"&amp;(COUNTIFS($B$4:$B$1463,$B615,$C$4:$C$1463,"&lt;"&amp;$C615)+COUNTIFS($B$4:$B615,$B615,$C$4:$C615,$C615)))</f>
        <v>FUCT@44</v>
      </c>
      <c r="AD615" s="1">
        <f t="shared" si="49"/>
        <v>612</v>
      </c>
      <c r="AE615" s="1" t="s">
        <v>1608</v>
      </c>
      <c r="AF615" s="76">
        <f t="shared" si="50"/>
        <v>61878</v>
      </c>
      <c r="AG615" s="77">
        <f t="shared" si="51"/>
        <v>3.94</v>
      </c>
      <c r="AH615" s="1" t="str">
        <f>IF($C615="","",$B615&amp;"|"&amp;(COUNTIFS($B$4:$B$1463,$B615,$AF$4:$AF$1463,"&gt;"&amp;$AF615)+COUNTIFS($B$4:$B615,$B615,$AF$4:$AF615,"="&amp;$AF615)))</f>
        <v>FUCT|83</v>
      </c>
      <c r="AI615" s="1" t="str">
        <f>IF($C615="","",$B615&amp;"|"&amp;(COUNTIFS($B$4:$B$1463,$B615,$AG$4:$AG$1463,"&gt;"&amp;$AG615)+COUNTIFS($B$4:$B615,$B615,$AG$4:$AG615,"="&amp;$AG615)))</f>
        <v>FUCT|84</v>
      </c>
    </row>
    <row r="616" spans="1:35" hidden="1">
      <c r="A616" s="69" t="s">
        <v>109</v>
      </c>
      <c r="B616" s="69" t="s">
        <v>113</v>
      </c>
      <c r="C616" s="63" t="s">
        <v>1609</v>
      </c>
      <c r="D616" s="69" t="s">
        <v>548</v>
      </c>
      <c r="E616" s="68" t="s">
        <v>72</v>
      </c>
      <c r="F616" s="15" t="str">
        <f>IF($C616="","",IF($E616="","-",IFERROR(INDEX(SETUP!$B$55:$B$64,MATCH($E616,SETUP!$A$55:$A$64,0)),"Other")))</f>
        <v>Frontline</v>
      </c>
      <c r="G616" s="70">
        <v>61394</v>
      </c>
      <c r="H616" s="15" t="str">
        <f>IF($C616="","",IF($G616="","-",INDEX(SETUP!$B$26:$B$32,MATCH($G616,SETUP!$A$26:$A$32,1))))</f>
        <v>61,000 - 61,999</v>
      </c>
      <c r="I616" s="70">
        <v>2830</v>
      </c>
      <c r="J616" s="15" t="str">
        <f>IF($C616="","",IF($I616="","-",INDEX(SETUP!$B$16:$B$22,MATCH($I616,SETUP!$A$16:$A$22,1))))</f>
        <v>DEVELOPING</v>
      </c>
      <c r="K616" s="15" t="str">
        <f>IF($C616="","",IF($I616="","-",TEXT(INT($I616/1000)*1000,"#,##0")&amp;" - "&amp;TEXT(INT($I616/1000)*1000+999,"#,##0")))</f>
        <v>2,000 - 2,999</v>
      </c>
      <c r="L616" s="71">
        <v>4.05</v>
      </c>
      <c r="M616" s="15" t="str">
        <f>IF($C616="","",IF($L616="","-",INDEX(SETUP!$B$36:$B$42,MATCH($L616,SETUP!$A$36:$A$42,1))))</f>
        <v>4k - 5k</v>
      </c>
      <c r="N616" s="17">
        <f>IF($C616="","",IF(OR($G616="",$I616=""),"",ROUND(100*(SETUP!$B$4*MIN(1,$I616/SETUP!$B$9)+SETUP!$B$5*MAX(0,MIN(1,($G616-SETUP!$B$10)/(SETUP!$B$11-SETUP!$B$10)))+SETUP!$B$6*MIN(1,IF($L616="",0,$L616)/SETUP!$B$12)),1)))</f>
        <v>35.9</v>
      </c>
      <c r="O616" s="15" t="str">
        <f>IF($C616="","",IF($N616="","-",INDEX(SETUP!$B$46:$B$51,MATCH($N616,SETUP!$A$46:$A$51,1))))</f>
        <v>B</v>
      </c>
      <c r="P616" s="15">
        <f>IF($C616="","",IF($I616="","",RANK($I616,$I$4:$I$1463)+COUNTIF($I$4:$I616,$I616)-1))</f>
        <v>926</v>
      </c>
      <c r="Q616" s="15">
        <f>IF($C616="","",COUNTIFS($B$4:$B$1463,$B616,$X$4:$X$1463,"&gt;"&amp;$X616)+COUNTIFS($B$4:$B616,$B616,$X$4:$X616,"="&amp;$X616))</f>
        <v>58</v>
      </c>
      <c r="R616" s="72">
        <f>IF($C616="","",IF($I616="","",ROUND(COUNTIF($I$4:$I$1463,"&lt;"&amp;$I616)/COUNT($I$4:$I$1463),3)))</f>
        <v>0.3</v>
      </c>
      <c r="S616" s="15" t="str">
        <f>IF($C616="","",IF($G616="","Name only",IF(OR($I616="",$L616=""),"Partial","Complete")))</f>
        <v>Complete</v>
      </c>
      <c r="T616" s="41" t="str">
        <f>IF($C616="","",TRIM(IF(COUNTIF($C$4:$C$1463,$C616)&gt;1,"Dup name; ","")&amp;IF(AND($G616&lt;&gt;"",$G616&lt;55000),"Low CR - verify; ","")&amp;IF(AND($L616&lt;&gt;"",$L616&gt;15),"Secondary - verify; ","")&amp;IF($E616="","No class; ","")))</f>
        <v/>
      </c>
      <c r="U616" s="68"/>
      <c r="V616" s="68"/>
      <c r="W616" s="68"/>
      <c r="X616" s="73">
        <f t="shared" si="47"/>
        <v>2830</v>
      </c>
      <c r="Y616" s="41" t="str">
        <f t="shared" si="48"/>
        <v>INVICTUS|58</v>
      </c>
      <c r="Z616" s="15">
        <f>IF($C616="","",IF($G616="","",RANK($G616,$G$4:$G$1463)+COUNTIF($G$4:$G616,$G616)-1))</f>
        <v>1033</v>
      </c>
      <c r="AA616" s="15">
        <f>IF($C616="","",IF($N616="","",RANK($N616,$N$4:$N$1463)+COUNTIF($N$4:$N616,$N616)-1))</f>
        <v>973</v>
      </c>
      <c r="AB616" s="41" t="str">
        <f>IF($C616="","",IF($E616="","",$E616&amp;"#"&amp;(COUNTIFS($E$4:$E$1463,$E616,$X$4:$X$1463,"&gt;"&amp;$X616)+COUNTIFS($E$4:$E616,$E616,$X$4:$X616,"="&amp;$X616))))</f>
        <v>BLOOD KNIGHT#66</v>
      </c>
      <c r="AC616" s="41" t="str">
        <f>IF($C616="","",$B616&amp;"@"&amp;(COUNTIFS($B$4:$B$1463,$B616,$C$4:$C$1463,"&lt;"&amp;$C616)+COUNTIFS($B$4:$B616,$B616,$C$4:$C616,$C616)))</f>
        <v>INVICTUS@41</v>
      </c>
      <c r="AD616" s="41">
        <f t="shared" si="49"/>
        <v>613</v>
      </c>
      <c r="AE616" s="41" t="s">
        <v>1610</v>
      </c>
      <c r="AF616" s="73">
        <f t="shared" si="50"/>
        <v>61394</v>
      </c>
      <c r="AG616" s="74">
        <f t="shared" si="51"/>
        <v>4.05</v>
      </c>
      <c r="AH616" s="41" t="str">
        <f>IF($C616="","",$B616&amp;"|"&amp;(COUNTIFS($B$4:$B$1463,$B616,$AF$4:$AF$1463,"&gt;"&amp;$AF616)+COUNTIFS($B$4:$B616,$B616,$AF$4:$AF616,"="&amp;$AF616)))</f>
        <v>INVICTUS|75</v>
      </c>
      <c r="AI616" s="41" t="str">
        <f>IF($C616="","",$B616&amp;"|"&amp;(COUNTIFS($B$4:$B$1463,$B616,$AG$4:$AG$1463,"&gt;"&amp;$AG616)+COUNTIFS($B$4:$B616,$B616,$AG$4:$AG616,"="&amp;$AG616)))</f>
        <v>INVICTUS|57</v>
      </c>
    </row>
    <row r="617" spans="1:35" hidden="1">
      <c r="A617" s="69" t="s">
        <v>106</v>
      </c>
      <c r="B617" s="69" t="s">
        <v>107</v>
      </c>
      <c r="C617" s="63" t="s">
        <v>1611</v>
      </c>
      <c r="D617" s="69"/>
      <c r="E617" s="68" t="s">
        <v>73</v>
      </c>
      <c r="F617" s="19" t="str">
        <f>IF($C617="","",IF($E617="","-",IFERROR(INDEX(SETUP!$B$55:$B$64,MATCH($E617,SETUP!$A$55:$A$64,0)),"Other")))</f>
        <v>Frontline</v>
      </c>
      <c r="G617" s="70">
        <v>61863</v>
      </c>
      <c r="H617" s="19" t="str">
        <f>IF($C617="","",IF($G617="","-",INDEX(SETUP!$B$26:$B$32,MATCH($G617,SETUP!$A$26:$A$32,1))))</f>
        <v>61,000 - 61,999</v>
      </c>
      <c r="I617" s="70">
        <v>4358</v>
      </c>
      <c r="J617" s="19" t="str">
        <f>IF($C617="","",IF($I617="","-",INDEX(SETUP!$B$16:$B$22,MATCH($I617,SETUP!$A$16:$A$22,1))))</f>
        <v>CORE</v>
      </c>
      <c r="K617" s="19" t="str">
        <f>IF($C617="","",IF($I617="","-",TEXT(INT($I617/1000)*1000,"#,##0")&amp;" - "&amp;TEXT(INT($I617/1000)*1000+999,"#,##0")))</f>
        <v>4,000 - 4,999</v>
      </c>
      <c r="L617" s="71">
        <v>3.9</v>
      </c>
      <c r="M617" s="19" t="str">
        <f>IF($C617="","",IF($L617="","-",INDEX(SETUP!$B$36:$B$42,MATCH($L617,SETUP!$A$36:$A$42,1))))</f>
        <v>3k - 4k</v>
      </c>
      <c r="N617" s="21">
        <f>IF($C617="","",IF(OR($G617="",$I617=""),"",ROUND(100*(SETUP!$B$4*MIN(1,$I617/SETUP!$B$9)+SETUP!$B$5*MAX(0,MIN(1,($G617-SETUP!$B$10)/(SETUP!$B$11-SETUP!$B$10)))+SETUP!$B$6*MIN(1,IF($L617="",0,$L617)/SETUP!$B$12)),1)))</f>
        <v>43.6</v>
      </c>
      <c r="O617" s="19" t="str">
        <f>IF($C617="","",IF($N617="","-",INDEX(SETUP!$B$46:$B$51,MATCH($N617,SETUP!$A$46:$A$51,1))))</f>
        <v>B</v>
      </c>
      <c r="P617" s="19">
        <f>IF($C617="","",IF($I617="","",RANK($I617,$I$4:$I$1463)+COUNTIF($I$4:$I617,$I617)-1))</f>
        <v>521</v>
      </c>
      <c r="Q617" s="19">
        <f>IF($C617="","",COUNTIFS($B$4:$B$1463,$B617,$X$4:$X$1463,"&gt;"&amp;$X617)+COUNTIFS($B$4:$B617,$B617,$X$4:$X617,"="&amp;$X617))</f>
        <v>40</v>
      </c>
      <c r="R617" s="75">
        <f>IF($C617="","",IF($I617="","",ROUND(COUNTIF($I$4:$I$1463,"&lt;"&amp;$I617)/COUNT($I$4:$I$1463),3)))</f>
        <v>0.60699999999999998</v>
      </c>
      <c r="S617" s="19" t="str">
        <f>IF($C617="","",IF($G617="","Name only",IF(OR($I617="",$L617=""),"Partial","Complete")))</f>
        <v>Complete</v>
      </c>
      <c r="T617" s="1" t="str">
        <f>IF($C617="","",TRIM(IF(COUNTIF($C$4:$C$1463,$C617)&gt;1,"Dup name; ","")&amp;IF(AND($G617&lt;&gt;"",$G617&lt;55000),"Low CR - verify; ","")&amp;IF(AND($L617&lt;&gt;"",$L617&gt;15),"Secondary - verify; ","")&amp;IF($E617="","No class; ","")))</f>
        <v/>
      </c>
      <c r="U617" s="68"/>
      <c r="V617" s="68"/>
      <c r="W617" s="68"/>
      <c r="X617" s="76">
        <f t="shared" si="47"/>
        <v>4358</v>
      </c>
      <c r="Y617" s="1" t="str">
        <f t="shared" si="48"/>
        <v>UNDYING|40</v>
      </c>
      <c r="Z617" s="19">
        <f>IF($C617="","",IF($G617="","",RANK($G617,$G$4:$G$1463)+COUNTIF($G$4:$G617,$G617)-1))</f>
        <v>892</v>
      </c>
      <c r="AA617" s="19">
        <f>IF($C617="","",IF($N617="","",RANK($N617,$N$4:$N$1463)+COUNTIF($N$4:$N617,$N617)-1))</f>
        <v>685</v>
      </c>
      <c r="AB617" s="1" t="str">
        <f>IF($C617="","",IF($E617="","",$E617&amp;"#"&amp;(COUNTIFS($E$4:$E$1463,$E617,$X$4:$X$1463,"&gt;"&amp;$X617)+COUNTIFS($E$4:$E617,$E617,$X$4:$X617,"="&amp;$X617))))</f>
        <v>CRUSADER#62</v>
      </c>
      <c r="AC617" s="1" t="str">
        <f>IF($C617="","",$B617&amp;"@"&amp;(COUNTIFS($B$4:$B$1463,$B617,$C$4:$C$1463,"&lt;"&amp;$C617)+COUNTIFS($B$4:$B617,$B617,$C$4:$C617,$C617)))</f>
        <v>UNDYING@54</v>
      </c>
      <c r="AD617" s="1">
        <f t="shared" si="49"/>
        <v>614</v>
      </c>
      <c r="AE617" s="1" t="s">
        <v>885</v>
      </c>
      <c r="AF617" s="76">
        <f t="shared" si="50"/>
        <v>61863</v>
      </c>
      <c r="AG617" s="77">
        <f t="shared" si="51"/>
        <v>3.9</v>
      </c>
      <c r="AH617" s="1" t="str">
        <f>IF($C617="","",$B617&amp;"|"&amp;(COUNTIFS($B$4:$B$1463,$B617,$AF$4:$AF$1463,"&gt;"&amp;$AF617)+COUNTIFS($B$4:$B617,$B617,$AF$4:$AF617,"="&amp;$AF617)))</f>
        <v>UNDYING|82</v>
      </c>
      <c r="AI617" s="1" t="str">
        <f>IF($C617="","",$B617&amp;"|"&amp;(COUNTIFS($B$4:$B$1463,$B617,$AG$4:$AG$1463,"&gt;"&amp;$AG617)+COUNTIFS($B$4:$B617,$B617,$AG$4:$AG617,"="&amp;$AG617)))</f>
        <v>UNDYING|82</v>
      </c>
    </row>
    <row r="618" spans="1:35" hidden="1">
      <c r="A618" s="69" t="s">
        <v>109</v>
      </c>
      <c r="B618" s="69" t="s">
        <v>114</v>
      </c>
      <c r="C618" s="63" t="s">
        <v>1612</v>
      </c>
      <c r="D618" s="69"/>
      <c r="E618" s="68" t="s">
        <v>79</v>
      </c>
      <c r="F618" s="15" t="str">
        <f>IF($C618="","",IF($E618="","-",IFERROR(INDEX(SETUP!$B$55:$B$64,MATCH($E618,SETUP!$A$55:$A$64,0)),"Other")))</f>
        <v>Control</v>
      </c>
      <c r="G618" s="70">
        <v>61878</v>
      </c>
      <c r="H618" s="15" t="str">
        <f>IF($C618="","",IF($G618="","-",INDEX(SETUP!$B$26:$B$32,MATCH($G618,SETUP!$A$26:$A$32,1))))</f>
        <v>61,000 - 61,999</v>
      </c>
      <c r="I618" s="70">
        <v>4233</v>
      </c>
      <c r="J618" s="15" t="str">
        <f>IF($C618="","",IF($I618="","-",INDEX(SETUP!$B$16:$B$22,MATCH($I618,SETUP!$A$16:$A$22,1))))</f>
        <v>CORE</v>
      </c>
      <c r="K618" s="15" t="str">
        <f>IF($C618="","",IF($I618="","-",TEXT(INT($I618/1000)*1000,"#,##0")&amp;" - "&amp;TEXT(INT($I618/1000)*1000+999,"#,##0")))</f>
        <v>4,000 - 4,999</v>
      </c>
      <c r="L618" s="71">
        <v>3.9</v>
      </c>
      <c r="M618" s="15" t="str">
        <f>IF($C618="","",IF($L618="","-",INDEX(SETUP!$B$36:$B$42,MATCH($L618,SETUP!$A$36:$A$42,1))))</f>
        <v>3k - 4k</v>
      </c>
      <c r="N618" s="17">
        <f>IF($C618="","",IF(OR($G618="",$I618=""),"",ROUND(100*(SETUP!$B$4*MIN(1,$I618/SETUP!$B$9)+SETUP!$B$5*MAX(0,MIN(1,($G618-SETUP!$B$10)/(SETUP!$B$11-SETUP!$B$10)))+SETUP!$B$6*MIN(1,IF($L618="",0,$L618)/SETUP!$B$12)),1)))</f>
        <v>43.1</v>
      </c>
      <c r="O618" s="15" t="str">
        <f>IF($C618="","",IF($N618="","-",INDEX(SETUP!$B$46:$B$51,MATCH($N618,SETUP!$A$46:$A$51,1))))</f>
        <v>B</v>
      </c>
      <c r="P618" s="15">
        <f>IF($C618="","",IF($I618="","",RANK($I618,$I$4:$I$1463)+COUNTIF($I$4:$I618,$I618)-1))</f>
        <v>549</v>
      </c>
      <c r="Q618" s="15">
        <f>IF($C618="","",COUNTIFS($B$4:$B$1463,$B618,$X$4:$X$1463,"&gt;"&amp;$X618)+COUNTIFS($B$4:$B618,$B618,$X$4:$X618,"="&amp;$X618))</f>
        <v>10</v>
      </c>
      <c r="R618" s="72">
        <f>IF($C618="","",IF($I618="","",ROUND(COUNTIF($I$4:$I$1463,"&lt;"&amp;$I618)/COUNT($I$4:$I$1463),3)))</f>
        <v>0.58599999999999997</v>
      </c>
      <c r="S618" s="15" t="str">
        <f>IF($C618="","",IF($G618="","Name only",IF(OR($I618="",$L618=""),"Partial","Complete")))</f>
        <v>Complete</v>
      </c>
      <c r="T618" s="41" t="str">
        <f>IF($C618="","",TRIM(IF(COUNTIF($C$4:$C$1463,$C618)&gt;1,"Dup name; ","")&amp;IF(AND($G618&lt;&gt;"",$G618&lt;55000),"Low CR - verify; ","")&amp;IF(AND($L618&lt;&gt;"",$L618&gt;15),"Secondary - verify; ","")&amp;IF($E618="","No class; ","")))</f>
        <v/>
      </c>
      <c r="U618" s="68"/>
      <c r="V618" s="68"/>
      <c r="W618" s="68"/>
      <c r="X618" s="73">
        <f t="shared" si="47"/>
        <v>4233</v>
      </c>
      <c r="Y618" s="41" t="str">
        <f t="shared" si="48"/>
        <v>EMERALD LEAF TRIBE|10</v>
      </c>
      <c r="Z618" s="15">
        <f>IF($C618="","",IF($G618="","",RANK($G618,$G$4:$G$1463)+COUNTIF($G$4:$G618,$G618)-1))</f>
        <v>886</v>
      </c>
      <c r="AA618" s="15">
        <f>IF($C618="","",IF($N618="","",RANK($N618,$N$4:$N$1463)+COUNTIF($N$4:$N618,$N618)-1))</f>
        <v>701</v>
      </c>
      <c r="AB618" s="41" t="str">
        <f>IF($C618="","",IF($E618="","",$E618&amp;"#"&amp;(COUNTIFS($E$4:$E$1463,$E618,$X$4:$X$1463,"&gt;"&amp;$X618)+COUNTIFS($E$4:$E618,$E618,$X$4:$X618,"="&amp;$X618))))</f>
        <v>WARLOCK#129</v>
      </c>
      <c r="AC618" s="41" t="str">
        <f>IF($C618="","",$B618&amp;"@"&amp;(COUNTIFS($B$4:$B$1463,$B618,$C$4:$C$1463,"&lt;"&amp;$C618)+COUNTIFS($B$4:$B618,$B618,$C$4:$C618,$C618)))</f>
        <v>EMERALD LEAF TRIBE@41</v>
      </c>
      <c r="AD618" s="41">
        <f t="shared" si="49"/>
        <v>615</v>
      </c>
      <c r="AE618" s="41" t="s">
        <v>1613</v>
      </c>
      <c r="AF618" s="73">
        <f t="shared" si="50"/>
        <v>61878</v>
      </c>
      <c r="AG618" s="74">
        <f t="shared" si="51"/>
        <v>3.9</v>
      </c>
      <c r="AH618" s="41" t="str">
        <f>IF($C618="","",$B618&amp;"|"&amp;(COUNTIFS($B$4:$B$1463,$B618,$AF$4:$AF$1463,"&gt;"&amp;$AF618)+COUNTIFS($B$4:$B618,$B618,$AF$4:$AF618,"="&amp;$AF618)))</f>
        <v>EMERALD LEAF TRIBE|29</v>
      </c>
      <c r="AI618" s="41" t="str">
        <f>IF($C618="","",$B618&amp;"|"&amp;(COUNTIFS($B$4:$B$1463,$B618,$AG$4:$AG$1463,"&gt;"&amp;$AG618)+COUNTIFS($B$4:$B618,$B618,$AG$4:$AG618,"="&amp;$AG618)))</f>
        <v>EMERALD LEAF TRIBE|33</v>
      </c>
    </row>
    <row r="619" spans="1:35" hidden="1">
      <c r="A619" s="69" t="s">
        <v>109</v>
      </c>
      <c r="B619" s="69" t="s">
        <v>111</v>
      </c>
      <c r="C619" s="63" t="s">
        <v>1614</v>
      </c>
      <c r="D619" s="69" t="s">
        <v>527</v>
      </c>
      <c r="E619" s="68" t="s">
        <v>73</v>
      </c>
      <c r="F619" s="19" t="str">
        <f>IF($C619="","",IF($E619="","-",IFERROR(INDEX(SETUP!$B$55:$B$64,MATCH($E619,SETUP!$A$55:$A$64,0)),"Other")))</f>
        <v>Frontline</v>
      </c>
      <c r="G619" s="70">
        <v>63270</v>
      </c>
      <c r="H619" s="19" t="str">
        <f>IF($C619="","",IF($G619="","-",INDEX(SETUP!$B$26:$B$32,MATCH($G619,SETUP!$A$26:$A$32,1))))</f>
        <v>63,000 - 63,999</v>
      </c>
      <c r="I619" s="70">
        <v>3759</v>
      </c>
      <c r="J619" s="19" t="str">
        <f>IF($C619="","",IF($I619="","-",INDEX(SETUP!$B$16:$B$22,MATCH($I619,SETUP!$A$16:$A$22,1))))</f>
        <v>DEVELOPING</v>
      </c>
      <c r="K619" s="19" t="str">
        <f>IF($C619="","",IF($I619="","-",TEXT(INT($I619/1000)*1000,"#,##0")&amp;" - "&amp;TEXT(INT($I619/1000)*1000+999,"#,##0")))</f>
        <v>3,000 - 3,999</v>
      </c>
      <c r="L619" s="71">
        <v>5</v>
      </c>
      <c r="M619" s="19" t="str">
        <f>IF($C619="","",IF($L619="","-",INDEX(SETUP!$B$36:$B$42,MATCH($L619,SETUP!$A$36:$A$42,1))))</f>
        <v>5k - 6k</v>
      </c>
      <c r="N619" s="21">
        <f>IF($C619="","",IF(OR($G619="",$I619=""),"",ROUND(100*(SETUP!$B$4*MIN(1,$I619/SETUP!$B$9)+SETUP!$B$5*MAX(0,MIN(1,($G619-SETUP!$B$10)/(SETUP!$B$11-SETUP!$B$10)))+SETUP!$B$6*MIN(1,IF($L619="",0,$L619)/SETUP!$B$12)),1)))</f>
        <v>46.5</v>
      </c>
      <c r="O619" s="19" t="str">
        <f>IF($C619="","",IF($N619="","-",INDEX(SETUP!$B$46:$B$51,MATCH($N619,SETUP!$A$46:$A$51,1))))</f>
        <v>B</v>
      </c>
      <c r="P619" s="19">
        <f>IF($C619="","",IF($I619="","",RANK($I619,$I$4:$I$1463)+COUNTIF($I$4:$I619,$I619)-1))</f>
        <v>663</v>
      </c>
      <c r="Q619" s="19">
        <f>IF($C619="","",COUNTIFS($B$4:$B$1463,$B619,$X$4:$X$1463,"&gt;"&amp;$X619)+COUNTIFS($B$4:$B619,$B619,$X$4:$X619,"="&amp;$X619))</f>
        <v>74</v>
      </c>
      <c r="R619" s="75">
        <f>IF($C619="","",IF($I619="","",ROUND(COUNTIF($I$4:$I$1463,"&lt;"&amp;$I619)/COUNT($I$4:$I$1463),3)))</f>
        <v>0.5</v>
      </c>
      <c r="S619" s="19" t="str">
        <f>IF($C619="","",IF($G619="","Name only",IF(OR($I619="",$L619=""),"Partial","Complete")))</f>
        <v>Complete</v>
      </c>
      <c r="T619" s="1" t="str">
        <f>IF($C619="","",TRIM(IF(COUNTIF($C$4:$C$1463,$C619)&gt;1,"Dup name; ","")&amp;IF(AND($G619&lt;&gt;"",$G619&lt;55000),"Low CR - verify; ","")&amp;IF(AND($L619&lt;&gt;"",$L619&gt;15),"Secondary - verify; ","")&amp;IF($E619="","No class; ","")))</f>
        <v/>
      </c>
      <c r="U619" s="68"/>
      <c r="V619" s="68"/>
      <c r="W619" s="68"/>
      <c r="X619" s="76">
        <f t="shared" si="47"/>
        <v>3759</v>
      </c>
      <c r="Y619" s="1" t="str">
        <f t="shared" si="48"/>
        <v>RECKONING|74</v>
      </c>
      <c r="Z619" s="19">
        <f>IF($C619="","",IF($G619="","",RANK($G619,$G$4:$G$1463)+COUNTIF($G$4:$G619,$G619)-1))</f>
        <v>278</v>
      </c>
      <c r="AA619" s="19">
        <f>IF($C619="","",IF($N619="","",RANK($N619,$N$4:$N$1463)+COUNTIF($N$4:$N619,$N619)-1))</f>
        <v>571</v>
      </c>
      <c r="AB619" s="1" t="str">
        <f>IF($C619="","",IF($E619="","",$E619&amp;"#"&amp;(COUNTIFS($E$4:$E$1463,$E619,$X$4:$X$1463,"&gt;"&amp;$X619)+COUNTIFS($E$4:$E619,$E619,$X$4:$X619,"="&amp;$X619))))</f>
        <v>CRUSADER#77</v>
      </c>
      <c r="AC619" s="1" t="str">
        <f>IF($C619="","",$B619&amp;"@"&amp;(COUNTIFS($B$4:$B$1463,$B619,$C$4:$C$1463,"&lt;"&amp;$C619)+COUNTIFS($B$4:$B619,$B619,$C$4:$C619,$C619)))</f>
        <v>RECKONING@45</v>
      </c>
      <c r="AD619" s="1">
        <f t="shared" si="49"/>
        <v>616</v>
      </c>
      <c r="AE619" s="1" t="s">
        <v>790</v>
      </c>
      <c r="AF619" s="76">
        <f t="shared" si="50"/>
        <v>63270</v>
      </c>
      <c r="AG619" s="77">
        <f t="shared" si="51"/>
        <v>5</v>
      </c>
      <c r="AH619" s="1" t="str">
        <f>IF($C619="","",$B619&amp;"|"&amp;(COUNTIFS($B$4:$B$1463,$B619,$AF$4:$AF$1463,"&gt;"&amp;$AF619)+COUNTIFS($B$4:$B619,$B619,$AF$4:$AF619,"="&amp;$AF619)))</f>
        <v>RECKONING|31</v>
      </c>
      <c r="AI619" s="1" t="str">
        <f>IF($C619="","",$B619&amp;"|"&amp;(COUNTIFS($B$4:$B$1463,$B619,$AG$4:$AG$1463,"&gt;"&amp;$AG619)+COUNTIFS($B$4:$B619,$B619,$AG$4:$AG619,"="&amp;$AG619)))</f>
        <v>RECKONING|67</v>
      </c>
    </row>
    <row r="620" spans="1:35" hidden="1">
      <c r="A620" s="69" t="s">
        <v>109</v>
      </c>
      <c r="B620" s="69" t="s">
        <v>118</v>
      </c>
      <c r="C620" s="63" t="s">
        <v>1615</v>
      </c>
      <c r="D620" s="69"/>
      <c r="E620" s="68" t="s">
        <v>74</v>
      </c>
      <c r="F620" s="15" t="str">
        <f>IF($C620="","",IF($E620="","-",IFERROR(INDEX(SETUP!$B$55:$B$64,MATCH($E620,SETUP!$A$55:$A$64,0)),"Other")))</f>
        <v>Ranged DPS</v>
      </c>
      <c r="G620" s="70">
        <v>60864</v>
      </c>
      <c r="H620" s="15" t="str">
        <f>IF($C620="","",IF($G620="","-",INDEX(SETUP!$B$26:$B$32,MATCH($G620,SETUP!$A$26:$A$32,1))))</f>
        <v>60,000 - 60,999</v>
      </c>
      <c r="I620" s="70">
        <v>1908</v>
      </c>
      <c r="J620" s="15" t="str">
        <f>IF($C620="","",IF($I620="","-",INDEX(SETUP!$B$16:$B$22,MATCH($I620,SETUP!$A$16:$A$22,1))))</f>
        <v>ROOKIE</v>
      </c>
      <c r="K620" s="15" t="str">
        <f>IF($C620="","",IF($I620="","-",TEXT(INT($I620/1000)*1000,"#,##0")&amp;" - "&amp;TEXT(INT($I620/1000)*1000+999,"#,##0")))</f>
        <v>1,000 - 1,999</v>
      </c>
      <c r="L620" s="71">
        <v>3.1</v>
      </c>
      <c r="M620" s="15" t="str">
        <f>IF($C620="","",IF($L620="","-",INDEX(SETUP!$B$36:$B$42,MATCH($L620,SETUP!$A$36:$A$42,1))))</f>
        <v>3k - 4k</v>
      </c>
      <c r="N620" s="17">
        <f>IF($C620="","",IF(OR($G620="",$I620=""),"",ROUND(100*(SETUP!$B$4*MIN(1,$I620/SETUP!$B$9)+SETUP!$B$5*MAX(0,MIN(1,($G620-SETUP!$B$10)/(SETUP!$B$11-SETUP!$B$10)))+SETUP!$B$6*MIN(1,IF($L620="",0,$L620)/SETUP!$B$12)),1)))</f>
        <v>28.9</v>
      </c>
      <c r="O620" s="15" t="str">
        <f>IF($C620="","",IF($N620="","-",INDEX(SETUP!$B$46:$B$51,MATCH($N620,SETUP!$A$46:$A$51,1))))</f>
        <v>C</v>
      </c>
      <c r="P620" s="15">
        <f>IF($C620="","",IF($I620="","",RANK($I620,$I$4:$I$1463)+COUNTIF($I$4:$I620,$I620)-1))</f>
        <v>1133</v>
      </c>
      <c r="Q620" s="15">
        <f>IF($C620="","",COUNTIFS($B$4:$B$1463,$B620,$X$4:$X$1463,"&gt;"&amp;$X620)+COUNTIFS($B$4:$B620,$B620,$X$4:$X620,"="&amp;$X620))</f>
        <v>43</v>
      </c>
      <c r="R620" s="72">
        <f>IF($C620="","",IF($I620="","",ROUND(COUNTIF($I$4:$I$1463,"&lt;"&amp;$I620)/COUNT($I$4:$I$1463),3)))</f>
        <v>0.14499999999999999</v>
      </c>
      <c r="S620" s="15" t="str">
        <f>IF($C620="","",IF($G620="","Name only",IF(OR($I620="",$L620=""),"Partial","Complete")))</f>
        <v>Complete</v>
      </c>
      <c r="T620" s="41" t="str">
        <f>IF($C620="","",TRIM(IF(COUNTIF($C$4:$C$1463,$C620)&gt;1,"Dup name; ","")&amp;IF(AND($G620&lt;&gt;"",$G620&lt;55000),"Low CR - verify; ","")&amp;IF(AND($L620&lt;&gt;"",$L620&gt;15),"Secondary - verify; ","")&amp;IF($E620="","No class; ","")))</f>
        <v/>
      </c>
      <c r="U620" s="68"/>
      <c r="V620" s="68"/>
      <c r="W620" s="68"/>
      <c r="X620" s="73">
        <f t="shared" si="47"/>
        <v>1908</v>
      </c>
      <c r="Y620" s="41" t="str">
        <f t="shared" si="48"/>
        <v>ZOMBIES|43</v>
      </c>
      <c r="Z620" s="15">
        <f>IF($C620="","",IF($G620="","",RANK($G620,$G$4:$G$1463)+COUNTIF($G$4:$G620,$G620)-1))</f>
        <v>1162</v>
      </c>
      <c r="AA620" s="15">
        <f>IF($C620="","",IF($N620="","",RANK($N620,$N$4:$N$1463)+COUNTIF($N$4:$N620,$N620)-1))</f>
        <v>1169</v>
      </c>
      <c r="AB620" s="41" t="str">
        <f>IF($C620="","",IF($E620="","",$E620&amp;"#"&amp;(COUNTIFS($E$4:$E$1463,$E620,$X$4:$X$1463,"&gt;"&amp;$X620)+COUNTIFS($E$4:$E620,$E620,$X$4:$X620,"="&amp;$X620))))</f>
        <v>DEMON HUNTER#174</v>
      </c>
      <c r="AC620" s="41" t="str">
        <f>IF($C620="","",$B620&amp;"@"&amp;(COUNTIFS($B$4:$B$1463,$B620,$C$4:$C$1463,"&lt;"&amp;$C620)+COUNTIFS($B$4:$B620,$B620,$C$4:$C620,$C620)))</f>
        <v>ZOMBIES@49</v>
      </c>
      <c r="AD620" s="41">
        <f t="shared" si="49"/>
        <v>617</v>
      </c>
      <c r="AE620" s="41" t="s">
        <v>1006</v>
      </c>
      <c r="AF620" s="73">
        <f t="shared" si="50"/>
        <v>60864</v>
      </c>
      <c r="AG620" s="74">
        <f t="shared" si="51"/>
        <v>3.1</v>
      </c>
      <c r="AH620" s="41" t="str">
        <f>IF($C620="","",$B620&amp;"|"&amp;(COUNTIFS($B$4:$B$1463,$B620,$AF$4:$AF$1463,"&gt;"&amp;$AF620)+COUNTIFS($B$4:$B620,$B620,$AF$4:$AF620,"="&amp;$AF620)))</f>
        <v>ZOMBIES|62</v>
      </c>
      <c r="AI620" s="41" t="str">
        <f>IF($C620="","",$B620&amp;"|"&amp;(COUNTIFS($B$4:$B$1463,$B620,$AG$4:$AG$1463,"&gt;"&amp;$AG620)+COUNTIFS($B$4:$B620,$B620,$AG$4:$AG620,"="&amp;$AG620)))</f>
        <v>ZOMBIES|66</v>
      </c>
    </row>
    <row r="621" spans="1:35" hidden="1">
      <c r="A621" s="69" t="s">
        <v>109</v>
      </c>
      <c r="B621" s="69" t="s">
        <v>112</v>
      </c>
      <c r="C621" s="63" t="s">
        <v>1616</v>
      </c>
      <c r="D621" s="69" t="s">
        <v>567</v>
      </c>
      <c r="E621" s="68" t="s">
        <v>74</v>
      </c>
      <c r="F621" s="19" t="str">
        <f>IF($C621="","",IF($E621="","-",IFERROR(INDEX(SETUP!$B$55:$B$64,MATCH($E621,SETUP!$A$55:$A$64,0)),"Other")))</f>
        <v>Ranged DPS</v>
      </c>
      <c r="G621" s="70">
        <v>62785</v>
      </c>
      <c r="H621" s="19" t="str">
        <f>IF($C621="","",IF($G621="","-",INDEX(SETUP!$B$26:$B$32,MATCH($G621,SETUP!$A$26:$A$32,1))))</f>
        <v>62,000 - 62,999</v>
      </c>
      <c r="I621" s="70">
        <v>5483</v>
      </c>
      <c r="J621" s="19" t="str">
        <f>IF($C621="","",IF($I621="","-",INDEX(SETUP!$B$16:$B$22,MATCH($I621,SETUP!$A$16:$A$22,1))))</f>
        <v>CORE</v>
      </c>
      <c r="K621" s="19" t="str">
        <f>IF($C621="","",IF($I621="","-",TEXT(INT($I621/1000)*1000,"#,##0")&amp;" - "&amp;TEXT(INT($I621/1000)*1000+999,"#,##0")))</f>
        <v>5,000 - 5,999</v>
      </c>
      <c r="L621" s="71">
        <v>5.43</v>
      </c>
      <c r="M621" s="19" t="str">
        <f>IF($C621="","",IF($L621="","-",INDEX(SETUP!$B$36:$B$42,MATCH($L621,SETUP!$A$36:$A$42,1))))</f>
        <v>5k - 6k</v>
      </c>
      <c r="N621" s="21">
        <f>IF($C621="","",IF(OR($G621="",$I621=""),"",ROUND(100*(SETUP!$B$4*MIN(1,$I621/SETUP!$B$9)+SETUP!$B$5*MAX(0,MIN(1,($G621-SETUP!$B$10)/(SETUP!$B$11-SETUP!$B$10)))+SETUP!$B$6*MIN(1,IF($L621="",0,$L621)/SETUP!$B$12)),1)))</f>
        <v>53.5</v>
      </c>
      <c r="O621" s="19" t="str">
        <f>IF($C621="","",IF($N621="","-",INDEX(SETUP!$B$46:$B$51,MATCH($N621,SETUP!$A$46:$A$51,1))))</f>
        <v>A</v>
      </c>
      <c r="P621" s="19">
        <f>IF($C621="","",IF($I621="","",RANK($I621,$I$4:$I$1463)+COUNTIF($I$4:$I621,$I621)-1))</f>
        <v>338</v>
      </c>
      <c r="Q621" s="19">
        <f>IF($C621="","",COUNTIFS($B$4:$B$1463,$B621,$X$4:$X$1463,"&gt;"&amp;$X621)+COUNTIFS($B$4:$B621,$B621,$X$4:$X621,"="&amp;$X621))</f>
        <v>19</v>
      </c>
      <c r="R621" s="75">
        <f>IF($C621="","",IF($I621="","",ROUND(COUNTIF($I$4:$I$1463,"&lt;"&amp;$I621)/COUNT($I$4:$I$1463),3)))</f>
        <v>0.745</v>
      </c>
      <c r="S621" s="19" t="str">
        <f>IF($C621="","",IF($G621="","Name only",IF(OR($I621="",$L621=""),"Partial","Complete")))</f>
        <v>Complete</v>
      </c>
      <c r="T621" s="1" t="str">
        <f>IF($C621="","",TRIM(IF(COUNTIF($C$4:$C$1463,$C621)&gt;1,"Dup name; ","")&amp;IF(AND($G621&lt;&gt;"",$G621&lt;55000),"Low CR - verify; ","")&amp;IF(AND($L621&lt;&gt;"",$L621&gt;15),"Secondary - verify; ","")&amp;IF($E621="","No class; ","")))</f>
        <v/>
      </c>
      <c r="U621" s="68"/>
      <c r="V621" s="68"/>
      <c r="W621" s="68"/>
      <c r="X621" s="76">
        <f t="shared" si="47"/>
        <v>5483</v>
      </c>
      <c r="Y621" s="1" t="str">
        <f t="shared" si="48"/>
        <v>ACHERON|19</v>
      </c>
      <c r="Z621" s="19">
        <f>IF($C621="","",IF($G621="","",RANK($G621,$G$4:$G$1463)+COUNTIF($G$4:$G621,$G621)-1))</f>
        <v>528</v>
      </c>
      <c r="AA621" s="19">
        <f>IF($C621="","",IF($N621="","",RANK($N621,$N$4:$N$1463)+COUNTIF($N$4:$N621,$N621)-1))</f>
        <v>351</v>
      </c>
      <c r="AB621" s="1" t="str">
        <f>IF($C621="","",IF($E621="","",$E621&amp;"#"&amp;(COUNTIFS($E$4:$E$1463,$E621,$X$4:$X$1463,"&gt;"&amp;$X621)+COUNTIFS($E$4:$E621,$E621,$X$4:$X621,"="&amp;$X621))))</f>
        <v>DEMON HUNTER#55</v>
      </c>
      <c r="AC621" s="1" t="str">
        <f>IF($C621="","",$B621&amp;"@"&amp;(COUNTIFS($B$4:$B$1463,$B621,$C$4:$C$1463,"&lt;"&amp;$C621)+COUNTIFS($B$4:$B621,$B621,$C$4:$C621,$C621)))</f>
        <v>ACHERON@37</v>
      </c>
      <c r="AD621" s="1">
        <f t="shared" si="49"/>
        <v>618</v>
      </c>
      <c r="AE621" s="1" t="s">
        <v>1617</v>
      </c>
      <c r="AF621" s="76">
        <f t="shared" si="50"/>
        <v>62785</v>
      </c>
      <c r="AG621" s="77">
        <f t="shared" si="51"/>
        <v>5.43</v>
      </c>
      <c r="AH621" s="1" t="str">
        <f>IF($C621="","",$B621&amp;"|"&amp;(COUNTIFS($B$4:$B$1463,$B621,$AF$4:$AF$1463,"&gt;"&amp;$AF621)+COUNTIFS($B$4:$B621,$B621,$AF$4:$AF621,"="&amp;$AF621)))</f>
        <v>ACHERON|40</v>
      </c>
      <c r="AI621" s="1" t="str">
        <f>IF($C621="","",$B621&amp;"|"&amp;(COUNTIFS($B$4:$B$1463,$B621,$AG$4:$AG$1463,"&gt;"&amp;$AG621)+COUNTIFS($B$4:$B621,$B621,$AG$4:$AG621,"="&amp;$AG621)))</f>
        <v>ACHERON|33</v>
      </c>
    </row>
    <row r="622" spans="1:35" hidden="1">
      <c r="A622" s="69" t="s">
        <v>109</v>
      </c>
      <c r="B622" s="69" t="s">
        <v>111</v>
      </c>
      <c r="C622" s="63" t="s">
        <v>1618</v>
      </c>
      <c r="D622" s="69" t="s">
        <v>527</v>
      </c>
      <c r="E622" s="68" t="s">
        <v>72</v>
      </c>
      <c r="F622" s="15" t="str">
        <f>IF($C622="","",IF($E622="","-",IFERROR(INDEX(SETUP!$B$55:$B$64,MATCH($E622,SETUP!$A$55:$A$64,0)),"Other")))</f>
        <v>Frontline</v>
      </c>
      <c r="G622" s="70">
        <v>61704</v>
      </c>
      <c r="H622" s="15" t="str">
        <f>IF($C622="","",IF($G622="","-",INDEX(SETUP!$B$26:$B$32,MATCH($G622,SETUP!$A$26:$A$32,1))))</f>
        <v>61,000 - 61,999</v>
      </c>
      <c r="I622" s="70">
        <v>3763</v>
      </c>
      <c r="J622" s="15" t="str">
        <f>IF($C622="","",IF($I622="","-",INDEX(SETUP!$B$16:$B$22,MATCH($I622,SETUP!$A$16:$A$22,1))))</f>
        <v>DEVELOPING</v>
      </c>
      <c r="K622" s="15" t="str">
        <f>IF($C622="","",IF($I622="","-",TEXT(INT($I622/1000)*1000,"#,##0")&amp;" - "&amp;TEXT(INT($I622/1000)*1000+999,"#,##0")))</f>
        <v>3,000 - 3,999</v>
      </c>
      <c r="L622" s="71">
        <v>5.35</v>
      </c>
      <c r="M622" s="15" t="str">
        <f>IF($C622="","",IF($L622="","-",INDEX(SETUP!$B$36:$B$42,MATCH($L622,SETUP!$A$36:$A$42,1))))</f>
        <v>5k - 6k</v>
      </c>
      <c r="N622" s="17">
        <f>IF($C622="","",IF(OR($G622="",$I622=""),"",ROUND(100*(SETUP!$B$4*MIN(1,$I622/SETUP!$B$9)+SETUP!$B$5*MAX(0,MIN(1,($G622-SETUP!$B$10)/(SETUP!$B$11-SETUP!$B$10)))+SETUP!$B$6*MIN(1,IF($L622="",0,$L622)/SETUP!$B$12)),1)))</f>
        <v>43</v>
      </c>
      <c r="O622" s="15" t="str">
        <f>IF($C622="","",IF($N622="","-",INDEX(SETUP!$B$46:$B$51,MATCH($N622,SETUP!$A$46:$A$51,1))))</f>
        <v>B</v>
      </c>
      <c r="P622" s="15">
        <f>IF($C622="","",IF($I622="","",RANK($I622,$I$4:$I$1463)+COUNTIF($I$4:$I622,$I622)-1))</f>
        <v>657</v>
      </c>
      <c r="Q622" s="15">
        <f>IF($C622="","",COUNTIFS($B$4:$B$1463,$B622,$X$4:$X$1463,"&gt;"&amp;$X622)+COUNTIFS($B$4:$B622,$B622,$X$4:$X622,"="&amp;$X622))</f>
        <v>72</v>
      </c>
      <c r="R622" s="72">
        <f>IF($C622="","",IF($I622="","",ROUND(COUNTIF($I$4:$I$1463,"&lt;"&amp;$I622)/COUNT($I$4:$I$1463),3)))</f>
        <v>0.504</v>
      </c>
      <c r="S622" s="15" t="str">
        <f>IF($C622="","",IF($G622="","Name only",IF(OR($I622="",$L622=""),"Partial","Complete")))</f>
        <v>Complete</v>
      </c>
      <c r="T622" s="41" t="str">
        <f>IF($C622="","",TRIM(IF(COUNTIF($C$4:$C$1463,$C622)&gt;1,"Dup name; ","")&amp;IF(AND($G622&lt;&gt;"",$G622&lt;55000),"Low CR - verify; ","")&amp;IF(AND($L622&lt;&gt;"",$L622&gt;15),"Secondary - verify; ","")&amp;IF($E622="","No class; ","")))</f>
        <v/>
      </c>
      <c r="U622" s="68"/>
      <c r="V622" s="68"/>
      <c r="W622" s="68"/>
      <c r="X622" s="73">
        <f t="shared" si="47"/>
        <v>3763</v>
      </c>
      <c r="Y622" s="41" t="str">
        <f t="shared" si="48"/>
        <v>RECKONING|72</v>
      </c>
      <c r="Z622" s="15">
        <f>IF($C622="","",IF($G622="","",RANK($G622,$G$4:$G$1463)+COUNTIF($G$4:$G622,$G622)-1))</f>
        <v>944</v>
      </c>
      <c r="AA622" s="15">
        <f>IF($C622="","",IF($N622="","",RANK($N622,$N$4:$N$1463)+COUNTIF($N$4:$N622,$N622)-1))</f>
        <v>704</v>
      </c>
      <c r="AB622" s="41" t="str">
        <f>IF($C622="","",IF($E622="","",$E622&amp;"#"&amp;(COUNTIFS($E$4:$E$1463,$E622,$X$4:$X$1463,"&gt;"&amp;$X622)+COUNTIFS($E$4:$E622,$E622,$X$4:$X622,"="&amp;$X622))))</f>
        <v>BLOOD KNIGHT#41</v>
      </c>
      <c r="AC622" s="41" t="str">
        <f>IF($C622="","",$B622&amp;"@"&amp;(COUNTIFS($B$4:$B$1463,$B622,$C$4:$C$1463,"&lt;"&amp;$C622)+COUNTIFS($B$4:$B622,$B622,$C$4:$C622,$C622)))</f>
        <v>RECKONING@46</v>
      </c>
      <c r="AD622" s="41">
        <f t="shared" si="49"/>
        <v>619</v>
      </c>
      <c r="AE622" s="41" t="s">
        <v>1619</v>
      </c>
      <c r="AF622" s="73">
        <f t="shared" si="50"/>
        <v>61704</v>
      </c>
      <c r="AG622" s="74">
        <f t="shared" si="51"/>
        <v>5.35</v>
      </c>
      <c r="AH622" s="41" t="str">
        <f>IF($C622="","",$B622&amp;"|"&amp;(COUNTIFS($B$4:$B$1463,$B622,$AF$4:$AF$1463,"&gt;"&amp;$AF622)+COUNTIFS($B$4:$B622,$B622,$AF$4:$AF622,"="&amp;$AF622)))</f>
        <v>RECKONING|80</v>
      </c>
      <c r="AI622" s="41" t="str">
        <f>IF($C622="","",$B622&amp;"|"&amp;(COUNTIFS($B$4:$B$1463,$B622,$AG$4:$AG$1463,"&gt;"&amp;$AG622)+COUNTIFS($B$4:$B622,$B622,$AG$4:$AG622,"="&amp;$AG622)))</f>
        <v>RECKONING|51</v>
      </c>
    </row>
    <row r="623" spans="1:35" hidden="1">
      <c r="A623" s="69" t="s">
        <v>109</v>
      </c>
      <c r="B623" s="69" t="s">
        <v>110</v>
      </c>
      <c r="C623" s="63" t="s">
        <v>1620</v>
      </c>
      <c r="D623" s="69"/>
      <c r="E623" s="68" t="s">
        <v>74</v>
      </c>
      <c r="F623" s="19" t="str">
        <f>IF($C623="","",IF($E623="","-",IFERROR(INDEX(SETUP!$B$55:$B$64,MATCH($E623,SETUP!$A$55:$A$64,0)),"Other")))</f>
        <v>Ranged DPS</v>
      </c>
      <c r="G623" s="70">
        <v>62941</v>
      </c>
      <c r="H623" s="19" t="str">
        <f>IF($C623="","",IF($G623="","-",INDEX(SETUP!$B$26:$B$32,MATCH($G623,SETUP!$A$26:$A$32,1))))</f>
        <v>62,000 - 62,999</v>
      </c>
      <c r="I623" s="70">
        <v>6887</v>
      </c>
      <c r="J623" s="19" t="str">
        <f>IF($C623="","",IF($I623="","-",INDEX(SETUP!$B$16:$B$22,MATCH($I623,SETUP!$A$16:$A$22,1))))</f>
        <v>VETERAN</v>
      </c>
      <c r="K623" s="19" t="str">
        <f>IF($C623="","",IF($I623="","-",TEXT(INT($I623/1000)*1000,"#,##0")&amp;" - "&amp;TEXT(INT($I623/1000)*1000+999,"#,##0")))</f>
        <v>6,000 - 6,999</v>
      </c>
      <c r="L623" s="71">
        <v>5.8</v>
      </c>
      <c r="M623" s="19" t="str">
        <f>IF($C623="","",IF($L623="","-",INDEX(SETUP!$B$36:$B$42,MATCH($L623,SETUP!$A$36:$A$42,1))))</f>
        <v>5k - 6k</v>
      </c>
      <c r="N623" s="21">
        <f>IF($C623="","",IF(OR($G623="",$I623=""),"",ROUND(100*(SETUP!$B$4*MIN(1,$I623/SETUP!$B$9)+SETUP!$B$5*MAX(0,MIN(1,($G623-SETUP!$B$10)/(SETUP!$B$11-SETUP!$B$10)))+SETUP!$B$6*MIN(1,IF($L623="",0,$L623)/SETUP!$B$12)),1)))</f>
        <v>60.6</v>
      </c>
      <c r="O623" s="19" t="str">
        <f>IF($C623="","",IF($N623="","-",INDEX(SETUP!$B$46:$B$51,MATCH($N623,SETUP!$A$46:$A$51,1))))</f>
        <v>A</v>
      </c>
      <c r="P623" s="19">
        <f>IF($C623="","",IF($I623="","",RANK($I623,$I$4:$I$1463)+COUNTIF($I$4:$I623,$I623)-1))</f>
        <v>228</v>
      </c>
      <c r="Q623" s="19">
        <f>IF($C623="","",COUNTIFS($B$4:$B$1463,$B623,$X$4:$X$1463,"&gt;"&amp;$X623)+COUNTIFS($B$4:$B623,$B623,$X$4:$X623,"="&amp;$X623))</f>
        <v>30</v>
      </c>
      <c r="R623" s="75">
        <f>IF($C623="","",IF($I623="","",ROUND(COUNTIF($I$4:$I$1463,"&lt;"&amp;$I623)/COUNT($I$4:$I$1463),3)))</f>
        <v>0.82799999999999996</v>
      </c>
      <c r="S623" s="19" t="str">
        <f>IF($C623="","",IF($G623="","Name only",IF(OR($I623="",$L623=""),"Partial","Complete")))</f>
        <v>Complete</v>
      </c>
      <c r="T623" s="1" t="str">
        <f>IF($C623="","",TRIM(IF(COUNTIF($C$4:$C$1463,$C623)&gt;1,"Dup name; ","")&amp;IF(AND($G623&lt;&gt;"",$G623&lt;55000),"Low CR - verify; ","")&amp;IF(AND($L623&lt;&gt;"",$L623&gt;15),"Secondary - verify; ","")&amp;IF($E623="","No class; ","")))</f>
        <v/>
      </c>
      <c r="U623" s="68"/>
      <c r="V623" s="68"/>
      <c r="W623" s="68"/>
      <c r="X623" s="76">
        <f t="shared" si="47"/>
        <v>6887</v>
      </c>
      <c r="Y623" s="1" t="str">
        <f t="shared" si="48"/>
        <v>AZUKI|30</v>
      </c>
      <c r="Z623" s="19">
        <f>IF($C623="","",IF($G623="","",RANK($G623,$G$4:$G$1463)+COUNTIF($G$4:$G623,$G623)-1))</f>
        <v>454</v>
      </c>
      <c r="AA623" s="19">
        <f>IF($C623="","",IF($N623="","",RANK($N623,$N$4:$N$1463)+COUNTIF($N$4:$N623,$N623)-1))</f>
        <v>228</v>
      </c>
      <c r="AB623" s="1" t="str">
        <f>IF($C623="","",IF($E623="","",$E623&amp;"#"&amp;(COUNTIFS($E$4:$E$1463,$E623,$X$4:$X$1463,"&gt;"&amp;$X623)+COUNTIFS($E$4:$E623,$E623,$X$4:$X623,"="&amp;$X623))))</f>
        <v>DEMON HUNTER#39</v>
      </c>
      <c r="AC623" s="1" t="str">
        <f>IF($C623="","",$B623&amp;"@"&amp;(COUNTIFS($B$4:$B$1463,$B623,$C$4:$C$1463,"&lt;"&amp;$C623)+COUNTIFS($B$4:$B623,$B623,$C$4:$C623,$C623)))</f>
        <v>AZUKI@54</v>
      </c>
      <c r="AD623" s="1">
        <f t="shared" si="49"/>
        <v>620</v>
      </c>
      <c r="AE623" s="1" t="s">
        <v>1621</v>
      </c>
      <c r="AF623" s="76">
        <f t="shared" si="50"/>
        <v>62941</v>
      </c>
      <c r="AG623" s="77">
        <f t="shared" si="51"/>
        <v>5.8</v>
      </c>
      <c r="AH623" s="1" t="str">
        <f>IF($C623="","",$B623&amp;"|"&amp;(COUNTIFS($B$4:$B$1463,$B623,$AF$4:$AF$1463,"&gt;"&amp;$AF623)+COUNTIFS($B$4:$B623,$B623,$AF$4:$AF623,"="&amp;$AF623)))</f>
        <v>AZUKI|44</v>
      </c>
      <c r="AI623" s="1" t="str">
        <f>IF($C623="","",$B623&amp;"|"&amp;(COUNTIFS($B$4:$B$1463,$B623,$AG$4:$AG$1463,"&gt;"&amp;$AG623)+COUNTIFS($B$4:$B623,$B623,$AG$4:$AG623,"="&amp;$AG623)))</f>
        <v>AZUKI|50</v>
      </c>
    </row>
    <row r="624" spans="1:35" hidden="1">
      <c r="A624" s="69" t="s">
        <v>109</v>
      </c>
      <c r="B624" s="69" t="s">
        <v>113</v>
      </c>
      <c r="C624" s="63" t="s">
        <v>1622</v>
      </c>
      <c r="D624" s="69" t="s">
        <v>548</v>
      </c>
      <c r="E624" s="68" t="s">
        <v>77</v>
      </c>
      <c r="F624" s="15" t="str">
        <f>IF($C624="","",IF($E624="","-",IFERROR(INDEX(SETUP!$B$55:$B$64,MATCH($E624,SETUP!$A$55:$A$64,0)),"Other")))</f>
        <v>Control</v>
      </c>
      <c r="G624" s="70">
        <v>62381</v>
      </c>
      <c r="H624" s="15" t="str">
        <f>IF($C624="","",IF($G624="","-",INDEX(SETUP!$B$26:$B$32,MATCH($G624,SETUP!$A$26:$A$32,1))))</f>
        <v>62,000 - 62,999</v>
      </c>
      <c r="I624" s="70">
        <v>5468</v>
      </c>
      <c r="J624" s="15" t="str">
        <f>IF($C624="","",IF($I624="","-",INDEX(SETUP!$B$16:$B$22,MATCH($I624,SETUP!$A$16:$A$22,1))))</f>
        <v>CORE</v>
      </c>
      <c r="K624" s="15" t="str">
        <f>IF($C624="","",IF($I624="","-",TEXT(INT($I624/1000)*1000,"#,##0")&amp;" - "&amp;TEXT(INT($I624/1000)*1000+999,"#,##0")))</f>
        <v>5,000 - 5,999</v>
      </c>
      <c r="L624" s="71">
        <v>4.8</v>
      </c>
      <c r="M624" s="15" t="str">
        <f>IF($C624="","",IF($L624="","-",INDEX(SETUP!$B$36:$B$42,MATCH($L624,SETUP!$A$36:$A$42,1))))</f>
        <v>4k - 5k</v>
      </c>
      <c r="N624" s="17">
        <f>IF($C624="","",IF(OR($G624="",$I624=""),"",ROUND(100*(SETUP!$B$4*MIN(1,$I624/SETUP!$B$9)+SETUP!$B$5*MAX(0,MIN(1,($G624-SETUP!$B$10)/(SETUP!$B$11-SETUP!$B$10)))+SETUP!$B$6*MIN(1,IF($L624="",0,$L624)/SETUP!$B$12)),1)))</f>
        <v>51.3</v>
      </c>
      <c r="O624" s="15" t="str">
        <f>IF($C624="","",IF($N624="","-",INDEX(SETUP!$B$46:$B$51,MATCH($N624,SETUP!$A$46:$A$51,1))))</f>
        <v>A</v>
      </c>
      <c r="P624" s="15">
        <f>IF($C624="","",IF($I624="","",RANK($I624,$I$4:$I$1463)+COUNTIF($I$4:$I624,$I624)-1))</f>
        <v>340</v>
      </c>
      <c r="Q624" s="15">
        <f>IF($C624="","",COUNTIFS($B$4:$B$1463,$B624,$X$4:$X$1463,"&gt;"&amp;$X624)+COUNTIFS($B$4:$B624,$B624,$X$4:$X624,"="&amp;$X624))</f>
        <v>12</v>
      </c>
      <c r="R624" s="72">
        <f>IF($C624="","",IF($I624="","",ROUND(COUNTIF($I$4:$I$1463,"&lt;"&amp;$I624)/COUNT($I$4:$I$1463),3)))</f>
        <v>0.74299999999999999</v>
      </c>
      <c r="S624" s="15" t="str">
        <f>IF($C624="","",IF($G624="","Name only",IF(OR($I624="",$L624=""),"Partial","Complete")))</f>
        <v>Complete</v>
      </c>
      <c r="T624" s="41" t="str">
        <f>IF($C624="","",TRIM(IF(COUNTIF($C$4:$C$1463,$C624)&gt;1,"Dup name; ","")&amp;IF(AND($G624&lt;&gt;"",$G624&lt;55000),"Low CR - verify; ","")&amp;IF(AND($L624&lt;&gt;"",$L624&gt;15),"Secondary - verify; ","")&amp;IF($E624="","No class; ","")))</f>
        <v/>
      </c>
      <c r="U624" s="68"/>
      <c r="V624" s="68"/>
      <c r="W624" s="68"/>
      <c r="X624" s="73">
        <f t="shared" si="47"/>
        <v>5468</v>
      </c>
      <c r="Y624" s="41" t="str">
        <f t="shared" si="48"/>
        <v>INVICTUS|12</v>
      </c>
      <c r="Z624" s="15">
        <f>IF($C624="","",IF($G624="","",RANK($G624,$G$4:$G$1463)+COUNTIF($G$4:$G624,$G624)-1))</f>
        <v>702</v>
      </c>
      <c r="AA624" s="15">
        <f>IF($C624="","",IF($N624="","",RANK($N624,$N$4:$N$1463)+COUNTIF($N$4:$N624,$N624)-1))</f>
        <v>412</v>
      </c>
      <c r="AB624" s="41" t="str">
        <f>IF($C624="","",IF($E624="","",$E624&amp;"#"&amp;(COUNTIFS($E$4:$E$1463,$E624,$X$4:$X$1463,"&gt;"&amp;$X624)+COUNTIFS($E$4:$E624,$E624,$X$4:$X624,"="&amp;$X624))))</f>
        <v>NECROMANCER#16</v>
      </c>
      <c r="AC624" s="41" t="str">
        <f>IF($C624="","",$B624&amp;"@"&amp;(COUNTIFS($B$4:$B$1463,$B624,$C$4:$C$1463,"&lt;"&amp;$C624)+COUNTIFS($B$4:$B624,$B624,$C$4:$C624,$C624)))</f>
        <v>INVICTUS@43</v>
      </c>
      <c r="AD624" s="41">
        <f t="shared" si="49"/>
        <v>621</v>
      </c>
      <c r="AE624" s="41" t="s">
        <v>1623</v>
      </c>
      <c r="AF624" s="73">
        <f t="shared" si="50"/>
        <v>62381</v>
      </c>
      <c r="AG624" s="74">
        <f t="shared" si="51"/>
        <v>4.8</v>
      </c>
      <c r="AH624" s="41" t="str">
        <f>IF($C624="","",$B624&amp;"|"&amp;(COUNTIFS($B$4:$B$1463,$B624,$AF$4:$AF$1463,"&gt;"&amp;$AF624)+COUNTIFS($B$4:$B624,$B624,$AF$4:$AF624,"="&amp;$AF624)))</f>
        <v>INVICTUS|42</v>
      </c>
      <c r="AI624" s="41" t="str">
        <f>IF($C624="","",$B624&amp;"|"&amp;(COUNTIFS($B$4:$B$1463,$B624,$AG$4:$AG$1463,"&gt;"&amp;$AG624)+COUNTIFS($B$4:$B624,$B624,$AG$4:$AG624,"="&amp;$AG624)))</f>
        <v>INVICTUS|39</v>
      </c>
    </row>
    <row r="625" spans="1:35" hidden="1">
      <c r="A625" s="69" t="s">
        <v>109</v>
      </c>
      <c r="B625" s="69" t="s">
        <v>113</v>
      </c>
      <c r="C625" s="63" t="s">
        <v>1624</v>
      </c>
      <c r="D625" s="69" t="s">
        <v>548</v>
      </c>
      <c r="E625" s="68" t="s">
        <v>73</v>
      </c>
      <c r="F625" s="19" t="str">
        <f>IF($C625="","",IF($E625="","-",IFERROR(INDEX(SETUP!$B$55:$B$64,MATCH($E625,SETUP!$A$55:$A$64,0)),"Other")))</f>
        <v>Frontline</v>
      </c>
      <c r="G625" s="70">
        <v>62989</v>
      </c>
      <c r="H625" s="19" t="str">
        <f>IF($C625="","",IF($G625="","-",INDEX(SETUP!$B$26:$B$32,MATCH($G625,SETUP!$A$26:$A$32,1))))</f>
        <v>62,000 - 62,999</v>
      </c>
      <c r="I625" s="70">
        <v>4950</v>
      </c>
      <c r="J625" s="19" t="str">
        <f>IF($C625="","",IF($I625="","-",INDEX(SETUP!$B$16:$B$22,MATCH($I625,SETUP!$A$16:$A$22,1))))</f>
        <v>CORE</v>
      </c>
      <c r="K625" s="19" t="str">
        <f>IF($C625="","",IF($I625="","-",TEXT(INT($I625/1000)*1000,"#,##0")&amp;" - "&amp;TEXT(INT($I625/1000)*1000+999,"#,##0")))</f>
        <v>4,000 - 4,999</v>
      </c>
      <c r="L625" s="71">
        <v>5.95</v>
      </c>
      <c r="M625" s="19" t="str">
        <f>IF($C625="","",IF($L625="","-",INDEX(SETUP!$B$36:$B$42,MATCH($L625,SETUP!$A$36:$A$42,1))))</f>
        <v>5k - 6k</v>
      </c>
      <c r="N625" s="21">
        <f>IF($C625="","",IF(OR($G625="",$I625=""),"",ROUND(100*(SETUP!$B$4*MIN(1,$I625/SETUP!$B$9)+SETUP!$B$5*MAX(0,MIN(1,($G625-SETUP!$B$10)/(SETUP!$B$11-SETUP!$B$10)))+SETUP!$B$6*MIN(1,IF($L625="",0,$L625)/SETUP!$B$12)),1)))</f>
        <v>52.5</v>
      </c>
      <c r="O625" s="19" t="str">
        <f>IF($C625="","",IF($N625="","-",INDEX(SETUP!$B$46:$B$51,MATCH($N625,SETUP!$A$46:$A$51,1))))</f>
        <v>A</v>
      </c>
      <c r="P625" s="19">
        <f>IF($C625="","",IF($I625="","",RANK($I625,$I$4:$I$1463)+COUNTIF($I$4:$I625,$I625)-1))</f>
        <v>423</v>
      </c>
      <c r="Q625" s="19">
        <f>IF($C625="","",COUNTIFS($B$4:$B$1463,$B625,$X$4:$X$1463,"&gt;"&amp;$X625)+COUNTIFS($B$4:$B625,$B625,$X$4:$X625,"="&amp;$X625))</f>
        <v>18</v>
      </c>
      <c r="R625" s="75">
        <f>IF($C625="","",IF($I625="","",ROUND(COUNTIF($I$4:$I$1463,"&lt;"&amp;$I625)/COUNT($I$4:$I$1463),3)))</f>
        <v>0.68100000000000005</v>
      </c>
      <c r="S625" s="19" t="str">
        <f>IF($C625="","",IF($G625="","Name only",IF(OR($I625="",$L625=""),"Partial","Complete")))</f>
        <v>Complete</v>
      </c>
      <c r="T625" s="1" t="str">
        <f>IF($C625="","",TRIM(IF(COUNTIF($C$4:$C$1463,$C625)&gt;1,"Dup name; ","")&amp;IF(AND($G625&lt;&gt;"",$G625&lt;55000),"Low CR - verify; ","")&amp;IF(AND($L625&lt;&gt;"",$L625&gt;15),"Secondary - verify; ","")&amp;IF($E625="","No class; ","")))</f>
        <v/>
      </c>
      <c r="U625" s="68"/>
      <c r="V625" s="68"/>
      <c r="W625" s="68"/>
      <c r="X625" s="76">
        <f t="shared" si="47"/>
        <v>4950</v>
      </c>
      <c r="Y625" s="1" t="str">
        <f t="shared" si="48"/>
        <v>INVICTUS|18</v>
      </c>
      <c r="Z625" s="19">
        <f>IF($C625="","",IF($G625="","",RANK($G625,$G$4:$G$1463)+COUNTIF($G$4:$G625,$G625)-1))</f>
        <v>432</v>
      </c>
      <c r="AA625" s="19">
        <f>IF($C625="","",IF($N625="","",RANK($N625,$N$4:$N$1463)+COUNTIF($N$4:$N625,$N625)-1))</f>
        <v>372</v>
      </c>
      <c r="AB625" s="1" t="str">
        <f>IF($C625="","",IF($E625="","",$E625&amp;"#"&amp;(COUNTIFS($E$4:$E$1463,$E625,$X$4:$X$1463,"&gt;"&amp;$X625)+COUNTIFS($E$4:$E625,$E625,$X$4:$X625,"="&amp;$X625))))</f>
        <v>CRUSADER#51</v>
      </c>
      <c r="AC625" s="1" t="str">
        <f>IF($C625="","",$B625&amp;"@"&amp;(COUNTIFS($B$4:$B$1463,$B625,$C$4:$C$1463,"&lt;"&amp;$C625)+COUNTIFS($B$4:$B625,$B625,$C$4:$C625,$C625)))</f>
        <v>INVICTUS@44</v>
      </c>
      <c r="AD625" s="1">
        <f t="shared" si="49"/>
        <v>622</v>
      </c>
      <c r="AE625" s="1" t="s">
        <v>1625</v>
      </c>
      <c r="AF625" s="76">
        <f t="shared" si="50"/>
        <v>62989</v>
      </c>
      <c r="AG625" s="77">
        <f t="shared" si="51"/>
        <v>5.95</v>
      </c>
      <c r="AH625" s="1" t="str">
        <f>IF($C625="","",$B625&amp;"|"&amp;(COUNTIFS($B$4:$B$1463,$B625,$AF$4:$AF$1463,"&gt;"&amp;$AF625)+COUNTIFS($B$4:$B625,$B625,$AF$4:$AF625,"="&amp;$AF625)))</f>
        <v>INVICTUS|23</v>
      </c>
      <c r="AI625" s="1" t="str">
        <f>IF($C625="","",$B625&amp;"|"&amp;(COUNTIFS($B$4:$B$1463,$B625,$AG$4:$AG$1463,"&gt;"&amp;$AG625)+COUNTIFS($B$4:$B625,$B625,$AG$4:$AG625,"="&amp;$AG625)))</f>
        <v>INVICTUS|13</v>
      </c>
    </row>
    <row r="626" spans="1:35" hidden="1">
      <c r="A626" s="69" t="s">
        <v>106</v>
      </c>
      <c r="B626" s="69" t="s">
        <v>107</v>
      </c>
      <c r="C626" s="63" t="s">
        <v>1626</v>
      </c>
      <c r="D626" s="69"/>
      <c r="E626" s="68" t="s">
        <v>72</v>
      </c>
      <c r="F626" s="15" t="str">
        <f>IF($C626="","",IF($E626="","-",IFERROR(INDEX(SETUP!$B$55:$B$64,MATCH($E626,SETUP!$A$55:$A$64,0)),"Other")))</f>
        <v>Frontline</v>
      </c>
      <c r="G626" s="70">
        <v>62840</v>
      </c>
      <c r="H626" s="15" t="str">
        <f>IF($C626="","",IF($G626="","-",INDEX(SETUP!$B$26:$B$32,MATCH($G626,SETUP!$A$26:$A$32,1))))</f>
        <v>62,000 - 62,999</v>
      </c>
      <c r="I626" s="70">
        <v>3563</v>
      </c>
      <c r="J626" s="15" t="str">
        <f>IF($C626="","",IF($I626="","-",INDEX(SETUP!$B$16:$B$22,MATCH($I626,SETUP!$A$16:$A$22,1))))</f>
        <v>DEVELOPING</v>
      </c>
      <c r="K626" s="15" t="str">
        <f>IF($C626="","",IF($I626="","-",TEXT(INT($I626/1000)*1000,"#,##0")&amp;" - "&amp;TEXT(INT($I626/1000)*1000+999,"#,##0")))</f>
        <v>3,000 - 3,999</v>
      </c>
      <c r="L626" s="71">
        <v>5.2</v>
      </c>
      <c r="M626" s="15" t="str">
        <f>IF($C626="","",IF($L626="","-",INDEX(SETUP!$B$36:$B$42,MATCH($L626,SETUP!$A$36:$A$42,1))))</f>
        <v>5k - 6k</v>
      </c>
      <c r="N626" s="17">
        <f>IF($C626="","",IF(OR($G626="",$I626=""),"",ROUND(100*(SETUP!$B$4*MIN(1,$I626/SETUP!$B$9)+SETUP!$B$5*MAX(0,MIN(1,($G626-SETUP!$B$10)/(SETUP!$B$11-SETUP!$B$10)))+SETUP!$B$6*MIN(1,IF($L626="",0,$L626)/SETUP!$B$12)),1)))</f>
        <v>44.9</v>
      </c>
      <c r="O626" s="15" t="str">
        <f>IF($C626="","",IF($N626="","-",INDEX(SETUP!$B$46:$B$51,MATCH($N626,SETUP!$A$46:$A$51,1))))</f>
        <v>B</v>
      </c>
      <c r="P626" s="15">
        <f>IF($C626="","",IF($I626="","",RANK($I626,$I$4:$I$1463)+COUNTIF($I$4:$I626,$I626)-1))</f>
        <v>710</v>
      </c>
      <c r="Q626" s="15">
        <f>IF($C626="","",COUNTIFS($B$4:$B$1463,$B626,$X$4:$X$1463,"&gt;"&amp;$X626)+COUNTIFS($B$4:$B626,$B626,$X$4:$X626,"="&amp;$X626))</f>
        <v>66</v>
      </c>
      <c r="R626" s="72">
        <f>IF($C626="","",IF($I626="","",ROUND(COUNTIF($I$4:$I$1463,"&lt;"&amp;$I626)/COUNT($I$4:$I$1463),3)))</f>
        <v>0.46400000000000002</v>
      </c>
      <c r="S626" s="15" t="str">
        <f>IF($C626="","",IF($G626="","Name only",IF(OR($I626="",$L626=""),"Partial","Complete")))</f>
        <v>Complete</v>
      </c>
      <c r="T626" s="41" t="str">
        <f>IF($C626="","",TRIM(IF(COUNTIF($C$4:$C$1463,$C626)&gt;1,"Dup name; ","")&amp;IF(AND($G626&lt;&gt;"",$G626&lt;55000),"Low CR - verify; ","")&amp;IF(AND($L626&lt;&gt;"",$L626&gt;15),"Secondary - verify; ","")&amp;IF($E626="","No class; ","")))</f>
        <v/>
      </c>
      <c r="U626" s="68"/>
      <c r="V626" s="68"/>
      <c r="W626" s="68"/>
      <c r="X626" s="73">
        <f t="shared" si="47"/>
        <v>3563</v>
      </c>
      <c r="Y626" s="41" t="str">
        <f t="shared" si="48"/>
        <v>UNDYING|66</v>
      </c>
      <c r="Z626" s="15">
        <f>IF($C626="","",IF($G626="","",RANK($G626,$G$4:$G$1463)+COUNTIF($G$4:$G626,$G626)-1))</f>
        <v>501</v>
      </c>
      <c r="AA626" s="15">
        <f>IF($C626="","",IF($N626="","",RANK($N626,$N$4:$N$1463)+COUNTIF($N$4:$N626,$N626)-1))</f>
        <v>627</v>
      </c>
      <c r="AB626" s="41" t="str">
        <f>IF($C626="","",IF($E626="","",$E626&amp;"#"&amp;(COUNTIFS($E$4:$E$1463,$E626,$X$4:$X$1463,"&gt;"&amp;$X626)+COUNTIFS($E$4:$E626,$E626,$X$4:$X626,"="&amp;$X626))))</f>
        <v>BLOOD KNIGHT#47</v>
      </c>
      <c r="AC626" s="41" t="str">
        <f>IF($C626="","",$B626&amp;"@"&amp;(COUNTIFS($B$4:$B$1463,$B626,$C$4:$C$1463,"&lt;"&amp;$C626)+COUNTIFS($B$4:$B626,$B626,$C$4:$C626,$C626)))</f>
        <v>UNDYING@55</v>
      </c>
      <c r="AD626" s="41">
        <f t="shared" si="49"/>
        <v>623</v>
      </c>
      <c r="AE626" s="41" t="s">
        <v>1060</v>
      </c>
      <c r="AF626" s="73">
        <f t="shared" si="50"/>
        <v>62840</v>
      </c>
      <c r="AG626" s="74">
        <f t="shared" si="51"/>
        <v>5.2</v>
      </c>
      <c r="AH626" s="41" t="str">
        <f>IF($C626="","",$B626&amp;"|"&amp;(COUNTIFS($B$4:$B$1463,$B626,$AF$4:$AF$1463,"&gt;"&amp;$AF626)+COUNTIFS($B$4:$B626,$B626,$AF$4:$AF626,"="&amp;$AF626)))</f>
        <v>UNDYING|49</v>
      </c>
      <c r="AI626" s="41" t="str">
        <f>IF($C626="","",$B626&amp;"|"&amp;(COUNTIFS($B$4:$B$1463,$B626,$AG$4:$AG$1463,"&gt;"&amp;$AG626)+COUNTIFS($B$4:$B626,$B626,$AG$4:$AG626,"="&amp;$AG626)))</f>
        <v>UNDYING|45</v>
      </c>
    </row>
    <row r="627" spans="1:35" hidden="1">
      <c r="A627" s="69" t="s">
        <v>109</v>
      </c>
      <c r="B627" s="69" t="s">
        <v>111</v>
      </c>
      <c r="C627" s="63" t="s">
        <v>1627</v>
      </c>
      <c r="D627" s="69" t="s">
        <v>527</v>
      </c>
      <c r="E627" s="68" t="s">
        <v>71</v>
      </c>
      <c r="F627" s="19" t="str">
        <f>IF($C627="","",IF($E627="","-",IFERROR(INDEX(SETUP!$B$55:$B$64,MATCH($E627,SETUP!$A$55:$A$64,0)),"Other")))</f>
        <v>Frontline</v>
      </c>
      <c r="G627" s="70">
        <v>63125</v>
      </c>
      <c r="H627" s="19" t="str">
        <f>IF($C627="","",IF($G627="","-",INDEX(SETUP!$B$26:$B$32,MATCH($G627,SETUP!$A$26:$A$32,1))))</f>
        <v>63,000 - 63,999</v>
      </c>
      <c r="I627" s="70">
        <v>4031</v>
      </c>
      <c r="J627" s="19" t="str">
        <f>IF($C627="","",IF($I627="","-",INDEX(SETUP!$B$16:$B$22,MATCH($I627,SETUP!$A$16:$A$22,1))))</f>
        <v>CORE</v>
      </c>
      <c r="K627" s="19" t="str">
        <f>IF($C627="","",IF($I627="","-",TEXT(INT($I627/1000)*1000,"#,##0")&amp;" - "&amp;TEXT(INT($I627/1000)*1000+999,"#,##0")))</f>
        <v>4,000 - 4,999</v>
      </c>
      <c r="L627" s="71">
        <v>5.85</v>
      </c>
      <c r="M627" s="19" t="str">
        <f>IF($C627="","",IF($L627="","-",INDEX(SETUP!$B$36:$B$42,MATCH($L627,SETUP!$A$36:$A$42,1))))</f>
        <v>5k - 6k</v>
      </c>
      <c r="N627" s="21">
        <f>IF($C627="","",IF(OR($G627="",$I627=""),"",ROUND(100*(SETUP!$B$4*MIN(1,$I627/SETUP!$B$9)+SETUP!$B$5*MAX(0,MIN(1,($G627-SETUP!$B$10)/(SETUP!$B$11-SETUP!$B$10)))+SETUP!$B$6*MIN(1,IF($L627="",0,$L627)/SETUP!$B$12)),1)))</f>
        <v>48.7</v>
      </c>
      <c r="O627" s="19" t="str">
        <f>IF($C627="","",IF($N627="","-",INDEX(SETUP!$B$46:$B$51,MATCH($N627,SETUP!$A$46:$A$51,1))))</f>
        <v>B</v>
      </c>
      <c r="P627" s="19">
        <f>IF($C627="","",IF($I627="","",RANK($I627,$I$4:$I$1463)+COUNTIF($I$4:$I627,$I627)-1))</f>
        <v>593</v>
      </c>
      <c r="Q627" s="19">
        <f>IF($C627="","",COUNTIFS($B$4:$B$1463,$B627,$X$4:$X$1463,"&gt;"&amp;$X627)+COUNTIFS($B$4:$B627,$B627,$X$4:$X627,"="&amp;$X627))</f>
        <v>62</v>
      </c>
      <c r="R627" s="75">
        <f>IF($C627="","",IF($I627="","",ROUND(COUNTIF($I$4:$I$1463,"&lt;"&amp;$I627)/COUNT($I$4:$I$1463),3)))</f>
        <v>0.55200000000000005</v>
      </c>
      <c r="S627" s="19" t="str">
        <f>IF($C627="","",IF($G627="","Name only",IF(OR($I627="",$L627=""),"Partial","Complete")))</f>
        <v>Complete</v>
      </c>
      <c r="T627" s="1" t="str">
        <f>IF($C627="","",TRIM(IF(COUNTIF($C$4:$C$1463,$C627)&gt;1,"Dup name; ","")&amp;IF(AND($G627&lt;&gt;"",$G627&lt;55000),"Low CR - verify; ","")&amp;IF(AND($L627&lt;&gt;"",$L627&gt;15),"Secondary - verify; ","")&amp;IF($E627="","No class; ","")))</f>
        <v/>
      </c>
      <c r="U627" s="68"/>
      <c r="V627" s="68"/>
      <c r="W627" s="68"/>
      <c r="X627" s="76">
        <f t="shared" si="47"/>
        <v>4031</v>
      </c>
      <c r="Y627" s="1" t="str">
        <f t="shared" si="48"/>
        <v>RECKONING|62</v>
      </c>
      <c r="Z627" s="19">
        <f>IF($C627="","",IF($G627="","",RANK($G627,$G$4:$G$1463)+COUNTIF($G$4:$G627,$G627)-1))</f>
        <v>361</v>
      </c>
      <c r="AA627" s="19">
        <f>IF($C627="","",IF($N627="","",RANK($N627,$N$4:$N$1463)+COUNTIF($N$4:$N627,$N627)-1))</f>
        <v>495</v>
      </c>
      <c r="AB627" s="1" t="str">
        <f>IF($C627="","",IF($E627="","",$E627&amp;"#"&amp;(COUNTIFS($E$4:$E$1463,$E627,$X$4:$X$1463,"&gt;"&amp;$X627)+COUNTIFS($E$4:$E627,$E627,$X$4:$X627,"="&amp;$X627))))</f>
        <v>BARBARIAN#113</v>
      </c>
      <c r="AC627" s="1" t="str">
        <f>IF($C627="","",$B627&amp;"@"&amp;(COUNTIFS($B$4:$B$1463,$B627,$C$4:$C$1463,"&lt;"&amp;$C627)+COUNTIFS($B$4:$B627,$B627,$C$4:$C627,$C627)))</f>
        <v>RECKONING@47</v>
      </c>
      <c r="AD627" s="1">
        <f t="shared" si="49"/>
        <v>624</v>
      </c>
      <c r="AE627" s="1" t="s">
        <v>1576</v>
      </c>
      <c r="AF627" s="76">
        <f t="shared" si="50"/>
        <v>63125</v>
      </c>
      <c r="AG627" s="77">
        <f t="shared" si="51"/>
        <v>5.85</v>
      </c>
      <c r="AH627" s="1" t="str">
        <f>IF($C627="","",$B627&amp;"|"&amp;(COUNTIFS($B$4:$B$1463,$B627,$AF$4:$AF$1463,"&gt;"&amp;$AF627)+COUNTIFS($B$4:$B627,$B627,$AF$4:$AF627,"="&amp;$AF627)))</f>
        <v>RECKONING|38</v>
      </c>
      <c r="AI627" s="1" t="str">
        <f>IF($C627="","",$B627&amp;"|"&amp;(COUNTIFS($B$4:$B$1463,$B627,$AG$4:$AG$1463,"&gt;"&amp;$AG627)+COUNTIFS($B$4:$B627,$B627,$AG$4:$AG627,"="&amp;$AG627)))</f>
        <v>RECKONING|41</v>
      </c>
    </row>
    <row r="628" spans="1:35" hidden="1">
      <c r="A628" s="69" t="s">
        <v>109</v>
      </c>
      <c r="B628" s="69" t="s">
        <v>114</v>
      </c>
      <c r="C628" s="63" t="s">
        <v>1628</v>
      </c>
      <c r="D628" s="69"/>
      <c r="E628" s="68" t="s">
        <v>75</v>
      </c>
      <c r="F628" s="15" t="str">
        <f>IF($C628="","",IF($E628="","-",IFERROR(INDEX(SETUP!$B$55:$B$64,MATCH($E628,SETUP!$A$55:$A$64,0)),"Other")))</f>
        <v>Support</v>
      </c>
      <c r="G628" s="70">
        <v>61259</v>
      </c>
      <c r="H628" s="15" t="str">
        <f>IF($C628="","",IF($G628="","-",INDEX(SETUP!$B$26:$B$32,MATCH($G628,SETUP!$A$26:$A$32,1))))</f>
        <v>61,000 - 61,999</v>
      </c>
      <c r="I628" s="70">
        <v>1500</v>
      </c>
      <c r="J628" s="15" t="str">
        <f>IF($C628="","",IF($I628="","-",INDEX(SETUP!$B$16:$B$22,MATCH($I628,SETUP!$A$16:$A$22,1))))</f>
        <v>ROOKIE</v>
      </c>
      <c r="K628" s="15" t="str">
        <f>IF($C628="","",IF($I628="","-",TEXT(INT($I628/1000)*1000,"#,##0")&amp;" - "&amp;TEXT(INT($I628/1000)*1000+999,"#,##0")))</f>
        <v>1,000 - 1,999</v>
      </c>
      <c r="L628" s="71">
        <v>3.4</v>
      </c>
      <c r="M628" s="15" t="str">
        <f>IF($C628="","",IF($L628="","-",INDEX(SETUP!$B$36:$B$42,MATCH($L628,SETUP!$A$36:$A$42,1))))</f>
        <v>3k - 4k</v>
      </c>
      <c r="N628" s="17">
        <f>IF($C628="","",IF(OR($G628="",$I628=""),"",ROUND(100*(SETUP!$B$4*MIN(1,$I628/SETUP!$B$9)+SETUP!$B$5*MAX(0,MIN(1,($G628-SETUP!$B$10)/(SETUP!$B$11-SETUP!$B$10)))+SETUP!$B$6*MIN(1,IF($L628="",0,$L628)/SETUP!$B$12)),1)))</f>
        <v>28.7</v>
      </c>
      <c r="O628" s="15" t="str">
        <f>IF($C628="","",IF($N628="","-",INDEX(SETUP!$B$46:$B$51,MATCH($N628,SETUP!$A$46:$A$51,1))))</f>
        <v>C</v>
      </c>
      <c r="P628" s="15">
        <f>IF($C628="","",IF($I628="","",RANK($I628,$I$4:$I$1463)+COUNTIF($I$4:$I628,$I628)-1))</f>
        <v>1190</v>
      </c>
      <c r="Q628" s="15">
        <f>IF($C628="","",COUNTIFS($B$4:$B$1463,$B628,$X$4:$X$1463,"&gt;"&amp;$X628)+COUNTIFS($B$4:$B628,$B628,$X$4:$X628,"="&amp;$X628))</f>
        <v>70</v>
      </c>
      <c r="R628" s="72">
        <f>IF($C628="","",IF($I628="","",ROUND(COUNTIF($I$4:$I$1463,"&lt;"&amp;$I628)/COUNT($I$4:$I$1463),3)))</f>
        <v>0.10100000000000001</v>
      </c>
      <c r="S628" s="15" t="str">
        <f>IF($C628="","",IF($G628="","Name only",IF(OR($I628="",$L628=""),"Partial","Complete")))</f>
        <v>Complete</v>
      </c>
      <c r="T628" s="41" t="str">
        <f>IF($C628="","",TRIM(IF(COUNTIF($C$4:$C$1463,$C628)&gt;1,"Dup name; ","")&amp;IF(AND($G628&lt;&gt;"",$G628&lt;55000),"Low CR - verify; ","")&amp;IF(AND($L628&lt;&gt;"",$L628&gt;15),"Secondary - verify; ","")&amp;IF($E628="","No class; ","")))</f>
        <v/>
      </c>
      <c r="U628" s="68"/>
      <c r="V628" s="68"/>
      <c r="W628" s="68"/>
      <c r="X628" s="73">
        <f t="shared" si="47"/>
        <v>1500</v>
      </c>
      <c r="Y628" s="41" t="str">
        <f t="shared" si="48"/>
        <v>EMERALD LEAF TRIBE|70</v>
      </c>
      <c r="Z628" s="15">
        <f>IF($C628="","",IF($G628="","",RANK($G628,$G$4:$G$1463)+COUNTIF($G$4:$G628,$G628)-1))</f>
        <v>1069</v>
      </c>
      <c r="AA628" s="15">
        <f>IF($C628="","",IF($N628="","",RANK($N628,$N$4:$N$1463)+COUNTIF($N$4:$N628,$N628)-1))</f>
        <v>1178</v>
      </c>
      <c r="AB628" s="41" t="str">
        <f>IF($C628="","",IF($E628="","",$E628&amp;"#"&amp;(COUNTIFS($E$4:$E$1463,$E628,$X$4:$X$1463,"&gt;"&amp;$X628)+COUNTIFS($E$4:$E628,$E628,$X$4:$X628,"="&amp;$X628))))</f>
        <v>DRUID#58</v>
      </c>
      <c r="AC628" s="41" t="str">
        <f>IF($C628="","",$B628&amp;"@"&amp;(COUNTIFS($B$4:$B$1463,$B628,$C$4:$C$1463,"&lt;"&amp;$C628)+COUNTIFS($B$4:$B628,$B628,$C$4:$C628,$C628)))</f>
        <v>EMERALD LEAF TRIBE@42</v>
      </c>
      <c r="AD628" s="41">
        <f t="shared" si="49"/>
        <v>625</v>
      </c>
      <c r="AE628" s="41" t="s">
        <v>642</v>
      </c>
      <c r="AF628" s="73">
        <f t="shared" si="50"/>
        <v>61259</v>
      </c>
      <c r="AG628" s="74">
        <f t="shared" si="51"/>
        <v>3.4</v>
      </c>
      <c r="AH628" s="41" t="str">
        <f>IF($C628="","",$B628&amp;"|"&amp;(COUNTIFS($B$4:$B$1463,$B628,$AF$4:$AF$1463,"&gt;"&amp;$AF628)+COUNTIFS($B$4:$B628,$B628,$AF$4:$AF628,"="&amp;$AF628)))</f>
        <v>EMERALD LEAF TRIBE|47</v>
      </c>
      <c r="AI628" s="41" t="str">
        <f>IF($C628="","",$B628&amp;"|"&amp;(COUNTIFS($B$4:$B$1463,$B628,$AG$4:$AG$1463,"&gt;"&amp;$AG628)+COUNTIFS($B$4:$B628,$B628,$AG$4:$AG628,"="&amp;$AG628)))</f>
        <v>EMERALD LEAF TRIBE|58</v>
      </c>
    </row>
    <row r="629" spans="1:35" hidden="1">
      <c r="A629" s="69" t="s">
        <v>109</v>
      </c>
      <c r="B629" s="69" t="s">
        <v>114</v>
      </c>
      <c r="C629" s="63" t="s">
        <v>1629</v>
      </c>
      <c r="D629" s="69"/>
      <c r="E629" s="68" t="s">
        <v>73</v>
      </c>
      <c r="F629" s="19" t="str">
        <f>IF($C629="","",IF($E629="","-",IFERROR(INDEX(SETUP!$B$55:$B$64,MATCH($E629,SETUP!$A$55:$A$64,0)),"Other")))</f>
        <v>Frontline</v>
      </c>
      <c r="G629" s="70">
        <v>62915</v>
      </c>
      <c r="H629" s="19" t="str">
        <f>IF($C629="","",IF($G629="","-",INDEX(SETUP!$B$26:$B$32,MATCH($G629,SETUP!$A$26:$A$32,1))))</f>
        <v>62,000 - 62,999</v>
      </c>
      <c r="I629" s="70">
        <v>2961</v>
      </c>
      <c r="J629" s="19" t="str">
        <f>IF($C629="","",IF($I629="","-",INDEX(SETUP!$B$16:$B$22,MATCH($I629,SETUP!$A$16:$A$22,1))))</f>
        <v>DEVELOPING</v>
      </c>
      <c r="K629" s="19" t="str">
        <f>IF($C629="","",IF($I629="","-",TEXT(INT($I629/1000)*1000,"#,##0")&amp;" - "&amp;TEXT(INT($I629/1000)*1000+999,"#,##0")))</f>
        <v>2,000 - 2,999</v>
      </c>
      <c r="L629" s="71">
        <v>4.3499999999999996</v>
      </c>
      <c r="M629" s="19" t="str">
        <f>IF($C629="","",IF($L629="","-",INDEX(SETUP!$B$36:$B$42,MATCH($L629,SETUP!$A$36:$A$42,1))))</f>
        <v>4k - 5k</v>
      </c>
      <c r="N629" s="21">
        <f>IF($C629="","",IF(OR($G629="",$I629=""),"",ROUND(100*(SETUP!$B$4*MIN(1,$I629/SETUP!$B$9)+SETUP!$B$5*MAX(0,MIN(1,($G629-SETUP!$B$10)/(SETUP!$B$11-SETUP!$B$10)))+SETUP!$B$6*MIN(1,IF($L629="",0,$L629)/SETUP!$B$12)),1)))</f>
        <v>41</v>
      </c>
      <c r="O629" s="19" t="str">
        <f>IF($C629="","",IF($N629="","-",INDEX(SETUP!$B$46:$B$51,MATCH($N629,SETUP!$A$46:$A$51,1))))</f>
        <v>B</v>
      </c>
      <c r="P629" s="19">
        <f>IF($C629="","",IF($I629="","",RANK($I629,$I$4:$I$1463)+COUNTIF($I$4:$I629,$I629)-1))</f>
        <v>894</v>
      </c>
      <c r="Q629" s="19">
        <f>IF($C629="","",COUNTIFS($B$4:$B$1463,$B629,$X$4:$X$1463,"&gt;"&amp;$X629)+COUNTIFS($B$4:$B629,$B629,$X$4:$X629,"="&amp;$X629))</f>
        <v>25</v>
      </c>
      <c r="R629" s="75">
        <f>IF($C629="","",IF($I629="","",ROUND(COUNTIF($I$4:$I$1463,"&lt;"&amp;$I629)/COUNT($I$4:$I$1463),3)))</f>
        <v>0.32500000000000001</v>
      </c>
      <c r="S629" s="19" t="str">
        <f>IF($C629="","",IF($G629="","Name only",IF(OR($I629="",$L629=""),"Partial","Complete")))</f>
        <v>Complete</v>
      </c>
      <c r="T629" s="1" t="str">
        <f>IF($C629="","",TRIM(IF(COUNTIF($C$4:$C$1463,$C629)&gt;1,"Dup name; ","")&amp;IF(AND($G629&lt;&gt;"",$G629&lt;55000),"Low CR - verify; ","")&amp;IF(AND($L629&lt;&gt;"",$L629&gt;15),"Secondary - verify; ","")&amp;IF($E629="","No class; ","")))</f>
        <v/>
      </c>
      <c r="U629" s="68"/>
      <c r="V629" s="68"/>
      <c r="W629" s="68"/>
      <c r="X629" s="76">
        <f t="shared" si="47"/>
        <v>2961</v>
      </c>
      <c r="Y629" s="1" t="str">
        <f t="shared" si="48"/>
        <v>EMERALD LEAF TRIBE|25</v>
      </c>
      <c r="Z629" s="19">
        <f>IF($C629="","",IF($G629="","",RANK($G629,$G$4:$G$1463)+COUNTIF($G$4:$G629,$G629)-1))</f>
        <v>470</v>
      </c>
      <c r="AA629" s="19">
        <f>IF($C629="","",IF($N629="","",RANK($N629,$N$4:$N$1463)+COUNTIF($N$4:$N629,$N629)-1))</f>
        <v>778</v>
      </c>
      <c r="AB629" s="1" t="str">
        <f>IF($C629="","",IF($E629="","",$E629&amp;"#"&amp;(COUNTIFS($E$4:$E$1463,$E629,$X$4:$X$1463,"&gt;"&amp;$X629)+COUNTIFS($E$4:$E629,$E629,$X$4:$X629,"="&amp;$X629))))</f>
        <v>CRUSADER#90</v>
      </c>
      <c r="AC629" s="1" t="str">
        <f>IF($C629="","",$B629&amp;"@"&amp;(COUNTIFS($B$4:$B$1463,$B629,$C$4:$C$1463,"&lt;"&amp;$C629)+COUNTIFS($B$4:$B629,$B629,$C$4:$C629,$C629)))</f>
        <v>EMERALD LEAF TRIBE@43</v>
      </c>
      <c r="AD629" s="1">
        <f t="shared" si="49"/>
        <v>626</v>
      </c>
      <c r="AE629" s="1" t="s">
        <v>1630</v>
      </c>
      <c r="AF629" s="76">
        <f t="shared" si="50"/>
        <v>62915</v>
      </c>
      <c r="AG629" s="77">
        <f t="shared" si="51"/>
        <v>4.3499999999999996</v>
      </c>
      <c r="AH629" s="1" t="str">
        <f>IF($C629="","",$B629&amp;"|"&amp;(COUNTIFS($B$4:$B$1463,$B629,$AF$4:$AF$1463,"&gt;"&amp;$AF629)+COUNTIFS($B$4:$B629,$B629,$AF$4:$AF629,"="&amp;$AF629)))</f>
        <v>EMERALD LEAF TRIBE|9</v>
      </c>
      <c r="AI629" s="1" t="str">
        <f>IF($C629="","",$B629&amp;"|"&amp;(COUNTIFS($B$4:$B$1463,$B629,$AG$4:$AG$1463,"&gt;"&amp;$AG629)+COUNTIFS($B$4:$B629,$B629,$AG$4:$AG629,"="&amp;$AG629)))</f>
        <v>EMERALD LEAF TRIBE|20</v>
      </c>
    </row>
    <row r="630" spans="1:35" hidden="1">
      <c r="A630" s="69" t="s">
        <v>109</v>
      </c>
      <c r="B630" s="69" t="s">
        <v>117</v>
      </c>
      <c r="C630" s="63" t="s">
        <v>1631</v>
      </c>
      <c r="D630" s="69"/>
      <c r="E630" s="68" t="s">
        <v>78</v>
      </c>
      <c r="F630" s="15" t="str">
        <f>IF($C630="","",IF($E630="","-",IFERROR(INDEX(SETUP!$B$55:$B$64,MATCH($E630,SETUP!$A$55:$A$64,0)),"Other")))</f>
        <v>Melee DPS</v>
      </c>
      <c r="G630" s="70">
        <v>62114</v>
      </c>
      <c r="H630" s="15" t="str">
        <f>IF($C630="","",IF($G630="","-",INDEX(SETUP!$B$26:$B$32,MATCH($G630,SETUP!$A$26:$A$32,1))))</f>
        <v>62,000 - 62,999</v>
      </c>
      <c r="I630" s="70">
        <v>2897</v>
      </c>
      <c r="J630" s="15" t="str">
        <f>IF($C630="","",IF($I630="","-",INDEX(SETUP!$B$16:$B$22,MATCH($I630,SETUP!$A$16:$A$22,1))))</f>
        <v>DEVELOPING</v>
      </c>
      <c r="K630" s="15" t="str">
        <f>IF($C630="","",IF($I630="","-",TEXT(INT($I630/1000)*1000,"#,##0")&amp;" - "&amp;TEXT(INT($I630/1000)*1000+999,"#,##0")))</f>
        <v>2,000 - 2,999</v>
      </c>
      <c r="L630" s="71">
        <v>4.2</v>
      </c>
      <c r="M630" s="15" t="str">
        <f>IF($C630="","",IF($L630="","-",INDEX(SETUP!$B$36:$B$42,MATCH($L630,SETUP!$A$36:$A$42,1))))</f>
        <v>4k - 5k</v>
      </c>
      <c r="N630" s="17">
        <f>IF($C630="","",IF(OR($G630="",$I630=""),"",ROUND(100*(SETUP!$B$4*MIN(1,$I630/SETUP!$B$9)+SETUP!$B$5*MAX(0,MIN(1,($G630-SETUP!$B$10)/(SETUP!$B$11-SETUP!$B$10)))+SETUP!$B$6*MIN(1,IF($L630="",0,$L630)/SETUP!$B$12)),1)))</f>
        <v>38.4</v>
      </c>
      <c r="O630" s="15" t="str">
        <f>IF($C630="","",IF($N630="","-",INDEX(SETUP!$B$46:$B$51,MATCH($N630,SETUP!$A$46:$A$51,1))))</f>
        <v>B</v>
      </c>
      <c r="P630" s="15">
        <f>IF($C630="","",IF($I630="","",RANK($I630,$I$4:$I$1463)+COUNTIF($I$4:$I630,$I630)-1))</f>
        <v>908</v>
      </c>
      <c r="Q630" s="15">
        <f>IF($C630="","",COUNTIFS($B$4:$B$1463,$B630,$X$4:$X$1463,"&gt;"&amp;$X630)+COUNTIFS($B$4:$B630,$B630,$X$4:$X630,"="&amp;$X630))</f>
        <v>19</v>
      </c>
      <c r="R630" s="72">
        <f>IF($C630="","",IF($I630="","",ROUND(COUNTIF($I$4:$I$1463,"&lt;"&amp;$I630)/COUNT($I$4:$I$1463),3)))</f>
        <v>0.315</v>
      </c>
      <c r="S630" s="15" t="str">
        <f>IF($C630="","",IF($G630="","Name only",IF(OR($I630="",$L630=""),"Partial","Complete")))</f>
        <v>Complete</v>
      </c>
      <c r="T630" s="41" t="str">
        <f>IF($C630="","",TRIM(IF(COUNTIF($C$4:$C$1463,$C630)&gt;1,"Dup name; ","")&amp;IF(AND($G630&lt;&gt;"",$G630&lt;55000),"Low CR - verify; ","")&amp;IF(AND($L630&lt;&gt;"",$L630&gt;15),"Secondary - verify; ","")&amp;IF($E630="","No class; ","")))</f>
        <v/>
      </c>
      <c r="U630" s="68"/>
      <c r="V630" s="68"/>
      <c r="W630" s="68"/>
      <c r="X630" s="73">
        <f t="shared" si="47"/>
        <v>2897</v>
      </c>
      <c r="Y630" s="41" t="str">
        <f t="shared" si="48"/>
        <v>VENDETTA|19</v>
      </c>
      <c r="Z630" s="15">
        <f>IF($C630="","",IF($G630="","",RANK($G630,$G$4:$G$1463)+COUNTIF($G$4:$G630,$G630)-1))</f>
        <v>794</v>
      </c>
      <c r="AA630" s="15">
        <f>IF($C630="","",IF($N630="","",RANK($N630,$N$4:$N$1463)+COUNTIF($N$4:$N630,$N630)-1))</f>
        <v>891</v>
      </c>
      <c r="AB630" s="41" t="str">
        <f>IF($C630="","",IF($E630="","",$E630&amp;"#"&amp;(COUNTIFS($E$4:$E$1463,$E630,$X$4:$X$1463,"&gt;"&amp;$X630)+COUNTIFS($E$4:$E630,$E630,$X$4:$X630,"="&amp;$X630))))</f>
        <v>TEMPEST#38</v>
      </c>
      <c r="AC630" s="41" t="str">
        <f>IF($C630="","",$B630&amp;"@"&amp;(COUNTIFS($B$4:$B$1463,$B630,$C$4:$C$1463,"&lt;"&amp;$C630)+COUNTIFS($B$4:$B630,$B630,$C$4:$C630,$C630)))</f>
        <v>VENDETTA@45</v>
      </c>
      <c r="AD630" s="41">
        <f t="shared" si="49"/>
        <v>627</v>
      </c>
      <c r="AE630" s="41" t="s">
        <v>1632</v>
      </c>
      <c r="AF630" s="73">
        <f t="shared" si="50"/>
        <v>62114</v>
      </c>
      <c r="AG630" s="74">
        <f t="shared" si="51"/>
        <v>4.2</v>
      </c>
      <c r="AH630" s="41" t="str">
        <f>IF($C630="","",$B630&amp;"|"&amp;(COUNTIFS($B$4:$B$1463,$B630,$AF$4:$AF$1463,"&gt;"&amp;$AF630)+COUNTIFS($B$4:$B630,$B630,$AF$4:$AF630,"="&amp;$AF630)))</f>
        <v>VENDETTA|34</v>
      </c>
      <c r="AI630" s="41" t="str">
        <f>IF($C630="","",$B630&amp;"|"&amp;(COUNTIFS($B$4:$B$1463,$B630,$AG$4:$AG$1463,"&gt;"&amp;$AG630)+COUNTIFS($B$4:$B630,$B630,$AG$4:$AG630,"="&amp;$AG630)))</f>
        <v>VENDETTA|27</v>
      </c>
    </row>
    <row r="631" spans="1:35" hidden="1">
      <c r="A631" s="69" t="s">
        <v>109</v>
      </c>
      <c r="B631" s="69" t="s">
        <v>111</v>
      </c>
      <c r="C631" s="63" t="s">
        <v>1633</v>
      </c>
      <c r="D631" s="69" t="s">
        <v>527</v>
      </c>
      <c r="E631" s="68" t="s">
        <v>74</v>
      </c>
      <c r="F631" s="19" t="str">
        <f>IF($C631="","",IF($E631="","-",IFERROR(INDEX(SETUP!$B$55:$B$64,MATCH($E631,SETUP!$A$55:$A$64,0)),"Other")))</f>
        <v>Ranged DPS</v>
      </c>
      <c r="G631" s="70">
        <v>63285</v>
      </c>
      <c r="H631" s="19" t="str">
        <f>IF($C631="","",IF($G631="","-",INDEX(SETUP!$B$26:$B$32,MATCH($G631,SETUP!$A$26:$A$32,1))))</f>
        <v>63,000 - 63,999</v>
      </c>
      <c r="I631" s="70">
        <v>4680</v>
      </c>
      <c r="J631" s="19" t="str">
        <f>IF($C631="","",IF($I631="","-",INDEX(SETUP!$B$16:$B$22,MATCH($I631,SETUP!$A$16:$A$22,1))))</f>
        <v>CORE</v>
      </c>
      <c r="K631" s="19" t="str">
        <f>IF($C631="","",IF($I631="","-",TEXT(INT($I631/1000)*1000,"#,##0")&amp;" - "&amp;TEXT(INT($I631/1000)*1000+999,"#,##0")))</f>
        <v>4,000 - 4,999</v>
      </c>
      <c r="L631" s="71">
        <v>5.3</v>
      </c>
      <c r="M631" s="19" t="str">
        <f>IF($C631="","",IF($L631="","-",INDEX(SETUP!$B$36:$B$42,MATCH($L631,SETUP!$A$36:$A$42,1))))</f>
        <v>5k - 6k</v>
      </c>
      <c r="N631" s="21">
        <f>IF($C631="","",IF(OR($G631="",$I631=""),"",ROUND(100*(SETUP!$B$4*MIN(1,$I631/SETUP!$B$9)+SETUP!$B$5*MAX(0,MIN(1,($G631-SETUP!$B$10)/(SETUP!$B$11-SETUP!$B$10)))+SETUP!$B$6*MIN(1,IF($L631="",0,$L631)/SETUP!$B$12)),1)))</f>
        <v>51.1</v>
      </c>
      <c r="O631" s="19" t="str">
        <f>IF($C631="","",IF($N631="","-",INDEX(SETUP!$B$46:$B$51,MATCH($N631,SETUP!$A$46:$A$51,1))))</f>
        <v>A</v>
      </c>
      <c r="P631" s="19">
        <f>IF($C631="","",IF($I631="","",RANK($I631,$I$4:$I$1463)+COUNTIF($I$4:$I631,$I631)-1))</f>
        <v>460</v>
      </c>
      <c r="Q631" s="19">
        <f>IF($C631="","",COUNTIFS($B$4:$B$1463,$B631,$X$4:$X$1463,"&gt;"&amp;$X631)+COUNTIFS($B$4:$B631,$B631,$X$4:$X631,"="&amp;$X631))</f>
        <v>52</v>
      </c>
      <c r="R631" s="75">
        <f>IF($C631="","",IF($I631="","",ROUND(COUNTIF($I$4:$I$1463,"&lt;"&amp;$I631)/COUNT($I$4:$I$1463),3)))</f>
        <v>0.65300000000000002</v>
      </c>
      <c r="S631" s="19" t="str">
        <f>IF($C631="","",IF($G631="","Name only",IF(OR($I631="",$L631=""),"Partial","Complete")))</f>
        <v>Complete</v>
      </c>
      <c r="T631" s="1" t="str">
        <f>IF($C631="","",TRIM(IF(COUNTIF($C$4:$C$1463,$C631)&gt;1,"Dup name; ","")&amp;IF(AND($G631&lt;&gt;"",$G631&lt;55000),"Low CR - verify; ","")&amp;IF(AND($L631&lt;&gt;"",$L631&gt;15),"Secondary - verify; ","")&amp;IF($E631="","No class; ","")))</f>
        <v/>
      </c>
      <c r="U631" s="68"/>
      <c r="V631" s="68"/>
      <c r="W631" s="68"/>
      <c r="X631" s="76">
        <f t="shared" si="47"/>
        <v>4680</v>
      </c>
      <c r="Y631" s="1" t="str">
        <f t="shared" si="48"/>
        <v>RECKONING|52</v>
      </c>
      <c r="Z631" s="19">
        <f>IF($C631="","",IF($G631="","",RANK($G631,$G$4:$G$1463)+COUNTIF($G$4:$G631,$G631)-1))</f>
        <v>268</v>
      </c>
      <c r="AA631" s="19">
        <f>IF($C631="","",IF($N631="","",RANK($N631,$N$4:$N$1463)+COUNTIF($N$4:$N631,$N631)-1))</f>
        <v>422</v>
      </c>
      <c r="AB631" s="1" t="str">
        <f>IF($C631="","",IF($E631="","",$E631&amp;"#"&amp;(COUNTIFS($E$4:$E$1463,$E631,$X$4:$X$1463,"&gt;"&amp;$X631)+COUNTIFS($E$4:$E631,$E631,$X$4:$X631,"="&amp;$X631))))</f>
        <v>DEMON HUNTER#75</v>
      </c>
      <c r="AC631" s="1" t="str">
        <f>IF($C631="","",$B631&amp;"@"&amp;(COUNTIFS($B$4:$B$1463,$B631,$C$4:$C$1463,"&lt;"&amp;$C631)+COUNTIFS($B$4:$B631,$B631,$C$4:$C631,$C631)))</f>
        <v>RECKONING@48</v>
      </c>
      <c r="AD631" s="1">
        <f t="shared" si="49"/>
        <v>628</v>
      </c>
      <c r="AE631" s="1" t="s">
        <v>1634</v>
      </c>
      <c r="AF631" s="76">
        <f t="shared" si="50"/>
        <v>63285</v>
      </c>
      <c r="AG631" s="77">
        <f t="shared" si="51"/>
        <v>5.3</v>
      </c>
      <c r="AH631" s="1" t="str">
        <f>IF($C631="","",$B631&amp;"|"&amp;(COUNTIFS($B$4:$B$1463,$B631,$AF$4:$AF$1463,"&gt;"&amp;$AF631)+COUNTIFS($B$4:$B631,$B631,$AF$4:$AF631,"="&amp;$AF631)))</f>
        <v>RECKONING|29</v>
      </c>
      <c r="AI631" s="1" t="str">
        <f>IF($C631="","",$B631&amp;"|"&amp;(COUNTIFS($B$4:$B$1463,$B631,$AG$4:$AG$1463,"&gt;"&amp;$AG631)+COUNTIFS($B$4:$B631,$B631,$AG$4:$AG631,"="&amp;$AG631)))</f>
        <v>RECKONING|53</v>
      </c>
    </row>
    <row r="632" spans="1:35">
      <c r="A632" s="69" t="s">
        <v>104</v>
      </c>
      <c r="B632" s="69" t="s">
        <v>66</v>
      </c>
      <c r="C632" s="63" t="s">
        <v>336</v>
      </c>
      <c r="D632" s="69"/>
      <c r="E632" s="68" t="s">
        <v>80</v>
      </c>
      <c r="F632" s="19" t="str">
        <f>IF($C632="","",IF($E632="","-",IFERROR(INDEX(SETUP!$B$55:$B$64,MATCH($E632,SETUP!$A$55:$A$64,0)),"Other")))</f>
        <v>Ranged DPS</v>
      </c>
      <c r="G632" s="70">
        <v>63025</v>
      </c>
      <c r="H632" s="19" t="str">
        <f>IF($C632="","",IF($G632="","-",INDEX(SETUP!$B$26:$B$32,MATCH($G632,SETUP!$A$26:$A$32,1))))</f>
        <v>63,000 - 63,999</v>
      </c>
      <c r="I632" s="70">
        <v>4147</v>
      </c>
      <c r="J632" s="19" t="str">
        <f>IF($C632="","",IF($I632="","-",INDEX(SETUP!$B$16:$B$22,MATCH($I632,SETUP!$A$16:$A$22,1))))</f>
        <v>CORE</v>
      </c>
      <c r="K632" s="19" t="str">
        <f>IF($C632="","",IF($I632="","-",TEXT(INT($I632/1000)*1000,"#,##0")&amp;" - "&amp;TEXT(INT($I632/1000)*1000+999,"#,##0")))</f>
        <v>4,000 - 4,999</v>
      </c>
      <c r="L632" s="71">
        <v>4.96</v>
      </c>
      <c r="M632" s="19" t="str">
        <f>IF($C632="","",IF($L632="","-",INDEX(SETUP!$B$36:$B$42,MATCH($L632,SETUP!$A$36:$A$42,1))))</f>
        <v>4k - 5k</v>
      </c>
      <c r="N632" s="21">
        <f>IF($C632="","",IF(OR($G632="",$I632=""),"",ROUND(100*(SETUP!$B$4*MIN(1,$I632/SETUP!$B$9)+SETUP!$B$5*MAX(0,MIN(1,($G632-SETUP!$B$10)/(SETUP!$B$11-SETUP!$B$10)))+SETUP!$B$6*MIN(1,IF($L632="",0,$L632)/SETUP!$B$12)),1)))</f>
        <v>47.5</v>
      </c>
      <c r="O632" s="19" t="str">
        <f>IF($C632="","",IF($N632="","-",INDEX(SETUP!$B$46:$B$51,MATCH($N632,SETUP!$A$46:$A$51,1))))</f>
        <v>B</v>
      </c>
      <c r="P632" s="19">
        <f>IF($C632="","",IF($I632="","",RANK($I632,$I$4:$I$1463)+COUNTIF($I$4:$I632,$I632)-1))</f>
        <v>571</v>
      </c>
      <c r="Q632" s="19">
        <f>IF($C632="","",COUNTIFS($B$4:$B$1463,$B632,$X$4:$X$1463,"&gt;"&amp;$X632)+COUNTIFS($B$4:$B632,$B632,$X$4:$X632,"="&amp;$X632))</f>
        <v>56</v>
      </c>
      <c r="R632" s="75">
        <f>IF($C632="","",IF($I632="","",ROUND(COUNTIF($I$4:$I$1463,"&lt;"&amp;$I632)/COUNT($I$4:$I$1463),3)))</f>
        <v>0.56899999999999995</v>
      </c>
      <c r="S632" s="19" t="str">
        <f>IF($C632="","",IF($G632="","Name only",IF(OR($I632="",$L632=""),"Partial","Complete")))</f>
        <v>Complete</v>
      </c>
      <c r="T632" s="1" t="str">
        <f>IF($C632="","",TRIM(IF(COUNTIF($C$4:$C$1463,$C632)&gt;1,"Dup name; ","")&amp;IF(AND($G632&lt;&gt;"",$G632&lt;55000),"Low CR - verify; ","")&amp;IF(AND($L632&lt;&gt;"",$L632&gt;15),"Secondary - verify; ","")&amp;IF($E632="","No class; ","")))</f>
        <v/>
      </c>
      <c r="U632" s="68" t="s">
        <v>267</v>
      </c>
      <c r="V632" s="68" t="s">
        <v>66</v>
      </c>
      <c r="W632" s="68" t="s">
        <v>285</v>
      </c>
      <c r="X632" s="73">
        <f t="shared" si="47"/>
        <v>4147</v>
      </c>
      <c r="Y632" s="41" t="str">
        <f t="shared" si="48"/>
        <v>FUCT|56</v>
      </c>
      <c r="Z632" s="15">
        <f>IF($C632="","",IF($G632="","",RANK($G632,$G$4:$G$1463)+COUNTIF($G$4:$G632,$G632)-1))</f>
        <v>417</v>
      </c>
      <c r="AA632" s="15">
        <f>IF($C632="","",IF($N632="","",RANK($N632,$N$4:$N$1463)+COUNTIF($N$4:$N632,$N632)-1))</f>
        <v>534</v>
      </c>
      <c r="AB632" s="41" t="str">
        <f>IF($C632="","",IF($E632="","",$E632&amp;"#"&amp;(COUNTIFS($E$4:$E$1463,$E632,$X$4:$X$1463,"&gt;"&amp;$X632)+COUNTIFS($E$4:$E632,$E632,$X$4:$X632,"="&amp;$X632))))</f>
        <v>WIZARD#41</v>
      </c>
      <c r="AC632" s="41" t="str">
        <f>IF($C632="","",$B632&amp;"@"&amp;(COUNTIFS($B$4:$B$1463,$B632,$C$4:$C$1463,"&lt;"&amp;$C632)+COUNTIFS($B$4:$B632,$B632,$C$4:$C632,$C632)))</f>
        <v>FUCT@45</v>
      </c>
      <c r="AD632" s="41">
        <f t="shared" si="49"/>
        <v>629</v>
      </c>
      <c r="AE632" s="41" t="s">
        <v>1636</v>
      </c>
      <c r="AF632" s="73">
        <f t="shared" si="50"/>
        <v>63025</v>
      </c>
      <c r="AG632" s="74">
        <f t="shared" si="51"/>
        <v>4.96</v>
      </c>
      <c r="AH632" s="41" t="str">
        <f>IF($C632="","",$B632&amp;"|"&amp;(COUNTIFS($B$4:$B$1463,$B632,$AF$4:$AF$1463,"&gt;"&amp;$AF632)+COUNTIFS($B$4:$B632,$B632,$AF$4:$AF632,"="&amp;$AF632)))</f>
        <v>FUCT|43</v>
      </c>
      <c r="AI632" s="41" t="str">
        <f>IF($C632="","",$B632&amp;"|"&amp;(COUNTIFS($B$4:$B$1463,$B632,$AG$4:$AG$1463,"&gt;"&amp;$AG632)+COUNTIFS($B$4:$B632,$B632,$AG$4:$AG632,"="&amp;$AG632)))</f>
        <v>FUCT|50</v>
      </c>
    </row>
    <row r="633" spans="1:35" hidden="1">
      <c r="A633" s="69" t="s">
        <v>109</v>
      </c>
      <c r="B633" s="69" t="s">
        <v>111</v>
      </c>
      <c r="C633" s="63" t="s">
        <v>1637</v>
      </c>
      <c r="D633" s="69" t="s">
        <v>527</v>
      </c>
      <c r="E633" s="68" t="s">
        <v>73</v>
      </c>
      <c r="F633" s="19" t="str">
        <f>IF($C633="","",IF($E633="","-",IFERROR(INDEX(SETUP!$B$55:$B$64,MATCH($E633,SETUP!$A$55:$A$64,0)),"Other")))</f>
        <v>Frontline</v>
      </c>
      <c r="G633" s="70">
        <v>62867</v>
      </c>
      <c r="H633" s="19" t="str">
        <f>IF($C633="","",IF($G633="","-",INDEX(SETUP!$B$26:$B$32,MATCH($G633,SETUP!$A$26:$A$32,1))))</f>
        <v>62,000 - 62,999</v>
      </c>
      <c r="I633" s="70">
        <v>4454</v>
      </c>
      <c r="J633" s="19" t="str">
        <f>IF($C633="","",IF($I633="","-",INDEX(SETUP!$B$16:$B$22,MATCH($I633,SETUP!$A$16:$A$22,1))))</f>
        <v>CORE</v>
      </c>
      <c r="K633" s="19" t="str">
        <f>IF($C633="","",IF($I633="","-",TEXT(INT($I633/1000)*1000,"#,##0")&amp;" - "&amp;TEXT(INT($I633/1000)*1000+999,"#,##0")))</f>
        <v>4,000 - 4,999</v>
      </c>
      <c r="L633" s="71">
        <v>4.5</v>
      </c>
      <c r="M633" s="19" t="str">
        <f>IF($C633="","",IF($L633="","-",INDEX(SETUP!$B$36:$B$42,MATCH($L633,SETUP!$A$36:$A$42,1))))</f>
        <v>4k - 5k</v>
      </c>
      <c r="N633" s="21">
        <f>IF($C633="","",IF(OR($G633="",$I633=""),"",ROUND(100*(SETUP!$B$4*MIN(1,$I633/SETUP!$B$9)+SETUP!$B$5*MAX(0,MIN(1,($G633-SETUP!$B$10)/(SETUP!$B$11-SETUP!$B$10)))+SETUP!$B$6*MIN(1,IF($L633="",0,$L633)/SETUP!$B$12)),1)))</f>
        <v>47.6</v>
      </c>
      <c r="O633" s="19" t="str">
        <f>IF($C633="","",IF($N633="","-",INDEX(SETUP!$B$46:$B$51,MATCH($N633,SETUP!$A$46:$A$51,1))))</f>
        <v>B</v>
      </c>
      <c r="P633" s="19">
        <f>IF($C633="","",IF($I633="","",RANK($I633,$I$4:$I$1463)+COUNTIF($I$4:$I633,$I633)-1))</f>
        <v>504</v>
      </c>
      <c r="Q633" s="19">
        <f>IF($C633="","",COUNTIFS($B$4:$B$1463,$B633,$X$4:$X$1463,"&gt;"&amp;$X633)+COUNTIFS($B$4:$B633,$B633,$X$4:$X633,"="&amp;$X633))</f>
        <v>54</v>
      </c>
      <c r="R633" s="75">
        <f>IF($C633="","",IF($I633="","",ROUND(COUNTIF($I$4:$I$1463,"&lt;"&amp;$I633)/COUNT($I$4:$I$1463),3)))</f>
        <v>0.62</v>
      </c>
      <c r="S633" s="19" t="str">
        <f>IF($C633="","",IF($G633="","Name only",IF(OR($I633="",$L633=""),"Partial","Complete")))</f>
        <v>Complete</v>
      </c>
      <c r="T633" s="1" t="str">
        <f>IF($C633="","",TRIM(IF(COUNTIF($C$4:$C$1463,$C633)&gt;1,"Dup name; ","")&amp;IF(AND($G633&lt;&gt;"",$G633&lt;55000),"Low CR - verify; ","")&amp;IF(AND($L633&lt;&gt;"",$L633&gt;15),"Secondary - verify; ","")&amp;IF($E633="","No class; ","")))</f>
        <v/>
      </c>
      <c r="U633" s="68"/>
      <c r="V633" s="68"/>
      <c r="W633" s="68"/>
      <c r="X633" s="76">
        <f t="shared" si="47"/>
        <v>4454</v>
      </c>
      <c r="Y633" s="1" t="str">
        <f t="shared" si="48"/>
        <v>RECKONING|54</v>
      </c>
      <c r="Z633" s="19">
        <f>IF($C633="","",IF($G633="","",RANK($G633,$G$4:$G$1463)+COUNTIF($G$4:$G633,$G633)-1))</f>
        <v>488</v>
      </c>
      <c r="AA633" s="19">
        <f>IF($C633="","",IF($N633="","",RANK($N633,$N$4:$N$1463)+COUNTIF($N$4:$N633,$N633)-1))</f>
        <v>531</v>
      </c>
      <c r="AB633" s="1" t="str">
        <f>IF($C633="","",IF($E633="","",$E633&amp;"#"&amp;(COUNTIFS($E$4:$E$1463,$E633,$X$4:$X$1463,"&gt;"&amp;$X633)+COUNTIFS($E$4:$E633,$E633,$X$4:$X633,"="&amp;$X633))))</f>
        <v>CRUSADER#58</v>
      </c>
      <c r="AC633" s="1" t="str">
        <f>IF($C633="","",$B633&amp;"@"&amp;(COUNTIFS($B$4:$B$1463,$B633,$C$4:$C$1463,"&lt;"&amp;$C633)+COUNTIFS($B$4:$B633,$B633,$C$4:$C633,$C633)))</f>
        <v>RECKONING@49</v>
      </c>
      <c r="AD633" s="1">
        <f t="shared" si="49"/>
        <v>630</v>
      </c>
      <c r="AE633" s="1" t="s">
        <v>1246</v>
      </c>
      <c r="AF633" s="76">
        <f t="shared" si="50"/>
        <v>62867</v>
      </c>
      <c r="AG633" s="77">
        <f t="shared" si="51"/>
        <v>4.5</v>
      </c>
      <c r="AH633" s="1" t="str">
        <f>IF($C633="","",$B633&amp;"|"&amp;(COUNTIFS($B$4:$B$1463,$B633,$AF$4:$AF$1463,"&gt;"&amp;$AF633)+COUNTIFS($B$4:$B633,$B633,$AF$4:$AF633,"="&amp;$AF633)))</f>
        <v>RECKONING|46</v>
      </c>
      <c r="AI633" s="1" t="str">
        <f>IF($C633="","",$B633&amp;"|"&amp;(COUNTIFS($B$4:$B$1463,$B633,$AG$4:$AG$1463,"&gt;"&amp;$AG633)+COUNTIFS($B$4:$B633,$B633,$AG$4:$AG633,"="&amp;$AG633)))</f>
        <v>RECKONING|83</v>
      </c>
    </row>
    <row r="634" spans="1:35" hidden="1">
      <c r="A634" s="69" t="s">
        <v>106</v>
      </c>
      <c r="B634" s="69" t="s">
        <v>107</v>
      </c>
      <c r="C634" s="63" t="s">
        <v>1638</v>
      </c>
      <c r="D634" s="69"/>
      <c r="E634" s="68" t="s">
        <v>72</v>
      </c>
      <c r="F634" s="15" t="str">
        <f>IF($C634="","",IF($E634="","-",IFERROR(INDEX(SETUP!$B$55:$B$64,MATCH($E634,SETUP!$A$55:$A$64,0)),"Other")))</f>
        <v>Frontline</v>
      </c>
      <c r="G634" s="70">
        <v>64189</v>
      </c>
      <c r="H634" s="15" t="str">
        <f>IF($C634="","",IF($G634="","-",INDEX(SETUP!$B$26:$B$32,MATCH($G634,SETUP!$A$26:$A$32,1))))</f>
        <v>64,000 +</v>
      </c>
      <c r="I634" s="70">
        <v>8045</v>
      </c>
      <c r="J634" s="15" t="str">
        <f>IF($C634="","",IF($I634="","-",INDEX(SETUP!$B$16:$B$22,MATCH($I634,SETUP!$A$16:$A$22,1))))</f>
        <v>ELITE</v>
      </c>
      <c r="K634" s="15" t="str">
        <f>IF($C634="","",IF($I634="","-",TEXT(INT($I634/1000)*1000,"#,##0")&amp;" - "&amp;TEXT(INT($I634/1000)*1000+999,"#,##0")))</f>
        <v>8,000 - 8,999</v>
      </c>
      <c r="L634" s="71">
        <v>5</v>
      </c>
      <c r="M634" s="15" t="str">
        <f>IF($C634="","",IF($L634="","-",INDEX(SETUP!$B$36:$B$42,MATCH($L634,SETUP!$A$36:$A$42,1))))</f>
        <v>5k - 6k</v>
      </c>
      <c r="N634" s="17">
        <f>IF($C634="","",IF(OR($G634="",$I634=""),"",ROUND(100*(SETUP!$B$4*MIN(1,$I634/SETUP!$B$9)+SETUP!$B$5*MAX(0,MIN(1,($G634-SETUP!$B$10)/(SETUP!$B$11-SETUP!$B$10)))+SETUP!$B$6*MIN(1,IF($L634="",0,$L634)/SETUP!$B$12)),1)))</f>
        <v>67.599999999999994</v>
      </c>
      <c r="O634" s="15" t="str">
        <f>IF($C634="","",IF($N634="","-",INDEX(SETUP!$B$46:$B$51,MATCH($N634,SETUP!$A$46:$A$51,1))))</f>
        <v>S</v>
      </c>
      <c r="P634" s="15">
        <f>IF($C634="","",IF($I634="","",RANK($I634,$I$4:$I$1463)+COUNTIF($I$4:$I634,$I634)-1))</f>
        <v>145</v>
      </c>
      <c r="Q634" s="15">
        <f>IF($C634="","",COUNTIFS($B$4:$B$1463,$B634,$X$4:$X$1463,"&gt;"&amp;$X634)+COUNTIFS($B$4:$B634,$B634,$X$4:$X634,"="&amp;$X634))</f>
        <v>8</v>
      </c>
      <c r="R634" s="72">
        <f>IF($C634="","",IF($I634="","",ROUND(COUNTIF($I$4:$I$1463,"&lt;"&amp;$I634)/COUNT($I$4:$I$1463),3)))</f>
        <v>0.89100000000000001</v>
      </c>
      <c r="S634" s="15" t="str">
        <f>IF($C634="","",IF($G634="","Name only",IF(OR($I634="",$L634=""),"Partial","Complete")))</f>
        <v>Complete</v>
      </c>
      <c r="T634" s="41" t="str">
        <f>IF($C634="","",TRIM(IF(COUNTIF($C$4:$C$1463,$C634)&gt;1,"Dup name; ","")&amp;IF(AND($G634&lt;&gt;"",$G634&lt;55000),"Low CR - verify; ","")&amp;IF(AND($L634&lt;&gt;"",$L634&gt;15),"Secondary - verify; ","")&amp;IF($E634="","No class; ","")))</f>
        <v/>
      </c>
      <c r="U634" s="68"/>
      <c r="V634" s="68"/>
      <c r="W634" s="68"/>
      <c r="X634" s="73">
        <f t="shared" si="47"/>
        <v>8045</v>
      </c>
      <c r="Y634" s="41" t="str">
        <f t="shared" si="48"/>
        <v>UNDYING|8</v>
      </c>
      <c r="Z634" s="15">
        <f>IF($C634="","",IF($G634="","",RANK($G634,$G$4:$G$1463)+COUNTIF($G$4:$G634,$G634)-1))</f>
        <v>46</v>
      </c>
      <c r="AA634" s="15">
        <f>IF($C634="","",IF($N634="","",RANK($N634,$N$4:$N$1463)+COUNTIF($N$4:$N634,$N634)-1))</f>
        <v>150</v>
      </c>
      <c r="AB634" s="41" t="str">
        <f>IF($C634="","",IF($E634="","",$E634&amp;"#"&amp;(COUNTIFS($E$4:$E$1463,$E634,$X$4:$X$1463,"&gt;"&amp;$X634)+COUNTIFS($E$4:$E634,$E634,$X$4:$X634,"="&amp;$X634))))</f>
        <v>BLOOD KNIGHT#9</v>
      </c>
      <c r="AC634" s="41" t="str">
        <f>IF($C634="","",$B634&amp;"@"&amp;(COUNTIFS($B$4:$B$1463,$B634,$C$4:$C$1463,"&lt;"&amp;$C634)+COUNTIFS($B$4:$B634,$B634,$C$4:$C634,$C634)))</f>
        <v>UNDYING@56</v>
      </c>
      <c r="AD634" s="41">
        <f t="shared" si="49"/>
        <v>631</v>
      </c>
      <c r="AE634" s="41" t="s">
        <v>541</v>
      </c>
      <c r="AF634" s="73">
        <f t="shared" si="50"/>
        <v>64189</v>
      </c>
      <c r="AG634" s="74">
        <f t="shared" si="51"/>
        <v>5</v>
      </c>
      <c r="AH634" s="41" t="str">
        <f>IF($C634="","",$B634&amp;"|"&amp;(COUNTIFS($B$4:$B$1463,$B634,$AF$4:$AF$1463,"&gt;"&amp;$AF634)+COUNTIFS($B$4:$B634,$B634,$AF$4:$AF634,"="&amp;$AF634)))</f>
        <v>UNDYING|1</v>
      </c>
      <c r="AI634" s="41" t="str">
        <f>IF($C634="","",$B634&amp;"|"&amp;(COUNTIFS($B$4:$B$1463,$B634,$AG$4:$AG$1463,"&gt;"&amp;$AG634)+COUNTIFS($B$4:$B634,$B634,$AG$4:$AG634,"="&amp;$AG634)))</f>
        <v>UNDYING|52</v>
      </c>
    </row>
    <row r="635" spans="1:35" hidden="1">
      <c r="A635" s="69" t="s">
        <v>109</v>
      </c>
      <c r="B635" s="69" t="s">
        <v>108</v>
      </c>
      <c r="C635" s="63" t="s">
        <v>1639</v>
      </c>
      <c r="D635" s="69"/>
      <c r="E635" s="68" t="s">
        <v>71</v>
      </c>
      <c r="F635" s="19" t="str">
        <f>IF($C635="","",IF($E635="","-",IFERROR(INDEX(SETUP!$B$55:$B$64,MATCH($E635,SETUP!$A$55:$A$64,0)),"Other")))</f>
        <v>Frontline</v>
      </c>
      <c r="G635" s="70">
        <v>63275</v>
      </c>
      <c r="H635" s="19" t="str">
        <f>IF($C635="","",IF($G635="","-",INDEX(SETUP!$B$26:$B$32,MATCH($G635,SETUP!$A$26:$A$32,1))))</f>
        <v>63,000 - 63,999</v>
      </c>
      <c r="I635" s="70">
        <v>5064</v>
      </c>
      <c r="J635" s="19" t="str">
        <f>IF($C635="","",IF($I635="","-",INDEX(SETUP!$B$16:$B$22,MATCH($I635,SETUP!$A$16:$A$22,1))))</f>
        <v>CORE</v>
      </c>
      <c r="K635" s="19" t="str">
        <f>IF($C635="","",IF($I635="","-",TEXT(INT($I635/1000)*1000,"#,##0")&amp;" - "&amp;TEXT(INT($I635/1000)*1000+999,"#,##0")))</f>
        <v>5,000 - 5,999</v>
      </c>
      <c r="L635" s="71">
        <v>5.4</v>
      </c>
      <c r="M635" s="19" t="str">
        <f>IF($C635="","",IF($L635="","-",INDEX(SETUP!$B$36:$B$42,MATCH($L635,SETUP!$A$36:$A$42,1))))</f>
        <v>5k - 6k</v>
      </c>
      <c r="N635" s="21">
        <f>IF($C635="","",IF(OR($G635="",$I635=""),"",ROUND(100*(SETUP!$B$4*MIN(1,$I635/SETUP!$B$9)+SETUP!$B$5*MAX(0,MIN(1,($G635-SETUP!$B$10)/(SETUP!$B$11-SETUP!$B$10)))+SETUP!$B$6*MIN(1,IF($L635="",0,$L635)/SETUP!$B$12)),1)))</f>
        <v>52.9</v>
      </c>
      <c r="O635" s="19" t="str">
        <f>IF($C635="","",IF($N635="","-",INDEX(SETUP!$B$46:$B$51,MATCH($N635,SETUP!$A$46:$A$51,1))))</f>
        <v>A</v>
      </c>
      <c r="P635" s="19">
        <f>IF($C635="","",IF($I635="","",RANK($I635,$I$4:$I$1463)+COUNTIF($I$4:$I635,$I635)-1))</f>
        <v>404</v>
      </c>
      <c r="Q635" s="19">
        <f>IF($C635="","",COUNTIFS($B$4:$B$1463,$B635,$X$4:$X$1463,"&gt;"&amp;$X635)+COUNTIFS($B$4:$B635,$B635,$X$4:$X635,"="&amp;$X635))</f>
        <v>56</v>
      </c>
      <c r="R635" s="75">
        <f>IF($C635="","",IF($I635="","",ROUND(COUNTIF($I$4:$I$1463,"&lt;"&amp;$I635)/COUNT($I$4:$I$1463),3)))</f>
        <v>0.69499999999999995</v>
      </c>
      <c r="S635" s="19" t="str">
        <f>IF($C635="","",IF($G635="","Name only",IF(OR($I635="",$L635=""),"Partial","Complete")))</f>
        <v>Complete</v>
      </c>
      <c r="T635" s="1" t="str">
        <f>IF($C635="","",TRIM(IF(COUNTIF($C$4:$C$1463,$C635)&gt;1,"Dup name; ","")&amp;IF(AND($G635&lt;&gt;"",$G635&lt;55000),"Low CR - verify; ","")&amp;IF(AND($L635&lt;&gt;"",$L635&gt;15),"Secondary - verify; ","")&amp;IF($E635="","No class; ","")))</f>
        <v/>
      </c>
      <c r="U635" s="68"/>
      <c r="V635" s="68"/>
      <c r="W635" s="68"/>
      <c r="X635" s="76">
        <f t="shared" si="47"/>
        <v>5064</v>
      </c>
      <c r="Y635" s="1" t="str">
        <f t="shared" si="48"/>
        <v>SBG|56</v>
      </c>
      <c r="Z635" s="19">
        <f>IF($C635="","",IF($G635="","",RANK($G635,$G$4:$G$1463)+COUNTIF($G$4:$G635,$G635)-1))</f>
        <v>274</v>
      </c>
      <c r="AA635" s="19">
        <f>IF($C635="","",IF($N635="","",RANK($N635,$N$4:$N$1463)+COUNTIF($N$4:$N635,$N635)-1))</f>
        <v>368</v>
      </c>
      <c r="AB635" s="1" t="str">
        <f>IF($C635="","",IF($E635="","",$E635&amp;"#"&amp;(COUNTIFS($E$4:$E$1463,$E635,$X$4:$X$1463,"&gt;"&amp;$X635)+COUNTIFS($E$4:$E635,$E635,$X$4:$X635,"="&amp;$X635))))</f>
        <v>BARBARIAN#81</v>
      </c>
      <c r="AC635" s="1" t="str">
        <f>IF($C635="","",$B635&amp;"@"&amp;(COUNTIFS($B$4:$B$1463,$B635,$C$4:$C$1463,"&lt;"&amp;$C635)+COUNTIFS($B$4:$B635,$B635,$C$4:$C635,$C635)))</f>
        <v>SBG@39</v>
      </c>
      <c r="AD635" s="1">
        <f t="shared" si="49"/>
        <v>632</v>
      </c>
      <c r="AE635" s="1" t="s">
        <v>1640</v>
      </c>
      <c r="AF635" s="76">
        <f t="shared" si="50"/>
        <v>63275</v>
      </c>
      <c r="AG635" s="77">
        <f t="shared" si="51"/>
        <v>5.4</v>
      </c>
      <c r="AH635" s="1" t="str">
        <f>IF($C635="","",$B635&amp;"|"&amp;(COUNTIFS($B$4:$B$1463,$B635,$AF$4:$AF$1463,"&gt;"&amp;$AF635)+COUNTIFS($B$4:$B635,$B635,$AF$4:$AF635,"="&amp;$AF635)))</f>
        <v>SBG|33</v>
      </c>
      <c r="AI635" s="1" t="str">
        <f>IF($C635="","",$B635&amp;"|"&amp;(COUNTIFS($B$4:$B$1463,$B635,$AG$4:$AG$1463,"&gt;"&amp;$AG635)+COUNTIFS($B$4:$B635,$B635,$AG$4:$AG635,"="&amp;$AG635)))</f>
        <v>SBG|62</v>
      </c>
    </row>
    <row r="636" spans="1:35" hidden="1">
      <c r="A636" s="69" t="s">
        <v>109</v>
      </c>
      <c r="B636" s="69" t="s">
        <v>114</v>
      </c>
      <c r="C636" s="63" t="s">
        <v>1641</v>
      </c>
      <c r="D636" s="69"/>
      <c r="E636" s="68" t="s">
        <v>73</v>
      </c>
      <c r="F636" s="15" t="str">
        <f>IF($C636="","",IF($E636="","-",IFERROR(INDEX(SETUP!$B$55:$B$64,MATCH($E636,SETUP!$A$55:$A$64,0)),"Other")))</f>
        <v>Frontline</v>
      </c>
      <c r="G636" s="70">
        <v>58995</v>
      </c>
      <c r="H636" s="15" t="str">
        <f>IF($C636="","",IF($G636="","-",INDEX(SETUP!$B$26:$B$32,MATCH($G636,SETUP!$A$26:$A$32,1))))</f>
        <v>58,000 - 59,999</v>
      </c>
      <c r="I636" s="70">
        <v>2030</v>
      </c>
      <c r="J636" s="15" t="str">
        <f>IF($C636="","",IF($I636="","-",INDEX(SETUP!$B$16:$B$22,MATCH($I636,SETUP!$A$16:$A$22,1))))</f>
        <v>DEVELOPING</v>
      </c>
      <c r="K636" s="15" t="str">
        <f>IF($C636="","",IF($I636="","-",TEXT(INT($I636/1000)*1000,"#,##0")&amp;" - "&amp;TEXT(INT($I636/1000)*1000+999,"#,##0")))</f>
        <v>2,000 - 2,999</v>
      </c>
      <c r="L636" s="71">
        <v>3.25</v>
      </c>
      <c r="M636" s="15" t="str">
        <f>IF($C636="","",IF($L636="","-",INDEX(SETUP!$B$36:$B$42,MATCH($L636,SETUP!$A$36:$A$42,1))))</f>
        <v>3k - 4k</v>
      </c>
      <c r="N636" s="17">
        <f>IF($C636="","",IF(OR($G636="",$I636=""),"",ROUND(100*(SETUP!$B$4*MIN(1,$I636/SETUP!$B$9)+SETUP!$B$5*MAX(0,MIN(1,($G636-SETUP!$B$10)/(SETUP!$B$11-SETUP!$B$10)))+SETUP!$B$6*MIN(1,IF($L636="",0,$L636)/SETUP!$B$12)),1)))</f>
        <v>24.8</v>
      </c>
      <c r="O636" s="15" t="str">
        <f>IF($C636="","",IF($N636="","-",INDEX(SETUP!$B$46:$B$51,MATCH($N636,SETUP!$A$46:$A$51,1))))</f>
        <v>C</v>
      </c>
      <c r="P636" s="15">
        <f>IF($C636="","",IF($I636="","",RANK($I636,$I$4:$I$1463)+COUNTIF($I$4:$I636,$I636)-1))</f>
        <v>1108</v>
      </c>
      <c r="Q636" s="15">
        <f>IF($C636="","",COUNTIFS($B$4:$B$1463,$B636,$X$4:$X$1463,"&gt;"&amp;$X636)+COUNTIFS($B$4:$B636,$B636,$X$4:$X636,"="&amp;$X636))</f>
        <v>53</v>
      </c>
      <c r="R636" s="72">
        <f>IF($C636="","",IF($I636="","",ROUND(COUNTIF($I$4:$I$1463,"&lt;"&amp;$I636)/COUNT($I$4:$I$1463),3)))</f>
        <v>0.16200000000000001</v>
      </c>
      <c r="S636" s="15" t="str">
        <f>IF($C636="","",IF($G636="","Name only",IF(OR($I636="",$L636=""),"Partial","Complete")))</f>
        <v>Complete</v>
      </c>
      <c r="T636" s="41" t="str">
        <f>IF($C636="","",TRIM(IF(COUNTIF($C$4:$C$1463,$C636)&gt;1,"Dup name; ","")&amp;IF(AND($G636&lt;&gt;"",$G636&lt;55000),"Low CR - verify; ","")&amp;IF(AND($L636&lt;&gt;"",$L636&gt;15),"Secondary - verify; ","")&amp;IF($E636="","No class; ","")))</f>
        <v/>
      </c>
      <c r="U636" s="68"/>
      <c r="V636" s="68"/>
      <c r="W636" s="68"/>
      <c r="X636" s="73">
        <f t="shared" si="47"/>
        <v>2030</v>
      </c>
      <c r="Y636" s="41" t="str">
        <f t="shared" si="48"/>
        <v>EMERALD LEAF TRIBE|53</v>
      </c>
      <c r="Z636" s="15">
        <f>IF($C636="","",IF($G636="","",RANK($G636,$G$4:$G$1463)+COUNTIF($G$4:$G636,$G636)-1))</f>
        <v>1278</v>
      </c>
      <c r="AA636" s="15">
        <f>IF($C636="","",IF($N636="","",RANK($N636,$N$4:$N$1463)+COUNTIF($N$4:$N636,$N636)-1))</f>
        <v>1247</v>
      </c>
      <c r="AB636" s="41" t="str">
        <f>IF($C636="","",IF($E636="","",$E636&amp;"#"&amp;(COUNTIFS($E$4:$E$1463,$E636,$X$4:$X$1463,"&gt;"&amp;$X636)+COUNTIFS($E$4:$E636,$E636,$X$4:$X636,"="&amp;$X636))))</f>
        <v>CRUSADER#108</v>
      </c>
      <c r="AC636" s="41" t="str">
        <f>IF($C636="","",$B636&amp;"@"&amp;(COUNTIFS($B$4:$B$1463,$B636,$C$4:$C$1463,"&lt;"&amp;$C636)+COUNTIFS($B$4:$B636,$B636,$C$4:$C636,$C636)))</f>
        <v>EMERALD LEAF TRIBE@44</v>
      </c>
      <c r="AD636" s="41">
        <f t="shared" si="49"/>
        <v>633</v>
      </c>
      <c r="AE636" s="41" t="s">
        <v>1642</v>
      </c>
      <c r="AF636" s="73">
        <f t="shared" si="50"/>
        <v>58995</v>
      </c>
      <c r="AG636" s="74">
        <f t="shared" si="51"/>
        <v>3.25</v>
      </c>
      <c r="AH636" s="41" t="str">
        <f>IF($C636="","",$B636&amp;"|"&amp;(COUNTIFS($B$4:$B$1463,$B636,$AF$4:$AF$1463,"&gt;"&amp;$AF636)+COUNTIFS($B$4:$B636,$B636,$AF$4:$AF636,"="&amp;$AF636)))</f>
        <v>EMERALD LEAF TRIBE|82</v>
      </c>
      <c r="AI636" s="41" t="str">
        <f>IF($C636="","",$B636&amp;"|"&amp;(COUNTIFS($B$4:$B$1463,$B636,$AG$4:$AG$1463,"&gt;"&amp;$AG636)+COUNTIFS($B$4:$B636,$B636,$AG$4:$AG636,"="&amp;$AG636)))</f>
        <v>EMERALD LEAF TRIBE|68</v>
      </c>
    </row>
    <row r="637" spans="1:35" hidden="1">
      <c r="A637" s="69" t="s">
        <v>109</v>
      </c>
      <c r="B637" s="69" t="s">
        <v>111</v>
      </c>
      <c r="C637" s="63" t="s">
        <v>1643</v>
      </c>
      <c r="D637" s="69" t="s">
        <v>527</v>
      </c>
      <c r="E637" s="68" t="s">
        <v>73</v>
      </c>
      <c r="F637" s="19" t="str">
        <f>IF($C637="","",IF($E637="","-",IFERROR(INDEX(SETUP!$B$55:$B$64,MATCH($E637,SETUP!$A$55:$A$64,0)),"Other")))</f>
        <v>Frontline</v>
      </c>
      <c r="G637" s="70">
        <v>62578</v>
      </c>
      <c r="H637" s="19" t="str">
        <f>IF($C637="","",IF($G637="","-",INDEX(SETUP!$B$26:$B$32,MATCH($G637,SETUP!$A$26:$A$32,1))))</f>
        <v>62,000 - 62,999</v>
      </c>
      <c r="I637" s="70">
        <v>2414</v>
      </c>
      <c r="J637" s="19" t="str">
        <f>IF($C637="","",IF($I637="","-",INDEX(SETUP!$B$16:$B$22,MATCH($I637,SETUP!$A$16:$A$22,1))))</f>
        <v>DEVELOPING</v>
      </c>
      <c r="K637" s="19" t="str">
        <f>IF($C637="","",IF($I637="","-",TEXT(INT($I637/1000)*1000,"#,##0")&amp;" - "&amp;TEXT(INT($I637/1000)*1000+999,"#,##0")))</f>
        <v>2,000 - 2,999</v>
      </c>
      <c r="L637" s="71">
        <v>4</v>
      </c>
      <c r="M637" s="19" t="str">
        <f>IF($C637="","",IF($L637="","-",INDEX(SETUP!$B$36:$B$42,MATCH($L637,SETUP!$A$36:$A$42,1))))</f>
        <v>4k - 5k</v>
      </c>
      <c r="N637" s="21">
        <f>IF($C637="","",IF(OR($G637="",$I637=""),"",ROUND(100*(SETUP!$B$4*MIN(1,$I637/SETUP!$B$9)+SETUP!$B$5*MAX(0,MIN(1,($G637-SETUP!$B$10)/(SETUP!$B$11-SETUP!$B$10)))+SETUP!$B$6*MIN(1,IF($L637="",0,$L637)/SETUP!$B$12)),1)))</f>
        <v>37.1</v>
      </c>
      <c r="O637" s="19" t="str">
        <f>IF($C637="","",IF($N637="","-",INDEX(SETUP!$B$46:$B$51,MATCH($N637,SETUP!$A$46:$A$51,1))))</f>
        <v>B</v>
      </c>
      <c r="P637" s="19">
        <f>IF($C637="","",IF($I637="","",RANK($I637,$I$4:$I$1463)+COUNTIF($I$4:$I637,$I637)-1))</f>
        <v>1025</v>
      </c>
      <c r="Q637" s="19">
        <f>IF($C637="","",COUNTIFS($B$4:$B$1463,$B637,$X$4:$X$1463,"&gt;"&amp;$X637)+COUNTIFS($B$4:$B637,$B637,$X$4:$X637,"="&amp;$X637))</f>
        <v>93</v>
      </c>
      <c r="R637" s="75">
        <f>IF($C637="","",IF($I637="","",ROUND(COUNTIF($I$4:$I$1463,"&lt;"&amp;$I637)/COUNT($I$4:$I$1463),3)))</f>
        <v>0.22600000000000001</v>
      </c>
      <c r="S637" s="19" t="str">
        <f>IF($C637="","",IF($G637="","Name only",IF(OR($I637="",$L637=""),"Partial","Complete")))</f>
        <v>Complete</v>
      </c>
      <c r="T637" s="1" t="str">
        <f>IF($C637="","",TRIM(IF(COUNTIF($C$4:$C$1463,$C637)&gt;1,"Dup name; ","")&amp;IF(AND($G637&lt;&gt;"",$G637&lt;55000),"Low CR - verify; ","")&amp;IF(AND($L637&lt;&gt;"",$L637&gt;15),"Secondary - verify; ","")&amp;IF($E637="","No class; ","")))</f>
        <v/>
      </c>
      <c r="U637" s="68"/>
      <c r="V637" s="68"/>
      <c r="W637" s="68"/>
      <c r="X637" s="76">
        <f t="shared" si="47"/>
        <v>2414</v>
      </c>
      <c r="Y637" s="1" t="str">
        <f t="shared" si="48"/>
        <v>RECKONING|93</v>
      </c>
      <c r="Z637" s="19">
        <f>IF($C637="","",IF($G637="","",RANK($G637,$G$4:$G$1463)+COUNTIF($G$4:$G637,$G637)-1))</f>
        <v>620</v>
      </c>
      <c r="AA637" s="19">
        <f>IF($C637="","",IF($N637="","",RANK($N637,$N$4:$N$1463)+COUNTIF($N$4:$N637,$N637)-1))</f>
        <v>925</v>
      </c>
      <c r="AB637" s="1" t="str">
        <f>IF($C637="","",IF($E637="","",$E637&amp;"#"&amp;(COUNTIFS($E$4:$E$1463,$E637,$X$4:$X$1463,"&gt;"&amp;$X637)+COUNTIFS($E$4:$E637,$E637,$X$4:$X637,"="&amp;$X637))))</f>
        <v>CRUSADER#103</v>
      </c>
      <c r="AC637" s="1" t="str">
        <f>IF($C637="","",$B637&amp;"@"&amp;(COUNTIFS($B$4:$B$1463,$B637,$C$4:$C$1463,"&lt;"&amp;$C637)+COUNTIFS($B$4:$B637,$B637,$C$4:$C637,$C637)))</f>
        <v>RECKONING@50</v>
      </c>
      <c r="AD637" s="1">
        <f t="shared" si="49"/>
        <v>634</v>
      </c>
      <c r="AE637" s="1" t="s">
        <v>1644</v>
      </c>
      <c r="AF637" s="76">
        <f t="shared" si="50"/>
        <v>62578</v>
      </c>
      <c r="AG637" s="77">
        <f t="shared" si="51"/>
        <v>4</v>
      </c>
      <c r="AH637" s="1" t="str">
        <f>IF($C637="","",$B637&amp;"|"&amp;(COUNTIFS($B$4:$B$1463,$B637,$AF$4:$AF$1463,"&gt;"&amp;$AF637)+COUNTIFS($B$4:$B637,$B637,$AF$4:$AF637,"="&amp;$AF637)))</f>
        <v>RECKONING|58</v>
      </c>
      <c r="AI637" s="1" t="str">
        <f>IF($C637="","",$B637&amp;"|"&amp;(COUNTIFS($B$4:$B$1463,$B637,$AG$4:$AG$1463,"&gt;"&amp;$AG637)+COUNTIFS($B$4:$B637,$B637,$AG$4:$AG637,"="&amp;$AG637)))</f>
        <v>RECKONING|90</v>
      </c>
    </row>
    <row r="638" spans="1:35" hidden="1">
      <c r="A638" s="69" t="s">
        <v>106</v>
      </c>
      <c r="B638" s="69" t="s">
        <v>105</v>
      </c>
      <c r="C638" s="63" t="s">
        <v>1645</v>
      </c>
      <c r="D638" s="69" t="s">
        <v>691</v>
      </c>
      <c r="E638" s="68" t="s">
        <v>71</v>
      </c>
      <c r="F638" s="15" t="str">
        <f>IF($C638="","",IF($E638="","-",IFERROR(INDEX(SETUP!$B$55:$B$64,MATCH($E638,SETUP!$A$55:$A$64,0)),"Other")))</f>
        <v>Frontline</v>
      </c>
      <c r="G638" s="70">
        <v>62941</v>
      </c>
      <c r="H638" s="15" t="str">
        <f>IF($C638="","",IF($G638="","-",INDEX(SETUP!$B$26:$B$32,MATCH($G638,SETUP!$A$26:$A$32,1))))</f>
        <v>62,000 - 62,999</v>
      </c>
      <c r="I638" s="70">
        <v>3950</v>
      </c>
      <c r="J638" s="15" t="str">
        <f>IF($C638="","",IF($I638="","-",INDEX(SETUP!$B$16:$B$22,MATCH($I638,SETUP!$A$16:$A$22,1))))</f>
        <v>DEVELOPING</v>
      </c>
      <c r="K638" s="15" t="str">
        <f>IF($C638="","",IF($I638="","-",TEXT(INT($I638/1000)*1000,"#,##0")&amp;" - "&amp;TEXT(INT($I638/1000)*1000+999,"#,##0")))</f>
        <v>3,000 - 3,999</v>
      </c>
      <c r="L638" s="71">
        <v>4.01</v>
      </c>
      <c r="M638" s="15" t="str">
        <f>IF($C638="","",IF($L638="","-",INDEX(SETUP!$B$36:$B$42,MATCH($L638,SETUP!$A$36:$A$42,1))))</f>
        <v>4k - 5k</v>
      </c>
      <c r="N638" s="17">
        <f>IF($C638="","",IF(OR($G638="",$I638=""),"",ROUND(100*(SETUP!$B$4*MIN(1,$I638/SETUP!$B$9)+SETUP!$B$5*MAX(0,MIN(1,($G638-SETUP!$B$10)/(SETUP!$B$11-SETUP!$B$10)))+SETUP!$B$6*MIN(1,IF($L638="",0,$L638)/SETUP!$B$12)),1)))</f>
        <v>44.8</v>
      </c>
      <c r="O638" s="15" t="str">
        <f>IF($C638="","",IF($N638="","-",INDEX(SETUP!$B$46:$B$51,MATCH($N638,SETUP!$A$46:$A$51,1))))</f>
        <v>B</v>
      </c>
      <c r="P638" s="15">
        <f>IF($C638="","",IF($I638="","",RANK($I638,$I$4:$I$1463)+COUNTIF($I$4:$I638,$I638)-1))</f>
        <v>610</v>
      </c>
      <c r="Q638" s="15">
        <f>IF($C638="","",COUNTIFS($B$4:$B$1463,$B638,$X$4:$X$1463,"&gt;"&amp;$X638)+COUNTIFS($B$4:$B638,$B638,$X$4:$X638,"="&amp;$X638))</f>
        <v>74</v>
      </c>
      <c r="R638" s="72">
        <f>IF($C638="","",IF($I638="","",ROUND(COUNTIF($I$4:$I$1463,"&lt;"&amp;$I638)/COUNT($I$4:$I$1463),3)))</f>
        <v>0.54</v>
      </c>
      <c r="S638" s="15" t="str">
        <f>IF($C638="","",IF($G638="","Name only",IF(OR($I638="",$L638=""),"Partial","Complete")))</f>
        <v>Complete</v>
      </c>
      <c r="T638" s="41" t="str">
        <f>IF($C638="","",TRIM(IF(COUNTIF($C$4:$C$1463,$C638)&gt;1,"Dup name; ","")&amp;IF(AND($G638&lt;&gt;"",$G638&lt;55000),"Low CR - verify; ","")&amp;IF(AND($L638&lt;&gt;"",$L638&gt;15),"Secondary - verify; ","")&amp;IF($E638="","No class; ","")))</f>
        <v/>
      </c>
      <c r="U638" s="68"/>
      <c r="V638" s="68"/>
      <c r="W638" s="68"/>
      <c r="X638" s="73">
        <f t="shared" si="47"/>
        <v>3950</v>
      </c>
      <c r="Y638" s="41" t="str">
        <f t="shared" si="48"/>
        <v>LEGENDS|74</v>
      </c>
      <c r="Z638" s="15">
        <f>IF($C638="","",IF($G638="","",RANK($G638,$G$4:$G$1463)+COUNTIF($G$4:$G638,$G638)-1))</f>
        <v>455</v>
      </c>
      <c r="AA638" s="15">
        <f>IF($C638="","",IF($N638="","",RANK($N638,$N$4:$N$1463)+COUNTIF($N$4:$N638,$N638)-1))</f>
        <v>630</v>
      </c>
      <c r="AB638" s="41" t="str">
        <f>IF($C638="","",IF($E638="","",$E638&amp;"#"&amp;(COUNTIFS($E$4:$E$1463,$E638,$X$4:$X$1463,"&gt;"&amp;$X638)+COUNTIFS($E$4:$E638,$E638,$X$4:$X638,"="&amp;$X638))))</f>
        <v>BARBARIAN#115</v>
      </c>
      <c r="AC638" s="41" t="str">
        <f>IF($C638="","",$B638&amp;"@"&amp;(COUNTIFS($B$4:$B$1463,$B638,$C$4:$C$1463,"&lt;"&amp;$C638)+COUNTIFS($B$4:$B638,$B638,$C$4:$C638,$C638)))</f>
        <v>LEGENDS@58</v>
      </c>
      <c r="AD638" s="41">
        <f t="shared" si="49"/>
        <v>635</v>
      </c>
      <c r="AE638" s="41" t="s">
        <v>1646</v>
      </c>
      <c r="AF638" s="73">
        <f t="shared" si="50"/>
        <v>62941</v>
      </c>
      <c r="AG638" s="74">
        <f t="shared" si="51"/>
        <v>4.01</v>
      </c>
      <c r="AH638" s="41" t="str">
        <f>IF($C638="","",$B638&amp;"|"&amp;(COUNTIFS($B$4:$B$1463,$B638,$AF$4:$AF$1463,"&gt;"&amp;$AF638)+COUNTIFS($B$4:$B638,$B638,$AF$4:$AF638,"="&amp;$AF638)))</f>
        <v>LEGENDS|55</v>
      </c>
      <c r="AI638" s="41" t="str">
        <f>IF($C638="","",$B638&amp;"|"&amp;(COUNTIFS($B$4:$B$1463,$B638,$AG$4:$AG$1463,"&gt;"&amp;$AG638)+COUNTIFS($B$4:$B638,$B638,$AG$4:$AG638,"="&amp;$AG638)))</f>
        <v>LEGENDS|89</v>
      </c>
    </row>
    <row r="639" spans="1:35" hidden="1">
      <c r="A639" s="69" t="s">
        <v>106</v>
      </c>
      <c r="B639" s="69" t="s">
        <v>107</v>
      </c>
      <c r="C639" s="63" t="s">
        <v>1647</v>
      </c>
      <c r="D639" s="69"/>
      <c r="E639" s="68" t="s">
        <v>74</v>
      </c>
      <c r="F639" s="19" t="str">
        <f>IF($C639="","",IF($E639="","-",IFERROR(INDEX(SETUP!$B$55:$B$64,MATCH($E639,SETUP!$A$55:$A$64,0)),"Other")))</f>
        <v>Ranged DPS</v>
      </c>
      <c r="G639" s="70">
        <v>60879</v>
      </c>
      <c r="H639" s="19" t="str">
        <f>IF($C639="","",IF($G639="","-",INDEX(SETUP!$B$26:$B$32,MATCH($G639,SETUP!$A$26:$A$32,1))))</f>
        <v>60,000 - 60,999</v>
      </c>
      <c r="I639" s="70">
        <v>2928</v>
      </c>
      <c r="J639" s="19" t="str">
        <f>IF($C639="","",IF($I639="","-",INDEX(SETUP!$B$16:$B$22,MATCH($I639,SETUP!$A$16:$A$22,1))))</f>
        <v>DEVELOPING</v>
      </c>
      <c r="K639" s="19" t="str">
        <f>IF($C639="","",IF($I639="","-",TEXT(INT($I639/1000)*1000,"#,##0")&amp;" - "&amp;TEXT(INT($I639/1000)*1000+999,"#,##0")))</f>
        <v>2,000 - 2,999</v>
      </c>
      <c r="L639" s="71">
        <v>3.1</v>
      </c>
      <c r="M639" s="19" t="str">
        <f>IF($C639="","",IF($L639="","-",INDEX(SETUP!$B$36:$B$42,MATCH($L639,SETUP!$A$36:$A$42,1))))</f>
        <v>3k - 4k</v>
      </c>
      <c r="N639" s="21">
        <f>IF($C639="","",IF(OR($G639="",$I639=""),"",ROUND(100*(SETUP!$B$4*MIN(1,$I639/SETUP!$B$9)+SETUP!$B$5*MAX(0,MIN(1,($G639-SETUP!$B$10)/(SETUP!$B$11-SETUP!$B$10)))+SETUP!$B$6*MIN(1,IF($L639="",0,$L639)/SETUP!$B$12)),1)))</f>
        <v>33.4</v>
      </c>
      <c r="O639" s="19" t="str">
        <f>IF($C639="","",IF($N639="","-",INDEX(SETUP!$B$46:$B$51,MATCH($N639,SETUP!$A$46:$A$51,1))))</f>
        <v>C</v>
      </c>
      <c r="P639" s="19">
        <f>IF($C639="","",IF($I639="","",RANK($I639,$I$4:$I$1463)+COUNTIF($I$4:$I639,$I639)-1))</f>
        <v>901</v>
      </c>
      <c r="Q639" s="19">
        <f>IF($C639="","",COUNTIFS($B$4:$B$1463,$B639,$X$4:$X$1463,"&gt;"&amp;$X639)+COUNTIFS($B$4:$B639,$B639,$X$4:$X639,"="&amp;$X639))</f>
        <v>83</v>
      </c>
      <c r="R639" s="75">
        <f>IF($C639="","",IF($I639="","",ROUND(COUNTIF($I$4:$I$1463,"&lt;"&amp;$I639)/COUNT($I$4:$I$1463),3)))</f>
        <v>0.32</v>
      </c>
      <c r="S639" s="19" t="str">
        <f>IF($C639="","",IF($G639="","Name only",IF(OR($I639="",$L639=""),"Partial","Complete")))</f>
        <v>Complete</v>
      </c>
      <c r="T639" s="1" t="str">
        <f>IF($C639="","",TRIM(IF(COUNTIF($C$4:$C$1463,$C639)&gt;1,"Dup name; ","")&amp;IF(AND($G639&lt;&gt;"",$G639&lt;55000),"Low CR - verify; ","")&amp;IF(AND($L639&lt;&gt;"",$L639&gt;15),"Secondary - verify; ","")&amp;IF($E639="","No class; ","")))</f>
        <v/>
      </c>
      <c r="U639" s="68"/>
      <c r="V639" s="68"/>
      <c r="W639" s="68"/>
      <c r="X639" s="76">
        <f t="shared" si="47"/>
        <v>2928</v>
      </c>
      <c r="Y639" s="1" t="str">
        <f t="shared" si="48"/>
        <v>UNDYING|83</v>
      </c>
      <c r="Z639" s="19">
        <f>IF($C639="","",IF($G639="","",RANK($G639,$G$4:$G$1463)+COUNTIF($G$4:$G639,$G639)-1))</f>
        <v>1158</v>
      </c>
      <c r="AA639" s="19">
        <f>IF($C639="","",IF($N639="","",RANK($N639,$N$4:$N$1463)+COUNTIF($N$4:$N639,$N639)-1))</f>
        <v>1057</v>
      </c>
      <c r="AB639" s="1" t="str">
        <f>IF($C639="","",IF($E639="","",$E639&amp;"#"&amp;(COUNTIFS($E$4:$E$1463,$E639,$X$4:$X$1463,"&gt;"&amp;$X639)+COUNTIFS($E$4:$E639,$E639,$X$4:$X639,"="&amp;$X639))))</f>
        <v>DEMON HUNTER#144</v>
      </c>
      <c r="AC639" s="1" t="str">
        <f>IF($C639="","",$B639&amp;"@"&amp;(COUNTIFS($B$4:$B$1463,$B639,$C$4:$C$1463,"&lt;"&amp;$C639)+COUNTIFS($B$4:$B639,$B639,$C$4:$C639,$C639)))</f>
        <v>UNDYING@57</v>
      </c>
      <c r="AD639" s="1">
        <f t="shared" si="49"/>
        <v>636</v>
      </c>
      <c r="AE639" s="1" t="s">
        <v>632</v>
      </c>
      <c r="AF639" s="76">
        <f t="shared" si="50"/>
        <v>60879</v>
      </c>
      <c r="AG639" s="77">
        <f t="shared" si="51"/>
        <v>3.1</v>
      </c>
      <c r="AH639" s="1" t="str">
        <f>IF($C639="","",$B639&amp;"|"&amp;(COUNTIFS($B$4:$B$1463,$B639,$AF$4:$AF$1463,"&gt;"&amp;$AF639)+COUNTIFS($B$4:$B639,$B639,$AF$4:$AF639,"="&amp;$AF639)))</f>
        <v>UNDYING|95</v>
      </c>
      <c r="AI639" s="1" t="str">
        <f>IF($C639="","",$B639&amp;"|"&amp;(COUNTIFS($B$4:$B$1463,$B639,$AG$4:$AG$1463,"&gt;"&amp;$AG639)+COUNTIFS($B$4:$B639,$B639,$AG$4:$AG639,"="&amp;$AG639)))</f>
        <v>UNDYING|96</v>
      </c>
    </row>
    <row r="640" spans="1:35" hidden="1">
      <c r="A640" s="69" t="s">
        <v>109</v>
      </c>
      <c r="B640" s="69" t="s">
        <v>117</v>
      </c>
      <c r="C640" s="63" t="s">
        <v>1648</v>
      </c>
      <c r="D640" s="69"/>
      <c r="E640" s="68" t="s">
        <v>72</v>
      </c>
      <c r="F640" s="15" t="str">
        <f>IF($C640="","",IF($E640="","-",IFERROR(INDEX(SETUP!$B$55:$B$64,MATCH($E640,SETUP!$A$55:$A$64,0)),"Other")))</f>
        <v>Frontline</v>
      </c>
      <c r="G640" s="70">
        <v>60914</v>
      </c>
      <c r="H640" s="15" t="str">
        <f>IF($C640="","",IF($G640="","-",INDEX(SETUP!$B$26:$B$32,MATCH($G640,SETUP!$A$26:$A$32,1))))</f>
        <v>60,000 - 60,999</v>
      </c>
      <c r="I640" s="70">
        <v>1680</v>
      </c>
      <c r="J640" s="15" t="str">
        <f>IF($C640="","",IF($I640="","-",INDEX(SETUP!$B$16:$B$22,MATCH($I640,SETUP!$A$16:$A$22,1))))</f>
        <v>ROOKIE</v>
      </c>
      <c r="K640" s="15" t="str">
        <f>IF($C640="","",IF($I640="","-",TEXT(INT($I640/1000)*1000,"#,##0")&amp;" - "&amp;TEXT(INT($I640/1000)*1000+999,"#,##0")))</f>
        <v>1,000 - 1,999</v>
      </c>
      <c r="L640" s="71">
        <v>2.8</v>
      </c>
      <c r="M640" s="15" t="str">
        <f>IF($C640="","",IF($L640="","-",INDEX(SETUP!$B$36:$B$42,MATCH($L640,SETUP!$A$36:$A$42,1))))</f>
        <v>Under 3k</v>
      </c>
      <c r="N640" s="17">
        <f>IF($C640="","",IF(OR($G640="",$I640=""),"",ROUND(100*(SETUP!$B$4*MIN(1,$I640/SETUP!$B$9)+SETUP!$B$5*MAX(0,MIN(1,($G640-SETUP!$B$10)/(SETUP!$B$11-SETUP!$B$10)))+SETUP!$B$6*MIN(1,IF($L640="",0,$L640)/SETUP!$B$12)),1)))</f>
        <v>27.6</v>
      </c>
      <c r="O640" s="15" t="str">
        <f>IF($C640="","",IF($N640="","-",INDEX(SETUP!$B$46:$B$51,MATCH($N640,SETUP!$A$46:$A$51,1))))</f>
        <v>C</v>
      </c>
      <c r="P640" s="15">
        <f>IF($C640="","",IF($I640="","",RANK($I640,$I$4:$I$1463)+COUNTIF($I$4:$I640,$I640)-1))</f>
        <v>1162</v>
      </c>
      <c r="Q640" s="15">
        <f>IF($C640="","",COUNTIFS($B$4:$B$1463,$B640,$X$4:$X$1463,"&gt;"&amp;$X640)+COUNTIFS($B$4:$B640,$B640,$X$4:$X640,"="&amp;$X640))</f>
        <v>59</v>
      </c>
      <c r="R640" s="72">
        <f>IF($C640="","",IF($I640="","",ROUND(COUNTIF($I$4:$I$1463,"&lt;"&amp;$I640)/COUNT($I$4:$I$1463),3)))</f>
        <v>0.122</v>
      </c>
      <c r="S640" s="15" t="str">
        <f>IF($C640="","",IF($G640="","Name only",IF(OR($I640="",$L640=""),"Partial","Complete")))</f>
        <v>Complete</v>
      </c>
      <c r="T640" s="41" t="str">
        <f>IF($C640="","",TRIM(IF(COUNTIF($C$4:$C$1463,$C640)&gt;1,"Dup name; ","")&amp;IF(AND($G640&lt;&gt;"",$G640&lt;55000),"Low CR - verify; ","")&amp;IF(AND($L640&lt;&gt;"",$L640&gt;15),"Secondary - verify; ","")&amp;IF($E640="","No class; ","")))</f>
        <v/>
      </c>
      <c r="U640" s="68"/>
      <c r="V640" s="68"/>
      <c r="W640" s="68"/>
      <c r="X640" s="73">
        <f t="shared" si="47"/>
        <v>1680</v>
      </c>
      <c r="Y640" s="41" t="str">
        <f t="shared" si="48"/>
        <v>VENDETTA|59</v>
      </c>
      <c r="Z640" s="15">
        <f>IF($C640="","",IF($G640="","",RANK($G640,$G$4:$G$1463)+COUNTIF($G$4:$G640,$G640)-1))</f>
        <v>1150</v>
      </c>
      <c r="AA640" s="15">
        <f>IF($C640="","",IF($N640="","",RANK($N640,$N$4:$N$1463)+COUNTIF($N$4:$N640,$N640)-1))</f>
        <v>1199</v>
      </c>
      <c r="AB640" s="41" t="str">
        <f>IF($C640="","",IF($E640="","",$E640&amp;"#"&amp;(COUNTIFS($E$4:$E$1463,$E640,$X$4:$X$1463,"&gt;"&amp;$X640)+COUNTIFS($E$4:$E640,$E640,$X$4:$X640,"="&amp;$X640))))</f>
        <v>BLOOD KNIGHT#80</v>
      </c>
      <c r="AC640" s="41" t="str">
        <f>IF($C640="","",$B640&amp;"@"&amp;(COUNTIFS($B$4:$B$1463,$B640,$C$4:$C$1463,"&lt;"&amp;$C640)+COUNTIFS($B$4:$B640,$B640,$C$4:$C640,$C640)))</f>
        <v>VENDETTA@46</v>
      </c>
      <c r="AD640" s="41">
        <f t="shared" si="49"/>
        <v>637</v>
      </c>
      <c r="AE640" s="41" t="s">
        <v>1458</v>
      </c>
      <c r="AF640" s="73">
        <f t="shared" si="50"/>
        <v>60914</v>
      </c>
      <c r="AG640" s="74">
        <f t="shared" si="51"/>
        <v>2.8</v>
      </c>
      <c r="AH640" s="41" t="str">
        <f>IF($C640="","",$B640&amp;"|"&amp;(COUNTIFS($B$4:$B$1463,$B640,$AF$4:$AF$1463,"&gt;"&amp;$AF640)+COUNTIFS($B$4:$B640,$B640,$AF$4:$AF640,"="&amp;$AF640)))</f>
        <v>VENDETTA|69</v>
      </c>
      <c r="AI640" s="41" t="str">
        <f>IF($C640="","",$B640&amp;"|"&amp;(COUNTIFS($B$4:$B$1463,$B640,$AG$4:$AG$1463,"&gt;"&amp;$AG640)+COUNTIFS($B$4:$B640,$B640,$AG$4:$AG640,"="&amp;$AG640)))</f>
        <v>VENDETTA|87</v>
      </c>
    </row>
    <row r="641" spans="1:35" hidden="1">
      <c r="A641" s="69" t="s">
        <v>109</v>
      </c>
      <c r="B641" s="69" t="s">
        <v>114</v>
      </c>
      <c r="C641" s="63" t="s">
        <v>1649</v>
      </c>
      <c r="D641" s="69"/>
      <c r="E641" s="68" t="s">
        <v>78</v>
      </c>
      <c r="F641" s="19" t="str">
        <f>IF($C641="","",IF($E641="","-",IFERROR(INDEX(SETUP!$B$55:$B$64,MATCH($E641,SETUP!$A$55:$A$64,0)),"Other")))</f>
        <v>Melee DPS</v>
      </c>
      <c r="G641" s="70">
        <v>58508</v>
      </c>
      <c r="H641" s="19" t="str">
        <f>IF($C641="","",IF($G641="","-",INDEX(SETUP!$B$26:$B$32,MATCH($G641,SETUP!$A$26:$A$32,1))))</f>
        <v>58,000 - 59,999</v>
      </c>
      <c r="I641" s="70">
        <v>918</v>
      </c>
      <c r="J641" s="19" t="str">
        <f>IF($C641="","",IF($I641="","-",INDEX(SETUP!$B$16:$B$22,MATCH($I641,SETUP!$A$16:$A$22,1))))</f>
        <v>ROOKIE</v>
      </c>
      <c r="K641" s="19" t="str">
        <f>IF($C641="","",IF($I641="","-",TEXT(INT($I641/1000)*1000,"#,##0")&amp;" - "&amp;TEXT(INT($I641/1000)*1000+999,"#,##0")))</f>
        <v>0 - 999</v>
      </c>
      <c r="L641" s="71">
        <v>3</v>
      </c>
      <c r="M641" s="19" t="str">
        <f>IF($C641="","",IF($L641="","-",INDEX(SETUP!$B$36:$B$42,MATCH($L641,SETUP!$A$36:$A$42,1))))</f>
        <v>3k - 4k</v>
      </c>
      <c r="N641" s="21">
        <f>IF($C641="","",IF(OR($G641="",$I641=""),"",ROUND(100*(SETUP!$B$4*MIN(1,$I641/SETUP!$B$9)+SETUP!$B$5*MAX(0,MIN(1,($G641-SETUP!$B$10)/(SETUP!$B$11-SETUP!$B$10)))+SETUP!$B$6*MIN(1,IF($L641="",0,$L641)/SETUP!$B$12)),1)))</f>
        <v>18.2</v>
      </c>
      <c r="O641" s="19" t="str">
        <f>IF($C641="","",IF($N641="","-",INDEX(SETUP!$B$46:$B$51,MATCH($N641,SETUP!$A$46:$A$51,1))))</f>
        <v>D</v>
      </c>
      <c r="P641" s="19">
        <f>IF($C641="","",IF($I641="","",RANK($I641,$I$4:$I$1463)+COUNTIF($I$4:$I641,$I641)-1))</f>
        <v>1284</v>
      </c>
      <c r="Q641" s="19">
        <f>IF($C641="","",COUNTIFS($B$4:$B$1463,$B641,$X$4:$X$1463,"&gt;"&amp;$X641)+COUNTIFS($B$4:$B641,$B641,$X$4:$X641,"="&amp;$X641))</f>
        <v>87</v>
      </c>
      <c r="R641" s="75">
        <f>IF($C641="","",IF($I641="","",ROUND(COUNTIF($I$4:$I$1463,"&lt;"&amp;$I641)/COUNT($I$4:$I$1463),3)))</f>
        <v>3.1E-2</v>
      </c>
      <c r="S641" s="19" t="str">
        <f>IF($C641="","",IF($G641="","Name only",IF(OR($I641="",$L641=""),"Partial","Complete")))</f>
        <v>Complete</v>
      </c>
      <c r="T641" s="1" t="str">
        <f>IF($C641="","",TRIM(IF(COUNTIF($C$4:$C$1463,$C641)&gt;1,"Dup name; ","")&amp;IF(AND($G641&lt;&gt;"",$G641&lt;55000),"Low CR - verify; ","")&amp;IF(AND($L641&lt;&gt;"",$L641&gt;15),"Secondary - verify; ","")&amp;IF($E641="","No class; ","")))</f>
        <v/>
      </c>
      <c r="U641" s="68"/>
      <c r="V641" s="68"/>
      <c r="W641" s="68"/>
      <c r="X641" s="76">
        <f t="shared" si="47"/>
        <v>918</v>
      </c>
      <c r="Y641" s="1" t="str">
        <f t="shared" si="48"/>
        <v>EMERALD LEAF TRIBE|87</v>
      </c>
      <c r="Z641" s="19">
        <f>IF($C641="","",IF($G641="","",RANK($G641,$G$4:$G$1463)+COUNTIF($G$4:$G641,$G641)-1))</f>
        <v>1288</v>
      </c>
      <c r="AA641" s="19">
        <f>IF($C641="","",IF($N641="","",RANK($N641,$N$4:$N$1463)+COUNTIF($N$4:$N641,$N641)-1))</f>
        <v>1300</v>
      </c>
      <c r="AB641" s="1" t="str">
        <f>IF($C641="","",IF($E641="","",$E641&amp;"#"&amp;(COUNTIFS($E$4:$E$1463,$E641,$X$4:$X$1463,"&gt;"&amp;$X641)+COUNTIFS($E$4:$E641,$E641,$X$4:$X641,"="&amp;$X641))))</f>
        <v>TEMPEST#62</v>
      </c>
      <c r="AC641" s="1" t="str">
        <f>IF($C641="","",$B641&amp;"@"&amp;(COUNTIFS($B$4:$B$1463,$B641,$C$4:$C$1463,"&lt;"&amp;$C641)+COUNTIFS($B$4:$B641,$B641,$C$4:$C641,$C641)))</f>
        <v>EMERALD LEAF TRIBE@45</v>
      </c>
      <c r="AD641" s="1">
        <f t="shared" si="49"/>
        <v>638</v>
      </c>
      <c r="AE641" s="1" t="s">
        <v>611</v>
      </c>
      <c r="AF641" s="76">
        <f t="shared" si="50"/>
        <v>58508</v>
      </c>
      <c r="AG641" s="77">
        <f t="shared" si="51"/>
        <v>3</v>
      </c>
      <c r="AH641" s="1" t="str">
        <f>IF($C641="","",$B641&amp;"|"&amp;(COUNTIFS($B$4:$B$1463,$B641,$AF$4:$AF$1463,"&gt;"&amp;$AF641)+COUNTIFS($B$4:$B641,$B641,$AF$4:$AF641,"="&amp;$AF641)))</f>
        <v>EMERALD LEAF TRIBE|86</v>
      </c>
      <c r="AI641" s="1" t="str">
        <f>IF($C641="","",$B641&amp;"|"&amp;(COUNTIFS($B$4:$B$1463,$B641,$AG$4:$AG$1463,"&gt;"&amp;$AG641)+COUNTIFS($B$4:$B641,$B641,$AG$4:$AG641,"="&amp;$AG641)))</f>
        <v>EMERALD LEAF TRIBE|79</v>
      </c>
    </row>
    <row r="642" spans="1:35" hidden="1">
      <c r="A642" s="69" t="s">
        <v>109</v>
      </c>
      <c r="B642" s="69" t="s">
        <v>117</v>
      </c>
      <c r="C642" s="63" t="s">
        <v>1650</v>
      </c>
      <c r="D642" s="69"/>
      <c r="E642" s="68" t="s">
        <v>79</v>
      </c>
      <c r="F642" s="15" t="str">
        <f>IF($C642="","",IF($E642="","-",IFERROR(INDEX(SETUP!$B$55:$B$64,MATCH($E642,SETUP!$A$55:$A$64,0)),"Other")))</f>
        <v>Control</v>
      </c>
      <c r="G642" s="70">
        <v>61388</v>
      </c>
      <c r="H642" s="15" t="str">
        <f>IF($C642="","",IF($G642="","-",INDEX(SETUP!$B$26:$B$32,MATCH($G642,SETUP!$A$26:$A$32,1))))</f>
        <v>61,000 - 61,999</v>
      </c>
      <c r="I642" s="70">
        <v>2397</v>
      </c>
      <c r="J642" s="15" t="str">
        <f>IF($C642="","",IF($I642="","-",INDEX(SETUP!$B$16:$B$22,MATCH($I642,SETUP!$A$16:$A$22,1))))</f>
        <v>DEVELOPING</v>
      </c>
      <c r="K642" s="15" t="str">
        <f>IF($C642="","",IF($I642="","-",TEXT(INT($I642/1000)*1000,"#,##0")&amp;" - "&amp;TEXT(INT($I642/1000)*1000+999,"#,##0")))</f>
        <v>2,000 - 2,999</v>
      </c>
      <c r="L642" s="71">
        <v>4.2</v>
      </c>
      <c r="M642" s="15" t="str">
        <f>IF($C642="","",IF($L642="","-",INDEX(SETUP!$B$36:$B$42,MATCH($L642,SETUP!$A$36:$A$42,1))))</f>
        <v>4k - 5k</v>
      </c>
      <c r="N642" s="17">
        <f>IF($C642="","",IF(OR($G642="",$I642=""),"",ROUND(100*(SETUP!$B$4*MIN(1,$I642/SETUP!$B$9)+SETUP!$B$5*MAX(0,MIN(1,($G642-SETUP!$B$10)/(SETUP!$B$11-SETUP!$B$10)))+SETUP!$B$6*MIN(1,IF($L642="",0,$L642)/SETUP!$B$12)),1)))</f>
        <v>34.299999999999997</v>
      </c>
      <c r="O642" s="15" t="str">
        <f>IF($C642="","",IF($N642="","-",INDEX(SETUP!$B$46:$B$51,MATCH($N642,SETUP!$A$46:$A$51,1))))</f>
        <v>C</v>
      </c>
      <c r="P642" s="15">
        <f>IF($C642="","",IF($I642="","",RANK($I642,$I$4:$I$1463)+COUNTIF($I$4:$I642,$I642)-1))</f>
        <v>1030</v>
      </c>
      <c r="Q642" s="15">
        <f>IF($C642="","",COUNTIFS($B$4:$B$1463,$B642,$X$4:$X$1463,"&gt;"&amp;$X642)+COUNTIFS($B$4:$B642,$B642,$X$4:$X642,"="&amp;$X642))</f>
        <v>34</v>
      </c>
      <c r="R642" s="72">
        <f>IF($C642="","",IF($I642="","",ROUND(COUNTIF($I$4:$I$1463,"&lt;"&amp;$I642)/COUNT($I$4:$I$1463),3)))</f>
        <v>0.223</v>
      </c>
      <c r="S642" s="15" t="str">
        <f>IF($C642="","",IF($G642="","Name only",IF(OR($I642="",$L642=""),"Partial","Complete")))</f>
        <v>Complete</v>
      </c>
      <c r="T642" s="41" t="str">
        <f>IF($C642="","",TRIM(IF(COUNTIF($C$4:$C$1463,$C642)&gt;1,"Dup name; ","")&amp;IF(AND($G642&lt;&gt;"",$G642&lt;55000),"Low CR - verify; ","")&amp;IF(AND($L642&lt;&gt;"",$L642&gt;15),"Secondary - verify; ","")&amp;IF($E642="","No class; ","")))</f>
        <v/>
      </c>
      <c r="U642" s="68"/>
      <c r="V642" s="68"/>
      <c r="W642" s="68"/>
      <c r="X642" s="73">
        <f t="shared" si="47"/>
        <v>2397</v>
      </c>
      <c r="Y642" s="41" t="str">
        <f t="shared" si="48"/>
        <v>VENDETTA|34</v>
      </c>
      <c r="Z642" s="15">
        <f>IF($C642="","",IF($G642="","",RANK($G642,$G$4:$G$1463)+COUNTIF($G$4:$G642,$G642)-1))</f>
        <v>1036</v>
      </c>
      <c r="AA642" s="15">
        <f>IF($C642="","",IF($N642="","",RANK($N642,$N$4:$N$1463)+COUNTIF($N$4:$N642,$N642)-1))</f>
        <v>1034</v>
      </c>
      <c r="AB642" s="41" t="str">
        <f>IF($C642="","",IF($E642="","",$E642&amp;"#"&amp;(COUNTIFS($E$4:$E$1463,$E642,$X$4:$X$1463,"&gt;"&amp;$X642)+COUNTIFS($E$4:$E642,$E642,$X$4:$X642,"="&amp;$X642))))</f>
        <v>WARLOCK#258</v>
      </c>
      <c r="AC642" s="41" t="str">
        <f>IF($C642="","",$B642&amp;"@"&amp;(COUNTIFS($B$4:$B$1463,$B642,$C$4:$C$1463,"&lt;"&amp;$C642)+COUNTIFS($B$4:$B642,$B642,$C$4:$C642,$C642)))</f>
        <v>VENDETTA@47</v>
      </c>
      <c r="AD642" s="41">
        <f t="shared" si="49"/>
        <v>639</v>
      </c>
      <c r="AE642" s="41" t="s">
        <v>1651</v>
      </c>
      <c r="AF642" s="73">
        <f t="shared" si="50"/>
        <v>61388</v>
      </c>
      <c r="AG642" s="74">
        <f t="shared" si="51"/>
        <v>4.2</v>
      </c>
      <c r="AH642" s="41" t="str">
        <f>IF($C642="","",$B642&amp;"|"&amp;(COUNTIFS($B$4:$B$1463,$B642,$AF$4:$AF$1463,"&gt;"&amp;$AF642)+COUNTIFS($B$4:$B642,$B642,$AF$4:$AF642,"="&amp;$AF642)))</f>
        <v>VENDETTA|54</v>
      </c>
      <c r="AI642" s="41" t="str">
        <f>IF($C642="","",$B642&amp;"|"&amp;(COUNTIFS($B$4:$B$1463,$B642,$AG$4:$AG$1463,"&gt;"&amp;$AG642)+COUNTIFS($B$4:$B642,$B642,$AG$4:$AG642,"="&amp;$AG642)))</f>
        <v>VENDETTA|28</v>
      </c>
    </row>
    <row r="643" spans="1:35" hidden="1">
      <c r="A643" s="69" t="s">
        <v>109</v>
      </c>
      <c r="B643" s="69" t="s">
        <v>110</v>
      </c>
      <c r="C643" s="63" t="s">
        <v>1652</v>
      </c>
      <c r="D643" s="69"/>
      <c r="E643" s="68" t="s">
        <v>71</v>
      </c>
      <c r="F643" s="19" t="str">
        <f>IF($C643="","",IF($E643="","-",IFERROR(INDEX(SETUP!$B$55:$B$64,MATCH($E643,SETUP!$A$55:$A$64,0)),"Other")))</f>
        <v>Frontline</v>
      </c>
      <c r="G643" s="70">
        <v>62102</v>
      </c>
      <c r="H643" s="19" t="str">
        <f>IF($C643="","",IF($G643="","-",INDEX(SETUP!$B$26:$B$32,MATCH($G643,SETUP!$A$26:$A$32,1))))</f>
        <v>62,000 - 62,999</v>
      </c>
      <c r="I643" s="70">
        <v>3410</v>
      </c>
      <c r="J643" s="19" t="str">
        <f>IF($C643="","",IF($I643="","-",INDEX(SETUP!$B$16:$B$22,MATCH($I643,SETUP!$A$16:$A$22,1))))</f>
        <v>DEVELOPING</v>
      </c>
      <c r="K643" s="19" t="str">
        <f>IF($C643="","",IF($I643="","-",TEXT(INT($I643/1000)*1000,"#,##0")&amp;" - "&amp;TEXT(INT($I643/1000)*1000+999,"#,##0")))</f>
        <v>3,000 - 3,999</v>
      </c>
      <c r="L643" s="71">
        <v>4.55</v>
      </c>
      <c r="M643" s="19" t="str">
        <f>IF($C643="","",IF($L643="","-",INDEX(SETUP!$B$36:$B$42,MATCH($L643,SETUP!$A$36:$A$42,1))))</f>
        <v>4k - 5k</v>
      </c>
      <c r="N643" s="21">
        <f>IF($C643="","",IF(OR($G643="",$I643=""),"",ROUND(100*(SETUP!$B$4*MIN(1,$I643/SETUP!$B$9)+SETUP!$B$5*MAX(0,MIN(1,($G643-SETUP!$B$10)/(SETUP!$B$11-SETUP!$B$10)))+SETUP!$B$6*MIN(1,IF($L643="",0,$L643)/SETUP!$B$12)),1)))</f>
        <v>41.2</v>
      </c>
      <c r="O643" s="19" t="str">
        <f>IF($C643="","",IF($N643="","-",INDEX(SETUP!$B$46:$B$51,MATCH($N643,SETUP!$A$46:$A$51,1))))</f>
        <v>B</v>
      </c>
      <c r="P643" s="19">
        <f>IF($C643="","",IF($I643="","",RANK($I643,$I$4:$I$1463)+COUNTIF($I$4:$I643,$I643)-1))</f>
        <v>754</v>
      </c>
      <c r="Q643" s="19">
        <f>IF($C643="","",COUNTIFS($B$4:$B$1463,$B643,$X$4:$X$1463,"&gt;"&amp;$X643)+COUNTIFS($B$4:$B643,$B643,$X$4:$X643,"="&amp;$X643))</f>
        <v>77</v>
      </c>
      <c r="R643" s="75">
        <f>IF($C643="","",IF($I643="","",ROUND(COUNTIF($I$4:$I$1463,"&lt;"&amp;$I643)/COUNT($I$4:$I$1463),3)))</f>
        <v>0.43099999999999999</v>
      </c>
      <c r="S643" s="19" t="str">
        <f>IF($C643="","",IF($G643="","Name only",IF(OR($I643="",$L643=""),"Partial","Complete")))</f>
        <v>Complete</v>
      </c>
      <c r="T643" s="1" t="str">
        <f>IF($C643="","",TRIM(IF(COUNTIF($C$4:$C$1463,$C643)&gt;1,"Dup name; ","")&amp;IF(AND($G643&lt;&gt;"",$G643&lt;55000),"Low CR - verify; ","")&amp;IF(AND($L643&lt;&gt;"",$L643&gt;15),"Secondary - verify; ","")&amp;IF($E643="","No class; ","")))</f>
        <v/>
      </c>
      <c r="U643" s="68"/>
      <c r="V643" s="68"/>
      <c r="W643" s="68"/>
      <c r="X643" s="76">
        <f t="shared" si="47"/>
        <v>3410</v>
      </c>
      <c r="Y643" s="1" t="str">
        <f t="shared" si="48"/>
        <v>AZUKI|77</v>
      </c>
      <c r="Z643" s="19">
        <f>IF($C643="","",IF($G643="","",RANK($G643,$G$4:$G$1463)+COUNTIF($G$4:$G643,$G643)-1))</f>
        <v>799</v>
      </c>
      <c r="AA643" s="19">
        <f>IF($C643="","",IF($N643="","",RANK($N643,$N$4:$N$1463)+COUNTIF($N$4:$N643,$N643)-1))</f>
        <v>766</v>
      </c>
      <c r="AB643" s="1" t="str">
        <f>IF($C643="","",IF($E643="","",$E643&amp;"#"&amp;(COUNTIFS($E$4:$E$1463,$E643,$X$4:$X$1463,"&gt;"&amp;$X643)+COUNTIFS($E$4:$E643,$E643,$X$4:$X643,"="&amp;$X643))))</f>
        <v>BARBARIAN#131</v>
      </c>
      <c r="AC643" s="1" t="str">
        <f>IF($C643="","",$B643&amp;"@"&amp;(COUNTIFS($B$4:$B$1463,$B643,$C$4:$C$1463,"&lt;"&amp;$C643)+COUNTIFS($B$4:$B643,$B643,$C$4:$C643,$C643)))</f>
        <v>AZUKI@53</v>
      </c>
      <c r="AD643" s="1">
        <f t="shared" si="49"/>
        <v>640</v>
      </c>
      <c r="AE643" s="1" t="s">
        <v>1653</v>
      </c>
      <c r="AF643" s="76">
        <f t="shared" si="50"/>
        <v>62102</v>
      </c>
      <c r="AG643" s="77">
        <f t="shared" si="51"/>
        <v>4.55</v>
      </c>
      <c r="AH643" s="1" t="str">
        <f>IF($C643="","",$B643&amp;"|"&amp;(COUNTIFS($B$4:$B$1463,$B643,$AF$4:$AF$1463,"&gt;"&amp;$AF643)+COUNTIFS($B$4:$B643,$B643,$AF$4:$AF643,"="&amp;$AF643)))</f>
        <v>AZUKI|74</v>
      </c>
      <c r="AI643" s="1" t="str">
        <f>IF($C643="","",$B643&amp;"|"&amp;(COUNTIFS($B$4:$B$1463,$B643,$AG$4:$AG$1463,"&gt;"&amp;$AG643)+COUNTIFS($B$4:$B643,$B643,$AG$4:$AG643,"="&amp;$AG643)))</f>
        <v>AZUKI|78</v>
      </c>
    </row>
    <row r="644" spans="1:35" hidden="1">
      <c r="A644" s="69" t="s">
        <v>109</v>
      </c>
      <c r="B644" s="69" t="s">
        <v>113</v>
      </c>
      <c r="C644" s="63" t="s">
        <v>1654</v>
      </c>
      <c r="D644" s="69" t="s">
        <v>548</v>
      </c>
      <c r="E644" s="68" t="s">
        <v>79</v>
      </c>
      <c r="F644" s="15" t="str">
        <f>IF($C644="","",IF($E644="","-",IFERROR(INDEX(SETUP!$B$55:$B$64,MATCH($E644,SETUP!$A$55:$A$64,0)),"Other")))</f>
        <v>Control</v>
      </c>
      <c r="G644" s="70">
        <v>61446</v>
      </c>
      <c r="H644" s="15" t="str">
        <f>IF($C644="","",IF($G644="","-",INDEX(SETUP!$B$26:$B$32,MATCH($G644,SETUP!$A$26:$A$32,1))))</f>
        <v>61,000 - 61,999</v>
      </c>
      <c r="I644" s="70">
        <v>3325</v>
      </c>
      <c r="J644" s="15" t="str">
        <f>IF($C644="","",IF($I644="","-",INDEX(SETUP!$B$16:$B$22,MATCH($I644,SETUP!$A$16:$A$22,1))))</f>
        <v>DEVELOPING</v>
      </c>
      <c r="K644" s="15" t="str">
        <f>IF($C644="","",IF($I644="","-",TEXT(INT($I644/1000)*1000,"#,##0")&amp;" - "&amp;TEXT(INT($I644/1000)*1000+999,"#,##0")))</f>
        <v>3,000 - 3,999</v>
      </c>
      <c r="L644" s="71">
        <v>4.2</v>
      </c>
      <c r="M644" s="15" t="str">
        <f>IF($C644="","",IF($L644="","-",INDEX(SETUP!$B$36:$B$42,MATCH($L644,SETUP!$A$36:$A$42,1))))</f>
        <v>4k - 5k</v>
      </c>
      <c r="N644" s="17">
        <f>IF($C644="","",IF(OR($G644="",$I644=""),"",ROUND(100*(SETUP!$B$4*MIN(1,$I644/SETUP!$B$9)+SETUP!$B$5*MAX(0,MIN(1,($G644-SETUP!$B$10)/(SETUP!$B$11-SETUP!$B$10)))+SETUP!$B$6*MIN(1,IF($L644="",0,$L644)/SETUP!$B$12)),1)))</f>
        <v>38.5</v>
      </c>
      <c r="O644" s="15" t="str">
        <f>IF($C644="","",IF($N644="","-",INDEX(SETUP!$B$46:$B$51,MATCH($N644,SETUP!$A$46:$A$51,1))))</f>
        <v>B</v>
      </c>
      <c r="P644" s="15">
        <f>IF($C644="","",IF($I644="","",RANK($I644,$I$4:$I$1463)+COUNTIF($I$4:$I644,$I644)-1))</f>
        <v>781</v>
      </c>
      <c r="Q644" s="15">
        <f>IF($C644="","",COUNTIFS($B$4:$B$1463,$B644,$X$4:$X$1463,"&gt;"&amp;$X644)+COUNTIFS($B$4:$B644,$B644,$X$4:$X644,"="&amp;$X644))</f>
        <v>40</v>
      </c>
      <c r="R644" s="72">
        <f>IF($C644="","",IF($I644="","",ROUND(COUNTIF($I$4:$I$1463,"&lt;"&amp;$I644)/COUNT($I$4:$I$1463),3)))</f>
        <v>0.41099999999999998</v>
      </c>
      <c r="S644" s="15" t="str">
        <f>IF($C644="","",IF($G644="","Name only",IF(OR($I644="",$L644=""),"Partial","Complete")))</f>
        <v>Complete</v>
      </c>
      <c r="T644" s="41" t="str">
        <f>IF($C644="","",TRIM(IF(COUNTIF($C$4:$C$1463,$C644)&gt;1,"Dup name; ","")&amp;IF(AND($G644&lt;&gt;"",$G644&lt;55000),"Low CR - verify; ","")&amp;IF(AND($L644&lt;&gt;"",$L644&gt;15),"Secondary - verify; ","")&amp;IF($E644="","No class; ","")))</f>
        <v/>
      </c>
      <c r="U644" s="68"/>
      <c r="V644" s="68"/>
      <c r="W644" s="68"/>
      <c r="X644" s="73">
        <f t="shared" ref="X644:X707" si="52">IF($C644="","",IF($I644="",-1,$I644))</f>
        <v>3325</v>
      </c>
      <c r="Y644" s="41" t="str">
        <f t="shared" ref="Y644:Y707" si="53">IF($C644="","",$B644&amp;"|"&amp;$Q644)</f>
        <v>INVICTUS|40</v>
      </c>
      <c r="Z644" s="15">
        <f>IF($C644="","",IF($G644="","",RANK($G644,$G$4:$G$1463)+COUNTIF($G$4:$G644,$G644)-1))</f>
        <v>1015</v>
      </c>
      <c r="AA644" s="15">
        <f>IF($C644="","",IF($N644="","",RANK($N644,$N$4:$N$1463)+COUNTIF($N$4:$N644,$N644)-1))</f>
        <v>882</v>
      </c>
      <c r="AB644" s="41" t="str">
        <f>IF($C644="","",IF($E644="","",$E644&amp;"#"&amp;(COUNTIFS($E$4:$E$1463,$E644,$X$4:$X$1463,"&gt;"&amp;$X644)+COUNTIFS($E$4:$E644,$E644,$X$4:$X644,"="&amp;$X644))))</f>
        <v>WARLOCK#190</v>
      </c>
      <c r="AC644" s="41" t="str">
        <f>IF($C644="","",$B644&amp;"@"&amp;(COUNTIFS($B$4:$B$1463,$B644,$C$4:$C$1463,"&lt;"&amp;$C644)+COUNTIFS($B$4:$B644,$B644,$C$4:$C644,$C644)))</f>
        <v>INVICTUS@42</v>
      </c>
      <c r="AD644" s="41">
        <f t="shared" ref="AD644:AD707" si="54">IF($C644="","",ROW()-4+1)</f>
        <v>641</v>
      </c>
      <c r="AE644" s="41" t="s">
        <v>1655</v>
      </c>
      <c r="AF644" s="73">
        <f t="shared" ref="AF644:AF707" si="55">IF($C644="","",IF($G644="",-1,$G644))</f>
        <v>61446</v>
      </c>
      <c r="AG644" s="74">
        <f t="shared" ref="AG644:AG707" si="56">IF($C644="","",IF($L644="",-1,$L644))</f>
        <v>4.2</v>
      </c>
      <c r="AH644" s="41" t="str">
        <f>IF($C644="","",$B644&amp;"|"&amp;(COUNTIFS($B$4:$B$1463,$B644,$AF$4:$AF$1463,"&gt;"&amp;$AF644)+COUNTIFS($B$4:$B644,$B644,$AF$4:$AF644,"="&amp;$AF644)))</f>
        <v>INVICTUS|71</v>
      </c>
      <c r="AI644" s="41" t="str">
        <f>IF($C644="","",$B644&amp;"|"&amp;(COUNTIFS($B$4:$B$1463,$B644,$AG$4:$AG$1463,"&gt;"&amp;$AG644)+COUNTIFS($B$4:$B644,$B644,$AG$4:$AG644,"="&amp;$AG644)))</f>
        <v>INVICTUS|54</v>
      </c>
    </row>
    <row r="645" spans="1:35" hidden="1">
      <c r="A645" s="69" t="s">
        <v>109</v>
      </c>
      <c r="B645" s="69" t="s">
        <v>113</v>
      </c>
      <c r="C645" s="63" t="s">
        <v>1656</v>
      </c>
      <c r="D645" s="69" t="s">
        <v>548</v>
      </c>
      <c r="E645" s="68" t="s">
        <v>74</v>
      </c>
      <c r="F645" s="19" t="str">
        <f>IF($C645="","",IF($E645="","-",IFERROR(INDEX(SETUP!$B$55:$B$64,MATCH($E645,SETUP!$A$55:$A$64,0)),"Other")))</f>
        <v>Ranged DPS</v>
      </c>
      <c r="G645" s="70">
        <v>63051</v>
      </c>
      <c r="H645" s="19" t="str">
        <f>IF($C645="","",IF($G645="","-",INDEX(SETUP!$B$26:$B$32,MATCH($G645,SETUP!$A$26:$A$32,1))))</f>
        <v>63,000 - 63,999</v>
      </c>
      <c r="I645" s="70">
        <v>7327</v>
      </c>
      <c r="J645" s="19" t="str">
        <f>IF($C645="","",IF($I645="","-",INDEX(SETUP!$B$16:$B$22,MATCH($I645,SETUP!$A$16:$A$22,1))))</f>
        <v>VETERAN</v>
      </c>
      <c r="K645" s="19" t="str">
        <f>IF($C645="","",IF($I645="","-",TEXT(INT($I645/1000)*1000,"#,##0")&amp;" - "&amp;TEXT(INT($I645/1000)*1000+999,"#,##0")))</f>
        <v>7,000 - 7,999</v>
      </c>
      <c r="L645" s="71">
        <v>5</v>
      </c>
      <c r="M645" s="19" t="str">
        <f>IF($C645="","",IF($L645="","-",INDEX(SETUP!$B$36:$B$42,MATCH($L645,SETUP!$A$36:$A$42,1))))</f>
        <v>5k - 6k</v>
      </c>
      <c r="N645" s="21">
        <f>IF($C645="","",IF(OR($G645="",$I645=""),"",ROUND(100*(SETUP!$B$4*MIN(1,$I645/SETUP!$B$9)+SETUP!$B$5*MAX(0,MIN(1,($G645-SETUP!$B$10)/(SETUP!$B$11-SETUP!$B$10)))+SETUP!$B$6*MIN(1,IF($L645="",0,$L645)/SETUP!$B$12)),1)))</f>
        <v>61.5</v>
      </c>
      <c r="O645" s="19" t="str">
        <f>IF($C645="","",IF($N645="","-",INDEX(SETUP!$B$46:$B$51,MATCH($N645,SETUP!$A$46:$A$51,1))))</f>
        <v>A</v>
      </c>
      <c r="P645" s="19">
        <f>IF($C645="","",IF($I645="","",RANK($I645,$I$4:$I$1463)+COUNTIF($I$4:$I645,$I645)-1))</f>
        <v>191</v>
      </c>
      <c r="Q645" s="19">
        <f>IF($C645="","",COUNTIFS($B$4:$B$1463,$B645,$X$4:$X$1463,"&gt;"&amp;$X645)+COUNTIFS($B$4:$B645,$B645,$X$4:$X645,"="&amp;$X645))</f>
        <v>5</v>
      </c>
      <c r="R645" s="75">
        <f>IF($C645="","",IF($I645="","",ROUND(COUNTIF($I$4:$I$1463,"&lt;"&amp;$I645)/COUNT($I$4:$I$1463),3)))</f>
        <v>0.85599999999999998</v>
      </c>
      <c r="S645" s="19" t="str">
        <f>IF($C645="","",IF($G645="","Name only",IF(OR($I645="",$L645=""),"Partial","Complete")))</f>
        <v>Complete</v>
      </c>
      <c r="T645" s="1" t="str">
        <f>IF($C645="","",TRIM(IF(COUNTIF($C$4:$C$1463,$C645)&gt;1,"Dup name; ","")&amp;IF(AND($G645&lt;&gt;"",$G645&lt;55000),"Low CR - verify; ","")&amp;IF(AND($L645&lt;&gt;"",$L645&gt;15),"Secondary - verify; ","")&amp;IF($E645="","No class; ","")))</f>
        <v/>
      </c>
      <c r="U645" s="68"/>
      <c r="V645" s="68"/>
      <c r="W645" s="68"/>
      <c r="X645" s="76">
        <f t="shared" si="52"/>
        <v>7327</v>
      </c>
      <c r="Y645" s="1" t="str">
        <f t="shared" si="53"/>
        <v>INVICTUS|5</v>
      </c>
      <c r="Z645" s="19">
        <f>IF($C645="","",IF($G645="","",RANK($G645,$G$4:$G$1463)+COUNTIF($G$4:$G645,$G645)-1))</f>
        <v>401</v>
      </c>
      <c r="AA645" s="19">
        <f>IF($C645="","",IF($N645="","",RANK($N645,$N$4:$N$1463)+COUNTIF($N$4:$N645,$N645)-1))</f>
        <v>221</v>
      </c>
      <c r="AB645" s="1" t="str">
        <f>IF($C645="","",IF($E645="","",$E645&amp;"#"&amp;(COUNTIFS($E$4:$E$1463,$E645,$X$4:$X$1463,"&gt;"&amp;$X645)+COUNTIFS($E$4:$E645,$E645,$X$4:$X645,"="&amp;$X645))))</f>
        <v>DEMON HUNTER#35</v>
      </c>
      <c r="AC645" s="1" t="str">
        <f>IF($C645="","",$B645&amp;"@"&amp;(COUNTIFS($B$4:$B$1463,$B645,$C$4:$C$1463,"&lt;"&amp;$C645)+COUNTIFS($B$4:$B645,$B645,$C$4:$C645,$C645)))</f>
        <v>INVICTUS@45</v>
      </c>
      <c r="AD645" s="1">
        <f t="shared" si="54"/>
        <v>642</v>
      </c>
      <c r="AE645" s="1" t="s">
        <v>1657</v>
      </c>
      <c r="AF645" s="76">
        <f t="shared" si="55"/>
        <v>63051</v>
      </c>
      <c r="AG645" s="77">
        <f t="shared" si="56"/>
        <v>5</v>
      </c>
      <c r="AH645" s="1" t="str">
        <f>IF($C645="","",$B645&amp;"|"&amp;(COUNTIFS($B$4:$B$1463,$B645,$AF$4:$AF$1463,"&gt;"&amp;$AF645)+COUNTIFS($B$4:$B645,$B645,$AF$4:$AF645,"="&amp;$AF645)))</f>
        <v>INVICTUS|20</v>
      </c>
      <c r="AI645" s="1" t="str">
        <f>IF($C645="","",$B645&amp;"|"&amp;(COUNTIFS($B$4:$B$1463,$B645,$AG$4:$AG$1463,"&gt;"&amp;$AG645)+COUNTIFS($B$4:$B645,$B645,$AG$4:$AG645,"="&amp;$AG645)))</f>
        <v>INVICTUS|28</v>
      </c>
    </row>
    <row r="646" spans="1:35" hidden="1">
      <c r="A646" s="69" t="s">
        <v>109</v>
      </c>
      <c r="B646" s="69" t="s">
        <v>117</v>
      </c>
      <c r="C646" s="63" t="s">
        <v>1658</v>
      </c>
      <c r="D646" s="69"/>
      <c r="E646" s="68" t="s">
        <v>71</v>
      </c>
      <c r="F646" s="15" t="str">
        <f>IF($C646="","",IF($E646="","-",IFERROR(INDEX(SETUP!$B$55:$B$64,MATCH($E646,SETUP!$A$55:$A$64,0)),"Other")))</f>
        <v>Frontline</v>
      </c>
      <c r="G646" s="70">
        <v>62235</v>
      </c>
      <c r="H646" s="15" t="str">
        <f>IF($C646="","",IF($G646="","-",INDEX(SETUP!$B$26:$B$32,MATCH($G646,SETUP!$A$26:$A$32,1))))</f>
        <v>62,000 - 62,999</v>
      </c>
      <c r="I646" s="70">
        <v>2220</v>
      </c>
      <c r="J646" s="15" t="str">
        <f>IF($C646="","",IF($I646="","-",INDEX(SETUP!$B$16:$B$22,MATCH($I646,SETUP!$A$16:$A$22,1))))</f>
        <v>DEVELOPING</v>
      </c>
      <c r="K646" s="15" t="str">
        <f>IF($C646="","",IF($I646="","-",TEXT(INT($I646/1000)*1000,"#,##0")&amp;" - "&amp;TEXT(INT($I646/1000)*1000+999,"#,##0")))</f>
        <v>2,000 - 2,999</v>
      </c>
      <c r="L646" s="71">
        <v>3.4</v>
      </c>
      <c r="M646" s="15" t="str">
        <f>IF($C646="","",IF($L646="","-",INDEX(SETUP!$B$36:$B$42,MATCH($L646,SETUP!$A$36:$A$42,1))))</f>
        <v>3k - 4k</v>
      </c>
      <c r="N646" s="17">
        <f>IF($C646="","",IF(OR($G646="",$I646=""),"",ROUND(100*(SETUP!$B$4*MIN(1,$I646/SETUP!$B$9)+SETUP!$B$5*MAX(0,MIN(1,($G646-SETUP!$B$10)/(SETUP!$B$11-SETUP!$B$10)))+SETUP!$B$6*MIN(1,IF($L646="",0,$L646)/SETUP!$B$12)),1)))</f>
        <v>34.4</v>
      </c>
      <c r="O646" s="15" t="str">
        <f>IF($C646="","",IF($N646="","-",INDEX(SETUP!$B$46:$B$51,MATCH($N646,SETUP!$A$46:$A$51,1))))</f>
        <v>C</v>
      </c>
      <c r="P646" s="15">
        <f>IF($C646="","",IF($I646="","",RANK($I646,$I$4:$I$1463)+COUNTIF($I$4:$I646,$I646)-1))</f>
        <v>1061</v>
      </c>
      <c r="Q646" s="15">
        <f>IF($C646="","",COUNTIFS($B$4:$B$1463,$B646,$X$4:$X$1463,"&gt;"&amp;$X646)+COUNTIFS($B$4:$B646,$B646,$X$4:$X646,"="&amp;$X646))</f>
        <v>39</v>
      </c>
      <c r="R646" s="72">
        <f>IF($C646="","",IF($I646="","",ROUND(COUNTIF($I$4:$I$1463,"&lt;"&amp;$I646)/COUNT($I$4:$I$1463),3)))</f>
        <v>0.19900000000000001</v>
      </c>
      <c r="S646" s="15" t="str">
        <f>IF($C646="","",IF($G646="","Name only",IF(OR($I646="",$L646=""),"Partial","Complete")))</f>
        <v>Complete</v>
      </c>
      <c r="T646" s="41" t="str">
        <f>IF($C646="","",TRIM(IF(COUNTIF($C$4:$C$1463,$C646)&gt;1,"Dup name; ","")&amp;IF(AND($G646&lt;&gt;"",$G646&lt;55000),"Low CR - verify; ","")&amp;IF(AND($L646&lt;&gt;"",$L646&gt;15),"Secondary - verify; ","")&amp;IF($E646="","No class; ","")))</f>
        <v/>
      </c>
      <c r="U646" s="68"/>
      <c r="V646" s="68"/>
      <c r="W646" s="68"/>
      <c r="X646" s="73">
        <f t="shared" si="52"/>
        <v>2220</v>
      </c>
      <c r="Y646" s="41" t="str">
        <f t="shared" si="53"/>
        <v>VENDETTA|39</v>
      </c>
      <c r="Z646" s="15">
        <f>IF($C646="","",IF($G646="","",RANK($G646,$G$4:$G$1463)+COUNTIF($G$4:$G646,$G646)-1))</f>
        <v>749</v>
      </c>
      <c r="AA646" s="15">
        <f>IF($C646="","",IF($N646="","",RANK($N646,$N$4:$N$1463)+COUNTIF($N$4:$N646,$N646)-1))</f>
        <v>1026</v>
      </c>
      <c r="AB646" s="41" t="str">
        <f>IF($C646="","",IF($E646="","",$E646&amp;"#"&amp;(COUNTIFS($E$4:$E$1463,$E646,$X$4:$X$1463,"&gt;"&amp;$X646)+COUNTIFS($E$4:$E646,$E646,$X$4:$X646,"="&amp;$X646))))</f>
        <v>BARBARIAN#182</v>
      </c>
      <c r="AC646" s="41" t="str">
        <f>IF($C646="","",$B646&amp;"@"&amp;(COUNTIFS($B$4:$B$1463,$B646,$C$4:$C$1463,"&lt;"&amp;$C646)+COUNTIFS($B$4:$B646,$B646,$C$4:$C646,$C646)))</f>
        <v>VENDETTA@48</v>
      </c>
      <c r="AD646" s="41">
        <f t="shared" si="54"/>
        <v>643</v>
      </c>
      <c r="AE646" s="41" t="s">
        <v>642</v>
      </c>
      <c r="AF646" s="73">
        <f t="shared" si="55"/>
        <v>62235</v>
      </c>
      <c r="AG646" s="74">
        <f t="shared" si="56"/>
        <v>3.4</v>
      </c>
      <c r="AH646" s="41" t="str">
        <f>IF($C646="","",$B646&amp;"|"&amp;(COUNTIFS($B$4:$B$1463,$B646,$AF$4:$AF$1463,"&gt;"&amp;$AF646)+COUNTIFS($B$4:$B646,$B646,$AF$4:$AF646,"="&amp;$AF646)))</f>
        <v>VENDETTA|29</v>
      </c>
      <c r="AI646" s="41" t="str">
        <f>IF($C646="","",$B646&amp;"|"&amp;(COUNTIFS($B$4:$B$1463,$B646,$AG$4:$AG$1463,"&gt;"&amp;$AG646)+COUNTIFS($B$4:$B646,$B646,$AG$4:$AG646,"="&amp;$AG646)))</f>
        <v>VENDETTA|60</v>
      </c>
    </row>
    <row r="647" spans="1:35" hidden="1">
      <c r="A647" s="69" t="s">
        <v>106</v>
      </c>
      <c r="B647" s="69" t="s">
        <v>107</v>
      </c>
      <c r="C647" s="63" t="s">
        <v>1659</v>
      </c>
      <c r="D647" s="69"/>
      <c r="E647" s="68" t="s">
        <v>79</v>
      </c>
      <c r="F647" s="19" t="str">
        <f>IF($C647="","",IF($E647="","-",IFERROR(INDEX(SETUP!$B$55:$B$64,MATCH($E647,SETUP!$A$55:$A$64,0)),"Other")))</f>
        <v>Control</v>
      </c>
      <c r="G647" s="70">
        <v>62687</v>
      </c>
      <c r="H647" s="19" t="str">
        <f>IF($C647="","",IF($G647="","-",INDEX(SETUP!$B$26:$B$32,MATCH($G647,SETUP!$A$26:$A$32,1))))</f>
        <v>62,000 - 62,999</v>
      </c>
      <c r="I647" s="70">
        <v>3670</v>
      </c>
      <c r="J647" s="19" t="str">
        <f>IF($C647="","",IF($I647="","-",INDEX(SETUP!$B$16:$B$22,MATCH($I647,SETUP!$A$16:$A$22,1))))</f>
        <v>DEVELOPING</v>
      </c>
      <c r="K647" s="19" t="str">
        <f>IF($C647="","",IF($I647="","-",TEXT(INT($I647/1000)*1000,"#,##0")&amp;" - "&amp;TEXT(INT($I647/1000)*1000+999,"#,##0")))</f>
        <v>3,000 - 3,999</v>
      </c>
      <c r="L647" s="71">
        <v>5.2</v>
      </c>
      <c r="M647" s="19" t="str">
        <f>IF($C647="","",IF($L647="","-",INDEX(SETUP!$B$36:$B$42,MATCH($L647,SETUP!$A$36:$A$42,1))))</f>
        <v>5k - 6k</v>
      </c>
      <c r="N647" s="21">
        <f>IF($C647="","",IF(OR($G647="",$I647=""),"",ROUND(100*(SETUP!$B$4*MIN(1,$I647/SETUP!$B$9)+SETUP!$B$5*MAX(0,MIN(1,($G647-SETUP!$B$10)/(SETUP!$B$11-SETUP!$B$10)))+SETUP!$B$6*MIN(1,IF($L647="",0,$L647)/SETUP!$B$12)),1)))</f>
        <v>44.9</v>
      </c>
      <c r="O647" s="19" t="str">
        <f>IF($C647="","",IF($N647="","-",INDEX(SETUP!$B$46:$B$51,MATCH($N647,SETUP!$A$46:$A$51,1))))</f>
        <v>B</v>
      </c>
      <c r="P647" s="19">
        <f>IF($C647="","",IF($I647="","",RANK($I647,$I$4:$I$1463)+COUNTIF($I$4:$I647,$I647)-1))</f>
        <v>684</v>
      </c>
      <c r="Q647" s="19">
        <f>IF($C647="","",COUNTIFS($B$4:$B$1463,$B647,$X$4:$X$1463,"&gt;"&amp;$X647)+COUNTIFS($B$4:$B647,$B647,$X$4:$X647,"="&amp;$X647))</f>
        <v>61</v>
      </c>
      <c r="R647" s="75">
        <f>IF($C647="","",IF($I647="","",ROUND(COUNTIF($I$4:$I$1463,"&lt;"&amp;$I647)/COUNT($I$4:$I$1463),3)))</f>
        <v>0.48399999999999999</v>
      </c>
      <c r="S647" s="19" t="str">
        <f>IF($C647="","",IF($G647="","Name only",IF(OR($I647="",$L647=""),"Partial","Complete")))</f>
        <v>Complete</v>
      </c>
      <c r="T647" s="1" t="str">
        <f>IF($C647="","",TRIM(IF(COUNTIF($C$4:$C$1463,$C647)&gt;1,"Dup name; ","")&amp;IF(AND($G647&lt;&gt;"",$G647&lt;55000),"Low CR - verify; ","")&amp;IF(AND($L647&lt;&gt;"",$L647&gt;15),"Secondary - verify; ","")&amp;IF($E647="","No class; ","")))</f>
        <v/>
      </c>
      <c r="U647" s="68"/>
      <c r="V647" s="68"/>
      <c r="W647" s="68"/>
      <c r="X647" s="76">
        <f t="shared" si="52"/>
        <v>3670</v>
      </c>
      <c r="Y647" s="1" t="str">
        <f t="shared" si="53"/>
        <v>UNDYING|61</v>
      </c>
      <c r="Z647" s="19">
        <f>IF($C647="","",IF($G647="","",RANK($G647,$G$4:$G$1463)+COUNTIF($G$4:$G647,$G647)-1))</f>
        <v>570</v>
      </c>
      <c r="AA647" s="19">
        <f>IF($C647="","",IF($N647="","",RANK($N647,$N$4:$N$1463)+COUNTIF($N$4:$N647,$N647)-1))</f>
        <v>628</v>
      </c>
      <c r="AB647" s="1" t="str">
        <f>IF($C647="","",IF($E647="","",$E647&amp;"#"&amp;(COUNTIFS($E$4:$E$1463,$E647,$X$4:$X$1463,"&gt;"&amp;$X647)+COUNTIFS($E$4:$E647,$E647,$X$4:$X647,"="&amp;$X647))))</f>
        <v>WARLOCK#167</v>
      </c>
      <c r="AC647" s="1" t="str">
        <f>IF($C647="","",$B647&amp;"@"&amp;(COUNTIFS($B$4:$B$1463,$B647,$C$4:$C$1463,"&lt;"&amp;$C647)+COUNTIFS($B$4:$B647,$B647,$C$4:$C647,$C647)))</f>
        <v>UNDYING@58</v>
      </c>
      <c r="AD647" s="1">
        <f t="shared" si="54"/>
        <v>644</v>
      </c>
      <c r="AE647" s="1" t="s">
        <v>1060</v>
      </c>
      <c r="AF647" s="76">
        <f t="shared" si="55"/>
        <v>62687</v>
      </c>
      <c r="AG647" s="77">
        <f t="shared" si="56"/>
        <v>5.2</v>
      </c>
      <c r="AH647" s="1" t="str">
        <f>IF($C647="","",$B647&amp;"|"&amp;(COUNTIFS($B$4:$B$1463,$B647,$AF$4:$AF$1463,"&gt;"&amp;$AF647)+COUNTIFS($B$4:$B647,$B647,$AF$4:$AF647,"="&amp;$AF647)))</f>
        <v>UNDYING|56</v>
      </c>
      <c r="AI647" s="1" t="str">
        <f>IF($C647="","",$B647&amp;"|"&amp;(COUNTIFS($B$4:$B$1463,$B647,$AG$4:$AG$1463,"&gt;"&amp;$AG647)+COUNTIFS($B$4:$B647,$B647,$AG$4:$AG647,"="&amp;$AG647)))</f>
        <v>UNDYING|46</v>
      </c>
    </row>
    <row r="648" spans="1:35" hidden="1">
      <c r="A648" s="69" t="s">
        <v>109</v>
      </c>
      <c r="B648" s="69" t="s">
        <v>115</v>
      </c>
      <c r="C648" s="63" t="s">
        <v>1660</v>
      </c>
      <c r="D648" s="69" t="s">
        <v>1182</v>
      </c>
      <c r="E648" s="68" t="s">
        <v>77</v>
      </c>
      <c r="F648" s="15" t="str">
        <f>IF($C648="","",IF($E648="","-",IFERROR(INDEX(SETUP!$B$55:$B$64,MATCH($E648,SETUP!$A$55:$A$64,0)),"Other")))</f>
        <v>Control</v>
      </c>
      <c r="G648" s="70">
        <v>63169</v>
      </c>
      <c r="H648" s="15" t="str">
        <f>IF($C648="","",IF($G648="","-",INDEX(SETUP!$B$26:$B$32,MATCH($G648,SETUP!$A$26:$A$32,1))))</f>
        <v>63,000 - 63,999</v>
      </c>
      <c r="I648" s="70">
        <v>3397</v>
      </c>
      <c r="J648" s="15" t="str">
        <f>IF($C648="","",IF($I648="","-",INDEX(SETUP!$B$16:$B$22,MATCH($I648,SETUP!$A$16:$A$22,1))))</f>
        <v>DEVELOPING</v>
      </c>
      <c r="K648" s="15" t="str">
        <f>IF($C648="","",IF($I648="","-",TEXT(INT($I648/1000)*1000,"#,##0")&amp;" - "&amp;TEXT(INT($I648/1000)*1000+999,"#,##0")))</f>
        <v>3,000 - 3,999</v>
      </c>
      <c r="L648" s="71">
        <v>6.2</v>
      </c>
      <c r="M648" s="15" t="str">
        <f>IF($C648="","",IF($L648="","-",INDEX(SETUP!$B$36:$B$42,MATCH($L648,SETUP!$A$36:$A$42,1))))</f>
        <v>6k - 8k</v>
      </c>
      <c r="N648" s="17">
        <f>IF($C648="","",IF(OR($G648="",$I648=""),"",ROUND(100*(SETUP!$B$4*MIN(1,$I648/SETUP!$B$9)+SETUP!$B$5*MAX(0,MIN(1,($G648-SETUP!$B$10)/(SETUP!$B$11-SETUP!$B$10)))+SETUP!$B$6*MIN(1,IF($L648="",0,$L648)/SETUP!$B$12)),1)))</f>
        <v>46.7</v>
      </c>
      <c r="O648" s="15" t="str">
        <f>IF($C648="","",IF($N648="","-",INDEX(SETUP!$B$46:$B$51,MATCH($N648,SETUP!$A$46:$A$51,1))))</f>
        <v>B</v>
      </c>
      <c r="P648" s="15">
        <f>IF($C648="","",IF($I648="","",RANK($I648,$I$4:$I$1463)+COUNTIF($I$4:$I648,$I648)-1))</f>
        <v>761</v>
      </c>
      <c r="Q648" s="15">
        <f>IF($C648="","",COUNTIFS($B$4:$B$1463,$B648,$X$4:$X$1463,"&gt;"&amp;$X648)+COUNTIFS($B$4:$B648,$B648,$X$4:$X648,"="&amp;$X648))</f>
        <v>21</v>
      </c>
      <c r="R648" s="72">
        <f>IF($C648="","",IF($I648="","",ROUND(COUNTIF($I$4:$I$1463,"&lt;"&amp;$I648)/COUNT($I$4:$I$1463),3)))</f>
        <v>0.42599999999999999</v>
      </c>
      <c r="S648" s="15" t="str">
        <f>IF($C648="","",IF($G648="","Name only",IF(OR($I648="",$L648=""),"Partial","Complete")))</f>
        <v>Complete</v>
      </c>
      <c r="T648" s="41" t="str">
        <f>IF($C648="","",TRIM(IF(COUNTIF($C$4:$C$1463,$C648)&gt;1,"Dup name; ","")&amp;IF(AND($G648&lt;&gt;"",$G648&lt;55000),"Low CR - verify; ","")&amp;IF(AND($L648&lt;&gt;"",$L648&gt;15),"Secondary - verify; ","")&amp;IF($E648="","No class; ","")))</f>
        <v/>
      </c>
      <c r="U648" s="68"/>
      <c r="V648" s="68"/>
      <c r="W648" s="68"/>
      <c r="X648" s="73">
        <f t="shared" si="52"/>
        <v>3397</v>
      </c>
      <c r="Y648" s="41" t="str">
        <f t="shared" si="53"/>
        <v>SUB ROSA|21</v>
      </c>
      <c r="Z648" s="15">
        <f>IF($C648="","",IF($G648="","",RANK($G648,$G$4:$G$1463)+COUNTIF($G$4:$G648,$G648)-1))</f>
        <v>331</v>
      </c>
      <c r="AA648" s="15">
        <f>IF($C648="","",IF($N648="","",RANK($N648,$N$4:$N$1463)+COUNTIF($N$4:$N648,$N648)-1))</f>
        <v>559</v>
      </c>
      <c r="AB648" s="41" t="str">
        <f>IF($C648="","",IF($E648="","",$E648&amp;"#"&amp;(COUNTIFS($E$4:$E$1463,$E648,$X$4:$X$1463,"&gt;"&amp;$X648)+COUNTIFS($E$4:$E648,$E648,$X$4:$X648,"="&amp;$X648))))</f>
        <v>NECROMANCER#39</v>
      </c>
      <c r="AC648" s="41" t="str">
        <f>IF($C648="","",$B648&amp;"@"&amp;(COUNTIFS($B$4:$B$1463,$B648,$C$4:$C$1463,"&lt;"&amp;$C648)+COUNTIFS($B$4:$B648,$B648,$C$4:$C648,$C648)))</f>
        <v>SUB ROSA@42</v>
      </c>
      <c r="AD648" s="41">
        <f t="shared" si="54"/>
        <v>645</v>
      </c>
      <c r="AE648" s="41" t="s">
        <v>1075</v>
      </c>
      <c r="AF648" s="73">
        <f t="shared" si="55"/>
        <v>63169</v>
      </c>
      <c r="AG648" s="74">
        <f t="shared" si="56"/>
        <v>6.2</v>
      </c>
      <c r="AH648" s="41" t="str">
        <f>IF($C648="","",$B648&amp;"|"&amp;(COUNTIFS($B$4:$B$1463,$B648,$AF$4:$AF$1463,"&gt;"&amp;$AF648)+COUNTIFS($B$4:$B648,$B648,$AF$4:$AF648,"="&amp;$AF648)))</f>
        <v>SUB ROSA|9</v>
      </c>
      <c r="AI648" s="41" t="str">
        <f>IF($C648="","",$B648&amp;"|"&amp;(COUNTIFS($B$4:$B$1463,$B648,$AG$4:$AG$1463,"&gt;"&amp;$AG648)+COUNTIFS($B$4:$B648,$B648,$AG$4:$AG648,"="&amp;$AG648)))</f>
        <v>SUB ROSA|5</v>
      </c>
    </row>
    <row r="649" spans="1:35" hidden="1">
      <c r="A649" s="69" t="s">
        <v>109</v>
      </c>
      <c r="B649" s="69" t="s">
        <v>111</v>
      </c>
      <c r="C649" s="63" t="s">
        <v>1661</v>
      </c>
      <c r="D649" s="69" t="s">
        <v>527</v>
      </c>
      <c r="E649" s="68" t="s">
        <v>79</v>
      </c>
      <c r="F649" s="19" t="str">
        <f>IF($C649="","",IF($E649="","-",IFERROR(INDEX(SETUP!$B$55:$B$64,MATCH($E649,SETUP!$A$55:$A$64,0)),"Other")))</f>
        <v>Control</v>
      </c>
      <c r="G649" s="70">
        <v>62626</v>
      </c>
      <c r="H649" s="19" t="str">
        <f>IF($C649="","",IF($G649="","-",INDEX(SETUP!$B$26:$B$32,MATCH($G649,SETUP!$A$26:$A$32,1))))</f>
        <v>62,000 - 62,999</v>
      </c>
      <c r="I649" s="70">
        <v>6000</v>
      </c>
      <c r="J649" s="19" t="str">
        <f>IF($C649="","",IF($I649="","-",INDEX(SETUP!$B$16:$B$22,MATCH($I649,SETUP!$A$16:$A$22,1))))</f>
        <v>VETERAN</v>
      </c>
      <c r="K649" s="19" t="str">
        <f>IF($C649="","",IF($I649="","-",TEXT(INT($I649/1000)*1000,"#,##0")&amp;" - "&amp;TEXT(INT($I649/1000)*1000+999,"#,##0")))</f>
        <v>6,000 - 6,999</v>
      </c>
      <c r="L649" s="71">
        <v>6.35</v>
      </c>
      <c r="M649" s="19" t="str">
        <f>IF($C649="","",IF($L649="","-",INDEX(SETUP!$B$36:$B$42,MATCH($L649,SETUP!$A$36:$A$42,1))))</f>
        <v>6k - 8k</v>
      </c>
      <c r="N649" s="21">
        <f>IF($C649="","",IF(OR($G649="",$I649=""),"",ROUND(100*(SETUP!$B$4*MIN(1,$I649/SETUP!$B$9)+SETUP!$B$5*MAX(0,MIN(1,($G649-SETUP!$B$10)/(SETUP!$B$11-SETUP!$B$10)))+SETUP!$B$6*MIN(1,IF($L649="",0,$L649)/SETUP!$B$12)),1)))</f>
        <v>56.8</v>
      </c>
      <c r="O649" s="19" t="str">
        <f>IF($C649="","",IF($N649="","-",INDEX(SETUP!$B$46:$B$51,MATCH($N649,SETUP!$A$46:$A$51,1))))</f>
        <v>A</v>
      </c>
      <c r="P649" s="19">
        <f>IF($C649="","",IF($I649="","",RANK($I649,$I$4:$I$1463)+COUNTIF($I$4:$I649,$I649)-1))</f>
        <v>288</v>
      </c>
      <c r="Q649" s="19">
        <f>IF($C649="","",COUNTIFS($B$4:$B$1463,$B649,$X$4:$X$1463,"&gt;"&amp;$X649)+COUNTIFS($B$4:$B649,$B649,$X$4:$X649,"="&amp;$X649))</f>
        <v>32</v>
      </c>
      <c r="R649" s="75">
        <f>IF($C649="","",IF($I649="","",ROUND(COUNTIF($I$4:$I$1463,"&lt;"&amp;$I649)/COUNT($I$4:$I$1463),3)))</f>
        <v>0.78300000000000003</v>
      </c>
      <c r="S649" s="19" t="str">
        <f>IF($C649="","",IF($G649="","Name only",IF(OR($I649="",$L649=""),"Partial","Complete")))</f>
        <v>Complete</v>
      </c>
      <c r="T649" s="1" t="str">
        <f>IF($C649="","",TRIM(IF(COUNTIF($C$4:$C$1463,$C649)&gt;1,"Dup name; ","")&amp;IF(AND($G649&lt;&gt;"",$G649&lt;55000),"Low CR - verify; ","")&amp;IF(AND($L649&lt;&gt;"",$L649&gt;15),"Secondary - verify; ","")&amp;IF($E649="","No class; ","")))</f>
        <v/>
      </c>
      <c r="U649" s="68"/>
      <c r="V649" s="68"/>
      <c r="W649" s="68"/>
      <c r="X649" s="76">
        <f t="shared" si="52"/>
        <v>6000</v>
      </c>
      <c r="Y649" s="1" t="str">
        <f t="shared" si="53"/>
        <v>RECKONING|32</v>
      </c>
      <c r="Z649" s="19">
        <f>IF($C649="","",IF($G649="","",RANK($G649,$G$4:$G$1463)+COUNTIF($G$4:$G649,$G649)-1))</f>
        <v>596</v>
      </c>
      <c r="AA649" s="19">
        <f>IF($C649="","",IF($N649="","",RANK($N649,$N$4:$N$1463)+COUNTIF($N$4:$N649,$N649)-1))</f>
        <v>284</v>
      </c>
      <c r="AB649" s="1" t="str">
        <f>IF($C649="","",IF($E649="","",$E649&amp;"#"&amp;(COUNTIFS($E$4:$E$1463,$E649,$X$4:$X$1463,"&gt;"&amp;$X649)+COUNTIFS($E$4:$E649,$E649,$X$4:$X649,"="&amp;$X649))))</f>
        <v>WARLOCK#62</v>
      </c>
      <c r="AC649" s="1" t="str">
        <f>IF($C649="","",$B649&amp;"@"&amp;(COUNTIFS($B$4:$B$1463,$B649,$C$4:$C$1463,"&lt;"&amp;$C649)+COUNTIFS($B$4:$B649,$B649,$C$4:$C649,$C649)))</f>
        <v>RECKONING@51</v>
      </c>
      <c r="AD649" s="1">
        <f t="shared" si="54"/>
        <v>646</v>
      </c>
      <c r="AE649" s="1" t="s">
        <v>1662</v>
      </c>
      <c r="AF649" s="76">
        <f t="shared" si="55"/>
        <v>62626</v>
      </c>
      <c r="AG649" s="77">
        <f t="shared" si="56"/>
        <v>6.35</v>
      </c>
      <c r="AH649" s="1" t="str">
        <f>IF($C649="","",$B649&amp;"|"&amp;(COUNTIFS($B$4:$B$1463,$B649,$AF$4:$AF$1463,"&gt;"&amp;$AF649)+COUNTIFS($B$4:$B649,$B649,$AF$4:$AF649,"="&amp;$AF649)))</f>
        <v>RECKONING|55</v>
      </c>
      <c r="AI649" s="1" t="str">
        <f>IF($C649="","",$B649&amp;"|"&amp;(COUNTIFS($B$4:$B$1463,$B649,$AG$4:$AG$1463,"&gt;"&amp;$AG649)+COUNTIFS($B$4:$B649,$B649,$AG$4:$AG649,"="&amp;$AG649)))</f>
        <v>RECKONING|32</v>
      </c>
    </row>
    <row r="650" spans="1:35" hidden="1">
      <c r="A650" s="69" t="s">
        <v>109</v>
      </c>
      <c r="B650" s="69" t="s">
        <v>113</v>
      </c>
      <c r="C650" s="63" t="s">
        <v>1663</v>
      </c>
      <c r="D650" s="69" t="s">
        <v>548</v>
      </c>
      <c r="E650" s="68" t="s">
        <v>77</v>
      </c>
      <c r="F650" s="15" t="str">
        <f>IF($C650="","",IF($E650="","-",IFERROR(INDEX(SETUP!$B$55:$B$64,MATCH($E650,SETUP!$A$55:$A$64,0)),"Other")))</f>
        <v>Control</v>
      </c>
      <c r="G650" s="70">
        <v>59191</v>
      </c>
      <c r="H650" s="15" t="str">
        <f>IF($C650="","",IF($G650="","-",INDEX(SETUP!$B$26:$B$32,MATCH($G650,SETUP!$A$26:$A$32,1))))</f>
        <v>58,000 - 59,999</v>
      </c>
      <c r="I650" s="70">
        <v>2070</v>
      </c>
      <c r="J650" s="15" t="str">
        <f>IF($C650="","",IF($I650="","-",INDEX(SETUP!$B$16:$B$22,MATCH($I650,SETUP!$A$16:$A$22,1))))</f>
        <v>DEVELOPING</v>
      </c>
      <c r="K650" s="15" t="str">
        <f>IF($C650="","",IF($I650="","-",TEXT(INT($I650/1000)*1000,"#,##0")&amp;" - "&amp;TEXT(INT($I650/1000)*1000+999,"#,##0")))</f>
        <v>2,000 - 2,999</v>
      </c>
      <c r="L650" s="71">
        <v>3.2</v>
      </c>
      <c r="M650" s="15" t="str">
        <f>IF($C650="","",IF($L650="","-",INDEX(SETUP!$B$36:$B$42,MATCH($L650,SETUP!$A$36:$A$42,1))))</f>
        <v>3k - 4k</v>
      </c>
      <c r="N650" s="17">
        <f>IF($C650="","",IF(OR($G650="",$I650=""),"",ROUND(100*(SETUP!$B$4*MIN(1,$I650/SETUP!$B$9)+SETUP!$B$5*MAX(0,MIN(1,($G650-SETUP!$B$10)/(SETUP!$B$11-SETUP!$B$10)))+SETUP!$B$6*MIN(1,IF($L650="",0,$L650)/SETUP!$B$12)),1)))</f>
        <v>25.4</v>
      </c>
      <c r="O650" s="15" t="str">
        <f>IF($C650="","",IF($N650="","-",INDEX(SETUP!$B$46:$B$51,MATCH($N650,SETUP!$A$46:$A$51,1))))</f>
        <v>C</v>
      </c>
      <c r="P650" s="15">
        <f>IF($C650="","",IF($I650="","",RANK($I650,$I$4:$I$1463)+COUNTIF($I$4:$I650,$I650)-1))</f>
        <v>1096</v>
      </c>
      <c r="Q650" s="15">
        <f>IF($C650="","",COUNTIFS($B$4:$B$1463,$B650,$X$4:$X$1463,"&gt;"&amp;$X650)+COUNTIFS($B$4:$B650,$B650,$X$4:$X650,"="&amp;$X650))</f>
        <v>79</v>
      </c>
      <c r="R650" s="72">
        <f>IF($C650="","",IF($I650="","",ROUND(COUNTIF($I$4:$I$1463,"&lt;"&amp;$I650)/COUNT($I$4:$I$1463),3)))</f>
        <v>0.17299999999999999</v>
      </c>
      <c r="S650" s="15" t="str">
        <f>IF($C650="","",IF($G650="","Name only",IF(OR($I650="",$L650=""),"Partial","Complete")))</f>
        <v>Complete</v>
      </c>
      <c r="T650" s="41" t="str">
        <f>IF($C650="","",TRIM(IF(COUNTIF($C$4:$C$1463,$C650)&gt;1,"Dup name; ","")&amp;IF(AND($G650&lt;&gt;"",$G650&lt;55000),"Low CR - verify; ","")&amp;IF(AND($L650&lt;&gt;"",$L650&gt;15),"Secondary - verify; ","")&amp;IF($E650="","No class; ","")))</f>
        <v/>
      </c>
      <c r="U650" s="68"/>
      <c r="V650" s="68"/>
      <c r="W650" s="68"/>
      <c r="X650" s="73">
        <f t="shared" si="52"/>
        <v>2070</v>
      </c>
      <c r="Y650" s="41" t="str">
        <f t="shared" si="53"/>
        <v>INVICTUS|79</v>
      </c>
      <c r="Z650" s="15">
        <f>IF($C650="","",IF($G650="","",RANK($G650,$G$4:$G$1463)+COUNTIF($G$4:$G650,$G650)-1))</f>
        <v>1270</v>
      </c>
      <c r="AA650" s="15">
        <f>IF($C650="","",IF($N650="","",RANK($N650,$N$4:$N$1463)+COUNTIF($N$4:$N650,$N650)-1))</f>
        <v>1239</v>
      </c>
      <c r="AB650" s="41" t="str">
        <f>IF($C650="","",IF($E650="","",$E650&amp;"#"&amp;(COUNTIFS($E$4:$E$1463,$E650,$X$4:$X$1463,"&gt;"&amp;$X650)+COUNTIFS($E$4:$E650,$E650,$X$4:$X650,"="&amp;$X650))))</f>
        <v>NECROMANCER#72</v>
      </c>
      <c r="AC650" s="41" t="str">
        <f>IF($C650="","",$B650&amp;"@"&amp;(COUNTIFS($B$4:$B$1463,$B650,$C$4:$C$1463,"&lt;"&amp;$C650)+COUNTIFS($B$4:$B650,$B650,$C$4:$C650,$C650)))</f>
        <v>INVICTUS@46</v>
      </c>
      <c r="AD650" s="41">
        <f t="shared" si="54"/>
        <v>647</v>
      </c>
      <c r="AE650" s="41" t="s">
        <v>1664</v>
      </c>
      <c r="AF650" s="73">
        <f t="shared" si="55"/>
        <v>59191</v>
      </c>
      <c r="AG650" s="74">
        <f t="shared" si="56"/>
        <v>3.2</v>
      </c>
      <c r="AH650" s="41" t="str">
        <f>IF($C650="","",$B650&amp;"|"&amp;(COUNTIFS($B$4:$B$1463,$B650,$AF$4:$AF$1463,"&gt;"&amp;$AF650)+COUNTIFS($B$4:$B650,$B650,$AF$4:$AF650,"="&amp;$AF650)))</f>
        <v>INVICTUS|95</v>
      </c>
      <c r="AI650" s="41" t="str">
        <f>IF($C650="","",$B650&amp;"|"&amp;(COUNTIFS($B$4:$B$1463,$B650,$AG$4:$AG$1463,"&gt;"&amp;$AG650)+COUNTIFS($B$4:$B650,$B650,$AG$4:$AG650,"="&amp;$AG650)))</f>
        <v>INVICTUS|90</v>
      </c>
    </row>
    <row r="651" spans="1:35">
      <c r="A651" s="69" t="s">
        <v>104</v>
      </c>
      <c r="B651" s="69" t="s">
        <v>66</v>
      </c>
      <c r="C651" s="63" t="s">
        <v>1577</v>
      </c>
      <c r="D651" s="69"/>
      <c r="E651" s="68" t="s">
        <v>75</v>
      </c>
      <c r="F651" s="15" t="str">
        <f>IF($C651="","",IF($E651="","-",IFERROR(INDEX(SETUP!$B$55:$B$64,MATCH($E651,SETUP!$A$55:$A$64,0)),"Other")))</f>
        <v>Support</v>
      </c>
      <c r="G651" s="70">
        <v>62571</v>
      </c>
      <c r="H651" s="15" t="str">
        <f>IF($C651="","",IF($G651="","-",INDEX(SETUP!$B$26:$B$32,MATCH($G651,SETUP!$A$26:$A$32,1))))</f>
        <v>62,000 - 62,999</v>
      </c>
      <c r="I651" s="70">
        <v>4627</v>
      </c>
      <c r="J651" s="15" t="str">
        <f>IF($C651="","",IF($I651="","-",INDEX(SETUP!$B$16:$B$22,MATCH($I651,SETUP!$A$16:$A$22,1))))</f>
        <v>CORE</v>
      </c>
      <c r="K651" s="15" t="str">
        <f>IF($C651="","",IF($I651="","-",TEXT(INT($I651/1000)*1000,"#,##0")&amp;" - "&amp;TEXT(INT($I651/1000)*1000+999,"#,##0")))</f>
        <v>4,000 - 4,999</v>
      </c>
      <c r="L651" s="71">
        <v>4.84</v>
      </c>
      <c r="M651" s="15" t="str">
        <f>IF($C651="","",IF($L651="","-",INDEX(SETUP!$B$36:$B$42,MATCH($L651,SETUP!$A$36:$A$42,1))))</f>
        <v>4k - 5k</v>
      </c>
      <c r="N651" s="17">
        <f>IF($C651="","",IF(OR($G651="",$I651=""),"",ROUND(100*(SETUP!$B$4*MIN(1,$I651/SETUP!$B$9)+SETUP!$B$5*MAX(0,MIN(1,($G651-SETUP!$B$10)/(SETUP!$B$11-SETUP!$B$10)))+SETUP!$B$6*MIN(1,IF($L651="",0,$L651)/SETUP!$B$12)),1)))</f>
        <v>48.2</v>
      </c>
      <c r="O651" s="15" t="str">
        <f>IF($C651="","",IF($N651="","-",INDEX(SETUP!$B$46:$B$51,MATCH($N651,SETUP!$A$46:$A$51,1))))</f>
        <v>B</v>
      </c>
      <c r="P651" s="15">
        <f>IF($C651="","",IF($I651="","",RANK($I651,$I$4:$I$1463)+COUNTIF($I$4:$I651,$I651)-1))</f>
        <v>467</v>
      </c>
      <c r="Q651" s="15">
        <f>IF($C651="","",COUNTIFS($B$4:$B$1463,$B651,$X$4:$X$1463,"&gt;"&amp;$X651)+COUNTIFS($B$4:$B651,$B651,$X$4:$X651,"="&amp;$X651))</f>
        <v>46</v>
      </c>
      <c r="R651" s="72">
        <f>IF($C651="","",IF($I651="","",ROUND(COUNTIF($I$4:$I$1463,"&lt;"&amp;$I651)/COUNT($I$4:$I$1463),3)))</f>
        <v>0.64800000000000002</v>
      </c>
      <c r="S651" s="15" t="str">
        <f>IF($C651="","",IF($G651="","Name only",IF(OR($I651="",$L651=""),"Partial","Complete")))</f>
        <v>Complete</v>
      </c>
      <c r="T651" s="41" t="str">
        <f>IF($C651="","",TRIM(IF(COUNTIF($C$4:$C$1463,$C651)&gt;1,"Dup name; ","")&amp;IF(AND($G651&lt;&gt;"",$G651&lt;55000),"Low CR - verify; ","")&amp;IF(AND($L651&lt;&gt;"",$L651&gt;15),"Secondary - verify; ","")&amp;IF($E651="","No class; ","")))</f>
        <v/>
      </c>
      <c r="U651" s="68"/>
      <c r="V651" s="68"/>
      <c r="W651" s="68"/>
      <c r="X651" s="76">
        <f t="shared" si="52"/>
        <v>4627</v>
      </c>
      <c r="Y651" s="1" t="str">
        <f t="shared" si="53"/>
        <v>FUCT|46</v>
      </c>
      <c r="Z651" s="19">
        <f>IF($C651="","",IF($G651="","",RANK($G651,$G$4:$G$1463)+COUNTIF($G$4:$G651,$G651)-1))</f>
        <v>626</v>
      </c>
      <c r="AA651" s="19">
        <f>IF($C651="","",IF($N651="","",RANK($N651,$N$4:$N$1463)+COUNTIF($N$4:$N651,$N651)-1))</f>
        <v>512</v>
      </c>
      <c r="AB651" s="1" t="str">
        <f>IF($C651="","",IF($E651="","",$E651&amp;"#"&amp;(COUNTIFS($E$4:$E$1463,$E651,$X$4:$X$1463,"&gt;"&amp;$X651)+COUNTIFS($E$4:$E651,$E651,$X$4:$X651,"="&amp;$X651))))</f>
        <v>DRUID#21</v>
      </c>
      <c r="AC651" s="1" t="str">
        <f>IF($C651="","",$B651&amp;"@"&amp;(COUNTIFS($B$4:$B$1463,$B651,$C$4:$C$1463,"&lt;"&amp;$C651)+COUNTIFS($B$4:$B651,$B651,$C$4:$C651,$C651)))</f>
        <v>FUCT@46</v>
      </c>
      <c r="AD651" s="1">
        <f t="shared" si="54"/>
        <v>648</v>
      </c>
      <c r="AE651" s="1" t="s">
        <v>1666</v>
      </c>
      <c r="AF651" s="76">
        <f t="shared" si="55"/>
        <v>62571</v>
      </c>
      <c r="AG651" s="77">
        <f t="shared" si="56"/>
        <v>4.84</v>
      </c>
      <c r="AH651" s="1" t="str">
        <f>IF($C651="","",$B651&amp;"|"&amp;(COUNTIFS($B$4:$B$1463,$B651,$AF$4:$AF$1463,"&gt;"&amp;$AF651)+COUNTIFS($B$4:$B651,$B651,$AF$4:$AF651,"="&amp;$AF651)))</f>
        <v>FUCT|64</v>
      </c>
      <c r="AI651" s="1" t="str">
        <f>IF($C651="","",$B651&amp;"|"&amp;(COUNTIFS($B$4:$B$1463,$B651,$AG$4:$AG$1463,"&gt;"&amp;$AG651)+COUNTIFS($B$4:$B651,$B651,$AG$4:$AG651,"="&amp;$AG651)))</f>
        <v>FUCT|56</v>
      </c>
    </row>
    <row r="652" spans="1:35" hidden="1">
      <c r="A652" s="69" t="s">
        <v>109</v>
      </c>
      <c r="B652" s="69" t="s">
        <v>118</v>
      </c>
      <c r="C652" s="63" t="s">
        <v>1667</v>
      </c>
      <c r="D652" s="69"/>
      <c r="E652" s="68" t="s">
        <v>79</v>
      </c>
      <c r="F652" s="15" t="str">
        <f>IF($C652="","",IF($E652="","-",IFERROR(INDEX(SETUP!$B$55:$B$64,MATCH($E652,SETUP!$A$55:$A$64,0)),"Other")))</f>
        <v>Control</v>
      </c>
      <c r="G652" s="70">
        <v>60425</v>
      </c>
      <c r="H652" s="15" t="str">
        <f>IF($C652="","",IF($G652="","-",INDEX(SETUP!$B$26:$B$32,MATCH($G652,SETUP!$A$26:$A$32,1))))</f>
        <v>60,000 - 60,999</v>
      </c>
      <c r="I652" s="70">
        <v>2221</v>
      </c>
      <c r="J652" s="15" t="str">
        <f>IF($C652="","",IF($I652="","-",INDEX(SETUP!$B$16:$B$22,MATCH($I652,SETUP!$A$16:$A$22,1))))</f>
        <v>DEVELOPING</v>
      </c>
      <c r="K652" s="15" t="str">
        <f>IF($C652="","",IF($I652="","-",TEXT(INT($I652/1000)*1000,"#,##0")&amp;" - "&amp;TEXT(INT($I652/1000)*1000+999,"#,##0")))</f>
        <v>2,000 - 2,999</v>
      </c>
      <c r="L652" s="71">
        <v>4</v>
      </c>
      <c r="M652" s="15" t="str">
        <f>IF($C652="","",IF($L652="","-",INDEX(SETUP!$B$36:$B$42,MATCH($L652,SETUP!$A$36:$A$42,1))))</f>
        <v>4k - 5k</v>
      </c>
      <c r="N652" s="17">
        <f>IF($C652="","",IF(OR($G652="",$I652=""),"",ROUND(100*(SETUP!$B$4*MIN(1,$I652/SETUP!$B$9)+SETUP!$B$5*MAX(0,MIN(1,($G652-SETUP!$B$10)/(SETUP!$B$11-SETUP!$B$10)))+SETUP!$B$6*MIN(1,IF($L652="",0,$L652)/SETUP!$B$12)),1)))</f>
        <v>30.6</v>
      </c>
      <c r="O652" s="15" t="str">
        <f>IF($C652="","",IF($N652="","-",INDEX(SETUP!$B$46:$B$51,MATCH($N652,SETUP!$A$46:$A$51,1))))</f>
        <v>C</v>
      </c>
      <c r="P652" s="15">
        <f>IF($C652="","",IF($I652="","",RANK($I652,$I$4:$I$1463)+COUNTIF($I$4:$I652,$I652)-1))</f>
        <v>1060</v>
      </c>
      <c r="Q652" s="15">
        <f>IF($C652="","",COUNTIFS($B$4:$B$1463,$B652,$X$4:$X$1463,"&gt;"&amp;$X652)+COUNTIFS($B$4:$B652,$B652,$X$4:$X652,"="&amp;$X652))</f>
        <v>34</v>
      </c>
      <c r="R652" s="72">
        <f>IF($C652="","",IF($I652="","",ROUND(COUNTIF($I$4:$I$1463,"&lt;"&amp;$I652)/COUNT($I$4:$I$1463),3)))</f>
        <v>0.2</v>
      </c>
      <c r="S652" s="15" t="str">
        <f>IF($C652="","",IF($G652="","Name only",IF(OR($I652="",$L652=""),"Partial","Complete")))</f>
        <v>Complete</v>
      </c>
      <c r="T652" s="41" t="str">
        <f>IF($C652="","",TRIM(IF(COUNTIF($C$4:$C$1463,$C652)&gt;1,"Dup name; ","")&amp;IF(AND($G652&lt;&gt;"",$G652&lt;55000),"Low CR - verify; ","")&amp;IF(AND($L652&lt;&gt;"",$L652&gt;15),"Secondary - verify; ","")&amp;IF($E652="","No class; ","")))</f>
        <v/>
      </c>
      <c r="U652" s="68"/>
      <c r="V652" s="68"/>
      <c r="W652" s="68"/>
      <c r="X652" s="73">
        <f t="shared" si="52"/>
        <v>2221</v>
      </c>
      <c r="Y652" s="41" t="str">
        <f t="shared" si="53"/>
        <v>ZOMBIES|34</v>
      </c>
      <c r="Z652" s="15">
        <f>IF($C652="","",IF($G652="","",RANK($G652,$G$4:$G$1463)+COUNTIF($G$4:$G652,$G652)-1))</f>
        <v>1215</v>
      </c>
      <c r="AA652" s="15">
        <f>IF($C652="","",IF($N652="","",RANK($N652,$N$4:$N$1463)+COUNTIF($N$4:$N652,$N652)-1))</f>
        <v>1130</v>
      </c>
      <c r="AB652" s="41" t="str">
        <f>IF($C652="","",IF($E652="","",$E652&amp;"#"&amp;(COUNTIFS($E$4:$E$1463,$E652,$X$4:$X$1463,"&gt;"&amp;$X652)+COUNTIFS($E$4:$E652,$E652,$X$4:$X652,"="&amp;$X652))))</f>
        <v>WARLOCK#266</v>
      </c>
      <c r="AC652" s="41" t="str">
        <f>IF($C652="","",$B652&amp;"@"&amp;(COUNTIFS($B$4:$B$1463,$B652,$C$4:$C$1463,"&lt;"&amp;$C652)+COUNTIFS($B$4:$B652,$B652,$C$4:$C652,$C652)))</f>
        <v>ZOMBIES@50</v>
      </c>
      <c r="AD652" s="41">
        <f t="shared" si="54"/>
        <v>649</v>
      </c>
      <c r="AE652" s="41" t="s">
        <v>851</v>
      </c>
      <c r="AF652" s="73">
        <f t="shared" si="55"/>
        <v>60425</v>
      </c>
      <c r="AG652" s="74">
        <f t="shared" si="56"/>
        <v>4</v>
      </c>
      <c r="AH652" s="41" t="str">
        <f>IF($C652="","",$B652&amp;"|"&amp;(COUNTIFS($B$4:$B$1463,$B652,$AF$4:$AF$1463,"&gt;"&amp;$AF652)+COUNTIFS($B$4:$B652,$B652,$AF$4:$AF652,"="&amp;$AF652)))</f>
        <v>ZOMBIES|71</v>
      </c>
      <c r="AI652" s="41" t="str">
        <f>IF($C652="","",$B652&amp;"|"&amp;(COUNTIFS($B$4:$B$1463,$B652,$AG$4:$AG$1463,"&gt;"&amp;$AG652)+COUNTIFS($B$4:$B652,$B652,$AG$4:$AG652,"="&amp;$AG652)))</f>
        <v>ZOMBIES|29</v>
      </c>
    </row>
    <row r="653" spans="1:35" hidden="1">
      <c r="A653" s="69" t="s">
        <v>109</v>
      </c>
      <c r="B653" s="69" t="s">
        <v>113</v>
      </c>
      <c r="C653" s="63" t="s">
        <v>1668</v>
      </c>
      <c r="D653" s="69" t="s">
        <v>548</v>
      </c>
      <c r="E653" s="68" t="s">
        <v>79</v>
      </c>
      <c r="F653" s="19" t="str">
        <f>IF($C653="","",IF($E653="","-",IFERROR(INDEX(SETUP!$B$55:$B$64,MATCH($E653,SETUP!$A$55:$A$64,0)),"Other")))</f>
        <v>Control</v>
      </c>
      <c r="G653" s="70">
        <v>62754</v>
      </c>
      <c r="H653" s="19" t="str">
        <f>IF($C653="","",IF($G653="","-",INDEX(SETUP!$B$26:$B$32,MATCH($G653,SETUP!$A$26:$A$32,1))))</f>
        <v>62,000 - 62,999</v>
      </c>
      <c r="I653" s="70">
        <v>2906</v>
      </c>
      <c r="J653" s="19" t="str">
        <f>IF($C653="","",IF($I653="","-",INDEX(SETUP!$B$16:$B$22,MATCH($I653,SETUP!$A$16:$A$22,1))))</f>
        <v>DEVELOPING</v>
      </c>
      <c r="K653" s="19" t="str">
        <f>IF($C653="","",IF($I653="","-",TEXT(INT($I653/1000)*1000,"#,##0")&amp;" - "&amp;TEXT(INT($I653/1000)*1000+999,"#,##0")))</f>
        <v>2,000 - 2,999</v>
      </c>
      <c r="L653" s="71">
        <v>4</v>
      </c>
      <c r="M653" s="19" t="str">
        <f>IF($C653="","",IF($L653="","-",INDEX(SETUP!$B$36:$B$42,MATCH($L653,SETUP!$A$36:$A$42,1))))</f>
        <v>4k - 5k</v>
      </c>
      <c r="N653" s="21">
        <f>IF($C653="","",IF(OR($G653="",$I653=""),"",ROUND(100*(SETUP!$B$4*MIN(1,$I653/SETUP!$B$9)+SETUP!$B$5*MAX(0,MIN(1,($G653-SETUP!$B$10)/(SETUP!$B$11-SETUP!$B$10)))+SETUP!$B$6*MIN(1,IF($L653="",0,$L653)/SETUP!$B$12)),1)))</f>
        <v>39.799999999999997</v>
      </c>
      <c r="O653" s="19" t="str">
        <f>IF($C653="","",IF($N653="","-",INDEX(SETUP!$B$46:$B$51,MATCH($N653,SETUP!$A$46:$A$51,1))))</f>
        <v>B</v>
      </c>
      <c r="P653" s="19">
        <f>IF($C653="","",IF($I653="","",RANK($I653,$I$4:$I$1463)+COUNTIF($I$4:$I653,$I653)-1))</f>
        <v>905</v>
      </c>
      <c r="Q653" s="19">
        <f>IF($C653="","",COUNTIFS($B$4:$B$1463,$B653,$X$4:$X$1463,"&gt;"&amp;$X653)+COUNTIFS($B$4:$B653,$B653,$X$4:$X653,"="&amp;$X653))</f>
        <v>54</v>
      </c>
      <c r="R653" s="75">
        <f>IF($C653="","",IF($I653="","",ROUND(COUNTIF($I$4:$I$1463,"&lt;"&amp;$I653)/COUNT($I$4:$I$1463),3)))</f>
        <v>0.317</v>
      </c>
      <c r="S653" s="19" t="str">
        <f>IF($C653="","",IF($G653="","Name only",IF(OR($I653="",$L653=""),"Partial","Complete")))</f>
        <v>Complete</v>
      </c>
      <c r="T653" s="1" t="str">
        <f>IF($C653="","",TRIM(IF(COUNTIF($C$4:$C$1463,$C653)&gt;1,"Dup name; ","")&amp;IF(AND($G653&lt;&gt;"",$G653&lt;55000),"Low CR - verify; ","")&amp;IF(AND($L653&lt;&gt;"",$L653&gt;15),"Secondary - verify; ","")&amp;IF($E653="","No class; ","")))</f>
        <v/>
      </c>
      <c r="U653" s="68"/>
      <c r="V653" s="68"/>
      <c r="W653" s="68"/>
      <c r="X653" s="76">
        <f t="shared" si="52"/>
        <v>2906</v>
      </c>
      <c r="Y653" s="1" t="str">
        <f t="shared" si="53"/>
        <v>INVICTUS|54</v>
      </c>
      <c r="Z653" s="19">
        <f>IF($C653="","",IF($G653="","",RANK($G653,$G$4:$G$1463)+COUNTIF($G$4:$G653,$G653)-1))</f>
        <v>542</v>
      </c>
      <c r="AA653" s="19">
        <f>IF($C653="","",IF($N653="","",RANK($N653,$N$4:$N$1463)+COUNTIF($N$4:$N653,$N653)-1))</f>
        <v>829</v>
      </c>
      <c r="AB653" s="1" t="str">
        <f>IF($C653="","",IF($E653="","",$E653&amp;"#"&amp;(COUNTIFS($E$4:$E$1463,$E653,$X$4:$X$1463,"&gt;"&amp;$X653)+COUNTIFS($E$4:$E653,$E653,$X$4:$X653,"="&amp;$X653))))</f>
        <v>WARLOCK#224</v>
      </c>
      <c r="AC653" s="1" t="str">
        <f>IF($C653="","",$B653&amp;"@"&amp;(COUNTIFS($B$4:$B$1463,$B653,$C$4:$C$1463,"&lt;"&amp;$C653)+COUNTIFS($B$4:$B653,$B653,$C$4:$C653,$C653)))</f>
        <v>INVICTUS@47</v>
      </c>
      <c r="AD653" s="1">
        <f t="shared" si="54"/>
        <v>650</v>
      </c>
      <c r="AE653" s="1" t="s">
        <v>1669</v>
      </c>
      <c r="AF653" s="76">
        <f t="shared" si="55"/>
        <v>62754</v>
      </c>
      <c r="AG653" s="77">
        <f t="shared" si="56"/>
        <v>4</v>
      </c>
      <c r="AH653" s="1" t="str">
        <f>IF($C653="","",$B653&amp;"|"&amp;(COUNTIFS($B$4:$B$1463,$B653,$AF$4:$AF$1463,"&gt;"&amp;$AF653)+COUNTIFS($B$4:$B653,$B653,$AF$4:$AF653,"="&amp;$AF653)))</f>
        <v>INVICTUS|29</v>
      </c>
      <c r="AI653" s="1" t="str">
        <f>IF($C653="","",$B653&amp;"|"&amp;(COUNTIFS($B$4:$B$1463,$B653,$AG$4:$AG$1463,"&gt;"&amp;$AG653)+COUNTIFS($B$4:$B653,$B653,$AG$4:$AG653,"="&amp;$AG653)))</f>
        <v>INVICTUS|59</v>
      </c>
    </row>
    <row r="654" spans="1:35" hidden="1">
      <c r="A654" s="69" t="s">
        <v>109</v>
      </c>
      <c r="B654" s="69" t="s">
        <v>112</v>
      </c>
      <c r="C654" s="63" t="s">
        <v>1670</v>
      </c>
      <c r="D654" s="69" t="s">
        <v>567</v>
      </c>
      <c r="E654" s="68" t="s">
        <v>71</v>
      </c>
      <c r="F654" s="15" t="str">
        <f>IF($C654="","",IF($E654="","-",IFERROR(INDEX(SETUP!$B$55:$B$64,MATCH($E654,SETUP!$A$55:$A$64,0)),"Other")))</f>
        <v>Frontline</v>
      </c>
      <c r="G654" s="70">
        <v>62672</v>
      </c>
      <c r="H654" s="15" t="str">
        <f>IF($C654="","",IF($G654="","-",INDEX(SETUP!$B$26:$B$32,MATCH($G654,SETUP!$A$26:$A$32,1))))</f>
        <v>62,000 - 62,999</v>
      </c>
      <c r="I654" s="70">
        <v>3150</v>
      </c>
      <c r="J654" s="15" t="str">
        <f>IF($C654="","",IF($I654="","-",INDEX(SETUP!$B$16:$B$22,MATCH($I654,SETUP!$A$16:$A$22,1))))</f>
        <v>DEVELOPING</v>
      </c>
      <c r="K654" s="15" t="str">
        <f>IF($C654="","",IF($I654="","-",TEXT(INT($I654/1000)*1000,"#,##0")&amp;" - "&amp;TEXT(INT($I654/1000)*1000+999,"#,##0")))</f>
        <v>3,000 - 3,999</v>
      </c>
      <c r="L654" s="71">
        <v>4.33</v>
      </c>
      <c r="M654" s="15" t="str">
        <f>IF($C654="","",IF($L654="","-",INDEX(SETUP!$B$36:$B$42,MATCH($L654,SETUP!$A$36:$A$42,1))))</f>
        <v>4k - 5k</v>
      </c>
      <c r="N654" s="17">
        <f>IF($C654="","",IF(OR($G654="",$I654=""),"",ROUND(100*(SETUP!$B$4*MIN(1,$I654/SETUP!$B$9)+SETUP!$B$5*MAX(0,MIN(1,($G654-SETUP!$B$10)/(SETUP!$B$11-SETUP!$B$10)))+SETUP!$B$6*MIN(1,IF($L654="",0,$L654)/SETUP!$B$12)),1)))</f>
        <v>41.2</v>
      </c>
      <c r="O654" s="15" t="str">
        <f>IF($C654="","",IF($N654="","-",INDEX(SETUP!$B$46:$B$51,MATCH($N654,SETUP!$A$46:$A$51,1))))</f>
        <v>B</v>
      </c>
      <c r="P654" s="15">
        <f>IF($C654="","",IF($I654="","",RANK($I654,$I$4:$I$1463)+COUNTIF($I$4:$I654,$I654)-1))</f>
        <v>838</v>
      </c>
      <c r="Q654" s="15">
        <f>IF($C654="","",COUNTIFS($B$4:$B$1463,$B654,$X$4:$X$1463,"&gt;"&amp;$X654)+COUNTIFS($B$4:$B654,$B654,$X$4:$X654,"="&amp;$X654))</f>
        <v>64</v>
      </c>
      <c r="R654" s="72">
        <f>IF($C654="","",IF($I654="","",ROUND(COUNTIF($I$4:$I$1463,"&lt;"&amp;$I654)/COUNT($I$4:$I$1463),3)))</f>
        <v>0.36799999999999999</v>
      </c>
      <c r="S654" s="15" t="str">
        <f>IF($C654="","",IF($G654="","Name only",IF(OR($I654="",$L654=""),"Partial","Complete")))</f>
        <v>Complete</v>
      </c>
      <c r="T654" s="41" t="str">
        <f>IF($C654="","",TRIM(IF(COUNTIF($C$4:$C$1463,$C654)&gt;1,"Dup name; ","")&amp;IF(AND($G654&lt;&gt;"",$G654&lt;55000),"Low CR - verify; ","")&amp;IF(AND($L654&lt;&gt;"",$L654&gt;15),"Secondary - verify; ","")&amp;IF($E654="","No class; ","")))</f>
        <v/>
      </c>
      <c r="U654" s="68"/>
      <c r="V654" s="68"/>
      <c r="W654" s="68"/>
      <c r="X654" s="73">
        <f t="shared" si="52"/>
        <v>3150</v>
      </c>
      <c r="Y654" s="41" t="str">
        <f t="shared" si="53"/>
        <v>ACHERON|64</v>
      </c>
      <c r="Z654" s="15">
        <f>IF($C654="","",IF($G654="","",RANK($G654,$G$4:$G$1463)+COUNTIF($G$4:$G654,$G654)-1))</f>
        <v>577</v>
      </c>
      <c r="AA654" s="15">
        <f>IF($C654="","",IF($N654="","",RANK($N654,$N$4:$N$1463)+COUNTIF($N$4:$N654,$N654)-1))</f>
        <v>767</v>
      </c>
      <c r="AB654" s="41" t="str">
        <f>IF($C654="","",IF($E654="","",$E654&amp;"#"&amp;(COUNTIFS($E$4:$E$1463,$E654,$X$4:$X$1463,"&gt;"&amp;$X654)+COUNTIFS($E$4:$E654,$E654,$X$4:$X654,"="&amp;$X654))))</f>
        <v>BARBARIAN#150</v>
      </c>
      <c r="AC654" s="41" t="str">
        <f>IF($C654="","",$B654&amp;"@"&amp;(COUNTIFS($B$4:$B$1463,$B654,$C$4:$C$1463,"&lt;"&amp;$C654)+COUNTIFS($B$4:$B654,$B654,$C$4:$C654,$C654)))</f>
        <v>ACHERON@38</v>
      </c>
      <c r="AD654" s="41">
        <f t="shared" si="54"/>
        <v>651</v>
      </c>
      <c r="AE654" s="41" t="s">
        <v>1671</v>
      </c>
      <c r="AF654" s="73">
        <f t="shared" si="55"/>
        <v>62672</v>
      </c>
      <c r="AG654" s="74">
        <f t="shared" si="56"/>
        <v>4.33</v>
      </c>
      <c r="AH654" s="41" t="str">
        <f>IF($C654="","",$B654&amp;"|"&amp;(COUNTIFS($B$4:$B$1463,$B654,$AF$4:$AF$1463,"&gt;"&amp;$AF654)+COUNTIFS($B$4:$B654,$B654,$AF$4:$AF654,"="&amp;$AF654)))</f>
        <v>ACHERON|46</v>
      </c>
      <c r="AI654" s="41" t="str">
        <f>IF($C654="","",$B654&amp;"|"&amp;(COUNTIFS($B$4:$B$1463,$B654,$AG$4:$AG$1463,"&gt;"&amp;$AG654)+COUNTIFS($B$4:$B654,$B654,$AG$4:$AG654,"="&amp;$AG654)))</f>
        <v>ACHERON|65</v>
      </c>
    </row>
    <row r="655" spans="1:35" hidden="1">
      <c r="A655" s="69" t="s">
        <v>109</v>
      </c>
      <c r="B655" s="69" t="s">
        <v>108</v>
      </c>
      <c r="C655" s="63" t="s">
        <v>1672</v>
      </c>
      <c r="D655" s="69"/>
      <c r="E655" s="68" t="s">
        <v>74</v>
      </c>
      <c r="F655" s="19" t="str">
        <f>IF($C655="","",IF($E655="","-",IFERROR(INDEX(SETUP!$B$55:$B$64,MATCH($E655,SETUP!$A$55:$A$64,0)),"Other")))</f>
        <v>Ranged DPS</v>
      </c>
      <c r="G655" s="70">
        <v>63830</v>
      </c>
      <c r="H655" s="19" t="str">
        <f>IF($C655="","",IF($G655="","-",INDEX(SETUP!$B$26:$B$32,MATCH($G655,SETUP!$A$26:$A$32,1))))</f>
        <v>63,000 - 63,999</v>
      </c>
      <c r="I655" s="70">
        <v>9008</v>
      </c>
      <c r="J655" s="19" t="str">
        <f>IF($C655="","",IF($I655="","-",INDEX(SETUP!$B$16:$B$22,MATCH($I655,SETUP!$A$16:$A$22,1))))</f>
        <v>ELITE</v>
      </c>
      <c r="K655" s="19" t="str">
        <f>IF($C655="","",IF($I655="","-",TEXT(INT($I655/1000)*1000,"#,##0")&amp;" - "&amp;TEXT(INT($I655/1000)*1000+999,"#,##0")))</f>
        <v>9,000 - 9,999</v>
      </c>
      <c r="L655" s="71">
        <v>8.8000000000000007</v>
      </c>
      <c r="M655" s="19" t="str">
        <f>IF($C655="","",IF($L655="","-",INDEX(SETUP!$B$36:$B$42,MATCH($L655,SETUP!$A$36:$A$42,1))))</f>
        <v>8k - 10k</v>
      </c>
      <c r="N655" s="21">
        <f>IF($C655="","",IF(OR($G655="",$I655=""),"",ROUND(100*(SETUP!$B$4*MIN(1,$I655/SETUP!$B$9)+SETUP!$B$5*MAX(0,MIN(1,($G655-SETUP!$B$10)/(SETUP!$B$11-SETUP!$B$10)))+SETUP!$B$6*MIN(1,IF($L655="",0,$L655)/SETUP!$B$12)),1)))</f>
        <v>77.2</v>
      </c>
      <c r="O655" s="19" t="str">
        <f>IF($C655="","",IF($N655="","-",INDEX(SETUP!$B$46:$B$51,MATCH($N655,SETUP!$A$46:$A$51,1))))</f>
        <v>S</v>
      </c>
      <c r="P655" s="19">
        <f>IF($C655="","",IF($I655="","",RANK($I655,$I$4:$I$1463)+COUNTIF($I$4:$I655,$I655)-1))</f>
        <v>94</v>
      </c>
      <c r="Q655" s="19">
        <f>IF($C655="","",COUNTIFS($B$4:$B$1463,$B655,$X$4:$X$1463,"&gt;"&amp;$X655)+COUNTIFS($B$4:$B655,$B655,$X$4:$X655,"="&amp;$X655))</f>
        <v>12</v>
      </c>
      <c r="R655" s="75">
        <f>IF($C655="","",IF($I655="","",ROUND(COUNTIF($I$4:$I$1463,"&lt;"&amp;$I655)/COUNT($I$4:$I$1463),3)))</f>
        <v>0.92900000000000005</v>
      </c>
      <c r="S655" s="19" t="str">
        <f>IF($C655="","",IF($G655="","Name only",IF(OR($I655="",$L655=""),"Partial","Complete")))</f>
        <v>Complete</v>
      </c>
      <c r="T655" s="1" t="str">
        <f>IF($C655="","",TRIM(IF(COUNTIF($C$4:$C$1463,$C655)&gt;1,"Dup name; ","")&amp;IF(AND($G655&lt;&gt;"",$G655&lt;55000),"Low CR - verify; ","")&amp;IF(AND($L655&lt;&gt;"",$L655&gt;15),"Secondary - verify; ","")&amp;IF($E655="","No class; ","")))</f>
        <v/>
      </c>
      <c r="U655" s="68"/>
      <c r="V655" s="68"/>
      <c r="W655" s="68"/>
      <c r="X655" s="76">
        <f t="shared" si="52"/>
        <v>9008</v>
      </c>
      <c r="Y655" s="1" t="str">
        <f t="shared" si="53"/>
        <v>SBG|12</v>
      </c>
      <c r="Z655" s="19">
        <f>IF($C655="","",IF($G655="","",RANK($G655,$G$4:$G$1463)+COUNTIF($G$4:$G655,$G655)-1))</f>
        <v>113</v>
      </c>
      <c r="AA655" s="19">
        <f>IF($C655="","",IF($N655="","",RANK($N655,$N$4:$N$1463)+COUNTIF($N$4:$N655,$N655)-1))</f>
        <v>75</v>
      </c>
      <c r="AB655" s="1" t="str">
        <f>IF($C655="","",IF($E655="","",$E655&amp;"#"&amp;(COUNTIFS($E$4:$E$1463,$E655,$X$4:$X$1463,"&gt;"&amp;$X655)+COUNTIFS($E$4:$E655,$E655,$X$4:$X655,"="&amp;$X655))))</f>
        <v>DEMON HUNTER#16</v>
      </c>
      <c r="AC655" s="1" t="str">
        <f>IF($C655="","",$B655&amp;"@"&amp;(COUNTIFS($B$4:$B$1463,$B655,$C$4:$C$1463,"&lt;"&amp;$C655)+COUNTIFS($B$4:$B655,$B655,$C$4:$C655,$C655)))</f>
        <v>SBG@40</v>
      </c>
      <c r="AD655" s="1">
        <f t="shared" si="54"/>
        <v>652</v>
      </c>
      <c r="AE655" s="1" t="s">
        <v>1673</v>
      </c>
      <c r="AF655" s="76">
        <f t="shared" si="55"/>
        <v>63830</v>
      </c>
      <c r="AG655" s="77">
        <f t="shared" si="56"/>
        <v>8.8000000000000007</v>
      </c>
      <c r="AH655" s="1" t="str">
        <f>IF($C655="","",$B655&amp;"|"&amp;(COUNTIFS($B$4:$B$1463,$B655,$AF$4:$AF$1463,"&gt;"&amp;$AF655)+COUNTIFS($B$4:$B655,$B655,$AF$4:$AF655,"="&amp;$AF655)))</f>
        <v>SBG|19</v>
      </c>
      <c r="AI655" s="1" t="str">
        <f>IF($C655="","",$B655&amp;"|"&amp;(COUNTIFS($B$4:$B$1463,$B655,$AG$4:$AG$1463,"&gt;"&amp;$AG655)+COUNTIFS($B$4:$B655,$B655,$AG$4:$AG655,"="&amp;$AG655)))</f>
        <v>SBG|5</v>
      </c>
    </row>
    <row r="656" spans="1:35" hidden="1">
      <c r="A656" s="69" t="s">
        <v>109</v>
      </c>
      <c r="B656" s="69" t="s">
        <v>117</v>
      </c>
      <c r="C656" s="63" t="s">
        <v>1674</v>
      </c>
      <c r="D656" s="69"/>
      <c r="E656" s="68" t="s">
        <v>79</v>
      </c>
      <c r="F656" s="15" t="str">
        <f>IF($C656="","",IF($E656="","-",IFERROR(INDEX(SETUP!$B$55:$B$64,MATCH($E656,SETUP!$A$55:$A$64,0)),"Other")))</f>
        <v>Control</v>
      </c>
      <c r="G656" s="70">
        <v>62037</v>
      </c>
      <c r="H656" s="15" t="str">
        <f>IF($C656="","",IF($G656="","-",INDEX(SETUP!$B$26:$B$32,MATCH($G656,SETUP!$A$26:$A$32,1))))</f>
        <v>62,000 - 62,999</v>
      </c>
      <c r="I656" s="70">
        <v>1233</v>
      </c>
      <c r="J656" s="15" t="str">
        <f>IF($C656="","",IF($I656="","-",INDEX(SETUP!$B$16:$B$22,MATCH($I656,SETUP!$A$16:$A$22,1))))</f>
        <v>ROOKIE</v>
      </c>
      <c r="K656" s="15" t="str">
        <f>IF($C656="","",IF($I656="","-",TEXT(INT($I656/1000)*1000,"#,##0")&amp;" - "&amp;TEXT(INT($I656/1000)*1000+999,"#,##0")))</f>
        <v>1,000 - 1,999</v>
      </c>
      <c r="L656" s="71">
        <v>3</v>
      </c>
      <c r="M656" s="15" t="str">
        <f>IF($C656="","",IF($L656="","-",INDEX(SETUP!$B$36:$B$42,MATCH($L656,SETUP!$A$36:$A$42,1))))</f>
        <v>3k - 4k</v>
      </c>
      <c r="N656" s="17">
        <f>IF($C656="","",IF(OR($G656="",$I656=""),"",ROUND(100*(SETUP!$B$4*MIN(1,$I656/SETUP!$B$9)+SETUP!$B$5*MAX(0,MIN(1,($G656-SETUP!$B$10)/(SETUP!$B$11-SETUP!$B$10)))+SETUP!$B$6*MIN(1,IF($L656="",0,$L656)/SETUP!$B$12)),1)))</f>
        <v>28.9</v>
      </c>
      <c r="O656" s="15" t="str">
        <f>IF($C656="","",IF($N656="","-",INDEX(SETUP!$B$46:$B$51,MATCH($N656,SETUP!$A$46:$A$51,1))))</f>
        <v>C</v>
      </c>
      <c r="P656" s="15">
        <f>IF($C656="","",IF($I656="","",RANK($I656,$I$4:$I$1463)+COUNTIF($I$4:$I656,$I656)-1))</f>
        <v>1238</v>
      </c>
      <c r="Q656" s="15">
        <f>IF($C656="","",COUNTIFS($B$4:$B$1463,$B656,$X$4:$X$1463,"&gt;"&amp;$X656)+COUNTIFS($B$4:$B656,$B656,$X$4:$X656,"="&amp;$X656))</f>
        <v>80</v>
      </c>
      <c r="R656" s="72">
        <f>IF($C656="","",IF($I656="","",ROUND(COUNTIF($I$4:$I$1463,"&lt;"&amp;$I656)/COUNT($I$4:$I$1463),3)))</f>
        <v>6.6000000000000003E-2</v>
      </c>
      <c r="S656" s="15" t="str">
        <f>IF($C656="","",IF($G656="","Name only",IF(OR($I656="",$L656=""),"Partial","Complete")))</f>
        <v>Complete</v>
      </c>
      <c r="T656" s="41" t="str">
        <f>IF($C656="","",TRIM(IF(COUNTIF($C$4:$C$1463,$C656)&gt;1,"Dup name; ","")&amp;IF(AND($G656&lt;&gt;"",$G656&lt;55000),"Low CR - verify; ","")&amp;IF(AND($L656&lt;&gt;"",$L656&gt;15),"Secondary - verify; ","")&amp;IF($E656="","No class; ","")))</f>
        <v/>
      </c>
      <c r="U656" s="68"/>
      <c r="V656" s="68"/>
      <c r="W656" s="68"/>
      <c r="X656" s="73">
        <f t="shared" si="52"/>
        <v>1233</v>
      </c>
      <c r="Y656" s="41" t="str">
        <f t="shared" si="53"/>
        <v>VENDETTA|80</v>
      </c>
      <c r="Z656" s="15">
        <f>IF($C656="","",IF($G656="","",RANK($G656,$G$4:$G$1463)+COUNTIF($G$4:$G656,$G656)-1))</f>
        <v>822</v>
      </c>
      <c r="AA656" s="15">
        <f>IF($C656="","",IF($N656="","",RANK($N656,$N$4:$N$1463)+COUNTIF($N$4:$N656,$N656)-1))</f>
        <v>1170</v>
      </c>
      <c r="AB656" s="41" t="str">
        <f>IF($C656="","",IF($E656="","",$E656&amp;"#"&amp;(COUNTIFS($E$4:$E$1463,$E656,$X$4:$X$1463,"&gt;"&amp;$X656)+COUNTIFS($E$4:$E656,$E656,$X$4:$X656,"="&amp;$X656))))</f>
        <v>WARLOCK#304</v>
      </c>
      <c r="AC656" s="41" t="str">
        <f>IF($C656="","",$B656&amp;"@"&amp;(COUNTIFS($B$4:$B$1463,$B656,$C$4:$C$1463,"&lt;"&amp;$C656)+COUNTIFS($B$4:$B656,$B656,$C$4:$C656,$C656)))</f>
        <v>VENDETTA@49</v>
      </c>
      <c r="AD656" s="41">
        <f t="shared" si="54"/>
        <v>653</v>
      </c>
      <c r="AE656" s="41" t="s">
        <v>611</v>
      </c>
      <c r="AF656" s="73">
        <f t="shared" si="55"/>
        <v>62037</v>
      </c>
      <c r="AG656" s="74">
        <f t="shared" si="56"/>
        <v>3</v>
      </c>
      <c r="AH656" s="41" t="str">
        <f>IF($C656="","",$B656&amp;"|"&amp;(COUNTIFS($B$4:$B$1463,$B656,$AF$4:$AF$1463,"&gt;"&amp;$AF656)+COUNTIFS($B$4:$B656,$B656,$AF$4:$AF656,"="&amp;$AF656)))</f>
        <v>VENDETTA|38</v>
      </c>
      <c r="AI656" s="41" t="str">
        <f>IF($C656="","",$B656&amp;"|"&amp;(COUNTIFS($B$4:$B$1463,$B656,$AG$4:$AG$1463,"&gt;"&amp;$AG656)+COUNTIFS($B$4:$B656,$B656,$AG$4:$AG656,"="&amp;$AG656)))</f>
        <v>VENDETTA|79</v>
      </c>
    </row>
    <row r="657" spans="1:35" hidden="1">
      <c r="A657" s="69" t="s">
        <v>109</v>
      </c>
      <c r="B657" s="69" t="s">
        <v>116</v>
      </c>
      <c r="C657" s="63" t="s">
        <v>1675</v>
      </c>
      <c r="D657" s="69" t="s">
        <v>530</v>
      </c>
      <c r="E657" s="68" t="s">
        <v>71</v>
      </c>
      <c r="F657" s="19" t="str">
        <f>IF($C657="","",IF($E657="","-",IFERROR(INDEX(SETUP!$B$55:$B$64,MATCH($E657,SETUP!$A$55:$A$64,0)),"Other")))</f>
        <v>Frontline</v>
      </c>
      <c r="G657" s="70">
        <v>62649</v>
      </c>
      <c r="H657" s="19" t="str">
        <f>IF($C657="","",IF($G657="","-",INDEX(SETUP!$B$26:$B$32,MATCH($G657,SETUP!$A$26:$A$32,1))))</f>
        <v>62,000 - 62,999</v>
      </c>
      <c r="I657" s="70">
        <v>1686</v>
      </c>
      <c r="J657" s="19" t="str">
        <f>IF($C657="","",IF($I657="","-",INDEX(SETUP!$B$16:$B$22,MATCH($I657,SETUP!$A$16:$A$22,1))))</f>
        <v>ROOKIE</v>
      </c>
      <c r="K657" s="19" t="str">
        <f>IF($C657="","",IF($I657="","-",TEXT(INT($I657/1000)*1000,"#,##0")&amp;" - "&amp;TEXT(INT($I657/1000)*1000+999,"#,##0")))</f>
        <v>1,000 - 1,999</v>
      </c>
      <c r="L657" s="71">
        <v>3.8</v>
      </c>
      <c r="M657" s="19" t="str">
        <f>IF($C657="","",IF($L657="","-",INDEX(SETUP!$B$36:$B$42,MATCH($L657,SETUP!$A$36:$A$42,1))))</f>
        <v>3k - 4k</v>
      </c>
      <c r="N657" s="21">
        <f>IF($C657="","",IF(OR($G657="",$I657=""),"",ROUND(100*(SETUP!$B$4*MIN(1,$I657/SETUP!$B$9)+SETUP!$B$5*MAX(0,MIN(1,($G657-SETUP!$B$10)/(SETUP!$B$11-SETUP!$B$10)))+SETUP!$B$6*MIN(1,IF($L657="",0,$L657)/SETUP!$B$12)),1)))</f>
        <v>33.799999999999997</v>
      </c>
      <c r="O657" s="19" t="str">
        <f>IF($C657="","",IF($N657="","-",INDEX(SETUP!$B$46:$B$51,MATCH($N657,SETUP!$A$46:$A$51,1))))</f>
        <v>C</v>
      </c>
      <c r="P657" s="19">
        <f>IF($C657="","",IF($I657="","",RANK($I657,$I$4:$I$1463)+COUNTIF($I$4:$I657,$I657)-1))</f>
        <v>1160</v>
      </c>
      <c r="Q657" s="19">
        <f>IF($C657="","",COUNTIFS($B$4:$B$1463,$B657,$X$4:$X$1463,"&gt;"&amp;$X657)+COUNTIFS($B$4:$B657,$B657,$X$4:$X657,"="&amp;$X657))</f>
        <v>89</v>
      </c>
      <c r="R657" s="75">
        <f>IF($C657="","",IF($I657="","",ROUND(COUNTIF($I$4:$I$1463,"&lt;"&amp;$I657)/COUNT($I$4:$I$1463),3)))</f>
        <v>0.125</v>
      </c>
      <c r="S657" s="19" t="str">
        <f>IF($C657="","",IF($G657="","Name only",IF(OR($I657="",$L657=""),"Partial","Complete")))</f>
        <v>Complete</v>
      </c>
      <c r="T657" s="1" t="str">
        <f>IF($C657="","",TRIM(IF(COUNTIF($C$4:$C$1463,$C657)&gt;1,"Dup name; ","")&amp;IF(AND($G657&lt;&gt;"",$G657&lt;55000),"Low CR - verify; ","")&amp;IF(AND($L657&lt;&gt;"",$L657&gt;15),"Secondary - verify; ","")&amp;IF($E657="","No class; ","")))</f>
        <v/>
      </c>
      <c r="U657" s="68"/>
      <c r="V657" s="68"/>
      <c r="W657" s="68"/>
      <c r="X657" s="76">
        <f t="shared" si="52"/>
        <v>1686</v>
      </c>
      <c r="Y657" s="1" t="str">
        <f t="shared" si="53"/>
        <v>VENGEANCE|89</v>
      </c>
      <c r="Z657" s="19">
        <f>IF($C657="","",IF($G657="","",RANK($G657,$G$4:$G$1463)+COUNTIF($G$4:$G657,$G657)-1))</f>
        <v>586</v>
      </c>
      <c r="AA657" s="19">
        <f>IF($C657="","",IF($N657="","",RANK($N657,$N$4:$N$1463)+COUNTIF($N$4:$N657,$N657)-1))</f>
        <v>1048</v>
      </c>
      <c r="AB657" s="1" t="str">
        <f>IF($C657="","",IF($E657="","",$E657&amp;"#"&amp;(COUNTIFS($E$4:$E$1463,$E657,$X$4:$X$1463,"&gt;"&amp;$X657)+COUNTIFS($E$4:$E657,$E657,$X$4:$X657,"="&amp;$X657))))</f>
        <v>BARBARIAN#199</v>
      </c>
      <c r="AC657" s="1" t="str">
        <f>IF($C657="","",$B657&amp;"@"&amp;(COUNTIFS($B$4:$B$1463,$B657,$C$4:$C$1463,"&lt;"&amp;$C657)+COUNTIFS($B$4:$B657,$B657,$C$4:$C657,$C657)))</f>
        <v>VENGEANCE@39</v>
      </c>
      <c r="AD657" s="1">
        <f t="shared" si="54"/>
        <v>654</v>
      </c>
      <c r="AE657" s="1" t="s">
        <v>531</v>
      </c>
      <c r="AF657" s="76">
        <f t="shared" si="55"/>
        <v>62649</v>
      </c>
      <c r="AG657" s="77">
        <f t="shared" si="56"/>
        <v>3.8</v>
      </c>
      <c r="AH657" s="1" t="str">
        <f>IF($C657="","",$B657&amp;"|"&amp;(COUNTIFS($B$4:$B$1463,$B657,$AF$4:$AF$1463,"&gt;"&amp;$AF657)+COUNTIFS($B$4:$B657,$B657,$AF$4:$AF657,"="&amp;$AF657)))</f>
        <v>VENGEANCE|34</v>
      </c>
      <c r="AI657" s="1" t="str">
        <f>IF($C657="","",$B657&amp;"|"&amp;(COUNTIFS($B$4:$B$1463,$B657,$AG$4:$AG$1463,"&gt;"&amp;$AG657)+COUNTIFS($B$4:$B657,$B657,$AG$4:$AG657,"="&amp;$AG657)))</f>
        <v>VENGEANCE|70</v>
      </c>
    </row>
    <row r="658" spans="1:35" hidden="1">
      <c r="A658" s="69" t="s">
        <v>106</v>
      </c>
      <c r="B658" s="69" t="s">
        <v>86</v>
      </c>
      <c r="C658" s="63" t="s">
        <v>1676</v>
      </c>
      <c r="D658" s="69"/>
      <c r="E658" s="68" t="s">
        <v>72</v>
      </c>
      <c r="F658" s="15" t="str">
        <f>IF($C658="","",IF($E658="","-",IFERROR(INDEX(SETUP!$B$55:$B$64,MATCH($E658,SETUP!$A$55:$A$64,0)),"Other")))</f>
        <v>Frontline</v>
      </c>
      <c r="G658" s="70">
        <v>62787</v>
      </c>
      <c r="H658" s="15" t="str">
        <f>IF($C658="","",IF($G658="","-",INDEX(SETUP!$B$26:$B$32,MATCH($G658,SETUP!$A$26:$A$32,1))))</f>
        <v>62,000 - 62,999</v>
      </c>
      <c r="I658" s="70">
        <v>2200</v>
      </c>
      <c r="J658" s="15" t="str">
        <f>IF($C658="","",IF($I658="","-",INDEX(SETUP!$B$16:$B$22,MATCH($I658,SETUP!$A$16:$A$22,1))))</f>
        <v>DEVELOPING</v>
      </c>
      <c r="K658" s="15" t="str">
        <f>IF($C658="","",IF($I658="","-",TEXT(INT($I658/1000)*1000,"#,##0")&amp;" - "&amp;TEXT(INT($I658/1000)*1000+999,"#,##0")))</f>
        <v>2,000 - 2,999</v>
      </c>
      <c r="L658" s="71">
        <v>4</v>
      </c>
      <c r="M658" s="15" t="str">
        <f>IF($C658="","",IF($L658="","-",INDEX(SETUP!$B$36:$B$42,MATCH($L658,SETUP!$A$36:$A$42,1))))</f>
        <v>4k - 5k</v>
      </c>
      <c r="N658" s="17">
        <f>IF($C658="","",IF(OR($G658="",$I658=""),"",ROUND(100*(SETUP!$B$4*MIN(1,$I658/SETUP!$B$9)+SETUP!$B$5*MAX(0,MIN(1,($G658-SETUP!$B$10)/(SETUP!$B$11-SETUP!$B$10)))+SETUP!$B$6*MIN(1,IF($L658="",0,$L658)/SETUP!$B$12)),1)))</f>
        <v>36.799999999999997</v>
      </c>
      <c r="O658" s="15" t="str">
        <f>IF($C658="","",IF($N658="","-",INDEX(SETUP!$B$46:$B$51,MATCH($N658,SETUP!$A$46:$A$51,1))))</f>
        <v>B</v>
      </c>
      <c r="P658" s="15">
        <f>IF($C658="","",IF($I658="","",RANK($I658,$I$4:$I$1463)+COUNTIF($I$4:$I658,$I658)-1))</f>
        <v>1067</v>
      </c>
      <c r="Q658" s="15">
        <f>IF($C658="","",COUNTIFS($B$4:$B$1463,$B658,$X$4:$X$1463,"&gt;"&amp;$X658)+COUNTIFS($B$4:$B658,$B658,$X$4:$X658,"="&amp;$X658))</f>
        <v>93</v>
      </c>
      <c r="R658" s="72">
        <f>IF($C658="","",IF($I658="","",ROUND(COUNTIF($I$4:$I$1463,"&lt;"&amp;$I658)/COUNT($I$4:$I$1463),3)))</f>
        <v>0.19500000000000001</v>
      </c>
      <c r="S658" s="15" t="str">
        <f>IF($C658="","",IF($G658="","Name only",IF(OR($I658="",$L658=""),"Partial","Complete")))</f>
        <v>Complete</v>
      </c>
      <c r="T658" s="41" t="str">
        <f>IF($C658="","",TRIM(IF(COUNTIF($C$4:$C$1463,$C658)&gt;1,"Dup name; ","")&amp;IF(AND($G658&lt;&gt;"",$G658&lt;55000),"Low CR - verify; ","")&amp;IF(AND($L658&lt;&gt;"",$L658&gt;15),"Secondary - verify; ","")&amp;IF($E658="","No class; ","")))</f>
        <v/>
      </c>
      <c r="U658" s="68"/>
      <c r="V658" s="68"/>
      <c r="W658" s="68"/>
      <c r="X658" s="73">
        <f t="shared" si="52"/>
        <v>2200</v>
      </c>
      <c r="Y658" s="41" t="str">
        <f t="shared" si="53"/>
        <v>VANGUARD|93</v>
      </c>
      <c r="Z658" s="15">
        <f>IF($C658="","",IF($G658="","",RANK($G658,$G$4:$G$1463)+COUNTIF($G$4:$G658,$G658)-1))</f>
        <v>526</v>
      </c>
      <c r="AA658" s="15">
        <f>IF($C658="","",IF($N658="","",RANK($N658,$N$4:$N$1463)+COUNTIF($N$4:$N658,$N658)-1))</f>
        <v>936</v>
      </c>
      <c r="AB658" s="41" t="str">
        <f>IF($C658="","",IF($E658="","",$E658&amp;"#"&amp;(COUNTIFS($E$4:$E$1463,$E658,$X$4:$X$1463,"&gt;"&amp;$X658)+COUNTIFS($E$4:$E658,$E658,$X$4:$X658,"="&amp;$X658))))</f>
        <v>BLOOD KNIGHT#73</v>
      </c>
      <c r="AC658" s="41" t="str">
        <f>IF($C658="","",$B658&amp;"@"&amp;(COUNTIFS($B$4:$B$1463,$B658,$C$4:$C$1463,"&lt;"&amp;$C658)+COUNTIFS($B$4:$B658,$B658,$C$4:$C658,$C658)))</f>
        <v>VANGUARD@52</v>
      </c>
      <c r="AD658" s="41">
        <f t="shared" si="54"/>
        <v>655</v>
      </c>
      <c r="AE658" s="41" t="s">
        <v>1081</v>
      </c>
      <c r="AF658" s="73">
        <f t="shared" si="55"/>
        <v>62787</v>
      </c>
      <c r="AG658" s="74">
        <f t="shared" si="56"/>
        <v>4</v>
      </c>
      <c r="AH658" s="41" t="str">
        <f>IF($C658="","",$B658&amp;"|"&amp;(COUNTIFS($B$4:$B$1463,$B658,$AF$4:$AF$1463,"&gt;"&amp;$AF658)+COUNTIFS($B$4:$B658,$B658,$AF$4:$AF658,"="&amp;$AF658)))</f>
        <v>VANGUARD|73</v>
      </c>
      <c r="AI658" s="41" t="str">
        <f>IF($C658="","",$B658&amp;"|"&amp;(COUNTIFS($B$4:$B$1463,$B658,$AG$4:$AG$1463,"&gt;"&amp;$AG658)+COUNTIFS($B$4:$B658,$B658,$AG$4:$AG658,"="&amp;$AG658)))</f>
        <v>VANGUARD|89</v>
      </c>
    </row>
    <row r="659" spans="1:35" hidden="1">
      <c r="A659" s="69" t="s">
        <v>109</v>
      </c>
      <c r="B659" s="69" t="s">
        <v>111</v>
      </c>
      <c r="C659" s="63" t="s">
        <v>1677</v>
      </c>
      <c r="D659" s="69" t="s">
        <v>527</v>
      </c>
      <c r="E659" s="68" t="s">
        <v>79</v>
      </c>
      <c r="F659" s="19" t="str">
        <f>IF($C659="","",IF($E659="","-",IFERROR(INDEX(SETUP!$B$55:$B$64,MATCH($E659,SETUP!$A$55:$A$64,0)),"Other")))</f>
        <v>Control</v>
      </c>
      <c r="G659" s="70">
        <v>62792</v>
      </c>
      <c r="H659" s="19" t="str">
        <f>IF($C659="","",IF($G659="","-",INDEX(SETUP!$B$26:$B$32,MATCH($G659,SETUP!$A$26:$A$32,1))))</f>
        <v>62,000 - 62,999</v>
      </c>
      <c r="I659" s="70">
        <v>5260</v>
      </c>
      <c r="J659" s="19" t="str">
        <f>IF($C659="","",IF($I659="","-",INDEX(SETUP!$B$16:$B$22,MATCH($I659,SETUP!$A$16:$A$22,1))))</f>
        <v>CORE</v>
      </c>
      <c r="K659" s="19" t="str">
        <f>IF($C659="","",IF($I659="","-",TEXT(INT($I659/1000)*1000,"#,##0")&amp;" - "&amp;TEXT(INT($I659/1000)*1000+999,"#,##0")))</f>
        <v>5,000 - 5,999</v>
      </c>
      <c r="L659" s="71">
        <v>5.0999999999999996</v>
      </c>
      <c r="M659" s="19" t="str">
        <f>IF($C659="","",IF($L659="","-",INDEX(SETUP!$B$36:$B$42,MATCH($L659,SETUP!$A$36:$A$42,1))))</f>
        <v>5k - 6k</v>
      </c>
      <c r="N659" s="21">
        <f>IF($C659="","",IF(OR($G659="",$I659=""),"",ROUND(100*(SETUP!$B$4*MIN(1,$I659/SETUP!$B$9)+SETUP!$B$5*MAX(0,MIN(1,($G659-SETUP!$B$10)/(SETUP!$B$11-SETUP!$B$10)))+SETUP!$B$6*MIN(1,IF($L659="",0,$L659)/SETUP!$B$12)),1)))</f>
        <v>52</v>
      </c>
      <c r="O659" s="19" t="str">
        <f>IF($C659="","",IF($N659="","-",INDEX(SETUP!$B$46:$B$51,MATCH($N659,SETUP!$A$46:$A$51,1))))</f>
        <v>A</v>
      </c>
      <c r="P659" s="19">
        <f>IF($C659="","",IF($I659="","",RANK($I659,$I$4:$I$1463)+COUNTIF($I$4:$I659,$I659)-1))</f>
        <v>370</v>
      </c>
      <c r="Q659" s="19">
        <f>IF($C659="","",COUNTIFS($B$4:$B$1463,$B659,$X$4:$X$1463,"&gt;"&amp;$X659)+COUNTIFS($B$4:$B659,$B659,$X$4:$X659,"="&amp;$X659))</f>
        <v>43</v>
      </c>
      <c r="R659" s="75">
        <f>IF($C659="","",IF($I659="","",ROUND(COUNTIF($I$4:$I$1463,"&lt;"&amp;$I659)/COUNT($I$4:$I$1463),3)))</f>
        <v>0.72099999999999997</v>
      </c>
      <c r="S659" s="19" t="str">
        <f>IF($C659="","",IF($G659="","Name only",IF(OR($I659="",$L659=""),"Partial","Complete")))</f>
        <v>Complete</v>
      </c>
      <c r="T659" s="1" t="str">
        <f>IF($C659="","",TRIM(IF(COUNTIF($C$4:$C$1463,$C659)&gt;1,"Dup name; ","")&amp;IF(AND($G659&lt;&gt;"",$G659&lt;55000),"Low CR - verify; ","")&amp;IF(AND($L659&lt;&gt;"",$L659&gt;15),"Secondary - verify; ","")&amp;IF($E659="","No class; ","")))</f>
        <v/>
      </c>
      <c r="U659" s="68"/>
      <c r="V659" s="68"/>
      <c r="W659" s="68"/>
      <c r="X659" s="76">
        <f t="shared" si="52"/>
        <v>5260</v>
      </c>
      <c r="Y659" s="1" t="str">
        <f t="shared" si="53"/>
        <v>RECKONING|43</v>
      </c>
      <c r="Z659" s="19">
        <f>IF($C659="","",IF($G659="","",RANK($G659,$G$4:$G$1463)+COUNTIF($G$4:$G659,$G659)-1))</f>
        <v>523</v>
      </c>
      <c r="AA659" s="19">
        <f>IF($C659="","",IF($N659="","",RANK($N659,$N$4:$N$1463)+COUNTIF($N$4:$N659,$N659)-1))</f>
        <v>390</v>
      </c>
      <c r="AB659" s="1" t="str">
        <f>IF($C659="","",IF($E659="","",$E659&amp;"#"&amp;(COUNTIFS($E$4:$E$1463,$E659,$X$4:$X$1463,"&gt;"&amp;$X659)+COUNTIFS($E$4:$E659,$E659,$X$4:$X659,"="&amp;$X659))))</f>
        <v>WARLOCK#86</v>
      </c>
      <c r="AC659" s="1" t="str">
        <f>IF($C659="","",$B659&amp;"@"&amp;(COUNTIFS($B$4:$B$1463,$B659,$C$4:$C$1463,"&lt;"&amp;$C659)+COUNTIFS($B$4:$B659,$B659,$C$4:$C659,$C659)))</f>
        <v>RECKONING@53</v>
      </c>
      <c r="AD659" s="1">
        <f t="shared" si="54"/>
        <v>656</v>
      </c>
      <c r="AE659" s="1" t="s">
        <v>1678</v>
      </c>
      <c r="AF659" s="76">
        <f t="shared" si="55"/>
        <v>62792</v>
      </c>
      <c r="AG659" s="77">
        <f t="shared" si="56"/>
        <v>5.0999999999999996</v>
      </c>
      <c r="AH659" s="1" t="str">
        <f>IF($C659="","",$B659&amp;"|"&amp;(COUNTIFS($B$4:$B$1463,$B659,$AF$4:$AF$1463,"&gt;"&amp;$AF659)+COUNTIFS($B$4:$B659,$B659,$AF$4:$AF659,"="&amp;$AF659)))</f>
        <v>RECKONING|51</v>
      </c>
      <c r="AI659" s="1" t="str">
        <f>IF($C659="","",$B659&amp;"|"&amp;(COUNTIFS($B$4:$B$1463,$B659,$AG$4:$AG$1463,"&gt;"&amp;$AG659)+COUNTIFS($B$4:$B659,$B659,$AG$4:$AG659,"="&amp;$AG659)))</f>
        <v>RECKONING|61</v>
      </c>
    </row>
    <row r="660" spans="1:35" hidden="1">
      <c r="A660" s="69" t="s">
        <v>109</v>
      </c>
      <c r="B660" s="69" t="s">
        <v>116</v>
      </c>
      <c r="C660" s="63" t="s">
        <v>1679</v>
      </c>
      <c r="D660" s="69" t="s">
        <v>530</v>
      </c>
      <c r="E660" s="68" t="s">
        <v>74</v>
      </c>
      <c r="F660" s="15" t="str">
        <f>IF($C660="","",IF($E660="","-",IFERROR(INDEX(SETUP!$B$55:$B$64,MATCH($E660,SETUP!$A$55:$A$64,0)),"Other")))</f>
        <v>Ranged DPS</v>
      </c>
      <c r="G660" s="70">
        <v>62711</v>
      </c>
      <c r="H660" s="15" t="str">
        <f>IF($C660="","",IF($G660="","-",INDEX(SETUP!$B$26:$B$32,MATCH($G660,SETUP!$A$26:$A$32,1))))</f>
        <v>62,000 - 62,999</v>
      </c>
      <c r="I660" s="70">
        <v>3708</v>
      </c>
      <c r="J660" s="15" t="str">
        <f>IF($C660="","",IF($I660="","-",INDEX(SETUP!$B$16:$B$22,MATCH($I660,SETUP!$A$16:$A$22,1))))</f>
        <v>DEVELOPING</v>
      </c>
      <c r="K660" s="15" t="str">
        <f>IF($C660="","",IF($I660="","-",TEXT(INT($I660/1000)*1000,"#,##0")&amp;" - "&amp;TEXT(INT($I660/1000)*1000+999,"#,##0")))</f>
        <v>3,000 - 3,999</v>
      </c>
      <c r="L660" s="71">
        <v>5.0999999999999996</v>
      </c>
      <c r="M660" s="15" t="str">
        <f>IF($C660="","",IF($L660="","-",INDEX(SETUP!$B$36:$B$42,MATCH($L660,SETUP!$A$36:$A$42,1))))</f>
        <v>5k - 6k</v>
      </c>
      <c r="N660" s="17">
        <f>IF($C660="","",IF(OR($G660="",$I660=""),"",ROUND(100*(SETUP!$B$4*MIN(1,$I660/SETUP!$B$9)+SETUP!$B$5*MAX(0,MIN(1,($G660-SETUP!$B$10)/(SETUP!$B$11-SETUP!$B$10)))+SETUP!$B$6*MIN(1,IF($L660="",0,$L660)/SETUP!$B$12)),1)))</f>
        <v>45</v>
      </c>
      <c r="O660" s="15" t="str">
        <f>IF($C660="","",IF($N660="","-",INDEX(SETUP!$B$46:$B$51,MATCH($N660,SETUP!$A$46:$A$51,1))))</f>
        <v>B</v>
      </c>
      <c r="P660" s="15">
        <f>IF($C660="","",IF($I660="","",RANK($I660,$I$4:$I$1463)+COUNTIF($I$4:$I660,$I660)-1))</f>
        <v>676</v>
      </c>
      <c r="Q660" s="15">
        <f>IF($C660="","",COUNTIFS($B$4:$B$1463,$B660,$X$4:$X$1463,"&gt;"&amp;$X660)+COUNTIFS($B$4:$B660,$B660,$X$4:$X660,"="&amp;$X660))</f>
        <v>39</v>
      </c>
      <c r="R660" s="72">
        <f>IF($C660="","",IF($I660="","",ROUND(COUNTIF($I$4:$I$1463,"&lt;"&amp;$I660)/COUNT($I$4:$I$1463),3)))</f>
        <v>0.49</v>
      </c>
      <c r="S660" s="15" t="str">
        <f>IF($C660="","",IF($G660="","Name only",IF(OR($I660="",$L660=""),"Partial","Complete")))</f>
        <v>Complete</v>
      </c>
      <c r="T660" s="41" t="str">
        <f>IF($C660="","",TRIM(IF(COUNTIF($C$4:$C$1463,$C660)&gt;1,"Dup name; ","")&amp;IF(AND($G660&lt;&gt;"",$G660&lt;55000),"Low CR - verify; ","")&amp;IF(AND($L660&lt;&gt;"",$L660&gt;15),"Secondary - verify; ","")&amp;IF($E660="","No class; ","")))</f>
        <v/>
      </c>
      <c r="U660" s="68"/>
      <c r="V660" s="68"/>
      <c r="W660" s="68"/>
      <c r="X660" s="73">
        <f t="shared" si="52"/>
        <v>3708</v>
      </c>
      <c r="Y660" s="41" t="str">
        <f t="shared" si="53"/>
        <v>VENGEANCE|39</v>
      </c>
      <c r="Z660" s="15">
        <f>IF($C660="","",IF($G660="","",RANK($G660,$G$4:$G$1463)+COUNTIF($G$4:$G660,$G660)-1))</f>
        <v>561</v>
      </c>
      <c r="AA660" s="15">
        <f>IF($C660="","",IF($N660="","",RANK($N660,$N$4:$N$1463)+COUNTIF($N$4:$N660,$N660)-1))</f>
        <v>623</v>
      </c>
      <c r="AB660" s="41" t="str">
        <f>IF($C660="","",IF($E660="","",$E660&amp;"#"&amp;(COUNTIFS($E$4:$E$1463,$E660,$X$4:$X$1463,"&gt;"&amp;$X660)+COUNTIFS($E$4:$E660,$E660,$X$4:$X660,"="&amp;$X660))))</f>
        <v>DEMON HUNTER#109</v>
      </c>
      <c r="AC660" s="41" t="str">
        <f>IF($C660="","",$B660&amp;"@"&amp;(COUNTIFS($B$4:$B$1463,$B660,$C$4:$C$1463,"&lt;"&amp;$C660)+COUNTIFS($B$4:$B660,$B660,$C$4:$C660,$C660)))</f>
        <v>VENGEANCE@40</v>
      </c>
      <c r="AD660" s="41">
        <f t="shared" si="54"/>
        <v>657</v>
      </c>
      <c r="AE660" s="41" t="s">
        <v>559</v>
      </c>
      <c r="AF660" s="73">
        <f t="shared" si="55"/>
        <v>62711</v>
      </c>
      <c r="AG660" s="74">
        <f t="shared" si="56"/>
        <v>5.0999999999999996</v>
      </c>
      <c r="AH660" s="41" t="str">
        <f>IF($C660="","",$B660&amp;"|"&amp;(COUNTIFS($B$4:$B$1463,$B660,$AF$4:$AF$1463,"&gt;"&amp;$AF660)+COUNTIFS($B$4:$B660,$B660,$AF$4:$AF660,"="&amp;$AF660)))</f>
        <v>VENGEANCE|31</v>
      </c>
      <c r="AI660" s="41" t="str">
        <f>IF($C660="","",$B660&amp;"|"&amp;(COUNTIFS($B$4:$B$1463,$B660,$AG$4:$AG$1463,"&gt;"&amp;$AG660)+COUNTIFS($B$4:$B660,$B660,$AG$4:$AG660,"="&amp;$AG660)))</f>
        <v>VENGEANCE|27</v>
      </c>
    </row>
    <row r="661" spans="1:35" hidden="1">
      <c r="A661" s="69" t="s">
        <v>109</v>
      </c>
      <c r="B661" s="69" t="s">
        <v>113</v>
      </c>
      <c r="C661" s="63" t="s">
        <v>1680</v>
      </c>
      <c r="D661" s="69" t="s">
        <v>548</v>
      </c>
      <c r="E661" s="68"/>
      <c r="F661" s="19" t="str">
        <f>IF($C661="","",IF($E661="","-",IFERROR(INDEX(SETUP!$B$55:$B$64,MATCH($E661,SETUP!$A$55:$A$64,0)),"Other")))</f>
        <v>-</v>
      </c>
      <c r="G661" s="70"/>
      <c r="H661" s="19" t="str">
        <f>IF($C661="","",IF($G661="","-",INDEX(SETUP!$B$26:$B$32,MATCH($G661,SETUP!$A$26:$A$32,1))))</f>
        <v>-</v>
      </c>
      <c r="I661" s="70"/>
      <c r="J661" s="19" t="str">
        <f>IF($C661="","",IF($I661="","-",INDEX(SETUP!$B$16:$B$22,MATCH($I661,SETUP!$A$16:$A$22,1))))</f>
        <v>-</v>
      </c>
      <c r="K661" s="19" t="str">
        <f>IF($C661="","",IF($I661="","-",TEXT(INT($I661/1000)*1000,"#,##0")&amp;" - "&amp;TEXT(INT($I661/1000)*1000+999,"#,##0")))</f>
        <v>-</v>
      </c>
      <c r="L661" s="71"/>
      <c r="M661" s="19" t="str">
        <f>IF($C661="","",IF($L661="","-",INDEX(SETUP!$B$36:$B$42,MATCH($L661,SETUP!$A$36:$A$42,1))))</f>
        <v>-</v>
      </c>
      <c r="N661" s="21" t="str">
        <f>IF($C661="","",IF(OR($G661="",$I661=""),"",ROUND(100*(SETUP!$B$4*MIN(1,$I661/SETUP!$B$9)+SETUP!$B$5*MAX(0,MIN(1,($G661-SETUP!$B$10)/(SETUP!$B$11-SETUP!$B$10)))+SETUP!$B$6*MIN(1,IF($L661="",0,$L661)/SETUP!$B$12)),1)))</f>
        <v/>
      </c>
      <c r="O661" s="19" t="str">
        <f>IF($C661="","",IF($N661="","-",INDEX(SETUP!$B$46:$B$51,MATCH($N661,SETUP!$A$46:$A$51,1))))</f>
        <v>-</v>
      </c>
      <c r="P661" s="19" t="str">
        <f>IF($C661="","",IF($I661="","",RANK($I661,$I$4:$I$1463)+COUNTIF($I$4:$I661,$I661)-1))</f>
        <v/>
      </c>
      <c r="Q661" s="19">
        <f>IF($C661="","",COUNTIFS($B$4:$B$1463,$B661,$X$4:$X$1463,"&gt;"&amp;$X661)+COUNTIFS($B$4:$B661,$B661,$X$4:$X661,"="&amp;$X661))</f>
        <v>100</v>
      </c>
      <c r="R661" s="75" t="str">
        <f>IF($C661="","",IF($I661="","",ROUND(COUNTIF($I$4:$I$1463,"&lt;"&amp;$I661)/COUNT($I$4:$I$1463),3)))</f>
        <v/>
      </c>
      <c r="S661" s="19" t="str">
        <f>IF($C661="","",IF($G661="","Name only",IF(OR($I661="",$L661=""),"Partial","Complete")))</f>
        <v>Name only</v>
      </c>
      <c r="T661" s="1" t="str">
        <f>IF($C661="","",TRIM(IF(COUNTIF($C$4:$C$1463,$C661)&gt;1,"Dup name; ","")&amp;IF(AND($G661&lt;&gt;"",$G661&lt;55000),"Low CR - verify; ","")&amp;IF(AND($L661&lt;&gt;"",$L661&gt;15),"Secondary - verify; ","")&amp;IF($E661="","No class; ","")))</f>
        <v>No class;</v>
      </c>
      <c r="U661" s="68"/>
      <c r="V661" s="68"/>
      <c r="W661" s="68"/>
      <c r="X661" s="1">
        <f t="shared" si="52"/>
        <v>-1</v>
      </c>
      <c r="Y661" s="1" t="str">
        <f t="shared" si="53"/>
        <v>INVICTUS|100</v>
      </c>
      <c r="Z661" s="19" t="str">
        <f>IF($C661="","",IF($G661="","",RANK($G661,$G$4:$G$1463)+COUNTIF($G$4:$G661,$G661)-1))</f>
        <v/>
      </c>
      <c r="AA661" s="19" t="str">
        <f>IF($C661="","",IF($N661="","",RANK($N661,$N$4:$N$1463)+COUNTIF($N$4:$N661,$N661)-1))</f>
        <v/>
      </c>
      <c r="AB661" s="1" t="str">
        <f>IF($C661="","",IF($E661="","",$E661&amp;"#"&amp;(COUNTIFS($E$4:$E$1463,$E661,$X$4:$X$1463,"&gt;"&amp;$X661)+COUNTIFS($E$4:$E661,$E661,$X$4:$X661,"="&amp;$X661))))</f>
        <v/>
      </c>
      <c r="AC661" s="1" t="str">
        <f>IF($C661="","",$B661&amp;"@"&amp;(COUNTIFS($B$4:$B$1463,$B661,$C$4:$C$1463,"&lt;"&amp;$C661)+COUNTIFS($B$4:$B661,$B661,$C$4:$C661,$C661)))</f>
        <v>INVICTUS@48</v>
      </c>
      <c r="AD661" s="1">
        <f t="shared" si="54"/>
        <v>658</v>
      </c>
      <c r="AE661" s="1"/>
      <c r="AF661" s="1">
        <f t="shared" si="55"/>
        <v>-1</v>
      </c>
      <c r="AG661" s="1">
        <f t="shared" si="56"/>
        <v>-1</v>
      </c>
      <c r="AH661" s="1" t="str">
        <f>IF($C661="","",$B661&amp;"|"&amp;(COUNTIFS($B$4:$B$1463,$B661,$AF$4:$AF$1463,"&gt;"&amp;$AF661)+COUNTIFS($B$4:$B661,$B661,$AF$4:$AF661,"="&amp;$AF661)))</f>
        <v>INVICTUS|100</v>
      </c>
      <c r="AI661" s="1" t="str">
        <f>IF($C661="","",$B661&amp;"|"&amp;(COUNTIFS($B$4:$B$1463,$B661,$AG$4:$AG$1463,"&gt;"&amp;$AG661)+COUNTIFS($B$4:$B661,$B661,$AG$4:$AG661,"="&amp;$AG661)))</f>
        <v>INVICTUS|100</v>
      </c>
    </row>
    <row r="662" spans="1:35" hidden="1">
      <c r="A662" s="69" t="s">
        <v>106</v>
      </c>
      <c r="B662" s="69" t="s">
        <v>105</v>
      </c>
      <c r="C662" s="63" t="s">
        <v>1681</v>
      </c>
      <c r="D662" s="69"/>
      <c r="E662" s="68" t="s">
        <v>73</v>
      </c>
      <c r="F662" s="15" t="str">
        <f>IF($C662="","",IF($E662="","-",IFERROR(INDEX(SETUP!$B$55:$B$64,MATCH($E662,SETUP!$A$55:$A$64,0)),"Other")))</f>
        <v>Frontline</v>
      </c>
      <c r="G662" s="70">
        <v>63113</v>
      </c>
      <c r="H662" s="15" t="str">
        <f>IF($C662="","",IF($G662="","-",INDEX(SETUP!$B$26:$B$32,MATCH($G662,SETUP!$A$26:$A$32,1))))</f>
        <v>63,000 - 63,999</v>
      </c>
      <c r="I662" s="70">
        <v>4825</v>
      </c>
      <c r="J662" s="15" t="str">
        <f>IF($C662="","",IF($I662="","-",INDEX(SETUP!$B$16:$B$22,MATCH($I662,SETUP!$A$16:$A$22,1))))</f>
        <v>CORE</v>
      </c>
      <c r="K662" s="15" t="str">
        <f>IF($C662="","",IF($I662="","-",TEXT(INT($I662/1000)*1000,"#,##0")&amp;" - "&amp;TEXT(INT($I662/1000)*1000+999,"#,##0")))</f>
        <v>4,000 - 4,999</v>
      </c>
      <c r="L662" s="71">
        <v>4.9000000000000004</v>
      </c>
      <c r="M662" s="15" t="str">
        <f>IF($C662="","",IF($L662="","-",INDEX(SETUP!$B$36:$B$42,MATCH($L662,SETUP!$A$36:$A$42,1))))</f>
        <v>4k - 5k</v>
      </c>
      <c r="N662" s="17">
        <f>IF($C662="","",IF(OR($G662="",$I662=""),"",ROUND(100*(SETUP!$B$4*MIN(1,$I662/SETUP!$B$9)+SETUP!$B$5*MAX(0,MIN(1,($G662-SETUP!$B$10)/(SETUP!$B$11-SETUP!$B$10)))+SETUP!$B$6*MIN(1,IF($L662="",0,$L662)/SETUP!$B$12)),1)))</f>
        <v>50.6</v>
      </c>
      <c r="O662" s="15" t="str">
        <f>IF($C662="","",IF($N662="","-",INDEX(SETUP!$B$46:$B$51,MATCH($N662,SETUP!$A$46:$A$51,1))))</f>
        <v>A</v>
      </c>
      <c r="P662" s="15">
        <f>IF($C662="","",IF($I662="","",RANK($I662,$I$4:$I$1463)+COUNTIF($I$4:$I662,$I662)-1))</f>
        <v>437</v>
      </c>
      <c r="Q662" s="15">
        <f>IF($C662="","",COUNTIFS($B$4:$B$1463,$B662,$X$4:$X$1463,"&gt;"&amp;$X662)+COUNTIFS($B$4:$B662,$B662,$X$4:$X662,"="&amp;$X662))</f>
        <v>55</v>
      </c>
      <c r="R662" s="72">
        <f>IF($C662="","",IF($I662="","",ROUND(COUNTIF($I$4:$I$1463,"&lt;"&amp;$I662)/COUNT($I$4:$I$1463),3)))</f>
        <v>0.67</v>
      </c>
      <c r="S662" s="15" t="str">
        <f>IF($C662="","",IF($G662="","Name only",IF(OR($I662="",$L662=""),"Partial","Complete")))</f>
        <v>Complete</v>
      </c>
      <c r="T662" s="41" t="str">
        <f>IF($C662="","",TRIM(IF(COUNTIF($C$4:$C$1463,$C662)&gt;1,"Dup name; ","")&amp;IF(AND($G662&lt;&gt;"",$G662&lt;55000),"Low CR - verify; ","")&amp;IF(AND($L662&lt;&gt;"",$L662&gt;15),"Secondary - verify; ","")&amp;IF($E662="","No class; ","")))</f>
        <v/>
      </c>
      <c r="U662" s="68"/>
      <c r="V662" s="68"/>
      <c r="W662" s="68"/>
      <c r="X662" s="73">
        <f t="shared" si="52"/>
        <v>4825</v>
      </c>
      <c r="Y662" s="41" t="str">
        <f t="shared" si="53"/>
        <v>LEGENDS|55</v>
      </c>
      <c r="Z662" s="15">
        <f>IF($C662="","",IF($G662="","",RANK($G662,$G$4:$G$1463)+COUNTIF($G$4:$G662,$G662)-1))</f>
        <v>368</v>
      </c>
      <c r="AA662" s="15">
        <f>IF($C662="","",IF($N662="","",RANK($N662,$N$4:$N$1463)+COUNTIF($N$4:$N662,$N662)-1))</f>
        <v>440</v>
      </c>
      <c r="AB662" s="41" t="str">
        <f>IF($C662="","",IF($E662="","",$E662&amp;"#"&amp;(COUNTIFS($E$4:$E$1463,$E662,$X$4:$X$1463,"&gt;"&amp;$X662)+COUNTIFS($E$4:$E662,$E662,$X$4:$X662,"="&amp;$X662))))</f>
        <v>CRUSADER#53</v>
      </c>
      <c r="AC662" s="41" t="str">
        <f>IF($C662="","",$B662&amp;"@"&amp;(COUNTIFS($B$4:$B$1463,$B662,$C$4:$C$1463,"&lt;"&amp;$C662)+COUNTIFS($B$4:$B662,$B662,$C$4:$C662,$C662)))</f>
        <v>LEGENDS@59</v>
      </c>
      <c r="AD662" s="41">
        <f t="shared" si="54"/>
        <v>659</v>
      </c>
      <c r="AE662" s="41" t="s">
        <v>1682</v>
      </c>
      <c r="AF662" s="73">
        <f t="shared" si="55"/>
        <v>63113</v>
      </c>
      <c r="AG662" s="74">
        <f t="shared" si="56"/>
        <v>4.9000000000000004</v>
      </c>
      <c r="AH662" s="41" t="str">
        <f>IF($C662="","",$B662&amp;"|"&amp;(COUNTIFS($B$4:$B$1463,$B662,$AF$4:$AF$1463,"&gt;"&amp;$AF662)+COUNTIFS($B$4:$B662,$B662,$AF$4:$AF662,"="&amp;$AF662)))</f>
        <v>LEGENDS|43</v>
      </c>
      <c r="AI662" s="41" t="str">
        <f>IF($C662="","",$B662&amp;"|"&amp;(COUNTIFS($B$4:$B$1463,$B662,$AG$4:$AG$1463,"&gt;"&amp;$AG662)+COUNTIFS($B$4:$B662,$B662,$AG$4:$AG662,"="&amp;$AG662)))</f>
        <v>LEGENDS|67</v>
      </c>
    </row>
    <row r="663" spans="1:35" hidden="1">
      <c r="A663" s="69" t="s">
        <v>109</v>
      </c>
      <c r="B663" s="69" t="s">
        <v>112</v>
      </c>
      <c r="C663" s="63" t="s">
        <v>1683</v>
      </c>
      <c r="D663" s="69" t="s">
        <v>567</v>
      </c>
      <c r="E663" s="68" t="s">
        <v>79</v>
      </c>
      <c r="F663" s="19" t="str">
        <f>IF($C663="","",IF($E663="","-",IFERROR(INDEX(SETUP!$B$55:$B$64,MATCH($E663,SETUP!$A$55:$A$64,0)),"Other")))</f>
        <v>Control</v>
      </c>
      <c r="G663" s="70">
        <v>63703</v>
      </c>
      <c r="H663" s="19" t="str">
        <f>IF($C663="","",IF($G663="","-",INDEX(SETUP!$B$26:$B$32,MATCH($G663,SETUP!$A$26:$A$32,1))))</f>
        <v>63,000 - 63,999</v>
      </c>
      <c r="I663" s="70">
        <v>7224</v>
      </c>
      <c r="J663" s="19" t="str">
        <f>IF($C663="","",IF($I663="","-",INDEX(SETUP!$B$16:$B$22,MATCH($I663,SETUP!$A$16:$A$22,1))))</f>
        <v>VETERAN</v>
      </c>
      <c r="K663" s="19" t="str">
        <f>IF($C663="","",IF($I663="","-",TEXT(INT($I663/1000)*1000,"#,##0")&amp;" - "&amp;TEXT(INT($I663/1000)*1000+999,"#,##0")))</f>
        <v>7,000 - 7,999</v>
      </c>
      <c r="L663" s="71">
        <v>4.63</v>
      </c>
      <c r="M663" s="19" t="str">
        <f>IF($C663="","",IF($L663="","-",INDEX(SETUP!$B$36:$B$42,MATCH($L663,SETUP!$A$36:$A$42,1))))</f>
        <v>4k - 5k</v>
      </c>
      <c r="N663" s="21">
        <f>IF($C663="","",IF(OR($G663="",$I663=""),"",ROUND(100*(SETUP!$B$4*MIN(1,$I663/SETUP!$B$9)+SETUP!$B$5*MAX(0,MIN(1,($G663-SETUP!$B$10)/(SETUP!$B$11-SETUP!$B$10)))+SETUP!$B$6*MIN(1,IF($L663="",0,$L663)/SETUP!$B$12)),1)))</f>
        <v>62.2</v>
      </c>
      <c r="O663" s="19" t="str">
        <f>IF($C663="","",IF($N663="","-",INDEX(SETUP!$B$46:$B$51,MATCH($N663,SETUP!$A$46:$A$51,1))))</f>
        <v>A</v>
      </c>
      <c r="P663" s="19">
        <f>IF($C663="","",IF($I663="","",RANK($I663,$I$4:$I$1463)+COUNTIF($I$4:$I663,$I663)-1))</f>
        <v>201</v>
      </c>
      <c r="Q663" s="19">
        <f>IF($C663="","",COUNTIFS($B$4:$B$1463,$B663,$X$4:$X$1463,"&gt;"&amp;$X663)+COUNTIFS($B$4:$B663,$B663,$X$4:$X663,"="&amp;$X663))</f>
        <v>8</v>
      </c>
      <c r="R663" s="75">
        <f>IF($C663="","",IF($I663="","",ROUND(COUNTIF($I$4:$I$1463,"&lt;"&amp;$I663)/COUNT($I$4:$I$1463),3)))</f>
        <v>0.84799999999999998</v>
      </c>
      <c r="S663" s="19" t="str">
        <f>IF($C663="","",IF($G663="","Name only",IF(OR($I663="",$L663=""),"Partial","Complete")))</f>
        <v>Complete</v>
      </c>
      <c r="T663" s="1" t="str">
        <f>IF($C663="","",TRIM(IF(COUNTIF($C$4:$C$1463,$C663)&gt;1,"Dup name; ","")&amp;IF(AND($G663&lt;&gt;"",$G663&lt;55000),"Low CR - verify; ","")&amp;IF(AND($L663&lt;&gt;"",$L663&gt;15),"Secondary - verify; ","")&amp;IF($E663="","No class; ","")))</f>
        <v/>
      </c>
      <c r="U663" s="68"/>
      <c r="V663" s="68"/>
      <c r="W663" s="68"/>
      <c r="X663" s="76">
        <f t="shared" si="52"/>
        <v>7224</v>
      </c>
      <c r="Y663" s="1" t="str">
        <f t="shared" si="53"/>
        <v>ACHERON|8</v>
      </c>
      <c r="Z663" s="19">
        <f>IF($C663="","",IF($G663="","",RANK($G663,$G$4:$G$1463)+COUNTIF($G$4:$G663,$G663)-1))</f>
        <v>137</v>
      </c>
      <c r="AA663" s="19">
        <f>IF($C663="","",IF($N663="","",RANK($N663,$N$4:$N$1463)+COUNTIF($N$4:$N663,$N663)-1))</f>
        <v>212</v>
      </c>
      <c r="AB663" s="1" t="str">
        <f>IF($C663="","",IF($E663="","",$E663&amp;"#"&amp;(COUNTIFS($E$4:$E$1463,$E663,$X$4:$X$1463,"&gt;"&amp;$X663)+COUNTIFS($E$4:$E663,$E663,$X$4:$X663,"="&amp;$X663))))</f>
        <v>WARLOCK#42</v>
      </c>
      <c r="AC663" s="1" t="str">
        <f>IF($C663="","",$B663&amp;"@"&amp;(COUNTIFS($B$4:$B$1463,$B663,$C$4:$C$1463,"&lt;"&amp;$C663)+COUNTIFS($B$4:$B663,$B663,$C$4:$C663,$C663)))</f>
        <v>ACHERON@39</v>
      </c>
      <c r="AD663" s="1">
        <f t="shared" si="54"/>
        <v>660</v>
      </c>
      <c r="AE663" s="1" t="s">
        <v>1684</v>
      </c>
      <c r="AF663" s="76">
        <f t="shared" si="55"/>
        <v>63703</v>
      </c>
      <c r="AG663" s="77">
        <f t="shared" si="56"/>
        <v>4.63</v>
      </c>
      <c r="AH663" s="1" t="str">
        <f>IF($C663="","",$B663&amp;"|"&amp;(COUNTIFS($B$4:$B$1463,$B663,$AF$4:$AF$1463,"&gt;"&amp;$AF663)+COUNTIFS($B$4:$B663,$B663,$AF$4:$AF663,"="&amp;$AF663)))</f>
        <v>ACHERON|6</v>
      </c>
      <c r="AI663" s="1" t="str">
        <f>IF($C663="","",$B663&amp;"|"&amp;(COUNTIFS($B$4:$B$1463,$B663,$AG$4:$AG$1463,"&gt;"&amp;$AG663)+COUNTIFS($B$4:$B663,$B663,$AG$4:$AG663,"="&amp;$AG663)))</f>
        <v>ACHERON|57</v>
      </c>
    </row>
    <row r="664" spans="1:35" hidden="1">
      <c r="A664" s="69" t="s">
        <v>109</v>
      </c>
      <c r="B664" s="69" t="s">
        <v>113</v>
      </c>
      <c r="C664" s="63" t="s">
        <v>1685</v>
      </c>
      <c r="D664" s="69" t="s">
        <v>548</v>
      </c>
      <c r="E664" s="68" t="s">
        <v>79</v>
      </c>
      <c r="F664" s="15" t="str">
        <f>IF($C664="","",IF($E664="","-",IFERROR(INDEX(SETUP!$B$55:$B$64,MATCH($E664,SETUP!$A$55:$A$64,0)),"Other")))</f>
        <v>Control</v>
      </c>
      <c r="G664" s="70">
        <v>61969</v>
      </c>
      <c r="H664" s="15" t="str">
        <f>IF($C664="","",IF($G664="","-",INDEX(SETUP!$B$26:$B$32,MATCH($G664,SETUP!$A$26:$A$32,1))))</f>
        <v>61,000 - 61,999</v>
      </c>
      <c r="I664" s="70">
        <v>2422</v>
      </c>
      <c r="J664" s="15" t="str">
        <f>IF($C664="","",IF($I664="","-",INDEX(SETUP!$B$16:$B$22,MATCH($I664,SETUP!$A$16:$A$22,1))))</f>
        <v>DEVELOPING</v>
      </c>
      <c r="K664" s="15" t="str">
        <f>IF($C664="","",IF($I664="","-",TEXT(INT($I664/1000)*1000,"#,##0")&amp;" - "&amp;TEXT(INT($I664/1000)*1000+999,"#,##0")))</f>
        <v>2,000 - 2,999</v>
      </c>
      <c r="L664" s="71">
        <v>3.65</v>
      </c>
      <c r="M664" s="15" t="str">
        <f>IF($C664="","",IF($L664="","-",INDEX(SETUP!$B$36:$B$42,MATCH($L664,SETUP!$A$36:$A$42,1))))</f>
        <v>3k - 4k</v>
      </c>
      <c r="N664" s="17">
        <f>IF($C664="","",IF(OR($G664="",$I664=""),"",ROUND(100*(SETUP!$B$4*MIN(1,$I664/SETUP!$B$9)+SETUP!$B$5*MAX(0,MIN(1,($G664-SETUP!$B$10)/(SETUP!$B$11-SETUP!$B$10)))+SETUP!$B$6*MIN(1,IF($L664="",0,$L664)/SETUP!$B$12)),1)))</f>
        <v>35</v>
      </c>
      <c r="O664" s="15" t="str">
        <f>IF($C664="","",IF($N664="","-",INDEX(SETUP!$B$46:$B$51,MATCH($N664,SETUP!$A$46:$A$51,1))))</f>
        <v>B</v>
      </c>
      <c r="P664" s="15">
        <f>IF($C664="","",IF($I664="","",RANK($I664,$I$4:$I$1463)+COUNTIF($I$4:$I664,$I664)-1))</f>
        <v>1023</v>
      </c>
      <c r="Q664" s="15">
        <f>IF($C664="","",COUNTIFS($B$4:$B$1463,$B664,$X$4:$X$1463,"&gt;"&amp;$X664)+COUNTIFS($B$4:$B664,$B664,$X$4:$X664,"="&amp;$X664))</f>
        <v>70</v>
      </c>
      <c r="R664" s="72">
        <f>IF($C664="","",IF($I664="","",ROUND(COUNTIF($I$4:$I$1463,"&lt;"&amp;$I664)/COUNT($I$4:$I$1463),3)))</f>
        <v>0.22800000000000001</v>
      </c>
      <c r="S664" s="15" t="str">
        <f>IF($C664="","",IF($G664="","Name only",IF(OR($I664="",$L664=""),"Partial","Complete")))</f>
        <v>Complete</v>
      </c>
      <c r="T664" s="41" t="str">
        <f>IF($C664="","",TRIM(IF(COUNTIF($C$4:$C$1463,$C664)&gt;1,"Dup name; ","")&amp;IF(AND($G664&lt;&gt;"",$G664&lt;55000),"Low CR - verify; ","")&amp;IF(AND($L664&lt;&gt;"",$L664&gt;15),"Secondary - verify; ","")&amp;IF($E664="","No class; ","")))</f>
        <v/>
      </c>
      <c r="U664" s="68"/>
      <c r="V664" s="68"/>
      <c r="W664" s="68"/>
      <c r="X664" s="73">
        <f t="shared" si="52"/>
        <v>2422</v>
      </c>
      <c r="Y664" s="41" t="str">
        <f t="shared" si="53"/>
        <v>INVICTUS|70</v>
      </c>
      <c r="Z664" s="15">
        <f>IF($C664="","",IF($G664="","",RANK($G664,$G$4:$G$1463)+COUNTIF($G$4:$G664,$G664)-1))</f>
        <v>842</v>
      </c>
      <c r="AA664" s="15">
        <f>IF($C664="","",IF($N664="","",RANK($N664,$N$4:$N$1463)+COUNTIF($N$4:$N664,$N664)-1))</f>
        <v>1009</v>
      </c>
      <c r="AB664" s="41" t="str">
        <f>IF($C664="","",IF($E664="","",$E664&amp;"#"&amp;(COUNTIFS($E$4:$E$1463,$E664,$X$4:$X$1463,"&gt;"&amp;$X664)+COUNTIFS($E$4:$E664,$E664,$X$4:$X664,"="&amp;$X664))))</f>
        <v>WARLOCK#256</v>
      </c>
      <c r="AC664" s="41" t="str">
        <f>IF($C664="","",$B664&amp;"@"&amp;(COUNTIFS($B$4:$B$1463,$B664,$C$4:$C$1463,"&lt;"&amp;$C664)+COUNTIFS($B$4:$B664,$B664,$C$4:$C664,$C664)))</f>
        <v>INVICTUS@49</v>
      </c>
      <c r="AD664" s="41">
        <f t="shared" si="54"/>
        <v>661</v>
      </c>
      <c r="AE664" s="41" t="s">
        <v>1686</v>
      </c>
      <c r="AF664" s="73">
        <f t="shared" si="55"/>
        <v>61969</v>
      </c>
      <c r="AG664" s="74">
        <f t="shared" si="56"/>
        <v>3.65</v>
      </c>
      <c r="AH664" s="41" t="str">
        <f>IF($C664="","",$B664&amp;"|"&amp;(COUNTIFS($B$4:$B$1463,$B664,$AF$4:$AF$1463,"&gt;"&amp;$AF664)+COUNTIFS($B$4:$B664,$B664,$AF$4:$AF664,"="&amp;$AF664)))</f>
        <v>INVICTUS|53</v>
      </c>
      <c r="AI664" s="41" t="str">
        <f>IF($C664="","",$B664&amp;"|"&amp;(COUNTIFS($B$4:$B$1463,$B664,$AG$4:$AG$1463,"&gt;"&amp;$AG664)+COUNTIFS($B$4:$B664,$B664,$AG$4:$AG664,"="&amp;$AG664)))</f>
        <v>INVICTUS|71</v>
      </c>
    </row>
    <row r="665" spans="1:35" hidden="1">
      <c r="A665" s="69" t="s">
        <v>109</v>
      </c>
      <c r="B665" s="69" t="s">
        <v>118</v>
      </c>
      <c r="C665" s="63" t="s">
        <v>1687</v>
      </c>
      <c r="D665" s="69"/>
      <c r="E665" s="68" t="s">
        <v>78</v>
      </c>
      <c r="F665" s="19" t="str">
        <f>IF($C665="","",IF($E665="","-",IFERROR(INDEX(SETUP!$B$55:$B$64,MATCH($E665,SETUP!$A$55:$A$64,0)),"Other")))</f>
        <v>Melee DPS</v>
      </c>
      <c r="G665" s="70">
        <v>61484</v>
      </c>
      <c r="H665" s="19" t="str">
        <f>IF($C665="","",IF($G665="","-",INDEX(SETUP!$B$26:$B$32,MATCH($G665,SETUP!$A$26:$A$32,1))))</f>
        <v>61,000 - 61,999</v>
      </c>
      <c r="I665" s="70">
        <v>1630</v>
      </c>
      <c r="J665" s="19" t="str">
        <f>IF($C665="","",IF($I665="","-",INDEX(SETUP!$B$16:$B$22,MATCH($I665,SETUP!$A$16:$A$22,1))))</f>
        <v>ROOKIE</v>
      </c>
      <c r="K665" s="19" t="str">
        <f>IF($C665="","",IF($I665="","-",TEXT(INT($I665/1000)*1000,"#,##0")&amp;" - "&amp;TEXT(INT($I665/1000)*1000+999,"#,##0")))</f>
        <v>1,000 - 1,999</v>
      </c>
      <c r="L665" s="71">
        <v>3.2</v>
      </c>
      <c r="M665" s="19" t="str">
        <f>IF($C665="","",IF($L665="","-",INDEX(SETUP!$B$36:$B$42,MATCH($L665,SETUP!$A$36:$A$42,1))))</f>
        <v>3k - 4k</v>
      </c>
      <c r="N665" s="21">
        <f>IF($C665="","",IF(OR($G665="",$I665=""),"",ROUND(100*(SETUP!$B$4*MIN(1,$I665/SETUP!$B$9)+SETUP!$B$5*MAX(0,MIN(1,($G665-SETUP!$B$10)/(SETUP!$B$11-SETUP!$B$10)))+SETUP!$B$6*MIN(1,IF($L665="",0,$L665)/SETUP!$B$12)),1)))</f>
        <v>29.5</v>
      </c>
      <c r="O665" s="19" t="str">
        <f>IF($C665="","",IF($N665="","-",INDEX(SETUP!$B$46:$B$51,MATCH($N665,SETUP!$A$46:$A$51,1))))</f>
        <v>C</v>
      </c>
      <c r="P665" s="19">
        <f>IF($C665="","",IF($I665="","",RANK($I665,$I$4:$I$1463)+COUNTIF($I$4:$I665,$I665)-1))</f>
        <v>1173</v>
      </c>
      <c r="Q665" s="19">
        <f>IF($C665="","",COUNTIFS($B$4:$B$1463,$B665,$X$4:$X$1463,"&gt;"&amp;$X665)+COUNTIFS($B$4:$B665,$B665,$X$4:$X665,"="&amp;$X665))</f>
        <v>54</v>
      </c>
      <c r="R665" s="75">
        <f>IF($C665="","",IF($I665="","",ROUND(COUNTIF($I$4:$I$1463,"&lt;"&amp;$I665)/COUNT($I$4:$I$1463),3)))</f>
        <v>0.115</v>
      </c>
      <c r="S665" s="19" t="str">
        <f>IF($C665="","",IF($G665="","Name only",IF(OR($I665="",$L665=""),"Partial","Complete")))</f>
        <v>Complete</v>
      </c>
      <c r="T665" s="1" t="str">
        <f>IF($C665="","",TRIM(IF(COUNTIF($C$4:$C$1463,$C665)&gt;1,"Dup name; ","")&amp;IF(AND($G665&lt;&gt;"",$G665&lt;55000),"Low CR - verify; ","")&amp;IF(AND($L665&lt;&gt;"",$L665&gt;15),"Secondary - verify; ","")&amp;IF($E665="","No class; ","")))</f>
        <v/>
      </c>
      <c r="U665" s="68"/>
      <c r="V665" s="68"/>
      <c r="W665" s="68"/>
      <c r="X665" s="76">
        <f t="shared" si="52"/>
        <v>1630</v>
      </c>
      <c r="Y665" s="1" t="str">
        <f t="shared" si="53"/>
        <v>ZOMBIES|54</v>
      </c>
      <c r="Z665" s="19">
        <f>IF($C665="","",IF($G665="","",RANK($G665,$G$4:$G$1463)+COUNTIF($G$4:$G665,$G665)-1))</f>
        <v>1009</v>
      </c>
      <c r="AA665" s="19">
        <f>IF($C665="","",IF($N665="","",RANK($N665,$N$4:$N$1463)+COUNTIF($N$4:$N665,$N665)-1))</f>
        <v>1156</v>
      </c>
      <c r="AB665" s="1" t="str">
        <f>IF($C665="","",IF($E665="","",$E665&amp;"#"&amp;(COUNTIFS($E$4:$E$1463,$E665,$X$4:$X$1463,"&gt;"&amp;$X665)+COUNTIFS($E$4:$E665,$E665,$X$4:$X665,"="&amp;$X665))))</f>
        <v>TEMPEST#54</v>
      </c>
      <c r="AC665" s="1" t="str">
        <f>IF($C665="","",$B665&amp;"@"&amp;(COUNTIFS($B$4:$B$1463,$B665,$C$4:$C$1463,"&lt;"&amp;$C665)+COUNTIFS($B$4:$B665,$B665,$C$4:$C665,$C665)))</f>
        <v>ZOMBIES@51</v>
      </c>
      <c r="AD665" s="1">
        <f t="shared" si="54"/>
        <v>662</v>
      </c>
      <c r="AE665" s="1" t="s">
        <v>1160</v>
      </c>
      <c r="AF665" s="76">
        <f t="shared" si="55"/>
        <v>61484</v>
      </c>
      <c r="AG665" s="77">
        <f t="shared" si="56"/>
        <v>3.2</v>
      </c>
      <c r="AH665" s="1" t="str">
        <f>IF($C665="","",$B665&amp;"|"&amp;(COUNTIFS($B$4:$B$1463,$B665,$AF$4:$AF$1463,"&gt;"&amp;$AF665)+COUNTIFS($B$4:$B665,$B665,$AF$4:$AF665,"="&amp;$AF665)))</f>
        <v>ZOMBIES|38</v>
      </c>
      <c r="AI665" s="1" t="str">
        <f>IF($C665="","",$B665&amp;"|"&amp;(COUNTIFS($B$4:$B$1463,$B665,$AG$4:$AG$1463,"&gt;"&amp;$AG665)+COUNTIFS($B$4:$B665,$B665,$AG$4:$AG665,"="&amp;$AG665)))</f>
        <v>ZOMBIES|61</v>
      </c>
    </row>
    <row r="666" spans="1:35" hidden="1">
      <c r="A666" s="69" t="s">
        <v>109</v>
      </c>
      <c r="B666" s="69" t="s">
        <v>117</v>
      </c>
      <c r="C666" s="63" t="s">
        <v>1688</v>
      </c>
      <c r="D666" s="69"/>
      <c r="E666" s="68" t="s">
        <v>79</v>
      </c>
      <c r="F666" s="15" t="str">
        <f>IF($C666="","",IF($E666="","-",IFERROR(INDEX(SETUP!$B$55:$B$64,MATCH($E666,SETUP!$A$55:$A$64,0)),"Other")))</f>
        <v>Control</v>
      </c>
      <c r="G666" s="70">
        <v>61720</v>
      </c>
      <c r="H666" s="15" t="str">
        <f>IF($C666="","",IF($G666="","-",INDEX(SETUP!$B$26:$B$32,MATCH($G666,SETUP!$A$26:$A$32,1))))</f>
        <v>61,000 - 61,999</v>
      </c>
      <c r="I666" s="70">
        <v>2360</v>
      </c>
      <c r="J666" s="15" t="str">
        <f>IF($C666="","",IF($I666="","-",INDEX(SETUP!$B$16:$B$22,MATCH($I666,SETUP!$A$16:$A$22,1))))</f>
        <v>DEVELOPING</v>
      </c>
      <c r="K666" s="15" t="str">
        <f>IF($C666="","",IF($I666="","-",TEXT(INT($I666/1000)*1000,"#,##0")&amp;" - "&amp;TEXT(INT($I666/1000)*1000+999,"#,##0")))</f>
        <v>2,000 - 2,999</v>
      </c>
      <c r="L666" s="71">
        <v>4</v>
      </c>
      <c r="M666" s="15" t="str">
        <f>IF($C666="","",IF($L666="","-",INDEX(SETUP!$B$36:$B$42,MATCH($L666,SETUP!$A$36:$A$42,1))))</f>
        <v>4k - 5k</v>
      </c>
      <c r="N666" s="17">
        <f>IF($C666="","",IF(OR($G666="",$I666=""),"",ROUND(100*(SETUP!$B$4*MIN(1,$I666/SETUP!$B$9)+SETUP!$B$5*MAX(0,MIN(1,($G666-SETUP!$B$10)/(SETUP!$B$11-SETUP!$B$10)))+SETUP!$B$6*MIN(1,IF($L666="",0,$L666)/SETUP!$B$12)),1)))</f>
        <v>34.700000000000003</v>
      </c>
      <c r="O666" s="15" t="str">
        <f>IF($C666="","",IF($N666="","-",INDEX(SETUP!$B$46:$B$51,MATCH($N666,SETUP!$A$46:$A$51,1))))</f>
        <v>C</v>
      </c>
      <c r="P666" s="15">
        <f>IF($C666="","",IF($I666="","",RANK($I666,$I$4:$I$1463)+COUNTIF($I$4:$I666,$I666)-1))</f>
        <v>1034</v>
      </c>
      <c r="Q666" s="15">
        <f>IF($C666="","",COUNTIFS($B$4:$B$1463,$B666,$X$4:$X$1463,"&gt;"&amp;$X666)+COUNTIFS($B$4:$B666,$B666,$X$4:$X666,"="&amp;$X666))</f>
        <v>35</v>
      </c>
      <c r="R666" s="72">
        <f>IF($C666="","",IF($I666="","",ROUND(COUNTIF($I$4:$I$1463,"&lt;"&amp;$I666)/COUNT($I$4:$I$1463),3)))</f>
        <v>0.22</v>
      </c>
      <c r="S666" s="15" t="str">
        <f>IF($C666="","",IF($G666="","Name only",IF(OR($I666="",$L666=""),"Partial","Complete")))</f>
        <v>Complete</v>
      </c>
      <c r="T666" s="41" t="str">
        <f>IF($C666="","",TRIM(IF(COUNTIF($C$4:$C$1463,$C666)&gt;1,"Dup name; ","")&amp;IF(AND($G666&lt;&gt;"",$G666&lt;55000),"Low CR - verify; ","")&amp;IF(AND($L666&lt;&gt;"",$L666&gt;15),"Secondary - verify; ","")&amp;IF($E666="","No class; ","")))</f>
        <v/>
      </c>
      <c r="U666" s="68"/>
      <c r="V666" s="68"/>
      <c r="W666" s="68"/>
      <c r="X666" s="73">
        <f t="shared" si="52"/>
        <v>2360</v>
      </c>
      <c r="Y666" s="41" t="str">
        <f t="shared" si="53"/>
        <v>VENDETTA|35</v>
      </c>
      <c r="Z666" s="15">
        <f>IF($C666="","",IF($G666="","",RANK($G666,$G$4:$G$1463)+COUNTIF($G$4:$G666,$G666)-1))</f>
        <v>935</v>
      </c>
      <c r="AA666" s="15">
        <f>IF($C666="","",IF($N666="","",RANK($N666,$N$4:$N$1463)+COUNTIF($N$4:$N666,$N666)-1))</f>
        <v>1014</v>
      </c>
      <c r="AB666" s="41" t="str">
        <f>IF($C666="","",IF($E666="","",$E666&amp;"#"&amp;(COUNTIFS($E$4:$E$1463,$E666,$X$4:$X$1463,"&gt;"&amp;$X666)+COUNTIFS($E$4:$E666,$E666,$X$4:$X666,"="&amp;$X666))))</f>
        <v>WARLOCK#259</v>
      </c>
      <c r="AC666" s="41" t="str">
        <f>IF($C666="","",$B666&amp;"@"&amp;(COUNTIFS($B$4:$B$1463,$B666,$C$4:$C$1463,"&lt;"&amp;$C666)+COUNTIFS($B$4:$B666,$B666,$C$4:$C666,$C666)))</f>
        <v>VENDETTA@50</v>
      </c>
      <c r="AD666" s="41">
        <f t="shared" si="54"/>
        <v>663</v>
      </c>
      <c r="AE666" s="41" t="s">
        <v>970</v>
      </c>
      <c r="AF666" s="73">
        <f t="shared" si="55"/>
        <v>61720</v>
      </c>
      <c r="AG666" s="74">
        <f t="shared" si="56"/>
        <v>4</v>
      </c>
      <c r="AH666" s="41" t="str">
        <f>IF($C666="","",$B666&amp;"|"&amp;(COUNTIFS($B$4:$B$1463,$B666,$AF$4:$AF$1463,"&gt;"&amp;$AF666)+COUNTIFS($B$4:$B666,$B666,$AF$4:$AF666,"="&amp;$AF666)))</f>
        <v>VENDETTA|46</v>
      </c>
      <c r="AI666" s="41" t="str">
        <f>IF($C666="","",$B666&amp;"|"&amp;(COUNTIFS($B$4:$B$1463,$B666,$AG$4:$AG$1463,"&gt;"&amp;$AG666)+COUNTIFS($B$4:$B666,$B666,$AG$4:$AG666,"="&amp;$AG666)))</f>
        <v>VENDETTA|39</v>
      </c>
    </row>
    <row r="667" spans="1:35">
      <c r="A667" s="69" t="s">
        <v>104</v>
      </c>
      <c r="B667" s="69" t="s">
        <v>66</v>
      </c>
      <c r="C667" s="63" t="s">
        <v>337</v>
      </c>
      <c r="D667" s="69"/>
      <c r="E667" s="68" t="s">
        <v>73</v>
      </c>
      <c r="F667" s="19" t="str">
        <f>IF($C667="","",IF($E667="","-",IFERROR(INDEX(SETUP!$B$55:$B$64,MATCH($E667,SETUP!$A$55:$A$64,0)),"Other")))</f>
        <v>Frontline</v>
      </c>
      <c r="G667" s="70">
        <v>61802</v>
      </c>
      <c r="H667" s="19" t="str">
        <f>IF($C667="","",IF($G667="","-",INDEX(SETUP!$B$26:$B$32,MATCH($G667,SETUP!$A$26:$A$32,1))))</f>
        <v>61,000 - 61,999</v>
      </c>
      <c r="I667" s="70">
        <v>3948</v>
      </c>
      <c r="J667" s="19" t="str">
        <f>IF($C667="","",IF($I667="","-",INDEX(SETUP!$B$16:$B$22,MATCH($I667,SETUP!$A$16:$A$22,1))))</f>
        <v>DEVELOPING</v>
      </c>
      <c r="K667" s="19" t="str">
        <f>IF($C667="","",IF($I667="","-",TEXT(INT($I667/1000)*1000,"#,##0")&amp;" - "&amp;TEXT(INT($I667/1000)*1000+999,"#,##0")))</f>
        <v>3,000 - 3,999</v>
      </c>
      <c r="L667" s="71">
        <v>4.37</v>
      </c>
      <c r="M667" s="19" t="str">
        <f>IF($C667="","",IF($L667="","-",INDEX(SETUP!$B$36:$B$42,MATCH($L667,SETUP!$A$36:$A$42,1))))</f>
        <v>4k - 5k</v>
      </c>
      <c r="N667" s="21">
        <f>IF($C667="","",IF(OR($G667="",$I667=""),"",ROUND(100*(SETUP!$B$4*MIN(1,$I667/SETUP!$B$9)+SETUP!$B$5*MAX(0,MIN(1,($G667-SETUP!$B$10)/(SETUP!$B$11-SETUP!$B$10)))+SETUP!$B$6*MIN(1,IF($L667="",0,$L667)/SETUP!$B$12)),1)))</f>
        <v>42.4</v>
      </c>
      <c r="O667" s="19" t="str">
        <f>IF($C667="","",IF($N667="","-",INDEX(SETUP!$B$46:$B$51,MATCH($N667,SETUP!$A$46:$A$51,1))))</f>
        <v>B</v>
      </c>
      <c r="P667" s="19">
        <f>IF($C667="","",IF($I667="","",RANK($I667,$I$4:$I$1463)+COUNTIF($I$4:$I667,$I667)-1))</f>
        <v>612</v>
      </c>
      <c r="Q667" s="19">
        <f>IF($C667="","",COUNTIFS($B$4:$B$1463,$B667,$X$4:$X$1463,"&gt;"&amp;$X667)+COUNTIFS($B$4:$B667,$B667,$X$4:$X667,"="&amp;$X667))</f>
        <v>63</v>
      </c>
      <c r="R667" s="75">
        <f>IF($C667="","",IF($I667="","",ROUND(COUNTIF($I$4:$I$1463,"&lt;"&amp;$I667)/COUNT($I$4:$I$1463),3)))</f>
        <v>0.53800000000000003</v>
      </c>
      <c r="S667" s="19" t="str">
        <f>IF($C667="","",IF($G667="","Name only",IF(OR($I667="",$L667=""),"Partial","Complete")))</f>
        <v>Complete</v>
      </c>
      <c r="T667" s="1" t="str">
        <f>IF($C667="","",TRIM(IF(COUNTIF($C$4:$C$1463,$C667)&gt;1,"Dup name; ","")&amp;IF(AND($G667&lt;&gt;"",$G667&lt;55000),"Low CR - verify; ","")&amp;IF(AND($L667&lt;&gt;"",$L667&gt;15),"Secondary - verify; ","")&amp;IF($E667="","No class; ","")))</f>
        <v/>
      </c>
      <c r="U667" s="68"/>
      <c r="V667" s="68" t="s">
        <v>66</v>
      </c>
      <c r="W667" s="68" t="s">
        <v>285</v>
      </c>
      <c r="X667" s="76">
        <f t="shared" si="52"/>
        <v>3948</v>
      </c>
      <c r="Y667" s="1" t="str">
        <f t="shared" si="53"/>
        <v>FUCT|63</v>
      </c>
      <c r="Z667" s="19">
        <f>IF($C667="","",IF($G667="","",RANK($G667,$G$4:$G$1463)+COUNTIF($G$4:$G667,$G667)-1))</f>
        <v>912</v>
      </c>
      <c r="AA667" s="19">
        <f>IF($C667="","",IF($N667="","",RANK($N667,$N$4:$N$1463)+COUNTIF($N$4:$N667,$N667)-1))</f>
        <v>730</v>
      </c>
      <c r="AB667" s="1" t="str">
        <f>IF($C667="","",IF($E667="","",$E667&amp;"#"&amp;(COUNTIFS($E$4:$E$1463,$E667,$X$4:$X$1463,"&gt;"&amp;$X667)+COUNTIFS($E$4:$E667,$E667,$X$4:$X667,"="&amp;$X667))))</f>
        <v>CRUSADER#73</v>
      </c>
      <c r="AC667" s="1" t="str">
        <f>IF($C667="","",$B667&amp;"@"&amp;(COUNTIFS($B$4:$B$1463,$B667,$C$4:$C$1463,"&lt;"&amp;$C667)+COUNTIFS($B$4:$B667,$B667,$C$4:$C667,$C667)))</f>
        <v>FUCT@47</v>
      </c>
      <c r="AD667" s="1">
        <f t="shared" si="54"/>
        <v>664</v>
      </c>
      <c r="AE667" s="1" t="s">
        <v>1689</v>
      </c>
      <c r="AF667" s="76">
        <f t="shared" si="55"/>
        <v>61802</v>
      </c>
      <c r="AG667" s="77">
        <f t="shared" si="56"/>
        <v>4.37</v>
      </c>
      <c r="AH667" s="1" t="str">
        <f>IF($C667="","",$B667&amp;"|"&amp;(COUNTIFS($B$4:$B$1463,$B667,$AF$4:$AF$1463,"&gt;"&amp;$AF667)+COUNTIFS($B$4:$B667,$B667,$AF$4:$AF667,"="&amp;$AF667)))</f>
        <v>FUCT|86</v>
      </c>
      <c r="AI667" s="1" t="str">
        <f>IF($C667="","",$B667&amp;"|"&amp;(COUNTIFS($B$4:$B$1463,$B667,$AG$4:$AG$1463,"&gt;"&amp;$AG667)+COUNTIFS($B$4:$B667,$B667,$AG$4:$AG667,"="&amp;$AG667)))</f>
        <v>FUCT|65</v>
      </c>
    </row>
    <row r="668" spans="1:35">
      <c r="A668" s="69" t="s">
        <v>104</v>
      </c>
      <c r="B668" s="69" t="s">
        <v>66</v>
      </c>
      <c r="C668" s="63" t="s">
        <v>1635</v>
      </c>
      <c r="D668" s="69"/>
      <c r="E668" s="68" t="s">
        <v>71</v>
      </c>
      <c r="F668" s="15" t="str">
        <f>IF($C668="","",IF($E668="","-",IFERROR(INDEX(SETUP!$B$55:$B$64,MATCH($E668,SETUP!$A$55:$A$64,0)),"Other")))</f>
        <v>Frontline</v>
      </c>
      <c r="G668" s="70">
        <v>62932</v>
      </c>
      <c r="H668" s="15" t="str">
        <f>IF($C668="","",IF($G668="","-",INDEX(SETUP!$B$26:$B$32,MATCH($G668,SETUP!$A$26:$A$32,1))))</f>
        <v>62,000 - 62,999</v>
      </c>
      <c r="I668" s="70">
        <v>5144</v>
      </c>
      <c r="J668" s="15" t="str">
        <f>IF($C668="","",IF($I668="","-",INDEX(SETUP!$B$16:$B$22,MATCH($I668,SETUP!$A$16:$A$22,1))))</f>
        <v>CORE</v>
      </c>
      <c r="K668" s="15" t="str">
        <f>IF($C668="","",IF($I668="","-",TEXT(INT($I668/1000)*1000,"#,##0")&amp;" - "&amp;TEXT(INT($I668/1000)*1000+999,"#,##0")))</f>
        <v>5,000 - 5,999</v>
      </c>
      <c r="L668" s="71">
        <v>5.03</v>
      </c>
      <c r="M668" s="15" t="str">
        <f>IF($C668="","",IF($L668="","-",INDEX(SETUP!$B$36:$B$42,MATCH($L668,SETUP!$A$36:$A$42,1))))</f>
        <v>5k - 6k</v>
      </c>
      <c r="N668" s="17">
        <f>IF($C668="","",IF(OR($G668="",$I668=""),"",ROUND(100*(SETUP!$B$4*MIN(1,$I668/SETUP!$B$9)+SETUP!$B$5*MAX(0,MIN(1,($G668-SETUP!$B$10)/(SETUP!$B$11-SETUP!$B$10)))+SETUP!$B$6*MIN(1,IF($L668="",0,$L668)/SETUP!$B$12)),1)))</f>
        <v>51.7</v>
      </c>
      <c r="O668" s="15" t="str">
        <f>IF($C668="","",IF($N668="","-",INDEX(SETUP!$B$46:$B$51,MATCH($N668,SETUP!$A$46:$A$51,1))))</f>
        <v>A</v>
      </c>
      <c r="P668" s="15">
        <f>IF($C668="","",IF($I668="","",RANK($I668,$I$4:$I$1463)+COUNTIF($I$4:$I668,$I668)-1))</f>
        <v>388</v>
      </c>
      <c r="Q668" s="15">
        <f>IF($C668="","",COUNTIFS($B$4:$B$1463,$B668,$X$4:$X$1463,"&gt;"&amp;$X668)+COUNTIFS($B$4:$B668,$B668,$X$4:$X668,"="&amp;$X668))</f>
        <v>39</v>
      </c>
      <c r="R668" s="72">
        <f>IF($C668="","",IF($I668="","",ROUND(COUNTIF($I$4:$I$1463,"&lt;"&amp;$I668)/COUNT($I$4:$I$1463),3)))</f>
        <v>0.70699999999999996</v>
      </c>
      <c r="S668" s="15" t="str">
        <f>IF($C668="","",IF($G668="","Name only",IF(OR($I668="",$L668=""),"Partial","Complete")))</f>
        <v>Complete</v>
      </c>
      <c r="T668" s="41" t="str">
        <f>IF($C668="","",TRIM(IF(COUNTIF($C$4:$C$1463,$C668)&gt;1,"Dup name; ","")&amp;IF(AND($G668&lt;&gt;"",$G668&lt;55000),"Low CR - verify; ","")&amp;IF(AND($L668&lt;&gt;"",$L668&gt;15),"Secondary - verify; ","")&amp;IF($E668="","No class; ","")))</f>
        <v/>
      </c>
      <c r="U668" s="68"/>
      <c r="V668" s="68" t="s">
        <v>66</v>
      </c>
      <c r="W668" s="68" t="s">
        <v>285</v>
      </c>
      <c r="X668" s="73">
        <f t="shared" si="52"/>
        <v>5144</v>
      </c>
      <c r="Y668" s="41" t="str">
        <f t="shared" si="53"/>
        <v>FUCT|39</v>
      </c>
      <c r="Z668" s="15">
        <f>IF($C668="","",IF($G668="","",RANK($G668,$G$4:$G$1463)+COUNTIF($G$4:$G668,$G668)-1))</f>
        <v>461</v>
      </c>
      <c r="AA668" s="15">
        <f>IF($C668="","",IF($N668="","",RANK($N668,$N$4:$N$1463)+COUNTIF($N$4:$N668,$N668)-1))</f>
        <v>399</v>
      </c>
      <c r="AB668" s="41" t="str">
        <f>IF($C668="","",IF($E668="","",$E668&amp;"#"&amp;(COUNTIFS($E$4:$E$1463,$E668,$X$4:$X$1463,"&gt;"&amp;$X668)+COUNTIFS($E$4:$E668,$E668,$X$4:$X668,"="&amp;$X668))))</f>
        <v>BARBARIAN#79</v>
      </c>
      <c r="AC668" s="41" t="str">
        <f>IF($C668="","",$B668&amp;"@"&amp;(COUNTIFS($B$4:$B$1463,$B668,$C$4:$C$1463,"&lt;"&amp;$C668)+COUNTIFS($B$4:$B668,$B668,$C$4:$C668,$C668)))</f>
        <v>FUCT@48</v>
      </c>
      <c r="AD668" s="41">
        <f t="shared" si="54"/>
        <v>665</v>
      </c>
      <c r="AE668" s="41" t="s">
        <v>1690</v>
      </c>
      <c r="AF668" s="73">
        <f t="shared" si="55"/>
        <v>62932</v>
      </c>
      <c r="AG668" s="74">
        <f t="shared" si="56"/>
        <v>5.03</v>
      </c>
      <c r="AH668" s="41" t="str">
        <f>IF($C668="","",$B668&amp;"|"&amp;(COUNTIFS($B$4:$B$1463,$B668,$AF$4:$AF$1463,"&gt;"&amp;$AF668)+COUNTIFS($B$4:$B668,$B668,$AF$4:$AF668,"="&amp;$AF668)))</f>
        <v>FUCT|49</v>
      </c>
      <c r="AI668" s="41" t="str">
        <f>IF($C668="","",$B668&amp;"|"&amp;(COUNTIFS($B$4:$B$1463,$B668,$AG$4:$AG$1463,"&gt;"&amp;$AG668)+COUNTIFS($B$4:$B668,$B668,$AG$4:$AG668,"="&amp;$AG668)))</f>
        <v>FUCT|47</v>
      </c>
    </row>
    <row r="669" spans="1:35" hidden="1">
      <c r="A669" s="69" t="s">
        <v>109</v>
      </c>
      <c r="B669" s="69" t="s">
        <v>112</v>
      </c>
      <c r="C669" s="63" t="s">
        <v>1691</v>
      </c>
      <c r="D669" s="69" t="s">
        <v>567</v>
      </c>
      <c r="E669" s="68" t="s">
        <v>74</v>
      </c>
      <c r="F669" s="19" t="str">
        <f>IF($C669="","",IF($E669="","-",IFERROR(INDEX(SETUP!$B$55:$B$64,MATCH($E669,SETUP!$A$55:$A$64,0)),"Other")))</f>
        <v>Ranged DPS</v>
      </c>
      <c r="G669" s="70">
        <v>62956</v>
      </c>
      <c r="H669" s="19" t="str">
        <f>IF($C669="","",IF($G669="","-",INDEX(SETUP!$B$26:$B$32,MATCH($G669,SETUP!$A$26:$A$32,1))))</f>
        <v>62,000 - 62,999</v>
      </c>
      <c r="I669" s="70">
        <v>3702</v>
      </c>
      <c r="J669" s="19" t="str">
        <f>IF($C669="","",IF($I669="","-",INDEX(SETUP!$B$16:$B$22,MATCH($I669,SETUP!$A$16:$A$22,1))))</f>
        <v>DEVELOPING</v>
      </c>
      <c r="K669" s="19" t="str">
        <f>IF($C669="","",IF($I669="","-",TEXT(INT($I669/1000)*1000,"#,##0")&amp;" - "&amp;TEXT(INT($I669/1000)*1000+999,"#,##0")))</f>
        <v>3,000 - 3,999</v>
      </c>
      <c r="L669" s="71">
        <v>4.25</v>
      </c>
      <c r="M669" s="19" t="str">
        <f>IF($C669="","",IF($L669="","-",INDEX(SETUP!$B$36:$B$42,MATCH($L669,SETUP!$A$36:$A$42,1))))</f>
        <v>4k - 5k</v>
      </c>
      <c r="N669" s="21">
        <f>IF($C669="","",IF(OR($G669="",$I669=""),"",ROUND(100*(SETUP!$B$4*MIN(1,$I669/SETUP!$B$9)+SETUP!$B$5*MAX(0,MIN(1,($G669-SETUP!$B$10)/(SETUP!$B$11-SETUP!$B$10)))+SETUP!$B$6*MIN(1,IF($L669="",0,$L669)/SETUP!$B$12)),1)))</f>
        <v>44.2</v>
      </c>
      <c r="O669" s="19" t="str">
        <f>IF($C669="","",IF($N669="","-",INDEX(SETUP!$B$46:$B$51,MATCH($N669,SETUP!$A$46:$A$51,1))))</f>
        <v>B</v>
      </c>
      <c r="P669" s="19">
        <f>IF($C669="","",IF($I669="","",RANK($I669,$I$4:$I$1463)+COUNTIF($I$4:$I669,$I669)-1))</f>
        <v>678</v>
      </c>
      <c r="Q669" s="19">
        <f>IF($C669="","",COUNTIFS($B$4:$B$1463,$B669,$X$4:$X$1463,"&gt;"&amp;$X669)+COUNTIFS($B$4:$B669,$B669,$X$4:$X669,"="&amp;$X669))</f>
        <v>50</v>
      </c>
      <c r="R669" s="75">
        <f>IF($C669="","",IF($I669="","",ROUND(COUNTIF($I$4:$I$1463,"&lt;"&amp;$I669)/COUNT($I$4:$I$1463),3)))</f>
        <v>0.48799999999999999</v>
      </c>
      <c r="S669" s="19" t="str">
        <f>IF($C669="","",IF($G669="","Name only",IF(OR($I669="",$L669=""),"Partial","Complete")))</f>
        <v>Complete</v>
      </c>
      <c r="T669" s="1" t="str">
        <f>IF($C669="","",TRIM(IF(COUNTIF($C$4:$C$1463,$C669)&gt;1,"Dup name; ","")&amp;IF(AND($G669&lt;&gt;"",$G669&lt;55000),"Low CR - verify; ","")&amp;IF(AND($L669&lt;&gt;"",$L669&gt;15),"Secondary - verify; ","")&amp;IF($E669="","No class; ","")))</f>
        <v/>
      </c>
      <c r="U669" s="68"/>
      <c r="V669" s="68"/>
      <c r="W669" s="68"/>
      <c r="X669" s="76">
        <f t="shared" si="52"/>
        <v>3702</v>
      </c>
      <c r="Y669" s="1" t="str">
        <f t="shared" si="53"/>
        <v>ACHERON|50</v>
      </c>
      <c r="Z669" s="19">
        <f>IF($C669="","",IF($G669="","",RANK($G669,$G$4:$G$1463)+COUNTIF($G$4:$G669,$G669)-1))</f>
        <v>446</v>
      </c>
      <c r="AA669" s="19">
        <f>IF($C669="","",IF($N669="","",RANK($N669,$N$4:$N$1463)+COUNTIF($N$4:$N669,$N669)-1))</f>
        <v>655</v>
      </c>
      <c r="AB669" s="1" t="str">
        <f>IF($C669="","",IF($E669="","",$E669&amp;"#"&amp;(COUNTIFS($E$4:$E$1463,$E669,$X$4:$X$1463,"&gt;"&amp;$X669)+COUNTIFS($E$4:$E669,$E669,$X$4:$X669,"="&amp;$X669))))</f>
        <v>DEMON HUNTER#110</v>
      </c>
      <c r="AC669" s="1" t="str">
        <f>IF($C669="","",$B669&amp;"@"&amp;(COUNTIFS($B$4:$B$1463,$B669,$C$4:$C$1463,"&lt;"&amp;$C669)+COUNTIFS($B$4:$B669,$B669,$C$4:$C669,$C669)))</f>
        <v>ACHERON@40</v>
      </c>
      <c r="AD669" s="1">
        <f t="shared" si="54"/>
        <v>666</v>
      </c>
      <c r="AE669" s="1" t="s">
        <v>1692</v>
      </c>
      <c r="AF669" s="76">
        <f t="shared" si="55"/>
        <v>62956</v>
      </c>
      <c r="AG669" s="77">
        <f t="shared" si="56"/>
        <v>4.25</v>
      </c>
      <c r="AH669" s="1" t="str">
        <f>IF($C669="","",$B669&amp;"|"&amp;(COUNTIFS($B$4:$B$1463,$B669,$AF$4:$AF$1463,"&gt;"&amp;$AF669)+COUNTIFS($B$4:$B669,$B669,$AF$4:$AF669,"="&amp;$AF669)))</f>
        <v>ACHERON|36</v>
      </c>
      <c r="AI669" s="1" t="str">
        <f>IF($C669="","",$B669&amp;"|"&amp;(COUNTIFS($B$4:$B$1463,$B669,$AG$4:$AG$1463,"&gt;"&amp;$AG669)+COUNTIFS($B$4:$B669,$B669,$AG$4:$AG669,"="&amp;$AG669)))</f>
        <v>ACHERON|66</v>
      </c>
    </row>
    <row r="670" spans="1:35" hidden="1">
      <c r="A670" s="69" t="s">
        <v>109</v>
      </c>
      <c r="B670" s="69" t="s">
        <v>108</v>
      </c>
      <c r="C670" s="63" t="s">
        <v>1693</v>
      </c>
      <c r="D670" s="69"/>
      <c r="E670" s="68" t="s">
        <v>74</v>
      </c>
      <c r="F670" s="15" t="str">
        <f>IF($C670="","",IF($E670="","-",IFERROR(INDEX(SETUP!$B$55:$B$64,MATCH($E670,SETUP!$A$55:$A$64,0)),"Other")))</f>
        <v>Ranged DPS</v>
      </c>
      <c r="G670" s="70">
        <v>61549</v>
      </c>
      <c r="H670" s="15" t="str">
        <f>IF($C670="","",IF($G670="","-",INDEX(SETUP!$B$26:$B$32,MATCH($G670,SETUP!$A$26:$A$32,1))))</f>
        <v>61,000 - 61,999</v>
      </c>
      <c r="I670" s="70">
        <v>3927</v>
      </c>
      <c r="J670" s="15" t="str">
        <f>IF($C670="","",IF($I670="","-",INDEX(SETUP!$B$16:$B$22,MATCH($I670,SETUP!$A$16:$A$22,1))))</f>
        <v>DEVELOPING</v>
      </c>
      <c r="K670" s="15" t="str">
        <f>IF($C670="","",IF($I670="","-",TEXT(INT($I670/1000)*1000,"#,##0")&amp;" - "&amp;TEXT(INT($I670/1000)*1000+999,"#,##0")))</f>
        <v>3,000 - 3,999</v>
      </c>
      <c r="L670" s="71">
        <v>5.6</v>
      </c>
      <c r="M670" s="15" t="str">
        <f>IF($C670="","",IF($L670="","-",INDEX(SETUP!$B$36:$B$42,MATCH($L670,SETUP!$A$36:$A$42,1))))</f>
        <v>5k - 6k</v>
      </c>
      <c r="N670" s="17">
        <f>IF($C670="","",IF(OR($G670="",$I670=""),"",ROUND(100*(SETUP!$B$4*MIN(1,$I670/SETUP!$B$9)+SETUP!$B$5*MAX(0,MIN(1,($G670-SETUP!$B$10)/(SETUP!$B$11-SETUP!$B$10)))+SETUP!$B$6*MIN(1,IF($L670="",0,$L670)/SETUP!$B$12)),1)))</f>
        <v>43.7</v>
      </c>
      <c r="O670" s="15" t="str">
        <f>IF($C670="","",IF($N670="","-",INDEX(SETUP!$B$46:$B$51,MATCH($N670,SETUP!$A$46:$A$51,1))))</f>
        <v>B</v>
      </c>
      <c r="P670" s="15">
        <f>IF($C670="","",IF($I670="","",RANK($I670,$I$4:$I$1463)+COUNTIF($I$4:$I670,$I670)-1))</f>
        <v>616</v>
      </c>
      <c r="Q670" s="15">
        <f>IF($C670="","",COUNTIFS($B$4:$B$1463,$B670,$X$4:$X$1463,"&gt;"&amp;$X670)+COUNTIFS($B$4:$B670,$B670,$X$4:$X670,"="&amp;$X670))</f>
        <v>75</v>
      </c>
      <c r="R670" s="72">
        <f>IF($C670="","",IF($I670="","",ROUND(COUNTIF($I$4:$I$1463,"&lt;"&amp;$I670)/COUNT($I$4:$I$1463),3)))</f>
        <v>0.53500000000000003</v>
      </c>
      <c r="S670" s="15" t="str">
        <f>IF($C670="","",IF($G670="","Name only",IF(OR($I670="",$L670=""),"Partial","Complete")))</f>
        <v>Complete</v>
      </c>
      <c r="T670" s="41" t="str">
        <f>IF($C670="","",TRIM(IF(COUNTIF($C$4:$C$1463,$C670)&gt;1,"Dup name; ","")&amp;IF(AND($G670&lt;&gt;"",$G670&lt;55000),"Low CR - verify; ","")&amp;IF(AND($L670&lt;&gt;"",$L670&gt;15),"Secondary - verify; ","")&amp;IF($E670="","No class; ","")))</f>
        <v/>
      </c>
      <c r="U670" s="68"/>
      <c r="V670" s="68"/>
      <c r="W670" s="68"/>
      <c r="X670" s="73">
        <f t="shared" si="52"/>
        <v>3927</v>
      </c>
      <c r="Y670" s="41" t="str">
        <f t="shared" si="53"/>
        <v>SBG|75</v>
      </c>
      <c r="Z670" s="15">
        <f>IF($C670="","",IF($G670="","",RANK($G670,$G$4:$G$1463)+COUNTIF($G$4:$G670,$G670)-1))</f>
        <v>993</v>
      </c>
      <c r="AA670" s="15">
        <f>IF($C670="","",IF($N670="","",RANK($N670,$N$4:$N$1463)+COUNTIF($N$4:$N670,$N670)-1))</f>
        <v>679</v>
      </c>
      <c r="AB670" s="41" t="str">
        <f>IF($C670="","",IF($E670="","",$E670&amp;"#"&amp;(COUNTIFS($E$4:$E$1463,$E670,$X$4:$X$1463,"&gt;"&amp;$X670)+COUNTIFS($E$4:$E670,$E670,$X$4:$X670,"="&amp;$X670))))</f>
        <v>DEMON HUNTER#100</v>
      </c>
      <c r="AC670" s="41" t="str">
        <f>IF($C670="","",$B670&amp;"@"&amp;(COUNTIFS($B$4:$B$1463,$B670,$C$4:$C$1463,"&lt;"&amp;$C670)+COUNTIFS($B$4:$B670,$B670,$C$4:$C670,$C670)))</f>
        <v>SBG@41</v>
      </c>
      <c r="AD670" s="41">
        <f t="shared" si="54"/>
        <v>667</v>
      </c>
      <c r="AE670" s="41" t="s">
        <v>1694</v>
      </c>
      <c r="AF670" s="73">
        <f t="shared" si="55"/>
        <v>61549</v>
      </c>
      <c r="AG670" s="74">
        <f t="shared" si="56"/>
        <v>5.6</v>
      </c>
      <c r="AH670" s="41" t="str">
        <f>IF($C670="","",$B670&amp;"|"&amp;(COUNTIFS($B$4:$B$1463,$B670,$AF$4:$AF$1463,"&gt;"&amp;$AF670)+COUNTIFS($B$4:$B670,$B670,$AF$4:$AF670,"="&amp;$AF670)))</f>
        <v>SBG|81</v>
      </c>
      <c r="AI670" s="41" t="str">
        <f>IF($C670="","",$B670&amp;"|"&amp;(COUNTIFS($B$4:$B$1463,$B670,$AG$4:$AG$1463,"&gt;"&amp;$AG670)+COUNTIFS($B$4:$B670,$B670,$AG$4:$AG670,"="&amp;$AG670)))</f>
        <v>SBG|53</v>
      </c>
    </row>
    <row r="671" spans="1:35" hidden="1">
      <c r="A671" s="69" t="s">
        <v>106</v>
      </c>
      <c r="B671" s="69" t="s">
        <v>105</v>
      </c>
      <c r="C671" s="63" t="s">
        <v>1695</v>
      </c>
      <c r="D671" s="69"/>
      <c r="E671" s="68" t="s">
        <v>74</v>
      </c>
      <c r="F671" s="19" t="str">
        <f>IF($C671="","",IF($E671="","-",IFERROR(INDEX(SETUP!$B$55:$B$64,MATCH($E671,SETUP!$A$55:$A$64,0)),"Other")))</f>
        <v>Ranged DPS</v>
      </c>
      <c r="G671" s="70">
        <v>63747</v>
      </c>
      <c r="H671" s="19" t="str">
        <f>IF($C671="","",IF($G671="","-",INDEX(SETUP!$B$26:$B$32,MATCH($G671,SETUP!$A$26:$A$32,1))))</f>
        <v>63,000 - 63,999</v>
      </c>
      <c r="I671" s="70">
        <v>7812</v>
      </c>
      <c r="J671" s="19" t="str">
        <f>IF($C671="","",IF($I671="","-",INDEX(SETUP!$B$16:$B$22,MATCH($I671,SETUP!$A$16:$A$22,1))))</f>
        <v>VETERAN</v>
      </c>
      <c r="K671" s="19" t="str">
        <f>IF($C671="","",IF($I671="","-",TEXT(INT($I671/1000)*1000,"#,##0")&amp;" - "&amp;TEXT(INT($I671/1000)*1000+999,"#,##0")))</f>
        <v>7,000 - 7,999</v>
      </c>
      <c r="L671" s="71">
        <v>6.12</v>
      </c>
      <c r="M671" s="19" t="str">
        <f>IF($C671="","",IF($L671="","-",INDEX(SETUP!$B$36:$B$42,MATCH($L671,SETUP!$A$36:$A$42,1))))</f>
        <v>6k - 8k</v>
      </c>
      <c r="N671" s="21">
        <f>IF($C671="","",IF(OR($G671="",$I671=""),"",ROUND(100*(SETUP!$B$4*MIN(1,$I671/SETUP!$B$9)+SETUP!$B$5*MAX(0,MIN(1,($G671-SETUP!$B$10)/(SETUP!$B$11-SETUP!$B$10)))+SETUP!$B$6*MIN(1,IF($L671="",0,$L671)/SETUP!$B$12)),1)))</f>
        <v>67.3</v>
      </c>
      <c r="O671" s="19" t="str">
        <f>IF($C671="","",IF($N671="","-",INDEX(SETUP!$B$46:$B$51,MATCH($N671,SETUP!$A$46:$A$51,1))))</f>
        <v>S</v>
      </c>
      <c r="P671" s="19">
        <f>IF($C671="","",IF($I671="","",RANK($I671,$I$4:$I$1463)+COUNTIF($I$4:$I671,$I671)-1))</f>
        <v>156</v>
      </c>
      <c r="Q671" s="19">
        <f>IF($C671="","",COUNTIFS($B$4:$B$1463,$B671,$X$4:$X$1463,"&gt;"&amp;$X671)+COUNTIFS($B$4:$B671,$B671,$X$4:$X671,"="&amp;$X671))</f>
        <v>14</v>
      </c>
      <c r="R671" s="75">
        <f>IF($C671="","",IF($I671="","",ROUND(COUNTIF($I$4:$I$1463,"&lt;"&amp;$I671)/COUNT($I$4:$I$1463),3)))</f>
        <v>0.88200000000000001</v>
      </c>
      <c r="S671" s="19" t="str">
        <f>IF($C671="","",IF($G671="","Name only",IF(OR($I671="",$L671=""),"Partial","Complete")))</f>
        <v>Complete</v>
      </c>
      <c r="T671" s="1" t="str">
        <f>IF($C671="","",TRIM(IF(COUNTIF($C$4:$C$1463,$C671)&gt;1,"Dup name; ","")&amp;IF(AND($G671&lt;&gt;"",$G671&lt;55000),"Low CR - verify; ","")&amp;IF(AND($L671&lt;&gt;"",$L671&gt;15),"Secondary - verify; ","")&amp;IF($E671="","No class; ","")))</f>
        <v/>
      </c>
      <c r="U671" s="68"/>
      <c r="V671" s="68"/>
      <c r="W671" s="68"/>
      <c r="X671" s="76">
        <f t="shared" si="52"/>
        <v>7812</v>
      </c>
      <c r="Y671" s="1" t="str">
        <f t="shared" si="53"/>
        <v>LEGENDS|14</v>
      </c>
      <c r="Z671" s="19">
        <f>IF($C671="","",IF($G671="","",RANK($G671,$G$4:$G$1463)+COUNTIF($G$4:$G671,$G671)-1))</f>
        <v>125</v>
      </c>
      <c r="AA671" s="19">
        <f>IF($C671="","",IF($N671="","",RANK($N671,$N$4:$N$1463)+COUNTIF($N$4:$N671,$N671)-1))</f>
        <v>155</v>
      </c>
      <c r="AB671" s="1" t="str">
        <f>IF($C671="","",IF($E671="","",$E671&amp;"#"&amp;(COUNTIFS($E$4:$E$1463,$E671,$X$4:$X$1463,"&gt;"&amp;$X671)+COUNTIFS($E$4:$E671,$E671,$X$4:$X671,"="&amp;$X671))))</f>
        <v>DEMON HUNTER#28</v>
      </c>
      <c r="AC671" s="1" t="str">
        <f>IF($C671="","",$B671&amp;"@"&amp;(COUNTIFS($B$4:$B$1463,$B671,$C$4:$C$1463,"&lt;"&amp;$C671)+COUNTIFS($B$4:$B671,$B671,$C$4:$C671,$C671)))</f>
        <v>LEGENDS@60</v>
      </c>
      <c r="AD671" s="1">
        <f t="shared" si="54"/>
        <v>668</v>
      </c>
      <c r="AE671" s="1" t="s">
        <v>1696</v>
      </c>
      <c r="AF671" s="76">
        <f t="shared" si="55"/>
        <v>63747</v>
      </c>
      <c r="AG671" s="77">
        <f t="shared" si="56"/>
        <v>6.12</v>
      </c>
      <c r="AH671" s="1" t="str">
        <f>IF($C671="","",$B671&amp;"|"&amp;(COUNTIFS($B$4:$B$1463,$B671,$AF$4:$AF$1463,"&gt;"&amp;$AF671)+COUNTIFS($B$4:$B671,$B671,$AF$4:$AF671,"="&amp;$AF671)))</f>
        <v>LEGENDS|10</v>
      </c>
      <c r="AI671" s="1" t="str">
        <f>IF($C671="","",$B671&amp;"|"&amp;(COUNTIFS($B$4:$B$1463,$B671,$AG$4:$AG$1463,"&gt;"&amp;$AG671)+COUNTIFS($B$4:$B671,$B671,$AG$4:$AG671,"="&amp;$AG671)))</f>
        <v>LEGENDS|17</v>
      </c>
    </row>
    <row r="672" spans="1:35">
      <c r="A672" s="69" t="s">
        <v>104</v>
      </c>
      <c r="B672" s="69" t="s">
        <v>66</v>
      </c>
      <c r="C672" s="63" t="s">
        <v>1665</v>
      </c>
      <c r="D672" s="69"/>
      <c r="E672" s="68" t="s">
        <v>71</v>
      </c>
      <c r="F672" s="19" t="str">
        <f>IF($C672="","",IF($E672="","-",IFERROR(INDEX(SETUP!$B$55:$B$64,MATCH($E672,SETUP!$A$55:$A$64,0)),"Other")))</f>
        <v>Frontline</v>
      </c>
      <c r="G672" s="70">
        <v>61196</v>
      </c>
      <c r="H672" s="19" t="str">
        <f>IF($C672="","",IF($G672="","-",INDEX(SETUP!$B$26:$B$32,MATCH($G672,SETUP!$A$26:$A$32,1))))</f>
        <v>61,000 - 61,999</v>
      </c>
      <c r="I672" s="70">
        <v>2462</v>
      </c>
      <c r="J672" s="19" t="str">
        <f>IF($C672="","",IF($I672="","-",INDEX(SETUP!$B$16:$B$22,MATCH($I672,SETUP!$A$16:$A$22,1))))</f>
        <v>DEVELOPING</v>
      </c>
      <c r="K672" s="19" t="str">
        <f>IF($C672="","",IF($I672="","-",TEXT(INT($I672/1000)*1000,"#,##0")&amp;" - "&amp;TEXT(INT($I672/1000)*1000+999,"#,##0")))</f>
        <v>2,000 - 2,999</v>
      </c>
      <c r="L672" s="71">
        <v>3.37</v>
      </c>
      <c r="M672" s="19" t="str">
        <f>IF($C672="","",IF($L672="","-",INDEX(SETUP!$B$36:$B$42,MATCH($L672,SETUP!$A$36:$A$42,1))))</f>
        <v>3k - 4k</v>
      </c>
      <c r="N672" s="21">
        <f>IF($C672="","",IF(OR($G672="",$I672=""),"",ROUND(100*(SETUP!$B$4*MIN(1,$I672/SETUP!$B$9)+SETUP!$B$5*MAX(0,MIN(1,($G672-SETUP!$B$10)/(SETUP!$B$11-SETUP!$B$10)))+SETUP!$B$6*MIN(1,IF($L672="",0,$L672)/SETUP!$B$12)),1)))</f>
        <v>32.700000000000003</v>
      </c>
      <c r="O672" s="19" t="str">
        <f>IF($C672="","",IF($N672="","-",INDEX(SETUP!$B$46:$B$51,MATCH($N672,SETUP!$A$46:$A$51,1))))</f>
        <v>C</v>
      </c>
      <c r="P672" s="19">
        <f>IF($C672="","",IF($I672="","",RANK($I672,$I$4:$I$1463)+COUNTIF($I$4:$I672,$I672)-1))</f>
        <v>1017</v>
      </c>
      <c r="Q672" s="19">
        <f>IF($C672="","",COUNTIFS($B$4:$B$1463,$B672,$X$4:$X$1463,"&gt;"&amp;$X672)+COUNTIFS($B$4:$B672,$B672,$X$4:$X672,"="&amp;$X672))</f>
        <v>99</v>
      </c>
      <c r="R672" s="75">
        <f>IF($C672="","",IF($I672="","",ROUND(COUNTIF($I$4:$I$1463,"&lt;"&amp;$I672)/COUNT($I$4:$I$1463),3)))</f>
        <v>0.23200000000000001</v>
      </c>
      <c r="S672" s="19" t="str">
        <f>IF($C672="","",IF($G672="","Name only",IF(OR($I672="",$L672=""),"Partial","Complete")))</f>
        <v>Complete</v>
      </c>
      <c r="T672" s="1" t="str">
        <f>IF($C672="","",TRIM(IF(COUNTIF($C$4:$C$1463,$C672)&gt;1,"Dup name; ","")&amp;IF(AND($G672&lt;&gt;"",$G672&lt;55000),"Low CR - verify; ","")&amp;IF(AND($L672&lt;&gt;"",$L672&gt;15),"Secondary - verify; ","")&amp;IF($E672="","No class; ","")))</f>
        <v/>
      </c>
      <c r="U672" s="68"/>
      <c r="V672" s="68"/>
      <c r="W672" s="68" t="s">
        <v>287</v>
      </c>
      <c r="X672" s="73">
        <f t="shared" si="52"/>
        <v>2462</v>
      </c>
      <c r="Y672" s="41" t="str">
        <f t="shared" si="53"/>
        <v>FUCT|99</v>
      </c>
      <c r="Z672" s="15">
        <f>IF($C672="","",IF($G672="","",RANK($G672,$G$4:$G$1463)+COUNTIF($G$4:$G672,$G672)-1))</f>
        <v>1089</v>
      </c>
      <c r="AA672" s="15">
        <f>IF($C672="","",IF($N672="","",RANK($N672,$N$4:$N$1463)+COUNTIF($N$4:$N672,$N672)-1))</f>
        <v>1077</v>
      </c>
      <c r="AB672" s="41" t="str">
        <f>IF($C672="","",IF($E672="","",$E672&amp;"#"&amp;(COUNTIFS($E$4:$E$1463,$E672,$X$4:$X$1463,"&gt;"&amp;$X672)+COUNTIFS($E$4:$E672,$E672,$X$4:$X672,"="&amp;$X672))))</f>
        <v>BARBARIAN#172</v>
      </c>
      <c r="AC672" s="41" t="str">
        <f>IF($C672="","",$B672&amp;"@"&amp;(COUNTIFS($B$4:$B$1463,$B672,$C$4:$C$1463,"&lt;"&amp;$C672)+COUNTIFS($B$4:$B672,$B672,$C$4:$C672,$C672)))</f>
        <v>FUCT@49</v>
      </c>
      <c r="AD672" s="41">
        <f t="shared" si="54"/>
        <v>669</v>
      </c>
      <c r="AE672" s="41" t="s">
        <v>1698</v>
      </c>
      <c r="AF672" s="73">
        <f t="shared" si="55"/>
        <v>61196</v>
      </c>
      <c r="AG672" s="74">
        <f t="shared" si="56"/>
        <v>3.37</v>
      </c>
      <c r="AH672" s="41" t="str">
        <f>IF($C672="","",$B672&amp;"|"&amp;(COUNTIFS($B$4:$B$1463,$B672,$AF$4:$AF$1463,"&gt;"&amp;$AF672)+COUNTIFS($B$4:$B672,$B672,$AF$4:$AF672,"="&amp;$AF672)))</f>
        <v>FUCT|97</v>
      </c>
      <c r="AI672" s="41" t="str">
        <f>IF($C672="","",$B672&amp;"|"&amp;(COUNTIFS($B$4:$B$1463,$B672,$AG$4:$AG$1463,"&gt;"&amp;$AG672)+COUNTIFS($B$4:$B672,$B672,$AG$4:$AG672,"="&amp;$AG672)))</f>
        <v>FUCT|98</v>
      </c>
    </row>
    <row r="673" spans="1:35" hidden="1">
      <c r="A673" s="69" t="s">
        <v>109</v>
      </c>
      <c r="B673" s="69" t="s">
        <v>114</v>
      </c>
      <c r="C673" s="63" t="s">
        <v>1699</v>
      </c>
      <c r="D673" s="69"/>
      <c r="E673" s="68" t="s">
        <v>80</v>
      </c>
      <c r="F673" s="19" t="str">
        <f>IF($C673="","",IF($E673="","-",IFERROR(INDEX(SETUP!$B$55:$B$64,MATCH($E673,SETUP!$A$55:$A$64,0)),"Other")))</f>
        <v>Ranged DPS</v>
      </c>
      <c r="G673" s="70">
        <v>61964</v>
      </c>
      <c r="H673" s="19" t="str">
        <f>IF($C673="","",IF($G673="","-",INDEX(SETUP!$B$26:$B$32,MATCH($G673,SETUP!$A$26:$A$32,1))))</f>
        <v>61,000 - 61,999</v>
      </c>
      <c r="I673" s="70">
        <v>5102</v>
      </c>
      <c r="J673" s="19" t="str">
        <f>IF($C673="","",IF($I673="","-",INDEX(SETUP!$B$16:$B$22,MATCH($I673,SETUP!$A$16:$A$22,1))))</f>
        <v>CORE</v>
      </c>
      <c r="K673" s="19" t="str">
        <f>IF($C673="","",IF($I673="","-",TEXT(INT($I673/1000)*1000,"#,##0")&amp;" - "&amp;TEXT(INT($I673/1000)*1000+999,"#,##0")))</f>
        <v>5,000 - 5,999</v>
      </c>
      <c r="L673" s="71">
        <v>5.67</v>
      </c>
      <c r="M673" s="19" t="str">
        <f>IF($C673="","",IF($L673="","-",INDEX(SETUP!$B$36:$B$42,MATCH($L673,SETUP!$A$36:$A$42,1))))</f>
        <v>5k - 6k</v>
      </c>
      <c r="N673" s="21">
        <f>IF($C673="","",IF(OR($G673="",$I673=""),"",ROUND(100*(SETUP!$B$4*MIN(1,$I673/SETUP!$B$9)+SETUP!$B$5*MAX(0,MIN(1,($G673-SETUP!$B$10)/(SETUP!$B$11-SETUP!$B$10)))+SETUP!$B$6*MIN(1,IF($L673="",0,$L673)/SETUP!$B$12)),1)))</f>
        <v>50</v>
      </c>
      <c r="O673" s="19" t="str">
        <f>IF($C673="","",IF($N673="","-",INDEX(SETUP!$B$46:$B$51,MATCH($N673,SETUP!$A$46:$A$51,1))))</f>
        <v>A</v>
      </c>
      <c r="P673" s="19">
        <f>IF($C673="","",IF($I673="","",RANK($I673,$I$4:$I$1463)+COUNTIF($I$4:$I673,$I673)-1))</f>
        <v>395</v>
      </c>
      <c r="Q673" s="19">
        <f>IF($C673="","",COUNTIFS($B$4:$B$1463,$B673,$X$4:$X$1463,"&gt;"&amp;$X673)+COUNTIFS($B$4:$B673,$B673,$X$4:$X673,"="&amp;$X673))</f>
        <v>3</v>
      </c>
      <c r="R673" s="75">
        <f>IF($C673="","",IF($I673="","",ROUND(COUNTIF($I$4:$I$1463,"&lt;"&amp;$I673)/COUNT($I$4:$I$1463),3)))</f>
        <v>0.70199999999999996</v>
      </c>
      <c r="S673" s="19" t="str">
        <f>IF($C673="","",IF($G673="","Name only",IF(OR($I673="",$L673=""),"Partial","Complete")))</f>
        <v>Complete</v>
      </c>
      <c r="T673" s="1" t="str">
        <f>IF($C673="","",TRIM(IF(COUNTIF($C$4:$C$1463,$C673)&gt;1,"Dup name; ","")&amp;IF(AND($G673&lt;&gt;"",$G673&lt;55000),"Low CR - verify; ","")&amp;IF(AND($L673&lt;&gt;"",$L673&gt;15),"Secondary - verify; ","")&amp;IF($E673="","No class; ","")))</f>
        <v/>
      </c>
      <c r="U673" s="68"/>
      <c r="V673" s="68"/>
      <c r="W673" s="68"/>
      <c r="X673" s="76">
        <f t="shared" si="52"/>
        <v>5102</v>
      </c>
      <c r="Y673" s="1" t="str">
        <f t="shared" si="53"/>
        <v>EMERALD LEAF TRIBE|3</v>
      </c>
      <c r="Z673" s="19">
        <f>IF($C673="","",IF($G673="","",RANK($G673,$G$4:$G$1463)+COUNTIF($G$4:$G673,$G673)-1))</f>
        <v>844</v>
      </c>
      <c r="AA673" s="19">
        <f>IF($C673="","",IF($N673="","",RANK($N673,$N$4:$N$1463)+COUNTIF($N$4:$N673,$N673)-1))</f>
        <v>459</v>
      </c>
      <c r="AB673" s="1" t="str">
        <f>IF($C673="","",IF($E673="","",$E673&amp;"#"&amp;(COUNTIFS($E$4:$E$1463,$E673,$X$4:$X$1463,"&gt;"&amp;$X673)+COUNTIFS($E$4:$E673,$E673,$X$4:$X673,"="&amp;$X673))))</f>
        <v>WIZARD#26</v>
      </c>
      <c r="AC673" s="1" t="str">
        <f>IF($C673="","",$B673&amp;"@"&amp;(COUNTIFS($B$4:$B$1463,$B673,$C$4:$C$1463,"&lt;"&amp;$C673)+COUNTIFS($B$4:$B673,$B673,$C$4:$C673,$C673)))</f>
        <v>EMERALD LEAF TRIBE@46</v>
      </c>
      <c r="AD673" s="1">
        <f t="shared" si="54"/>
        <v>670</v>
      </c>
      <c r="AE673" s="1" t="s">
        <v>1700</v>
      </c>
      <c r="AF673" s="76">
        <f t="shared" si="55"/>
        <v>61964</v>
      </c>
      <c r="AG673" s="77">
        <f t="shared" si="56"/>
        <v>5.67</v>
      </c>
      <c r="AH673" s="1" t="str">
        <f>IF($C673="","",$B673&amp;"|"&amp;(COUNTIFS($B$4:$B$1463,$B673,$AF$4:$AF$1463,"&gt;"&amp;$AF673)+COUNTIFS($B$4:$B673,$B673,$AF$4:$AF673,"="&amp;$AF673)))</f>
        <v>EMERALD LEAF TRIBE|27</v>
      </c>
      <c r="AI673" s="1" t="str">
        <f>IF($C673="","",$B673&amp;"|"&amp;(COUNTIFS($B$4:$B$1463,$B673,$AG$4:$AG$1463,"&gt;"&amp;$AG673)+COUNTIFS($B$4:$B673,$B673,$AG$4:$AG673,"="&amp;$AG673)))</f>
        <v>EMERALD LEAF TRIBE|1</v>
      </c>
    </row>
    <row r="674" spans="1:35" hidden="1">
      <c r="A674" s="69" t="s">
        <v>109</v>
      </c>
      <c r="B674" s="69" t="s">
        <v>116</v>
      </c>
      <c r="C674" s="63" t="s">
        <v>1701</v>
      </c>
      <c r="D674" s="69" t="s">
        <v>530</v>
      </c>
      <c r="E674" s="68" t="s">
        <v>74</v>
      </c>
      <c r="F674" s="15" t="str">
        <f>IF($C674="","",IF($E674="","-",IFERROR(INDEX(SETUP!$B$55:$B$64,MATCH($E674,SETUP!$A$55:$A$64,0)),"Other")))</f>
        <v>Ranged DPS</v>
      </c>
      <c r="G674" s="70">
        <v>63104</v>
      </c>
      <c r="H674" s="15" t="str">
        <f>IF($C674="","",IF($G674="","-",INDEX(SETUP!$B$26:$B$32,MATCH($G674,SETUP!$A$26:$A$32,1))))</f>
        <v>63,000 - 63,999</v>
      </c>
      <c r="I674" s="70">
        <v>4020</v>
      </c>
      <c r="J674" s="15" t="str">
        <f>IF($C674="","",IF($I674="","-",INDEX(SETUP!$B$16:$B$22,MATCH($I674,SETUP!$A$16:$A$22,1))))</f>
        <v>CORE</v>
      </c>
      <c r="K674" s="15" t="str">
        <f>IF($C674="","",IF($I674="","-",TEXT(INT($I674/1000)*1000,"#,##0")&amp;" - "&amp;TEXT(INT($I674/1000)*1000+999,"#,##0")))</f>
        <v>4,000 - 4,999</v>
      </c>
      <c r="L674" s="71">
        <v>6</v>
      </c>
      <c r="M674" s="15" t="str">
        <f>IF($C674="","",IF($L674="","-",INDEX(SETUP!$B$36:$B$42,MATCH($L674,SETUP!$A$36:$A$42,1))))</f>
        <v>6k - 8k</v>
      </c>
      <c r="N674" s="17">
        <f>IF($C674="","",IF(OR($G674="",$I674=""),"",ROUND(100*(SETUP!$B$4*MIN(1,$I674/SETUP!$B$9)+SETUP!$B$5*MAX(0,MIN(1,($G674-SETUP!$B$10)/(SETUP!$B$11-SETUP!$B$10)))+SETUP!$B$6*MIN(1,IF($L674="",0,$L674)/SETUP!$B$12)),1)))</f>
        <v>48.9</v>
      </c>
      <c r="O674" s="15" t="str">
        <f>IF($C674="","",IF($N674="","-",INDEX(SETUP!$B$46:$B$51,MATCH($N674,SETUP!$A$46:$A$51,1))))</f>
        <v>B</v>
      </c>
      <c r="P674" s="15">
        <f>IF($C674="","",IF($I674="","",RANK($I674,$I$4:$I$1463)+COUNTIF($I$4:$I674,$I674)-1))</f>
        <v>600</v>
      </c>
      <c r="Q674" s="15">
        <f>IF($C674="","",COUNTIFS($B$4:$B$1463,$B674,$X$4:$X$1463,"&gt;"&amp;$X674)+COUNTIFS($B$4:$B674,$B674,$X$4:$X674,"="&amp;$X674))</f>
        <v>34</v>
      </c>
      <c r="R674" s="72">
        <f>IF($C674="","",IF($I674="","",ROUND(COUNTIF($I$4:$I$1463,"&lt;"&amp;$I674)/COUNT($I$4:$I$1463),3)))</f>
        <v>0.54700000000000004</v>
      </c>
      <c r="S674" s="15" t="str">
        <f>IF($C674="","",IF($G674="","Name only",IF(OR($I674="",$L674=""),"Partial","Complete")))</f>
        <v>Complete</v>
      </c>
      <c r="T674" s="41" t="str">
        <f>IF($C674="","",TRIM(IF(COUNTIF($C$4:$C$1463,$C674)&gt;1,"Dup name; ","")&amp;IF(AND($G674&lt;&gt;"",$G674&lt;55000),"Low CR - verify; ","")&amp;IF(AND($L674&lt;&gt;"",$L674&gt;15),"Secondary - verify; ","")&amp;IF($E674="","No class; ","")))</f>
        <v/>
      </c>
      <c r="U674" s="68"/>
      <c r="V674" s="68"/>
      <c r="W674" s="68"/>
      <c r="X674" s="73">
        <f t="shared" si="52"/>
        <v>4020</v>
      </c>
      <c r="Y674" s="41" t="str">
        <f t="shared" si="53"/>
        <v>VENGEANCE|34</v>
      </c>
      <c r="Z674" s="15">
        <f>IF($C674="","",IF($G674="","",RANK($G674,$G$4:$G$1463)+COUNTIF($G$4:$G674,$G674)-1))</f>
        <v>377</v>
      </c>
      <c r="AA674" s="15">
        <f>IF($C674="","",IF($N674="","",RANK($N674,$N$4:$N$1463)+COUNTIF($N$4:$N674,$N674)-1))</f>
        <v>489</v>
      </c>
      <c r="AB674" s="41" t="str">
        <f>IF($C674="","",IF($E674="","",$E674&amp;"#"&amp;(COUNTIFS($E$4:$E$1463,$E674,$X$4:$X$1463,"&gt;"&amp;$X674)+COUNTIFS($E$4:$E674,$E674,$X$4:$X674,"="&amp;$X674))))</f>
        <v>DEMON HUNTER#97</v>
      </c>
      <c r="AC674" s="41" t="str">
        <f>IF($C674="","",$B674&amp;"@"&amp;(COUNTIFS($B$4:$B$1463,$B674,$C$4:$C$1463,"&lt;"&amp;$C674)+COUNTIFS($B$4:$B674,$B674,$C$4:$C674,$C674)))</f>
        <v>VENGEANCE@41</v>
      </c>
      <c r="AD674" s="41">
        <f t="shared" si="54"/>
        <v>671</v>
      </c>
      <c r="AE674" s="41" t="s">
        <v>1477</v>
      </c>
      <c r="AF674" s="73">
        <f t="shared" si="55"/>
        <v>63104</v>
      </c>
      <c r="AG674" s="74">
        <f t="shared" si="56"/>
        <v>6</v>
      </c>
      <c r="AH674" s="41" t="str">
        <f>IF($C674="","",$B674&amp;"|"&amp;(COUNTIFS($B$4:$B$1463,$B674,$AF$4:$AF$1463,"&gt;"&amp;$AF674)+COUNTIFS($B$4:$B674,$B674,$AF$4:$AF674,"="&amp;$AF674)))</f>
        <v>VENGEANCE|18</v>
      </c>
      <c r="AI674" s="41" t="str">
        <f>IF($C674="","",$B674&amp;"|"&amp;(COUNTIFS($B$4:$B$1463,$B674,$AG$4:$AG$1463,"&gt;"&amp;$AG674)+COUNTIFS($B$4:$B674,$B674,$AG$4:$AG674,"="&amp;$AG674)))</f>
        <v>VENGEANCE|13</v>
      </c>
    </row>
    <row r="675" spans="1:35" hidden="1">
      <c r="A675" s="69" t="s">
        <v>109</v>
      </c>
      <c r="B675" s="69" t="s">
        <v>115</v>
      </c>
      <c r="C675" s="63" t="s">
        <v>1702</v>
      </c>
      <c r="D675" s="69"/>
      <c r="E675" s="68" t="s">
        <v>77</v>
      </c>
      <c r="F675" s="19" t="str">
        <f>IF($C675="","",IF($E675="","-",IFERROR(INDEX(SETUP!$B$55:$B$64,MATCH($E675,SETUP!$A$55:$A$64,0)),"Other")))</f>
        <v>Control</v>
      </c>
      <c r="G675" s="70">
        <v>62604</v>
      </c>
      <c r="H675" s="19" t="str">
        <f>IF($C675="","",IF($G675="","-",INDEX(SETUP!$B$26:$B$32,MATCH($G675,SETUP!$A$26:$A$32,1))))</f>
        <v>62,000 - 62,999</v>
      </c>
      <c r="I675" s="70">
        <v>2614</v>
      </c>
      <c r="J675" s="19" t="str">
        <f>IF($C675="","",IF($I675="","-",INDEX(SETUP!$B$16:$B$22,MATCH($I675,SETUP!$A$16:$A$22,1))))</f>
        <v>DEVELOPING</v>
      </c>
      <c r="K675" s="19" t="str">
        <f>IF($C675="","",IF($I675="","-",TEXT(INT($I675/1000)*1000,"#,##0")&amp;" - "&amp;TEXT(INT($I675/1000)*1000+999,"#,##0")))</f>
        <v>2,000 - 2,999</v>
      </c>
      <c r="L675" s="71">
        <v>3.4</v>
      </c>
      <c r="M675" s="19" t="str">
        <f>IF($C675="","",IF($L675="","-",INDEX(SETUP!$B$36:$B$42,MATCH($L675,SETUP!$A$36:$A$42,1))))</f>
        <v>3k - 4k</v>
      </c>
      <c r="N675" s="21">
        <f>IF($C675="","",IF(OR($G675="",$I675=""),"",ROUND(100*(SETUP!$B$4*MIN(1,$I675/SETUP!$B$9)+SETUP!$B$5*MAX(0,MIN(1,($G675-SETUP!$B$10)/(SETUP!$B$11-SETUP!$B$10)))+SETUP!$B$6*MIN(1,IF($L675="",0,$L675)/SETUP!$B$12)),1)))</f>
        <v>37.1</v>
      </c>
      <c r="O675" s="19" t="str">
        <f>IF($C675="","",IF($N675="","-",INDEX(SETUP!$B$46:$B$51,MATCH($N675,SETUP!$A$46:$A$51,1))))</f>
        <v>B</v>
      </c>
      <c r="P675" s="19">
        <f>IF($C675="","",IF($I675="","",RANK($I675,$I$4:$I$1463)+COUNTIF($I$4:$I675,$I675)-1))</f>
        <v>978</v>
      </c>
      <c r="Q675" s="19">
        <f>IF($C675="","",COUNTIFS($B$4:$B$1463,$B675,$X$4:$X$1463,"&gt;"&amp;$X675)+COUNTIFS($B$4:$B675,$B675,$X$4:$X675,"="&amp;$X675))</f>
        <v>33</v>
      </c>
      <c r="R675" s="75">
        <f>IF($C675="","",IF($I675="","",ROUND(COUNTIF($I$4:$I$1463,"&lt;"&amp;$I675)/COUNT($I$4:$I$1463),3)))</f>
        <v>0.26200000000000001</v>
      </c>
      <c r="S675" s="19" t="str">
        <f>IF($C675="","",IF($G675="","Name only",IF(OR($I675="",$L675=""),"Partial","Complete")))</f>
        <v>Complete</v>
      </c>
      <c r="T675" s="1" t="str">
        <f>IF($C675="","",TRIM(IF(COUNTIF($C$4:$C$1463,$C675)&gt;1,"Dup name; ","")&amp;IF(AND($G675&lt;&gt;"",$G675&lt;55000),"Low CR - verify; ","")&amp;IF(AND($L675&lt;&gt;"",$L675&gt;15),"Secondary - verify; ","")&amp;IF($E675="","No class; ","")))</f>
        <v/>
      </c>
      <c r="U675" s="68"/>
      <c r="V675" s="68"/>
      <c r="W675" s="68"/>
      <c r="X675" s="76">
        <f t="shared" si="52"/>
        <v>2614</v>
      </c>
      <c r="Y675" s="1" t="str">
        <f t="shared" si="53"/>
        <v>SUB ROSA|33</v>
      </c>
      <c r="Z675" s="19">
        <f>IF($C675="","",IF($G675="","",RANK($G675,$G$4:$G$1463)+COUNTIF($G$4:$G675,$G675)-1))</f>
        <v>611</v>
      </c>
      <c r="AA675" s="19">
        <f>IF($C675="","",IF($N675="","",RANK($N675,$N$4:$N$1463)+COUNTIF($N$4:$N675,$N675)-1))</f>
        <v>926</v>
      </c>
      <c r="AB675" s="1" t="str">
        <f>IF($C675="","",IF($E675="","",$E675&amp;"#"&amp;(COUNTIFS($E$4:$E$1463,$E675,$X$4:$X$1463,"&gt;"&amp;$X675)+COUNTIFS($E$4:$E675,$E675,$X$4:$X675,"="&amp;$X675))))</f>
        <v>NECROMANCER#63</v>
      </c>
      <c r="AC675" s="1" t="str">
        <f>IF($C675="","",$B675&amp;"@"&amp;(COUNTIFS($B$4:$B$1463,$B675,$C$4:$C$1463,"&lt;"&amp;$C675)+COUNTIFS($B$4:$B675,$B675,$C$4:$C675,$C675)))</f>
        <v>SUB ROSA@43</v>
      </c>
      <c r="AD675" s="1">
        <f t="shared" si="54"/>
        <v>672</v>
      </c>
      <c r="AE675" s="1" t="s">
        <v>1327</v>
      </c>
      <c r="AF675" s="76">
        <f t="shared" si="55"/>
        <v>62604</v>
      </c>
      <c r="AG675" s="77">
        <f t="shared" si="56"/>
        <v>3.4</v>
      </c>
      <c r="AH675" s="1" t="str">
        <f>IF($C675="","",$B675&amp;"|"&amp;(COUNTIFS($B$4:$B$1463,$B675,$AF$4:$AF$1463,"&gt;"&amp;$AF675)+COUNTIFS($B$4:$B675,$B675,$AF$4:$AF675,"="&amp;$AF675)))</f>
        <v>SUB ROSA|21</v>
      </c>
      <c r="AI675" s="1" t="str">
        <f>IF($C675="","",$B675&amp;"|"&amp;(COUNTIFS($B$4:$B$1463,$B675,$AG$4:$AG$1463,"&gt;"&amp;$AG675)+COUNTIFS($B$4:$B675,$B675,$AG$4:$AG675,"="&amp;$AG675)))</f>
        <v>SUB ROSA|44</v>
      </c>
    </row>
    <row r="676" spans="1:35" hidden="1">
      <c r="A676" s="69" t="s">
        <v>109</v>
      </c>
      <c r="B676" s="69" t="s">
        <v>114</v>
      </c>
      <c r="C676" s="63" t="s">
        <v>1703</v>
      </c>
      <c r="D676" s="69"/>
      <c r="E676" s="68" t="s">
        <v>79</v>
      </c>
      <c r="F676" s="15" t="str">
        <f>IF($C676="","",IF($E676="","-",IFERROR(INDEX(SETUP!$B$55:$B$64,MATCH($E676,SETUP!$A$55:$A$64,0)),"Other")))</f>
        <v>Control</v>
      </c>
      <c r="G676" s="70">
        <v>61796</v>
      </c>
      <c r="H676" s="15" t="str">
        <f>IF($C676="","",IF($G676="","-",INDEX(SETUP!$B$26:$B$32,MATCH($G676,SETUP!$A$26:$A$32,1))))</f>
        <v>61,000 - 61,999</v>
      </c>
      <c r="I676" s="70">
        <v>2564</v>
      </c>
      <c r="J676" s="15" t="str">
        <f>IF($C676="","",IF($I676="","-",INDEX(SETUP!$B$16:$B$22,MATCH($I676,SETUP!$A$16:$A$22,1))))</f>
        <v>DEVELOPING</v>
      </c>
      <c r="K676" s="15" t="str">
        <f>IF($C676="","",IF($I676="","-",TEXT(INT($I676/1000)*1000,"#,##0")&amp;" - "&amp;TEXT(INT($I676/1000)*1000+999,"#,##0")))</f>
        <v>2,000 - 2,999</v>
      </c>
      <c r="L676" s="71">
        <v>4.4000000000000004</v>
      </c>
      <c r="M676" s="15" t="str">
        <f>IF($C676="","",IF($L676="","-",INDEX(SETUP!$B$36:$B$42,MATCH($L676,SETUP!$A$36:$A$42,1))))</f>
        <v>4k - 5k</v>
      </c>
      <c r="N676" s="17">
        <f>IF($C676="","",IF(OR($G676="",$I676=""),"",ROUND(100*(SETUP!$B$4*MIN(1,$I676/SETUP!$B$9)+SETUP!$B$5*MAX(0,MIN(1,($G676-SETUP!$B$10)/(SETUP!$B$11-SETUP!$B$10)))+SETUP!$B$6*MIN(1,IF($L676="",0,$L676)/SETUP!$B$12)),1)))</f>
        <v>36.4</v>
      </c>
      <c r="O676" s="15" t="str">
        <f>IF($C676="","",IF($N676="","-",INDEX(SETUP!$B$46:$B$51,MATCH($N676,SETUP!$A$46:$A$51,1))))</f>
        <v>B</v>
      </c>
      <c r="P676" s="15">
        <f>IF($C676="","",IF($I676="","",RANK($I676,$I$4:$I$1463)+COUNTIF($I$4:$I676,$I676)-1))</f>
        <v>990</v>
      </c>
      <c r="Q676" s="15">
        <f>IF($C676="","",COUNTIFS($B$4:$B$1463,$B676,$X$4:$X$1463,"&gt;"&amp;$X676)+COUNTIFS($B$4:$B676,$B676,$X$4:$X676,"="&amp;$X676))</f>
        <v>38</v>
      </c>
      <c r="R676" s="72">
        <f>IF($C676="","",IF($I676="","",ROUND(COUNTIF($I$4:$I$1463,"&lt;"&amp;$I676)/COUNT($I$4:$I$1463),3)))</f>
        <v>0.253</v>
      </c>
      <c r="S676" s="15" t="str">
        <f>IF($C676="","",IF($G676="","Name only",IF(OR($I676="",$L676=""),"Partial","Complete")))</f>
        <v>Complete</v>
      </c>
      <c r="T676" s="41" t="str">
        <f>IF($C676="","",TRIM(IF(COUNTIF($C$4:$C$1463,$C676)&gt;1,"Dup name; ","")&amp;IF(AND($G676&lt;&gt;"",$G676&lt;55000),"Low CR - verify; ","")&amp;IF(AND($L676&lt;&gt;"",$L676&gt;15),"Secondary - verify; ","")&amp;IF($E676="","No class; ","")))</f>
        <v/>
      </c>
      <c r="U676" s="68"/>
      <c r="V676" s="68"/>
      <c r="W676" s="68"/>
      <c r="X676" s="73">
        <f t="shared" si="52"/>
        <v>2564</v>
      </c>
      <c r="Y676" s="41" t="str">
        <f t="shared" si="53"/>
        <v>EMERALD LEAF TRIBE|38</v>
      </c>
      <c r="Z676" s="15">
        <f>IF($C676="","",IF($G676="","",RANK($G676,$G$4:$G$1463)+COUNTIF($G$4:$G676,$G676)-1))</f>
        <v>914</v>
      </c>
      <c r="AA676" s="15">
        <f>IF($C676="","",IF($N676="","",RANK($N676,$N$4:$N$1463)+COUNTIF($N$4:$N676,$N676)-1))</f>
        <v>952</v>
      </c>
      <c r="AB676" s="41" t="str">
        <f>IF($C676="","",IF($E676="","",$E676&amp;"#"&amp;(COUNTIFS($E$4:$E$1463,$E676,$X$4:$X$1463,"&gt;"&amp;$X676)+COUNTIFS($E$4:$E676,$E676,$X$4:$X676,"="&amp;$X676))))</f>
        <v>WARLOCK#244</v>
      </c>
      <c r="AC676" s="41" t="str">
        <f>IF($C676="","",$B676&amp;"@"&amp;(COUNTIFS($B$4:$B$1463,$B676,$C$4:$C$1463,"&lt;"&amp;$C676)+COUNTIFS($B$4:$B676,$B676,$C$4:$C676,$C676)))</f>
        <v>EMERALD LEAF TRIBE@47</v>
      </c>
      <c r="AD676" s="41">
        <f t="shared" si="54"/>
        <v>673</v>
      </c>
      <c r="AE676" s="41" t="s">
        <v>1704</v>
      </c>
      <c r="AF676" s="73">
        <f t="shared" si="55"/>
        <v>61796</v>
      </c>
      <c r="AG676" s="74">
        <f t="shared" si="56"/>
        <v>4.4000000000000004</v>
      </c>
      <c r="AH676" s="41" t="str">
        <f>IF($C676="","",$B676&amp;"|"&amp;(COUNTIFS($B$4:$B$1463,$B676,$AF$4:$AF$1463,"&gt;"&amp;$AF676)+COUNTIFS($B$4:$B676,$B676,$AF$4:$AF676,"="&amp;$AF676)))</f>
        <v>EMERALD LEAF TRIBE|33</v>
      </c>
      <c r="AI676" s="41" t="str">
        <f>IF($C676="","",$B676&amp;"|"&amp;(COUNTIFS($B$4:$B$1463,$B676,$AG$4:$AG$1463,"&gt;"&amp;$AG676)+COUNTIFS($B$4:$B676,$B676,$AG$4:$AG676,"="&amp;$AG676)))</f>
        <v>EMERALD LEAF TRIBE|18</v>
      </c>
    </row>
    <row r="677" spans="1:35" hidden="1">
      <c r="A677" s="69" t="s">
        <v>109</v>
      </c>
      <c r="B677" s="69" t="s">
        <v>108</v>
      </c>
      <c r="C677" s="63" t="s">
        <v>1705</v>
      </c>
      <c r="D677" s="69"/>
      <c r="E677" s="68" t="s">
        <v>75</v>
      </c>
      <c r="F677" s="19" t="str">
        <f>IF($C677="","",IF($E677="","-",IFERROR(INDEX(SETUP!$B$55:$B$64,MATCH($E677,SETUP!$A$55:$A$64,0)),"Other")))</f>
        <v>Support</v>
      </c>
      <c r="G677" s="70">
        <v>63146</v>
      </c>
      <c r="H677" s="19" t="str">
        <f>IF($C677="","",IF($G677="","-",INDEX(SETUP!$B$26:$B$32,MATCH($G677,SETUP!$A$26:$A$32,1))))</f>
        <v>63,000 - 63,999</v>
      </c>
      <c r="I677" s="70">
        <v>2880</v>
      </c>
      <c r="J677" s="19" t="str">
        <f>IF($C677="","",IF($I677="","-",INDEX(SETUP!$B$16:$B$22,MATCH($I677,SETUP!$A$16:$A$22,1))))</f>
        <v>DEVELOPING</v>
      </c>
      <c r="K677" s="19" t="str">
        <f>IF($C677="","",IF($I677="","-",TEXT(INT($I677/1000)*1000,"#,##0")&amp;" - "&amp;TEXT(INT($I677/1000)*1000+999,"#,##0")))</f>
        <v>2,000 - 2,999</v>
      </c>
      <c r="L677" s="71">
        <v>5.8</v>
      </c>
      <c r="M677" s="19" t="str">
        <f>IF($C677="","",IF($L677="","-",INDEX(SETUP!$B$36:$B$42,MATCH($L677,SETUP!$A$36:$A$42,1))))</f>
        <v>5k - 6k</v>
      </c>
      <c r="N677" s="21">
        <f>IF($C677="","",IF(OR($G677="",$I677=""),"",ROUND(100*(SETUP!$B$4*MIN(1,$I677/SETUP!$B$9)+SETUP!$B$5*MAX(0,MIN(1,($G677-SETUP!$B$10)/(SETUP!$B$11-SETUP!$B$10)))+SETUP!$B$6*MIN(1,IF($L677="",0,$L677)/SETUP!$B$12)),1)))</f>
        <v>43.7</v>
      </c>
      <c r="O677" s="19" t="str">
        <f>IF($C677="","",IF($N677="","-",INDEX(SETUP!$B$46:$B$51,MATCH($N677,SETUP!$A$46:$A$51,1))))</f>
        <v>B</v>
      </c>
      <c r="P677" s="19">
        <f>IF($C677="","",IF($I677="","",RANK($I677,$I$4:$I$1463)+COUNTIF($I$4:$I677,$I677)-1))</f>
        <v>914</v>
      </c>
      <c r="Q677" s="19">
        <f>IF($C677="","",COUNTIFS($B$4:$B$1463,$B677,$X$4:$X$1463,"&gt;"&amp;$X677)+COUNTIFS($B$4:$B677,$B677,$X$4:$X677,"="&amp;$X677))</f>
        <v>93</v>
      </c>
      <c r="R677" s="75">
        <f>IF($C677="","",IF($I677="","",ROUND(COUNTIF($I$4:$I$1463,"&lt;"&amp;$I677)/COUNT($I$4:$I$1463),3)))</f>
        <v>0.31</v>
      </c>
      <c r="S677" s="19" t="str">
        <f>IF($C677="","",IF($G677="","Name only",IF(OR($I677="",$L677=""),"Partial","Complete")))</f>
        <v>Complete</v>
      </c>
      <c r="T677" s="1" t="str">
        <f>IF($C677="","",TRIM(IF(COUNTIF($C$4:$C$1463,$C677)&gt;1,"Dup name; ","")&amp;IF(AND($G677&lt;&gt;"",$G677&lt;55000),"Low CR - verify; ","")&amp;IF(AND($L677&lt;&gt;"",$L677&gt;15),"Secondary - verify; ","")&amp;IF($E677="","No class; ","")))</f>
        <v/>
      </c>
      <c r="U677" s="68"/>
      <c r="V677" s="68"/>
      <c r="W677" s="68"/>
      <c r="X677" s="76">
        <f t="shared" si="52"/>
        <v>2880</v>
      </c>
      <c r="Y677" s="1" t="str">
        <f t="shared" si="53"/>
        <v>SBG|93</v>
      </c>
      <c r="Z677" s="19">
        <f>IF($C677="","",IF($G677="","",RANK($G677,$G$4:$G$1463)+COUNTIF($G$4:$G677,$G677)-1))</f>
        <v>348</v>
      </c>
      <c r="AA677" s="19">
        <f>IF($C677="","",IF($N677="","",RANK($N677,$N$4:$N$1463)+COUNTIF($N$4:$N677,$N677)-1))</f>
        <v>680</v>
      </c>
      <c r="AB677" s="1" t="str">
        <f>IF($C677="","",IF($E677="","",$E677&amp;"#"&amp;(COUNTIFS($E$4:$E$1463,$E677,$X$4:$X$1463,"&gt;"&amp;$X677)+COUNTIFS($E$4:$E677,$E677,$X$4:$X677,"="&amp;$X677))))</f>
        <v>DRUID#43</v>
      </c>
      <c r="AC677" s="1" t="str">
        <f>IF($C677="","",$B677&amp;"@"&amp;(COUNTIFS($B$4:$B$1463,$B677,$C$4:$C$1463,"&lt;"&amp;$C677)+COUNTIFS($B$4:$B677,$B677,$C$4:$C677,$C677)))</f>
        <v>SBG@42</v>
      </c>
      <c r="AD677" s="1">
        <f t="shared" si="54"/>
        <v>674</v>
      </c>
      <c r="AE677" s="1" t="s">
        <v>1706</v>
      </c>
      <c r="AF677" s="76">
        <f t="shared" si="55"/>
        <v>63146</v>
      </c>
      <c r="AG677" s="77">
        <f t="shared" si="56"/>
        <v>5.8</v>
      </c>
      <c r="AH677" s="1" t="str">
        <f>IF($C677="","",$B677&amp;"|"&amp;(COUNTIFS($B$4:$B$1463,$B677,$AF$4:$AF$1463,"&gt;"&amp;$AF677)+COUNTIFS($B$4:$B677,$B677,$AF$4:$AF677,"="&amp;$AF677)))</f>
        <v>SBG|44</v>
      </c>
      <c r="AI677" s="1" t="str">
        <f>IF($C677="","",$B677&amp;"|"&amp;(COUNTIFS($B$4:$B$1463,$B677,$AG$4:$AG$1463,"&gt;"&amp;$AG677)+COUNTIFS($B$4:$B677,$B677,$AG$4:$AG677,"="&amp;$AG677)))</f>
        <v>SBG|47</v>
      </c>
    </row>
    <row r="678" spans="1:35" hidden="1">
      <c r="A678" s="69" t="s">
        <v>106</v>
      </c>
      <c r="B678" s="69" t="s">
        <v>105</v>
      </c>
      <c r="C678" s="63" t="s">
        <v>1707</v>
      </c>
      <c r="D678" s="69"/>
      <c r="E678" s="68" t="s">
        <v>72</v>
      </c>
      <c r="F678" s="15" t="str">
        <f>IF($C678="","",IF($E678="","-",IFERROR(INDEX(SETUP!$B$55:$B$64,MATCH($E678,SETUP!$A$55:$A$64,0)),"Other")))</f>
        <v>Frontline</v>
      </c>
      <c r="G678" s="70">
        <v>61374</v>
      </c>
      <c r="H678" s="15" t="str">
        <f>IF($C678="","",IF($G678="","-",INDEX(SETUP!$B$26:$B$32,MATCH($G678,SETUP!$A$26:$A$32,1))))</f>
        <v>61,000 - 61,999</v>
      </c>
      <c r="I678" s="70">
        <v>2526</v>
      </c>
      <c r="J678" s="15" t="str">
        <f>IF($C678="","",IF($I678="","-",INDEX(SETUP!$B$16:$B$22,MATCH($I678,SETUP!$A$16:$A$22,1))))</f>
        <v>DEVELOPING</v>
      </c>
      <c r="K678" s="15" t="str">
        <f>IF($C678="","",IF($I678="","-",TEXT(INT($I678/1000)*1000,"#,##0")&amp;" - "&amp;TEXT(INT($I678/1000)*1000+999,"#,##0")))</f>
        <v>2,000 - 2,999</v>
      </c>
      <c r="L678" s="71">
        <v>3.61</v>
      </c>
      <c r="M678" s="15" t="str">
        <f>IF($C678="","",IF($L678="","-",INDEX(SETUP!$B$36:$B$42,MATCH($L678,SETUP!$A$36:$A$42,1))))</f>
        <v>3k - 4k</v>
      </c>
      <c r="N678" s="17">
        <f>IF($C678="","",IF(OR($G678="",$I678=""),"",ROUND(100*(SETUP!$B$4*MIN(1,$I678/SETUP!$B$9)+SETUP!$B$5*MAX(0,MIN(1,($G678-SETUP!$B$10)/(SETUP!$B$11-SETUP!$B$10)))+SETUP!$B$6*MIN(1,IF($L678="",0,$L678)/SETUP!$B$12)),1)))</f>
        <v>33.799999999999997</v>
      </c>
      <c r="O678" s="15" t="str">
        <f>IF($C678="","",IF($N678="","-",INDEX(SETUP!$B$46:$B$51,MATCH($N678,SETUP!$A$46:$A$51,1))))</f>
        <v>C</v>
      </c>
      <c r="P678" s="15">
        <f>IF($C678="","",IF($I678="","",RANK($I678,$I$4:$I$1463)+COUNTIF($I$4:$I678,$I678)-1))</f>
        <v>1003</v>
      </c>
      <c r="Q678" s="15">
        <f>IF($C678="","",COUNTIFS($B$4:$B$1463,$B678,$X$4:$X$1463,"&gt;"&amp;$X678)+COUNTIFS($B$4:$B678,$B678,$X$4:$X678,"="&amp;$X678))</f>
        <v>97</v>
      </c>
      <c r="R678" s="72">
        <f>IF($C678="","",IF($I678="","",ROUND(COUNTIF($I$4:$I$1463,"&lt;"&amp;$I678)/COUNT($I$4:$I$1463),3)))</f>
        <v>0.24199999999999999</v>
      </c>
      <c r="S678" s="15" t="str">
        <f>IF($C678="","",IF($G678="","Name only",IF(OR($I678="",$L678=""),"Partial","Complete")))</f>
        <v>Complete</v>
      </c>
      <c r="T678" s="41" t="str">
        <f>IF($C678="","",TRIM(IF(COUNTIF($C$4:$C$1463,$C678)&gt;1,"Dup name; ","")&amp;IF(AND($G678&lt;&gt;"",$G678&lt;55000),"Low CR - verify; ","")&amp;IF(AND($L678&lt;&gt;"",$L678&gt;15),"Secondary - verify; ","")&amp;IF($E678="","No class; ","")))</f>
        <v/>
      </c>
      <c r="U678" s="68"/>
      <c r="V678" s="68"/>
      <c r="W678" s="68"/>
      <c r="X678" s="73">
        <f t="shared" si="52"/>
        <v>2526</v>
      </c>
      <c r="Y678" s="41" t="str">
        <f t="shared" si="53"/>
        <v>LEGENDS|97</v>
      </c>
      <c r="Z678" s="15">
        <f>IF($C678="","",IF($G678="","",RANK($G678,$G$4:$G$1463)+COUNTIF($G$4:$G678,$G678)-1))</f>
        <v>1042</v>
      </c>
      <c r="AA678" s="15">
        <f>IF($C678="","",IF($N678="","",RANK($N678,$N$4:$N$1463)+COUNTIF($N$4:$N678,$N678)-1))</f>
        <v>1049</v>
      </c>
      <c r="AB678" s="41" t="str">
        <f>IF($C678="","",IF($E678="","",$E678&amp;"#"&amp;(COUNTIFS($E$4:$E$1463,$E678,$X$4:$X$1463,"&gt;"&amp;$X678)+COUNTIFS($E$4:$E678,$E678,$X$4:$X678,"="&amp;$X678))))</f>
        <v>BLOOD KNIGHT#67</v>
      </c>
      <c r="AC678" s="41" t="str">
        <f>IF($C678="","",$B678&amp;"@"&amp;(COUNTIFS($B$4:$B$1463,$B678,$C$4:$C$1463,"&lt;"&amp;$C678)+COUNTIFS($B$4:$B678,$B678,$C$4:$C678,$C678)))</f>
        <v>LEGENDS@61</v>
      </c>
      <c r="AD678" s="41">
        <f t="shared" si="54"/>
        <v>675</v>
      </c>
      <c r="AE678" s="41" t="s">
        <v>1708</v>
      </c>
      <c r="AF678" s="73">
        <f t="shared" si="55"/>
        <v>61374</v>
      </c>
      <c r="AG678" s="74">
        <f t="shared" si="56"/>
        <v>3.61</v>
      </c>
      <c r="AH678" s="41" t="str">
        <f>IF($C678="","",$B678&amp;"|"&amp;(COUNTIFS($B$4:$B$1463,$B678,$AF$4:$AF$1463,"&gt;"&amp;$AF678)+COUNTIFS($B$4:$B678,$B678,$AF$4:$AF678,"="&amp;$AF678)))</f>
        <v>LEGENDS|92</v>
      </c>
      <c r="AI678" s="41" t="str">
        <f>IF($C678="","",$B678&amp;"|"&amp;(COUNTIFS($B$4:$B$1463,$B678,$AG$4:$AG$1463,"&gt;"&amp;$AG678)+COUNTIFS($B$4:$B678,$B678,$AG$4:$AG678,"="&amp;$AG678)))</f>
        <v>LEGENDS|96</v>
      </c>
    </row>
    <row r="679" spans="1:35" hidden="1">
      <c r="A679" s="69" t="s">
        <v>106</v>
      </c>
      <c r="B679" s="69" t="s">
        <v>107</v>
      </c>
      <c r="C679" s="63" t="s">
        <v>1709</v>
      </c>
      <c r="D679" s="69"/>
      <c r="E679" s="68" t="s">
        <v>80</v>
      </c>
      <c r="F679" s="19" t="str">
        <f>IF($C679="","",IF($E679="","-",IFERROR(INDEX(SETUP!$B$55:$B$64,MATCH($E679,SETUP!$A$55:$A$64,0)),"Other")))</f>
        <v>Ranged DPS</v>
      </c>
      <c r="G679" s="70">
        <v>63230</v>
      </c>
      <c r="H679" s="19" t="str">
        <f>IF($C679="","",IF($G679="","-",INDEX(SETUP!$B$26:$B$32,MATCH($G679,SETUP!$A$26:$A$32,1))))</f>
        <v>63,000 - 63,999</v>
      </c>
      <c r="I679" s="70">
        <v>4494</v>
      </c>
      <c r="J679" s="19" t="str">
        <f>IF($C679="","",IF($I679="","-",INDEX(SETUP!$B$16:$B$22,MATCH($I679,SETUP!$A$16:$A$22,1))))</f>
        <v>CORE</v>
      </c>
      <c r="K679" s="19" t="str">
        <f>IF($C679="","",IF($I679="","-",TEXT(INT($I679/1000)*1000,"#,##0")&amp;" - "&amp;TEXT(INT($I679/1000)*1000+999,"#,##0")))</f>
        <v>4,000 - 4,999</v>
      </c>
      <c r="L679" s="71">
        <v>5.6</v>
      </c>
      <c r="M679" s="19" t="str">
        <f>IF($C679="","",IF($L679="","-",INDEX(SETUP!$B$36:$B$42,MATCH($L679,SETUP!$A$36:$A$42,1))))</f>
        <v>5k - 6k</v>
      </c>
      <c r="N679" s="21">
        <f>IF($C679="","",IF(OR($G679="",$I679=""),"",ROUND(100*(SETUP!$B$4*MIN(1,$I679/SETUP!$B$9)+SETUP!$B$5*MAX(0,MIN(1,($G679-SETUP!$B$10)/(SETUP!$B$11-SETUP!$B$10)))+SETUP!$B$6*MIN(1,IF($L679="",0,$L679)/SETUP!$B$12)),1)))</f>
        <v>50.6</v>
      </c>
      <c r="O679" s="19" t="str">
        <f>IF($C679="","",IF($N679="","-",INDEX(SETUP!$B$46:$B$51,MATCH($N679,SETUP!$A$46:$A$51,1))))</f>
        <v>A</v>
      </c>
      <c r="P679" s="19">
        <f>IF($C679="","",IF($I679="","",RANK($I679,$I$4:$I$1463)+COUNTIF($I$4:$I679,$I679)-1))</f>
        <v>496</v>
      </c>
      <c r="Q679" s="19">
        <f>IF($C679="","",COUNTIFS($B$4:$B$1463,$B679,$X$4:$X$1463,"&gt;"&amp;$X679)+COUNTIFS($B$4:$B679,$B679,$X$4:$X679,"="&amp;$X679))</f>
        <v>36</v>
      </c>
      <c r="R679" s="75">
        <f>IF($C679="","",IF($I679="","",ROUND(COUNTIF($I$4:$I$1463,"&lt;"&amp;$I679)/COUNT($I$4:$I$1463),3)))</f>
        <v>0.626</v>
      </c>
      <c r="S679" s="19" t="str">
        <f>IF($C679="","",IF($G679="","Name only",IF(OR($I679="",$L679=""),"Partial","Complete")))</f>
        <v>Complete</v>
      </c>
      <c r="T679" s="1" t="str">
        <f>IF($C679="","",TRIM(IF(COUNTIF($C$4:$C$1463,$C679)&gt;1,"Dup name; ","")&amp;IF(AND($G679&lt;&gt;"",$G679&lt;55000),"Low CR - verify; ","")&amp;IF(AND($L679&lt;&gt;"",$L679&gt;15),"Secondary - verify; ","")&amp;IF($E679="","No class; ","")))</f>
        <v/>
      </c>
      <c r="U679" s="68"/>
      <c r="V679" s="68"/>
      <c r="W679" s="68"/>
      <c r="X679" s="76">
        <f t="shared" si="52"/>
        <v>4494</v>
      </c>
      <c r="Y679" s="1" t="str">
        <f t="shared" si="53"/>
        <v>UNDYING|36</v>
      </c>
      <c r="Z679" s="19">
        <f>IF($C679="","",IF($G679="","",RANK($G679,$G$4:$G$1463)+COUNTIF($G$4:$G679,$G679)-1))</f>
        <v>300</v>
      </c>
      <c r="AA679" s="19">
        <f>IF($C679="","",IF($N679="","",RANK($N679,$N$4:$N$1463)+COUNTIF($N$4:$N679,$N679)-1))</f>
        <v>441</v>
      </c>
      <c r="AB679" s="1" t="str">
        <f>IF($C679="","",IF($E679="","",$E679&amp;"#"&amp;(COUNTIFS($E$4:$E$1463,$E679,$X$4:$X$1463,"&gt;"&amp;$X679)+COUNTIFS($E$4:$E679,$E679,$X$4:$X679,"="&amp;$X679))))</f>
        <v>WIZARD#33</v>
      </c>
      <c r="AC679" s="1" t="str">
        <f>IF($C679="","",$B679&amp;"@"&amp;(COUNTIFS($B$4:$B$1463,$B679,$C$4:$C$1463,"&lt;"&amp;$C679)+COUNTIFS($B$4:$B679,$B679,$C$4:$C679,$C679)))</f>
        <v>UNDYING@59</v>
      </c>
      <c r="AD679" s="1">
        <f t="shared" si="54"/>
        <v>676</v>
      </c>
      <c r="AE679" s="1" t="s">
        <v>998</v>
      </c>
      <c r="AF679" s="76">
        <f t="shared" si="55"/>
        <v>63230</v>
      </c>
      <c r="AG679" s="77">
        <f t="shared" si="56"/>
        <v>5.6</v>
      </c>
      <c r="AH679" s="1" t="str">
        <f>IF($C679="","",$B679&amp;"|"&amp;(COUNTIFS($B$4:$B$1463,$B679,$AF$4:$AF$1463,"&gt;"&amp;$AF679)+COUNTIFS($B$4:$B679,$B679,$AF$4:$AF679,"="&amp;$AF679)))</f>
        <v>UNDYING|30</v>
      </c>
      <c r="AI679" s="1" t="str">
        <f>IF($C679="","",$B679&amp;"|"&amp;(COUNTIFS($B$4:$B$1463,$B679,$AG$4:$AG$1463,"&gt;"&amp;$AG679)+COUNTIFS($B$4:$B679,$B679,$AG$4:$AG679,"="&amp;$AG679)))</f>
        <v>UNDYING|35</v>
      </c>
    </row>
    <row r="680" spans="1:35" hidden="1">
      <c r="A680" s="69" t="s">
        <v>106</v>
      </c>
      <c r="B680" s="69" t="s">
        <v>107</v>
      </c>
      <c r="C680" s="63" t="s">
        <v>1710</v>
      </c>
      <c r="D680" s="69"/>
      <c r="E680" s="68" t="s">
        <v>71</v>
      </c>
      <c r="F680" s="15" t="str">
        <f>IF($C680="","",IF($E680="","-",IFERROR(INDEX(SETUP!$B$55:$B$64,MATCH($E680,SETUP!$A$55:$A$64,0)),"Other")))</f>
        <v>Frontline</v>
      </c>
      <c r="G680" s="70">
        <v>63243</v>
      </c>
      <c r="H680" s="15" t="str">
        <f>IF($C680="","",IF($G680="","-",INDEX(SETUP!$B$26:$B$32,MATCH($G680,SETUP!$A$26:$A$32,1))))</f>
        <v>63,000 - 63,999</v>
      </c>
      <c r="I680" s="70">
        <v>8610</v>
      </c>
      <c r="J680" s="15" t="str">
        <f>IF($C680="","",IF($I680="","-",INDEX(SETUP!$B$16:$B$22,MATCH($I680,SETUP!$A$16:$A$22,1))))</f>
        <v>ELITE</v>
      </c>
      <c r="K680" s="15" t="str">
        <f>IF($C680="","",IF($I680="","-",TEXT(INT($I680/1000)*1000,"#,##0")&amp;" - "&amp;TEXT(INT($I680/1000)*1000+999,"#,##0")))</f>
        <v>8,000 - 8,999</v>
      </c>
      <c r="L680" s="71">
        <v>5.7</v>
      </c>
      <c r="M680" s="15" t="str">
        <f>IF($C680="","",IF($L680="","-",INDEX(SETUP!$B$36:$B$42,MATCH($L680,SETUP!$A$36:$A$42,1))))</f>
        <v>5k - 6k</v>
      </c>
      <c r="N680" s="17">
        <f>IF($C680="","",IF(OR($G680="",$I680=""),"",ROUND(100*(SETUP!$B$4*MIN(1,$I680/SETUP!$B$9)+SETUP!$B$5*MAX(0,MIN(1,($G680-SETUP!$B$10)/(SETUP!$B$11-SETUP!$B$10)))+SETUP!$B$6*MIN(1,IF($L680="",0,$L680)/SETUP!$B$12)),1)))</f>
        <v>68.8</v>
      </c>
      <c r="O680" s="15" t="str">
        <f>IF($C680="","",IF($N680="","-",INDEX(SETUP!$B$46:$B$51,MATCH($N680,SETUP!$A$46:$A$51,1))))</f>
        <v>S</v>
      </c>
      <c r="P680" s="15">
        <f>IF($C680="","",IF($I680="","",RANK($I680,$I$4:$I$1463)+COUNTIF($I$4:$I680,$I680)-1))</f>
        <v>116</v>
      </c>
      <c r="Q680" s="15">
        <f>IF($C680="","",COUNTIFS($B$4:$B$1463,$B680,$X$4:$X$1463,"&gt;"&amp;$X680)+COUNTIFS($B$4:$B680,$B680,$X$4:$X680,"="&amp;$X680))</f>
        <v>4</v>
      </c>
      <c r="R680" s="72">
        <f>IF($C680="","",IF($I680="","",ROUND(COUNTIF($I$4:$I$1463,"&lt;"&amp;$I680)/COUNT($I$4:$I$1463),3)))</f>
        <v>0.91200000000000003</v>
      </c>
      <c r="S680" s="15" t="str">
        <f>IF($C680="","",IF($G680="","Name only",IF(OR($I680="",$L680=""),"Partial","Complete")))</f>
        <v>Complete</v>
      </c>
      <c r="T680" s="41" t="str">
        <f>IF($C680="","",TRIM(IF(COUNTIF($C$4:$C$1463,$C680)&gt;1,"Dup name; ","")&amp;IF(AND($G680&lt;&gt;"",$G680&lt;55000),"Low CR - verify; ","")&amp;IF(AND($L680&lt;&gt;"",$L680&gt;15),"Secondary - verify; ","")&amp;IF($E680="","No class; ","")))</f>
        <v/>
      </c>
      <c r="U680" s="68"/>
      <c r="V680" s="68"/>
      <c r="W680" s="68"/>
      <c r="X680" s="73">
        <f t="shared" si="52"/>
        <v>8610</v>
      </c>
      <c r="Y680" s="41" t="str">
        <f t="shared" si="53"/>
        <v>UNDYING|4</v>
      </c>
      <c r="Z680" s="15">
        <f>IF($C680="","",IF($G680="","",RANK($G680,$G$4:$G$1463)+COUNTIF($G$4:$G680,$G680)-1))</f>
        <v>294</v>
      </c>
      <c r="AA680" s="15">
        <f>IF($C680="","",IF($N680="","",RANK($N680,$N$4:$N$1463)+COUNTIF($N$4:$N680,$N680)-1))</f>
        <v>140</v>
      </c>
      <c r="AB680" s="41" t="str">
        <f>IF($C680="","",IF($E680="","",$E680&amp;"#"&amp;(COUNTIFS($E$4:$E$1463,$E680,$X$4:$X$1463,"&gt;"&amp;$X680)+COUNTIFS($E$4:$E680,$E680,$X$4:$X680,"="&amp;$X680))))</f>
        <v>BARBARIAN#23</v>
      </c>
      <c r="AC680" s="41" t="str">
        <f>IF($C680="","",$B680&amp;"@"&amp;(COUNTIFS($B$4:$B$1463,$B680,$C$4:$C$1463,"&lt;"&amp;$C680)+COUNTIFS($B$4:$B680,$B680,$C$4:$C680,$C680)))</f>
        <v>UNDYING@60</v>
      </c>
      <c r="AD680" s="41">
        <f t="shared" si="54"/>
        <v>677</v>
      </c>
      <c r="AE680" s="41" t="s">
        <v>755</v>
      </c>
      <c r="AF680" s="73">
        <f t="shared" si="55"/>
        <v>63243</v>
      </c>
      <c r="AG680" s="74">
        <f t="shared" si="56"/>
        <v>5.7</v>
      </c>
      <c r="AH680" s="41" t="str">
        <f>IF($C680="","",$B680&amp;"|"&amp;(COUNTIFS($B$4:$B$1463,$B680,$AF$4:$AF$1463,"&gt;"&amp;$AF680)+COUNTIFS($B$4:$B680,$B680,$AF$4:$AF680,"="&amp;$AF680)))</f>
        <v>UNDYING|28</v>
      </c>
      <c r="AI680" s="41" t="str">
        <f>IF($C680="","",$B680&amp;"|"&amp;(COUNTIFS($B$4:$B$1463,$B680,$AG$4:$AG$1463,"&gt;"&amp;$AG680)+COUNTIFS($B$4:$B680,$B680,$AG$4:$AG680,"="&amp;$AG680)))</f>
        <v>UNDYING|31</v>
      </c>
    </row>
    <row r="681" spans="1:35" hidden="1">
      <c r="A681" s="69" t="s">
        <v>109</v>
      </c>
      <c r="B681" s="69" t="s">
        <v>117</v>
      </c>
      <c r="C681" s="63" t="s">
        <v>1711</v>
      </c>
      <c r="D681" s="69"/>
      <c r="E681" s="68" t="s">
        <v>75</v>
      </c>
      <c r="F681" s="19" t="str">
        <f>IF($C681="","",IF($E681="","-",IFERROR(INDEX(SETUP!$B$55:$B$64,MATCH($E681,SETUP!$A$55:$A$64,0)),"Other")))</f>
        <v>Support</v>
      </c>
      <c r="G681" s="70">
        <v>63087</v>
      </c>
      <c r="H681" s="19" t="str">
        <f>IF($C681="","",IF($G681="","-",INDEX(SETUP!$B$26:$B$32,MATCH($G681,SETUP!$A$26:$A$32,1))))</f>
        <v>63,000 - 63,999</v>
      </c>
      <c r="I681" s="70">
        <v>3282</v>
      </c>
      <c r="J681" s="19" t="str">
        <f>IF($C681="","",IF($I681="","-",INDEX(SETUP!$B$16:$B$22,MATCH($I681,SETUP!$A$16:$A$22,1))))</f>
        <v>DEVELOPING</v>
      </c>
      <c r="K681" s="19" t="str">
        <f>IF($C681="","",IF($I681="","-",TEXT(INT($I681/1000)*1000,"#,##0")&amp;" - "&amp;TEXT(INT($I681/1000)*1000+999,"#,##0")))</f>
        <v>3,000 - 3,999</v>
      </c>
      <c r="L681" s="71">
        <v>4.2</v>
      </c>
      <c r="M681" s="19" t="str">
        <f>IF($C681="","",IF($L681="","-",INDEX(SETUP!$B$36:$B$42,MATCH($L681,SETUP!$A$36:$A$42,1))))</f>
        <v>4k - 5k</v>
      </c>
      <c r="N681" s="21">
        <f>IF($C681="","",IF(OR($G681="",$I681=""),"",ROUND(100*(SETUP!$B$4*MIN(1,$I681/SETUP!$B$9)+SETUP!$B$5*MAX(0,MIN(1,($G681-SETUP!$B$10)/(SETUP!$B$11-SETUP!$B$10)))+SETUP!$B$6*MIN(1,IF($L681="",0,$L681)/SETUP!$B$12)),1)))</f>
        <v>42.6</v>
      </c>
      <c r="O681" s="19" t="str">
        <f>IF($C681="","",IF($N681="","-",INDEX(SETUP!$B$46:$B$51,MATCH($N681,SETUP!$A$46:$A$51,1))))</f>
        <v>B</v>
      </c>
      <c r="P681" s="19">
        <f>IF($C681="","",IF($I681="","",RANK($I681,$I$4:$I$1463)+COUNTIF($I$4:$I681,$I681)-1))</f>
        <v>801</v>
      </c>
      <c r="Q681" s="19">
        <f>IF($C681="","",COUNTIFS($B$4:$B$1463,$B681,$X$4:$X$1463,"&gt;"&amp;$X681)+COUNTIFS($B$4:$B681,$B681,$X$4:$X681,"="&amp;$X681))</f>
        <v>9</v>
      </c>
      <c r="R681" s="75">
        <f>IF($C681="","",IF($I681="","",ROUND(COUNTIF($I$4:$I$1463,"&lt;"&amp;$I681)/COUNT($I$4:$I$1463),3)))</f>
        <v>0.39500000000000002</v>
      </c>
      <c r="S681" s="19" t="str">
        <f>IF($C681="","",IF($G681="","Name only",IF(OR($I681="",$L681=""),"Partial","Complete")))</f>
        <v>Complete</v>
      </c>
      <c r="T681" s="1" t="str">
        <f>IF($C681="","",TRIM(IF(COUNTIF($C$4:$C$1463,$C681)&gt;1,"Dup name; ","")&amp;IF(AND($G681&lt;&gt;"",$G681&lt;55000),"Low CR - verify; ","")&amp;IF(AND($L681&lt;&gt;"",$L681&gt;15),"Secondary - verify; ","")&amp;IF($E681="","No class; ","")))</f>
        <v/>
      </c>
      <c r="U681" s="68"/>
      <c r="V681" s="68"/>
      <c r="W681" s="68"/>
      <c r="X681" s="76">
        <f t="shared" si="52"/>
        <v>3282</v>
      </c>
      <c r="Y681" s="1" t="str">
        <f t="shared" si="53"/>
        <v>VENDETTA|9</v>
      </c>
      <c r="Z681" s="19">
        <f>IF($C681="","",IF($G681="","",RANK($G681,$G$4:$G$1463)+COUNTIF($G$4:$G681,$G681)-1))</f>
        <v>385</v>
      </c>
      <c r="AA681" s="19">
        <f>IF($C681="","",IF($N681="","",RANK($N681,$N$4:$N$1463)+COUNTIF($N$4:$N681,$N681)-1))</f>
        <v>718</v>
      </c>
      <c r="AB681" s="1" t="str">
        <f>IF($C681="","",IF($E681="","",$E681&amp;"#"&amp;(COUNTIFS($E$4:$E$1463,$E681,$X$4:$X$1463,"&gt;"&amp;$X681)+COUNTIFS($E$4:$E681,$E681,$X$4:$X681,"="&amp;$X681))))</f>
        <v>DRUID#38</v>
      </c>
      <c r="AC681" s="1" t="str">
        <f>IF($C681="","",$B681&amp;"@"&amp;(COUNTIFS($B$4:$B$1463,$B681,$C$4:$C$1463,"&lt;"&amp;$C681)+COUNTIFS($B$4:$B681,$B681,$C$4:$C681,$C681)))</f>
        <v>VENDETTA@51</v>
      </c>
      <c r="AD681" s="1">
        <f t="shared" si="54"/>
        <v>678</v>
      </c>
      <c r="AE681" s="1" t="s">
        <v>539</v>
      </c>
      <c r="AF681" s="76">
        <f t="shared" si="55"/>
        <v>63087</v>
      </c>
      <c r="AG681" s="77">
        <f t="shared" si="56"/>
        <v>4.2</v>
      </c>
      <c r="AH681" s="1" t="str">
        <f>IF($C681="","",$B681&amp;"|"&amp;(COUNTIFS($B$4:$B$1463,$B681,$AF$4:$AF$1463,"&gt;"&amp;$AF681)+COUNTIFS($B$4:$B681,$B681,$AF$4:$AF681,"="&amp;$AF681)))</f>
        <v>VENDETTA|3</v>
      </c>
      <c r="AI681" s="1" t="str">
        <f>IF($C681="","",$B681&amp;"|"&amp;(COUNTIFS($B$4:$B$1463,$B681,$AG$4:$AG$1463,"&gt;"&amp;$AG681)+COUNTIFS($B$4:$B681,$B681,$AG$4:$AG681,"="&amp;$AG681)))</f>
        <v>VENDETTA|29</v>
      </c>
    </row>
    <row r="682" spans="1:35" hidden="1">
      <c r="A682" s="69" t="s">
        <v>106</v>
      </c>
      <c r="B682" s="69" t="s">
        <v>86</v>
      </c>
      <c r="C682" s="63" t="s">
        <v>1712</v>
      </c>
      <c r="D682" s="69"/>
      <c r="E682" s="68" t="s">
        <v>76</v>
      </c>
      <c r="F682" s="15" t="str">
        <f>IF($C682="","",IF($E682="","-",IFERROR(INDEX(SETUP!$B$55:$B$64,MATCH($E682,SETUP!$A$55:$A$64,0)),"Other")))</f>
        <v>Support</v>
      </c>
      <c r="G682" s="70">
        <v>62372</v>
      </c>
      <c r="H682" s="15" t="str">
        <f>IF($C682="","",IF($G682="","-",INDEX(SETUP!$B$26:$B$32,MATCH($G682,SETUP!$A$26:$A$32,1))))</f>
        <v>62,000 - 62,999</v>
      </c>
      <c r="I682" s="70">
        <v>4703</v>
      </c>
      <c r="J682" s="15" t="str">
        <f>IF($C682="","",IF($I682="","-",INDEX(SETUP!$B$16:$B$22,MATCH($I682,SETUP!$A$16:$A$22,1))))</f>
        <v>CORE</v>
      </c>
      <c r="K682" s="15" t="str">
        <f>IF($C682="","",IF($I682="","-",TEXT(INT($I682/1000)*1000,"#,##0")&amp;" - "&amp;TEXT(INT($I682/1000)*1000+999,"#,##0")))</f>
        <v>4,000 - 4,999</v>
      </c>
      <c r="L682" s="71">
        <v>4.3499999999999996</v>
      </c>
      <c r="M682" s="15" t="str">
        <f>IF($C682="","",IF($L682="","-",INDEX(SETUP!$B$36:$B$42,MATCH($L682,SETUP!$A$36:$A$42,1))))</f>
        <v>4k - 5k</v>
      </c>
      <c r="N682" s="17">
        <f>IF($C682="","",IF(OR($G682="",$I682=""),"",ROUND(100*(SETUP!$B$4*MIN(1,$I682/SETUP!$B$9)+SETUP!$B$5*MAX(0,MIN(1,($G682-SETUP!$B$10)/(SETUP!$B$11-SETUP!$B$10)))+SETUP!$B$6*MIN(1,IF($L682="",0,$L682)/SETUP!$B$12)),1)))</f>
        <v>47.2</v>
      </c>
      <c r="O682" s="15" t="str">
        <f>IF($C682="","",IF($N682="","-",INDEX(SETUP!$B$46:$B$51,MATCH($N682,SETUP!$A$46:$A$51,1))))</f>
        <v>B</v>
      </c>
      <c r="P682" s="15">
        <f>IF($C682="","",IF($I682="","",RANK($I682,$I$4:$I$1463)+COUNTIF($I$4:$I682,$I682)-1))</f>
        <v>454</v>
      </c>
      <c r="Q682" s="15">
        <f>IF($C682="","",COUNTIFS($B$4:$B$1463,$B682,$X$4:$X$1463,"&gt;"&amp;$X682)+COUNTIFS($B$4:$B682,$B682,$X$4:$X682,"="&amp;$X682))</f>
        <v>69</v>
      </c>
      <c r="R682" s="72">
        <f>IF($C682="","",IF($I682="","",ROUND(COUNTIF($I$4:$I$1463,"&lt;"&amp;$I682)/COUNT($I$4:$I$1463),3)))</f>
        <v>0.65700000000000003</v>
      </c>
      <c r="S682" s="15" t="str">
        <f>IF($C682="","",IF($G682="","Name only",IF(OR($I682="",$L682=""),"Partial","Complete")))</f>
        <v>Complete</v>
      </c>
      <c r="T682" s="41" t="str">
        <f>IF($C682="","",TRIM(IF(COUNTIF($C$4:$C$1463,$C682)&gt;1,"Dup name; ","")&amp;IF(AND($G682&lt;&gt;"",$G682&lt;55000),"Low CR - verify; ","")&amp;IF(AND($L682&lt;&gt;"",$L682&gt;15),"Secondary - verify; ","")&amp;IF($E682="","No class; ","")))</f>
        <v/>
      </c>
      <c r="U682" s="68"/>
      <c r="V682" s="68"/>
      <c r="W682" s="68"/>
      <c r="X682" s="73">
        <f t="shared" si="52"/>
        <v>4703</v>
      </c>
      <c r="Y682" s="41" t="str">
        <f t="shared" si="53"/>
        <v>VANGUARD|69</v>
      </c>
      <c r="Z682" s="15">
        <f>IF($C682="","",IF($G682="","",RANK($G682,$G$4:$G$1463)+COUNTIF($G$4:$G682,$G682)-1))</f>
        <v>705</v>
      </c>
      <c r="AA682" s="15">
        <f>IF($C682="","",IF($N682="","",RANK($N682,$N$4:$N$1463)+COUNTIF($N$4:$N682,$N682)-1))</f>
        <v>546</v>
      </c>
      <c r="AB682" s="41" t="str">
        <f>IF($C682="","",IF($E682="","",$E682&amp;"#"&amp;(COUNTIFS($E$4:$E$1463,$E682,$X$4:$X$1463,"&gt;"&amp;$X682)+COUNTIFS($E$4:$E682,$E682,$X$4:$X682,"="&amp;$X682))))</f>
        <v>MONK#16</v>
      </c>
      <c r="AC682" s="41" t="str">
        <f>IF($C682="","",$B682&amp;"@"&amp;(COUNTIFS($B$4:$B$1463,$B682,$C$4:$C$1463,"&lt;"&amp;$C682)+COUNTIFS($B$4:$B682,$B682,$C$4:$C682,$C682)))</f>
        <v>VANGUARD@53</v>
      </c>
      <c r="AD682" s="41">
        <f t="shared" si="54"/>
        <v>679</v>
      </c>
      <c r="AE682" s="41" t="s">
        <v>1713</v>
      </c>
      <c r="AF682" s="73">
        <f t="shared" si="55"/>
        <v>62372</v>
      </c>
      <c r="AG682" s="74">
        <f t="shared" si="56"/>
        <v>4.3499999999999996</v>
      </c>
      <c r="AH682" s="41" t="str">
        <f>IF($C682="","",$B682&amp;"|"&amp;(COUNTIFS($B$4:$B$1463,$B682,$AF$4:$AF$1463,"&gt;"&amp;$AF682)+COUNTIFS($B$4:$B682,$B682,$AF$4:$AF682,"="&amp;$AF682)))</f>
        <v>VANGUARD|81</v>
      </c>
      <c r="AI682" s="41" t="str">
        <f>IF($C682="","",$B682&amp;"|"&amp;(COUNTIFS($B$4:$B$1463,$B682,$AG$4:$AG$1463,"&gt;"&amp;$AG682)+COUNTIFS($B$4:$B682,$B682,$AG$4:$AG682,"="&amp;$AG682)))</f>
        <v>VANGUARD|83</v>
      </c>
    </row>
    <row r="683" spans="1:35" hidden="1">
      <c r="A683" s="69" t="s">
        <v>109</v>
      </c>
      <c r="B683" s="69" t="s">
        <v>108</v>
      </c>
      <c r="C683" s="63" t="s">
        <v>1714</v>
      </c>
      <c r="D683" s="69"/>
      <c r="E683" s="68" t="s">
        <v>71</v>
      </c>
      <c r="F683" s="19" t="str">
        <f>IF($C683="","",IF($E683="","-",IFERROR(INDEX(SETUP!$B$55:$B$64,MATCH($E683,SETUP!$A$55:$A$64,0)),"Other")))</f>
        <v>Frontline</v>
      </c>
      <c r="G683" s="70">
        <v>62105</v>
      </c>
      <c r="H683" s="19" t="str">
        <f>IF($C683="","",IF($G683="","-",INDEX(SETUP!$B$26:$B$32,MATCH($G683,SETUP!$A$26:$A$32,1))))</f>
        <v>62,000 - 62,999</v>
      </c>
      <c r="I683" s="70">
        <v>3400</v>
      </c>
      <c r="J683" s="19" t="str">
        <f>IF($C683="","",IF($I683="","-",INDEX(SETUP!$B$16:$B$22,MATCH($I683,SETUP!$A$16:$A$22,1))))</f>
        <v>DEVELOPING</v>
      </c>
      <c r="K683" s="19" t="str">
        <f>IF($C683="","",IF($I683="","-",TEXT(INT($I683/1000)*1000,"#,##0")&amp;" - "&amp;TEXT(INT($I683/1000)*1000+999,"#,##0")))</f>
        <v>3,000 - 3,999</v>
      </c>
      <c r="L683" s="71">
        <v>5.45</v>
      </c>
      <c r="M683" s="19" t="str">
        <f>IF($C683="","",IF($L683="","-",INDEX(SETUP!$B$36:$B$42,MATCH($L683,SETUP!$A$36:$A$42,1))))</f>
        <v>5k - 6k</v>
      </c>
      <c r="N683" s="21">
        <f>IF($C683="","",IF(OR($G683="",$I683=""),"",ROUND(100*(SETUP!$B$4*MIN(1,$I683/SETUP!$B$9)+SETUP!$B$5*MAX(0,MIN(1,($G683-SETUP!$B$10)/(SETUP!$B$11-SETUP!$B$10)))+SETUP!$B$6*MIN(1,IF($L683="",0,$L683)/SETUP!$B$12)),1)))</f>
        <v>42.6</v>
      </c>
      <c r="O683" s="19" t="str">
        <f>IF($C683="","",IF($N683="","-",INDEX(SETUP!$B$46:$B$51,MATCH($N683,SETUP!$A$46:$A$51,1))))</f>
        <v>B</v>
      </c>
      <c r="P683" s="19">
        <f>IF($C683="","",IF($I683="","",RANK($I683,$I$4:$I$1463)+COUNTIF($I$4:$I683,$I683)-1))</f>
        <v>759</v>
      </c>
      <c r="Q683" s="19">
        <f>IF($C683="","",COUNTIFS($B$4:$B$1463,$B683,$X$4:$X$1463,"&gt;"&amp;$X683)+COUNTIFS($B$4:$B683,$B683,$X$4:$X683,"="&amp;$X683))</f>
        <v>85</v>
      </c>
      <c r="R683" s="75">
        <f>IF($C683="","",IF($I683="","",ROUND(COUNTIF($I$4:$I$1463,"&lt;"&amp;$I683)/COUNT($I$4:$I$1463),3)))</f>
        <v>0.42699999999999999</v>
      </c>
      <c r="S683" s="19" t="str">
        <f>IF($C683="","",IF($G683="","Name only",IF(OR($I683="",$L683=""),"Partial","Complete")))</f>
        <v>Complete</v>
      </c>
      <c r="T683" s="1" t="str">
        <f>IF($C683="","",TRIM(IF(COUNTIF($C$4:$C$1463,$C683)&gt;1,"Dup name; ","")&amp;IF(AND($G683&lt;&gt;"",$G683&lt;55000),"Low CR - verify; ","")&amp;IF(AND($L683&lt;&gt;"",$L683&gt;15),"Secondary - verify; ","")&amp;IF($E683="","No class; ","")))</f>
        <v/>
      </c>
      <c r="U683" s="68"/>
      <c r="V683" s="68"/>
      <c r="W683" s="68"/>
      <c r="X683" s="76">
        <f t="shared" si="52"/>
        <v>3400</v>
      </c>
      <c r="Y683" s="1" t="str">
        <f t="shared" si="53"/>
        <v>SBG|85</v>
      </c>
      <c r="Z683" s="19">
        <f>IF($C683="","",IF($G683="","",RANK($G683,$G$4:$G$1463)+COUNTIF($G$4:$G683,$G683)-1))</f>
        <v>798</v>
      </c>
      <c r="AA683" s="19">
        <f>IF($C683="","",IF($N683="","",RANK($N683,$N$4:$N$1463)+COUNTIF($N$4:$N683,$N683)-1))</f>
        <v>719</v>
      </c>
      <c r="AB683" s="1" t="str">
        <f>IF($C683="","",IF($E683="","",$E683&amp;"#"&amp;(COUNTIFS($E$4:$E$1463,$E683,$X$4:$X$1463,"&gt;"&amp;$X683)+COUNTIFS($E$4:$E683,$E683,$X$4:$X683,"="&amp;$X683))))</f>
        <v>BARBARIAN#134</v>
      </c>
      <c r="AC683" s="1" t="str">
        <f>IF($C683="","",$B683&amp;"@"&amp;(COUNTIFS($B$4:$B$1463,$B683,$C$4:$C$1463,"&lt;"&amp;$C683)+COUNTIFS($B$4:$B683,$B683,$C$4:$C683,$C683)))</f>
        <v>SBG@43</v>
      </c>
      <c r="AD683" s="1">
        <f t="shared" si="54"/>
        <v>680</v>
      </c>
      <c r="AE683" s="1" t="s">
        <v>1715</v>
      </c>
      <c r="AF683" s="76">
        <f t="shared" si="55"/>
        <v>62105</v>
      </c>
      <c r="AG683" s="77">
        <f t="shared" si="56"/>
        <v>5.45</v>
      </c>
      <c r="AH683" s="1" t="str">
        <f>IF($C683="","",$B683&amp;"|"&amp;(COUNTIFS($B$4:$B$1463,$B683,$AF$4:$AF$1463,"&gt;"&amp;$AF683)+COUNTIFS($B$4:$B683,$B683,$AF$4:$AF683,"="&amp;$AF683)))</f>
        <v>SBG|69</v>
      </c>
      <c r="AI683" s="1" t="str">
        <f>IF($C683="","",$B683&amp;"|"&amp;(COUNTIFS($B$4:$B$1463,$B683,$AG$4:$AG$1463,"&gt;"&amp;$AG683)+COUNTIFS($B$4:$B683,$B683,$AG$4:$AG683,"="&amp;$AG683)))</f>
        <v>SBG|58</v>
      </c>
    </row>
    <row r="684" spans="1:35" hidden="1">
      <c r="A684" s="69" t="s">
        <v>106</v>
      </c>
      <c r="B684" s="69" t="s">
        <v>86</v>
      </c>
      <c r="C684" s="63" t="s">
        <v>1716</v>
      </c>
      <c r="D684" s="69"/>
      <c r="E684" s="68" t="s">
        <v>71</v>
      </c>
      <c r="F684" s="15" t="str">
        <f>IF($C684="","",IF($E684="","-",IFERROR(INDEX(SETUP!$B$55:$B$64,MATCH($E684,SETUP!$A$55:$A$64,0)),"Other")))</f>
        <v>Frontline</v>
      </c>
      <c r="G684" s="70">
        <v>62880</v>
      </c>
      <c r="H684" s="15" t="str">
        <f>IF($C684="","",IF($G684="","-",INDEX(SETUP!$B$26:$B$32,MATCH($G684,SETUP!$A$26:$A$32,1))))</f>
        <v>62,000 - 62,999</v>
      </c>
      <c r="I684" s="70">
        <v>7828</v>
      </c>
      <c r="J684" s="15" t="str">
        <f>IF($C684="","",IF($I684="","-",INDEX(SETUP!$B$16:$B$22,MATCH($I684,SETUP!$A$16:$A$22,1))))</f>
        <v>VETERAN</v>
      </c>
      <c r="K684" s="15" t="str">
        <f>IF($C684="","",IF($I684="","-",TEXT(INT($I684/1000)*1000,"#,##0")&amp;" - "&amp;TEXT(INT($I684/1000)*1000+999,"#,##0")))</f>
        <v>7,000 - 7,999</v>
      </c>
      <c r="L684" s="71">
        <v>6</v>
      </c>
      <c r="M684" s="15" t="str">
        <f>IF($C684="","",IF($L684="","-",INDEX(SETUP!$B$36:$B$42,MATCH($L684,SETUP!$A$36:$A$42,1))))</f>
        <v>6k - 8k</v>
      </c>
      <c r="N684" s="17">
        <f>IF($C684="","",IF(OR($G684="",$I684=""),"",ROUND(100*(SETUP!$B$4*MIN(1,$I684/SETUP!$B$9)+SETUP!$B$5*MAX(0,MIN(1,($G684-SETUP!$B$10)/(SETUP!$B$11-SETUP!$B$10)))+SETUP!$B$6*MIN(1,IF($L684="",0,$L684)/SETUP!$B$12)),1)))</f>
        <v>64.900000000000006</v>
      </c>
      <c r="O684" s="15" t="str">
        <f>IF($C684="","",IF($N684="","-",INDEX(SETUP!$B$46:$B$51,MATCH($N684,SETUP!$A$46:$A$51,1))))</f>
        <v>A</v>
      </c>
      <c r="P684" s="15">
        <f>IF($C684="","",IF($I684="","",RANK($I684,$I$4:$I$1463)+COUNTIF($I$4:$I684,$I684)-1))</f>
        <v>155</v>
      </c>
      <c r="Q684" s="15">
        <f>IF($C684="","",COUNTIFS($B$4:$B$1463,$B684,$X$4:$X$1463,"&gt;"&amp;$X684)+COUNTIFS($B$4:$B684,$B684,$X$4:$X684,"="&amp;$X684))</f>
        <v>36</v>
      </c>
      <c r="R684" s="72">
        <f>IF($C684="","",IF($I684="","",ROUND(COUNTIF($I$4:$I$1463,"&lt;"&amp;$I684)/COUNT($I$4:$I$1463),3)))</f>
        <v>0.88300000000000001</v>
      </c>
      <c r="S684" s="15" t="str">
        <f>IF($C684="","",IF($G684="","Name only",IF(OR($I684="",$L684=""),"Partial","Complete")))</f>
        <v>Complete</v>
      </c>
      <c r="T684" s="41" t="str">
        <f>IF($C684="","",TRIM(IF(COUNTIF($C$4:$C$1463,$C684)&gt;1,"Dup name; ","")&amp;IF(AND($G684&lt;&gt;"",$G684&lt;55000),"Low CR - verify; ","")&amp;IF(AND($L684&lt;&gt;"",$L684&gt;15),"Secondary - verify; ","")&amp;IF($E684="","No class; ","")))</f>
        <v/>
      </c>
      <c r="U684" s="68"/>
      <c r="V684" s="68"/>
      <c r="W684" s="68"/>
      <c r="X684" s="73">
        <f t="shared" si="52"/>
        <v>7828</v>
      </c>
      <c r="Y684" s="41" t="str">
        <f t="shared" si="53"/>
        <v>VANGUARD|36</v>
      </c>
      <c r="Z684" s="15">
        <f>IF($C684="","",IF($G684="","",RANK($G684,$G$4:$G$1463)+COUNTIF($G$4:$G684,$G684)-1))</f>
        <v>482</v>
      </c>
      <c r="AA684" s="15">
        <f>IF($C684="","",IF($N684="","",RANK($N684,$N$4:$N$1463)+COUNTIF($N$4:$N684,$N684)-1))</f>
        <v>179</v>
      </c>
      <c r="AB684" s="41" t="str">
        <f>IF($C684="","",IF($E684="","",$E684&amp;"#"&amp;(COUNTIFS($E$4:$E$1463,$E684,$X$4:$X$1463,"&gt;"&amp;$X684)+COUNTIFS($E$4:$E684,$E684,$X$4:$X684,"="&amp;$X684))))</f>
        <v>BARBARIAN#34</v>
      </c>
      <c r="AC684" s="41" t="str">
        <f>IF($C684="","",$B684&amp;"@"&amp;(COUNTIFS($B$4:$B$1463,$B684,$C$4:$C$1463,"&lt;"&amp;$C684)+COUNTIFS($B$4:$B684,$B684,$C$4:$C684,$C684)))</f>
        <v>VANGUARD@54</v>
      </c>
      <c r="AD684" s="41">
        <f t="shared" si="54"/>
        <v>681</v>
      </c>
      <c r="AE684" s="41" t="s">
        <v>1477</v>
      </c>
      <c r="AF684" s="73">
        <f t="shared" si="55"/>
        <v>62880</v>
      </c>
      <c r="AG684" s="74">
        <f t="shared" si="56"/>
        <v>6</v>
      </c>
      <c r="AH684" s="41" t="str">
        <f>IF($C684="","",$B684&amp;"|"&amp;(COUNTIFS($B$4:$B$1463,$B684,$AF$4:$AF$1463,"&gt;"&amp;$AF684)+COUNTIFS($B$4:$B684,$B684,$AF$4:$AF684,"="&amp;$AF684)))</f>
        <v>VANGUARD|69</v>
      </c>
      <c r="AI684" s="41" t="str">
        <f>IF($C684="","",$B684&amp;"|"&amp;(COUNTIFS($B$4:$B$1463,$B684,$AG$4:$AG$1463,"&gt;"&amp;$AG684)+COUNTIFS($B$4:$B684,$B684,$AG$4:$AG684,"="&amp;$AG684)))</f>
        <v>VANGUARD|43</v>
      </c>
    </row>
    <row r="685" spans="1:35" hidden="1">
      <c r="A685" s="69" t="s">
        <v>109</v>
      </c>
      <c r="B685" s="69" t="s">
        <v>114</v>
      </c>
      <c r="C685" s="63" t="s">
        <v>1717</v>
      </c>
      <c r="D685" s="69"/>
      <c r="E685" s="68" t="s">
        <v>77</v>
      </c>
      <c r="F685" s="19" t="str">
        <f>IF($C685="","",IF($E685="","-",IFERROR(INDEX(SETUP!$B$55:$B$64,MATCH($E685,SETUP!$A$55:$A$64,0)),"Other")))</f>
        <v>Control</v>
      </c>
      <c r="G685" s="70">
        <v>60692</v>
      </c>
      <c r="H685" s="19" t="str">
        <f>IF($C685="","",IF($G685="","-",INDEX(SETUP!$B$26:$B$32,MATCH($G685,SETUP!$A$26:$A$32,1))))</f>
        <v>60,000 - 60,999</v>
      </c>
      <c r="I685" s="70">
        <v>1639</v>
      </c>
      <c r="J685" s="19" t="str">
        <f>IF($C685="","",IF($I685="","-",INDEX(SETUP!$B$16:$B$22,MATCH($I685,SETUP!$A$16:$A$22,1))))</f>
        <v>ROOKIE</v>
      </c>
      <c r="K685" s="19" t="str">
        <f>IF($C685="","",IF($I685="","-",TEXT(INT($I685/1000)*1000,"#,##0")&amp;" - "&amp;TEXT(INT($I685/1000)*1000+999,"#,##0")))</f>
        <v>1,000 - 1,999</v>
      </c>
      <c r="L685" s="71">
        <v>3.5</v>
      </c>
      <c r="M685" s="19" t="str">
        <f>IF($C685="","",IF($L685="","-",INDEX(SETUP!$B$36:$B$42,MATCH($L685,SETUP!$A$36:$A$42,1))))</f>
        <v>3k - 4k</v>
      </c>
      <c r="N685" s="21">
        <f>IF($C685="","",IF(OR($G685="",$I685=""),"",ROUND(100*(SETUP!$B$4*MIN(1,$I685/SETUP!$B$9)+SETUP!$B$5*MAX(0,MIN(1,($G685-SETUP!$B$10)/(SETUP!$B$11-SETUP!$B$10)))+SETUP!$B$6*MIN(1,IF($L685="",0,$L685)/SETUP!$B$12)),1)))</f>
        <v>28</v>
      </c>
      <c r="O685" s="19" t="str">
        <f>IF($C685="","",IF($N685="","-",INDEX(SETUP!$B$46:$B$51,MATCH($N685,SETUP!$A$46:$A$51,1))))</f>
        <v>C</v>
      </c>
      <c r="P685" s="19">
        <f>IF($C685="","",IF($I685="","",RANK($I685,$I$4:$I$1463)+COUNTIF($I$4:$I685,$I685)-1))</f>
        <v>1170</v>
      </c>
      <c r="Q685" s="19">
        <f>IF($C685="","",COUNTIFS($B$4:$B$1463,$B685,$X$4:$X$1463,"&gt;"&amp;$X685)+COUNTIFS($B$4:$B685,$B685,$X$4:$X685,"="&amp;$X685))</f>
        <v>66</v>
      </c>
      <c r="R685" s="75">
        <f>IF($C685="","",IF($I685="","",ROUND(COUNTIF($I$4:$I$1463,"&lt;"&amp;$I685)/COUNT($I$4:$I$1463),3)))</f>
        <v>0.11700000000000001</v>
      </c>
      <c r="S685" s="19" t="str">
        <f>IF($C685="","",IF($G685="","Name only",IF(OR($I685="",$L685=""),"Partial","Complete")))</f>
        <v>Complete</v>
      </c>
      <c r="T685" s="1" t="str">
        <f>IF($C685="","",TRIM(IF(COUNTIF($C$4:$C$1463,$C685)&gt;1,"Dup name; ","")&amp;IF(AND($G685&lt;&gt;"",$G685&lt;55000),"Low CR - verify; ","")&amp;IF(AND($L685&lt;&gt;"",$L685&gt;15),"Secondary - verify; ","")&amp;IF($E685="","No class; ","")))</f>
        <v/>
      </c>
      <c r="U685" s="68"/>
      <c r="V685" s="68"/>
      <c r="W685" s="68"/>
      <c r="X685" s="76">
        <f t="shared" si="52"/>
        <v>1639</v>
      </c>
      <c r="Y685" s="1" t="str">
        <f t="shared" si="53"/>
        <v>EMERALD LEAF TRIBE|66</v>
      </c>
      <c r="Z685" s="19">
        <f>IF($C685="","",IF($G685="","",RANK($G685,$G$4:$G$1463)+COUNTIF($G$4:$G685,$G685)-1))</f>
        <v>1182</v>
      </c>
      <c r="AA685" s="19">
        <f>IF($C685="","",IF($N685="","",RANK($N685,$N$4:$N$1463)+COUNTIF($N$4:$N685,$N685)-1))</f>
        <v>1189</v>
      </c>
      <c r="AB685" s="1" t="str">
        <f>IF($C685="","",IF($E685="","",$E685&amp;"#"&amp;(COUNTIFS($E$4:$E$1463,$E685,$X$4:$X$1463,"&gt;"&amp;$X685)+COUNTIFS($E$4:$E685,$E685,$X$4:$X685,"="&amp;$X685))))</f>
        <v>NECROMANCER#84</v>
      </c>
      <c r="AC685" s="1" t="str">
        <f>IF($C685="","",$B685&amp;"@"&amp;(COUNTIFS($B$4:$B$1463,$B685,$C$4:$C$1463,"&lt;"&amp;$C685)+COUNTIFS($B$4:$B685,$B685,$C$4:$C685,$C685)))</f>
        <v>EMERALD LEAF TRIBE@48</v>
      </c>
      <c r="AD685" s="1">
        <f t="shared" si="54"/>
        <v>682</v>
      </c>
      <c r="AE685" s="1" t="s">
        <v>568</v>
      </c>
      <c r="AF685" s="76">
        <f t="shared" si="55"/>
        <v>60692</v>
      </c>
      <c r="AG685" s="77">
        <f t="shared" si="56"/>
        <v>3.5</v>
      </c>
      <c r="AH685" s="1" t="str">
        <f>IF($C685="","",$B685&amp;"|"&amp;(COUNTIFS($B$4:$B$1463,$B685,$AF$4:$AF$1463,"&gt;"&amp;$AF685)+COUNTIFS($B$4:$B685,$B685,$AF$4:$AF685,"="&amp;$AF685)))</f>
        <v>EMERALD LEAF TRIBE|65</v>
      </c>
      <c r="AI685" s="1" t="str">
        <f>IF($C685="","",$B685&amp;"|"&amp;(COUNTIFS($B$4:$B$1463,$B685,$AG$4:$AG$1463,"&gt;"&amp;$AG685)+COUNTIFS($B$4:$B685,$B685,$AG$4:$AG685,"="&amp;$AG685)))</f>
        <v>EMERALD LEAF TRIBE|53</v>
      </c>
    </row>
    <row r="686" spans="1:35" hidden="1">
      <c r="A686" s="69" t="s">
        <v>109</v>
      </c>
      <c r="B686" s="69" t="s">
        <v>115</v>
      </c>
      <c r="C686" s="63" t="s">
        <v>1718</v>
      </c>
      <c r="D686" s="69"/>
      <c r="E686" s="68" t="s">
        <v>71</v>
      </c>
      <c r="F686" s="15" t="str">
        <f>IF($C686="","",IF($E686="","-",IFERROR(INDEX(SETUP!$B$55:$B$64,MATCH($E686,SETUP!$A$55:$A$64,0)),"Other")))</f>
        <v>Frontline</v>
      </c>
      <c r="G686" s="70">
        <v>61627</v>
      </c>
      <c r="H686" s="15" t="str">
        <f>IF($C686="","",IF($G686="","-",INDEX(SETUP!$B$26:$B$32,MATCH($G686,SETUP!$A$26:$A$32,1))))</f>
        <v>61,000 - 61,999</v>
      </c>
      <c r="I686" s="70">
        <v>2260</v>
      </c>
      <c r="J686" s="15" t="str">
        <f>IF($C686="","",IF($I686="","-",INDEX(SETUP!$B$16:$B$22,MATCH($I686,SETUP!$A$16:$A$22,1))))</f>
        <v>DEVELOPING</v>
      </c>
      <c r="K686" s="15" t="str">
        <f>IF($C686="","",IF($I686="","-",TEXT(INT($I686/1000)*1000,"#,##0")&amp;" - "&amp;TEXT(INT($I686/1000)*1000+999,"#,##0")))</f>
        <v>2,000 - 2,999</v>
      </c>
      <c r="L686" s="71">
        <v>2.5</v>
      </c>
      <c r="M686" s="15" t="str">
        <f>IF($C686="","",IF($L686="","-",INDEX(SETUP!$B$36:$B$42,MATCH($L686,SETUP!$A$36:$A$42,1))))</f>
        <v>Under 3k</v>
      </c>
      <c r="N686" s="17">
        <f>IF($C686="","",IF(OR($G686="",$I686=""),"",ROUND(100*(SETUP!$B$4*MIN(1,$I686/SETUP!$B$9)+SETUP!$B$5*MAX(0,MIN(1,($G686-SETUP!$B$10)/(SETUP!$B$11-SETUP!$B$10)))+SETUP!$B$6*MIN(1,IF($L686="",0,$L686)/SETUP!$B$12)),1)))</f>
        <v>31.5</v>
      </c>
      <c r="O686" s="15" t="str">
        <f>IF($C686="","",IF($N686="","-",INDEX(SETUP!$B$46:$B$51,MATCH($N686,SETUP!$A$46:$A$51,1))))</f>
        <v>C</v>
      </c>
      <c r="P686" s="15">
        <f>IF($C686="","",IF($I686="","",RANK($I686,$I$4:$I$1463)+COUNTIF($I$4:$I686,$I686)-1))</f>
        <v>1055</v>
      </c>
      <c r="Q686" s="15">
        <f>IF($C686="","",COUNTIFS($B$4:$B$1463,$B686,$X$4:$X$1463,"&gt;"&amp;$X686)+COUNTIFS($B$4:$B686,$B686,$X$4:$X686,"="&amp;$X686))</f>
        <v>39</v>
      </c>
      <c r="R686" s="72">
        <f>IF($C686="","",IF($I686="","",ROUND(COUNTIF($I$4:$I$1463,"&lt;"&amp;$I686)/COUNT($I$4:$I$1463),3)))</f>
        <v>0.20399999999999999</v>
      </c>
      <c r="S686" s="15" t="str">
        <f>IF($C686="","",IF($G686="","Name only",IF(OR($I686="",$L686=""),"Partial","Complete")))</f>
        <v>Complete</v>
      </c>
      <c r="T686" s="41" t="str">
        <f>IF($C686="","",TRIM(IF(COUNTIF($C$4:$C$1463,$C686)&gt;1,"Dup name; ","")&amp;IF(AND($G686&lt;&gt;"",$G686&lt;55000),"Low CR - verify; ","")&amp;IF(AND($L686&lt;&gt;"",$L686&gt;15),"Secondary - verify; ","")&amp;IF($E686="","No class; ","")))</f>
        <v/>
      </c>
      <c r="U686" s="68"/>
      <c r="V686" s="68"/>
      <c r="W686" s="68"/>
      <c r="X686" s="73">
        <f t="shared" si="52"/>
        <v>2260</v>
      </c>
      <c r="Y686" s="41" t="str">
        <f t="shared" si="53"/>
        <v>SUB ROSA|39</v>
      </c>
      <c r="Z686" s="15">
        <f>IF($C686="","",IF($G686="","",RANK($G686,$G$4:$G$1463)+COUNTIF($G$4:$G686,$G686)-1))</f>
        <v>970</v>
      </c>
      <c r="AA686" s="15">
        <f>IF($C686="","",IF($N686="","",RANK($N686,$N$4:$N$1463)+COUNTIF($N$4:$N686,$N686)-1))</f>
        <v>1111</v>
      </c>
      <c r="AB686" s="41" t="str">
        <f>IF($C686="","",IF($E686="","",$E686&amp;"#"&amp;(COUNTIFS($E$4:$E$1463,$E686,$X$4:$X$1463,"&gt;"&amp;$X686)+COUNTIFS($E$4:$E686,$E686,$X$4:$X686,"="&amp;$X686))))</f>
        <v>BARBARIAN#180</v>
      </c>
      <c r="AC686" s="41" t="str">
        <f>IF($C686="","",$B686&amp;"@"&amp;(COUNTIFS($B$4:$B$1463,$B686,$C$4:$C$1463,"&lt;"&amp;$C686)+COUNTIFS($B$4:$B686,$B686,$C$4:$C686,$C686)))</f>
        <v>SUB ROSA@44</v>
      </c>
      <c r="AD686" s="41">
        <f t="shared" si="54"/>
        <v>683</v>
      </c>
      <c r="AE686" s="41" t="s">
        <v>830</v>
      </c>
      <c r="AF686" s="73">
        <f t="shared" si="55"/>
        <v>61627</v>
      </c>
      <c r="AG686" s="74">
        <f t="shared" si="56"/>
        <v>2.5</v>
      </c>
      <c r="AH686" s="41" t="str">
        <f>IF($C686="","",$B686&amp;"|"&amp;(COUNTIFS($B$4:$B$1463,$B686,$AF$4:$AF$1463,"&gt;"&amp;$AF686)+COUNTIFS($B$4:$B686,$B686,$AF$4:$AF686,"="&amp;$AF686)))</f>
        <v>SUB ROSA|40</v>
      </c>
      <c r="AI686" s="41" t="str">
        <f>IF($C686="","",$B686&amp;"|"&amp;(COUNTIFS($B$4:$B$1463,$B686,$AG$4:$AG$1463,"&gt;"&amp;$AG686)+COUNTIFS($B$4:$B686,$B686,$AG$4:$AG686,"="&amp;$AG686)))</f>
        <v>SUB ROSA|66</v>
      </c>
    </row>
    <row r="687" spans="1:35" hidden="1">
      <c r="A687" s="69" t="s">
        <v>109</v>
      </c>
      <c r="B687" s="69" t="s">
        <v>116</v>
      </c>
      <c r="C687" s="63" t="s">
        <v>1719</v>
      </c>
      <c r="D687" s="69" t="s">
        <v>530</v>
      </c>
      <c r="E687" s="68" t="s">
        <v>80</v>
      </c>
      <c r="F687" s="19" t="str">
        <f>IF($C687="","",IF($E687="","-",IFERROR(INDEX(SETUP!$B$55:$B$64,MATCH($E687,SETUP!$A$55:$A$64,0)),"Other")))</f>
        <v>Ranged DPS</v>
      </c>
      <c r="G687" s="70">
        <v>57622</v>
      </c>
      <c r="H687" s="19" t="str">
        <f>IF($C687="","",IF($G687="","-",INDEX(SETUP!$B$26:$B$32,MATCH($G687,SETUP!$A$26:$A$32,1))))</f>
        <v>Under 58,000</v>
      </c>
      <c r="I687" s="70">
        <v>2526</v>
      </c>
      <c r="J687" s="19" t="str">
        <f>IF($C687="","",IF($I687="","-",INDEX(SETUP!$B$16:$B$22,MATCH($I687,SETUP!$A$16:$A$22,1))))</f>
        <v>DEVELOPING</v>
      </c>
      <c r="K687" s="19" t="str">
        <f>IF($C687="","",IF($I687="","-",TEXT(INT($I687/1000)*1000,"#,##0")&amp;" - "&amp;TEXT(INT($I687/1000)*1000+999,"#,##0")))</f>
        <v>2,000 - 2,999</v>
      </c>
      <c r="L687" s="71">
        <v>4.0999999999999996</v>
      </c>
      <c r="M687" s="19" t="str">
        <f>IF($C687="","",IF($L687="","-",INDEX(SETUP!$B$36:$B$42,MATCH($L687,SETUP!$A$36:$A$42,1))))</f>
        <v>4k - 5k</v>
      </c>
      <c r="N687" s="21">
        <f>IF($C687="","",IF(OR($G687="",$I687=""),"",ROUND(100*(SETUP!$B$4*MIN(1,$I687/SETUP!$B$9)+SETUP!$B$5*MAX(0,MIN(1,($G687-SETUP!$B$10)/(SETUP!$B$11-SETUP!$B$10)))+SETUP!$B$6*MIN(1,IF($L687="",0,$L687)/SETUP!$B$12)),1)))</f>
        <v>24.8</v>
      </c>
      <c r="O687" s="19" t="str">
        <f>IF($C687="","",IF($N687="","-",INDEX(SETUP!$B$46:$B$51,MATCH($N687,SETUP!$A$46:$A$51,1))))</f>
        <v>C</v>
      </c>
      <c r="P687" s="19">
        <f>IF($C687="","",IF($I687="","",RANK($I687,$I$4:$I$1463)+COUNTIF($I$4:$I687,$I687)-1))</f>
        <v>1004</v>
      </c>
      <c r="Q687" s="19">
        <f>IF($C687="","",COUNTIFS($B$4:$B$1463,$B687,$X$4:$X$1463,"&gt;"&amp;$X687)+COUNTIFS($B$4:$B687,$B687,$X$4:$X687,"="&amp;$X687))</f>
        <v>72</v>
      </c>
      <c r="R687" s="75">
        <f>IF($C687="","",IF($I687="","",ROUND(COUNTIF($I$4:$I$1463,"&lt;"&amp;$I687)/COUNT($I$4:$I$1463),3)))</f>
        <v>0.24199999999999999</v>
      </c>
      <c r="S687" s="19" t="str">
        <f>IF($C687="","",IF($G687="","Name only",IF(OR($I687="",$L687=""),"Partial","Complete")))</f>
        <v>Complete</v>
      </c>
      <c r="T687" s="1" t="str">
        <f>IF($C687="","",TRIM(IF(COUNTIF($C$4:$C$1463,$C687)&gt;1,"Dup name; ","")&amp;IF(AND($G687&lt;&gt;"",$G687&lt;55000),"Low CR - verify; ","")&amp;IF(AND($L687&lt;&gt;"",$L687&gt;15),"Secondary - verify; ","")&amp;IF($E687="","No class; ","")))</f>
        <v/>
      </c>
      <c r="U687" s="68"/>
      <c r="V687" s="68"/>
      <c r="W687" s="68"/>
      <c r="X687" s="76">
        <f t="shared" si="52"/>
        <v>2526</v>
      </c>
      <c r="Y687" s="1" t="str">
        <f t="shared" si="53"/>
        <v>VENGEANCE|72</v>
      </c>
      <c r="Z687" s="19">
        <f>IF($C687="","",IF($G687="","",RANK($G687,$G$4:$G$1463)+COUNTIF($G$4:$G687,$G687)-1))</f>
        <v>1305</v>
      </c>
      <c r="AA687" s="19">
        <f>IF($C687="","",IF($N687="","",RANK($N687,$N$4:$N$1463)+COUNTIF($N$4:$N687,$N687)-1))</f>
        <v>1248</v>
      </c>
      <c r="AB687" s="1" t="str">
        <f>IF($C687="","",IF($E687="","",$E687&amp;"#"&amp;(COUNTIFS($E$4:$E$1463,$E687,$X$4:$X$1463,"&gt;"&amp;$X687)+COUNTIFS($E$4:$E687,$E687,$X$4:$X687,"="&amp;$X687))))</f>
        <v>WIZARD#71</v>
      </c>
      <c r="AC687" s="1" t="str">
        <f>IF($C687="","",$B687&amp;"@"&amp;(COUNTIFS($B$4:$B$1463,$B687,$C$4:$C$1463,"&lt;"&amp;$C687)+COUNTIFS($B$4:$B687,$B687,$C$4:$C687,$C687)))</f>
        <v>VENGEANCE@42</v>
      </c>
      <c r="AD687" s="1">
        <f t="shared" si="54"/>
        <v>684</v>
      </c>
      <c r="AE687" s="1" t="s">
        <v>1361</v>
      </c>
      <c r="AF687" s="76">
        <f t="shared" si="55"/>
        <v>57622</v>
      </c>
      <c r="AG687" s="77">
        <f t="shared" si="56"/>
        <v>4.0999999999999996</v>
      </c>
      <c r="AH687" s="1" t="str">
        <f>IF($C687="","",$B687&amp;"|"&amp;(COUNTIFS($B$4:$B$1463,$B687,$AF$4:$AF$1463,"&gt;"&amp;$AF687)+COUNTIFS($B$4:$B687,$B687,$AF$4:$AF687,"="&amp;$AF687)))</f>
        <v>VENGEANCE|94</v>
      </c>
      <c r="AI687" s="1" t="str">
        <f>IF($C687="","",$B687&amp;"|"&amp;(COUNTIFS($B$4:$B$1463,$B687,$AG$4:$AG$1463,"&gt;"&amp;$AG687)+COUNTIFS($B$4:$B687,$B687,$AG$4:$AG687,"="&amp;$AG687)))</f>
        <v>VENGEANCE|63</v>
      </c>
    </row>
    <row r="688" spans="1:35" hidden="1">
      <c r="A688" s="69" t="s">
        <v>109</v>
      </c>
      <c r="B688" s="69" t="s">
        <v>117</v>
      </c>
      <c r="C688" s="63" t="s">
        <v>1720</v>
      </c>
      <c r="D688" s="69"/>
      <c r="E688" s="68" t="s">
        <v>72</v>
      </c>
      <c r="F688" s="15" t="str">
        <f>IF($C688="","",IF($E688="","-",IFERROR(INDEX(SETUP!$B$55:$B$64,MATCH($E688,SETUP!$A$55:$A$64,0)),"Other")))</f>
        <v>Frontline</v>
      </c>
      <c r="G688" s="70">
        <v>61680</v>
      </c>
      <c r="H688" s="15" t="str">
        <f>IF($C688="","",IF($G688="","-",INDEX(SETUP!$B$26:$B$32,MATCH($G688,SETUP!$A$26:$A$32,1))))</f>
        <v>61,000 - 61,999</v>
      </c>
      <c r="I688" s="70">
        <v>1960</v>
      </c>
      <c r="J688" s="15" t="str">
        <f>IF($C688="","",IF($I688="","-",INDEX(SETUP!$B$16:$B$22,MATCH($I688,SETUP!$A$16:$A$22,1))))</f>
        <v>ROOKIE</v>
      </c>
      <c r="K688" s="15" t="str">
        <f>IF($C688="","",IF($I688="","-",TEXT(INT($I688/1000)*1000,"#,##0")&amp;" - "&amp;TEXT(INT($I688/1000)*1000+999,"#,##0")))</f>
        <v>1,000 - 1,999</v>
      </c>
      <c r="L688" s="71">
        <v>4.4000000000000004</v>
      </c>
      <c r="M688" s="15" t="str">
        <f>IF($C688="","",IF($L688="","-",INDEX(SETUP!$B$36:$B$42,MATCH($L688,SETUP!$A$36:$A$42,1))))</f>
        <v>4k - 5k</v>
      </c>
      <c r="N688" s="17">
        <f>IF($C688="","",IF(OR($G688="",$I688=""),"",ROUND(100*(SETUP!$B$4*MIN(1,$I688/SETUP!$B$9)+SETUP!$B$5*MAX(0,MIN(1,($G688-SETUP!$B$10)/(SETUP!$B$11-SETUP!$B$10)))+SETUP!$B$6*MIN(1,IF($L688="",0,$L688)/SETUP!$B$12)),1)))</f>
        <v>33.5</v>
      </c>
      <c r="O688" s="15" t="str">
        <f>IF($C688="","",IF($N688="","-",INDEX(SETUP!$B$46:$B$51,MATCH($N688,SETUP!$A$46:$A$51,1))))</f>
        <v>C</v>
      </c>
      <c r="P688" s="15">
        <f>IF($C688="","",IF($I688="","",RANK($I688,$I$4:$I$1463)+COUNTIF($I$4:$I688,$I688)-1))</f>
        <v>1126</v>
      </c>
      <c r="Q688" s="15">
        <f>IF($C688="","",COUNTIFS($B$4:$B$1463,$B688,$X$4:$X$1463,"&gt;"&amp;$X688)+COUNTIFS($B$4:$B688,$B688,$X$4:$X688,"="&amp;$X688))</f>
        <v>50</v>
      </c>
      <c r="R688" s="72">
        <f>IF($C688="","",IF($I688="","",ROUND(COUNTIF($I$4:$I$1463,"&lt;"&amp;$I688)/COUNT($I$4:$I$1463),3)))</f>
        <v>0.15</v>
      </c>
      <c r="S688" s="15" t="str">
        <f>IF($C688="","",IF($G688="","Name only",IF(OR($I688="",$L688=""),"Partial","Complete")))</f>
        <v>Complete</v>
      </c>
      <c r="T688" s="41" t="str">
        <f>IF($C688="","",TRIM(IF(COUNTIF($C$4:$C$1463,$C688)&gt;1,"Dup name; ","")&amp;IF(AND($G688&lt;&gt;"",$G688&lt;55000),"Low CR - verify; ","")&amp;IF(AND($L688&lt;&gt;"",$L688&gt;15),"Secondary - verify; ","")&amp;IF($E688="","No class; ","")))</f>
        <v/>
      </c>
      <c r="U688" s="68"/>
      <c r="V688" s="68"/>
      <c r="W688" s="68"/>
      <c r="X688" s="73">
        <f t="shared" si="52"/>
        <v>1960</v>
      </c>
      <c r="Y688" s="41" t="str">
        <f t="shared" si="53"/>
        <v>VENDETTA|50</v>
      </c>
      <c r="Z688" s="15">
        <f>IF($C688="","",IF($G688="","",RANK($G688,$G$4:$G$1463)+COUNTIF($G$4:$G688,$G688)-1))</f>
        <v>950</v>
      </c>
      <c r="AA688" s="15">
        <f>IF($C688="","",IF($N688="","",RANK($N688,$N$4:$N$1463)+COUNTIF($N$4:$N688,$N688)-1))</f>
        <v>1055</v>
      </c>
      <c r="AB688" s="41" t="str">
        <f>IF($C688="","",IF($E688="","",$E688&amp;"#"&amp;(COUNTIFS($E$4:$E$1463,$E688,$X$4:$X$1463,"&gt;"&amp;$X688)+COUNTIFS($E$4:$E688,$E688,$X$4:$X688,"="&amp;$X688))))</f>
        <v>BLOOD KNIGHT#77</v>
      </c>
      <c r="AC688" s="41" t="str">
        <f>IF($C688="","",$B688&amp;"@"&amp;(COUNTIFS($B$4:$B$1463,$B688,$C$4:$C$1463,"&lt;"&amp;$C688)+COUNTIFS($B$4:$B688,$B688,$C$4:$C688,$C688)))</f>
        <v>VENDETTA@52</v>
      </c>
      <c r="AD688" s="41">
        <f t="shared" si="54"/>
        <v>685</v>
      </c>
      <c r="AE688" s="41" t="s">
        <v>1721</v>
      </c>
      <c r="AF688" s="73">
        <f t="shared" si="55"/>
        <v>61680</v>
      </c>
      <c r="AG688" s="74">
        <f t="shared" si="56"/>
        <v>4.4000000000000004</v>
      </c>
      <c r="AH688" s="41" t="str">
        <f>IF($C688="","",$B688&amp;"|"&amp;(COUNTIFS($B$4:$B$1463,$B688,$AF$4:$AF$1463,"&gt;"&amp;$AF688)+COUNTIFS($B$4:$B688,$B688,$AF$4:$AF688,"="&amp;$AF688)))</f>
        <v>VENDETTA|47</v>
      </c>
      <c r="AI688" s="41" t="str">
        <f>IF($C688="","",$B688&amp;"|"&amp;(COUNTIFS($B$4:$B$1463,$B688,$AG$4:$AG$1463,"&gt;"&amp;$AG688)+COUNTIFS($B$4:$B688,$B688,$AG$4:$AG688,"="&amp;$AG688)))</f>
        <v>VENDETTA|19</v>
      </c>
    </row>
    <row r="689" spans="1:35">
      <c r="A689" s="69" t="s">
        <v>104</v>
      </c>
      <c r="B689" s="69" t="s">
        <v>66</v>
      </c>
      <c r="C689" s="63" t="s">
        <v>339</v>
      </c>
      <c r="D689" s="69"/>
      <c r="E689" s="68" t="s">
        <v>78</v>
      </c>
      <c r="F689" s="19" t="str">
        <f>IF($C689="","",IF($E689="","-",IFERROR(INDEX(SETUP!$B$55:$B$64,MATCH($E689,SETUP!$A$55:$A$64,0)),"Other")))</f>
        <v>Melee DPS</v>
      </c>
      <c r="G689" s="70">
        <v>63079</v>
      </c>
      <c r="H689" s="19" t="str">
        <f>IF($C689="","",IF($G689="","-",INDEX(SETUP!$B$26:$B$32,MATCH($G689,SETUP!$A$26:$A$32,1))))</f>
        <v>63,000 - 63,999</v>
      </c>
      <c r="I689" s="70">
        <v>3215</v>
      </c>
      <c r="J689" s="19" t="str">
        <f>IF($C689="","",IF($I689="","-",INDEX(SETUP!$B$16:$B$22,MATCH($I689,SETUP!$A$16:$A$22,1))))</f>
        <v>DEVELOPING</v>
      </c>
      <c r="K689" s="19" t="str">
        <f>IF($C689="","",IF($I689="","-",TEXT(INT($I689/1000)*1000,"#,##0")&amp;" - "&amp;TEXT(INT($I689/1000)*1000+999,"#,##0")))</f>
        <v>3,000 - 3,999</v>
      </c>
      <c r="L689" s="71">
        <v>4.1500000000000004</v>
      </c>
      <c r="M689" s="19" t="str">
        <f>IF($C689="","",IF($L689="","-",INDEX(SETUP!$B$36:$B$42,MATCH($L689,SETUP!$A$36:$A$42,1))))</f>
        <v>4k - 5k</v>
      </c>
      <c r="N689" s="21">
        <f>IF($C689="","",IF(OR($G689="",$I689=""),"",ROUND(100*(SETUP!$B$4*MIN(1,$I689/SETUP!$B$9)+SETUP!$B$5*MAX(0,MIN(1,($G689-SETUP!$B$10)/(SETUP!$B$11-SETUP!$B$10)))+SETUP!$B$6*MIN(1,IF($L689="",0,$L689)/SETUP!$B$12)),1)))</f>
        <v>42.2</v>
      </c>
      <c r="O689" s="19" t="str">
        <f>IF($C689="","",IF($N689="","-",INDEX(SETUP!$B$46:$B$51,MATCH($N689,SETUP!$A$46:$A$51,1))))</f>
        <v>B</v>
      </c>
      <c r="P689" s="19">
        <f>IF($C689="","",IF($I689="","",RANK($I689,$I$4:$I$1463)+COUNTIF($I$4:$I689,$I689)-1))</f>
        <v>818</v>
      </c>
      <c r="Q689" s="19">
        <f>IF($C689="","",COUNTIFS($B$4:$B$1463,$B689,$X$4:$X$1463,"&gt;"&amp;$X689)+COUNTIFS($B$4:$B689,$B689,$X$4:$X689,"="&amp;$X689))</f>
        <v>84</v>
      </c>
      <c r="R689" s="75">
        <f>IF($C689="","",IF($I689="","",ROUND(COUNTIF($I$4:$I$1463,"&lt;"&amp;$I689)/COUNT($I$4:$I$1463),3)))</f>
        <v>0.38300000000000001</v>
      </c>
      <c r="S689" s="19" t="str">
        <f>IF($C689="","",IF($G689="","Name only",IF(OR($I689="",$L689=""),"Partial","Complete")))</f>
        <v>Complete</v>
      </c>
      <c r="T689" s="1" t="str">
        <f>IF($C689="","",TRIM(IF(COUNTIF($C$4:$C$1463,$C689)&gt;1,"Dup name; ","")&amp;IF(AND($G689&lt;&gt;"",$G689&lt;55000),"Low CR - verify; ","")&amp;IF(AND($L689&lt;&gt;"",$L689&gt;15),"Secondary - verify; ","")&amp;IF($E689="","No class; ","")))</f>
        <v/>
      </c>
      <c r="U689" s="68" t="s">
        <v>265</v>
      </c>
      <c r="V689" s="68" t="s">
        <v>66</v>
      </c>
      <c r="W689" s="68" t="s">
        <v>285</v>
      </c>
      <c r="X689" s="76">
        <f t="shared" si="52"/>
        <v>3215</v>
      </c>
      <c r="Y689" s="1" t="str">
        <f t="shared" si="53"/>
        <v>FUCT|84</v>
      </c>
      <c r="Z689" s="19">
        <f>IF($C689="","",IF($G689="","",RANK($G689,$G$4:$G$1463)+COUNTIF($G$4:$G689,$G689)-1))</f>
        <v>393</v>
      </c>
      <c r="AA689" s="19">
        <f>IF($C689="","",IF($N689="","",RANK($N689,$N$4:$N$1463)+COUNTIF($N$4:$N689,$N689)-1))</f>
        <v>735</v>
      </c>
      <c r="AB689" s="1" t="str">
        <f>IF($C689="","",IF($E689="","",$E689&amp;"#"&amp;(COUNTIFS($E$4:$E$1463,$E689,$X$4:$X$1463,"&gt;"&amp;$X689)+COUNTIFS($E$4:$E689,$E689,$X$4:$X689,"="&amp;$X689))))</f>
        <v>TEMPEST#30</v>
      </c>
      <c r="AC689" s="1" t="str">
        <f>IF($C689="","",$B689&amp;"@"&amp;(COUNTIFS($B$4:$B$1463,$B689,$C$4:$C$1463,"&lt;"&amp;$C689)+COUNTIFS($B$4:$B689,$B689,$C$4:$C689,$C689)))</f>
        <v>FUCT@50</v>
      </c>
      <c r="AD689" s="1">
        <f t="shared" si="54"/>
        <v>686</v>
      </c>
      <c r="AE689" s="1" t="s">
        <v>1723</v>
      </c>
      <c r="AF689" s="76">
        <f t="shared" si="55"/>
        <v>63079</v>
      </c>
      <c r="AG689" s="77">
        <f t="shared" si="56"/>
        <v>4.1500000000000004</v>
      </c>
      <c r="AH689" s="1" t="str">
        <f>IF($C689="","",$B689&amp;"|"&amp;(COUNTIFS($B$4:$B$1463,$B689,$AF$4:$AF$1463,"&gt;"&amp;$AF689)+COUNTIFS($B$4:$B689,$B689,$AF$4:$AF689,"="&amp;$AF689)))</f>
        <v>FUCT|41</v>
      </c>
      <c r="AI689" s="1" t="str">
        <f>IF($C689="","",$B689&amp;"|"&amp;(COUNTIFS($B$4:$B$1463,$B689,$AG$4:$AG$1463,"&gt;"&amp;$AG689)+COUNTIFS($B$4:$B689,$B689,$AG$4:$AG689,"="&amp;$AG689)))</f>
        <v>FUCT|72</v>
      </c>
    </row>
    <row r="690" spans="1:35" hidden="1">
      <c r="A690" s="69" t="s">
        <v>109</v>
      </c>
      <c r="B690" s="69" t="s">
        <v>112</v>
      </c>
      <c r="C690" s="63" t="s">
        <v>1724</v>
      </c>
      <c r="D690" s="69" t="s">
        <v>567</v>
      </c>
      <c r="E690" s="68" t="s">
        <v>76</v>
      </c>
      <c r="F690" s="15" t="str">
        <f>IF($C690="","",IF($E690="","-",IFERROR(INDEX(SETUP!$B$55:$B$64,MATCH($E690,SETUP!$A$55:$A$64,0)),"Other")))</f>
        <v>Support</v>
      </c>
      <c r="G690" s="70">
        <v>61642</v>
      </c>
      <c r="H690" s="15" t="str">
        <f>IF($C690="","",IF($G690="","-",INDEX(SETUP!$B$26:$B$32,MATCH($G690,SETUP!$A$26:$A$32,1))))</f>
        <v>61,000 - 61,999</v>
      </c>
      <c r="I690" s="70">
        <v>3343</v>
      </c>
      <c r="J690" s="15" t="str">
        <f>IF($C690="","",IF($I690="","-",INDEX(SETUP!$B$16:$B$22,MATCH($I690,SETUP!$A$16:$A$22,1))))</f>
        <v>DEVELOPING</v>
      </c>
      <c r="K690" s="15" t="str">
        <f>IF($C690="","",IF($I690="","-",TEXT(INT($I690/1000)*1000,"#,##0")&amp;" - "&amp;TEXT(INT($I690/1000)*1000+999,"#,##0")))</f>
        <v>3,000 - 3,999</v>
      </c>
      <c r="L690" s="71">
        <v>4.1500000000000004</v>
      </c>
      <c r="M690" s="15" t="str">
        <f>IF($C690="","",IF($L690="","-",INDEX(SETUP!$B$36:$B$42,MATCH($L690,SETUP!$A$36:$A$42,1))))</f>
        <v>4k - 5k</v>
      </c>
      <c r="N690" s="17">
        <f>IF($C690="","",IF(OR($G690="",$I690=""),"",ROUND(100*(SETUP!$B$4*MIN(1,$I690/SETUP!$B$9)+SETUP!$B$5*MAX(0,MIN(1,($G690-SETUP!$B$10)/(SETUP!$B$11-SETUP!$B$10)))+SETUP!$B$6*MIN(1,IF($L690="",0,$L690)/SETUP!$B$12)),1)))</f>
        <v>39</v>
      </c>
      <c r="O690" s="15" t="str">
        <f>IF($C690="","",IF($N690="","-",INDEX(SETUP!$B$46:$B$51,MATCH($N690,SETUP!$A$46:$A$51,1))))</f>
        <v>B</v>
      </c>
      <c r="P690" s="15">
        <f>IF($C690="","",IF($I690="","",RANK($I690,$I$4:$I$1463)+COUNTIF($I$4:$I690,$I690)-1))</f>
        <v>773</v>
      </c>
      <c r="Q690" s="15">
        <f>IF($C690="","",COUNTIFS($B$4:$B$1463,$B690,$X$4:$X$1463,"&gt;"&amp;$X690)+COUNTIFS($B$4:$B690,$B690,$X$4:$X690,"="&amp;$X690))</f>
        <v>58</v>
      </c>
      <c r="R690" s="72">
        <f>IF($C690="","",IF($I690="","",ROUND(COUNTIF($I$4:$I$1463,"&lt;"&amp;$I690)/COUNT($I$4:$I$1463),3)))</f>
        <v>0.41699999999999998</v>
      </c>
      <c r="S690" s="15" t="str">
        <f>IF($C690="","",IF($G690="","Name only",IF(OR($I690="",$L690=""),"Partial","Complete")))</f>
        <v>Complete</v>
      </c>
      <c r="T690" s="41" t="str">
        <f>IF($C690="","",TRIM(IF(COUNTIF($C$4:$C$1463,$C690)&gt;1,"Dup name; ","")&amp;IF(AND($G690&lt;&gt;"",$G690&lt;55000),"Low CR - verify; ","")&amp;IF(AND($L690&lt;&gt;"",$L690&gt;15),"Secondary - verify; ","")&amp;IF($E690="","No class; ","")))</f>
        <v/>
      </c>
      <c r="U690" s="68"/>
      <c r="V690" s="68"/>
      <c r="W690" s="68"/>
      <c r="X690" s="73">
        <f t="shared" si="52"/>
        <v>3343</v>
      </c>
      <c r="Y690" s="41" t="str">
        <f t="shared" si="53"/>
        <v>ACHERON|58</v>
      </c>
      <c r="Z690" s="15">
        <f>IF($C690="","",IF($G690="","",RANK($G690,$G$4:$G$1463)+COUNTIF($G$4:$G690,$G690)-1))</f>
        <v>963</v>
      </c>
      <c r="AA690" s="15">
        <f>IF($C690="","",IF($N690="","",RANK($N690,$N$4:$N$1463)+COUNTIF($N$4:$N690,$N690)-1))</f>
        <v>860</v>
      </c>
      <c r="AB690" s="41" t="str">
        <f>IF($C690="","",IF($E690="","",$E690&amp;"#"&amp;(COUNTIFS($E$4:$E$1463,$E690,$X$4:$X$1463,"&gt;"&amp;$X690)+COUNTIFS($E$4:$E690,$E690,$X$4:$X690,"="&amp;$X690))))</f>
        <v>MONK#26</v>
      </c>
      <c r="AC690" s="41" t="str">
        <f>IF($C690="","",$B690&amp;"@"&amp;(COUNTIFS($B$4:$B$1463,$B690,$C$4:$C$1463,"&lt;"&amp;$C690)+COUNTIFS($B$4:$B690,$B690,$C$4:$C690,$C690)))</f>
        <v>ACHERON@41</v>
      </c>
      <c r="AD690" s="41">
        <f t="shared" si="54"/>
        <v>687</v>
      </c>
      <c r="AE690" s="41" t="s">
        <v>1725</v>
      </c>
      <c r="AF690" s="73">
        <f t="shared" si="55"/>
        <v>61642</v>
      </c>
      <c r="AG690" s="74">
        <f t="shared" si="56"/>
        <v>4.1500000000000004</v>
      </c>
      <c r="AH690" s="41" t="str">
        <f>IF($C690="","",$B690&amp;"|"&amp;(COUNTIFS($B$4:$B$1463,$B690,$AF$4:$AF$1463,"&gt;"&amp;$AF690)+COUNTIFS($B$4:$B690,$B690,$AF$4:$AF690,"="&amp;$AF690)))</f>
        <v>ACHERON|80</v>
      </c>
      <c r="AI690" s="41" t="str">
        <f>IF($C690="","",$B690&amp;"|"&amp;(COUNTIFS($B$4:$B$1463,$B690,$AG$4:$AG$1463,"&gt;"&amp;$AG690)+COUNTIFS($B$4:$B690,$B690,$AG$4:$AG690,"="&amp;$AG690)))</f>
        <v>ACHERON|70</v>
      </c>
    </row>
    <row r="691" spans="1:35" hidden="1">
      <c r="A691" s="69" t="s">
        <v>106</v>
      </c>
      <c r="B691" s="69" t="s">
        <v>105</v>
      </c>
      <c r="C691" s="63" t="s">
        <v>1726</v>
      </c>
      <c r="D691" s="69"/>
      <c r="E691" s="68" t="s">
        <v>79</v>
      </c>
      <c r="F691" s="19" t="str">
        <f>IF($C691="","",IF($E691="","-",IFERROR(INDEX(SETUP!$B$55:$B$64,MATCH($E691,SETUP!$A$55:$A$64,0)),"Other")))</f>
        <v>Control</v>
      </c>
      <c r="G691" s="70">
        <v>62698</v>
      </c>
      <c r="H691" s="19" t="str">
        <f>IF($C691="","",IF($G691="","-",INDEX(SETUP!$B$26:$B$32,MATCH($G691,SETUP!$A$26:$A$32,1))))</f>
        <v>62,000 - 62,999</v>
      </c>
      <c r="I691" s="70">
        <v>8755</v>
      </c>
      <c r="J691" s="19" t="str">
        <f>IF($C691="","",IF($I691="","-",INDEX(SETUP!$B$16:$B$22,MATCH($I691,SETUP!$A$16:$A$22,1))))</f>
        <v>ELITE</v>
      </c>
      <c r="K691" s="19" t="str">
        <f>IF($C691="","",IF($I691="","-",TEXT(INT($I691/1000)*1000,"#,##0")&amp;" - "&amp;TEXT(INT($I691/1000)*1000+999,"#,##0")))</f>
        <v>8,000 - 8,999</v>
      </c>
      <c r="L691" s="71">
        <v>5.38</v>
      </c>
      <c r="M691" s="19" t="str">
        <f>IF($C691="","",IF($L691="","-",INDEX(SETUP!$B$36:$B$42,MATCH($L691,SETUP!$A$36:$A$42,1))))</f>
        <v>5k - 6k</v>
      </c>
      <c r="N691" s="21">
        <f>IF($C691="","",IF(OR($G691="",$I691=""),"",ROUND(100*(SETUP!$B$4*MIN(1,$I691/SETUP!$B$9)+SETUP!$B$5*MAX(0,MIN(1,($G691-SETUP!$B$10)/(SETUP!$B$11-SETUP!$B$10)))+SETUP!$B$6*MIN(1,IF($L691="",0,$L691)/SETUP!$B$12)),1)))</f>
        <v>67.400000000000006</v>
      </c>
      <c r="O691" s="19" t="str">
        <f>IF($C691="","",IF($N691="","-",INDEX(SETUP!$B$46:$B$51,MATCH($N691,SETUP!$A$46:$A$51,1))))</f>
        <v>S</v>
      </c>
      <c r="P691" s="19">
        <f>IF($C691="","",IF($I691="","",RANK($I691,$I$4:$I$1463)+COUNTIF($I$4:$I691,$I691)-1))</f>
        <v>103</v>
      </c>
      <c r="Q691" s="19">
        <f>IF($C691="","",COUNTIFS($B$4:$B$1463,$B691,$X$4:$X$1463,"&gt;"&amp;$X691)+COUNTIFS($B$4:$B691,$B691,$X$4:$X691,"="&amp;$X691))</f>
        <v>9</v>
      </c>
      <c r="R691" s="75">
        <f>IF($C691="","",IF($I691="","",ROUND(COUNTIF($I$4:$I$1463,"&lt;"&amp;$I691)/COUNT($I$4:$I$1463),3)))</f>
        <v>0.92200000000000004</v>
      </c>
      <c r="S691" s="19" t="str">
        <f>IF($C691="","",IF($G691="","Name only",IF(OR($I691="",$L691=""),"Partial","Complete")))</f>
        <v>Complete</v>
      </c>
      <c r="T691" s="1" t="str">
        <f>IF($C691="","",TRIM(IF(COUNTIF($C$4:$C$1463,$C691)&gt;1,"Dup name; ","")&amp;IF(AND($G691&lt;&gt;"",$G691&lt;55000),"Low CR - verify; ","")&amp;IF(AND($L691&lt;&gt;"",$L691&gt;15),"Secondary - verify; ","")&amp;IF($E691="","No class; ","")))</f>
        <v/>
      </c>
      <c r="U691" s="68"/>
      <c r="V691" s="68"/>
      <c r="W691" s="68"/>
      <c r="X691" s="76">
        <f t="shared" si="52"/>
        <v>8755</v>
      </c>
      <c r="Y691" s="1" t="str">
        <f t="shared" si="53"/>
        <v>LEGENDS|9</v>
      </c>
      <c r="Z691" s="19">
        <f>IF($C691="","",IF($G691="","",RANK($G691,$G$4:$G$1463)+COUNTIF($G$4:$G691,$G691)-1))</f>
        <v>563</v>
      </c>
      <c r="AA691" s="19">
        <f>IF($C691="","",IF($N691="","",RANK($N691,$N$4:$N$1463)+COUNTIF($N$4:$N691,$N691)-1))</f>
        <v>154</v>
      </c>
      <c r="AB691" s="1" t="str">
        <f>IF($C691="","",IF($E691="","",$E691&amp;"#"&amp;(COUNTIFS($E$4:$E$1463,$E691,$X$4:$X$1463,"&gt;"&amp;$X691)+COUNTIFS($E$4:$E691,$E691,$X$4:$X691,"="&amp;$X691))))</f>
        <v>WARLOCK#22</v>
      </c>
      <c r="AC691" s="1" t="str">
        <f>IF($C691="","",$B691&amp;"@"&amp;(COUNTIFS($B$4:$B$1463,$B691,$C$4:$C$1463,"&lt;"&amp;$C691)+COUNTIFS($B$4:$B691,$B691,$C$4:$C691,$C691)))</f>
        <v>LEGENDS@62</v>
      </c>
      <c r="AD691" s="1">
        <f t="shared" si="54"/>
        <v>688</v>
      </c>
      <c r="AE691" s="1" t="s">
        <v>1727</v>
      </c>
      <c r="AF691" s="76">
        <f t="shared" si="55"/>
        <v>62698</v>
      </c>
      <c r="AG691" s="77">
        <f t="shared" si="56"/>
        <v>5.38</v>
      </c>
      <c r="AH691" s="1" t="str">
        <f>IF($C691="","",$B691&amp;"|"&amp;(COUNTIFS($B$4:$B$1463,$B691,$AF$4:$AF$1463,"&gt;"&amp;$AF691)+COUNTIFS($B$4:$B691,$B691,$AF$4:$AF691,"="&amp;$AF691)))</f>
        <v>LEGENDS|62</v>
      </c>
      <c r="AI691" s="1" t="str">
        <f>IF($C691="","",$B691&amp;"|"&amp;(COUNTIFS($B$4:$B$1463,$B691,$AG$4:$AG$1463,"&gt;"&amp;$AG691)+COUNTIFS($B$4:$B691,$B691,$AG$4:$AG691,"="&amp;$AG691)))</f>
        <v>LEGENDS|46</v>
      </c>
    </row>
    <row r="692" spans="1:35" hidden="1">
      <c r="A692" s="69" t="s">
        <v>109</v>
      </c>
      <c r="B692" s="69" t="s">
        <v>113</v>
      </c>
      <c r="C692" s="63" t="s">
        <v>1728</v>
      </c>
      <c r="D692" s="69" t="s">
        <v>548</v>
      </c>
      <c r="E692" s="68" t="s">
        <v>79</v>
      </c>
      <c r="F692" s="15" t="str">
        <f>IF($C692="","",IF($E692="","-",IFERROR(INDEX(SETUP!$B$55:$B$64,MATCH($E692,SETUP!$A$55:$A$64,0)),"Other")))</f>
        <v>Control</v>
      </c>
      <c r="G692" s="70">
        <v>61883</v>
      </c>
      <c r="H692" s="15" t="str">
        <f>IF($C692="","",IF($G692="","-",INDEX(SETUP!$B$26:$B$32,MATCH($G692,SETUP!$A$26:$A$32,1))))</f>
        <v>61,000 - 61,999</v>
      </c>
      <c r="I692" s="70">
        <v>2234</v>
      </c>
      <c r="J692" s="15" t="str">
        <f>IF($C692="","",IF($I692="","-",INDEX(SETUP!$B$16:$B$22,MATCH($I692,SETUP!$A$16:$A$22,1))))</f>
        <v>DEVELOPING</v>
      </c>
      <c r="K692" s="15" t="str">
        <f>IF($C692="","",IF($I692="","-",TEXT(INT($I692/1000)*1000,"#,##0")&amp;" - "&amp;TEXT(INT($I692/1000)*1000+999,"#,##0")))</f>
        <v>2,000 - 2,999</v>
      </c>
      <c r="L692" s="71">
        <v>4.7</v>
      </c>
      <c r="M692" s="15" t="str">
        <f>IF($C692="","",IF($L692="","-",INDEX(SETUP!$B$36:$B$42,MATCH($L692,SETUP!$A$36:$A$42,1))))</f>
        <v>4k - 5k</v>
      </c>
      <c r="N692" s="17">
        <f>IF($C692="","",IF(OR($G692="",$I692=""),"",ROUND(100*(SETUP!$B$4*MIN(1,$I692/SETUP!$B$9)+SETUP!$B$5*MAX(0,MIN(1,($G692-SETUP!$B$10)/(SETUP!$B$11-SETUP!$B$10)))+SETUP!$B$6*MIN(1,IF($L692="",0,$L692)/SETUP!$B$12)),1)))</f>
        <v>35.700000000000003</v>
      </c>
      <c r="O692" s="15" t="str">
        <f>IF($C692="","",IF($N692="","-",INDEX(SETUP!$B$46:$B$51,MATCH($N692,SETUP!$A$46:$A$51,1))))</f>
        <v>B</v>
      </c>
      <c r="P692" s="15">
        <f>IF($C692="","",IF($I692="","",RANK($I692,$I$4:$I$1463)+COUNTIF($I$4:$I692,$I692)-1))</f>
        <v>1058</v>
      </c>
      <c r="Q692" s="15">
        <f>IF($C692="","",COUNTIFS($B$4:$B$1463,$B692,$X$4:$X$1463,"&gt;"&amp;$X692)+COUNTIFS($B$4:$B692,$B692,$X$4:$X692,"="&amp;$X692))</f>
        <v>74</v>
      </c>
      <c r="R692" s="72">
        <f>IF($C692="","",IF($I692="","",ROUND(COUNTIF($I$4:$I$1463,"&lt;"&amp;$I692)/COUNT($I$4:$I$1463),3)))</f>
        <v>0.20200000000000001</v>
      </c>
      <c r="S692" s="15" t="str">
        <f>IF($C692="","",IF($G692="","Name only",IF(OR($I692="",$L692=""),"Partial","Complete")))</f>
        <v>Complete</v>
      </c>
      <c r="T692" s="41" t="str">
        <f>IF($C692="","",TRIM(IF(COUNTIF($C$4:$C$1463,$C692)&gt;1,"Dup name; ","")&amp;IF(AND($G692&lt;&gt;"",$G692&lt;55000),"Low CR - verify; ","")&amp;IF(AND($L692&lt;&gt;"",$L692&gt;15),"Secondary - verify; ","")&amp;IF($E692="","No class; ","")))</f>
        <v/>
      </c>
      <c r="U692" s="68"/>
      <c r="V692" s="68"/>
      <c r="W692" s="68"/>
      <c r="X692" s="73">
        <f t="shared" si="52"/>
        <v>2234</v>
      </c>
      <c r="Y692" s="41" t="str">
        <f t="shared" si="53"/>
        <v>INVICTUS|74</v>
      </c>
      <c r="Z692" s="15">
        <f>IF($C692="","",IF($G692="","",RANK($G692,$G$4:$G$1463)+COUNTIF($G$4:$G692,$G692)-1))</f>
        <v>879</v>
      </c>
      <c r="AA692" s="15">
        <f>IF($C692="","",IF($N692="","",RANK($N692,$N$4:$N$1463)+COUNTIF($N$4:$N692,$N692)-1))</f>
        <v>982</v>
      </c>
      <c r="AB692" s="41" t="str">
        <f>IF($C692="","",IF($E692="","",$E692&amp;"#"&amp;(COUNTIFS($E$4:$E$1463,$E692,$X$4:$X$1463,"&gt;"&amp;$X692)+COUNTIFS($E$4:$E692,$E692,$X$4:$X692,"="&amp;$X692))))</f>
        <v>WARLOCK#265</v>
      </c>
      <c r="AC692" s="41" t="str">
        <f>IF($C692="","",$B692&amp;"@"&amp;(COUNTIFS($B$4:$B$1463,$B692,$C$4:$C$1463,"&lt;"&amp;$C692)+COUNTIFS($B$4:$B692,$B692,$C$4:$C692,$C692)))</f>
        <v>INVICTUS@50</v>
      </c>
      <c r="AD692" s="41">
        <f t="shared" si="54"/>
        <v>689</v>
      </c>
      <c r="AE692" s="41" t="s">
        <v>1729</v>
      </c>
      <c r="AF692" s="73">
        <f t="shared" si="55"/>
        <v>61883</v>
      </c>
      <c r="AG692" s="74">
        <f t="shared" si="56"/>
        <v>4.7</v>
      </c>
      <c r="AH692" s="41" t="str">
        <f>IF($C692="","",$B692&amp;"|"&amp;(COUNTIFS($B$4:$B$1463,$B692,$AF$4:$AF$1463,"&gt;"&amp;$AF692)+COUNTIFS($B$4:$B692,$B692,$AF$4:$AF692,"="&amp;$AF692)))</f>
        <v>INVICTUS|59</v>
      </c>
      <c r="AI692" s="41" t="str">
        <f>IF($C692="","",$B692&amp;"|"&amp;(COUNTIFS($B$4:$B$1463,$B692,$AG$4:$AG$1463,"&gt;"&amp;$AG692)+COUNTIFS($B$4:$B692,$B692,$AG$4:$AG692,"="&amp;$AG692)))</f>
        <v>INVICTUS|41</v>
      </c>
    </row>
    <row r="693" spans="1:35" hidden="1">
      <c r="A693" s="69" t="s">
        <v>109</v>
      </c>
      <c r="B693" s="69" t="s">
        <v>112</v>
      </c>
      <c r="C693" s="63" t="s">
        <v>1730</v>
      </c>
      <c r="D693" s="69" t="s">
        <v>567</v>
      </c>
      <c r="E693" s="68" t="s">
        <v>72</v>
      </c>
      <c r="F693" s="19" t="str">
        <f>IF($C693="","",IF($E693="","-",IFERROR(INDEX(SETUP!$B$55:$B$64,MATCH($E693,SETUP!$A$55:$A$64,0)),"Other")))</f>
        <v>Frontline</v>
      </c>
      <c r="G693" s="70">
        <v>62717</v>
      </c>
      <c r="H693" s="19" t="str">
        <f>IF($C693="","",IF($G693="","-",INDEX(SETUP!$B$26:$B$32,MATCH($G693,SETUP!$A$26:$A$32,1))))</f>
        <v>62,000 - 62,999</v>
      </c>
      <c r="I693" s="70">
        <v>3347</v>
      </c>
      <c r="J693" s="19" t="str">
        <f>IF($C693="","",IF($I693="","-",INDEX(SETUP!$B$16:$B$22,MATCH($I693,SETUP!$A$16:$A$22,1))))</f>
        <v>DEVELOPING</v>
      </c>
      <c r="K693" s="19" t="str">
        <f>IF($C693="","",IF($I693="","-",TEXT(INT($I693/1000)*1000,"#,##0")&amp;" - "&amp;TEXT(INT($I693/1000)*1000+999,"#,##0")))</f>
        <v>3,000 - 3,999</v>
      </c>
      <c r="L693" s="71">
        <v>4.55</v>
      </c>
      <c r="M693" s="19" t="str">
        <f>IF($C693="","",IF($L693="","-",INDEX(SETUP!$B$36:$B$42,MATCH($L693,SETUP!$A$36:$A$42,1))))</f>
        <v>4k - 5k</v>
      </c>
      <c r="N693" s="21">
        <f>IF($C693="","",IF(OR($G693="",$I693=""),"",ROUND(100*(SETUP!$B$4*MIN(1,$I693/SETUP!$B$9)+SETUP!$B$5*MAX(0,MIN(1,($G693-SETUP!$B$10)/(SETUP!$B$11-SETUP!$B$10)))+SETUP!$B$6*MIN(1,IF($L693="",0,$L693)/SETUP!$B$12)),1)))</f>
        <v>42.5</v>
      </c>
      <c r="O693" s="19" t="str">
        <f>IF($C693="","",IF($N693="","-",INDEX(SETUP!$B$46:$B$51,MATCH($N693,SETUP!$A$46:$A$51,1))))</f>
        <v>B</v>
      </c>
      <c r="P693" s="19">
        <f>IF($C693="","",IF($I693="","",RANK($I693,$I$4:$I$1463)+COUNTIF($I$4:$I693,$I693)-1))</f>
        <v>772</v>
      </c>
      <c r="Q693" s="19">
        <f>IF($C693="","",COUNTIFS($B$4:$B$1463,$B693,$X$4:$X$1463,"&gt;"&amp;$X693)+COUNTIFS($B$4:$B693,$B693,$X$4:$X693,"="&amp;$X693))</f>
        <v>57</v>
      </c>
      <c r="R693" s="75">
        <f>IF($C693="","",IF($I693="","",ROUND(COUNTIF($I$4:$I$1463,"&lt;"&amp;$I693)/COUNT($I$4:$I$1463),3)))</f>
        <v>0.41699999999999998</v>
      </c>
      <c r="S693" s="19" t="str">
        <f>IF($C693="","",IF($G693="","Name only",IF(OR($I693="",$L693=""),"Partial","Complete")))</f>
        <v>Complete</v>
      </c>
      <c r="T693" s="1" t="str">
        <f>IF($C693="","",TRIM(IF(COUNTIF($C$4:$C$1463,$C693)&gt;1,"Dup name; ","")&amp;IF(AND($G693&lt;&gt;"",$G693&lt;55000),"Low CR - verify; ","")&amp;IF(AND($L693&lt;&gt;"",$L693&gt;15),"Secondary - verify; ","")&amp;IF($E693="","No class; ","")))</f>
        <v/>
      </c>
      <c r="U693" s="68"/>
      <c r="V693" s="68"/>
      <c r="W693" s="68"/>
      <c r="X693" s="76">
        <f t="shared" si="52"/>
        <v>3347</v>
      </c>
      <c r="Y693" s="1" t="str">
        <f t="shared" si="53"/>
        <v>ACHERON|57</v>
      </c>
      <c r="Z693" s="19">
        <f>IF($C693="","",IF($G693="","",RANK($G693,$G$4:$G$1463)+COUNTIF($G$4:$G693,$G693)-1))</f>
        <v>560</v>
      </c>
      <c r="AA693" s="19">
        <f>IF($C693="","",IF($N693="","",RANK($N693,$N$4:$N$1463)+COUNTIF($N$4:$N693,$N693)-1))</f>
        <v>726</v>
      </c>
      <c r="AB693" s="1" t="str">
        <f>IF($C693="","",IF($E693="","",$E693&amp;"#"&amp;(COUNTIFS($E$4:$E$1463,$E693,$X$4:$X$1463,"&gt;"&amp;$X693)+COUNTIFS($E$4:$E693,$E693,$X$4:$X693,"="&amp;$X693))))</f>
        <v>BLOOD KNIGHT#53</v>
      </c>
      <c r="AC693" s="1" t="str">
        <f>IF($C693="","",$B693&amp;"@"&amp;(COUNTIFS($B$4:$B$1463,$B693,$C$4:$C$1463,"&lt;"&amp;$C693)+COUNTIFS($B$4:$B693,$B693,$C$4:$C693,$C693)))</f>
        <v>ACHERON@42</v>
      </c>
      <c r="AD693" s="1">
        <f t="shared" si="54"/>
        <v>690</v>
      </c>
      <c r="AE693" s="1" t="s">
        <v>1731</v>
      </c>
      <c r="AF693" s="76">
        <f t="shared" si="55"/>
        <v>62717</v>
      </c>
      <c r="AG693" s="77">
        <f t="shared" si="56"/>
        <v>4.55</v>
      </c>
      <c r="AH693" s="1" t="str">
        <f>IF($C693="","",$B693&amp;"|"&amp;(COUNTIFS($B$4:$B$1463,$B693,$AF$4:$AF$1463,"&gt;"&amp;$AF693)+COUNTIFS($B$4:$B693,$B693,$AF$4:$AF693,"="&amp;$AF693)))</f>
        <v>ACHERON|43</v>
      </c>
      <c r="AI693" s="1" t="str">
        <f>IF($C693="","",$B693&amp;"|"&amp;(COUNTIFS($B$4:$B$1463,$B693,$AG$4:$AG$1463,"&gt;"&amp;$AG693)+COUNTIFS($B$4:$B693,$B693,$AG$4:$AG693,"="&amp;$AG693)))</f>
        <v>ACHERON|61</v>
      </c>
    </row>
    <row r="694" spans="1:35" hidden="1">
      <c r="A694" s="69" t="s">
        <v>106</v>
      </c>
      <c r="B694" s="69" t="s">
        <v>105</v>
      </c>
      <c r="C694" s="63" t="s">
        <v>1732</v>
      </c>
      <c r="D694" s="69" t="s">
        <v>691</v>
      </c>
      <c r="E694" s="68" t="s">
        <v>74</v>
      </c>
      <c r="F694" s="15" t="str">
        <f>IF($C694="","",IF($E694="","-",IFERROR(INDEX(SETUP!$B$55:$B$64,MATCH($E694,SETUP!$A$55:$A$64,0)),"Other")))</f>
        <v>Ranged DPS</v>
      </c>
      <c r="G694" s="70">
        <v>62120</v>
      </c>
      <c r="H694" s="15" t="str">
        <f>IF($C694="","",IF($G694="","-",INDEX(SETUP!$B$26:$B$32,MATCH($G694,SETUP!$A$26:$A$32,1))))</f>
        <v>62,000 - 62,999</v>
      </c>
      <c r="I694" s="70">
        <v>5933</v>
      </c>
      <c r="J694" s="15" t="str">
        <f>IF($C694="","",IF($I694="","-",INDEX(SETUP!$B$16:$B$22,MATCH($I694,SETUP!$A$16:$A$22,1))))</f>
        <v>CORE</v>
      </c>
      <c r="K694" s="15" t="str">
        <f>IF($C694="","",IF($I694="","-",TEXT(INT($I694/1000)*1000,"#,##0")&amp;" - "&amp;TEXT(INT($I694/1000)*1000+999,"#,##0")))</f>
        <v>5,000 - 5,999</v>
      </c>
      <c r="L694" s="71">
        <v>6.4</v>
      </c>
      <c r="M694" s="15" t="str">
        <f>IF($C694="","",IF($L694="","-",INDEX(SETUP!$B$36:$B$42,MATCH($L694,SETUP!$A$36:$A$42,1))))</f>
        <v>6k - 8k</v>
      </c>
      <c r="N694" s="17">
        <f>IF($C694="","",IF(OR($G694="",$I694=""),"",ROUND(100*(SETUP!$B$4*MIN(1,$I694/SETUP!$B$9)+SETUP!$B$5*MAX(0,MIN(1,($G694-SETUP!$B$10)/(SETUP!$B$11-SETUP!$B$10)))+SETUP!$B$6*MIN(1,IF($L694="",0,$L694)/SETUP!$B$12)),1)))</f>
        <v>55.3</v>
      </c>
      <c r="O694" s="15" t="str">
        <f>IF($C694="","",IF($N694="","-",INDEX(SETUP!$B$46:$B$51,MATCH($N694,SETUP!$A$46:$A$51,1))))</f>
        <v>A</v>
      </c>
      <c r="P694" s="15">
        <f>IF($C694="","",IF($I694="","",RANK($I694,$I$4:$I$1463)+COUNTIF($I$4:$I694,$I694)-1))</f>
        <v>293</v>
      </c>
      <c r="Q694" s="15">
        <f>IF($C694="","",COUNTIFS($B$4:$B$1463,$B694,$X$4:$X$1463,"&gt;"&amp;$X694)+COUNTIFS($B$4:$B694,$B694,$X$4:$X694,"="&amp;$X694))</f>
        <v>31</v>
      </c>
      <c r="R694" s="72">
        <f>IF($C694="","",IF($I694="","",ROUND(COUNTIF($I$4:$I$1463,"&lt;"&amp;$I694)/COUNT($I$4:$I$1463),3)))</f>
        <v>0.77900000000000003</v>
      </c>
      <c r="S694" s="15" t="str">
        <f>IF($C694="","",IF($G694="","Name only",IF(OR($I694="",$L694=""),"Partial","Complete")))</f>
        <v>Complete</v>
      </c>
      <c r="T694" s="41" t="str">
        <f>IF($C694="","",TRIM(IF(COUNTIF($C$4:$C$1463,$C694)&gt;1,"Dup name; ","")&amp;IF(AND($G694&lt;&gt;"",$G694&lt;55000),"Low CR - verify; ","")&amp;IF(AND($L694&lt;&gt;"",$L694&gt;15),"Secondary - verify; ","")&amp;IF($E694="","No class; ","")))</f>
        <v/>
      </c>
      <c r="U694" s="68"/>
      <c r="V694" s="68"/>
      <c r="W694" s="68"/>
      <c r="X694" s="73">
        <f t="shared" si="52"/>
        <v>5933</v>
      </c>
      <c r="Y694" s="41" t="str">
        <f t="shared" si="53"/>
        <v>LEGENDS|31</v>
      </c>
      <c r="Z694" s="15">
        <f>IF($C694="","",IF($G694="","",RANK($G694,$G$4:$G$1463)+COUNTIF($G$4:$G694,$G694)-1))</f>
        <v>791</v>
      </c>
      <c r="AA694" s="15">
        <f>IF($C694="","",IF($N694="","",RANK($N694,$N$4:$N$1463)+COUNTIF($N$4:$N694,$N694)-1))</f>
        <v>311</v>
      </c>
      <c r="AB694" s="41" t="str">
        <f>IF($C694="","",IF($E694="","",$E694&amp;"#"&amp;(COUNTIFS($E$4:$E$1463,$E694,$X$4:$X$1463,"&gt;"&amp;$X694)+COUNTIFS($E$4:$E694,$E694,$X$4:$X694,"="&amp;$X694))))</f>
        <v>DEMON HUNTER#48</v>
      </c>
      <c r="AC694" s="41" t="str">
        <f>IF($C694="","",$B694&amp;"@"&amp;(COUNTIFS($B$4:$B$1463,$B694,$C$4:$C$1463,"&lt;"&amp;$C694)+COUNTIFS($B$4:$B694,$B694,$C$4:$C694,$C694)))</f>
        <v>LEGENDS@63</v>
      </c>
      <c r="AD694" s="41">
        <f t="shared" si="54"/>
        <v>691</v>
      </c>
      <c r="AE694" s="41" t="s">
        <v>1733</v>
      </c>
      <c r="AF694" s="73">
        <f t="shared" si="55"/>
        <v>62120</v>
      </c>
      <c r="AG694" s="74">
        <f t="shared" si="56"/>
        <v>6.4</v>
      </c>
      <c r="AH694" s="41" t="str">
        <f>IF($C694="","",$B694&amp;"|"&amp;(COUNTIFS($B$4:$B$1463,$B694,$AF$4:$AF$1463,"&gt;"&amp;$AF694)+COUNTIFS($B$4:$B694,$B694,$AF$4:$AF694,"="&amp;$AF694)))</f>
        <v>LEGENDS|78</v>
      </c>
      <c r="AI694" s="41" t="str">
        <f>IF($C694="","",$B694&amp;"|"&amp;(COUNTIFS($B$4:$B$1463,$B694,$AG$4:$AG$1463,"&gt;"&amp;$AG694)+COUNTIFS($B$4:$B694,$B694,$AG$4:$AG694,"="&amp;$AG694)))</f>
        <v>LEGENDS|12</v>
      </c>
    </row>
    <row r="695" spans="1:35" hidden="1">
      <c r="A695" s="69" t="s">
        <v>109</v>
      </c>
      <c r="B695" s="69" t="s">
        <v>115</v>
      </c>
      <c r="C695" s="63" t="s">
        <v>1734</v>
      </c>
      <c r="D695" s="69"/>
      <c r="E695" s="68" t="s">
        <v>78</v>
      </c>
      <c r="F695" s="19" t="str">
        <f>IF($C695="","",IF($E695="","-",IFERROR(INDEX(SETUP!$B$55:$B$64,MATCH($E695,SETUP!$A$55:$A$64,0)),"Other")))</f>
        <v>Melee DPS</v>
      </c>
      <c r="G695" s="70">
        <v>59106</v>
      </c>
      <c r="H695" s="19" t="str">
        <f>IF($C695="","",IF($G695="","-",INDEX(SETUP!$B$26:$B$32,MATCH($G695,SETUP!$A$26:$A$32,1))))</f>
        <v>58,000 - 59,999</v>
      </c>
      <c r="I695" s="70">
        <v>1533</v>
      </c>
      <c r="J695" s="19" t="str">
        <f>IF($C695="","",IF($I695="","-",INDEX(SETUP!$B$16:$B$22,MATCH($I695,SETUP!$A$16:$A$22,1))))</f>
        <v>ROOKIE</v>
      </c>
      <c r="K695" s="19" t="str">
        <f>IF($C695="","",IF($I695="","-",TEXT(INT($I695/1000)*1000,"#,##0")&amp;" - "&amp;TEXT(INT($I695/1000)*1000+999,"#,##0")))</f>
        <v>1,000 - 1,999</v>
      </c>
      <c r="L695" s="71">
        <v>2.9</v>
      </c>
      <c r="M695" s="19" t="str">
        <f>IF($C695="","",IF($L695="","-",INDEX(SETUP!$B$36:$B$42,MATCH($L695,SETUP!$A$36:$A$42,1))))</f>
        <v>Under 3k</v>
      </c>
      <c r="N695" s="21">
        <f>IF($C695="","",IF(OR($G695="",$I695=""),"",ROUND(100*(SETUP!$B$4*MIN(1,$I695/SETUP!$B$9)+SETUP!$B$5*MAX(0,MIN(1,($G695-SETUP!$B$10)/(SETUP!$B$11-SETUP!$B$10)))+SETUP!$B$6*MIN(1,IF($L695="",0,$L695)/SETUP!$B$12)),1)))</f>
        <v>22.3</v>
      </c>
      <c r="O695" s="19" t="str">
        <f>IF($C695="","",IF($N695="","-",INDEX(SETUP!$B$46:$B$51,MATCH($N695,SETUP!$A$46:$A$51,1))))</f>
        <v>C</v>
      </c>
      <c r="P695" s="19">
        <f>IF($C695="","",IF($I695="","",RANK($I695,$I$4:$I$1463)+COUNTIF($I$4:$I695,$I695)-1))</f>
        <v>1182</v>
      </c>
      <c r="Q695" s="19">
        <f>IF($C695="","",COUNTIFS($B$4:$B$1463,$B695,$X$4:$X$1463,"&gt;"&amp;$X695)+COUNTIFS($B$4:$B695,$B695,$X$4:$X695,"="&amp;$X695))</f>
        <v>51</v>
      </c>
      <c r="R695" s="75">
        <f>IF($C695="","",IF($I695="","",ROUND(COUNTIF($I$4:$I$1463,"&lt;"&amp;$I695)/COUNT($I$4:$I$1463),3)))</f>
        <v>0.108</v>
      </c>
      <c r="S695" s="19" t="str">
        <f>IF($C695="","",IF($G695="","Name only",IF(OR($I695="",$L695=""),"Partial","Complete")))</f>
        <v>Complete</v>
      </c>
      <c r="T695" s="1" t="str">
        <f>IF($C695="","",TRIM(IF(COUNTIF($C$4:$C$1463,$C695)&gt;1,"Dup name; ","")&amp;IF(AND($G695&lt;&gt;"",$G695&lt;55000),"Low CR - verify; ","")&amp;IF(AND($L695&lt;&gt;"",$L695&gt;15),"Secondary - verify; ","")&amp;IF($E695="","No class; ","")))</f>
        <v/>
      </c>
      <c r="U695" s="68"/>
      <c r="V695" s="68"/>
      <c r="W695" s="68"/>
      <c r="X695" s="76">
        <f t="shared" si="52"/>
        <v>1533</v>
      </c>
      <c r="Y695" s="1" t="str">
        <f t="shared" si="53"/>
        <v>SUB ROSA|51</v>
      </c>
      <c r="Z695" s="19">
        <f>IF($C695="","",IF($G695="","",RANK($G695,$G$4:$G$1463)+COUNTIF($G$4:$G695,$G695)-1))</f>
        <v>1273</v>
      </c>
      <c r="AA695" s="19">
        <f>IF($C695="","",IF($N695="","",RANK($N695,$N$4:$N$1463)+COUNTIF($N$4:$N695,$N695)-1))</f>
        <v>1277</v>
      </c>
      <c r="AB695" s="1" t="str">
        <f>IF($C695="","",IF($E695="","",$E695&amp;"#"&amp;(COUNTIFS($E$4:$E$1463,$E695,$X$4:$X$1463,"&gt;"&amp;$X695)+COUNTIFS($E$4:$E695,$E695,$X$4:$X695,"="&amp;$X695))))</f>
        <v>TEMPEST#55</v>
      </c>
      <c r="AC695" s="1" t="str">
        <f>IF($C695="","",$B695&amp;"@"&amp;(COUNTIFS($B$4:$B$1463,$B695,$C$4:$C$1463,"&lt;"&amp;$C695)+COUNTIFS($B$4:$B695,$B695,$C$4:$C695,$C695)))</f>
        <v>SUB ROSA@45</v>
      </c>
      <c r="AD695" s="1">
        <f t="shared" si="54"/>
        <v>692</v>
      </c>
      <c r="AE695" s="1" t="s">
        <v>689</v>
      </c>
      <c r="AF695" s="76">
        <f t="shared" si="55"/>
        <v>59106</v>
      </c>
      <c r="AG695" s="77">
        <f t="shared" si="56"/>
        <v>2.9</v>
      </c>
      <c r="AH695" s="1" t="str">
        <f>IF($C695="","",$B695&amp;"|"&amp;(COUNTIFS($B$4:$B$1463,$B695,$AF$4:$AF$1463,"&gt;"&amp;$AF695)+COUNTIFS($B$4:$B695,$B695,$AF$4:$AF695,"="&amp;$AF695)))</f>
        <v>SUB ROSA|62</v>
      </c>
      <c r="AI695" s="1" t="str">
        <f>IF($C695="","",$B695&amp;"|"&amp;(COUNTIFS($B$4:$B$1463,$B695,$AG$4:$AG$1463,"&gt;"&amp;$AG695)+COUNTIFS($B$4:$B695,$B695,$AG$4:$AG695,"="&amp;$AG695)))</f>
        <v>SUB ROSA|58</v>
      </c>
    </row>
    <row r="696" spans="1:35" hidden="1">
      <c r="A696" s="69" t="s">
        <v>109</v>
      </c>
      <c r="B696" s="69" t="s">
        <v>112</v>
      </c>
      <c r="C696" s="63" t="s">
        <v>1735</v>
      </c>
      <c r="D696" s="69" t="s">
        <v>567</v>
      </c>
      <c r="E696" s="68" t="s">
        <v>79</v>
      </c>
      <c r="F696" s="15" t="str">
        <f>IF($C696="","",IF($E696="","-",IFERROR(INDEX(SETUP!$B$55:$B$64,MATCH($E696,SETUP!$A$55:$A$64,0)),"Other")))</f>
        <v>Control</v>
      </c>
      <c r="G696" s="70">
        <v>63741</v>
      </c>
      <c r="H696" s="15" t="str">
        <f>IF($C696="","",IF($G696="","-",INDEX(SETUP!$B$26:$B$32,MATCH($G696,SETUP!$A$26:$A$32,1))))</f>
        <v>63,000 - 63,999</v>
      </c>
      <c r="I696" s="70">
        <v>8372</v>
      </c>
      <c r="J696" s="15" t="str">
        <f>IF($C696="","",IF($I696="","-",INDEX(SETUP!$B$16:$B$22,MATCH($I696,SETUP!$A$16:$A$22,1))))</f>
        <v>ELITE</v>
      </c>
      <c r="K696" s="15" t="str">
        <f>IF($C696="","",IF($I696="","-",TEXT(INT($I696/1000)*1000,"#,##0")&amp;" - "&amp;TEXT(INT($I696/1000)*1000+999,"#,##0")))</f>
        <v>8,000 - 8,999</v>
      </c>
      <c r="L696" s="71">
        <v>7.8</v>
      </c>
      <c r="M696" s="15" t="str">
        <f>IF($C696="","",IF($L696="","-",INDEX(SETUP!$B$36:$B$42,MATCH($L696,SETUP!$A$36:$A$42,1))))</f>
        <v>6k - 8k</v>
      </c>
      <c r="N696" s="17">
        <f>IF($C696="","",IF(OR($G696="",$I696=""),"",ROUND(100*(SETUP!$B$4*MIN(1,$I696/SETUP!$B$9)+SETUP!$B$5*MAX(0,MIN(1,($G696-SETUP!$B$10)/(SETUP!$B$11-SETUP!$B$10)))+SETUP!$B$6*MIN(1,IF($L696="",0,$L696)/SETUP!$B$12)),1)))</f>
        <v>72.5</v>
      </c>
      <c r="O696" s="15" t="str">
        <f>IF($C696="","",IF($N696="","-",INDEX(SETUP!$B$46:$B$51,MATCH($N696,SETUP!$A$46:$A$51,1))))</f>
        <v>S</v>
      </c>
      <c r="P696" s="15">
        <f>IF($C696="","",IF($I696="","",RANK($I696,$I$4:$I$1463)+COUNTIF($I$4:$I696,$I696)-1))</f>
        <v>126</v>
      </c>
      <c r="Q696" s="15">
        <f>IF($C696="","",COUNTIFS($B$4:$B$1463,$B696,$X$4:$X$1463,"&gt;"&amp;$X696)+COUNTIFS($B$4:$B696,$B696,$X$4:$X696,"="&amp;$X696))</f>
        <v>5</v>
      </c>
      <c r="R696" s="72">
        <f>IF($C696="","",IF($I696="","",ROUND(COUNTIF($I$4:$I$1463,"&lt;"&amp;$I696)/COUNT($I$4:$I$1463),3)))</f>
        <v>0.90500000000000003</v>
      </c>
      <c r="S696" s="15" t="str">
        <f>IF($C696="","",IF($G696="","Name only",IF(OR($I696="",$L696=""),"Partial","Complete")))</f>
        <v>Complete</v>
      </c>
      <c r="T696" s="41" t="str">
        <f>IF($C696="","",TRIM(IF(COUNTIF($C$4:$C$1463,$C696)&gt;1,"Dup name; ","")&amp;IF(AND($G696&lt;&gt;"",$G696&lt;55000),"Low CR - verify; ","")&amp;IF(AND($L696&lt;&gt;"",$L696&gt;15),"Secondary - verify; ","")&amp;IF($E696="","No class; ","")))</f>
        <v/>
      </c>
      <c r="U696" s="68"/>
      <c r="V696" s="68"/>
      <c r="W696" s="68"/>
      <c r="X696" s="73">
        <f t="shared" si="52"/>
        <v>8372</v>
      </c>
      <c r="Y696" s="41" t="str">
        <f t="shared" si="53"/>
        <v>ACHERON|5</v>
      </c>
      <c r="Z696" s="15">
        <f>IF($C696="","",IF($G696="","",RANK($G696,$G$4:$G$1463)+COUNTIF($G$4:$G696,$G696)-1))</f>
        <v>127</v>
      </c>
      <c r="AA696" s="15">
        <f>IF($C696="","",IF($N696="","",RANK($N696,$N$4:$N$1463)+COUNTIF($N$4:$N696,$N696)-1))</f>
        <v>108</v>
      </c>
      <c r="AB696" s="41" t="str">
        <f>IF($C696="","",IF($E696="","",$E696&amp;"#"&amp;(COUNTIFS($E$4:$E$1463,$E696,$X$4:$X$1463,"&gt;"&amp;$X696)+COUNTIFS($E$4:$E696,$E696,$X$4:$X696,"="&amp;$X696))))</f>
        <v>WARLOCK#27</v>
      </c>
      <c r="AC696" s="41" t="str">
        <f>IF($C696="","",$B696&amp;"@"&amp;(COUNTIFS($B$4:$B$1463,$B696,$C$4:$C$1463,"&lt;"&amp;$C696)+COUNTIFS($B$4:$B696,$B696,$C$4:$C696,$C696)))</f>
        <v>ACHERON@43</v>
      </c>
      <c r="AD696" s="41">
        <f t="shared" si="54"/>
        <v>693</v>
      </c>
      <c r="AE696" s="41" t="s">
        <v>1736</v>
      </c>
      <c r="AF696" s="73">
        <f t="shared" si="55"/>
        <v>63741</v>
      </c>
      <c r="AG696" s="74">
        <f t="shared" si="56"/>
        <v>7.8</v>
      </c>
      <c r="AH696" s="41" t="str">
        <f>IF($C696="","",$B696&amp;"|"&amp;(COUNTIFS($B$4:$B$1463,$B696,$AF$4:$AF$1463,"&gt;"&amp;$AF696)+COUNTIFS($B$4:$B696,$B696,$AF$4:$AF696,"="&amp;$AF696)))</f>
        <v>ACHERON|5</v>
      </c>
      <c r="AI696" s="41" t="str">
        <f>IF($C696="","",$B696&amp;"|"&amp;(COUNTIFS($B$4:$B$1463,$B696,$AG$4:$AG$1463,"&gt;"&amp;$AG696)+COUNTIFS($B$4:$B696,$B696,$AG$4:$AG696,"="&amp;$AG696)))</f>
        <v>ACHERON|7</v>
      </c>
    </row>
    <row r="697" spans="1:35" hidden="1">
      <c r="A697" s="69" t="s">
        <v>109</v>
      </c>
      <c r="B697" s="69" t="s">
        <v>117</v>
      </c>
      <c r="C697" s="63" t="s">
        <v>1737</v>
      </c>
      <c r="D697" s="69"/>
      <c r="E697" s="68" t="s">
        <v>71</v>
      </c>
      <c r="F697" s="19" t="str">
        <f>IF($C697="","",IF($E697="","-",IFERROR(INDEX(SETUP!$B$55:$B$64,MATCH($E697,SETUP!$A$55:$A$64,0)),"Other")))</f>
        <v>Frontline</v>
      </c>
      <c r="G697" s="70">
        <v>62046</v>
      </c>
      <c r="H697" s="19" t="str">
        <f>IF($C697="","",IF($G697="","-",INDEX(SETUP!$B$26:$B$32,MATCH($G697,SETUP!$A$26:$A$32,1))))</f>
        <v>62,000 - 62,999</v>
      </c>
      <c r="I697" s="70">
        <v>2454</v>
      </c>
      <c r="J697" s="19" t="str">
        <f>IF($C697="","",IF($I697="","-",INDEX(SETUP!$B$16:$B$22,MATCH($I697,SETUP!$A$16:$A$22,1))))</f>
        <v>DEVELOPING</v>
      </c>
      <c r="K697" s="19" t="str">
        <f>IF($C697="","",IF($I697="","-",TEXT(INT($I697/1000)*1000,"#,##0")&amp;" - "&amp;TEXT(INT($I697/1000)*1000+999,"#,##0")))</f>
        <v>2,000 - 2,999</v>
      </c>
      <c r="L697" s="71">
        <v>3.5</v>
      </c>
      <c r="M697" s="19" t="str">
        <f>IF($C697="","",IF($L697="","-",INDEX(SETUP!$B$36:$B$42,MATCH($L697,SETUP!$A$36:$A$42,1))))</f>
        <v>3k - 4k</v>
      </c>
      <c r="N697" s="21">
        <f>IF($C697="","",IF(OR($G697="",$I697=""),"",ROUND(100*(SETUP!$B$4*MIN(1,$I697/SETUP!$B$9)+SETUP!$B$5*MAX(0,MIN(1,($G697-SETUP!$B$10)/(SETUP!$B$11-SETUP!$B$10)))+SETUP!$B$6*MIN(1,IF($L697="",0,$L697)/SETUP!$B$12)),1)))</f>
        <v>35.1</v>
      </c>
      <c r="O697" s="19" t="str">
        <f>IF($C697="","",IF($N697="","-",INDEX(SETUP!$B$46:$B$51,MATCH($N697,SETUP!$A$46:$A$51,1))))</f>
        <v>B</v>
      </c>
      <c r="P697" s="19">
        <f>IF($C697="","",IF($I697="","",RANK($I697,$I$4:$I$1463)+COUNTIF($I$4:$I697,$I697)-1))</f>
        <v>1018</v>
      </c>
      <c r="Q697" s="19">
        <f>IF($C697="","",COUNTIFS($B$4:$B$1463,$B697,$X$4:$X$1463,"&gt;"&amp;$X697)+COUNTIFS($B$4:$B697,$B697,$X$4:$X697,"="&amp;$X697))</f>
        <v>32</v>
      </c>
      <c r="R697" s="75">
        <f>IF($C697="","",IF($I697="","",ROUND(COUNTIF($I$4:$I$1463,"&lt;"&amp;$I697)/COUNT($I$4:$I$1463),3)))</f>
        <v>0.23100000000000001</v>
      </c>
      <c r="S697" s="19" t="str">
        <f>IF($C697="","",IF($G697="","Name only",IF(OR($I697="",$L697=""),"Partial","Complete")))</f>
        <v>Complete</v>
      </c>
      <c r="T697" s="1" t="str">
        <f>IF($C697="","",TRIM(IF(COUNTIF($C$4:$C$1463,$C697)&gt;1,"Dup name; ","")&amp;IF(AND($G697&lt;&gt;"",$G697&lt;55000),"Low CR - verify; ","")&amp;IF(AND($L697&lt;&gt;"",$L697&gt;15),"Secondary - verify; ","")&amp;IF($E697="","No class; ","")))</f>
        <v/>
      </c>
      <c r="U697" s="68"/>
      <c r="V697" s="68"/>
      <c r="W697" s="68"/>
      <c r="X697" s="76">
        <f t="shared" si="52"/>
        <v>2454</v>
      </c>
      <c r="Y697" s="1" t="str">
        <f t="shared" si="53"/>
        <v>VENDETTA|32</v>
      </c>
      <c r="Z697" s="19">
        <f>IF($C697="","",IF($G697="","",RANK($G697,$G$4:$G$1463)+COUNTIF($G$4:$G697,$G697)-1))</f>
        <v>818</v>
      </c>
      <c r="AA697" s="19">
        <f>IF($C697="","",IF($N697="","",RANK($N697,$N$4:$N$1463)+COUNTIF($N$4:$N697,$N697)-1))</f>
        <v>1006</v>
      </c>
      <c r="AB697" s="1" t="str">
        <f>IF($C697="","",IF($E697="","",$E697&amp;"#"&amp;(COUNTIFS($E$4:$E$1463,$E697,$X$4:$X$1463,"&gt;"&amp;$X697)+COUNTIFS($E$4:$E697,$E697,$X$4:$X697,"="&amp;$X697))))</f>
        <v>BARBARIAN#173</v>
      </c>
      <c r="AC697" s="1" t="str">
        <f>IF($C697="","",$B697&amp;"@"&amp;(COUNTIFS($B$4:$B$1463,$B697,$C$4:$C$1463,"&lt;"&amp;$C697)+COUNTIFS($B$4:$B697,$B697,$C$4:$C697,$C697)))</f>
        <v>VENDETTA@53</v>
      </c>
      <c r="AD697" s="1">
        <f t="shared" si="54"/>
        <v>694</v>
      </c>
      <c r="AE697" s="1" t="s">
        <v>568</v>
      </c>
      <c r="AF697" s="76">
        <f t="shared" si="55"/>
        <v>62046</v>
      </c>
      <c r="AG697" s="77">
        <f t="shared" si="56"/>
        <v>3.5</v>
      </c>
      <c r="AH697" s="1" t="str">
        <f>IF($C697="","",$B697&amp;"|"&amp;(COUNTIFS($B$4:$B$1463,$B697,$AF$4:$AF$1463,"&gt;"&amp;$AF697)+COUNTIFS($B$4:$B697,$B697,$AF$4:$AF697,"="&amp;$AF697)))</f>
        <v>VENDETTA|37</v>
      </c>
      <c r="AI697" s="1" t="str">
        <f>IF($C697="","",$B697&amp;"|"&amp;(COUNTIFS($B$4:$B$1463,$B697,$AG$4:$AG$1463,"&gt;"&amp;$AG697)+COUNTIFS($B$4:$B697,$B697,$AG$4:$AG697,"="&amp;$AG697)))</f>
        <v>VENDETTA|58</v>
      </c>
    </row>
    <row r="698" spans="1:35" hidden="1">
      <c r="A698" s="69" t="s">
        <v>109</v>
      </c>
      <c r="B698" s="69" t="s">
        <v>112</v>
      </c>
      <c r="C698" s="63" t="s">
        <v>1738</v>
      </c>
      <c r="D698" s="69" t="s">
        <v>567</v>
      </c>
      <c r="E698" s="68" t="s">
        <v>79</v>
      </c>
      <c r="F698" s="15" t="str">
        <f>IF($C698="","",IF($E698="","-",IFERROR(INDEX(SETUP!$B$55:$B$64,MATCH($E698,SETUP!$A$55:$A$64,0)),"Other")))</f>
        <v>Control</v>
      </c>
      <c r="G698" s="70">
        <v>62697</v>
      </c>
      <c r="H698" s="15" t="str">
        <f>IF($C698="","",IF($G698="","-",INDEX(SETUP!$B$26:$B$32,MATCH($G698,SETUP!$A$26:$A$32,1))))</f>
        <v>62,000 - 62,999</v>
      </c>
      <c r="I698" s="70">
        <v>4259</v>
      </c>
      <c r="J698" s="15" t="str">
        <f>IF($C698="","",IF($I698="","-",INDEX(SETUP!$B$16:$B$22,MATCH($I698,SETUP!$A$16:$A$22,1))))</f>
        <v>CORE</v>
      </c>
      <c r="K698" s="15" t="str">
        <f>IF($C698="","",IF($I698="","-",TEXT(INT($I698/1000)*1000,"#,##0")&amp;" - "&amp;TEXT(INT($I698/1000)*1000+999,"#,##0")))</f>
        <v>4,000 - 4,999</v>
      </c>
      <c r="L698" s="71">
        <v>5.8</v>
      </c>
      <c r="M698" s="15" t="str">
        <f>IF($C698="","",IF($L698="","-",INDEX(SETUP!$B$36:$B$42,MATCH($L698,SETUP!$A$36:$A$42,1))))</f>
        <v>5k - 6k</v>
      </c>
      <c r="N698" s="17">
        <f>IF($C698="","",IF(OR($G698="",$I698=""),"",ROUND(100*(SETUP!$B$4*MIN(1,$I698/SETUP!$B$9)+SETUP!$B$5*MAX(0,MIN(1,($G698-SETUP!$B$10)/(SETUP!$B$11-SETUP!$B$10)))+SETUP!$B$6*MIN(1,IF($L698="",0,$L698)/SETUP!$B$12)),1)))</f>
        <v>48.5</v>
      </c>
      <c r="O698" s="15" t="str">
        <f>IF($C698="","",IF($N698="","-",INDEX(SETUP!$B$46:$B$51,MATCH($N698,SETUP!$A$46:$A$51,1))))</f>
        <v>B</v>
      </c>
      <c r="P698" s="15">
        <f>IF($C698="","",IF($I698="","",RANK($I698,$I$4:$I$1463)+COUNTIF($I$4:$I698,$I698)-1))</f>
        <v>544</v>
      </c>
      <c r="Q698" s="15">
        <f>IF($C698="","",COUNTIFS($B$4:$B$1463,$B698,$X$4:$X$1463,"&gt;"&amp;$X698)+COUNTIFS($B$4:$B698,$B698,$X$4:$X698,"="&amp;$X698))</f>
        <v>40</v>
      </c>
      <c r="R698" s="72">
        <f>IF($C698="","",IF($I698="","",ROUND(COUNTIF($I$4:$I$1463,"&lt;"&amp;$I698)/COUNT($I$4:$I$1463),3)))</f>
        <v>0.58899999999999997</v>
      </c>
      <c r="S698" s="15" t="str">
        <f>IF($C698="","",IF($G698="","Name only",IF(OR($I698="",$L698=""),"Partial","Complete")))</f>
        <v>Complete</v>
      </c>
      <c r="T698" s="41" t="str">
        <f>IF($C698="","",TRIM(IF(COUNTIF($C$4:$C$1463,$C698)&gt;1,"Dup name; ","")&amp;IF(AND($G698&lt;&gt;"",$G698&lt;55000),"Low CR - verify; ","")&amp;IF(AND($L698&lt;&gt;"",$L698&gt;15),"Secondary - verify; ","")&amp;IF($E698="","No class; ","")))</f>
        <v/>
      </c>
      <c r="U698" s="68"/>
      <c r="V698" s="68"/>
      <c r="W698" s="68"/>
      <c r="X698" s="73">
        <f t="shared" si="52"/>
        <v>4259</v>
      </c>
      <c r="Y698" s="41" t="str">
        <f t="shared" si="53"/>
        <v>ACHERON|40</v>
      </c>
      <c r="Z698" s="15">
        <f>IF($C698="","",IF($G698="","",RANK($G698,$G$4:$G$1463)+COUNTIF($G$4:$G698,$G698)-1))</f>
        <v>564</v>
      </c>
      <c r="AA698" s="15">
        <f>IF($C698="","",IF($N698="","",RANK($N698,$N$4:$N$1463)+COUNTIF($N$4:$N698,$N698)-1))</f>
        <v>501</v>
      </c>
      <c r="AB698" s="41" t="str">
        <f>IF($C698="","",IF($E698="","",$E698&amp;"#"&amp;(COUNTIFS($E$4:$E$1463,$E698,$X$4:$X$1463,"&gt;"&amp;$X698)+COUNTIFS($E$4:$E698,$E698,$X$4:$X698,"="&amp;$X698))))</f>
        <v>WARLOCK#128</v>
      </c>
      <c r="AC698" s="41" t="str">
        <f>IF($C698="","",$B698&amp;"@"&amp;(COUNTIFS($B$4:$B$1463,$B698,$C$4:$C$1463,"&lt;"&amp;$C698)+COUNTIFS($B$4:$B698,$B698,$C$4:$C698,$C698)))</f>
        <v>ACHERON@44</v>
      </c>
      <c r="AD698" s="41">
        <f t="shared" si="54"/>
        <v>695</v>
      </c>
      <c r="AE698" s="41" t="s">
        <v>1739</v>
      </c>
      <c r="AF698" s="73">
        <f t="shared" si="55"/>
        <v>62697</v>
      </c>
      <c r="AG698" s="74">
        <f t="shared" si="56"/>
        <v>5.8</v>
      </c>
      <c r="AH698" s="41" t="str">
        <f>IF($C698="","",$B698&amp;"|"&amp;(COUNTIFS($B$4:$B$1463,$B698,$AF$4:$AF$1463,"&gt;"&amp;$AF698)+COUNTIFS($B$4:$B698,$B698,$AF$4:$AF698,"="&amp;$AF698)))</f>
        <v>ACHERON|44</v>
      </c>
      <c r="AI698" s="41" t="str">
        <f>IF($C698="","",$B698&amp;"|"&amp;(COUNTIFS($B$4:$B$1463,$B698,$AG$4:$AG$1463,"&gt;"&amp;$AG698)+COUNTIFS($B$4:$B698,$B698,$AG$4:$AG698,"="&amp;$AG698)))</f>
        <v>ACHERON|21</v>
      </c>
    </row>
    <row r="699" spans="1:35" hidden="1">
      <c r="A699" s="69" t="s">
        <v>109</v>
      </c>
      <c r="B699" s="69" t="s">
        <v>112</v>
      </c>
      <c r="C699" s="63" t="s">
        <v>1740</v>
      </c>
      <c r="D699" s="69"/>
      <c r="E699" s="68" t="s">
        <v>79</v>
      </c>
      <c r="F699" s="19" t="str">
        <f>IF($C699="","",IF($E699="","-",IFERROR(INDEX(SETUP!$B$55:$B$64,MATCH($E699,SETUP!$A$55:$A$64,0)),"Other")))</f>
        <v>Control</v>
      </c>
      <c r="G699" s="70">
        <v>63658</v>
      </c>
      <c r="H699" s="19" t="str">
        <f>IF($C699="","",IF($G699="","-",INDEX(SETUP!$B$26:$B$32,MATCH($G699,SETUP!$A$26:$A$32,1))))</f>
        <v>63,000 - 63,999</v>
      </c>
      <c r="I699" s="70">
        <v>5345</v>
      </c>
      <c r="J699" s="19" t="str">
        <f>IF($C699="","",IF($I699="","-",INDEX(SETUP!$B$16:$B$22,MATCH($I699,SETUP!$A$16:$A$22,1))))</f>
        <v>CORE</v>
      </c>
      <c r="K699" s="19" t="str">
        <f>IF($C699="","",IF($I699="","-",TEXT(INT($I699/1000)*1000,"#,##0")&amp;" - "&amp;TEXT(INT($I699/1000)*1000+999,"#,##0")))</f>
        <v>5,000 - 5,999</v>
      </c>
      <c r="L699" s="71">
        <v>4.5999999999999996</v>
      </c>
      <c r="M699" s="19" t="str">
        <f>IF($C699="","",IF($L699="","-",INDEX(SETUP!$B$36:$B$42,MATCH($L699,SETUP!$A$36:$A$42,1))))</f>
        <v>4k - 5k</v>
      </c>
      <c r="N699" s="21">
        <f>IF($C699="","",IF(OR($G699="",$I699=""),"",ROUND(100*(SETUP!$B$4*MIN(1,$I699/SETUP!$B$9)+SETUP!$B$5*MAX(0,MIN(1,($G699-SETUP!$B$10)/(SETUP!$B$11-SETUP!$B$10)))+SETUP!$B$6*MIN(1,IF($L699="",0,$L699)/SETUP!$B$12)),1)))</f>
        <v>53.8</v>
      </c>
      <c r="O699" s="19" t="str">
        <f>IF($C699="","",IF($N699="","-",INDEX(SETUP!$B$46:$B$51,MATCH($N699,SETUP!$A$46:$A$51,1))))</f>
        <v>A</v>
      </c>
      <c r="P699" s="19">
        <f>IF($C699="","",IF($I699="","",RANK($I699,$I$4:$I$1463)+COUNTIF($I$4:$I699,$I699)-1))</f>
        <v>355</v>
      </c>
      <c r="Q699" s="19">
        <f>IF($C699="","",COUNTIFS($B$4:$B$1463,$B699,$X$4:$X$1463,"&gt;"&amp;$X699)+COUNTIFS($B$4:$B699,$B699,$X$4:$X699,"="&amp;$X699))</f>
        <v>21</v>
      </c>
      <c r="R699" s="75">
        <f>IF($C699="","",IF($I699="","",ROUND(COUNTIF($I$4:$I$1463,"&lt;"&amp;$I699)/COUNT($I$4:$I$1463),3)))</f>
        <v>0.73199999999999998</v>
      </c>
      <c r="S699" s="19" t="str">
        <f>IF($C699="","",IF($G699="","Name only",IF(OR($I699="",$L699=""),"Partial","Complete")))</f>
        <v>Complete</v>
      </c>
      <c r="T699" s="1" t="str">
        <f>IF($C699="","",TRIM(IF(COUNTIF($C$4:$C$1463,$C699)&gt;1,"Dup name; ","")&amp;IF(AND($G699&lt;&gt;"",$G699&lt;55000),"Low CR - verify; ","")&amp;IF(AND($L699&lt;&gt;"",$L699&gt;15),"Secondary - verify; ","")&amp;IF($E699="","No class; ","")))</f>
        <v/>
      </c>
      <c r="U699" s="68"/>
      <c r="V699" s="68"/>
      <c r="W699" s="68"/>
      <c r="X699" s="76">
        <f t="shared" si="52"/>
        <v>5345</v>
      </c>
      <c r="Y699" s="1" t="str">
        <f t="shared" si="53"/>
        <v>ACHERON|21</v>
      </c>
      <c r="Z699" s="19">
        <f>IF($C699="","",IF($G699="","",RANK($G699,$G$4:$G$1463)+COUNTIF($G$4:$G699,$G699)-1))</f>
        <v>145</v>
      </c>
      <c r="AA699" s="19">
        <f>IF($C699="","",IF($N699="","",RANK($N699,$N$4:$N$1463)+COUNTIF($N$4:$N699,$N699)-1))</f>
        <v>340</v>
      </c>
      <c r="AB699" s="1" t="str">
        <f>IF($C699="","",IF($E699="","",$E699&amp;"#"&amp;(COUNTIFS($E$4:$E$1463,$E699,$X$4:$X$1463,"&gt;"&amp;$X699)+COUNTIFS($E$4:$E699,$E699,$X$4:$X699,"="&amp;$X699))))</f>
        <v>WARLOCK#82</v>
      </c>
      <c r="AC699" s="1" t="str">
        <f>IF($C699="","",$B699&amp;"@"&amp;(COUNTIFS($B$4:$B$1463,$B699,$C$4:$C$1463,"&lt;"&amp;$C699)+COUNTIFS($B$4:$B699,$B699,$C$4:$C699,$C699)))</f>
        <v>ACHERON@45</v>
      </c>
      <c r="AD699" s="1">
        <f t="shared" si="54"/>
        <v>696</v>
      </c>
      <c r="AE699" s="1" t="s">
        <v>1741</v>
      </c>
      <c r="AF699" s="76">
        <f t="shared" si="55"/>
        <v>63658</v>
      </c>
      <c r="AG699" s="77">
        <f t="shared" si="56"/>
        <v>4.5999999999999996</v>
      </c>
      <c r="AH699" s="1" t="str">
        <f>IF($C699="","",$B699&amp;"|"&amp;(COUNTIFS($B$4:$B$1463,$B699,$AF$4:$AF$1463,"&gt;"&amp;$AF699)+COUNTIFS($B$4:$B699,$B699,$AF$4:$AF699,"="&amp;$AF699)))</f>
        <v>ACHERON|7</v>
      </c>
      <c r="AI699" s="1" t="str">
        <f>IF($C699="","",$B699&amp;"|"&amp;(COUNTIFS($B$4:$B$1463,$B699,$AG$4:$AG$1463,"&gt;"&amp;$AG699)+COUNTIFS($B$4:$B699,$B699,$AG$4:$AG699,"="&amp;$AG699)))</f>
        <v>ACHERON|58</v>
      </c>
    </row>
    <row r="700" spans="1:35" hidden="1">
      <c r="A700" s="69" t="s">
        <v>109</v>
      </c>
      <c r="B700" s="69" t="s">
        <v>116</v>
      </c>
      <c r="C700" s="63" t="s">
        <v>1742</v>
      </c>
      <c r="D700" s="69" t="s">
        <v>530</v>
      </c>
      <c r="E700" s="68" t="s">
        <v>79</v>
      </c>
      <c r="F700" s="15" t="str">
        <f>IF($C700="","",IF($E700="","-",IFERROR(INDEX(SETUP!$B$55:$B$64,MATCH($E700,SETUP!$A$55:$A$64,0)),"Other")))</f>
        <v>Control</v>
      </c>
      <c r="G700" s="70">
        <v>61945</v>
      </c>
      <c r="H700" s="15" t="str">
        <f>IF($C700="","",IF($G700="","-",INDEX(SETUP!$B$26:$B$32,MATCH($G700,SETUP!$A$26:$A$32,1))))</f>
        <v>61,000 - 61,999</v>
      </c>
      <c r="I700" s="70">
        <v>2270</v>
      </c>
      <c r="J700" s="15" t="str">
        <f>IF($C700="","",IF($I700="","-",INDEX(SETUP!$B$16:$B$22,MATCH($I700,SETUP!$A$16:$A$22,1))))</f>
        <v>DEVELOPING</v>
      </c>
      <c r="K700" s="15" t="str">
        <f>IF($C700="","",IF($I700="","-",TEXT(INT($I700/1000)*1000,"#,##0")&amp;" - "&amp;TEXT(INT($I700/1000)*1000+999,"#,##0")))</f>
        <v>2,000 - 2,999</v>
      </c>
      <c r="L700" s="71">
        <v>4.2</v>
      </c>
      <c r="M700" s="15" t="str">
        <f>IF($C700="","",IF($L700="","-",INDEX(SETUP!$B$36:$B$42,MATCH($L700,SETUP!$A$36:$A$42,1))))</f>
        <v>4k - 5k</v>
      </c>
      <c r="N700" s="17">
        <f>IF($C700="","",IF(OR($G700="",$I700=""),"",ROUND(100*(SETUP!$B$4*MIN(1,$I700/SETUP!$B$9)+SETUP!$B$5*MAX(0,MIN(1,($G700-SETUP!$B$10)/(SETUP!$B$11-SETUP!$B$10)))+SETUP!$B$6*MIN(1,IF($L700="",0,$L700)/SETUP!$B$12)),1)))</f>
        <v>35.200000000000003</v>
      </c>
      <c r="O700" s="15" t="str">
        <f>IF($C700="","",IF($N700="","-",INDEX(SETUP!$B$46:$B$51,MATCH($N700,SETUP!$A$46:$A$51,1))))</f>
        <v>B</v>
      </c>
      <c r="P700" s="15">
        <f>IF($C700="","",IF($I700="","",RANK($I700,$I$4:$I$1463)+COUNTIF($I$4:$I700,$I700)-1))</f>
        <v>1054</v>
      </c>
      <c r="Q700" s="15">
        <f>IF($C700="","",COUNTIFS($B$4:$B$1463,$B700,$X$4:$X$1463,"&gt;"&amp;$X700)+COUNTIFS($B$4:$B700,$B700,$X$4:$X700,"="&amp;$X700))</f>
        <v>77</v>
      </c>
      <c r="R700" s="72">
        <f>IF($C700="","",IF($I700="","",ROUND(COUNTIF($I$4:$I$1463,"&lt;"&amp;$I700)/COUNT($I$4:$I$1463),3)))</f>
        <v>0.20499999999999999</v>
      </c>
      <c r="S700" s="15" t="str">
        <f>IF($C700="","",IF($G700="","Name only",IF(OR($I700="",$L700=""),"Partial","Complete")))</f>
        <v>Complete</v>
      </c>
      <c r="T700" s="41" t="str">
        <f>IF($C700="","",TRIM(IF(COUNTIF($C$4:$C$1463,$C700)&gt;1,"Dup name; ","")&amp;IF(AND($G700&lt;&gt;"",$G700&lt;55000),"Low CR - verify; ","")&amp;IF(AND($L700&lt;&gt;"",$L700&gt;15),"Secondary - verify; ","")&amp;IF($E700="","No class; ","")))</f>
        <v/>
      </c>
      <c r="U700" s="68"/>
      <c r="V700" s="68"/>
      <c r="W700" s="68"/>
      <c r="X700" s="73">
        <f t="shared" si="52"/>
        <v>2270</v>
      </c>
      <c r="Y700" s="41" t="str">
        <f t="shared" si="53"/>
        <v>VENGEANCE|77</v>
      </c>
      <c r="Z700" s="15">
        <f>IF($C700="","",IF($G700="","",RANK($G700,$G$4:$G$1463)+COUNTIF($G$4:$G700,$G700)-1))</f>
        <v>851</v>
      </c>
      <c r="AA700" s="15">
        <f>IF($C700="","",IF($N700="","",RANK($N700,$N$4:$N$1463)+COUNTIF($N$4:$N700,$N700)-1))</f>
        <v>1002</v>
      </c>
      <c r="AB700" s="41" t="str">
        <f>IF($C700="","",IF($E700="","",$E700&amp;"#"&amp;(COUNTIFS($E$4:$E$1463,$E700,$X$4:$X$1463,"&gt;"&amp;$X700)+COUNTIFS($E$4:$E700,$E700,$X$4:$X700,"="&amp;$X700))))</f>
        <v>WARLOCK#263</v>
      </c>
      <c r="AC700" s="41" t="str">
        <f>IF($C700="","",$B700&amp;"@"&amp;(COUNTIFS($B$4:$B$1463,$B700,$C$4:$C$1463,"&lt;"&amp;$C700)+COUNTIFS($B$4:$B700,$B700,$C$4:$C700,$C700)))</f>
        <v>VENGEANCE@44</v>
      </c>
      <c r="AD700" s="41">
        <f t="shared" si="54"/>
        <v>697</v>
      </c>
      <c r="AE700" s="41" t="s">
        <v>646</v>
      </c>
      <c r="AF700" s="73">
        <f t="shared" si="55"/>
        <v>61945</v>
      </c>
      <c r="AG700" s="74">
        <f t="shared" si="56"/>
        <v>4.2</v>
      </c>
      <c r="AH700" s="41" t="str">
        <f>IF($C700="","",$B700&amp;"|"&amp;(COUNTIFS($B$4:$B$1463,$B700,$AF$4:$AF$1463,"&gt;"&amp;$AF700)+COUNTIFS($B$4:$B700,$B700,$AF$4:$AF700,"="&amp;$AF700)))</f>
        <v>VENGEANCE|51</v>
      </c>
      <c r="AI700" s="41" t="str">
        <f>IF($C700="","",$B700&amp;"|"&amp;(COUNTIFS($B$4:$B$1463,$B700,$AG$4:$AG$1463,"&gt;"&amp;$AG700)+COUNTIFS($B$4:$B700,$B700,$AG$4:$AG700,"="&amp;$AG700)))</f>
        <v>VENGEANCE|60</v>
      </c>
    </row>
    <row r="701" spans="1:35" hidden="1">
      <c r="A701" s="69" t="s">
        <v>109</v>
      </c>
      <c r="B701" s="69" t="s">
        <v>114</v>
      </c>
      <c r="C701" s="63" t="s">
        <v>1743</v>
      </c>
      <c r="D701" s="69"/>
      <c r="E701" s="68" t="s">
        <v>76</v>
      </c>
      <c r="F701" s="19" t="str">
        <f>IF($C701="","",IF($E701="","-",IFERROR(INDEX(SETUP!$B$55:$B$64,MATCH($E701,SETUP!$A$55:$A$64,0)),"Other")))</f>
        <v>Support</v>
      </c>
      <c r="G701" s="70">
        <v>61827</v>
      </c>
      <c r="H701" s="19" t="str">
        <f>IF($C701="","",IF($G701="","-",INDEX(SETUP!$B$26:$B$32,MATCH($G701,SETUP!$A$26:$A$32,1))))</f>
        <v>61,000 - 61,999</v>
      </c>
      <c r="I701" s="70">
        <v>2622</v>
      </c>
      <c r="J701" s="19" t="str">
        <f>IF($C701="","",IF($I701="","-",INDEX(SETUP!$B$16:$B$22,MATCH($I701,SETUP!$A$16:$A$22,1))))</f>
        <v>DEVELOPING</v>
      </c>
      <c r="K701" s="19" t="str">
        <f>IF($C701="","",IF($I701="","-",TEXT(INT($I701/1000)*1000,"#,##0")&amp;" - "&amp;TEXT(INT($I701/1000)*1000+999,"#,##0")))</f>
        <v>2,000 - 2,999</v>
      </c>
      <c r="L701" s="71">
        <v>3.85</v>
      </c>
      <c r="M701" s="19" t="str">
        <f>IF($C701="","",IF($L701="","-",INDEX(SETUP!$B$36:$B$42,MATCH($L701,SETUP!$A$36:$A$42,1))))</f>
        <v>3k - 4k</v>
      </c>
      <c r="N701" s="21">
        <f>IF($C701="","",IF(OR($G701="",$I701=""),"",ROUND(100*(SETUP!$B$4*MIN(1,$I701/SETUP!$B$9)+SETUP!$B$5*MAX(0,MIN(1,($G701-SETUP!$B$10)/(SETUP!$B$11-SETUP!$B$10)))+SETUP!$B$6*MIN(1,IF($L701="",0,$L701)/SETUP!$B$12)),1)))</f>
        <v>35.799999999999997</v>
      </c>
      <c r="O701" s="19" t="str">
        <f>IF($C701="","",IF($N701="","-",INDEX(SETUP!$B$46:$B$51,MATCH($N701,SETUP!$A$46:$A$51,1))))</f>
        <v>B</v>
      </c>
      <c r="P701" s="19">
        <f>IF($C701="","",IF($I701="","",RANK($I701,$I$4:$I$1463)+COUNTIF($I$4:$I701,$I701)-1))</f>
        <v>975</v>
      </c>
      <c r="Q701" s="19">
        <f>IF($C701="","",COUNTIFS($B$4:$B$1463,$B701,$X$4:$X$1463,"&gt;"&amp;$X701)+COUNTIFS($B$4:$B701,$B701,$X$4:$X701,"="&amp;$X701))</f>
        <v>33</v>
      </c>
      <c r="R701" s="75">
        <f>IF($C701="","",IF($I701="","",ROUND(COUNTIF($I$4:$I$1463,"&lt;"&amp;$I701)/COUNT($I$4:$I$1463),3)))</f>
        <v>0.26400000000000001</v>
      </c>
      <c r="S701" s="19" t="str">
        <f>IF($C701="","",IF($G701="","Name only",IF(OR($I701="",$L701=""),"Partial","Complete")))</f>
        <v>Complete</v>
      </c>
      <c r="T701" s="1" t="str">
        <f>IF($C701="","",TRIM(IF(COUNTIF($C$4:$C$1463,$C701)&gt;1,"Dup name; ","")&amp;IF(AND($G701&lt;&gt;"",$G701&lt;55000),"Low CR - verify; ","")&amp;IF(AND($L701&lt;&gt;"",$L701&gt;15),"Secondary - verify; ","")&amp;IF($E701="","No class; ","")))</f>
        <v/>
      </c>
      <c r="U701" s="68"/>
      <c r="V701" s="68"/>
      <c r="W701" s="68"/>
      <c r="X701" s="76">
        <f t="shared" si="52"/>
        <v>2622</v>
      </c>
      <c r="Y701" s="1" t="str">
        <f t="shared" si="53"/>
        <v>EMERALD LEAF TRIBE|33</v>
      </c>
      <c r="Z701" s="19">
        <f>IF($C701="","",IF($G701="","",RANK($G701,$G$4:$G$1463)+COUNTIF($G$4:$G701,$G701)-1))</f>
        <v>907</v>
      </c>
      <c r="AA701" s="19">
        <f>IF($C701="","",IF($N701="","",RANK($N701,$N$4:$N$1463)+COUNTIF($N$4:$N701,$N701)-1))</f>
        <v>979</v>
      </c>
      <c r="AB701" s="1" t="str">
        <f>IF($C701="","",IF($E701="","",$E701&amp;"#"&amp;(COUNTIFS($E$4:$E$1463,$E701,$X$4:$X$1463,"&gt;"&amp;$X701)+COUNTIFS($E$4:$E701,$E701,$X$4:$X701,"="&amp;$X701))))</f>
        <v>MONK#35</v>
      </c>
      <c r="AC701" s="1" t="str">
        <f>IF($C701="","",$B701&amp;"@"&amp;(COUNTIFS($B$4:$B$1463,$B701,$C$4:$C$1463,"&lt;"&amp;$C701)+COUNTIFS($B$4:$B701,$B701,$C$4:$C701,$C701)))</f>
        <v>EMERALD LEAF TRIBE@49</v>
      </c>
      <c r="AD701" s="1">
        <f t="shared" si="54"/>
        <v>698</v>
      </c>
      <c r="AE701" s="1" t="s">
        <v>1744</v>
      </c>
      <c r="AF701" s="76">
        <f t="shared" si="55"/>
        <v>61827</v>
      </c>
      <c r="AG701" s="77">
        <f t="shared" si="56"/>
        <v>3.85</v>
      </c>
      <c r="AH701" s="1" t="str">
        <f>IF($C701="","",$B701&amp;"|"&amp;(COUNTIFS($B$4:$B$1463,$B701,$AF$4:$AF$1463,"&gt;"&amp;$AF701)+COUNTIFS($B$4:$B701,$B701,$AF$4:$AF701,"="&amp;$AF701)))</f>
        <v>EMERALD LEAF TRIBE|31</v>
      </c>
      <c r="AI701" s="1" t="str">
        <f>IF($C701="","",$B701&amp;"|"&amp;(COUNTIFS($B$4:$B$1463,$B701,$AG$4:$AG$1463,"&gt;"&amp;$AG701)+COUNTIFS($B$4:$B701,$B701,$AG$4:$AG701,"="&amp;$AG701)))</f>
        <v>EMERALD LEAF TRIBE|36</v>
      </c>
    </row>
    <row r="702" spans="1:35" hidden="1">
      <c r="A702" s="69" t="s">
        <v>106</v>
      </c>
      <c r="B702" s="69" t="s">
        <v>107</v>
      </c>
      <c r="C702" s="63" t="s">
        <v>1745</v>
      </c>
      <c r="D702" s="69"/>
      <c r="E702" s="68" t="s">
        <v>71</v>
      </c>
      <c r="F702" s="15" t="str">
        <f>IF($C702="","",IF($E702="","-",IFERROR(INDEX(SETUP!$B$55:$B$64,MATCH($E702,SETUP!$A$55:$A$64,0)),"Other")))</f>
        <v>Frontline</v>
      </c>
      <c r="G702" s="70">
        <v>61671</v>
      </c>
      <c r="H702" s="15" t="str">
        <f>IF($C702="","",IF($G702="","-",INDEX(SETUP!$B$26:$B$32,MATCH($G702,SETUP!$A$26:$A$32,1))))</f>
        <v>61,000 - 61,999</v>
      </c>
      <c r="I702" s="70">
        <v>3002</v>
      </c>
      <c r="J702" s="15" t="str">
        <f>IF($C702="","",IF($I702="","-",INDEX(SETUP!$B$16:$B$22,MATCH($I702,SETUP!$A$16:$A$22,1))))</f>
        <v>DEVELOPING</v>
      </c>
      <c r="K702" s="15" t="str">
        <f>IF($C702="","",IF($I702="","-",TEXT(INT($I702/1000)*1000,"#,##0")&amp;" - "&amp;TEXT(INT($I702/1000)*1000+999,"#,##0")))</f>
        <v>3,000 - 3,999</v>
      </c>
      <c r="L702" s="71">
        <v>3.85</v>
      </c>
      <c r="M702" s="15" t="str">
        <f>IF($C702="","",IF($L702="","-",INDEX(SETUP!$B$36:$B$42,MATCH($L702,SETUP!$A$36:$A$42,1))))</f>
        <v>3k - 4k</v>
      </c>
      <c r="N702" s="17">
        <f>IF($C702="","",IF(OR($G702="",$I702=""),"",ROUND(100*(SETUP!$B$4*MIN(1,$I702/SETUP!$B$9)+SETUP!$B$5*MAX(0,MIN(1,($G702-SETUP!$B$10)/(SETUP!$B$11-SETUP!$B$10)))+SETUP!$B$6*MIN(1,IF($L702="",0,$L702)/SETUP!$B$12)),1)))</f>
        <v>37.1</v>
      </c>
      <c r="O702" s="15" t="str">
        <f>IF($C702="","",IF($N702="","-",INDEX(SETUP!$B$46:$B$51,MATCH($N702,SETUP!$A$46:$A$51,1))))</f>
        <v>B</v>
      </c>
      <c r="P702" s="15">
        <f>IF($C702="","",IF($I702="","",RANK($I702,$I$4:$I$1463)+COUNTIF($I$4:$I702,$I702)-1))</f>
        <v>882</v>
      </c>
      <c r="Q702" s="15">
        <f>IF($C702="","",COUNTIFS($B$4:$B$1463,$B702,$X$4:$X$1463,"&gt;"&amp;$X702)+COUNTIFS($B$4:$B702,$B702,$X$4:$X702,"="&amp;$X702))</f>
        <v>81</v>
      </c>
      <c r="R702" s="72">
        <f>IF($C702="","",IF($I702="","",ROUND(COUNTIF($I$4:$I$1463,"&lt;"&amp;$I702)/COUNT($I$4:$I$1463),3)))</f>
        <v>0.33300000000000002</v>
      </c>
      <c r="S702" s="15" t="str">
        <f>IF($C702="","",IF($G702="","Name only",IF(OR($I702="",$L702=""),"Partial","Complete")))</f>
        <v>Complete</v>
      </c>
      <c r="T702" s="41" t="str">
        <f>IF($C702="","",TRIM(IF(COUNTIF($C$4:$C$1463,$C702)&gt;1,"Dup name; ","")&amp;IF(AND($G702&lt;&gt;"",$G702&lt;55000),"Low CR - verify; ","")&amp;IF(AND($L702&lt;&gt;"",$L702&gt;15),"Secondary - verify; ","")&amp;IF($E702="","No class; ","")))</f>
        <v/>
      </c>
      <c r="U702" s="68"/>
      <c r="V702" s="68"/>
      <c r="W702" s="68"/>
      <c r="X702" s="73">
        <f t="shared" si="52"/>
        <v>3002</v>
      </c>
      <c r="Y702" s="41" t="str">
        <f t="shared" si="53"/>
        <v>UNDYING|81</v>
      </c>
      <c r="Z702" s="15">
        <f>IF($C702="","",IF($G702="","",RANK($G702,$G$4:$G$1463)+COUNTIF($G$4:$G702,$G702)-1))</f>
        <v>952</v>
      </c>
      <c r="AA702" s="15">
        <f>IF($C702="","",IF($N702="","",RANK($N702,$N$4:$N$1463)+COUNTIF($N$4:$N702,$N702)-1))</f>
        <v>927</v>
      </c>
      <c r="AB702" s="41" t="str">
        <f>IF($C702="","",IF($E702="","",$E702&amp;"#"&amp;(COUNTIFS($E$4:$E$1463,$E702,$X$4:$X$1463,"&gt;"&amp;$X702)+COUNTIFS($E$4:$E702,$E702,$X$4:$X702,"="&amp;$X702))))</f>
        <v>BARBARIAN#154</v>
      </c>
      <c r="AC702" s="41" t="str">
        <f>IF($C702="","",$B702&amp;"@"&amp;(COUNTIFS($B$4:$B$1463,$B702,$C$4:$C$1463,"&lt;"&amp;$C702)+COUNTIFS($B$4:$B702,$B702,$C$4:$C702,$C702)))</f>
        <v>UNDYING@61</v>
      </c>
      <c r="AD702" s="41">
        <f t="shared" si="54"/>
        <v>699</v>
      </c>
      <c r="AE702" s="41" t="s">
        <v>950</v>
      </c>
      <c r="AF702" s="73">
        <f t="shared" si="55"/>
        <v>61671</v>
      </c>
      <c r="AG702" s="74">
        <f t="shared" si="56"/>
        <v>3.85</v>
      </c>
      <c r="AH702" s="41" t="str">
        <f>IF($C702="","",$B702&amp;"|"&amp;(COUNTIFS($B$4:$B$1463,$B702,$AF$4:$AF$1463,"&gt;"&amp;$AF702)+COUNTIFS($B$4:$B702,$B702,$AF$4:$AF702,"="&amp;$AF702)))</f>
        <v>UNDYING|85</v>
      </c>
      <c r="AI702" s="41" t="str">
        <f>IF($C702="","",$B702&amp;"|"&amp;(COUNTIFS($B$4:$B$1463,$B702,$AG$4:$AG$1463,"&gt;"&amp;$AG702)+COUNTIFS($B$4:$B702,$B702,$AG$4:$AG702,"="&amp;$AG702)))</f>
        <v>UNDYING|85</v>
      </c>
    </row>
    <row r="703" spans="1:35" hidden="1">
      <c r="A703" s="69" t="s">
        <v>109</v>
      </c>
      <c r="B703" s="69" t="s">
        <v>115</v>
      </c>
      <c r="C703" s="63" t="s">
        <v>1746</v>
      </c>
      <c r="D703" s="69"/>
      <c r="E703" s="68" t="s">
        <v>72</v>
      </c>
      <c r="F703" s="19" t="str">
        <f>IF($C703="","",IF($E703="","-",IFERROR(INDEX(SETUP!$B$55:$B$64,MATCH($E703,SETUP!$A$55:$A$64,0)),"Other")))</f>
        <v>Frontline</v>
      </c>
      <c r="G703" s="70">
        <v>57634</v>
      </c>
      <c r="H703" s="19" t="str">
        <f>IF($C703="","",IF($G703="","-",INDEX(SETUP!$B$26:$B$32,MATCH($G703,SETUP!$A$26:$A$32,1))))</f>
        <v>Under 58,000</v>
      </c>
      <c r="I703" s="70">
        <v>1214</v>
      </c>
      <c r="J703" s="19" t="str">
        <f>IF($C703="","",IF($I703="","-",INDEX(SETUP!$B$16:$B$22,MATCH($I703,SETUP!$A$16:$A$22,1))))</f>
        <v>ROOKIE</v>
      </c>
      <c r="K703" s="19" t="str">
        <f>IF($C703="","",IF($I703="","-",TEXT(INT($I703/1000)*1000,"#,##0")&amp;" - "&amp;TEXT(INT($I703/1000)*1000+999,"#,##0")))</f>
        <v>1,000 - 1,999</v>
      </c>
      <c r="L703" s="71">
        <v>2.6</v>
      </c>
      <c r="M703" s="19" t="str">
        <f>IF($C703="","",IF($L703="","-",INDEX(SETUP!$B$36:$B$42,MATCH($L703,SETUP!$A$36:$A$42,1))))</f>
        <v>Under 3k</v>
      </c>
      <c r="N703" s="21">
        <f>IF($C703="","",IF(OR($G703="",$I703=""),"",ROUND(100*(SETUP!$B$4*MIN(1,$I703/SETUP!$B$9)+SETUP!$B$5*MAX(0,MIN(1,($G703-SETUP!$B$10)/(SETUP!$B$11-SETUP!$B$10)))+SETUP!$B$6*MIN(1,IF($L703="",0,$L703)/SETUP!$B$12)),1)))</f>
        <v>16.600000000000001</v>
      </c>
      <c r="O703" s="19" t="str">
        <f>IF($C703="","",IF($N703="","-",INDEX(SETUP!$B$46:$B$51,MATCH($N703,SETUP!$A$46:$A$51,1))))</f>
        <v>D</v>
      </c>
      <c r="P703" s="19">
        <f>IF($C703="","",IF($I703="","",RANK($I703,$I$4:$I$1463)+COUNTIF($I$4:$I703,$I703)-1))</f>
        <v>1242</v>
      </c>
      <c r="Q703" s="19">
        <f>IF($C703="","",COUNTIFS($B$4:$B$1463,$B703,$X$4:$X$1463,"&gt;"&amp;$X703)+COUNTIFS($B$4:$B703,$B703,$X$4:$X703,"="&amp;$X703))</f>
        <v>57</v>
      </c>
      <c r="R703" s="75">
        <f>IF($C703="","",IF($I703="","",ROUND(COUNTIF($I$4:$I$1463,"&lt;"&amp;$I703)/COUNT($I$4:$I$1463),3)))</f>
        <v>6.3E-2</v>
      </c>
      <c r="S703" s="19" t="str">
        <f>IF($C703="","",IF($G703="","Name only",IF(OR($I703="",$L703=""),"Partial","Complete")))</f>
        <v>Complete</v>
      </c>
      <c r="T703" s="1" t="str">
        <f>IF($C703="","",TRIM(IF(COUNTIF($C$4:$C$1463,$C703)&gt;1,"Dup name; ","")&amp;IF(AND($G703&lt;&gt;"",$G703&lt;55000),"Low CR - verify; ","")&amp;IF(AND($L703&lt;&gt;"",$L703&gt;15),"Secondary - verify; ","")&amp;IF($E703="","No class; ","")))</f>
        <v/>
      </c>
      <c r="U703" s="68"/>
      <c r="V703" s="68"/>
      <c r="W703" s="68"/>
      <c r="X703" s="76">
        <f t="shared" si="52"/>
        <v>1214</v>
      </c>
      <c r="Y703" s="1" t="str">
        <f t="shared" si="53"/>
        <v>SUB ROSA|57</v>
      </c>
      <c r="Z703" s="19">
        <f>IF($C703="","",IF($G703="","",RANK($G703,$G$4:$G$1463)+COUNTIF($G$4:$G703,$G703)-1))</f>
        <v>1304</v>
      </c>
      <c r="AA703" s="19">
        <f>IF($C703="","",IF($N703="","",RANK($N703,$N$4:$N$1463)+COUNTIF($N$4:$N703,$N703)-1))</f>
        <v>1303</v>
      </c>
      <c r="AB703" s="1" t="str">
        <f>IF($C703="","",IF($E703="","",$E703&amp;"#"&amp;(COUNTIFS($E$4:$E$1463,$E703,$X$4:$X$1463,"&gt;"&amp;$X703)+COUNTIFS($E$4:$E703,$E703,$X$4:$X703,"="&amp;$X703))))</f>
        <v>BLOOD KNIGHT#88</v>
      </c>
      <c r="AC703" s="1" t="str">
        <f>IF($C703="","",$B703&amp;"@"&amp;(COUNTIFS($B$4:$B$1463,$B703,$C$4:$C$1463,"&lt;"&amp;$C703)+COUNTIFS($B$4:$B703,$B703,$C$4:$C703,$C703)))</f>
        <v>SUB ROSA@46</v>
      </c>
      <c r="AD703" s="1">
        <f t="shared" si="54"/>
        <v>700</v>
      </c>
      <c r="AE703" s="1" t="s">
        <v>801</v>
      </c>
      <c r="AF703" s="76">
        <f t="shared" si="55"/>
        <v>57634</v>
      </c>
      <c r="AG703" s="77">
        <f t="shared" si="56"/>
        <v>2.6</v>
      </c>
      <c r="AH703" s="1" t="str">
        <f>IF($C703="","",$B703&amp;"|"&amp;(COUNTIFS($B$4:$B$1463,$B703,$AF$4:$AF$1463,"&gt;"&amp;$AF703)+COUNTIFS($B$4:$B703,$B703,$AF$4:$AF703,"="&amp;$AF703)))</f>
        <v>SUB ROSA|66</v>
      </c>
      <c r="AI703" s="1" t="str">
        <f>IF($C703="","",$B703&amp;"|"&amp;(COUNTIFS($B$4:$B$1463,$B703,$AG$4:$AG$1463,"&gt;"&amp;$AG703)+COUNTIFS($B$4:$B703,$B703,$AG$4:$AG703,"="&amp;$AG703)))</f>
        <v>SUB ROSA|63</v>
      </c>
    </row>
    <row r="704" spans="1:35" hidden="1">
      <c r="A704" s="69" t="s">
        <v>106</v>
      </c>
      <c r="B704" s="69" t="s">
        <v>86</v>
      </c>
      <c r="C704" s="63" t="s">
        <v>1747</v>
      </c>
      <c r="D704" s="69"/>
      <c r="E704" s="68" t="s">
        <v>80</v>
      </c>
      <c r="F704" s="15" t="str">
        <f>IF($C704="","",IF($E704="","-",IFERROR(INDEX(SETUP!$B$55:$B$64,MATCH($E704,SETUP!$A$55:$A$64,0)),"Other")))</f>
        <v>Ranged DPS</v>
      </c>
      <c r="G704" s="70">
        <v>63482</v>
      </c>
      <c r="H704" s="15" t="str">
        <f>IF($C704="","",IF($G704="","-",INDEX(SETUP!$B$26:$B$32,MATCH($G704,SETUP!$A$26:$A$32,1))))</f>
        <v>63,000 - 63,999</v>
      </c>
      <c r="I704" s="70">
        <v>7533</v>
      </c>
      <c r="J704" s="15" t="str">
        <f>IF($C704="","",IF($I704="","-",INDEX(SETUP!$B$16:$B$22,MATCH($I704,SETUP!$A$16:$A$22,1))))</f>
        <v>VETERAN</v>
      </c>
      <c r="K704" s="15" t="str">
        <f>IF($C704="","",IF($I704="","-",TEXT(INT($I704/1000)*1000,"#,##0")&amp;" - "&amp;TEXT(INT($I704/1000)*1000+999,"#,##0")))</f>
        <v>7,000 - 7,999</v>
      </c>
      <c r="L704" s="71">
        <v>5.4</v>
      </c>
      <c r="M704" s="15" t="str">
        <f>IF($C704="","",IF($L704="","-",INDEX(SETUP!$B$36:$B$42,MATCH($L704,SETUP!$A$36:$A$42,1))))</f>
        <v>5k - 6k</v>
      </c>
      <c r="N704" s="17">
        <f>IF($C704="","",IF(OR($G704="",$I704=""),"",ROUND(100*(SETUP!$B$4*MIN(1,$I704/SETUP!$B$9)+SETUP!$B$5*MAX(0,MIN(1,($G704-SETUP!$B$10)/(SETUP!$B$11-SETUP!$B$10)))+SETUP!$B$6*MIN(1,IF($L704="",0,$L704)/SETUP!$B$12)),1)))</f>
        <v>64.2</v>
      </c>
      <c r="O704" s="15" t="str">
        <f>IF($C704="","",IF($N704="","-",INDEX(SETUP!$B$46:$B$51,MATCH($N704,SETUP!$A$46:$A$51,1))))</f>
        <v>A</v>
      </c>
      <c r="P704" s="15">
        <f>IF($C704="","",IF($I704="","",RANK($I704,$I$4:$I$1463)+COUNTIF($I$4:$I704,$I704)-1))</f>
        <v>165</v>
      </c>
      <c r="Q704" s="15">
        <f>IF($C704="","",COUNTIFS($B$4:$B$1463,$B704,$X$4:$X$1463,"&gt;"&amp;$X704)+COUNTIFS($B$4:$B704,$B704,$X$4:$X704,"="&amp;$X704))</f>
        <v>37</v>
      </c>
      <c r="R704" s="72">
        <f>IF($C704="","",IF($I704="","",ROUND(COUNTIF($I$4:$I$1463,"&lt;"&amp;$I704)/COUNT($I$4:$I$1463),3)))</f>
        <v>0.875</v>
      </c>
      <c r="S704" s="15" t="str">
        <f>IF($C704="","",IF($G704="","Name only",IF(OR($I704="",$L704=""),"Partial","Complete")))</f>
        <v>Complete</v>
      </c>
      <c r="T704" s="41" t="str">
        <f>IF($C704="","",TRIM(IF(COUNTIF($C$4:$C$1463,$C704)&gt;1,"Dup name; ","")&amp;IF(AND($G704&lt;&gt;"",$G704&lt;55000),"Low CR - verify; ","")&amp;IF(AND($L704&lt;&gt;"",$L704&gt;15),"Secondary - verify; ","")&amp;IF($E704="","No class; ","")))</f>
        <v/>
      </c>
      <c r="U704" s="68"/>
      <c r="V704" s="68"/>
      <c r="W704" s="68"/>
      <c r="X704" s="73">
        <f t="shared" si="52"/>
        <v>7533</v>
      </c>
      <c r="Y704" s="41" t="str">
        <f t="shared" si="53"/>
        <v>VANGUARD|37</v>
      </c>
      <c r="Z704" s="15">
        <f>IF($C704="","",IF($G704="","",RANK($G704,$G$4:$G$1463)+COUNTIF($G$4:$G704,$G704)-1))</f>
        <v>197</v>
      </c>
      <c r="AA704" s="15">
        <f>IF($C704="","",IF($N704="","",RANK($N704,$N$4:$N$1463)+COUNTIF($N$4:$N704,$N704)-1))</f>
        <v>184</v>
      </c>
      <c r="AB704" s="41" t="str">
        <f>IF($C704="","",IF($E704="","",$E704&amp;"#"&amp;(COUNTIFS($E$4:$E$1463,$E704,$X$4:$X$1463,"&gt;"&amp;$X704)+COUNTIFS($E$4:$E704,$E704,$X$4:$X704,"="&amp;$X704))))</f>
        <v>WIZARD#10</v>
      </c>
      <c r="AC704" s="41" t="str">
        <f>IF($C704="","",$B704&amp;"@"&amp;(COUNTIFS($B$4:$B$1463,$B704,$C$4:$C$1463,"&lt;"&amp;$C704)+COUNTIFS($B$4:$B704,$B704,$C$4:$C704,$C704)))</f>
        <v>VANGUARD@55</v>
      </c>
      <c r="AD704" s="41">
        <f t="shared" si="54"/>
        <v>701</v>
      </c>
      <c r="AE704" s="41" t="s">
        <v>799</v>
      </c>
      <c r="AF704" s="73">
        <f t="shared" si="55"/>
        <v>63482</v>
      </c>
      <c r="AG704" s="74">
        <f t="shared" si="56"/>
        <v>5.4</v>
      </c>
      <c r="AH704" s="41" t="str">
        <f>IF($C704="","",$B704&amp;"|"&amp;(COUNTIFS($B$4:$B$1463,$B704,$AF$4:$AF$1463,"&gt;"&amp;$AF704)+COUNTIFS($B$4:$B704,$B704,$AF$4:$AF704,"="&amp;$AF704)))</f>
        <v>VANGUARD|41</v>
      </c>
      <c r="AI704" s="41" t="str">
        <f>IF($C704="","",$B704&amp;"|"&amp;(COUNTIFS($B$4:$B$1463,$B704,$AG$4:$AG$1463,"&gt;"&amp;$AG704)+COUNTIFS($B$4:$B704,$B704,$AG$4:$AG704,"="&amp;$AG704)))</f>
        <v>VANGUARD|57</v>
      </c>
    </row>
    <row r="705" spans="1:35" hidden="1">
      <c r="A705" s="69" t="s">
        <v>109</v>
      </c>
      <c r="B705" s="69" t="s">
        <v>118</v>
      </c>
      <c r="C705" s="63" t="s">
        <v>1748</v>
      </c>
      <c r="D705" s="69"/>
      <c r="E705" s="68" t="s">
        <v>79</v>
      </c>
      <c r="F705" s="19" t="str">
        <f>IF($C705="","",IF($E705="","-",IFERROR(INDEX(SETUP!$B$55:$B$64,MATCH($E705,SETUP!$A$55:$A$64,0)),"Other")))</f>
        <v>Control</v>
      </c>
      <c r="G705" s="70">
        <v>61674</v>
      </c>
      <c r="H705" s="19" t="str">
        <f>IF($C705="","",IF($G705="","-",INDEX(SETUP!$B$26:$B$32,MATCH($G705,SETUP!$A$26:$A$32,1))))</f>
        <v>61,000 - 61,999</v>
      </c>
      <c r="I705" s="70">
        <v>2454</v>
      </c>
      <c r="J705" s="19" t="str">
        <f>IF($C705="","",IF($I705="","-",INDEX(SETUP!$B$16:$B$22,MATCH($I705,SETUP!$A$16:$A$22,1))))</f>
        <v>DEVELOPING</v>
      </c>
      <c r="K705" s="19" t="str">
        <f>IF($C705="","",IF($I705="","-",TEXT(INT($I705/1000)*1000,"#,##0")&amp;" - "&amp;TEXT(INT($I705/1000)*1000+999,"#,##0")))</f>
        <v>2,000 - 2,999</v>
      </c>
      <c r="L705" s="71">
        <v>3.8</v>
      </c>
      <c r="M705" s="19" t="str">
        <f>IF($C705="","",IF($L705="","-",INDEX(SETUP!$B$36:$B$42,MATCH($L705,SETUP!$A$36:$A$42,1))))</f>
        <v>3k - 4k</v>
      </c>
      <c r="N705" s="21">
        <f>IF($C705="","",IF(OR($G705="",$I705=""),"",ROUND(100*(SETUP!$B$4*MIN(1,$I705/SETUP!$B$9)+SETUP!$B$5*MAX(0,MIN(1,($G705-SETUP!$B$10)/(SETUP!$B$11-SETUP!$B$10)))+SETUP!$B$6*MIN(1,IF($L705="",0,$L705)/SETUP!$B$12)),1)))</f>
        <v>34.6</v>
      </c>
      <c r="O705" s="19" t="str">
        <f>IF($C705="","",IF($N705="","-",INDEX(SETUP!$B$46:$B$51,MATCH($N705,SETUP!$A$46:$A$51,1))))</f>
        <v>C</v>
      </c>
      <c r="P705" s="19">
        <f>IF($C705="","",IF($I705="","",RANK($I705,$I$4:$I$1463)+COUNTIF($I$4:$I705,$I705)-1))</f>
        <v>1019</v>
      </c>
      <c r="Q705" s="19">
        <f>IF($C705="","",COUNTIFS($B$4:$B$1463,$B705,$X$4:$X$1463,"&gt;"&amp;$X705)+COUNTIFS($B$4:$B705,$B705,$X$4:$X705,"="&amp;$X705))</f>
        <v>27</v>
      </c>
      <c r="R705" s="75">
        <f>IF($C705="","",IF($I705="","",ROUND(COUNTIF($I$4:$I$1463,"&lt;"&amp;$I705)/COUNT($I$4:$I$1463),3)))</f>
        <v>0.23100000000000001</v>
      </c>
      <c r="S705" s="19" t="str">
        <f>IF($C705="","",IF($G705="","Name only",IF(OR($I705="",$L705=""),"Partial","Complete")))</f>
        <v>Complete</v>
      </c>
      <c r="T705" s="1" t="str">
        <f>IF($C705="","",TRIM(IF(COUNTIF($C$4:$C$1463,$C705)&gt;1,"Dup name; ","")&amp;IF(AND($G705&lt;&gt;"",$G705&lt;55000),"Low CR - verify; ","")&amp;IF(AND($L705&lt;&gt;"",$L705&gt;15),"Secondary - verify; ","")&amp;IF($E705="","No class; ","")))</f>
        <v/>
      </c>
      <c r="U705" s="68"/>
      <c r="V705" s="68"/>
      <c r="W705" s="68"/>
      <c r="X705" s="76">
        <f t="shared" si="52"/>
        <v>2454</v>
      </c>
      <c r="Y705" s="1" t="str">
        <f t="shared" si="53"/>
        <v>ZOMBIES|27</v>
      </c>
      <c r="Z705" s="19">
        <f>IF($C705="","",IF($G705="","",RANK($G705,$G$4:$G$1463)+COUNTIF($G$4:$G705,$G705)-1))</f>
        <v>951</v>
      </c>
      <c r="AA705" s="19">
        <f>IF($C705="","",IF($N705="","",RANK($N705,$N$4:$N$1463)+COUNTIF($N$4:$N705,$N705)-1))</f>
        <v>1018</v>
      </c>
      <c r="AB705" s="1" t="str">
        <f>IF($C705="","",IF($E705="","",$E705&amp;"#"&amp;(COUNTIFS($E$4:$E$1463,$E705,$X$4:$X$1463,"&gt;"&amp;$X705)+COUNTIFS($E$4:$E705,$E705,$X$4:$X705,"="&amp;$X705))))</f>
        <v>WARLOCK#255</v>
      </c>
      <c r="AC705" s="1" t="str">
        <f>IF($C705="","",$B705&amp;"@"&amp;(COUNTIFS($B$4:$B$1463,$B705,$C$4:$C$1463,"&lt;"&amp;$C705)+COUNTIFS($B$4:$B705,$B705,$C$4:$C705,$C705)))</f>
        <v>ZOMBIES@52</v>
      </c>
      <c r="AD705" s="1">
        <f t="shared" si="54"/>
        <v>702</v>
      </c>
      <c r="AE705" s="1" t="s">
        <v>1399</v>
      </c>
      <c r="AF705" s="76">
        <f t="shared" si="55"/>
        <v>61674</v>
      </c>
      <c r="AG705" s="77">
        <f t="shared" si="56"/>
        <v>3.8</v>
      </c>
      <c r="AH705" s="1" t="str">
        <f>IF($C705="","",$B705&amp;"|"&amp;(COUNTIFS($B$4:$B$1463,$B705,$AF$4:$AF$1463,"&gt;"&amp;$AF705)+COUNTIFS($B$4:$B705,$B705,$AF$4:$AF705,"="&amp;$AF705)))</f>
        <v>ZOMBIES|35</v>
      </c>
      <c r="AI705" s="1" t="str">
        <f>IF($C705="","",$B705&amp;"|"&amp;(COUNTIFS($B$4:$B$1463,$B705,$AG$4:$AG$1463,"&gt;"&amp;$AG705)+COUNTIFS($B$4:$B705,$B705,$AG$4:$AG705,"="&amp;$AG705)))</f>
        <v>ZOMBIES|37</v>
      </c>
    </row>
    <row r="706" spans="1:35" hidden="1">
      <c r="A706" s="69" t="s">
        <v>109</v>
      </c>
      <c r="B706" s="69" t="s">
        <v>112</v>
      </c>
      <c r="C706" s="63" t="s">
        <v>1749</v>
      </c>
      <c r="D706" s="69" t="s">
        <v>567</v>
      </c>
      <c r="E706" s="68" t="s">
        <v>75</v>
      </c>
      <c r="F706" s="15" t="str">
        <f>IF($C706="","",IF($E706="","-",IFERROR(INDEX(SETUP!$B$55:$B$64,MATCH($E706,SETUP!$A$55:$A$64,0)),"Other")))</f>
        <v>Support</v>
      </c>
      <c r="G706" s="70">
        <v>63340</v>
      </c>
      <c r="H706" s="15" t="str">
        <f>IF($C706="","",IF($G706="","-",INDEX(SETUP!$B$26:$B$32,MATCH($G706,SETUP!$A$26:$A$32,1))))</f>
        <v>63,000 - 63,999</v>
      </c>
      <c r="I706" s="70">
        <v>5283</v>
      </c>
      <c r="J706" s="15" t="str">
        <f>IF($C706="","",IF($I706="","-",INDEX(SETUP!$B$16:$B$22,MATCH($I706,SETUP!$A$16:$A$22,1))))</f>
        <v>CORE</v>
      </c>
      <c r="K706" s="15" t="str">
        <f>IF($C706="","",IF($I706="","-",TEXT(INT($I706/1000)*1000,"#,##0")&amp;" - "&amp;TEXT(INT($I706/1000)*1000+999,"#,##0")))</f>
        <v>5,000 - 5,999</v>
      </c>
      <c r="L706" s="71">
        <v>5.6</v>
      </c>
      <c r="M706" s="15" t="str">
        <f>IF($C706="","",IF($L706="","-",INDEX(SETUP!$B$36:$B$42,MATCH($L706,SETUP!$A$36:$A$42,1))))</f>
        <v>5k - 6k</v>
      </c>
      <c r="N706" s="17">
        <f>IF($C706="","",IF(OR($G706="",$I706=""),"",ROUND(100*(SETUP!$B$4*MIN(1,$I706/SETUP!$B$9)+SETUP!$B$5*MAX(0,MIN(1,($G706-SETUP!$B$10)/(SETUP!$B$11-SETUP!$B$10)))+SETUP!$B$6*MIN(1,IF($L706="",0,$L706)/SETUP!$B$12)),1)))</f>
        <v>54.3</v>
      </c>
      <c r="O706" s="15" t="str">
        <f>IF($C706="","",IF($N706="","-",INDEX(SETUP!$B$46:$B$51,MATCH($N706,SETUP!$A$46:$A$51,1))))</f>
        <v>A</v>
      </c>
      <c r="P706" s="15">
        <f>IF($C706="","",IF($I706="","",RANK($I706,$I$4:$I$1463)+COUNTIF($I$4:$I706,$I706)-1))</f>
        <v>365</v>
      </c>
      <c r="Q706" s="15">
        <f>IF($C706="","",COUNTIFS($B$4:$B$1463,$B706,$X$4:$X$1463,"&gt;"&amp;$X706)+COUNTIFS($B$4:$B706,$B706,$X$4:$X706,"="&amp;$X706))</f>
        <v>22</v>
      </c>
      <c r="R706" s="72">
        <f>IF($C706="","",IF($I706="","",ROUND(COUNTIF($I$4:$I$1463,"&lt;"&amp;$I706)/COUNT($I$4:$I$1463),3)))</f>
        <v>0.72499999999999998</v>
      </c>
      <c r="S706" s="15" t="str">
        <f>IF($C706="","",IF($G706="","Name only",IF(OR($I706="",$L706=""),"Partial","Complete")))</f>
        <v>Complete</v>
      </c>
      <c r="T706" s="41" t="str">
        <f>IF($C706="","",TRIM(IF(COUNTIF($C$4:$C$1463,$C706)&gt;1,"Dup name; ","")&amp;IF(AND($G706&lt;&gt;"",$G706&lt;55000),"Low CR - verify; ","")&amp;IF(AND($L706&lt;&gt;"",$L706&gt;15),"Secondary - verify; ","")&amp;IF($E706="","No class; ","")))</f>
        <v/>
      </c>
      <c r="U706" s="68"/>
      <c r="V706" s="68"/>
      <c r="W706" s="68"/>
      <c r="X706" s="73">
        <f t="shared" si="52"/>
        <v>5283</v>
      </c>
      <c r="Y706" s="41" t="str">
        <f t="shared" si="53"/>
        <v>ACHERON|22</v>
      </c>
      <c r="Z706" s="15">
        <f>IF($C706="","",IF($G706="","",RANK($G706,$G$4:$G$1463)+COUNTIF($G$4:$G706,$G706)-1))</f>
        <v>243</v>
      </c>
      <c r="AA706" s="15">
        <f>IF($C706="","",IF($N706="","",RANK($N706,$N$4:$N$1463)+COUNTIF($N$4:$N706,$N706)-1))</f>
        <v>333</v>
      </c>
      <c r="AB706" s="41" t="str">
        <f>IF($C706="","",IF($E706="","",$E706&amp;"#"&amp;(COUNTIFS($E$4:$E$1463,$E706,$X$4:$X$1463,"&gt;"&amp;$X706)+COUNTIFS($E$4:$E706,$E706,$X$4:$X706,"="&amp;$X706))))</f>
        <v>DRUID#19</v>
      </c>
      <c r="AC706" s="41" t="str">
        <f>IF($C706="","",$B706&amp;"@"&amp;(COUNTIFS($B$4:$B$1463,$B706,$C$4:$C$1463,"&lt;"&amp;$C706)+COUNTIFS($B$4:$B706,$B706,$C$4:$C706,$C706)))</f>
        <v>ACHERON@46</v>
      </c>
      <c r="AD706" s="41">
        <f t="shared" si="54"/>
        <v>703</v>
      </c>
      <c r="AE706" s="41" t="s">
        <v>1750</v>
      </c>
      <c r="AF706" s="73">
        <f t="shared" si="55"/>
        <v>63340</v>
      </c>
      <c r="AG706" s="74">
        <f t="shared" si="56"/>
        <v>5.6</v>
      </c>
      <c r="AH706" s="41" t="str">
        <f>IF($C706="","",$B706&amp;"|"&amp;(COUNTIFS($B$4:$B$1463,$B706,$AF$4:$AF$1463,"&gt;"&amp;$AF706)+COUNTIFS($B$4:$B706,$B706,$AF$4:$AF706,"="&amp;$AF706)))</f>
        <v>ACHERON|15</v>
      </c>
      <c r="AI706" s="41" t="str">
        <f>IF($C706="","",$B706&amp;"|"&amp;(COUNTIFS($B$4:$B$1463,$B706,$AG$4:$AG$1463,"&gt;"&amp;$AG706)+COUNTIFS($B$4:$B706,$B706,$AG$4:$AG706,"="&amp;$AG706)))</f>
        <v>ACHERON|26</v>
      </c>
    </row>
    <row r="707" spans="1:35" hidden="1">
      <c r="A707" s="69" t="s">
        <v>106</v>
      </c>
      <c r="B707" s="69" t="s">
        <v>86</v>
      </c>
      <c r="C707" s="63" t="s">
        <v>1751</v>
      </c>
      <c r="D707" s="69"/>
      <c r="E707" s="68" t="s">
        <v>79</v>
      </c>
      <c r="F707" s="19" t="str">
        <f>IF($C707="","",IF($E707="","-",IFERROR(INDEX(SETUP!$B$55:$B$64,MATCH($E707,SETUP!$A$55:$A$64,0)),"Other")))</f>
        <v>Control</v>
      </c>
      <c r="G707" s="70">
        <v>63323</v>
      </c>
      <c r="H707" s="19" t="str">
        <f>IF($C707="","",IF($G707="","-",INDEX(SETUP!$B$26:$B$32,MATCH($G707,SETUP!$A$26:$A$32,1))))</f>
        <v>63,000 - 63,999</v>
      </c>
      <c r="I707" s="70">
        <v>7130</v>
      </c>
      <c r="J707" s="19" t="str">
        <f>IF($C707="","",IF($I707="","-",INDEX(SETUP!$B$16:$B$22,MATCH($I707,SETUP!$A$16:$A$22,1))))</f>
        <v>VETERAN</v>
      </c>
      <c r="K707" s="19" t="str">
        <f>IF($C707="","",IF($I707="","-",TEXT(INT($I707/1000)*1000,"#,##0")&amp;" - "&amp;TEXT(INT($I707/1000)*1000+999,"#,##0")))</f>
        <v>7,000 - 7,999</v>
      </c>
      <c r="L707" s="71">
        <v>5.68</v>
      </c>
      <c r="M707" s="19" t="str">
        <f>IF($C707="","",IF($L707="","-",INDEX(SETUP!$B$36:$B$42,MATCH($L707,SETUP!$A$36:$A$42,1))))</f>
        <v>5k - 6k</v>
      </c>
      <c r="N707" s="21">
        <f>IF($C707="","",IF(OR($G707="",$I707=""),"",ROUND(100*(SETUP!$B$4*MIN(1,$I707/SETUP!$B$9)+SETUP!$B$5*MAX(0,MIN(1,($G707-SETUP!$B$10)/(SETUP!$B$11-SETUP!$B$10)))+SETUP!$B$6*MIN(1,IF($L707="",0,$L707)/SETUP!$B$12)),1)))</f>
        <v>62.5</v>
      </c>
      <c r="O707" s="19" t="str">
        <f>IF($C707="","",IF($N707="","-",INDEX(SETUP!$B$46:$B$51,MATCH($N707,SETUP!$A$46:$A$51,1))))</f>
        <v>A</v>
      </c>
      <c r="P707" s="19">
        <f>IF($C707="","",IF($I707="","",RANK($I707,$I$4:$I$1463)+COUNTIF($I$4:$I707,$I707)-1))</f>
        <v>212</v>
      </c>
      <c r="Q707" s="19">
        <f>IF($C707="","",COUNTIFS($B$4:$B$1463,$B707,$X$4:$X$1463,"&gt;"&amp;$X707)+COUNTIFS($B$4:$B707,$B707,$X$4:$X707,"="&amp;$X707))</f>
        <v>45</v>
      </c>
      <c r="R707" s="75">
        <f>IF($C707="","",IF($I707="","",ROUND(COUNTIF($I$4:$I$1463,"&lt;"&amp;$I707)/COUNT($I$4:$I$1463),3)))</f>
        <v>0.83899999999999997</v>
      </c>
      <c r="S707" s="19" t="str">
        <f>IF($C707="","",IF($G707="","Name only",IF(OR($I707="",$L707=""),"Partial","Complete")))</f>
        <v>Complete</v>
      </c>
      <c r="T707" s="1" t="str">
        <f>IF($C707="","",TRIM(IF(COUNTIF($C$4:$C$1463,$C707)&gt;1,"Dup name; ","")&amp;IF(AND($G707&lt;&gt;"",$G707&lt;55000),"Low CR - verify; ","")&amp;IF(AND($L707&lt;&gt;"",$L707&gt;15),"Secondary - verify; ","")&amp;IF($E707="","No class; ","")))</f>
        <v/>
      </c>
      <c r="U707" s="68"/>
      <c r="V707" s="68"/>
      <c r="W707" s="68"/>
      <c r="X707" s="76">
        <f t="shared" si="52"/>
        <v>7130</v>
      </c>
      <c r="Y707" s="1" t="str">
        <f t="shared" si="53"/>
        <v>VANGUARD|45</v>
      </c>
      <c r="Z707" s="19">
        <f>IF($C707="","",IF($G707="","",RANK($G707,$G$4:$G$1463)+COUNTIF($G$4:$G707,$G707)-1))</f>
        <v>248</v>
      </c>
      <c r="AA707" s="19">
        <f>IF($C707="","",IF($N707="","",RANK($N707,$N$4:$N$1463)+COUNTIF($N$4:$N707,$N707)-1))</f>
        <v>208</v>
      </c>
      <c r="AB707" s="1" t="str">
        <f>IF($C707="","",IF($E707="","",$E707&amp;"#"&amp;(COUNTIFS($E$4:$E$1463,$E707,$X$4:$X$1463,"&gt;"&amp;$X707)+COUNTIFS($E$4:$E707,$E707,$X$4:$X707,"="&amp;$X707))))</f>
        <v>WARLOCK#46</v>
      </c>
      <c r="AC707" s="1" t="str">
        <f>IF($C707="","",$B707&amp;"@"&amp;(COUNTIFS($B$4:$B$1463,$B707,$C$4:$C$1463,"&lt;"&amp;$C707)+COUNTIFS($B$4:$B707,$B707,$C$4:$C707,$C707)))</f>
        <v>VANGUARD@51</v>
      </c>
      <c r="AD707" s="1">
        <f t="shared" si="54"/>
        <v>704</v>
      </c>
      <c r="AE707" s="1" t="s">
        <v>1752</v>
      </c>
      <c r="AF707" s="76">
        <f t="shared" si="55"/>
        <v>63323</v>
      </c>
      <c r="AG707" s="77">
        <f t="shared" si="56"/>
        <v>5.68</v>
      </c>
      <c r="AH707" s="1" t="str">
        <f>IF($C707="","",$B707&amp;"|"&amp;(COUNTIFS($B$4:$B$1463,$B707,$AF$4:$AF$1463,"&gt;"&amp;$AF707)+COUNTIFS($B$4:$B707,$B707,$AF$4:$AF707,"="&amp;$AF707)))</f>
        <v>VANGUARD|47</v>
      </c>
      <c r="AI707" s="1" t="str">
        <f>IF($C707="","",$B707&amp;"|"&amp;(COUNTIFS($B$4:$B$1463,$B707,$AG$4:$AG$1463,"&gt;"&amp;$AG707)+COUNTIFS($B$4:$B707,$B707,$AG$4:$AG707,"="&amp;$AG707)))</f>
        <v>VANGUARD|49</v>
      </c>
    </row>
    <row r="708" spans="1:35" hidden="1">
      <c r="A708" s="69" t="s">
        <v>109</v>
      </c>
      <c r="B708" s="69" t="s">
        <v>116</v>
      </c>
      <c r="C708" s="63" t="s">
        <v>1753</v>
      </c>
      <c r="D708" s="69" t="s">
        <v>530</v>
      </c>
      <c r="E708" s="68" t="s">
        <v>74</v>
      </c>
      <c r="F708" s="15" t="str">
        <f>IF($C708="","",IF($E708="","-",IFERROR(INDEX(SETUP!$B$55:$B$64,MATCH($E708,SETUP!$A$55:$A$64,0)),"Other")))</f>
        <v>Ranged DPS</v>
      </c>
      <c r="G708" s="70">
        <v>62889</v>
      </c>
      <c r="H708" s="15" t="str">
        <f>IF($C708="","",IF($G708="","-",INDEX(SETUP!$B$26:$B$32,MATCH($G708,SETUP!$A$26:$A$32,1))))</f>
        <v>62,000 - 62,999</v>
      </c>
      <c r="I708" s="70">
        <v>3422</v>
      </c>
      <c r="J708" s="15" t="str">
        <f>IF($C708="","",IF($I708="","-",INDEX(SETUP!$B$16:$B$22,MATCH($I708,SETUP!$A$16:$A$22,1))))</f>
        <v>DEVELOPING</v>
      </c>
      <c r="K708" s="15" t="str">
        <f>IF($C708="","",IF($I708="","-",TEXT(INT($I708/1000)*1000,"#,##0")&amp;" - "&amp;TEXT(INT($I708/1000)*1000+999,"#,##0")))</f>
        <v>3,000 - 3,999</v>
      </c>
      <c r="L708" s="71">
        <v>5.0999999999999996</v>
      </c>
      <c r="M708" s="15" t="str">
        <f>IF($C708="","",IF($L708="","-",INDEX(SETUP!$B$36:$B$42,MATCH($L708,SETUP!$A$36:$A$42,1))))</f>
        <v>5k - 6k</v>
      </c>
      <c r="N708" s="17">
        <f>IF($C708="","",IF(OR($G708="",$I708=""),"",ROUND(100*(SETUP!$B$4*MIN(1,$I708/SETUP!$B$9)+SETUP!$B$5*MAX(0,MIN(1,($G708-SETUP!$B$10)/(SETUP!$B$11-SETUP!$B$10)))+SETUP!$B$6*MIN(1,IF($L708="",0,$L708)/SETUP!$B$12)),1)))</f>
        <v>44.2</v>
      </c>
      <c r="O708" s="15" t="str">
        <f>IF($C708="","",IF($N708="","-",INDEX(SETUP!$B$46:$B$51,MATCH($N708,SETUP!$A$46:$A$51,1))))</f>
        <v>B</v>
      </c>
      <c r="P708" s="15">
        <f>IF($C708="","",IF($I708="","",RANK($I708,$I$4:$I$1463)+COUNTIF($I$4:$I708,$I708)-1))</f>
        <v>751</v>
      </c>
      <c r="Q708" s="15">
        <f>IF($C708="","",COUNTIFS($B$4:$B$1463,$B708,$X$4:$X$1463,"&gt;"&amp;$X708)+COUNTIFS($B$4:$B708,$B708,$X$4:$X708,"="&amp;$X708))</f>
        <v>46</v>
      </c>
      <c r="R708" s="72">
        <f>IF($C708="","",IF($I708="","",ROUND(COUNTIF($I$4:$I$1463,"&lt;"&amp;$I708)/COUNT($I$4:$I$1463),3)))</f>
        <v>0.433</v>
      </c>
      <c r="S708" s="15" t="str">
        <f>IF($C708="","",IF($G708="","Name only",IF(OR($I708="",$L708=""),"Partial","Complete")))</f>
        <v>Complete</v>
      </c>
      <c r="T708" s="41" t="str">
        <f>IF($C708="","",TRIM(IF(COUNTIF($C$4:$C$1463,$C708)&gt;1,"Dup name; ","")&amp;IF(AND($G708&lt;&gt;"",$G708&lt;55000),"Low CR - verify; ","")&amp;IF(AND($L708&lt;&gt;"",$L708&gt;15),"Secondary - verify; ","")&amp;IF($E708="","No class; ","")))</f>
        <v/>
      </c>
      <c r="U708" s="68"/>
      <c r="V708" s="68"/>
      <c r="W708" s="68"/>
      <c r="X708" s="73">
        <f t="shared" ref="X708:X771" si="57">IF($C708="","",IF($I708="",-1,$I708))</f>
        <v>3422</v>
      </c>
      <c r="Y708" s="41" t="str">
        <f t="shared" ref="Y708:Y771" si="58">IF($C708="","",$B708&amp;"|"&amp;$Q708)</f>
        <v>VENGEANCE|46</v>
      </c>
      <c r="Z708" s="15">
        <f>IF($C708="","",IF($G708="","",RANK($G708,$G$4:$G$1463)+COUNTIF($G$4:$G708,$G708)-1))</f>
        <v>478</v>
      </c>
      <c r="AA708" s="15">
        <f>IF($C708="","",IF($N708="","",RANK($N708,$N$4:$N$1463)+COUNTIF($N$4:$N708,$N708)-1))</f>
        <v>656</v>
      </c>
      <c r="AB708" s="41" t="str">
        <f>IF($C708="","",IF($E708="","",$E708&amp;"#"&amp;(COUNTIFS($E$4:$E$1463,$E708,$X$4:$X$1463,"&gt;"&amp;$X708)+COUNTIFS($E$4:$E708,$E708,$X$4:$X708,"="&amp;$X708))))</f>
        <v>DEMON HUNTER#120</v>
      </c>
      <c r="AC708" s="41" t="str">
        <f>IF($C708="","",$B708&amp;"@"&amp;(COUNTIFS($B$4:$B$1463,$B708,$C$4:$C$1463,"&lt;"&amp;$C708)+COUNTIFS($B$4:$B708,$B708,$C$4:$C708,$C708)))</f>
        <v>VENGEANCE@43</v>
      </c>
      <c r="AD708" s="41">
        <f t="shared" ref="AD708:AD771" si="59">IF($C708="","",ROW()-4+1)</f>
        <v>705</v>
      </c>
      <c r="AE708" s="41" t="s">
        <v>559</v>
      </c>
      <c r="AF708" s="73">
        <f t="shared" ref="AF708:AF771" si="60">IF($C708="","",IF($G708="",-1,$G708))</f>
        <v>62889</v>
      </c>
      <c r="AG708" s="74">
        <f t="shared" ref="AG708:AG771" si="61">IF($C708="","",IF($L708="",-1,$L708))</f>
        <v>5.0999999999999996</v>
      </c>
      <c r="AH708" s="41" t="str">
        <f>IF($C708="","",$B708&amp;"|"&amp;(COUNTIFS($B$4:$B$1463,$B708,$AF$4:$AF$1463,"&gt;"&amp;$AF708)+COUNTIFS($B$4:$B708,$B708,$AF$4:$AF708,"="&amp;$AF708)))</f>
        <v>VENGEANCE|24</v>
      </c>
      <c r="AI708" s="41" t="str">
        <f>IF($C708="","",$B708&amp;"|"&amp;(COUNTIFS($B$4:$B$1463,$B708,$AG$4:$AG$1463,"&gt;"&amp;$AG708)+COUNTIFS($B$4:$B708,$B708,$AG$4:$AG708,"="&amp;$AG708)))</f>
        <v>VENGEANCE|28</v>
      </c>
    </row>
    <row r="709" spans="1:35" hidden="1">
      <c r="A709" s="69" t="s">
        <v>109</v>
      </c>
      <c r="B709" s="69" t="s">
        <v>111</v>
      </c>
      <c r="C709" s="63" t="s">
        <v>1754</v>
      </c>
      <c r="D709" s="69" t="s">
        <v>527</v>
      </c>
      <c r="E709" s="68" t="s">
        <v>75</v>
      </c>
      <c r="F709" s="19" t="str">
        <f>IF($C709="","",IF($E709="","-",IFERROR(INDEX(SETUP!$B$55:$B$64,MATCH($E709,SETUP!$A$55:$A$64,0)),"Other")))</f>
        <v>Support</v>
      </c>
      <c r="G709" s="70">
        <v>63415</v>
      </c>
      <c r="H709" s="19" t="str">
        <f>IF($C709="","",IF($G709="","-",INDEX(SETUP!$B$26:$B$32,MATCH($G709,SETUP!$A$26:$A$32,1))))</f>
        <v>63,000 - 63,999</v>
      </c>
      <c r="I709" s="70">
        <v>4520</v>
      </c>
      <c r="J709" s="19" t="str">
        <f>IF($C709="","",IF($I709="","-",INDEX(SETUP!$B$16:$B$22,MATCH($I709,SETUP!$A$16:$A$22,1))))</f>
        <v>CORE</v>
      </c>
      <c r="K709" s="19" t="str">
        <f>IF($C709="","",IF($I709="","-",TEXT(INT($I709/1000)*1000,"#,##0")&amp;" - "&amp;TEXT(INT($I709/1000)*1000+999,"#,##0")))</f>
        <v>4,000 - 4,999</v>
      </c>
      <c r="L709" s="71">
        <v>5.3</v>
      </c>
      <c r="M709" s="19" t="str">
        <f>IF($C709="","",IF($L709="","-",INDEX(SETUP!$B$36:$B$42,MATCH($L709,SETUP!$A$36:$A$42,1))))</f>
        <v>5k - 6k</v>
      </c>
      <c r="N709" s="21">
        <f>IF($C709="","",IF(OR($G709="",$I709=""),"",ROUND(100*(SETUP!$B$4*MIN(1,$I709/SETUP!$B$9)+SETUP!$B$5*MAX(0,MIN(1,($G709-SETUP!$B$10)/(SETUP!$B$11-SETUP!$B$10)))+SETUP!$B$6*MIN(1,IF($L709="",0,$L709)/SETUP!$B$12)),1)))</f>
        <v>50.7</v>
      </c>
      <c r="O709" s="19" t="str">
        <f>IF($C709="","",IF($N709="","-",INDEX(SETUP!$B$46:$B$51,MATCH($N709,SETUP!$A$46:$A$51,1))))</f>
        <v>A</v>
      </c>
      <c r="P709" s="19">
        <f>IF($C709="","",IF($I709="","",RANK($I709,$I$4:$I$1463)+COUNTIF($I$4:$I709,$I709)-1))</f>
        <v>490</v>
      </c>
      <c r="Q709" s="19">
        <f>IF($C709="","",COUNTIFS($B$4:$B$1463,$B709,$X$4:$X$1463,"&gt;"&amp;$X709)+COUNTIFS($B$4:$B709,$B709,$X$4:$X709,"="&amp;$X709))</f>
        <v>53</v>
      </c>
      <c r="R709" s="75">
        <f>IF($C709="","",IF($I709="","",ROUND(COUNTIF($I$4:$I$1463,"&lt;"&amp;$I709)/COUNT($I$4:$I$1463),3)))</f>
        <v>0.63</v>
      </c>
      <c r="S709" s="19" t="str">
        <f>IF($C709="","",IF($G709="","Name only",IF(OR($I709="",$L709=""),"Partial","Complete")))</f>
        <v>Complete</v>
      </c>
      <c r="T709" s="1" t="str">
        <f>IF($C709="","",TRIM(IF(COUNTIF($C$4:$C$1463,$C709)&gt;1,"Dup name; ","")&amp;IF(AND($G709&lt;&gt;"",$G709&lt;55000),"Low CR - verify; ","")&amp;IF(AND($L709&lt;&gt;"",$L709&gt;15),"Secondary - verify; ","")&amp;IF($E709="","No class; ","")))</f>
        <v/>
      </c>
      <c r="U709" s="68"/>
      <c r="V709" s="68"/>
      <c r="W709" s="68"/>
      <c r="X709" s="76">
        <f t="shared" si="57"/>
        <v>4520</v>
      </c>
      <c r="Y709" s="1" t="str">
        <f t="shared" si="58"/>
        <v>RECKONING|53</v>
      </c>
      <c r="Z709" s="19">
        <f>IF($C709="","",IF($G709="","",RANK($G709,$G$4:$G$1463)+COUNTIF($G$4:$G709,$G709)-1))</f>
        <v>215</v>
      </c>
      <c r="AA709" s="19">
        <f>IF($C709="","",IF($N709="","",RANK($N709,$N$4:$N$1463)+COUNTIF($N$4:$N709,$N709)-1))</f>
        <v>436</v>
      </c>
      <c r="AB709" s="1" t="str">
        <f>IF($C709="","",IF($E709="","",$E709&amp;"#"&amp;(COUNTIFS($E$4:$E$1463,$E709,$X$4:$X$1463,"&gt;"&amp;$X709)+COUNTIFS($E$4:$E709,$E709,$X$4:$X709,"="&amp;$X709))))</f>
        <v>DRUID#23</v>
      </c>
      <c r="AC709" s="1" t="str">
        <f>IF($C709="","",$B709&amp;"@"&amp;(COUNTIFS($B$4:$B$1463,$B709,$C$4:$C$1463,"&lt;"&amp;$C709)+COUNTIFS($B$4:$B709,$B709,$C$4:$C709,$C709)))</f>
        <v>RECKONING@52</v>
      </c>
      <c r="AD709" s="1">
        <f t="shared" si="59"/>
        <v>706</v>
      </c>
      <c r="AE709" s="1" t="s">
        <v>1755</v>
      </c>
      <c r="AF709" s="76">
        <f t="shared" si="60"/>
        <v>63415</v>
      </c>
      <c r="AG709" s="77">
        <f t="shared" si="61"/>
        <v>5.3</v>
      </c>
      <c r="AH709" s="1" t="str">
        <f>IF($C709="","",$B709&amp;"|"&amp;(COUNTIFS($B$4:$B$1463,$B709,$AF$4:$AF$1463,"&gt;"&amp;$AF709)+COUNTIFS($B$4:$B709,$B709,$AF$4:$AF709,"="&amp;$AF709)))</f>
        <v>RECKONING|23</v>
      </c>
      <c r="AI709" s="1" t="str">
        <f>IF($C709="","",$B709&amp;"|"&amp;(COUNTIFS($B$4:$B$1463,$B709,$AG$4:$AG$1463,"&gt;"&amp;$AG709)+COUNTIFS($B$4:$B709,$B709,$AG$4:$AG709,"="&amp;$AG709)))</f>
        <v>RECKONING|54</v>
      </c>
    </row>
    <row r="710" spans="1:35">
      <c r="A710" s="69" t="s">
        <v>104</v>
      </c>
      <c r="B710" s="69" t="s">
        <v>66</v>
      </c>
      <c r="C710" s="63" t="s">
        <v>340</v>
      </c>
      <c r="D710" s="69"/>
      <c r="E710" s="68" t="s">
        <v>76</v>
      </c>
      <c r="F710" s="15" t="str">
        <f>IF($C710="","",IF($E710="","-",IFERROR(INDEX(SETUP!$B$55:$B$64,MATCH($E710,SETUP!$A$55:$A$64,0)),"Other")))</f>
        <v>Support</v>
      </c>
      <c r="G710" s="70">
        <v>61636</v>
      </c>
      <c r="H710" s="15" t="str">
        <f>IF($C710="","",IF($G710="","-",INDEX(SETUP!$B$26:$B$32,MATCH($G710,SETUP!$A$26:$A$32,1))))</f>
        <v>61,000 - 61,999</v>
      </c>
      <c r="I710" s="70">
        <v>4430</v>
      </c>
      <c r="J710" s="15" t="str">
        <f>IF($C710="","",IF($I710="","-",INDEX(SETUP!$B$16:$B$22,MATCH($I710,SETUP!$A$16:$A$22,1))))</f>
        <v>CORE</v>
      </c>
      <c r="K710" s="15" t="str">
        <f>IF($C710="","",IF($I710="","-",TEXT(INT($I710/1000)*1000,"#,##0")&amp;" - "&amp;TEXT(INT($I710/1000)*1000+999,"#,##0")))</f>
        <v>4,000 - 4,999</v>
      </c>
      <c r="L710" s="71">
        <v>4.91</v>
      </c>
      <c r="M710" s="15" t="str">
        <f>IF($C710="","",IF($L710="","-",INDEX(SETUP!$B$36:$B$42,MATCH($L710,SETUP!$A$36:$A$42,1))))</f>
        <v>4k - 5k</v>
      </c>
      <c r="N710" s="17">
        <f>IF($C710="","",IF(OR($G710="",$I710=""),"",ROUND(100*(SETUP!$B$4*MIN(1,$I710/SETUP!$B$9)+SETUP!$B$5*MAX(0,MIN(1,($G710-SETUP!$B$10)/(SETUP!$B$11-SETUP!$B$10)))+SETUP!$B$6*MIN(1,IF($L710="",0,$L710)/SETUP!$B$12)),1)))</f>
        <v>45</v>
      </c>
      <c r="O710" s="15" t="str">
        <f>IF($C710="","",IF($N710="","-",INDEX(SETUP!$B$46:$B$51,MATCH($N710,SETUP!$A$46:$A$51,1))))</f>
        <v>B</v>
      </c>
      <c r="P710" s="15">
        <f>IF($C710="","",IF($I710="","",RANK($I710,$I$4:$I$1463)+COUNTIF($I$4:$I710,$I710)-1))</f>
        <v>508</v>
      </c>
      <c r="Q710" s="15">
        <f>IF($C710="","",COUNTIFS($B$4:$B$1463,$B710,$X$4:$X$1463,"&gt;"&amp;$X710)+COUNTIFS($B$4:$B710,$B710,$X$4:$X710,"="&amp;$X710))</f>
        <v>51</v>
      </c>
      <c r="R710" s="72">
        <f>IF($C710="","",IF($I710="","",ROUND(COUNTIF($I$4:$I$1463,"&lt;"&amp;$I710)/COUNT($I$4:$I$1463),3)))</f>
        <v>0.61699999999999999</v>
      </c>
      <c r="S710" s="15" t="str">
        <f>IF($C710="","",IF($G710="","Name only",IF(OR($I710="",$L710=""),"Partial","Complete")))</f>
        <v>Complete</v>
      </c>
      <c r="T710" s="41" t="str">
        <f>IF($C710="","",TRIM(IF(COUNTIF($C$4:$C$1463,$C710)&gt;1,"Dup name; ","")&amp;IF(AND($G710&lt;&gt;"",$G710&lt;55000),"Low CR - verify; ","")&amp;IF(AND($L710&lt;&gt;"",$L710&gt;15),"Secondary - verify; ","")&amp;IF($E710="","No class; ","")))</f>
        <v/>
      </c>
      <c r="U710" s="68" t="s">
        <v>270</v>
      </c>
      <c r="V710" s="68" t="s">
        <v>66</v>
      </c>
      <c r="W710" s="68" t="s">
        <v>285</v>
      </c>
      <c r="X710" s="73">
        <f t="shared" si="57"/>
        <v>4430</v>
      </c>
      <c r="Y710" s="41" t="str">
        <f t="shared" si="58"/>
        <v>FUCT|51</v>
      </c>
      <c r="Z710" s="15">
        <f>IF($C710="","",IF($G710="","",RANK($G710,$G$4:$G$1463)+COUNTIF($G$4:$G710,$G710)-1))</f>
        <v>965</v>
      </c>
      <c r="AA710" s="15">
        <f>IF($C710="","",IF($N710="","",RANK($N710,$N$4:$N$1463)+COUNTIF($N$4:$N710,$N710)-1))</f>
        <v>624</v>
      </c>
      <c r="AB710" s="41" t="str">
        <f>IF($C710="","",IF($E710="","",$E710&amp;"#"&amp;(COUNTIFS($E$4:$E$1463,$E710,$X$4:$X$1463,"&gt;"&amp;$X710)+COUNTIFS($E$4:$E710,$E710,$X$4:$X710,"="&amp;$X710))))</f>
        <v>MONK#20</v>
      </c>
      <c r="AC710" s="41" t="str">
        <f>IF($C710="","",$B710&amp;"@"&amp;(COUNTIFS($B$4:$B$1463,$B710,$C$4:$C$1463,"&lt;"&amp;$C710)+COUNTIFS($B$4:$B710,$B710,$C$4:$C710,$C710)))</f>
        <v>FUCT@51</v>
      </c>
      <c r="AD710" s="41">
        <f t="shared" si="59"/>
        <v>707</v>
      </c>
      <c r="AE710" s="41" t="s">
        <v>1756</v>
      </c>
      <c r="AF710" s="73">
        <f t="shared" si="60"/>
        <v>61636</v>
      </c>
      <c r="AG710" s="74">
        <f t="shared" si="61"/>
        <v>4.91</v>
      </c>
      <c r="AH710" s="41" t="str">
        <f>IF($C710="","",$B710&amp;"|"&amp;(COUNTIFS($B$4:$B$1463,$B710,$AF$4:$AF$1463,"&gt;"&amp;$AF710)+COUNTIFS($B$4:$B710,$B710,$AF$4:$AF710,"="&amp;$AF710)))</f>
        <v>FUCT|90</v>
      </c>
      <c r="AI710" s="41" t="str">
        <f>IF($C710="","",$B710&amp;"|"&amp;(COUNTIFS($B$4:$B$1463,$B710,$AG$4:$AG$1463,"&gt;"&amp;$AG710)+COUNTIFS($B$4:$B710,$B710,$AG$4:$AG710,"="&amp;$AG710)))</f>
        <v>FUCT|53</v>
      </c>
    </row>
    <row r="711" spans="1:35" hidden="1">
      <c r="A711" s="69" t="s">
        <v>109</v>
      </c>
      <c r="B711" s="69" t="s">
        <v>115</v>
      </c>
      <c r="C711" s="63" t="s">
        <v>1757</v>
      </c>
      <c r="D711" s="69"/>
      <c r="E711" s="68" t="s">
        <v>74</v>
      </c>
      <c r="F711" s="19" t="str">
        <f>IF($C711="","",IF($E711="","-",IFERROR(INDEX(SETUP!$B$55:$B$64,MATCH($E711,SETUP!$A$55:$A$64,0)),"Other")))</f>
        <v>Ranged DPS</v>
      </c>
      <c r="G711" s="70">
        <v>62616</v>
      </c>
      <c r="H711" s="19" t="str">
        <f>IF($C711="","",IF($G711="","-",INDEX(SETUP!$B$26:$B$32,MATCH($G711,SETUP!$A$26:$A$32,1))))</f>
        <v>62,000 - 62,999</v>
      </c>
      <c r="I711" s="70">
        <v>1969</v>
      </c>
      <c r="J711" s="19" t="str">
        <f>IF($C711="","",IF($I711="","-",INDEX(SETUP!$B$16:$B$22,MATCH($I711,SETUP!$A$16:$A$22,1))))</f>
        <v>ROOKIE</v>
      </c>
      <c r="K711" s="19" t="str">
        <f>IF($C711="","",IF($I711="","-",TEXT(INT($I711/1000)*1000,"#,##0")&amp;" - "&amp;TEXT(INT($I711/1000)*1000+999,"#,##0")))</f>
        <v>1,000 - 1,999</v>
      </c>
      <c r="L711" s="71">
        <v>4</v>
      </c>
      <c r="M711" s="19" t="str">
        <f>IF($C711="","",IF($L711="","-",INDEX(SETUP!$B$36:$B$42,MATCH($L711,SETUP!$A$36:$A$42,1))))</f>
        <v>4k - 5k</v>
      </c>
      <c r="N711" s="21">
        <f>IF($C711="","",IF(OR($G711="",$I711=""),"",ROUND(100*(SETUP!$B$4*MIN(1,$I711/SETUP!$B$9)+SETUP!$B$5*MAX(0,MIN(1,($G711-SETUP!$B$10)/(SETUP!$B$11-SETUP!$B$10)))+SETUP!$B$6*MIN(1,IF($L711="",0,$L711)/SETUP!$B$12)),1)))</f>
        <v>35.299999999999997</v>
      </c>
      <c r="O711" s="19" t="str">
        <f>IF($C711="","",IF($N711="","-",INDEX(SETUP!$B$46:$B$51,MATCH($N711,SETUP!$A$46:$A$51,1))))</f>
        <v>B</v>
      </c>
      <c r="P711" s="19">
        <f>IF($C711="","",IF($I711="","",RANK($I711,$I$4:$I$1463)+COUNTIF($I$4:$I711,$I711)-1))</f>
        <v>1122</v>
      </c>
      <c r="Q711" s="19">
        <f>IF($C711="","",COUNTIFS($B$4:$B$1463,$B711,$X$4:$X$1463,"&gt;"&amp;$X711)+COUNTIFS($B$4:$B711,$B711,$X$4:$X711,"="&amp;$X711))</f>
        <v>45</v>
      </c>
      <c r="R711" s="75">
        <f>IF($C711="","",IF($I711="","",ROUND(COUNTIF($I$4:$I$1463,"&lt;"&amp;$I711)/COUNT($I$4:$I$1463),3)))</f>
        <v>0.152</v>
      </c>
      <c r="S711" s="19" t="str">
        <f>IF($C711="","",IF($G711="","Name only",IF(OR($I711="",$L711=""),"Partial","Complete")))</f>
        <v>Complete</v>
      </c>
      <c r="T711" s="1" t="str">
        <f>IF($C711="","",TRIM(IF(COUNTIF($C$4:$C$1463,$C711)&gt;1,"Dup name; ","")&amp;IF(AND($G711&lt;&gt;"",$G711&lt;55000),"Low CR - verify; ","")&amp;IF(AND($L711&lt;&gt;"",$L711&gt;15),"Secondary - verify; ","")&amp;IF($E711="","No class; ","")))</f>
        <v/>
      </c>
      <c r="U711" s="68"/>
      <c r="V711" s="68"/>
      <c r="W711" s="68"/>
      <c r="X711" s="76">
        <f t="shared" si="57"/>
        <v>1969</v>
      </c>
      <c r="Y711" s="1" t="str">
        <f t="shared" si="58"/>
        <v>SUB ROSA|45</v>
      </c>
      <c r="Z711" s="19">
        <f>IF($C711="","",IF($G711="","",RANK($G711,$G$4:$G$1463)+COUNTIF($G$4:$G711,$G711)-1))</f>
        <v>604</v>
      </c>
      <c r="AA711" s="19">
        <f>IF($C711="","",IF($N711="","",RANK($N711,$N$4:$N$1463)+COUNTIF($N$4:$N711,$N711)-1))</f>
        <v>996</v>
      </c>
      <c r="AB711" s="1" t="str">
        <f>IF($C711="","",IF($E711="","",$E711&amp;"#"&amp;(COUNTIFS($E$4:$E$1463,$E711,$X$4:$X$1463,"&gt;"&amp;$X711)+COUNTIFS($E$4:$E711,$E711,$X$4:$X711,"="&amp;$X711))))</f>
        <v>DEMON HUNTER#172</v>
      </c>
      <c r="AC711" s="1" t="str">
        <f>IF($C711="","",$B711&amp;"@"&amp;(COUNTIFS($B$4:$B$1463,$B711,$C$4:$C$1463,"&lt;"&amp;$C711)+COUNTIFS($B$4:$B711,$B711,$C$4:$C711,$C711)))</f>
        <v>SUB ROSA@47</v>
      </c>
      <c r="AD711" s="1">
        <f t="shared" si="59"/>
        <v>708</v>
      </c>
      <c r="AE711" s="1" t="s">
        <v>1081</v>
      </c>
      <c r="AF711" s="76">
        <f t="shared" si="60"/>
        <v>62616</v>
      </c>
      <c r="AG711" s="77">
        <f t="shared" si="61"/>
        <v>4</v>
      </c>
      <c r="AH711" s="1" t="str">
        <f>IF($C711="","",$B711&amp;"|"&amp;(COUNTIFS($B$4:$B$1463,$B711,$AF$4:$AF$1463,"&gt;"&amp;$AF711)+COUNTIFS($B$4:$B711,$B711,$AF$4:$AF711,"="&amp;$AF711)))</f>
        <v>SUB ROSA|19</v>
      </c>
      <c r="AI711" s="1" t="str">
        <f>IF($C711="","",$B711&amp;"|"&amp;(COUNTIFS($B$4:$B$1463,$B711,$AG$4:$AG$1463,"&gt;"&amp;$AG711)+COUNTIFS($B$4:$B711,$B711,$AG$4:$AG711,"="&amp;$AG711)))</f>
        <v>SUB ROSA|29</v>
      </c>
    </row>
    <row r="712" spans="1:35" hidden="1">
      <c r="A712" s="69" t="s">
        <v>106</v>
      </c>
      <c r="B712" s="69" t="s">
        <v>107</v>
      </c>
      <c r="C712" s="63" t="s">
        <v>1758</v>
      </c>
      <c r="D712" s="69"/>
      <c r="E712" s="68" t="s">
        <v>78</v>
      </c>
      <c r="F712" s="15" t="str">
        <f>IF($C712="","",IF($E712="","-",IFERROR(INDEX(SETUP!$B$55:$B$64,MATCH($E712,SETUP!$A$55:$A$64,0)),"Other")))</f>
        <v>Melee DPS</v>
      </c>
      <c r="G712" s="70">
        <v>62047</v>
      </c>
      <c r="H712" s="15" t="str">
        <f>IF($C712="","",IF($G712="","-",INDEX(SETUP!$B$26:$B$32,MATCH($G712,SETUP!$A$26:$A$32,1))))</f>
        <v>62,000 - 62,999</v>
      </c>
      <c r="I712" s="70">
        <v>2840</v>
      </c>
      <c r="J712" s="15" t="str">
        <f>IF($C712="","",IF($I712="","-",INDEX(SETUP!$B$16:$B$22,MATCH($I712,SETUP!$A$16:$A$22,1))))</f>
        <v>DEVELOPING</v>
      </c>
      <c r="K712" s="15" t="str">
        <f>IF($C712="","",IF($I712="","-",TEXT(INT($I712/1000)*1000,"#,##0")&amp;" - "&amp;TEXT(INT($I712/1000)*1000+999,"#,##0")))</f>
        <v>2,000 - 2,999</v>
      </c>
      <c r="L712" s="71">
        <v>5.45</v>
      </c>
      <c r="M712" s="15" t="str">
        <f>IF($C712="","",IF($L712="","-",INDEX(SETUP!$B$36:$B$42,MATCH($L712,SETUP!$A$36:$A$42,1))))</f>
        <v>5k - 6k</v>
      </c>
      <c r="N712" s="17">
        <f>IF($C712="","",IF(OR($G712="",$I712=""),"",ROUND(100*(SETUP!$B$4*MIN(1,$I712/SETUP!$B$9)+SETUP!$B$5*MAX(0,MIN(1,($G712-SETUP!$B$10)/(SETUP!$B$11-SETUP!$B$10)))+SETUP!$B$6*MIN(1,IF($L712="",0,$L712)/SETUP!$B$12)),1)))</f>
        <v>40</v>
      </c>
      <c r="O712" s="15" t="str">
        <f>IF($C712="","",IF($N712="","-",INDEX(SETUP!$B$46:$B$51,MATCH($N712,SETUP!$A$46:$A$51,1))))</f>
        <v>B</v>
      </c>
      <c r="P712" s="15">
        <f>IF($C712="","",IF($I712="","",RANK($I712,$I$4:$I$1463)+COUNTIF($I$4:$I712,$I712)-1))</f>
        <v>923</v>
      </c>
      <c r="Q712" s="15">
        <f>IF($C712="","",COUNTIFS($B$4:$B$1463,$B712,$X$4:$X$1463,"&gt;"&amp;$X712)+COUNTIFS($B$4:$B712,$B712,$X$4:$X712,"="&amp;$X712))</f>
        <v>85</v>
      </c>
      <c r="R712" s="72">
        <f>IF($C712="","",IF($I712="","",ROUND(COUNTIF($I$4:$I$1463,"&lt;"&amp;$I712)/COUNT($I$4:$I$1463),3)))</f>
        <v>0.30299999999999999</v>
      </c>
      <c r="S712" s="15" t="str">
        <f>IF($C712="","",IF($G712="","Name only",IF(OR($I712="",$L712=""),"Partial","Complete")))</f>
        <v>Complete</v>
      </c>
      <c r="T712" s="41" t="str">
        <f>IF($C712="","",TRIM(IF(COUNTIF($C$4:$C$1463,$C712)&gt;1,"Dup name; ","")&amp;IF(AND($G712&lt;&gt;"",$G712&lt;55000),"Low CR - verify; ","")&amp;IF(AND($L712&lt;&gt;"",$L712&gt;15),"Secondary - verify; ","")&amp;IF($E712="","No class; ","")))</f>
        <v/>
      </c>
      <c r="U712" s="68"/>
      <c r="V712" s="68"/>
      <c r="W712" s="68"/>
      <c r="X712" s="73">
        <f t="shared" si="57"/>
        <v>2840</v>
      </c>
      <c r="Y712" s="41" t="str">
        <f t="shared" si="58"/>
        <v>UNDYING|85</v>
      </c>
      <c r="Z712" s="15">
        <f>IF($C712="","",IF($G712="","",RANK($G712,$G$4:$G$1463)+COUNTIF($G$4:$G712,$G712)-1))</f>
        <v>817</v>
      </c>
      <c r="AA712" s="15">
        <f>IF($C712="","",IF($N712="","",RANK($N712,$N$4:$N$1463)+COUNTIF($N$4:$N712,$N712)-1))</f>
        <v>819</v>
      </c>
      <c r="AB712" s="41" t="str">
        <f>IF($C712="","",IF($E712="","",$E712&amp;"#"&amp;(COUNTIFS($E$4:$E$1463,$E712,$X$4:$X$1463,"&gt;"&amp;$X712)+COUNTIFS($E$4:$E712,$E712,$X$4:$X712,"="&amp;$X712))))</f>
        <v>TEMPEST#40</v>
      </c>
      <c r="AC712" s="41" t="str">
        <f>IF($C712="","",$B712&amp;"@"&amp;(COUNTIFS($B$4:$B$1463,$B712,$C$4:$C$1463,"&lt;"&amp;$C712)+COUNTIFS($B$4:$B712,$B712,$C$4:$C712,$C712)))</f>
        <v>UNDYING@62</v>
      </c>
      <c r="AD712" s="41">
        <f t="shared" si="59"/>
        <v>709</v>
      </c>
      <c r="AE712" s="41" t="s">
        <v>1759</v>
      </c>
      <c r="AF712" s="73">
        <f t="shared" si="60"/>
        <v>62047</v>
      </c>
      <c r="AG712" s="74">
        <f t="shared" si="61"/>
        <v>5.45</v>
      </c>
      <c r="AH712" s="41" t="str">
        <f>IF($C712="","",$B712&amp;"|"&amp;(COUNTIFS($B$4:$B$1463,$B712,$AF$4:$AF$1463,"&gt;"&amp;$AF712)+COUNTIFS($B$4:$B712,$B712,$AF$4:$AF712,"="&amp;$AF712)))</f>
        <v>UNDYING|80</v>
      </c>
      <c r="AI712" s="41" t="str">
        <f>IF($C712="","",$B712&amp;"|"&amp;(COUNTIFS($B$4:$B$1463,$B712,$AG$4:$AG$1463,"&gt;"&amp;$AG712)+COUNTIFS($B$4:$B712,$B712,$AG$4:$AG712,"="&amp;$AG712)))</f>
        <v>UNDYING|40</v>
      </c>
    </row>
    <row r="713" spans="1:35" hidden="1">
      <c r="A713" s="69" t="s">
        <v>106</v>
      </c>
      <c r="B713" s="69" t="s">
        <v>86</v>
      </c>
      <c r="C713" s="63" t="s">
        <v>1760</v>
      </c>
      <c r="D713" s="69"/>
      <c r="E713" s="68" t="s">
        <v>74</v>
      </c>
      <c r="F713" s="19" t="str">
        <f>IF($C713="","",IF($E713="","-",IFERROR(INDEX(SETUP!$B$55:$B$64,MATCH($E713,SETUP!$A$55:$A$64,0)),"Other")))</f>
        <v>Ranged DPS</v>
      </c>
      <c r="G713" s="70">
        <v>63947</v>
      </c>
      <c r="H713" s="19" t="str">
        <f>IF($C713="","",IF($G713="","-",INDEX(SETUP!$B$26:$B$32,MATCH($G713,SETUP!$A$26:$A$32,1))))</f>
        <v>63,000 - 63,999</v>
      </c>
      <c r="I713" s="70">
        <v>9120</v>
      </c>
      <c r="J713" s="19" t="str">
        <f>IF($C713="","",IF($I713="","-",INDEX(SETUP!$B$16:$B$22,MATCH($I713,SETUP!$A$16:$A$22,1))))</f>
        <v>ELITE</v>
      </c>
      <c r="K713" s="19" t="str">
        <f>IF($C713="","",IF($I713="","-",TEXT(INT($I713/1000)*1000,"#,##0")&amp;" - "&amp;TEXT(INT($I713/1000)*1000+999,"#,##0")))</f>
        <v>9,000 - 9,999</v>
      </c>
      <c r="L713" s="71">
        <v>9.4</v>
      </c>
      <c r="M713" s="19" t="str">
        <f>IF($C713="","",IF($L713="","-",INDEX(SETUP!$B$36:$B$42,MATCH($L713,SETUP!$A$36:$A$42,1))))</f>
        <v>8k - 10k</v>
      </c>
      <c r="N713" s="21">
        <f>IF($C713="","",IF(OR($G713="",$I713=""),"",ROUND(100*(SETUP!$B$4*MIN(1,$I713/SETUP!$B$9)+SETUP!$B$5*MAX(0,MIN(1,($G713-SETUP!$B$10)/(SETUP!$B$11-SETUP!$B$10)))+SETUP!$B$6*MIN(1,IF($L713="",0,$L713)/SETUP!$B$12)),1)))</f>
        <v>79</v>
      </c>
      <c r="O713" s="19" t="str">
        <f>IF($C713="","",IF($N713="","-",INDEX(SETUP!$B$46:$B$51,MATCH($N713,SETUP!$A$46:$A$51,1))))</f>
        <v>S</v>
      </c>
      <c r="P713" s="19">
        <f>IF($C713="","",IF($I713="","",RANK($I713,$I$4:$I$1463)+COUNTIF($I$4:$I713,$I713)-1))</f>
        <v>88</v>
      </c>
      <c r="Q713" s="19">
        <f>IF($C713="","",COUNTIFS($B$4:$B$1463,$B713,$X$4:$X$1463,"&gt;"&amp;$X713)+COUNTIFS($B$4:$B713,$B713,$X$4:$X713,"="&amp;$X713))</f>
        <v>20</v>
      </c>
      <c r="R713" s="75">
        <f>IF($C713="","",IF($I713="","",ROUND(COUNTIF($I$4:$I$1463,"&lt;"&amp;$I713)/COUNT($I$4:$I$1463),3)))</f>
        <v>0.93400000000000005</v>
      </c>
      <c r="S713" s="19" t="str">
        <f>IF($C713="","",IF($G713="","Name only",IF(OR($I713="",$L713=""),"Partial","Complete")))</f>
        <v>Complete</v>
      </c>
      <c r="T713" s="1" t="str">
        <f>IF($C713="","",TRIM(IF(COUNTIF($C$4:$C$1463,$C713)&gt;1,"Dup name; ","")&amp;IF(AND($G713&lt;&gt;"",$G713&lt;55000),"Low CR - verify; ","")&amp;IF(AND($L713&lt;&gt;"",$L713&gt;15),"Secondary - verify; ","")&amp;IF($E713="","No class; ","")))</f>
        <v/>
      </c>
      <c r="U713" s="68"/>
      <c r="V713" s="68"/>
      <c r="W713" s="68"/>
      <c r="X713" s="76">
        <f t="shared" si="57"/>
        <v>9120</v>
      </c>
      <c r="Y713" s="1" t="str">
        <f t="shared" si="58"/>
        <v>VANGUARD|20</v>
      </c>
      <c r="Z713" s="19">
        <f>IF($C713="","",IF($G713="","",RANK($G713,$G$4:$G$1463)+COUNTIF($G$4:$G713,$G713)-1))</f>
        <v>82</v>
      </c>
      <c r="AA713" s="19">
        <f>IF($C713="","",IF($N713="","",RANK($N713,$N$4:$N$1463)+COUNTIF($N$4:$N713,$N713)-1))</f>
        <v>59</v>
      </c>
      <c r="AB713" s="1" t="str">
        <f>IF($C713="","",IF($E713="","",$E713&amp;"#"&amp;(COUNTIFS($E$4:$E$1463,$E713,$X$4:$X$1463,"&gt;"&amp;$X713)+COUNTIFS($E$4:$E713,$E713,$X$4:$X713,"="&amp;$X713))))</f>
        <v>DEMON HUNTER#15</v>
      </c>
      <c r="AC713" s="1" t="str">
        <f>IF($C713="","",$B713&amp;"@"&amp;(COUNTIFS($B$4:$B$1463,$B713,$C$4:$C$1463,"&lt;"&amp;$C713)+COUNTIFS($B$4:$B713,$B713,$C$4:$C713,$C713)))</f>
        <v>VANGUARD@56</v>
      </c>
      <c r="AD713" s="1">
        <f t="shared" si="59"/>
        <v>710</v>
      </c>
      <c r="AE713" s="1" t="s">
        <v>1761</v>
      </c>
      <c r="AF713" s="76">
        <f t="shared" si="60"/>
        <v>63947</v>
      </c>
      <c r="AG713" s="77">
        <f t="shared" si="61"/>
        <v>9.4</v>
      </c>
      <c r="AH713" s="1" t="str">
        <f>IF($C713="","",$B713&amp;"|"&amp;(COUNTIFS($B$4:$B$1463,$B713,$AF$4:$AF$1463,"&gt;"&amp;$AF713)+COUNTIFS($B$4:$B713,$B713,$AF$4:$AF713,"="&amp;$AF713)))</f>
        <v>VANGUARD|20</v>
      </c>
      <c r="AI713" s="1" t="str">
        <f>IF($C713="","",$B713&amp;"|"&amp;(COUNTIFS($B$4:$B$1463,$B713,$AG$4:$AG$1463,"&gt;"&amp;$AG713)+COUNTIFS($B$4:$B713,$B713,$AG$4:$AG713,"="&amp;$AG713)))</f>
        <v>VANGUARD|7</v>
      </c>
    </row>
    <row r="714" spans="1:35" hidden="1">
      <c r="A714" s="69" t="s">
        <v>109</v>
      </c>
      <c r="B714" s="69" t="s">
        <v>117</v>
      </c>
      <c r="C714" s="63" t="s">
        <v>1762</v>
      </c>
      <c r="D714" s="69"/>
      <c r="E714" s="68" t="s">
        <v>79</v>
      </c>
      <c r="F714" s="15" t="str">
        <f>IF($C714="","",IF($E714="","-",IFERROR(INDEX(SETUP!$B$55:$B$64,MATCH($E714,SETUP!$A$55:$A$64,0)),"Other")))</f>
        <v>Control</v>
      </c>
      <c r="G714" s="70">
        <v>55546</v>
      </c>
      <c r="H714" s="15" t="str">
        <f>IF($C714="","",IF($G714="","-",INDEX(SETUP!$B$26:$B$32,MATCH($G714,SETUP!$A$26:$A$32,1))))</f>
        <v>Under 58,000</v>
      </c>
      <c r="I714" s="70">
        <v>1426</v>
      </c>
      <c r="J714" s="15" t="str">
        <f>IF($C714="","",IF($I714="","-",INDEX(SETUP!$B$16:$B$22,MATCH($I714,SETUP!$A$16:$A$22,1))))</f>
        <v>ROOKIE</v>
      </c>
      <c r="K714" s="15" t="str">
        <f>IF($C714="","",IF($I714="","-",TEXT(INT($I714/1000)*1000,"#,##0")&amp;" - "&amp;TEXT(INT($I714/1000)*1000+999,"#,##0")))</f>
        <v>1,000 - 1,999</v>
      </c>
      <c r="L714" s="71">
        <v>2.9</v>
      </c>
      <c r="M714" s="15" t="str">
        <f>IF($C714="","",IF($L714="","-",INDEX(SETUP!$B$36:$B$42,MATCH($L714,SETUP!$A$36:$A$42,1))))</f>
        <v>Under 3k</v>
      </c>
      <c r="N714" s="17">
        <f>IF($C714="","",IF(OR($G714="",$I714=""),"",ROUND(100*(SETUP!$B$4*MIN(1,$I714/SETUP!$B$9)+SETUP!$B$5*MAX(0,MIN(1,($G714-SETUP!$B$10)/(SETUP!$B$11-SETUP!$B$10)))+SETUP!$B$6*MIN(1,IF($L714="",0,$L714)/SETUP!$B$12)),1)))</f>
        <v>12.5</v>
      </c>
      <c r="O714" s="15" t="str">
        <f>IF($C714="","",IF($N714="","-",INDEX(SETUP!$B$46:$B$51,MATCH($N714,SETUP!$A$46:$A$51,1))))</f>
        <v>D</v>
      </c>
      <c r="P714" s="15">
        <f>IF($C714="","",IF($I714="","",RANK($I714,$I$4:$I$1463)+COUNTIF($I$4:$I714,$I714)-1))</f>
        <v>1205</v>
      </c>
      <c r="Q714" s="15">
        <f>IF($C714="","",COUNTIFS($B$4:$B$1463,$B714,$X$4:$X$1463,"&gt;"&amp;$X714)+COUNTIFS($B$4:$B714,$B714,$X$4:$X714,"="&amp;$X714))</f>
        <v>69</v>
      </c>
      <c r="R714" s="72">
        <f>IF($C714="","",IF($I714="","",ROUND(COUNTIF($I$4:$I$1463,"&lt;"&amp;$I714)/COUNT($I$4:$I$1463),3)))</f>
        <v>9.0999999999999998E-2</v>
      </c>
      <c r="S714" s="15" t="str">
        <f>IF($C714="","",IF($G714="","Name only",IF(OR($I714="",$L714=""),"Partial","Complete")))</f>
        <v>Complete</v>
      </c>
      <c r="T714" s="41" t="str">
        <f>IF($C714="","",TRIM(IF(COUNTIF($C$4:$C$1463,$C714)&gt;1,"Dup name; ","")&amp;IF(AND($G714&lt;&gt;"",$G714&lt;55000),"Low CR - verify; ","")&amp;IF(AND($L714&lt;&gt;"",$L714&gt;15),"Secondary - verify; ","")&amp;IF($E714="","No class; ","")))</f>
        <v/>
      </c>
      <c r="U714" s="68"/>
      <c r="V714" s="68"/>
      <c r="W714" s="68"/>
      <c r="X714" s="73">
        <f t="shared" si="57"/>
        <v>1426</v>
      </c>
      <c r="Y714" s="41" t="str">
        <f t="shared" si="58"/>
        <v>VENDETTA|69</v>
      </c>
      <c r="Z714" s="15">
        <f>IF($C714="","",IF($G714="","",RANK($G714,$G$4:$G$1463)+COUNTIF($G$4:$G714,$G714)-1))</f>
        <v>1316</v>
      </c>
      <c r="AA714" s="15">
        <f>IF($C714="","",IF($N714="","",RANK($N714,$N$4:$N$1463)+COUNTIF($N$4:$N714,$N714)-1))</f>
        <v>1316</v>
      </c>
      <c r="AB714" s="41" t="str">
        <f>IF($C714="","",IF($E714="","",$E714&amp;"#"&amp;(COUNTIFS($E$4:$E$1463,$E714,$X$4:$X$1463,"&gt;"&amp;$X714)+COUNTIFS($E$4:$E714,$E714,$X$4:$X714,"="&amp;$X714))))</f>
        <v>WARLOCK#298</v>
      </c>
      <c r="AC714" s="41" t="str">
        <f>IF($C714="","",$B714&amp;"@"&amp;(COUNTIFS($B$4:$B$1463,$B714,$C$4:$C$1463,"&lt;"&amp;$C714)+COUNTIFS($B$4:$B714,$B714,$C$4:$C714,$C714)))</f>
        <v>VENDETTA@54</v>
      </c>
      <c r="AD714" s="41">
        <f t="shared" si="59"/>
        <v>711</v>
      </c>
      <c r="AE714" s="41" t="s">
        <v>1763</v>
      </c>
      <c r="AF714" s="73">
        <f t="shared" si="60"/>
        <v>55546</v>
      </c>
      <c r="AG714" s="74">
        <f t="shared" si="61"/>
        <v>2.9</v>
      </c>
      <c r="AH714" s="41" t="str">
        <f>IF($C714="","",$B714&amp;"|"&amp;(COUNTIFS($B$4:$B$1463,$B714,$AF$4:$AF$1463,"&gt;"&amp;$AF714)+COUNTIFS($B$4:$B714,$B714,$AF$4:$AF714,"="&amp;$AF714)))</f>
        <v>VENDETTA|92</v>
      </c>
      <c r="AI714" s="41" t="str">
        <f>IF($C714="","",$B714&amp;"|"&amp;(COUNTIFS($B$4:$B$1463,$B714,$AG$4:$AG$1463,"&gt;"&amp;$AG714)+COUNTIFS($B$4:$B714,$B714,$AG$4:$AG714,"="&amp;$AG714)))</f>
        <v>VENDETTA|85</v>
      </c>
    </row>
    <row r="715" spans="1:35" hidden="1">
      <c r="A715" s="69" t="s">
        <v>109</v>
      </c>
      <c r="B715" s="69" t="s">
        <v>111</v>
      </c>
      <c r="C715" s="63" t="s">
        <v>1764</v>
      </c>
      <c r="D715" s="69" t="s">
        <v>527</v>
      </c>
      <c r="E715" s="68" t="s">
        <v>79</v>
      </c>
      <c r="F715" s="19" t="str">
        <f>IF($C715="","",IF($E715="","-",IFERROR(INDEX(SETUP!$B$55:$B$64,MATCH($E715,SETUP!$A$55:$A$64,0)),"Other")))</f>
        <v>Control</v>
      </c>
      <c r="G715" s="70">
        <v>62800</v>
      </c>
      <c r="H715" s="19" t="str">
        <f>IF($C715="","",IF($G715="","-",INDEX(SETUP!$B$26:$B$32,MATCH($G715,SETUP!$A$26:$A$32,1))))</f>
        <v>62,000 - 62,999</v>
      </c>
      <c r="I715" s="70">
        <v>3910</v>
      </c>
      <c r="J715" s="19" t="str">
        <f>IF($C715="","",IF($I715="","-",INDEX(SETUP!$B$16:$B$22,MATCH($I715,SETUP!$A$16:$A$22,1))))</f>
        <v>DEVELOPING</v>
      </c>
      <c r="K715" s="19" t="str">
        <f>IF($C715="","",IF($I715="","-",TEXT(INT($I715/1000)*1000,"#,##0")&amp;" - "&amp;TEXT(INT($I715/1000)*1000+999,"#,##0")))</f>
        <v>3,000 - 3,999</v>
      </c>
      <c r="L715" s="71">
        <v>5.15</v>
      </c>
      <c r="M715" s="19" t="str">
        <f>IF($C715="","",IF($L715="","-",INDEX(SETUP!$B$36:$B$42,MATCH($L715,SETUP!$A$36:$A$42,1))))</f>
        <v>5k - 6k</v>
      </c>
      <c r="N715" s="21">
        <f>IF($C715="","",IF(OR($G715="",$I715=""),"",ROUND(100*(SETUP!$B$4*MIN(1,$I715/SETUP!$B$9)+SETUP!$B$5*MAX(0,MIN(1,($G715-SETUP!$B$10)/(SETUP!$B$11-SETUP!$B$10)))+SETUP!$B$6*MIN(1,IF($L715="",0,$L715)/SETUP!$B$12)),1)))</f>
        <v>46.2</v>
      </c>
      <c r="O715" s="19" t="str">
        <f>IF($C715="","",IF($N715="","-",INDEX(SETUP!$B$46:$B$51,MATCH($N715,SETUP!$A$46:$A$51,1))))</f>
        <v>B</v>
      </c>
      <c r="P715" s="19">
        <f>IF($C715="","",IF($I715="","",RANK($I715,$I$4:$I$1463)+COUNTIF($I$4:$I715,$I715)-1))</f>
        <v>621</v>
      </c>
      <c r="Q715" s="19">
        <f>IF($C715="","",COUNTIFS($B$4:$B$1463,$B715,$X$4:$X$1463,"&gt;"&amp;$X715)+COUNTIFS($B$4:$B715,$B715,$X$4:$X715,"="&amp;$X715))</f>
        <v>66</v>
      </c>
      <c r="R715" s="75">
        <f>IF($C715="","",IF($I715="","",ROUND(COUNTIF($I$4:$I$1463,"&lt;"&amp;$I715)/COUNT($I$4:$I$1463),3)))</f>
        <v>0.53100000000000003</v>
      </c>
      <c r="S715" s="19" t="str">
        <f>IF($C715="","",IF($G715="","Name only",IF(OR($I715="",$L715=""),"Partial","Complete")))</f>
        <v>Complete</v>
      </c>
      <c r="T715" s="1" t="str">
        <f>IF($C715="","",TRIM(IF(COUNTIF($C$4:$C$1463,$C715)&gt;1,"Dup name; ","")&amp;IF(AND($G715&lt;&gt;"",$G715&lt;55000),"Low CR - verify; ","")&amp;IF(AND($L715&lt;&gt;"",$L715&gt;15),"Secondary - verify; ","")&amp;IF($E715="","No class; ","")))</f>
        <v/>
      </c>
      <c r="U715" s="68"/>
      <c r="V715" s="68"/>
      <c r="W715" s="68"/>
      <c r="X715" s="76">
        <f t="shared" si="57"/>
        <v>3910</v>
      </c>
      <c r="Y715" s="1" t="str">
        <f t="shared" si="58"/>
        <v>RECKONING|66</v>
      </c>
      <c r="Z715" s="19">
        <f>IF($C715="","",IF($G715="","",RANK($G715,$G$4:$G$1463)+COUNTIF($G$4:$G715,$G715)-1))</f>
        <v>519</v>
      </c>
      <c r="AA715" s="19">
        <f>IF($C715="","",IF($N715="","",RANK($N715,$N$4:$N$1463)+COUNTIF($N$4:$N715,$N715)-1))</f>
        <v>581</v>
      </c>
      <c r="AB715" s="1" t="str">
        <f>IF($C715="","",IF($E715="","",$E715&amp;"#"&amp;(COUNTIFS($E$4:$E$1463,$E715,$X$4:$X$1463,"&gt;"&amp;$X715)+COUNTIFS($E$4:$E715,$E715,$X$4:$X715,"="&amp;$X715))))</f>
        <v>WARLOCK#146</v>
      </c>
      <c r="AC715" s="1" t="str">
        <f>IF($C715="","",$B715&amp;"@"&amp;(COUNTIFS($B$4:$B$1463,$B715,$C$4:$C$1463,"&lt;"&amp;$C715)+COUNTIFS($B$4:$B715,$B715,$C$4:$C715,$C715)))</f>
        <v>RECKONING@54</v>
      </c>
      <c r="AD715" s="1">
        <f t="shared" si="59"/>
        <v>712</v>
      </c>
      <c r="AE715" s="1" t="s">
        <v>1765</v>
      </c>
      <c r="AF715" s="76">
        <f t="shared" si="60"/>
        <v>62800</v>
      </c>
      <c r="AG715" s="77">
        <f t="shared" si="61"/>
        <v>5.15</v>
      </c>
      <c r="AH715" s="1" t="str">
        <f>IF($C715="","",$B715&amp;"|"&amp;(COUNTIFS($B$4:$B$1463,$B715,$AF$4:$AF$1463,"&gt;"&amp;$AF715)+COUNTIFS($B$4:$B715,$B715,$AF$4:$AF715,"="&amp;$AF715)))</f>
        <v>RECKONING|50</v>
      </c>
      <c r="AI715" s="1" t="str">
        <f>IF($C715="","",$B715&amp;"|"&amp;(COUNTIFS($B$4:$B$1463,$B715,$AG$4:$AG$1463,"&gt;"&amp;$AG715)+COUNTIFS($B$4:$B715,$B715,$AG$4:$AG715,"="&amp;$AG715)))</f>
        <v>RECKONING|57</v>
      </c>
    </row>
    <row r="716" spans="1:35" hidden="1">
      <c r="A716" s="69" t="s">
        <v>109</v>
      </c>
      <c r="B716" s="69" t="s">
        <v>114</v>
      </c>
      <c r="C716" s="63" t="s">
        <v>1766</v>
      </c>
      <c r="D716" s="69"/>
      <c r="E716" s="68" t="s">
        <v>79</v>
      </c>
      <c r="F716" s="15" t="str">
        <f>IF($C716="","",IF($E716="","-",IFERROR(INDEX(SETUP!$B$55:$B$64,MATCH($E716,SETUP!$A$55:$A$64,0)),"Other")))</f>
        <v>Control</v>
      </c>
      <c r="G716" s="70">
        <v>61825</v>
      </c>
      <c r="H716" s="15" t="str">
        <f>IF($C716="","",IF($G716="","-",INDEX(SETUP!$B$26:$B$32,MATCH($G716,SETUP!$A$26:$A$32,1))))</f>
        <v>61,000 - 61,999</v>
      </c>
      <c r="I716" s="70">
        <v>2820</v>
      </c>
      <c r="J716" s="15" t="str">
        <f>IF($C716="","",IF($I716="","-",INDEX(SETUP!$B$16:$B$22,MATCH($I716,SETUP!$A$16:$A$22,1))))</f>
        <v>DEVELOPING</v>
      </c>
      <c r="K716" s="15" t="str">
        <f>IF($C716="","",IF($I716="","-",TEXT(INT($I716/1000)*1000,"#,##0")&amp;" - "&amp;TEXT(INT($I716/1000)*1000+999,"#,##0")))</f>
        <v>2,000 - 2,999</v>
      </c>
      <c r="L716" s="71">
        <v>4.5999999999999996</v>
      </c>
      <c r="M716" s="15" t="str">
        <f>IF($C716="","",IF($L716="","-",INDEX(SETUP!$B$36:$B$42,MATCH($L716,SETUP!$A$36:$A$42,1))))</f>
        <v>4k - 5k</v>
      </c>
      <c r="N716" s="17">
        <f>IF($C716="","",IF(OR($G716="",$I716=""),"",ROUND(100*(SETUP!$B$4*MIN(1,$I716/SETUP!$B$9)+SETUP!$B$5*MAX(0,MIN(1,($G716-SETUP!$B$10)/(SETUP!$B$11-SETUP!$B$10)))+SETUP!$B$6*MIN(1,IF($L716="",0,$L716)/SETUP!$B$12)),1)))</f>
        <v>37.9</v>
      </c>
      <c r="O716" s="15" t="str">
        <f>IF($C716="","",IF($N716="","-",INDEX(SETUP!$B$46:$B$51,MATCH($N716,SETUP!$A$46:$A$51,1))))</f>
        <v>B</v>
      </c>
      <c r="P716" s="15">
        <f>IF($C716="","",IF($I716="","",RANK($I716,$I$4:$I$1463)+COUNTIF($I$4:$I716,$I716)-1))</f>
        <v>930</v>
      </c>
      <c r="Q716" s="15">
        <f>IF($C716="","",COUNTIFS($B$4:$B$1463,$B716,$X$4:$X$1463,"&gt;"&amp;$X716)+COUNTIFS($B$4:$B716,$B716,$X$4:$X716,"="&amp;$X716))</f>
        <v>27</v>
      </c>
      <c r="R716" s="72">
        <f>IF($C716="","",IF($I716="","",ROUND(COUNTIF($I$4:$I$1463,"&lt;"&amp;$I716)/COUNT($I$4:$I$1463),3)))</f>
        <v>0.29799999999999999</v>
      </c>
      <c r="S716" s="15" t="str">
        <f>IF($C716="","",IF($G716="","Name only",IF(OR($I716="",$L716=""),"Partial","Complete")))</f>
        <v>Complete</v>
      </c>
      <c r="T716" s="41" t="str">
        <f>IF($C716="","",TRIM(IF(COUNTIF($C$4:$C$1463,$C716)&gt;1,"Dup name; ","")&amp;IF(AND($G716&lt;&gt;"",$G716&lt;55000),"Low CR - verify; ","")&amp;IF(AND($L716&lt;&gt;"",$L716&gt;15),"Secondary - verify; ","")&amp;IF($E716="","No class; ","")))</f>
        <v/>
      </c>
      <c r="U716" s="68"/>
      <c r="V716" s="68"/>
      <c r="W716" s="68"/>
      <c r="X716" s="73">
        <f t="shared" si="57"/>
        <v>2820</v>
      </c>
      <c r="Y716" s="41" t="str">
        <f t="shared" si="58"/>
        <v>EMERALD LEAF TRIBE|27</v>
      </c>
      <c r="Z716" s="15">
        <f>IF($C716="","",IF($G716="","",RANK($G716,$G$4:$G$1463)+COUNTIF($G$4:$G716,$G716)-1))</f>
        <v>908</v>
      </c>
      <c r="AA716" s="15">
        <f>IF($C716="","",IF($N716="","",RANK($N716,$N$4:$N$1463)+COUNTIF($N$4:$N716,$N716)-1))</f>
        <v>900</v>
      </c>
      <c r="AB716" s="41" t="str">
        <f>IF($C716="","",IF($E716="","",$E716&amp;"#"&amp;(COUNTIFS($E$4:$E$1463,$E716,$X$4:$X$1463,"&gt;"&amp;$X716)+COUNTIFS($E$4:$E716,$E716,$X$4:$X716,"="&amp;$X716))))</f>
        <v>WARLOCK#230</v>
      </c>
      <c r="AC716" s="41" t="str">
        <f>IF($C716="","",$B716&amp;"@"&amp;(COUNTIFS($B$4:$B$1463,$B716,$C$4:$C$1463,"&lt;"&amp;$C716)+COUNTIFS($B$4:$B716,$B716,$C$4:$C716,$C716)))</f>
        <v>EMERALD LEAF TRIBE@50</v>
      </c>
      <c r="AD716" s="41">
        <f t="shared" si="59"/>
        <v>713</v>
      </c>
      <c r="AE716" s="41" t="s">
        <v>1767</v>
      </c>
      <c r="AF716" s="73">
        <f t="shared" si="60"/>
        <v>61825</v>
      </c>
      <c r="AG716" s="74">
        <f t="shared" si="61"/>
        <v>4.5999999999999996</v>
      </c>
      <c r="AH716" s="41" t="str">
        <f>IF($C716="","",$B716&amp;"|"&amp;(COUNTIFS($B$4:$B$1463,$B716,$AF$4:$AF$1463,"&gt;"&amp;$AF716)+COUNTIFS($B$4:$B716,$B716,$AF$4:$AF716,"="&amp;$AF716)))</f>
        <v>EMERALD LEAF TRIBE|32</v>
      </c>
      <c r="AI716" s="41" t="str">
        <f>IF($C716="","",$B716&amp;"|"&amp;(COUNTIFS($B$4:$B$1463,$B716,$AG$4:$AG$1463,"&gt;"&amp;$AG716)+COUNTIFS($B$4:$B716,$B716,$AG$4:$AG716,"="&amp;$AG716)))</f>
        <v>EMERALD LEAF TRIBE|16</v>
      </c>
    </row>
    <row r="717" spans="1:35">
      <c r="A717" s="69" t="s">
        <v>106</v>
      </c>
      <c r="B717" s="69" t="s">
        <v>66</v>
      </c>
      <c r="C717" s="63" t="s">
        <v>1697</v>
      </c>
      <c r="D717" s="69"/>
      <c r="E717" s="68" t="s">
        <v>71</v>
      </c>
      <c r="F717" s="15" t="str">
        <f>IF($C717="","",IF($E717="","-",IFERROR(INDEX(SETUP!$B$55:$B$64,MATCH($E717,SETUP!$A$55:$A$64,0)),"Other")))</f>
        <v>Frontline</v>
      </c>
      <c r="G717" s="70">
        <v>63127</v>
      </c>
      <c r="H717" s="15" t="str">
        <f>IF($C717="","",IF($G717="","-",INDEX(SETUP!$B$26:$B$32,MATCH($G717,SETUP!$A$26:$A$32,1))))</f>
        <v>63,000 - 63,999</v>
      </c>
      <c r="I717" s="70">
        <v>4185</v>
      </c>
      <c r="J717" s="15" t="str">
        <f>IF($C717="","",IF($I717="","-",INDEX(SETUP!$B$16:$B$22,MATCH($I717,SETUP!$A$16:$A$22,1))))</f>
        <v>CORE</v>
      </c>
      <c r="K717" s="15" t="str">
        <f>IF($C717="","",IF($I717="","-",TEXT(INT($I717/1000)*1000,"#,##0")&amp;" - "&amp;TEXT(INT($I717/1000)*1000+999,"#,##0")))</f>
        <v>4,000 - 4,999</v>
      </c>
      <c r="L717" s="71">
        <v>4.25</v>
      </c>
      <c r="M717" s="15" t="str">
        <f>IF($C717="","",IF($L717="","-",INDEX(SETUP!$B$36:$B$42,MATCH($L717,SETUP!$A$36:$A$42,1))))</f>
        <v>4k - 5k</v>
      </c>
      <c r="N717" s="17">
        <f>IF($C717="","",IF(OR($G717="",$I717=""),"",ROUND(100*(SETUP!$B$4*MIN(1,$I717/SETUP!$B$9)+SETUP!$B$5*MAX(0,MIN(1,($G717-SETUP!$B$10)/(SETUP!$B$11-SETUP!$B$10)))+SETUP!$B$6*MIN(1,IF($L717="",0,$L717)/SETUP!$B$12)),1)))</f>
        <v>46.7</v>
      </c>
      <c r="O717" s="15" t="str">
        <f>IF($C717="","",IF($N717="","-",INDEX(SETUP!$B$46:$B$51,MATCH($N717,SETUP!$A$46:$A$51,1))))</f>
        <v>B</v>
      </c>
      <c r="P717" s="15">
        <f>IF($C717="","",IF($I717="","",RANK($I717,$I$4:$I$1463)+COUNTIF($I$4:$I717,$I717)-1))</f>
        <v>559</v>
      </c>
      <c r="Q717" s="15">
        <f>IF($C717="","",COUNTIFS($B$4:$B$1463,$B717,$X$4:$X$1463,"&gt;"&amp;$X717)+COUNTIFS($B$4:$B717,$B717,$X$4:$X717,"="&amp;$X717))</f>
        <v>54</v>
      </c>
      <c r="R717" s="72">
        <f>IF($C717="","",IF($I717="","",ROUND(COUNTIF($I$4:$I$1463,"&lt;"&amp;$I717)/COUNT($I$4:$I$1463),3)))</f>
        <v>0.57699999999999996</v>
      </c>
      <c r="S717" s="15" t="str">
        <f>IF($C717="","",IF($G717="","Name only",IF(OR($I717="",$L717=""),"Partial","Complete")))</f>
        <v>Complete</v>
      </c>
      <c r="T717" s="41" t="str">
        <f>IF($C717="","",TRIM(IF(COUNTIF($C$4:$C$1463,$C717)&gt;1,"Dup name; ","")&amp;IF(AND($G717&lt;&gt;"",$G717&lt;55000),"Low CR - verify; ","")&amp;IF(AND($L717&lt;&gt;"",$L717&gt;15),"Secondary - verify; ","")&amp;IF($E717="","No class; ","")))</f>
        <v/>
      </c>
      <c r="U717" s="68"/>
      <c r="V717" s="68"/>
      <c r="W717" s="68"/>
      <c r="X717" s="76">
        <f t="shared" si="57"/>
        <v>4185</v>
      </c>
      <c r="Y717" s="1" t="str">
        <f t="shared" si="58"/>
        <v>FUCT|54</v>
      </c>
      <c r="Z717" s="19">
        <f>IF($C717="","",IF($G717="","",RANK($G717,$G$4:$G$1463)+COUNTIF($G$4:$G717,$G717)-1))</f>
        <v>358</v>
      </c>
      <c r="AA717" s="19">
        <f>IF($C717="","",IF($N717="","",RANK($N717,$N$4:$N$1463)+COUNTIF($N$4:$N717,$N717)-1))</f>
        <v>560</v>
      </c>
      <c r="AB717" s="1" t="str">
        <f>IF($C717="","",IF($E717="","",$E717&amp;"#"&amp;(COUNTIFS($E$4:$E$1463,$E717,$X$4:$X$1463,"&gt;"&amp;$X717)+COUNTIFS($E$4:$E717,$E717,$X$4:$X717,"="&amp;$X717))))</f>
        <v>BARBARIAN#108</v>
      </c>
      <c r="AC717" s="1" t="str">
        <f>IF($C717="","",$B717&amp;"@"&amp;(COUNTIFS($B$4:$B$1463,$B717,$C$4:$C$1463,"&lt;"&amp;$C717)+COUNTIFS($B$4:$B717,$B717,$C$4:$C717,$C717)))</f>
        <v>FUCT@52</v>
      </c>
      <c r="AD717" s="1">
        <f t="shared" si="59"/>
        <v>714</v>
      </c>
      <c r="AE717" s="1" t="s">
        <v>1769</v>
      </c>
      <c r="AF717" s="76">
        <f t="shared" si="60"/>
        <v>63127</v>
      </c>
      <c r="AG717" s="77">
        <f t="shared" si="61"/>
        <v>4.25</v>
      </c>
      <c r="AH717" s="1" t="str">
        <f>IF($C717="","",$B717&amp;"|"&amp;(COUNTIFS($B$4:$B$1463,$B717,$AF$4:$AF$1463,"&gt;"&amp;$AF717)+COUNTIFS($B$4:$B717,$B717,$AF$4:$AF717,"="&amp;$AF717)))</f>
        <v>FUCT|33</v>
      </c>
      <c r="AI717" s="1" t="str">
        <f>IF($C717="","",$B717&amp;"|"&amp;(COUNTIFS($B$4:$B$1463,$B717,$AG$4:$AG$1463,"&gt;"&amp;$AG717)+COUNTIFS($B$4:$B717,$B717,$AG$4:$AG717,"="&amp;$AG717)))</f>
        <v>FUCT|68</v>
      </c>
    </row>
    <row r="718" spans="1:35" hidden="1">
      <c r="A718" s="69" t="s">
        <v>109</v>
      </c>
      <c r="B718" s="69" t="s">
        <v>113</v>
      </c>
      <c r="C718" s="63" t="s">
        <v>1770</v>
      </c>
      <c r="D718" s="69" t="s">
        <v>548</v>
      </c>
      <c r="E718" s="68" t="s">
        <v>79</v>
      </c>
      <c r="F718" s="15" t="str">
        <f>IF($C718="","",IF($E718="","-",IFERROR(INDEX(SETUP!$B$55:$B$64,MATCH($E718,SETUP!$A$55:$A$64,0)),"Other")))</f>
        <v>Control</v>
      </c>
      <c r="G718" s="70">
        <v>61954</v>
      </c>
      <c r="H718" s="15" t="str">
        <f>IF($C718="","",IF($G718="","-",INDEX(SETUP!$B$26:$B$32,MATCH($G718,SETUP!$A$26:$A$32,1))))</f>
        <v>61,000 - 61,999</v>
      </c>
      <c r="I718" s="70">
        <v>3050</v>
      </c>
      <c r="J718" s="15" t="str">
        <f>IF($C718="","",IF($I718="","-",INDEX(SETUP!$B$16:$B$22,MATCH($I718,SETUP!$A$16:$A$22,1))))</f>
        <v>DEVELOPING</v>
      </c>
      <c r="K718" s="15" t="str">
        <f>IF($C718="","",IF($I718="","-",TEXT(INT($I718/1000)*1000,"#,##0")&amp;" - "&amp;TEXT(INT($I718/1000)*1000+999,"#,##0")))</f>
        <v>3,000 - 3,999</v>
      </c>
      <c r="L718" s="71">
        <v>4.2300000000000004</v>
      </c>
      <c r="M718" s="15" t="str">
        <f>IF($C718="","",IF($L718="","-",INDEX(SETUP!$B$36:$B$42,MATCH($L718,SETUP!$A$36:$A$42,1))))</f>
        <v>4k - 5k</v>
      </c>
      <c r="N718" s="17">
        <f>IF($C718="","",IF(OR($G718="",$I718=""),"",ROUND(100*(SETUP!$B$4*MIN(1,$I718/SETUP!$B$9)+SETUP!$B$5*MAX(0,MIN(1,($G718-SETUP!$B$10)/(SETUP!$B$11-SETUP!$B$10)))+SETUP!$B$6*MIN(1,IF($L718="",0,$L718)/SETUP!$B$12)),1)))</f>
        <v>38.700000000000003</v>
      </c>
      <c r="O718" s="15" t="str">
        <f>IF($C718="","",IF($N718="","-",INDEX(SETUP!$B$46:$B$51,MATCH($N718,SETUP!$A$46:$A$51,1))))</f>
        <v>B</v>
      </c>
      <c r="P718" s="15">
        <f>IF($C718="","",IF($I718="","",RANK($I718,$I$4:$I$1463)+COUNTIF($I$4:$I718,$I718)-1))</f>
        <v>861</v>
      </c>
      <c r="Q718" s="15">
        <f>IF($C718="","",COUNTIFS($B$4:$B$1463,$B718,$X$4:$X$1463,"&gt;"&amp;$X718)+COUNTIFS($B$4:$B718,$B718,$X$4:$X718,"="&amp;$X718))</f>
        <v>49</v>
      </c>
      <c r="R718" s="72">
        <f>IF($C718="","",IF($I718="","",ROUND(COUNTIF($I$4:$I$1463,"&lt;"&amp;$I718)/COUNT($I$4:$I$1463),3)))</f>
        <v>0.35</v>
      </c>
      <c r="S718" s="15" t="str">
        <f>IF($C718="","",IF($G718="","Name only",IF(OR($I718="",$L718=""),"Partial","Complete")))</f>
        <v>Complete</v>
      </c>
      <c r="T718" s="41" t="str">
        <f>IF($C718="","",TRIM(IF(COUNTIF($C$4:$C$1463,$C718)&gt;1,"Dup name; ","")&amp;IF(AND($G718&lt;&gt;"",$G718&lt;55000),"Low CR - verify; ","")&amp;IF(AND($L718&lt;&gt;"",$L718&gt;15),"Secondary - verify; ","")&amp;IF($E718="","No class; ","")))</f>
        <v/>
      </c>
      <c r="U718" s="68"/>
      <c r="V718" s="68"/>
      <c r="W718" s="68"/>
      <c r="X718" s="73">
        <f t="shared" si="57"/>
        <v>3050</v>
      </c>
      <c r="Y718" s="41" t="str">
        <f t="shared" si="58"/>
        <v>INVICTUS|49</v>
      </c>
      <c r="Z718" s="15">
        <f>IF($C718="","",IF($G718="","",RANK($G718,$G$4:$G$1463)+COUNTIF($G$4:$G718,$G718)-1))</f>
        <v>847</v>
      </c>
      <c r="AA718" s="15">
        <f>IF($C718="","",IF($N718="","",RANK($N718,$N$4:$N$1463)+COUNTIF($N$4:$N718,$N718)-1))</f>
        <v>868</v>
      </c>
      <c r="AB718" s="41" t="str">
        <f>IF($C718="","",IF($E718="","",$E718&amp;"#"&amp;(COUNTIFS($E$4:$E$1463,$E718,$X$4:$X$1463,"&gt;"&amp;$X718)+COUNTIFS($E$4:$E718,$E718,$X$4:$X718,"="&amp;$X718))))</f>
        <v>WARLOCK#214</v>
      </c>
      <c r="AC718" s="41" t="str">
        <f>IF($C718="","",$B718&amp;"@"&amp;(COUNTIFS($B$4:$B$1463,$B718,$C$4:$C$1463,"&lt;"&amp;$C718)+COUNTIFS($B$4:$B718,$B718,$C$4:$C718,$C718)))</f>
        <v>INVICTUS@51</v>
      </c>
      <c r="AD718" s="41">
        <f t="shared" si="59"/>
        <v>715</v>
      </c>
      <c r="AE718" s="41" t="s">
        <v>1771</v>
      </c>
      <c r="AF718" s="73">
        <f t="shared" si="60"/>
        <v>61954</v>
      </c>
      <c r="AG718" s="74">
        <f t="shared" si="61"/>
        <v>4.2300000000000004</v>
      </c>
      <c r="AH718" s="41" t="str">
        <f>IF($C718="","",$B718&amp;"|"&amp;(COUNTIFS($B$4:$B$1463,$B718,$AF$4:$AF$1463,"&gt;"&amp;$AF718)+COUNTIFS($B$4:$B718,$B718,$AF$4:$AF718,"="&amp;$AF718)))</f>
        <v>INVICTUS|55</v>
      </c>
      <c r="AI718" s="41" t="str">
        <f>IF($C718="","",$B718&amp;"|"&amp;(COUNTIFS($B$4:$B$1463,$B718,$AG$4:$AG$1463,"&gt;"&amp;$AG718)+COUNTIFS($B$4:$B718,$B718,$AG$4:$AG718,"="&amp;$AG718)))</f>
        <v>INVICTUS|53</v>
      </c>
    </row>
    <row r="719" spans="1:35" hidden="1">
      <c r="A719" s="69" t="s">
        <v>109</v>
      </c>
      <c r="B719" s="69" t="s">
        <v>114</v>
      </c>
      <c r="C719" s="63" t="s">
        <v>1772</v>
      </c>
      <c r="D719" s="69"/>
      <c r="E719" s="68" t="s">
        <v>74</v>
      </c>
      <c r="F719" s="19" t="str">
        <f>IF($C719="","",IF($E719="","-",IFERROR(INDEX(SETUP!$B$55:$B$64,MATCH($E719,SETUP!$A$55:$A$64,0)),"Other")))</f>
        <v>Ranged DPS</v>
      </c>
      <c r="G719" s="70">
        <v>61204</v>
      </c>
      <c r="H719" s="19" t="str">
        <f>IF($C719="","",IF($G719="","-",INDEX(SETUP!$B$26:$B$32,MATCH($G719,SETUP!$A$26:$A$32,1))))</f>
        <v>61,000 - 61,999</v>
      </c>
      <c r="I719" s="70">
        <v>2580</v>
      </c>
      <c r="J719" s="19" t="str">
        <f>IF($C719="","",IF($I719="","-",INDEX(SETUP!$B$16:$B$22,MATCH($I719,SETUP!$A$16:$A$22,1))))</f>
        <v>DEVELOPING</v>
      </c>
      <c r="K719" s="19" t="str">
        <f>IF($C719="","",IF($I719="","-",TEXT(INT($I719/1000)*1000,"#,##0")&amp;" - "&amp;TEXT(INT($I719/1000)*1000+999,"#,##0")))</f>
        <v>2,000 - 2,999</v>
      </c>
      <c r="L719" s="71">
        <v>3.2</v>
      </c>
      <c r="M719" s="19" t="str">
        <f>IF($C719="","",IF($L719="","-",INDEX(SETUP!$B$36:$B$42,MATCH($L719,SETUP!$A$36:$A$42,1))))</f>
        <v>3k - 4k</v>
      </c>
      <c r="N719" s="21">
        <f>IF($C719="","",IF(OR($G719="",$I719=""),"",ROUND(100*(SETUP!$B$4*MIN(1,$I719/SETUP!$B$9)+SETUP!$B$5*MAX(0,MIN(1,($G719-SETUP!$B$10)/(SETUP!$B$11-SETUP!$B$10)))+SETUP!$B$6*MIN(1,IF($L719="",0,$L719)/SETUP!$B$12)),1)))</f>
        <v>32.9</v>
      </c>
      <c r="O719" s="19" t="str">
        <f>IF($C719="","",IF($N719="","-",INDEX(SETUP!$B$46:$B$51,MATCH($N719,SETUP!$A$46:$A$51,1))))</f>
        <v>C</v>
      </c>
      <c r="P719" s="19">
        <f>IF($C719="","",IF($I719="","",RANK($I719,$I$4:$I$1463)+COUNTIF($I$4:$I719,$I719)-1))</f>
        <v>985</v>
      </c>
      <c r="Q719" s="19">
        <f>IF($C719="","",COUNTIFS($B$4:$B$1463,$B719,$X$4:$X$1463,"&gt;"&amp;$X719)+COUNTIFS($B$4:$B719,$B719,$X$4:$X719,"="&amp;$X719))</f>
        <v>35</v>
      </c>
      <c r="R719" s="75">
        <f>IF($C719="","",IF($I719="","",ROUND(COUNTIF($I$4:$I$1463,"&lt;"&amp;$I719)/COUNT($I$4:$I$1463),3)))</f>
        <v>0.25600000000000001</v>
      </c>
      <c r="S719" s="19" t="str">
        <f>IF($C719="","",IF($G719="","Name only",IF(OR($I719="",$L719=""),"Partial","Complete")))</f>
        <v>Complete</v>
      </c>
      <c r="T719" s="1" t="str">
        <f>IF($C719="","",TRIM(IF(COUNTIF($C$4:$C$1463,$C719)&gt;1,"Dup name; ","")&amp;IF(AND($G719&lt;&gt;"",$G719&lt;55000),"Low CR - verify; ","")&amp;IF(AND($L719&lt;&gt;"",$L719&gt;15),"Secondary - verify; ","")&amp;IF($E719="","No class; ","")))</f>
        <v/>
      </c>
      <c r="U719" s="68"/>
      <c r="V719" s="68"/>
      <c r="W719" s="68"/>
      <c r="X719" s="76">
        <f t="shared" si="57"/>
        <v>2580</v>
      </c>
      <c r="Y719" s="1" t="str">
        <f t="shared" si="58"/>
        <v>EMERALD LEAF TRIBE|35</v>
      </c>
      <c r="Z719" s="19">
        <f>IF($C719="","",IF($G719="","",RANK($G719,$G$4:$G$1463)+COUNTIF($G$4:$G719,$G719)-1))</f>
        <v>1088</v>
      </c>
      <c r="AA719" s="19">
        <f>IF($C719="","",IF($N719="","",RANK($N719,$N$4:$N$1463)+COUNTIF($N$4:$N719,$N719)-1))</f>
        <v>1069</v>
      </c>
      <c r="AB719" s="1" t="str">
        <f>IF($C719="","",IF($E719="","",$E719&amp;"#"&amp;(COUNTIFS($E$4:$E$1463,$E719,$X$4:$X$1463,"&gt;"&amp;$X719)+COUNTIFS($E$4:$E719,$E719,$X$4:$X719,"="&amp;$X719))))</f>
        <v>DEMON HUNTER#158</v>
      </c>
      <c r="AC719" s="1" t="str">
        <f>IF($C719="","",$B719&amp;"@"&amp;(COUNTIFS($B$4:$B$1463,$B719,$C$4:$C$1463,"&lt;"&amp;$C719)+COUNTIFS($B$4:$B719,$B719,$C$4:$C719,$C719)))</f>
        <v>EMERALD LEAF TRIBE@51</v>
      </c>
      <c r="AD719" s="1">
        <f t="shared" si="59"/>
        <v>716</v>
      </c>
      <c r="AE719" s="1" t="s">
        <v>1773</v>
      </c>
      <c r="AF719" s="76">
        <f t="shared" si="60"/>
        <v>61204</v>
      </c>
      <c r="AG719" s="77">
        <f t="shared" si="61"/>
        <v>3.2</v>
      </c>
      <c r="AH719" s="1" t="str">
        <f>IF($C719="","",$B719&amp;"|"&amp;(COUNTIFS($B$4:$B$1463,$B719,$AF$4:$AF$1463,"&gt;"&amp;$AF719)+COUNTIFS($B$4:$B719,$B719,$AF$4:$AF719,"="&amp;$AF719)))</f>
        <v>EMERALD LEAF TRIBE|50</v>
      </c>
      <c r="AI719" s="1" t="str">
        <f>IF($C719="","",$B719&amp;"|"&amp;(COUNTIFS($B$4:$B$1463,$B719,$AG$4:$AG$1463,"&gt;"&amp;$AG719)+COUNTIFS($B$4:$B719,$B719,$AG$4:$AG719,"="&amp;$AG719)))</f>
        <v>EMERALD LEAF TRIBE|70</v>
      </c>
    </row>
    <row r="720" spans="1:35" hidden="1">
      <c r="A720" s="69" t="s">
        <v>109</v>
      </c>
      <c r="B720" s="69" t="s">
        <v>112</v>
      </c>
      <c r="C720" s="63" t="s">
        <v>1774</v>
      </c>
      <c r="D720" s="69" t="s">
        <v>567</v>
      </c>
      <c r="E720" s="68" t="s">
        <v>79</v>
      </c>
      <c r="F720" s="15" t="str">
        <f>IF($C720="","",IF($E720="","-",IFERROR(INDEX(SETUP!$B$55:$B$64,MATCH($E720,SETUP!$A$55:$A$64,0)),"Other")))</f>
        <v>Control</v>
      </c>
      <c r="G720" s="70">
        <v>62542</v>
      </c>
      <c r="H720" s="15" t="str">
        <f>IF($C720="","",IF($G720="","-",INDEX(SETUP!$B$26:$B$32,MATCH($G720,SETUP!$A$26:$A$32,1))))</f>
        <v>62,000 - 62,999</v>
      </c>
      <c r="I720" s="70">
        <v>4481</v>
      </c>
      <c r="J720" s="15" t="str">
        <f>IF($C720="","",IF($I720="","-",INDEX(SETUP!$B$16:$B$22,MATCH($I720,SETUP!$A$16:$A$22,1))))</f>
        <v>CORE</v>
      </c>
      <c r="K720" s="15" t="str">
        <f>IF($C720="","",IF($I720="","-",TEXT(INT($I720/1000)*1000,"#,##0")&amp;" - "&amp;TEXT(INT($I720/1000)*1000+999,"#,##0")))</f>
        <v>4,000 - 4,999</v>
      </c>
      <c r="L720" s="71">
        <v>4.05</v>
      </c>
      <c r="M720" s="15" t="str">
        <f>IF($C720="","",IF($L720="","-",INDEX(SETUP!$B$36:$B$42,MATCH($L720,SETUP!$A$36:$A$42,1))))</f>
        <v>4k - 5k</v>
      </c>
      <c r="N720" s="17">
        <f>IF($C720="","",IF(OR($G720="",$I720=""),"",ROUND(100*(SETUP!$B$4*MIN(1,$I720/SETUP!$B$9)+SETUP!$B$5*MAX(0,MIN(1,($G720-SETUP!$B$10)/(SETUP!$B$11-SETUP!$B$10)))+SETUP!$B$6*MIN(1,IF($L720="",0,$L720)/SETUP!$B$12)),1)))</f>
        <v>46.2</v>
      </c>
      <c r="O720" s="15" t="str">
        <f>IF($C720="","",IF($N720="","-",INDEX(SETUP!$B$46:$B$51,MATCH($N720,SETUP!$A$46:$A$51,1))))</f>
        <v>B</v>
      </c>
      <c r="P720" s="15">
        <f>IF($C720="","",IF($I720="","",RANK($I720,$I$4:$I$1463)+COUNTIF($I$4:$I720,$I720)-1))</f>
        <v>499</v>
      </c>
      <c r="Q720" s="15">
        <f>IF($C720="","",COUNTIFS($B$4:$B$1463,$B720,$X$4:$X$1463,"&gt;"&amp;$X720)+COUNTIFS($B$4:$B720,$B720,$X$4:$X720,"="&amp;$X720))</f>
        <v>36</v>
      </c>
      <c r="R720" s="72">
        <f>IF($C720="","",IF($I720="","",ROUND(COUNTIF($I$4:$I$1463,"&lt;"&amp;$I720)/COUNT($I$4:$I$1463),3)))</f>
        <v>0.623</v>
      </c>
      <c r="S720" s="15" t="str">
        <f>IF($C720="","",IF($G720="","Name only",IF(OR($I720="",$L720=""),"Partial","Complete")))</f>
        <v>Complete</v>
      </c>
      <c r="T720" s="41" t="str">
        <f>IF($C720="","",TRIM(IF(COUNTIF($C$4:$C$1463,$C720)&gt;1,"Dup name; ","")&amp;IF(AND($G720&lt;&gt;"",$G720&lt;55000),"Low CR - verify; ","")&amp;IF(AND($L720&lt;&gt;"",$L720&gt;15),"Secondary - verify; ","")&amp;IF($E720="","No class; ","")))</f>
        <v/>
      </c>
      <c r="U720" s="68"/>
      <c r="V720" s="68"/>
      <c r="W720" s="68"/>
      <c r="X720" s="73">
        <f t="shared" si="57"/>
        <v>4481</v>
      </c>
      <c r="Y720" s="41" t="str">
        <f t="shared" si="58"/>
        <v>ACHERON|36</v>
      </c>
      <c r="Z720" s="15">
        <f>IF($C720="","",IF($G720="","",RANK($G720,$G$4:$G$1463)+COUNTIF($G$4:$G720,$G720)-1))</f>
        <v>637</v>
      </c>
      <c r="AA720" s="15">
        <f>IF($C720="","",IF($N720="","",RANK($N720,$N$4:$N$1463)+COUNTIF($N$4:$N720,$N720)-1))</f>
        <v>582</v>
      </c>
      <c r="AB720" s="41" t="str">
        <f>IF($C720="","",IF($E720="","",$E720&amp;"#"&amp;(COUNTIFS($E$4:$E$1463,$E720,$X$4:$X$1463,"&gt;"&amp;$X720)+COUNTIFS($E$4:$E720,$E720,$X$4:$X720,"="&amp;$X720))))</f>
        <v>WARLOCK#115</v>
      </c>
      <c r="AC720" s="41" t="str">
        <f>IF($C720="","",$B720&amp;"@"&amp;(COUNTIFS($B$4:$B$1463,$B720,$C$4:$C$1463,"&lt;"&amp;$C720)+COUNTIFS($B$4:$B720,$B720,$C$4:$C720,$C720)))</f>
        <v>ACHERON@47</v>
      </c>
      <c r="AD720" s="41">
        <f t="shared" si="59"/>
        <v>717</v>
      </c>
      <c r="AE720" s="41" t="s">
        <v>1775</v>
      </c>
      <c r="AF720" s="73">
        <f t="shared" si="60"/>
        <v>62542</v>
      </c>
      <c r="AG720" s="74">
        <f t="shared" si="61"/>
        <v>4.05</v>
      </c>
      <c r="AH720" s="41" t="str">
        <f>IF($C720="","",$B720&amp;"|"&amp;(COUNTIFS($B$4:$B$1463,$B720,$AF$4:$AF$1463,"&gt;"&amp;$AF720)+COUNTIFS($B$4:$B720,$B720,$AF$4:$AF720,"="&amp;$AF720)))</f>
        <v>ACHERON|50</v>
      </c>
      <c r="AI720" s="41" t="str">
        <f>IF($C720="","",$B720&amp;"|"&amp;(COUNTIFS($B$4:$B$1463,$B720,$AG$4:$AG$1463,"&gt;"&amp;$AG720)+COUNTIFS($B$4:$B720,$B720,$AG$4:$AG720,"="&amp;$AG720)))</f>
        <v>ACHERON|72</v>
      </c>
    </row>
    <row r="721" spans="1:35" hidden="1">
      <c r="A721" s="69" t="s">
        <v>109</v>
      </c>
      <c r="B721" s="69" t="s">
        <v>113</v>
      </c>
      <c r="C721" s="63" t="s">
        <v>1776</v>
      </c>
      <c r="D721" s="69" t="s">
        <v>548</v>
      </c>
      <c r="E721" s="68" t="s">
        <v>73</v>
      </c>
      <c r="F721" s="19" t="str">
        <f>IF($C721="","",IF($E721="","-",IFERROR(INDEX(SETUP!$B$55:$B$64,MATCH($E721,SETUP!$A$55:$A$64,0)),"Other")))</f>
        <v>Frontline</v>
      </c>
      <c r="G721" s="70">
        <v>58536</v>
      </c>
      <c r="H721" s="19" t="str">
        <f>IF($C721="","",IF($G721="","-",INDEX(SETUP!$B$26:$B$32,MATCH($G721,SETUP!$A$26:$A$32,1))))</f>
        <v>58,000 - 59,999</v>
      </c>
      <c r="I721" s="70">
        <v>1673</v>
      </c>
      <c r="J721" s="19" t="str">
        <f>IF($C721="","",IF($I721="","-",INDEX(SETUP!$B$16:$B$22,MATCH($I721,SETUP!$A$16:$A$22,1))))</f>
        <v>ROOKIE</v>
      </c>
      <c r="K721" s="19" t="str">
        <f>IF($C721="","",IF($I721="","-",TEXT(INT($I721/1000)*1000,"#,##0")&amp;" - "&amp;TEXT(INT($I721/1000)*1000+999,"#,##0")))</f>
        <v>1,000 - 1,999</v>
      </c>
      <c r="L721" s="71">
        <v>2.4</v>
      </c>
      <c r="M721" s="19" t="str">
        <f>IF($C721="","",IF($L721="","-",INDEX(SETUP!$B$36:$B$42,MATCH($L721,SETUP!$A$36:$A$42,1))))</f>
        <v>Under 3k</v>
      </c>
      <c r="N721" s="21">
        <f>IF($C721="","",IF(OR($G721="",$I721=""),"",ROUND(100*(SETUP!$B$4*MIN(1,$I721/SETUP!$B$9)+SETUP!$B$5*MAX(0,MIN(1,($G721-SETUP!$B$10)/(SETUP!$B$11-SETUP!$B$10)))+SETUP!$B$6*MIN(1,IF($L721="",0,$L721)/SETUP!$B$12)),1)))</f>
        <v>20.6</v>
      </c>
      <c r="O721" s="19" t="str">
        <f>IF($C721="","",IF($N721="","-",INDEX(SETUP!$B$46:$B$51,MATCH($N721,SETUP!$A$46:$A$51,1))))</f>
        <v>C</v>
      </c>
      <c r="P721" s="19">
        <f>IF($C721="","",IF($I721="","",RANK($I721,$I$4:$I$1463)+COUNTIF($I$4:$I721,$I721)-1))</f>
        <v>1166</v>
      </c>
      <c r="Q721" s="19">
        <f>IF($C721="","",COUNTIFS($B$4:$B$1463,$B721,$X$4:$X$1463,"&gt;"&amp;$X721)+COUNTIFS($B$4:$B721,$B721,$X$4:$X721,"="&amp;$X721))</f>
        <v>87</v>
      </c>
      <c r="R721" s="75">
        <f>IF($C721="","",IF($I721="","",ROUND(COUNTIF($I$4:$I$1463,"&lt;"&amp;$I721)/COUNT($I$4:$I$1463),3)))</f>
        <v>0.12</v>
      </c>
      <c r="S721" s="19" t="str">
        <f>IF($C721="","",IF($G721="","Name only",IF(OR($I721="",$L721=""),"Partial","Complete")))</f>
        <v>Complete</v>
      </c>
      <c r="T721" s="1" t="str">
        <f>IF($C721="","",TRIM(IF(COUNTIF($C$4:$C$1463,$C721)&gt;1,"Dup name; ","")&amp;IF(AND($G721&lt;&gt;"",$G721&lt;55000),"Low CR - verify; ","")&amp;IF(AND($L721&lt;&gt;"",$L721&gt;15),"Secondary - verify; ","")&amp;IF($E721="","No class; ","")))</f>
        <v/>
      </c>
      <c r="U721" s="68"/>
      <c r="V721" s="68"/>
      <c r="W721" s="68"/>
      <c r="X721" s="76">
        <f t="shared" si="57"/>
        <v>1673</v>
      </c>
      <c r="Y721" s="1" t="str">
        <f t="shared" si="58"/>
        <v>INVICTUS|87</v>
      </c>
      <c r="Z721" s="19">
        <f>IF($C721="","",IF($G721="","",RANK($G721,$G$4:$G$1463)+COUNTIF($G$4:$G721,$G721)-1))</f>
        <v>1286</v>
      </c>
      <c r="AA721" s="19">
        <f>IF($C721="","",IF($N721="","",RANK($N721,$N$4:$N$1463)+COUNTIF($N$4:$N721,$N721)-1))</f>
        <v>1290</v>
      </c>
      <c r="AB721" s="1" t="str">
        <f>IF($C721="","",IF($E721="","",$E721&amp;"#"&amp;(COUNTIFS($E$4:$E$1463,$E721,$X$4:$X$1463,"&gt;"&amp;$X721)+COUNTIFS($E$4:$E721,$E721,$X$4:$X721,"="&amp;$X721))))</f>
        <v>CRUSADER#113</v>
      </c>
      <c r="AC721" s="1" t="str">
        <f>IF($C721="","",$B721&amp;"@"&amp;(COUNTIFS($B$4:$B$1463,$B721,$C$4:$C$1463,"&lt;"&amp;$C721)+COUNTIFS($B$4:$B721,$B721,$C$4:$C721,$C721)))</f>
        <v>INVICTUS@52</v>
      </c>
      <c r="AD721" s="1">
        <f t="shared" si="59"/>
        <v>718</v>
      </c>
      <c r="AE721" s="1" t="s">
        <v>1777</v>
      </c>
      <c r="AF721" s="76">
        <f t="shared" si="60"/>
        <v>58536</v>
      </c>
      <c r="AG721" s="77">
        <f t="shared" si="61"/>
        <v>2.4</v>
      </c>
      <c r="AH721" s="1" t="str">
        <f>IF($C721="","",$B721&amp;"|"&amp;(COUNTIFS($B$4:$B$1463,$B721,$AF$4:$AF$1463,"&gt;"&amp;$AF721)+COUNTIFS($B$4:$B721,$B721,$AF$4:$AF721,"="&amp;$AF721)))</f>
        <v>INVICTUS|96</v>
      </c>
      <c r="AI721" s="1" t="str">
        <f>IF($C721="","",$B721&amp;"|"&amp;(COUNTIFS($B$4:$B$1463,$B721,$AG$4:$AG$1463,"&gt;"&amp;$AG721)+COUNTIFS($B$4:$B721,$B721,$AG$4:$AG721,"="&amp;$AG721)))</f>
        <v>INVICTUS|99</v>
      </c>
    </row>
    <row r="722" spans="1:35" hidden="1">
      <c r="A722" s="69" t="s">
        <v>109</v>
      </c>
      <c r="B722" s="69" t="s">
        <v>114</v>
      </c>
      <c r="C722" s="63" t="s">
        <v>1778</v>
      </c>
      <c r="D722" s="69"/>
      <c r="E722" s="68" t="s">
        <v>74</v>
      </c>
      <c r="F722" s="15" t="str">
        <f>IF($C722="","",IF($E722="","-",IFERROR(INDEX(SETUP!$B$55:$B$64,MATCH($E722,SETUP!$A$55:$A$64,0)),"Other")))</f>
        <v>Ranged DPS</v>
      </c>
      <c r="G722" s="70">
        <v>59101</v>
      </c>
      <c r="H722" s="15" t="str">
        <f>IF($C722="","",IF($G722="","-",INDEX(SETUP!$B$26:$B$32,MATCH($G722,SETUP!$A$26:$A$32,1))))</f>
        <v>58,000 - 59,999</v>
      </c>
      <c r="I722" s="70">
        <v>1430</v>
      </c>
      <c r="J722" s="15" t="str">
        <f>IF($C722="","",IF($I722="","-",INDEX(SETUP!$B$16:$B$22,MATCH($I722,SETUP!$A$16:$A$22,1))))</f>
        <v>ROOKIE</v>
      </c>
      <c r="K722" s="15" t="str">
        <f>IF($C722="","",IF($I722="","-",TEXT(INT($I722/1000)*1000,"#,##0")&amp;" - "&amp;TEXT(INT($I722/1000)*1000+999,"#,##0")))</f>
        <v>1,000 - 1,999</v>
      </c>
      <c r="L722" s="71">
        <v>3.15</v>
      </c>
      <c r="M722" s="15" t="str">
        <f>IF($C722="","",IF($L722="","-",INDEX(SETUP!$B$36:$B$42,MATCH($L722,SETUP!$A$36:$A$42,1))))</f>
        <v>3k - 4k</v>
      </c>
      <c r="N722" s="17">
        <f>IF($C722="","",IF(OR($G722="",$I722=""),"",ROUND(100*(SETUP!$B$4*MIN(1,$I722/SETUP!$B$9)+SETUP!$B$5*MAX(0,MIN(1,($G722-SETUP!$B$10)/(SETUP!$B$11-SETUP!$B$10)))+SETUP!$B$6*MIN(1,IF($L722="",0,$L722)/SETUP!$B$12)),1)))</f>
        <v>22.3</v>
      </c>
      <c r="O722" s="15" t="str">
        <f>IF($C722="","",IF($N722="","-",INDEX(SETUP!$B$46:$B$51,MATCH($N722,SETUP!$A$46:$A$51,1))))</f>
        <v>C</v>
      </c>
      <c r="P722" s="15">
        <f>IF($C722="","",IF($I722="","",RANK($I722,$I$4:$I$1463)+COUNTIF($I$4:$I722,$I722)-1))</f>
        <v>1204</v>
      </c>
      <c r="Q722" s="15">
        <f>IF($C722="","",COUNTIFS($B$4:$B$1463,$B722,$X$4:$X$1463,"&gt;"&amp;$X722)+COUNTIFS($B$4:$B722,$B722,$X$4:$X722,"="&amp;$X722))</f>
        <v>73</v>
      </c>
      <c r="R722" s="72">
        <f>IF($C722="","",IF($I722="","",ROUND(COUNTIF($I$4:$I$1463,"&lt;"&amp;$I722)/COUNT($I$4:$I$1463),3)))</f>
        <v>9.0999999999999998E-2</v>
      </c>
      <c r="S722" s="15" t="str">
        <f>IF($C722="","",IF($G722="","Name only",IF(OR($I722="",$L722=""),"Partial","Complete")))</f>
        <v>Complete</v>
      </c>
      <c r="T722" s="41" t="str">
        <f>IF($C722="","",TRIM(IF(COUNTIF($C$4:$C$1463,$C722)&gt;1,"Dup name; ","")&amp;IF(AND($G722&lt;&gt;"",$G722&lt;55000),"Low CR - verify; ","")&amp;IF(AND($L722&lt;&gt;"",$L722&gt;15),"Secondary - verify; ","")&amp;IF($E722="","No class; ","")))</f>
        <v/>
      </c>
      <c r="U722" s="68"/>
      <c r="V722" s="68"/>
      <c r="W722" s="68"/>
      <c r="X722" s="73">
        <f t="shared" si="57"/>
        <v>1430</v>
      </c>
      <c r="Y722" s="41" t="str">
        <f t="shared" si="58"/>
        <v>EMERALD LEAF TRIBE|73</v>
      </c>
      <c r="Z722" s="15">
        <f>IF($C722="","",IF($G722="","",RANK($G722,$G$4:$G$1463)+COUNTIF($G$4:$G722,$G722)-1))</f>
        <v>1274</v>
      </c>
      <c r="AA722" s="15">
        <f>IF($C722="","",IF($N722="","",RANK($N722,$N$4:$N$1463)+COUNTIF($N$4:$N722,$N722)-1))</f>
        <v>1278</v>
      </c>
      <c r="AB722" s="41" t="str">
        <f>IF($C722="","",IF($E722="","",$E722&amp;"#"&amp;(COUNTIFS($E$4:$E$1463,$E722,$X$4:$X$1463,"&gt;"&amp;$X722)+COUNTIFS($E$4:$E722,$E722,$X$4:$X722,"="&amp;$X722))))</f>
        <v>DEMON HUNTER#179</v>
      </c>
      <c r="AC722" s="41" t="str">
        <f>IF($C722="","",$B722&amp;"@"&amp;(COUNTIFS($B$4:$B$1463,$B722,$C$4:$C$1463,"&lt;"&amp;$C722)+COUNTIFS($B$4:$B722,$B722,$C$4:$C722,$C722)))</f>
        <v>EMERALD LEAF TRIBE@52</v>
      </c>
      <c r="AD722" s="41">
        <f t="shared" si="59"/>
        <v>719</v>
      </c>
      <c r="AE722" s="41" t="s">
        <v>1779</v>
      </c>
      <c r="AF722" s="73">
        <f t="shared" si="60"/>
        <v>59101</v>
      </c>
      <c r="AG722" s="74">
        <f t="shared" si="61"/>
        <v>3.15</v>
      </c>
      <c r="AH722" s="41" t="str">
        <f>IF($C722="","",$B722&amp;"|"&amp;(COUNTIFS($B$4:$B$1463,$B722,$AF$4:$AF$1463,"&gt;"&amp;$AF722)+COUNTIFS($B$4:$B722,$B722,$AF$4:$AF722,"="&amp;$AF722)))</f>
        <v>EMERALD LEAF TRIBE|80</v>
      </c>
      <c r="AI722" s="41" t="str">
        <f>IF($C722="","",$B722&amp;"|"&amp;(COUNTIFS($B$4:$B$1463,$B722,$AG$4:$AG$1463,"&gt;"&amp;$AG722)+COUNTIFS($B$4:$B722,$B722,$AG$4:$AG722,"="&amp;$AG722)))</f>
        <v>EMERALD LEAF TRIBE|73</v>
      </c>
    </row>
    <row r="723" spans="1:35" hidden="1">
      <c r="A723" s="69" t="s">
        <v>109</v>
      </c>
      <c r="B723" s="69" t="s">
        <v>112</v>
      </c>
      <c r="C723" s="63" t="s">
        <v>1780</v>
      </c>
      <c r="D723" s="69" t="s">
        <v>567</v>
      </c>
      <c r="E723" s="68" t="s">
        <v>80</v>
      </c>
      <c r="F723" s="19" t="str">
        <f>IF($C723="","",IF($E723="","-",IFERROR(INDEX(SETUP!$B$55:$B$64,MATCH($E723,SETUP!$A$55:$A$64,0)),"Other")))</f>
        <v>Ranged DPS</v>
      </c>
      <c r="G723" s="70">
        <v>63175</v>
      </c>
      <c r="H723" s="19" t="str">
        <f>IF($C723="","",IF($G723="","-",INDEX(SETUP!$B$26:$B$32,MATCH($G723,SETUP!$A$26:$A$32,1))))</f>
        <v>63,000 - 63,999</v>
      </c>
      <c r="I723" s="70">
        <v>4361</v>
      </c>
      <c r="J723" s="19" t="str">
        <f>IF($C723="","",IF($I723="","-",INDEX(SETUP!$B$16:$B$22,MATCH($I723,SETUP!$A$16:$A$22,1))))</f>
        <v>CORE</v>
      </c>
      <c r="K723" s="19" t="str">
        <f>IF($C723="","",IF($I723="","-",TEXT(INT($I723/1000)*1000,"#,##0")&amp;" - "&amp;TEXT(INT($I723/1000)*1000+999,"#,##0")))</f>
        <v>4,000 - 4,999</v>
      </c>
      <c r="L723" s="71">
        <v>3.7</v>
      </c>
      <c r="M723" s="19" t="str">
        <f>IF($C723="","",IF($L723="","-",INDEX(SETUP!$B$36:$B$42,MATCH($L723,SETUP!$A$36:$A$42,1))))</f>
        <v>3k - 4k</v>
      </c>
      <c r="N723" s="21">
        <f>IF($C723="","",IF(OR($G723="",$I723=""),"",ROUND(100*(SETUP!$B$4*MIN(1,$I723/SETUP!$B$9)+SETUP!$B$5*MAX(0,MIN(1,($G723-SETUP!$B$10)/(SETUP!$B$11-SETUP!$B$10)))+SETUP!$B$6*MIN(1,IF($L723="",0,$L723)/SETUP!$B$12)),1)))</f>
        <v>46.7</v>
      </c>
      <c r="O723" s="19" t="str">
        <f>IF($C723="","",IF($N723="","-",INDEX(SETUP!$B$46:$B$51,MATCH($N723,SETUP!$A$46:$A$51,1))))</f>
        <v>B</v>
      </c>
      <c r="P723" s="19">
        <f>IF($C723="","",IF($I723="","",RANK($I723,$I$4:$I$1463)+COUNTIF($I$4:$I723,$I723)-1))</f>
        <v>520</v>
      </c>
      <c r="Q723" s="19">
        <f>IF($C723="","",COUNTIFS($B$4:$B$1463,$B723,$X$4:$X$1463,"&gt;"&amp;$X723)+COUNTIFS($B$4:$B723,$B723,$X$4:$X723,"="&amp;$X723))</f>
        <v>39</v>
      </c>
      <c r="R723" s="75">
        <f>IF($C723="","",IF($I723="","",ROUND(COUNTIF($I$4:$I$1463,"&lt;"&amp;$I723)/COUNT($I$4:$I$1463),3)))</f>
        <v>0.60799999999999998</v>
      </c>
      <c r="S723" s="19" t="str">
        <f>IF($C723="","",IF($G723="","Name only",IF(OR($I723="",$L723=""),"Partial","Complete")))</f>
        <v>Complete</v>
      </c>
      <c r="T723" s="1" t="str">
        <f>IF($C723="","",TRIM(IF(COUNTIF($C$4:$C$1463,$C723)&gt;1,"Dup name; ","")&amp;IF(AND($G723&lt;&gt;"",$G723&lt;55000),"Low CR - verify; ","")&amp;IF(AND($L723&lt;&gt;"",$L723&gt;15),"Secondary - verify; ","")&amp;IF($E723="","No class; ","")))</f>
        <v/>
      </c>
      <c r="U723" s="68"/>
      <c r="V723" s="68"/>
      <c r="W723" s="68"/>
      <c r="X723" s="76">
        <f t="shared" si="57"/>
        <v>4361</v>
      </c>
      <c r="Y723" s="1" t="str">
        <f t="shared" si="58"/>
        <v>ACHERON|39</v>
      </c>
      <c r="Z723" s="19">
        <f>IF($C723="","",IF($G723="","",RANK($G723,$G$4:$G$1463)+COUNTIF($G$4:$G723,$G723)-1))</f>
        <v>328</v>
      </c>
      <c r="AA723" s="19">
        <f>IF($C723="","",IF($N723="","",RANK($N723,$N$4:$N$1463)+COUNTIF($N$4:$N723,$N723)-1))</f>
        <v>561</v>
      </c>
      <c r="AB723" s="1" t="str">
        <f>IF($C723="","",IF($E723="","",$E723&amp;"#"&amp;(COUNTIFS($E$4:$E$1463,$E723,$X$4:$X$1463,"&gt;"&amp;$X723)+COUNTIFS($E$4:$E723,$E723,$X$4:$X723,"="&amp;$X723))))</f>
        <v>WIZARD#36</v>
      </c>
      <c r="AC723" s="1" t="str">
        <f>IF($C723="","",$B723&amp;"@"&amp;(COUNTIFS($B$4:$B$1463,$B723,$C$4:$C$1463,"&lt;"&amp;$C723)+COUNTIFS($B$4:$B723,$B723,$C$4:$C723,$C723)))</f>
        <v>ACHERON@48</v>
      </c>
      <c r="AD723" s="1">
        <f t="shared" si="59"/>
        <v>720</v>
      </c>
      <c r="AE723" s="1" t="s">
        <v>1781</v>
      </c>
      <c r="AF723" s="76">
        <f t="shared" si="60"/>
        <v>63175</v>
      </c>
      <c r="AG723" s="77">
        <f t="shared" si="61"/>
        <v>3.7</v>
      </c>
      <c r="AH723" s="1" t="str">
        <f>IF($C723="","",$B723&amp;"|"&amp;(COUNTIFS($B$4:$B$1463,$B723,$AF$4:$AF$1463,"&gt;"&amp;$AF723)+COUNTIFS($B$4:$B723,$B723,$AF$4:$AF723,"="&amp;$AF723)))</f>
        <v>ACHERON|25</v>
      </c>
      <c r="AI723" s="1" t="str">
        <f>IF($C723="","",$B723&amp;"|"&amp;(COUNTIFS($B$4:$B$1463,$B723,$AG$4:$AG$1463,"&gt;"&amp;$AG723)+COUNTIFS($B$4:$B723,$B723,$AG$4:$AG723,"="&amp;$AG723)))</f>
        <v>ACHERON|85</v>
      </c>
    </row>
    <row r="724" spans="1:35" hidden="1">
      <c r="A724" s="69" t="s">
        <v>109</v>
      </c>
      <c r="B724" s="69" t="s">
        <v>115</v>
      </c>
      <c r="C724" s="63" t="s">
        <v>1782</v>
      </c>
      <c r="D724" s="69"/>
      <c r="E724" s="68" t="s">
        <v>79</v>
      </c>
      <c r="F724" s="15" t="str">
        <f>IF($C724="","",IF($E724="","-",IFERROR(INDEX(SETUP!$B$55:$B$64,MATCH($E724,SETUP!$A$55:$A$64,0)),"Other")))</f>
        <v>Control</v>
      </c>
      <c r="G724" s="70">
        <v>61585</v>
      </c>
      <c r="H724" s="15" t="str">
        <f>IF($C724="","",IF($G724="","-",INDEX(SETUP!$B$26:$B$32,MATCH($G724,SETUP!$A$26:$A$32,1))))</f>
        <v>61,000 - 61,999</v>
      </c>
      <c r="I724" s="70">
        <v>1490</v>
      </c>
      <c r="J724" s="15" t="str">
        <f>IF($C724="","",IF($I724="","-",INDEX(SETUP!$B$16:$B$22,MATCH($I724,SETUP!$A$16:$A$22,1))))</f>
        <v>ROOKIE</v>
      </c>
      <c r="K724" s="15" t="str">
        <f>IF($C724="","",IF($I724="","-",TEXT(INT($I724/1000)*1000,"#,##0")&amp;" - "&amp;TEXT(INT($I724/1000)*1000+999,"#,##0")))</f>
        <v>1,000 - 1,999</v>
      </c>
      <c r="L724" s="71">
        <v>2.8</v>
      </c>
      <c r="M724" s="15" t="str">
        <f>IF($C724="","",IF($L724="","-",INDEX(SETUP!$B$36:$B$42,MATCH($L724,SETUP!$A$36:$A$42,1))))</f>
        <v>Under 3k</v>
      </c>
      <c r="N724" s="17">
        <f>IF($C724="","",IF(OR($G724="",$I724=""),"",ROUND(100*(SETUP!$B$4*MIN(1,$I724/SETUP!$B$9)+SETUP!$B$5*MAX(0,MIN(1,($G724-SETUP!$B$10)/(SETUP!$B$11-SETUP!$B$10)))+SETUP!$B$6*MIN(1,IF($L724="",0,$L724)/SETUP!$B$12)),1)))</f>
        <v>28.5</v>
      </c>
      <c r="O724" s="15" t="str">
        <f>IF($C724="","",IF($N724="","-",INDEX(SETUP!$B$46:$B$51,MATCH($N724,SETUP!$A$46:$A$51,1))))</f>
        <v>C</v>
      </c>
      <c r="P724" s="15">
        <f>IF($C724="","",IF($I724="","",RANK($I724,$I$4:$I$1463)+COUNTIF($I$4:$I724,$I724)-1))</f>
        <v>1193</v>
      </c>
      <c r="Q724" s="15">
        <f>IF($C724="","",COUNTIFS($B$4:$B$1463,$B724,$X$4:$X$1463,"&gt;"&amp;$X724)+COUNTIFS($B$4:$B724,$B724,$X$4:$X724,"="&amp;$X724))</f>
        <v>52</v>
      </c>
      <c r="R724" s="72">
        <f>IF($C724="","",IF($I724="","",ROUND(COUNTIF($I$4:$I$1463,"&lt;"&amp;$I724)/COUNT($I$4:$I$1463),3)))</f>
        <v>0.1</v>
      </c>
      <c r="S724" s="15" t="str">
        <f>IF($C724="","",IF($G724="","Name only",IF(OR($I724="",$L724=""),"Partial","Complete")))</f>
        <v>Complete</v>
      </c>
      <c r="T724" s="41" t="str">
        <f>IF($C724="","",TRIM(IF(COUNTIF($C$4:$C$1463,$C724)&gt;1,"Dup name; ","")&amp;IF(AND($G724&lt;&gt;"",$G724&lt;55000),"Low CR - verify; ","")&amp;IF(AND($L724&lt;&gt;"",$L724&gt;15),"Secondary - verify; ","")&amp;IF($E724="","No class; ","")))</f>
        <v/>
      </c>
      <c r="U724" s="68"/>
      <c r="V724" s="68"/>
      <c r="W724" s="68"/>
      <c r="X724" s="73">
        <f t="shared" si="57"/>
        <v>1490</v>
      </c>
      <c r="Y724" s="41" t="str">
        <f t="shared" si="58"/>
        <v>SUB ROSA|52</v>
      </c>
      <c r="Z724" s="15">
        <f>IF($C724="","",IF($G724="","",RANK($G724,$G$4:$G$1463)+COUNTIF($G$4:$G724,$G724)-1))</f>
        <v>982</v>
      </c>
      <c r="AA724" s="15">
        <f>IF($C724="","",IF($N724="","",RANK($N724,$N$4:$N$1463)+COUNTIF($N$4:$N724,$N724)-1))</f>
        <v>1181</v>
      </c>
      <c r="AB724" s="41" t="str">
        <f>IF($C724="","",IF($E724="","",$E724&amp;"#"&amp;(COUNTIFS($E$4:$E$1463,$E724,$X$4:$X$1463,"&gt;"&amp;$X724)+COUNTIFS($E$4:$E724,$E724,$X$4:$X724,"="&amp;$X724))))</f>
        <v>WARLOCK#294</v>
      </c>
      <c r="AC724" s="41" t="str">
        <f>IF($C724="","",$B724&amp;"@"&amp;(COUNTIFS($B$4:$B$1463,$B724,$C$4:$C$1463,"&lt;"&amp;$C724)+COUNTIFS($B$4:$B724,$B724,$C$4:$C724,$C724)))</f>
        <v>SUB ROSA@48</v>
      </c>
      <c r="AD724" s="41">
        <f t="shared" si="59"/>
        <v>721</v>
      </c>
      <c r="AE724" s="41" t="s">
        <v>1783</v>
      </c>
      <c r="AF724" s="73">
        <f t="shared" si="60"/>
        <v>61585</v>
      </c>
      <c r="AG724" s="74">
        <f t="shared" si="61"/>
        <v>2.8</v>
      </c>
      <c r="AH724" s="41" t="str">
        <f>IF($C724="","",$B724&amp;"|"&amp;(COUNTIFS($B$4:$B$1463,$B724,$AF$4:$AF$1463,"&gt;"&amp;$AF724)+COUNTIFS($B$4:$B724,$B724,$AF$4:$AF724,"="&amp;$AF724)))</f>
        <v>SUB ROSA|42</v>
      </c>
      <c r="AI724" s="41" t="str">
        <f>IF($C724="","",$B724&amp;"|"&amp;(COUNTIFS($B$4:$B$1463,$B724,$AG$4:$AG$1463,"&gt;"&amp;$AG724)+COUNTIFS($B$4:$B724,$B724,$AG$4:$AG724,"="&amp;$AG724)))</f>
        <v>SUB ROSA|60</v>
      </c>
    </row>
    <row r="725" spans="1:35">
      <c r="A725" s="69" t="s">
        <v>104</v>
      </c>
      <c r="B725" s="69" t="s">
        <v>66</v>
      </c>
      <c r="C725" s="63" t="s">
        <v>342</v>
      </c>
      <c r="D725" s="69"/>
      <c r="E725" s="68" t="s">
        <v>78</v>
      </c>
      <c r="F725" s="15" t="str">
        <f>IF($C725="","",IF($E725="","-",IFERROR(INDEX(SETUP!$B$55:$B$64,MATCH($E725,SETUP!$A$55:$A$64,0)),"Other")))</f>
        <v>Melee DPS</v>
      </c>
      <c r="G725" s="70">
        <v>62201</v>
      </c>
      <c r="H725" s="15" t="str">
        <f>IF($C725="","",IF($G725="","-",INDEX(SETUP!$B$26:$B$32,MATCH($G725,SETUP!$A$26:$A$32,1))))</f>
        <v>62,000 - 62,999</v>
      </c>
      <c r="I725" s="70">
        <v>3498</v>
      </c>
      <c r="J725" s="15" t="str">
        <f>IF($C725="","",IF($I725="","-",INDEX(SETUP!$B$16:$B$22,MATCH($I725,SETUP!$A$16:$A$22,1))))</f>
        <v>DEVELOPING</v>
      </c>
      <c r="K725" s="15" t="str">
        <f>IF($C725="","",IF($I725="","-",TEXT(INT($I725/1000)*1000,"#,##0")&amp;" - "&amp;TEXT(INT($I725/1000)*1000+999,"#,##0")))</f>
        <v>3,000 - 3,999</v>
      </c>
      <c r="L725" s="71">
        <v>4.91</v>
      </c>
      <c r="M725" s="15" t="str">
        <f>IF($C725="","",IF($L725="","-",INDEX(SETUP!$B$36:$B$42,MATCH($L725,SETUP!$A$36:$A$42,1))))</f>
        <v>4k - 5k</v>
      </c>
      <c r="N725" s="17">
        <f>IF($C725="","",IF(OR($G725="",$I725=""),"",ROUND(100*(SETUP!$B$4*MIN(1,$I725/SETUP!$B$9)+SETUP!$B$5*MAX(0,MIN(1,($G725-SETUP!$B$10)/(SETUP!$B$11-SETUP!$B$10)))+SETUP!$B$6*MIN(1,IF($L725="",0,$L725)/SETUP!$B$12)),1)))</f>
        <v>42.4</v>
      </c>
      <c r="O725" s="15" t="str">
        <f>IF($C725="","",IF($N725="","-",INDEX(SETUP!$B$46:$B$51,MATCH($N725,SETUP!$A$46:$A$51,1))))</f>
        <v>B</v>
      </c>
      <c r="P725" s="15">
        <f>IF($C725="","",IF($I725="","",RANK($I725,$I$4:$I$1463)+COUNTIF($I$4:$I725,$I725)-1))</f>
        <v>731</v>
      </c>
      <c r="Q725" s="15">
        <f>IF($C725="","",COUNTIFS($B$4:$B$1463,$B725,$X$4:$X$1463,"&gt;"&amp;$X725)+COUNTIFS($B$4:$B725,$B725,$X$4:$X725,"="&amp;$X725))</f>
        <v>74</v>
      </c>
      <c r="R725" s="72">
        <f>IF($C725="","",IF($I725="","",ROUND(COUNTIF($I$4:$I$1463,"&lt;"&amp;$I725)/COUNT($I$4:$I$1463),3)))</f>
        <v>0.44800000000000001</v>
      </c>
      <c r="S725" s="15" t="str">
        <f>IF($C725="","",IF($G725="","Name only",IF(OR($I725="",$L725=""),"Partial","Complete")))</f>
        <v>Complete</v>
      </c>
      <c r="T725" s="41" t="str">
        <f>IF($C725="","",TRIM(IF(COUNTIF($C$4:$C$1463,$C725)&gt;1,"Dup name; ","")&amp;IF(AND($G725&lt;&gt;"",$G725&lt;55000),"Low CR - verify; ","")&amp;IF(AND($L725&lt;&gt;"",$L725&gt;15),"Secondary - verify; ","")&amp;IF($E725="","No class; ","")))</f>
        <v/>
      </c>
      <c r="U725" s="68" t="s">
        <v>269</v>
      </c>
      <c r="V725" s="68" t="s">
        <v>66</v>
      </c>
      <c r="W725" s="68" t="s">
        <v>285</v>
      </c>
      <c r="X725" s="76">
        <f t="shared" si="57"/>
        <v>3498</v>
      </c>
      <c r="Y725" s="1" t="str">
        <f t="shared" si="58"/>
        <v>FUCT|74</v>
      </c>
      <c r="Z725" s="19">
        <f>IF($C725="","",IF($G725="","",RANK($G725,$G$4:$G$1463)+COUNTIF($G$4:$G725,$G725)-1))</f>
        <v>758</v>
      </c>
      <c r="AA725" s="19">
        <f>IF($C725="","",IF($N725="","",RANK($N725,$N$4:$N$1463)+COUNTIF($N$4:$N725,$N725)-1))</f>
        <v>731</v>
      </c>
      <c r="AB725" s="1" t="str">
        <f>IF($C725="","",IF($E725="","",$E725&amp;"#"&amp;(COUNTIFS($E$4:$E$1463,$E725,$X$4:$X$1463,"&gt;"&amp;$X725)+COUNTIFS($E$4:$E725,$E725,$X$4:$X725,"="&amp;$X725))))</f>
        <v>TEMPEST#26</v>
      </c>
      <c r="AC725" s="1" t="str">
        <f>IF($C725="","",$B725&amp;"@"&amp;(COUNTIFS($B$4:$B$1463,$B725,$C$4:$C$1463,"&lt;"&amp;$C725)+COUNTIFS($B$4:$B725,$B725,$C$4:$C725,$C725)))</f>
        <v>FUCT@53</v>
      </c>
      <c r="AD725" s="1">
        <f t="shared" si="59"/>
        <v>722</v>
      </c>
      <c r="AE725" s="1" t="s">
        <v>1784</v>
      </c>
      <c r="AF725" s="76">
        <f t="shared" si="60"/>
        <v>62201</v>
      </c>
      <c r="AG725" s="77">
        <f t="shared" si="61"/>
        <v>4.91</v>
      </c>
      <c r="AH725" s="1" t="str">
        <f>IF($C725="","",$B725&amp;"|"&amp;(COUNTIFS($B$4:$B$1463,$B725,$AF$4:$AF$1463,"&gt;"&amp;$AF725)+COUNTIFS($B$4:$B725,$B725,$AF$4:$AF725,"="&amp;$AF725)))</f>
        <v>FUCT|75</v>
      </c>
      <c r="AI725" s="1" t="str">
        <f>IF($C725="","",$B725&amp;"|"&amp;(COUNTIFS($B$4:$B$1463,$B725,$AG$4:$AG$1463,"&gt;"&amp;$AG725)+COUNTIFS($B$4:$B725,$B725,$AG$4:$AG725,"="&amp;$AG725)))</f>
        <v>FUCT|54</v>
      </c>
    </row>
    <row r="726" spans="1:35" hidden="1">
      <c r="A726" s="69" t="s">
        <v>106</v>
      </c>
      <c r="B726" s="69" t="s">
        <v>107</v>
      </c>
      <c r="C726" s="63" t="s">
        <v>1785</v>
      </c>
      <c r="D726" s="69"/>
      <c r="E726" s="68" t="s">
        <v>72</v>
      </c>
      <c r="F726" s="15" t="str">
        <f>IF($C726="","",IF($E726="","-",IFERROR(INDEX(SETUP!$B$55:$B$64,MATCH($E726,SETUP!$A$55:$A$64,0)),"Other")))</f>
        <v>Frontline</v>
      </c>
      <c r="G726" s="70">
        <v>63099</v>
      </c>
      <c r="H726" s="15" t="str">
        <f>IF($C726="","",IF($G726="","-",INDEX(SETUP!$B$26:$B$32,MATCH($G726,SETUP!$A$26:$A$32,1))))</f>
        <v>63,000 - 63,999</v>
      </c>
      <c r="I726" s="70">
        <v>3430</v>
      </c>
      <c r="J726" s="15" t="str">
        <f>IF($C726="","",IF($I726="","-",INDEX(SETUP!$B$16:$B$22,MATCH($I726,SETUP!$A$16:$A$22,1))))</f>
        <v>DEVELOPING</v>
      </c>
      <c r="K726" s="15" t="str">
        <f>IF($C726="","",IF($I726="","-",TEXT(INT($I726/1000)*1000,"#,##0")&amp;" - "&amp;TEXT(INT($I726/1000)*1000+999,"#,##0")))</f>
        <v>3,000 - 3,999</v>
      </c>
      <c r="L726" s="71">
        <v>5.5</v>
      </c>
      <c r="M726" s="15" t="str">
        <f>IF($C726="","",IF($L726="","-",INDEX(SETUP!$B$36:$B$42,MATCH($L726,SETUP!$A$36:$A$42,1))))</f>
        <v>5k - 6k</v>
      </c>
      <c r="N726" s="17">
        <f>IF($C726="","",IF(OR($G726="",$I726=""),"",ROUND(100*(SETUP!$B$4*MIN(1,$I726/SETUP!$B$9)+SETUP!$B$5*MAX(0,MIN(1,($G726-SETUP!$B$10)/(SETUP!$B$11-SETUP!$B$10)))+SETUP!$B$6*MIN(1,IF($L726="",0,$L726)/SETUP!$B$12)),1)))</f>
        <v>45.5</v>
      </c>
      <c r="O726" s="15" t="str">
        <f>IF($C726="","",IF($N726="","-",INDEX(SETUP!$B$46:$B$51,MATCH($N726,SETUP!$A$46:$A$51,1))))</f>
        <v>B</v>
      </c>
      <c r="P726" s="15">
        <f>IF($C726="","",IF($I726="","",RANK($I726,$I$4:$I$1463)+COUNTIF($I$4:$I726,$I726)-1))</f>
        <v>749</v>
      </c>
      <c r="Q726" s="15">
        <f>IF($C726="","",COUNTIFS($B$4:$B$1463,$B726,$X$4:$X$1463,"&gt;"&amp;$X726)+COUNTIFS($B$4:$B726,$B726,$X$4:$X726,"="&amp;$X726))</f>
        <v>71</v>
      </c>
      <c r="R726" s="72">
        <f>IF($C726="","",IF($I726="","",ROUND(COUNTIF($I$4:$I$1463,"&lt;"&amp;$I726)/COUNT($I$4:$I$1463),3)))</f>
        <v>0.435</v>
      </c>
      <c r="S726" s="15" t="str">
        <f>IF($C726="","",IF($G726="","Name only",IF(OR($I726="",$L726=""),"Partial","Complete")))</f>
        <v>Complete</v>
      </c>
      <c r="T726" s="41" t="str">
        <f>IF($C726="","",TRIM(IF(COUNTIF($C$4:$C$1463,$C726)&gt;1,"Dup name; ","")&amp;IF(AND($G726&lt;&gt;"",$G726&lt;55000),"Low CR - verify; ","")&amp;IF(AND($L726&lt;&gt;"",$L726&gt;15),"Secondary - verify; ","")&amp;IF($E726="","No class; ","")))</f>
        <v/>
      </c>
      <c r="U726" s="68"/>
      <c r="V726" s="68"/>
      <c r="W726" s="68"/>
      <c r="X726" s="73">
        <f t="shared" si="57"/>
        <v>3430</v>
      </c>
      <c r="Y726" s="41" t="str">
        <f t="shared" si="58"/>
        <v>UNDYING|71</v>
      </c>
      <c r="Z726" s="15">
        <f>IF($C726="","",IF($G726="","",RANK($G726,$G$4:$G$1463)+COUNTIF($G$4:$G726,$G726)-1))</f>
        <v>378</v>
      </c>
      <c r="AA726" s="15">
        <f>IF($C726="","",IF($N726="","",RANK($N726,$N$4:$N$1463)+COUNTIF($N$4:$N726,$N726)-1))</f>
        <v>606</v>
      </c>
      <c r="AB726" s="41" t="str">
        <f>IF($C726="","",IF($E726="","",$E726&amp;"#"&amp;(COUNTIFS($E$4:$E$1463,$E726,$X$4:$X$1463,"&gt;"&amp;$X726)+COUNTIFS($E$4:$E726,$E726,$X$4:$X726,"="&amp;$X726))))</f>
        <v>BLOOD KNIGHT#52</v>
      </c>
      <c r="AC726" s="41" t="str">
        <f>IF($C726="","",$B726&amp;"@"&amp;(COUNTIFS($B$4:$B$1463,$B726,$C$4:$C$1463,"&lt;"&amp;$C726)+COUNTIFS($B$4:$B726,$B726,$C$4:$C726,$C726)))</f>
        <v>UNDYING@63</v>
      </c>
      <c r="AD726" s="41">
        <f t="shared" si="59"/>
        <v>723</v>
      </c>
      <c r="AE726" s="41" t="s">
        <v>602</v>
      </c>
      <c r="AF726" s="73">
        <f t="shared" si="60"/>
        <v>63099</v>
      </c>
      <c r="AG726" s="74">
        <f t="shared" si="61"/>
        <v>5.5</v>
      </c>
      <c r="AH726" s="41" t="str">
        <f>IF($C726="","",$B726&amp;"|"&amp;(COUNTIFS($B$4:$B$1463,$B726,$AF$4:$AF$1463,"&gt;"&amp;$AF726)+COUNTIFS($B$4:$B726,$B726,$AF$4:$AF726,"="&amp;$AF726)))</f>
        <v>UNDYING|39</v>
      </c>
      <c r="AI726" s="41" t="str">
        <f>IF($C726="","",$B726&amp;"|"&amp;(COUNTIFS($B$4:$B$1463,$B726,$AG$4:$AG$1463,"&gt;"&amp;$AG726)+COUNTIFS($B$4:$B726,$B726,$AG$4:$AG726,"="&amp;$AG726)))</f>
        <v>UNDYING|37</v>
      </c>
    </row>
    <row r="727" spans="1:35" hidden="1">
      <c r="A727" s="69" t="s">
        <v>109</v>
      </c>
      <c r="B727" s="69" t="s">
        <v>113</v>
      </c>
      <c r="C727" s="63" t="s">
        <v>1786</v>
      </c>
      <c r="D727" s="69" t="s">
        <v>548</v>
      </c>
      <c r="E727" s="68" t="s">
        <v>77</v>
      </c>
      <c r="F727" s="19" t="str">
        <f>IF($C727="","",IF($E727="","-",IFERROR(INDEX(SETUP!$B$55:$B$64,MATCH($E727,SETUP!$A$55:$A$64,0)),"Other")))</f>
        <v>Control</v>
      </c>
      <c r="G727" s="70">
        <v>61180</v>
      </c>
      <c r="H727" s="19" t="str">
        <f>IF($C727="","",IF($G727="","-",INDEX(SETUP!$B$26:$B$32,MATCH($G727,SETUP!$A$26:$A$32,1))))</f>
        <v>61,000 - 61,999</v>
      </c>
      <c r="I727" s="70">
        <v>2541</v>
      </c>
      <c r="J727" s="19" t="str">
        <f>IF($C727="","",IF($I727="","-",INDEX(SETUP!$B$16:$B$22,MATCH($I727,SETUP!$A$16:$A$22,1))))</f>
        <v>DEVELOPING</v>
      </c>
      <c r="K727" s="19" t="str">
        <f>IF($C727="","",IF($I727="","-",TEXT(INT($I727/1000)*1000,"#,##0")&amp;" - "&amp;TEXT(INT($I727/1000)*1000+999,"#,##0")))</f>
        <v>2,000 - 2,999</v>
      </c>
      <c r="L727" s="71">
        <v>4.2</v>
      </c>
      <c r="M727" s="19" t="str">
        <f>IF($C727="","",IF($L727="","-",INDEX(SETUP!$B$36:$B$42,MATCH($L727,SETUP!$A$36:$A$42,1))))</f>
        <v>4k - 5k</v>
      </c>
      <c r="N727" s="21">
        <f>IF($C727="","",IF(OR($G727="",$I727=""),"",ROUND(100*(SETUP!$B$4*MIN(1,$I727/SETUP!$B$9)+SETUP!$B$5*MAX(0,MIN(1,($G727-SETUP!$B$10)/(SETUP!$B$11-SETUP!$B$10)))+SETUP!$B$6*MIN(1,IF($L727="",0,$L727)/SETUP!$B$12)),1)))</f>
        <v>34.4</v>
      </c>
      <c r="O727" s="19" t="str">
        <f>IF($C727="","",IF($N727="","-",INDEX(SETUP!$B$46:$B$51,MATCH($N727,SETUP!$A$46:$A$51,1))))</f>
        <v>C</v>
      </c>
      <c r="P727" s="19">
        <f>IF($C727="","",IF($I727="","",RANK($I727,$I$4:$I$1463)+COUNTIF($I$4:$I727,$I727)-1))</f>
        <v>997</v>
      </c>
      <c r="Q727" s="19">
        <f>IF($C727="","",COUNTIFS($B$4:$B$1463,$B727,$X$4:$X$1463,"&gt;"&amp;$X727)+COUNTIFS($B$4:$B727,$B727,$X$4:$X727,"="&amp;$X727))</f>
        <v>68</v>
      </c>
      <c r="R727" s="75">
        <f>IF($C727="","",IF($I727="","",ROUND(COUNTIF($I$4:$I$1463,"&lt;"&amp;$I727)/COUNT($I$4:$I$1463),3)))</f>
        <v>0.248</v>
      </c>
      <c r="S727" s="19" t="str">
        <f>IF($C727="","",IF($G727="","Name only",IF(OR($I727="",$L727=""),"Partial","Complete")))</f>
        <v>Complete</v>
      </c>
      <c r="T727" s="1" t="str">
        <f>IF($C727="","",TRIM(IF(COUNTIF($C$4:$C$1463,$C727)&gt;1,"Dup name; ","")&amp;IF(AND($G727&lt;&gt;"",$G727&lt;55000),"Low CR - verify; ","")&amp;IF(AND($L727&lt;&gt;"",$L727&gt;15),"Secondary - verify; ","")&amp;IF($E727="","No class; ","")))</f>
        <v/>
      </c>
      <c r="U727" s="68"/>
      <c r="V727" s="68"/>
      <c r="W727" s="68"/>
      <c r="X727" s="76">
        <f t="shared" si="57"/>
        <v>2541</v>
      </c>
      <c r="Y727" s="1" t="str">
        <f t="shared" si="58"/>
        <v>INVICTUS|68</v>
      </c>
      <c r="Z727" s="19">
        <f>IF($C727="","",IF($G727="","",RANK($G727,$G$4:$G$1463)+COUNTIF($G$4:$G727,$G727)-1))</f>
        <v>1098</v>
      </c>
      <c r="AA727" s="19">
        <f>IF($C727="","",IF($N727="","",RANK($N727,$N$4:$N$1463)+COUNTIF($N$4:$N727,$N727)-1))</f>
        <v>1027</v>
      </c>
      <c r="AB727" s="1" t="str">
        <f>IF($C727="","",IF($E727="","",$E727&amp;"#"&amp;(COUNTIFS($E$4:$E$1463,$E727,$X$4:$X$1463,"&gt;"&amp;$X727)+COUNTIFS($E$4:$E727,$E727,$X$4:$X727,"="&amp;$X727))))</f>
        <v>NECROMANCER#65</v>
      </c>
      <c r="AC727" s="1" t="str">
        <f>IF($C727="","",$B727&amp;"@"&amp;(COUNTIFS($B$4:$B$1463,$B727,$C$4:$C$1463,"&lt;"&amp;$C727)+COUNTIFS($B$4:$B727,$B727,$C$4:$C727,$C727)))</f>
        <v>INVICTUS@53</v>
      </c>
      <c r="AD727" s="1">
        <f t="shared" si="59"/>
        <v>724</v>
      </c>
      <c r="AE727" s="1" t="s">
        <v>1787</v>
      </c>
      <c r="AF727" s="76">
        <f t="shared" si="60"/>
        <v>61180</v>
      </c>
      <c r="AG727" s="77">
        <f t="shared" si="61"/>
        <v>4.2</v>
      </c>
      <c r="AH727" s="1" t="str">
        <f>IF($C727="","",$B727&amp;"|"&amp;(COUNTIFS($B$4:$B$1463,$B727,$AF$4:$AF$1463,"&gt;"&amp;$AF727)+COUNTIFS($B$4:$B727,$B727,$AF$4:$AF727,"="&amp;$AF727)))</f>
        <v>INVICTUS|82</v>
      </c>
      <c r="AI727" s="1" t="str">
        <f>IF($C727="","",$B727&amp;"|"&amp;(COUNTIFS($B$4:$B$1463,$B727,$AG$4:$AG$1463,"&gt;"&amp;$AG727)+COUNTIFS($B$4:$B727,$B727,$AG$4:$AG727,"="&amp;$AG727)))</f>
        <v>INVICTUS|55</v>
      </c>
    </row>
    <row r="728" spans="1:35" hidden="1">
      <c r="A728" s="69" t="s">
        <v>106</v>
      </c>
      <c r="B728" s="69" t="s">
        <v>107</v>
      </c>
      <c r="C728" s="63" t="s">
        <v>1788</v>
      </c>
      <c r="D728" s="69"/>
      <c r="E728" s="68" t="s">
        <v>79</v>
      </c>
      <c r="F728" s="15" t="str">
        <f>IF($C728="","",IF($E728="","-",IFERROR(INDEX(SETUP!$B$55:$B$64,MATCH($E728,SETUP!$A$55:$A$64,0)),"Other")))</f>
        <v>Control</v>
      </c>
      <c r="G728" s="70">
        <v>62771</v>
      </c>
      <c r="H728" s="15" t="str">
        <f>IF($C728="","",IF($G728="","-",INDEX(SETUP!$B$26:$B$32,MATCH($G728,SETUP!$A$26:$A$32,1))))</f>
        <v>62,000 - 62,999</v>
      </c>
      <c r="I728" s="70">
        <v>3678</v>
      </c>
      <c r="J728" s="15" t="str">
        <f>IF($C728="","",IF($I728="","-",INDEX(SETUP!$B$16:$B$22,MATCH($I728,SETUP!$A$16:$A$22,1))))</f>
        <v>DEVELOPING</v>
      </c>
      <c r="K728" s="15" t="str">
        <f>IF($C728="","",IF($I728="","-",TEXT(INT($I728/1000)*1000,"#,##0")&amp;" - "&amp;TEXT(INT($I728/1000)*1000+999,"#,##0")))</f>
        <v>3,000 - 3,999</v>
      </c>
      <c r="L728" s="71">
        <v>4.95</v>
      </c>
      <c r="M728" s="15" t="str">
        <f>IF($C728="","",IF($L728="","-",INDEX(SETUP!$B$36:$B$42,MATCH($L728,SETUP!$A$36:$A$42,1))))</f>
        <v>4k - 5k</v>
      </c>
      <c r="N728" s="17">
        <f>IF($C728="","",IF(OR($G728="",$I728=""),"",ROUND(100*(SETUP!$B$4*MIN(1,$I728/SETUP!$B$9)+SETUP!$B$5*MAX(0,MIN(1,($G728-SETUP!$B$10)/(SETUP!$B$11-SETUP!$B$10)))+SETUP!$B$6*MIN(1,IF($L728="",0,$L728)/SETUP!$B$12)),1)))</f>
        <v>44.8</v>
      </c>
      <c r="O728" s="15" t="str">
        <f>IF($C728="","",IF($N728="","-",INDEX(SETUP!$B$46:$B$51,MATCH($N728,SETUP!$A$46:$A$51,1))))</f>
        <v>B</v>
      </c>
      <c r="P728" s="15">
        <f>IF($C728="","",IF($I728="","",RANK($I728,$I$4:$I$1463)+COUNTIF($I$4:$I728,$I728)-1))</f>
        <v>681</v>
      </c>
      <c r="Q728" s="15">
        <f>IF($C728="","",COUNTIFS($B$4:$B$1463,$B728,$X$4:$X$1463,"&gt;"&amp;$X728)+COUNTIFS($B$4:$B728,$B728,$X$4:$X728,"="&amp;$X728))</f>
        <v>60</v>
      </c>
      <c r="R728" s="72">
        <f>IF($C728="","",IF($I728="","",ROUND(COUNTIF($I$4:$I$1463,"&lt;"&amp;$I728)/COUNT($I$4:$I$1463),3)))</f>
        <v>0.48599999999999999</v>
      </c>
      <c r="S728" s="15" t="str">
        <f>IF($C728="","",IF($G728="","Name only",IF(OR($I728="",$L728=""),"Partial","Complete")))</f>
        <v>Complete</v>
      </c>
      <c r="T728" s="41" t="str">
        <f>IF($C728="","",TRIM(IF(COUNTIF($C$4:$C$1463,$C728)&gt;1,"Dup name; ","")&amp;IF(AND($G728&lt;&gt;"",$G728&lt;55000),"Low CR - verify; ","")&amp;IF(AND($L728&lt;&gt;"",$L728&gt;15),"Secondary - verify; ","")&amp;IF($E728="","No class; ","")))</f>
        <v/>
      </c>
      <c r="U728" s="68"/>
      <c r="V728" s="68"/>
      <c r="W728" s="68"/>
      <c r="X728" s="73">
        <f t="shared" si="57"/>
        <v>3678</v>
      </c>
      <c r="Y728" s="41" t="str">
        <f t="shared" si="58"/>
        <v>UNDYING|60</v>
      </c>
      <c r="Z728" s="15">
        <f>IF($C728="","",IF($G728="","",RANK($G728,$G$4:$G$1463)+COUNTIF($G$4:$G728,$G728)-1))</f>
        <v>532</v>
      </c>
      <c r="AA728" s="15">
        <f>IF($C728="","",IF($N728="","",RANK($N728,$N$4:$N$1463)+COUNTIF($N$4:$N728,$N728)-1))</f>
        <v>631</v>
      </c>
      <c r="AB728" s="41" t="str">
        <f>IF($C728="","",IF($E728="","",$E728&amp;"#"&amp;(COUNTIFS($E$4:$E$1463,$E728,$X$4:$X$1463,"&gt;"&amp;$X728)+COUNTIFS($E$4:$E728,$E728,$X$4:$X728,"="&amp;$X728))))</f>
        <v>WARLOCK#166</v>
      </c>
      <c r="AC728" s="41" t="str">
        <f>IF($C728="","",$B728&amp;"@"&amp;(COUNTIFS($B$4:$B$1463,$B728,$C$4:$C$1463,"&lt;"&amp;$C728)+COUNTIFS($B$4:$B728,$B728,$C$4:$C728,$C728)))</f>
        <v>UNDYING@64</v>
      </c>
      <c r="AD728" s="41">
        <f t="shared" si="59"/>
        <v>725</v>
      </c>
      <c r="AE728" s="41" t="s">
        <v>1789</v>
      </c>
      <c r="AF728" s="73">
        <f t="shared" si="60"/>
        <v>62771</v>
      </c>
      <c r="AG728" s="74">
        <f t="shared" si="61"/>
        <v>4.95</v>
      </c>
      <c r="AH728" s="41" t="str">
        <f>IF($C728="","",$B728&amp;"|"&amp;(COUNTIFS($B$4:$B$1463,$B728,$AF$4:$AF$1463,"&gt;"&amp;$AF728)+COUNTIFS($B$4:$B728,$B728,$AF$4:$AF728,"="&amp;$AF728)))</f>
        <v>UNDYING|52</v>
      </c>
      <c r="AI728" s="41" t="str">
        <f>IF($C728="","",$B728&amp;"|"&amp;(COUNTIFS($B$4:$B$1463,$B728,$AG$4:$AG$1463,"&gt;"&amp;$AG728)+COUNTIFS($B$4:$B728,$B728,$AG$4:$AG728,"="&amp;$AG728)))</f>
        <v>UNDYING|54</v>
      </c>
    </row>
    <row r="729" spans="1:35" hidden="1">
      <c r="A729" s="69" t="s">
        <v>109</v>
      </c>
      <c r="B729" s="69" t="s">
        <v>111</v>
      </c>
      <c r="C729" s="63" t="s">
        <v>1790</v>
      </c>
      <c r="D729" s="69" t="s">
        <v>527</v>
      </c>
      <c r="E729" s="68" t="s">
        <v>80</v>
      </c>
      <c r="F729" s="19" t="str">
        <f>IF($C729="","",IF($E729="","-",IFERROR(INDEX(SETUP!$B$55:$B$64,MATCH($E729,SETUP!$A$55:$A$64,0)),"Other")))</f>
        <v>Ranged DPS</v>
      </c>
      <c r="G729" s="70">
        <v>62352</v>
      </c>
      <c r="H729" s="19" t="str">
        <f>IF($C729="","",IF($G729="","-",INDEX(SETUP!$B$26:$B$32,MATCH($G729,SETUP!$A$26:$A$32,1))))</f>
        <v>62,000 - 62,999</v>
      </c>
      <c r="I729" s="70">
        <v>5429</v>
      </c>
      <c r="J729" s="19" t="str">
        <f>IF($C729="","",IF($I729="","-",INDEX(SETUP!$B$16:$B$22,MATCH($I729,SETUP!$A$16:$A$22,1))))</f>
        <v>CORE</v>
      </c>
      <c r="K729" s="19" t="str">
        <f>IF($C729="","",IF($I729="","-",TEXT(INT($I729/1000)*1000,"#,##0")&amp;" - "&amp;TEXT(INT($I729/1000)*1000+999,"#,##0")))</f>
        <v>5,000 - 5,999</v>
      </c>
      <c r="L729" s="71">
        <v>5</v>
      </c>
      <c r="M729" s="19" t="str">
        <f>IF($C729="","",IF($L729="","-",INDEX(SETUP!$B$36:$B$42,MATCH($L729,SETUP!$A$36:$A$42,1))))</f>
        <v>5k - 6k</v>
      </c>
      <c r="N729" s="21">
        <f>IF($C729="","",IF(OR($G729="",$I729=""),"",ROUND(100*(SETUP!$B$4*MIN(1,$I729/SETUP!$B$9)+SETUP!$B$5*MAX(0,MIN(1,($G729-SETUP!$B$10)/(SETUP!$B$11-SETUP!$B$10)))+SETUP!$B$6*MIN(1,IF($L729="",0,$L729)/SETUP!$B$12)),1)))</f>
        <v>51.4</v>
      </c>
      <c r="O729" s="19" t="str">
        <f>IF($C729="","",IF($N729="","-",INDEX(SETUP!$B$46:$B$51,MATCH($N729,SETUP!$A$46:$A$51,1))))</f>
        <v>A</v>
      </c>
      <c r="P729" s="19">
        <f>IF($C729="","",IF($I729="","",RANK($I729,$I$4:$I$1463)+COUNTIF($I$4:$I729,$I729)-1))</f>
        <v>345</v>
      </c>
      <c r="Q729" s="19">
        <f>IF($C729="","",COUNTIFS($B$4:$B$1463,$B729,$X$4:$X$1463,"&gt;"&amp;$X729)+COUNTIFS($B$4:$B729,$B729,$X$4:$X729,"="&amp;$X729))</f>
        <v>39</v>
      </c>
      <c r="R729" s="75">
        <f>IF($C729="","",IF($I729="","",ROUND(COUNTIF($I$4:$I$1463,"&lt;"&amp;$I729)/COUNT($I$4:$I$1463),3)))</f>
        <v>0.74</v>
      </c>
      <c r="S729" s="19" t="str">
        <f>IF($C729="","",IF($G729="","Name only",IF(OR($I729="",$L729=""),"Partial","Complete")))</f>
        <v>Complete</v>
      </c>
      <c r="T729" s="1" t="str">
        <f>IF($C729="","",TRIM(IF(COUNTIF($C$4:$C$1463,$C729)&gt;1,"Dup name; ","")&amp;IF(AND($G729&lt;&gt;"",$G729&lt;55000),"Low CR - verify; ","")&amp;IF(AND($L729&lt;&gt;"",$L729&gt;15),"Secondary - verify; ","")&amp;IF($E729="","No class; ","")))</f>
        <v/>
      </c>
      <c r="U729" s="68"/>
      <c r="V729" s="68"/>
      <c r="W729" s="68"/>
      <c r="X729" s="76">
        <f t="shared" si="57"/>
        <v>5429</v>
      </c>
      <c r="Y729" s="1" t="str">
        <f t="shared" si="58"/>
        <v>RECKONING|39</v>
      </c>
      <c r="Z729" s="19">
        <f>IF($C729="","",IF($G729="","",RANK($G729,$G$4:$G$1463)+COUNTIF($G$4:$G729,$G729)-1))</f>
        <v>709</v>
      </c>
      <c r="AA729" s="19">
        <f>IF($C729="","",IF($N729="","",RANK($N729,$N$4:$N$1463)+COUNTIF($N$4:$N729,$N729)-1))</f>
        <v>408</v>
      </c>
      <c r="AB729" s="1" t="str">
        <f>IF($C729="","",IF($E729="","",$E729&amp;"#"&amp;(COUNTIFS($E$4:$E$1463,$E729,$X$4:$X$1463,"&gt;"&amp;$X729)+COUNTIFS($E$4:$E729,$E729,$X$4:$X729,"="&amp;$X729))))</f>
        <v>WIZARD#24</v>
      </c>
      <c r="AC729" s="1" t="str">
        <f>IF($C729="","",$B729&amp;"@"&amp;(COUNTIFS($B$4:$B$1463,$B729,$C$4:$C$1463,"&lt;"&amp;$C729)+COUNTIFS($B$4:$B729,$B729,$C$4:$C729,$C729)))</f>
        <v>RECKONING@55</v>
      </c>
      <c r="AD729" s="1">
        <f t="shared" si="59"/>
        <v>726</v>
      </c>
      <c r="AE729" s="1" t="s">
        <v>790</v>
      </c>
      <c r="AF729" s="76">
        <f t="shared" si="60"/>
        <v>62352</v>
      </c>
      <c r="AG729" s="77">
        <f t="shared" si="61"/>
        <v>5</v>
      </c>
      <c r="AH729" s="1" t="str">
        <f>IF($C729="","",$B729&amp;"|"&amp;(COUNTIFS($B$4:$B$1463,$B729,$AF$4:$AF$1463,"&gt;"&amp;$AF729)+COUNTIFS($B$4:$B729,$B729,$AF$4:$AF729,"="&amp;$AF729)))</f>
        <v>RECKONING|64</v>
      </c>
      <c r="AI729" s="1" t="str">
        <f>IF($C729="","",$B729&amp;"|"&amp;(COUNTIFS($B$4:$B$1463,$B729,$AG$4:$AG$1463,"&gt;"&amp;$AG729)+COUNTIFS($B$4:$B729,$B729,$AG$4:$AG729,"="&amp;$AG729)))</f>
        <v>RECKONING|68</v>
      </c>
    </row>
    <row r="730" spans="1:35" hidden="1">
      <c r="A730" s="69" t="s">
        <v>109</v>
      </c>
      <c r="B730" s="69" t="s">
        <v>111</v>
      </c>
      <c r="C730" s="63" t="s">
        <v>1791</v>
      </c>
      <c r="D730" s="69" t="s">
        <v>527</v>
      </c>
      <c r="E730" s="68" t="s">
        <v>71</v>
      </c>
      <c r="F730" s="15" t="str">
        <f>IF($C730="","",IF($E730="","-",IFERROR(INDEX(SETUP!$B$55:$B$64,MATCH($E730,SETUP!$A$55:$A$64,0)),"Other")))</f>
        <v>Frontline</v>
      </c>
      <c r="G730" s="70">
        <v>62758</v>
      </c>
      <c r="H730" s="15" t="str">
        <f>IF($C730="","",IF($G730="","-",INDEX(SETUP!$B$26:$B$32,MATCH($G730,SETUP!$A$26:$A$32,1))))</f>
        <v>62,000 - 62,999</v>
      </c>
      <c r="I730" s="70">
        <v>3644</v>
      </c>
      <c r="J730" s="15" t="str">
        <f>IF($C730="","",IF($I730="","-",INDEX(SETUP!$B$16:$B$22,MATCH($I730,SETUP!$A$16:$A$22,1))))</f>
        <v>DEVELOPING</v>
      </c>
      <c r="K730" s="15" t="str">
        <f>IF($C730="","",IF($I730="","-",TEXT(INT($I730/1000)*1000,"#,##0")&amp;" - "&amp;TEXT(INT($I730/1000)*1000+999,"#,##0")))</f>
        <v>3,000 - 3,999</v>
      </c>
      <c r="L730" s="71">
        <v>3.9</v>
      </c>
      <c r="M730" s="15" t="str">
        <f>IF($C730="","",IF($L730="","-",INDEX(SETUP!$B$36:$B$42,MATCH($L730,SETUP!$A$36:$A$42,1))))</f>
        <v>3k - 4k</v>
      </c>
      <c r="N730" s="17">
        <f>IF($C730="","",IF(OR($G730="",$I730=""),"",ROUND(100*(SETUP!$B$4*MIN(1,$I730/SETUP!$B$9)+SETUP!$B$5*MAX(0,MIN(1,($G730-SETUP!$B$10)/(SETUP!$B$11-SETUP!$B$10)))+SETUP!$B$6*MIN(1,IF($L730="",0,$L730)/SETUP!$B$12)),1)))</f>
        <v>42.8</v>
      </c>
      <c r="O730" s="15" t="str">
        <f>IF($C730="","",IF($N730="","-",INDEX(SETUP!$B$46:$B$51,MATCH($N730,SETUP!$A$46:$A$51,1))))</f>
        <v>B</v>
      </c>
      <c r="P730" s="15">
        <f>IF($C730="","",IF($I730="","",RANK($I730,$I$4:$I$1463)+COUNTIF($I$4:$I730,$I730)-1))</f>
        <v>692</v>
      </c>
      <c r="Q730" s="15">
        <f>IF($C730="","",COUNTIFS($B$4:$B$1463,$B730,$X$4:$X$1463,"&gt;"&amp;$X730)+COUNTIFS($B$4:$B730,$B730,$X$4:$X730,"="&amp;$X730))</f>
        <v>77</v>
      </c>
      <c r="R730" s="72">
        <f>IF($C730="","",IF($I730="","",ROUND(COUNTIF($I$4:$I$1463,"&lt;"&amp;$I730)/COUNT($I$4:$I$1463),3)))</f>
        <v>0.47799999999999998</v>
      </c>
      <c r="S730" s="15" t="str">
        <f>IF($C730="","",IF($G730="","Name only",IF(OR($I730="",$L730=""),"Partial","Complete")))</f>
        <v>Complete</v>
      </c>
      <c r="T730" s="41" t="str">
        <f>IF($C730="","",TRIM(IF(COUNTIF($C$4:$C$1463,$C730)&gt;1,"Dup name; ","")&amp;IF(AND($G730&lt;&gt;"",$G730&lt;55000),"Low CR - verify; ","")&amp;IF(AND($L730&lt;&gt;"",$L730&gt;15),"Secondary - verify; ","")&amp;IF($E730="","No class; ","")))</f>
        <v/>
      </c>
      <c r="U730" s="68"/>
      <c r="V730" s="68"/>
      <c r="W730" s="68"/>
      <c r="X730" s="73">
        <f t="shared" si="57"/>
        <v>3644</v>
      </c>
      <c r="Y730" s="41" t="str">
        <f t="shared" si="58"/>
        <v>RECKONING|77</v>
      </c>
      <c r="Z730" s="15">
        <f>IF($C730="","",IF($G730="","",RANK($G730,$G$4:$G$1463)+COUNTIF($G$4:$G730,$G730)-1))</f>
        <v>539</v>
      </c>
      <c r="AA730" s="15">
        <f>IF($C730="","",IF($N730="","",RANK($N730,$N$4:$N$1463)+COUNTIF($N$4:$N730,$N730)-1))</f>
        <v>713</v>
      </c>
      <c r="AB730" s="41" t="str">
        <f>IF($C730="","",IF($E730="","",$E730&amp;"#"&amp;(COUNTIFS($E$4:$E$1463,$E730,$X$4:$X$1463,"&gt;"&amp;$X730)+COUNTIFS($E$4:$E730,$E730,$X$4:$X730,"="&amp;$X730))))</f>
        <v>BARBARIAN#121</v>
      </c>
      <c r="AC730" s="41" t="str">
        <f>IF($C730="","",$B730&amp;"@"&amp;(COUNTIFS($B$4:$B$1463,$B730,$C$4:$C$1463,"&lt;"&amp;$C730)+COUNTIFS($B$4:$B730,$B730,$C$4:$C730,$C730)))</f>
        <v>RECKONING@56</v>
      </c>
      <c r="AD730" s="41">
        <f t="shared" si="59"/>
        <v>727</v>
      </c>
      <c r="AE730" s="41" t="s">
        <v>1792</v>
      </c>
      <c r="AF730" s="73">
        <f t="shared" si="60"/>
        <v>62758</v>
      </c>
      <c r="AG730" s="74">
        <f t="shared" si="61"/>
        <v>3.9</v>
      </c>
      <c r="AH730" s="41" t="str">
        <f>IF($C730="","",$B730&amp;"|"&amp;(COUNTIFS($B$4:$B$1463,$B730,$AF$4:$AF$1463,"&gt;"&amp;$AF730)+COUNTIFS($B$4:$B730,$B730,$AF$4:$AF730,"="&amp;$AF730)))</f>
        <v>RECKONING|53</v>
      </c>
      <c r="AI730" s="41" t="str">
        <f>IF($C730="","",$B730&amp;"|"&amp;(COUNTIFS($B$4:$B$1463,$B730,$AG$4:$AG$1463,"&gt;"&amp;$AG730)+COUNTIFS($B$4:$B730,$B730,$AG$4:$AG730,"="&amp;$AG730)))</f>
        <v>RECKONING|91</v>
      </c>
    </row>
    <row r="731" spans="1:35" hidden="1">
      <c r="A731" s="69" t="s">
        <v>109</v>
      </c>
      <c r="B731" s="69" t="s">
        <v>110</v>
      </c>
      <c r="C731" s="63" t="s">
        <v>1793</v>
      </c>
      <c r="D731" s="69"/>
      <c r="E731" s="68" t="s">
        <v>79</v>
      </c>
      <c r="F731" s="19" t="str">
        <f>IF($C731="","",IF($E731="","-",IFERROR(INDEX(SETUP!$B$55:$B$64,MATCH($E731,SETUP!$A$55:$A$64,0)),"Other")))</f>
        <v>Control</v>
      </c>
      <c r="G731" s="70">
        <v>64347</v>
      </c>
      <c r="H731" s="19" t="str">
        <f>IF($C731="","",IF($G731="","-",INDEX(SETUP!$B$26:$B$32,MATCH($G731,SETUP!$A$26:$A$32,1))))</f>
        <v>64,000 +</v>
      </c>
      <c r="I731" s="70">
        <v>11506</v>
      </c>
      <c r="J731" s="19" t="str">
        <f>IF($C731="","",IF($I731="","-",INDEX(SETUP!$B$16:$B$22,MATCH($I731,SETUP!$A$16:$A$22,1))))</f>
        <v>APEX</v>
      </c>
      <c r="K731" s="19" t="str">
        <f>IF($C731="","",IF($I731="","-",TEXT(INT($I731/1000)*1000,"#,##0")&amp;" - "&amp;TEXT(INT($I731/1000)*1000+999,"#,##0")))</f>
        <v>11,000 - 11,999</v>
      </c>
      <c r="L731" s="71">
        <v>11.1</v>
      </c>
      <c r="M731" s="19" t="str">
        <f>IF($C731="","",IF($L731="","-",INDEX(SETUP!$B$36:$B$42,MATCH($L731,SETUP!$A$36:$A$42,1))))</f>
        <v>10k +</v>
      </c>
      <c r="N731" s="21">
        <f>IF($C731="","",IF(OR($G731="",$I731=""),"",ROUND(100*(SETUP!$B$4*MIN(1,$I731/SETUP!$B$9)+SETUP!$B$5*MAX(0,MIN(1,($G731-SETUP!$B$10)/(SETUP!$B$11-SETUP!$B$10)))+SETUP!$B$6*MIN(1,IF($L731="",0,$L731)/SETUP!$B$12)),1)))</f>
        <v>93.3</v>
      </c>
      <c r="O731" s="19" t="str">
        <f>IF($C731="","",IF($N731="","-",INDEX(SETUP!$B$46:$B$51,MATCH($N731,SETUP!$A$46:$A$51,1))))</f>
        <v>S+</v>
      </c>
      <c r="P731" s="19">
        <f>IF($C731="","",IF($I731="","",RANK($I731,$I$4:$I$1463)+COUNTIF($I$4:$I731,$I731)-1))</f>
        <v>7</v>
      </c>
      <c r="Q731" s="19">
        <f>IF($C731="","",COUNTIFS($B$4:$B$1463,$B731,$X$4:$X$1463,"&gt;"&amp;$X731)+COUNTIFS($B$4:$B731,$B731,$X$4:$X731,"="&amp;$X731))</f>
        <v>4</v>
      </c>
      <c r="R731" s="75">
        <f>IF($C731="","",IF($I731="","",ROUND(COUNTIF($I$4:$I$1463,"&lt;"&amp;$I731)/COUNT($I$4:$I$1463),3)))</f>
        <v>0.995</v>
      </c>
      <c r="S731" s="19" t="str">
        <f>IF($C731="","",IF($G731="","Name only",IF(OR($I731="",$L731=""),"Partial","Complete")))</f>
        <v>Complete</v>
      </c>
      <c r="T731" s="1" t="str">
        <f>IF($C731="","",TRIM(IF(COUNTIF($C$4:$C$1463,$C731)&gt;1,"Dup name; ","")&amp;IF(AND($G731&lt;&gt;"",$G731&lt;55000),"Low CR - verify; ","")&amp;IF(AND($L731&lt;&gt;"",$L731&gt;15),"Secondary - verify; ","")&amp;IF($E731="","No class; ","")))</f>
        <v/>
      </c>
      <c r="U731" s="68"/>
      <c r="V731" s="68"/>
      <c r="W731" s="68"/>
      <c r="X731" s="76">
        <f t="shared" si="57"/>
        <v>11506</v>
      </c>
      <c r="Y731" s="1" t="str">
        <f t="shared" si="58"/>
        <v>AZUKI|4</v>
      </c>
      <c r="Z731" s="19">
        <f>IF($C731="","",IF($G731="","",RANK($G731,$G$4:$G$1463)+COUNTIF($G$4:$G731,$G731)-1))</f>
        <v>17</v>
      </c>
      <c r="AA731" s="19">
        <f>IF($C731="","",IF($N731="","",RANK($N731,$N$4:$N$1463)+COUNTIF($N$4:$N731,$N731)-1))</f>
        <v>5</v>
      </c>
      <c r="AB731" s="1" t="str">
        <f>IF($C731="","",IF($E731="","",$E731&amp;"#"&amp;(COUNTIFS($E$4:$E$1463,$E731,$X$4:$X$1463,"&gt;"&amp;$X731)+COUNTIFS($E$4:$E731,$E731,$X$4:$X731,"="&amp;$X731))))</f>
        <v>WARLOCK#1</v>
      </c>
      <c r="AC731" s="1" t="str">
        <f>IF($C731="","",$B731&amp;"@"&amp;(COUNTIFS($B$4:$B$1463,$B731,$C$4:$C$1463,"&lt;"&amp;$C731)+COUNTIFS($B$4:$B731,$B731,$C$4:$C731,$C731)))</f>
        <v>AZUKI@55</v>
      </c>
      <c r="AD731" s="1">
        <f t="shared" si="59"/>
        <v>728</v>
      </c>
      <c r="AE731" s="1" t="s">
        <v>1794</v>
      </c>
      <c r="AF731" s="76">
        <f t="shared" si="60"/>
        <v>64347</v>
      </c>
      <c r="AG731" s="77">
        <f t="shared" si="61"/>
        <v>11.1</v>
      </c>
      <c r="AH731" s="1" t="str">
        <f>IF($C731="","",$B731&amp;"|"&amp;(COUNTIFS($B$4:$B$1463,$B731,$AF$4:$AF$1463,"&gt;"&amp;$AF731)+COUNTIFS($B$4:$B731,$B731,$AF$4:$AF731,"="&amp;$AF731)))</f>
        <v>AZUKI|6</v>
      </c>
      <c r="AI731" s="1" t="str">
        <f>IF($C731="","",$B731&amp;"|"&amp;(COUNTIFS($B$4:$B$1463,$B731,$AG$4:$AG$1463,"&gt;"&amp;$AG731)+COUNTIFS($B$4:$B731,$B731,$AG$4:$AG731,"="&amp;$AG731)))</f>
        <v>AZUKI|1</v>
      </c>
    </row>
    <row r="732" spans="1:35" hidden="1">
      <c r="A732" s="69" t="s">
        <v>109</v>
      </c>
      <c r="B732" s="69" t="s">
        <v>110</v>
      </c>
      <c r="C732" s="63" t="s">
        <v>1795</v>
      </c>
      <c r="D732" s="69"/>
      <c r="E732" s="68" t="s">
        <v>79</v>
      </c>
      <c r="F732" s="15" t="str">
        <f>IF($C732="","",IF($E732="","-",IFERROR(INDEX(SETUP!$B$55:$B$64,MATCH($E732,SETUP!$A$55:$A$64,0)),"Other")))</f>
        <v>Control</v>
      </c>
      <c r="G732" s="70">
        <v>63397</v>
      </c>
      <c r="H732" s="15" t="str">
        <f>IF($C732="","",IF($G732="","-",INDEX(SETUP!$B$26:$B$32,MATCH($G732,SETUP!$A$26:$A$32,1))))</f>
        <v>63,000 - 63,999</v>
      </c>
      <c r="I732" s="70">
        <v>5230</v>
      </c>
      <c r="J732" s="15" t="str">
        <f>IF($C732="","",IF($I732="","-",INDEX(SETUP!$B$16:$B$22,MATCH($I732,SETUP!$A$16:$A$22,1))))</f>
        <v>CORE</v>
      </c>
      <c r="K732" s="15" t="str">
        <f>IF($C732="","",IF($I732="","-",TEXT(INT($I732/1000)*1000,"#,##0")&amp;" - "&amp;TEXT(INT($I732/1000)*1000+999,"#,##0")))</f>
        <v>5,000 - 5,999</v>
      </c>
      <c r="L732" s="71">
        <v>5.2</v>
      </c>
      <c r="M732" s="15" t="str">
        <f>IF($C732="","",IF($L732="","-",INDEX(SETUP!$B$36:$B$42,MATCH($L732,SETUP!$A$36:$A$42,1))))</f>
        <v>5k - 6k</v>
      </c>
      <c r="N732" s="17">
        <f>IF($C732="","",IF(OR($G732="",$I732=""),"",ROUND(100*(SETUP!$B$4*MIN(1,$I732/SETUP!$B$9)+SETUP!$B$5*MAX(0,MIN(1,($G732-SETUP!$B$10)/(SETUP!$B$11-SETUP!$B$10)))+SETUP!$B$6*MIN(1,IF($L732="",0,$L732)/SETUP!$B$12)),1)))</f>
        <v>53.6</v>
      </c>
      <c r="O732" s="15" t="str">
        <f>IF($C732="","",IF($N732="","-",INDEX(SETUP!$B$46:$B$51,MATCH($N732,SETUP!$A$46:$A$51,1))))</f>
        <v>A</v>
      </c>
      <c r="P732" s="15">
        <f>IF($C732="","",IF($I732="","",RANK($I732,$I$4:$I$1463)+COUNTIF($I$4:$I732,$I732)-1))</f>
        <v>375</v>
      </c>
      <c r="Q732" s="15">
        <f>IF($C732="","",COUNTIFS($B$4:$B$1463,$B732,$X$4:$X$1463,"&gt;"&amp;$X732)+COUNTIFS($B$4:$B732,$B732,$X$4:$X732,"="&amp;$X732))</f>
        <v>45</v>
      </c>
      <c r="R732" s="72">
        <f>IF($C732="","",IF($I732="","",ROUND(COUNTIF($I$4:$I$1463,"&lt;"&amp;$I732)/COUNT($I$4:$I$1463),3)))</f>
        <v>0.71699999999999997</v>
      </c>
      <c r="S732" s="15" t="str">
        <f>IF($C732="","",IF($G732="","Name only",IF(OR($I732="",$L732=""),"Partial","Complete")))</f>
        <v>Complete</v>
      </c>
      <c r="T732" s="41" t="str">
        <f>IF($C732="","",TRIM(IF(COUNTIF($C$4:$C$1463,$C732)&gt;1,"Dup name; ","")&amp;IF(AND($G732&lt;&gt;"",$G732&lt;55000),"Low CR - verify; ","")&amp;IF(AND($L732&lt;&gt;"",$L732&gt;15),"Secondary - verify; ","")&amp;IF($E732="","No class; ","")))</f>
        <v/>
      </c>
      <c r="U732" s="68"/>
      <c r="V732" s="68"/>
      <c r="W732" s="68"/>
      <c r="X732" s="73">
        <f t="shared" si="57"/>
        <v>5230</v>
      </c>
      <c r="Y732" s="41" t="str">
        <f t="shared" si="58"/>
        <v>AZUKI|45</v>
      </c>
      <c r="Z732" s="15">
        <f>IF($C732="","",IF($G732="","",RANK($G732,$G$4:$G$1463)+COUNTIF($G$4:$G732,$G732)-1))</f>
        <v>223</v>
      </c>
      <c r="AA732" s="15">
        <f>IF($C732="","",IF($N732="","",RANK($N732,$N$4:$N$1463)+COUNTIF($N$4:$N732,$N732)-1))</f>
        <v>347</v>
      </c>
      <c r="AB732" s="41" t="str">
        <f>IF($C732="","",IF($E732="","",$E732&amp;"#"&amp;(COUNTIFS($E$4:$E$1463,$E732,$X$4:$X$1463,"&gt;"&amp;$X732)+COUNTIFS($E$4:$E732,$E732,$X$4:$X732,"="&amp;$X732))))</f>
        <v>WARLOCK#89</v>
      </c>
      <c r="AC732" s="41" t="str">
        <f>IF($C732="","",$B732&amp;"@"&amp;(COUNTIFS($B$4:$B$1463,$B732,$C$4:$C$1463,"&lt;"&amp;$C732)+COUNTIFS($B$4:$B732,$B732,$C$4:$C732,$C732)))</f>
        <v>AZUKI@56</v>
      </c>
      <c r="AD732" s="41">
        <f t="shared" si="59"/>
        <v>729</v>
      </c>
      <c r="AE732" s="41" t="s">
        <v>1796</v>
      </c>
      <c r="AF732" s="73">
        <f t="shared" si="60"/>
        <v>63397</v>
      </c>
      <c r="AG732" s="74">
        <f t="shared" si="61"/>
        <v>5.2</v>
      </c>
      <c r="AH732" s="41" t="str">
        <f>IF($C732="","",$B732&amp;"|"&amp;(COUNTIFS($B$4:$B$1463,$B732,$AF$4:$AF$1463,"&gt;"&amp;$AF732)+COUNTIFS($B$4:$B732,$B732,$AF$4:$AF732,"="&amp;$AF732)))</f>
        <v>AZUKI|28</v>
      </c>
      <c r="AI732" s="41" t="str">
        <f>IF($C732="","",$B732&amp;"|"&amp;(COUNTIFS($B$4:$B$1463,$B732,$AG$4:$AG$1463,"&gt;"&amp;$AG732)+COUNTIFS($B$4:$B732,$B732,$AG$4:$AG732,"="&amp;$AG732)))</f>
        <v>AZUKI|65</v>
      </c>
    </row>
    <row r="733" spans="1:35" hidden="1">
      <c r="A733" s="69" t="s">
        <v>106</v>
      </c>
      <c r="B733" s="69" t="s">
        <v>105</v>
      </c>
      <c r="C733" s="63" t="s">
        <v>1797</v>
      </c>
      <c r="D733" s="69"/>
      <c r="E733" s="68" t="s">
        <v>73</v>
      </c>
      <c r="F733" s="19" t="str">
        <f>IF($C733="","",IF($E733="","-",IFERROR(INDEX(SETUP!$B$55:$B$64,MATCH($E733,SETUP!$A$55:$A$64,0)),"Other")))</f>
        <v>Frontline</v>
      </c>
      <c r="G733" s="70">
        <v>63237</v>
      </c>
      <c r="H733" s="19" t="str">
        <f>IF($C733="","",IF($G733="","-",INDEX(SETUP!$B$26:$B$32,MATCH($G733,SETUP!$A$26:$A$32,1))))</f>
        <v>63,000 - 63,999</v>
      </c>
      <c r="I733" s="70">
        <v>4185</v>
      </c>
      <c r="J733" s="19" t="str">
        <f>IF($C733="","",IF($I733="","-",INDEX(SETUP!$B$16:$B$22,MATCH($I733,SETUP!$A$16:$A$22,1))))</f>
        <v>CORE</v>
      </c>
      <c r="K733" s="19" t="str">
        <f>IF($C733="","",IF($I733="","-",TEXT(INT($I733/1000)*1000,"#,##0")&amp;" - "&amp;TEXT(INT($I733/1000)*1000+999,"#,##0")))</f>
        <v>4,000 - 4,999</v>
      </c>
      <c r="L733" s="71">
        <v>4.83</v>
      </c>
      <c r="M733" s="19" t="str">
        <f>IF($C733="","",IF($L733="","-",INDEX(SETUP!$B$36:$B$42,MATCH($L733,SETUP!$A$36:$A$42,1))))</f>
        <v>4k - 5k</v>
      </c>
      <c r="N733" s="21">
        <f>IF($C733="","",IF(OR($G733="",$I733=""),"",ROUND(100*(SETUP!$B$4*MIN(1,$I733/SETUP!$B$9)+SETUP!$B$5*MAX(0,MIN(1,($G733-SETUP!$B$10)/(SETUP!$B$11-SETUP!$B$10)))+SETUP!$B$6*MIN(1,IF($L733="",0,$L733)/SETUP!$B$12)),1)))</f>
        <v>48</v>
      </c>
      <c r="O733" s="19" t="str">
        <f>IF($C733="","",IF($N733="","-",INDEX(SETUP!$B$46:$B$51,MATCH($N733,SETUP!$A$46:$A$51,1))))</f>
        <v>B</v>
      </c>
      <c r="P733" s="19">
        <f>IF($C733="","",IF($I733="","",RANK($I733,$I$4:$I$1463)+COUNTIF($I$4:$I733,$I733)-1))</f>
        <v>560</v>
      </c>
      <c r="Q733" s="19">
        <f>IF($C733="","",COUNTIFS($B$4:$B$1463,$B733,$X$4:$X$1463,"&gt;"&amp;$X733)+COUNTIFS($B$4:$B733,$B733,$X$4:$X733,"="&amp;$X733))</f>
        <v>72</v>
      </c>
      <c r="R733" s="75">
        <f>IF($C733="","",IF($I733="","",ROUND(COUNTIF($I$4:$I$1463,"&lt;"&amp;$I733)/COUNT($I$4:$I$1463),3)))</f>
        <v>0.57699999999999996</v>
      </c>
      <c r="S733" s="19" t="str">
        <f>IF($C733="","",IF($G733="","Name only",IF(OR($I733="",$L733=""),"Partial","Complete")))</f>
        <v>Complete</v>
      </c>
      <c r="T733" s="1" t="str">
        <f>IF($C733="","",TRIM(IF(COUNTIF($C$4:$C$1463,$C733)&gt;1,"Dup name; ","")&amp;IF(AND($G733&lt;&gt;"",$G733&lt;55000),"Low CR - verify; ","")&amp;IF(AND($L733&lt;&gt;"",$L733&gt;15),"Secondary - verify; ","")&amp;IF($E733="","No class; ","")))</f>
        <v/>
      </c>
      <c r="U733" s="68"/>
      <c r="V733" s="68"/>
      <c r="W733" s="68"/>
      <c r="X733" s="76">
        <f t="shared" si="57"/>
        <v>4185</v>
      </c>
      <c r="Y733" s="1" t="str">
        <f t="shared" si="58"/>
        <v>LEGENDS|72</v>
      </c>
      <c r="Z733" s="19">
        <f>IF($C733="","",IF($G733="","",RANK($G733,$G$4:$G$1463)+COUNTIF($G$4:$G733,$G733)-1))</f>
        <v>297</v>
      </c>
      <c r="AA733" s="19">
        <f>IF($C733="","",IF($N733="","",RANK($N733,$N$4:$N$1463)+COUNTIF($N$4:$N733,$N733)-1))</f>
        <v>518</v>
      </c>
      <c r="AB733" s="1" t="str">
        <f>IF($C733="","",IF($E733="","",$E733&amp;"#"&amp;(COUNTIFS($E$4:$E$1463,$E733,$X$4:$X$1463,"&gt;"&amp;$X733)+COUNTIFS($E$4:$E733,$E733,$X$4:$X733,"="&amp;$X733))))</f>
        <v>CRUSADER#67</v>
      </c>
      <c r="AC733" s="1" t="str">
        <f>IF($C733="","",$B733&amp;"@"&amp;(COUNTIFS($B$4:$B$1463,$B733,$C$4:$C$1463,"&lt;"&amp;$C733)+COUNTIFS($B$4:$B733,$B733,$C$4:$C733,$C733)))</f>
        <v>LEGENDS@64</v>
      </c>
      <c r="AD733" s="1">
        <f t="shared" si="59"/>
        <v>730</v>
      </c>
      <c r="AE733" s="1" t="s">
        <v>1798</v>
      </c>
      <c r="AF733" s="76">
        <f t="shared" si="60"/>
        <v>63237</v>
      </c>
      <c r="AG733" s="77">
        <f t="shared" si="61"/>
        <v>4.83</v>
      </c>
      <c r="AH733" s="1" t="str">
        <f>IF($C733="","",$B733&amp;"|"&amp;(COUNTIFS($B$4:$B$1463,$B733,$AF$4:$AF$1463,"&gt;"&amp;$AF733)+COUNTIFS($B$4:$B733,$B733,$AF$4:$AF733,"="&amp;$AF733)))</f>
        <v>LEGENDS|38</v>
      </c>
      <c r="AI733" s="1" t="str">
        <f>IF($C733="","",$B733&amp;"|"&amp;(COUNTIFS($B$4:$B$1463,$B733,$AG$4:$AG$1463,"&gt;"&amp;$AG733)+COUNTIFS($B$4:$B733,$B733,$AG$4:$AG733,"="&amp;$AG733)))</f>
        <v>LEGENDS|70</v>
      </c>
    </row>
    <row r="734" spans="1:35" hidden="1">
      <c r="A734" s="69" t="s">
        <v>106</v>
      </c>
      <c r="B734" s="69" t="s">
        <v>107</v>
      </c>
      <c r="C734" s="63" t="s">
        <v>1799</v>
      </c>
      <c r="D734" s="69" t="s">
        <v>932</v>
      </c>
      <c r="E734" s="68" t="s">
        <v>79</v>
      </c>
      <c r="F734" s="15" t="str">
        <f>IF($C734="","",IF($E734="","-",IFERROR(INDEX(SETUP!$B$55:$B$64,MATCH($E734,SETUP!$A$55:$A$64,0)),"Other")))</f>
        <v>Control</v>
      </c>
      <c r="G734" s="70">
        <v>61195</v>
      </c>
      <c r="H734" s="15" t="str">
        <f>IF($C734="","",IF($G734="","-",INDEX(SETUP!$B$26:$B$32,MATCH($G734,SETUP!$A$26:$A$32,1))))</f>
        <v>61,000 - 61,999</v>
      </c>
      <c r="I734" s="70">
        <v>3140</v>
      </c>
      <c r="J734" s="15" t="str">
        <f>IF($C734="","",IF($I734="","-",INDEX(SETUP!$B$16:$B$22,MATCH($I734,SETUP!$A$16:$A$22,1))))</f>
        <v>DEVELOPING</v>
      </c>
      <c r="K734" s="15" t="str">
        <f>IF($C734="","",IF($I734="","-",TEXT(INT($I734/1000)*1000,"#,##0")&amp;" - "&amp;TEXT(INT($I734/1000)*1000+999,"#,##0")))</f>
        <v>3,000 - 3,999</v>
      </c>
      <c r="L734" s="71">
        <v>3.2</v>
      </c>
      <c r="M734" s="15" t="str">
        <f>IF($C734="","",IF($L734="","-",INDEX(SETUP!$B$36:$B$42,MATCH($L734,SETUP!$A$36:$A$42,1))))</f>
        <v>3k - 4k</v>
      </c>
      <c r="N734" s="17">
        <f>IF($C734="","",IF(OR($G734="",$I734=""),"",ROUND(100*(SETUP!$B$4*MIN(1,$I734/SETUP!$B$9)+SETUP!$B$5*MAX(0,MIN(1,($G734-SETUP!$B$10)/(SETUP!$B$11-SETUP!$B$10)))+SETUP!$B$6*MIN(1,IF($L734="",0,$L734)/SETUP!$B$12)),1)))</f>
        <v>35.299999999999997</v>
      </c>
      <c r="O734" s="15" t="str">
        <f>IF($C734="","",IF($N734="","-",INDEX(SETUP!$B$46:$B$51,MATCH($N734,SETUP!$A$46:$A$51,1))))</f>
        <v>B</v>
      </c>
      <c r="P734" s="15">
        <f>IF($C734="","",IF($I734="","",RANK($I734,$I$4:$I$1463)+COUNTIF($I$4:$I734,$I734)-1))</f>
        <v>845</v>
      </c>
      <c r="Q734" s="15">
        <f>IF($C734="","",COUNTIFS($B$4:$B$1463,$B734,$X$4:$X$1463,"&gt;"&amp;$X734)+COUNTIFS($B$4:$B734,$B734,$X$4:$X734,"="&amp;$X734))</f>
        <v>78</v>
      </c>
      <c r="R734" s="72">
        <f>IF($C734="","",IF($I734="","",ROUND(COUNTIF($I$4:$I$1463,"&lt;"&amp;$I734)/COUNT($I$4:$I$1463),3)))</f>
        <v>0.36199999999999999</v>
      </c>
      <c r="S734" s="15" t="str">
        <f>IF($C734="","",IF($G734="","Name only",IF(OR($I734="",$L734=""),"Partial","Complete")))</f>
        <v>Complete</v>
      </c>
      <c r="T734" s="41" t="str">
        <f>IF($C734="","",TRIM(IF(COUNTIF($C$4:$C$1463,$C734)&gt;1,"Dup name; ","")&amp;IF(AND($G734&lt;&gt;"",$G734&lt;55000),"Low CR - verify; ","")&amp;IF(AND($L734&lt;&gt;"",$L734&gt;15),"Secondary - verify; ","")&amp;IF($E734="","No class; ","")))</f>
        <v/>
      </c>
      <c r="U734" s="68"/>
      <c r="V734" s="68"/>
      <c r="W734" s="68"/>
      <c r="X734" s="73">
        <f t="shared" si="57"/>
        <v>3140</v>
      </c>
      <c r="Y734" s="41" t="str">
        <f t="shared" si="58"/>
        <v>UNDYING|78</v>
      </c>
      <c r="Z734" s="15">
        <f>IF($C734="","",IF($G734="","",RANK($G734,$G$4:$G$1463)+COUNTIF($G$4:$G734,$G734)-1))</f>
        <v>1090</v>
      </c>
      <c r="AA734" s="15">
        <f>IF($C734="","",IF($N734="","",RANK($N734,$N$4:$N$1463)+COUNTIF($N$4:$N734,$N734)-1))</f>
        <v>997</v>
      </c>
      <c r="AB734" s="41" t="str">
        <f>IF($C734="","",IF($E734="","",$E734&amp;"#"&amp;(COUNTIFS($E$4:$E$1463,$E734,$X$4:$X$1463,"&gt;"&amp;$X734)+COUNTIFS($E$4:$E734,$E734,$X$4:$X734,"="&amp;$X734))))</f>
        <v>WARLOCK#210</v>
      </c>
      <c r="AC734" s="41" t="str">
        <f>IF($C734="","",$B734&amp;"@"&amp;(COUNTIFS($B$4:$B$1463,$B734,$C$4:$C$1463,"&lt;"&amp;$C734)+COUNTIFS($B$4:$B734,$B734,$C$4:$C734,$C734)))</f>
        <v>UNDYING@65</v>
      </c>
      <c r="AD734" s="41">
        <f t="shared" si="59"/>
        <v>731</v>
      </c>
      <c r="AE734" s="41" t="s">
        <v>685</v>
      </c>
      <c r="AF734" s="73">
        <f t="shared" si="60"/>
        <v>61195</v>
      </c>
      <c r="AG734" s="74">
        <f t="shared" si="61"/>
        <v>3.2</v>
      </c>
      <c r="AH734" s="41" t="str">
        <f>IF($C734="","",$B734&amp;"|"&amp;(COUNTIFS($B$4:$B$1463,$B734,$AF$4:$AF$1463,"&gt;"&amp;$AF734)+COUNTIFS($B$4:$B734,$B734,$AF$4:$AF734,"="&amp;$AF734)))</f>
        <v>UNDYING|93</v>
      </c>
      <c r="AI734" s="41" t="str">
        <f>IF($C734="","",$B734&amp;"|"&amp;(COUNTIFS($B$4:$B$1463,$B734,$AG$4:$AG$1463,"&gt;"&amp;$AG734)+COUNTIFS($B$4:$B734,$B734,$AG$4:$AG734,"="&amp;$AG734)))</f>
        <v>UNDYING|95</v>
      </c>
    </row>
    <row r="735" spans="1:35" hidden="1">
      <c r="A735" s="69" t="s">
        <v>109</v>
      </c>
      <c r="B735" s="69" t="s">
        <v>117</v>
      </c>
      <c r="C735" s="63" t="s">
        <v>1800</v>
      </c>
      <c r="D735" s="69"/>
      <c r="E735" s="68" t="s">
        <v>71</v>
      </c>
      <c r="F735" s="19" t="str">
        <f>IF($C735="","",IF($E735="","-",IFERROR(INDEX(SETUP!$B$55:$B$64,MATCH($E735,SETUP!$A$55:$A$64,0)),"Other")))</f>
        <v>Frontline</v>
      </c>
      <c r="G735" s="70">
        <v>62168</v>
      </c>
      <c r="H735" s="19" t="str">
        <f>IF($C735="","",IF($G735="","-",INDEX(SETUP!$B$26:$B$32,MATCH($G735,SETUP!$A$26:$A$32,1))))</f>
        <v>62,000 - 62,999</v>
      </c>
      <c r="I735" s="70">
        <v>1274</v>
      </c>
      <c r="J735" s="19" t="str">
        <f>IF($C735="","",IF($I735="","-",INDEX(SETUP!$B$16:$B$22,MATCH($I735,SETUP!$A$16:$A$22,1))))</f>
        <v>ROOKIE</v>
      </c>
      <c r="K735" s="19" t="str">
        <f>IF($C735="","",IF($I735="","-",TEXT(INT($I735/1000)*1000,"#,##0")&amp;" - "&amp;TEXT(INT($I735/1000)*1000+999,"#,##0")))</f>
        <v>1,000 - 1,999</v>
      </c>
      <c r="L735" s="71">
        <v>3.4</v>
      </c>
      <c r="M735" s="19" t="str">
        <f>IF($C735="","",IF($L735="","-",INDEX(SETUP!$B$36:$B$42,MATCH($L735,SETUP!$A$36:$A$42,1))))</f>
        <v>3k - 4k</v>
      </c>
      <c r="N735" s="21">
        <f>IF($C735="","",IF(OR($G735="",$I735=""),"",ROUND(100*(SETUP!$B$4*MIN(1,$I735/SETUP!$B$9)+SETUP!$B$5*MAX(0,MIN(1,($G735-SETUP!$B$10)/(SETUP!$B$11-SETUP!$B$10)))+SETUP!$B$6*MIN(1,IF($L735="",0,$L735)/SETUP!$B$12)),1)))</f>
        <v>30.1</v>
      </c>
      <c r="O735" s="19" t="str">
        <f>IF($C735="","",IF($N735="","-",INDEX(SETUP!$B$46:$B$51,MATCH($N735,SETUP!$A$46:$A$51,1))))</f>
        <v>C</v>
      </c>
      <c r="P735" s="19">
        <f>IF($C735="","",IF($I735="","",RANK($I735,$I$4:$I$1463)+COUNTIF($I$4:$I735,$I735)-1))</f>
        <v>1230</v>
      </c>
      <c r="Q735" s="19">
        <f>IF($C735="","",COUNTIFS($B$4:$B$1463,$B735,$X$4:$X$1463,"&gt;"&amp;$X735)+COUNTIFS($B$4:$B735,$B735,$X$4:$X735,"="&amp;$X735))</f>
        <v>78</v>
      </c>
      <c r="R735" s="75">
        <f>IF($C735="","",IF($I735="","",ROUND(COUNTIF($I$4:$I$1463,"&lt;"&amp;$I735)/COUNT($I$4:$I$1463),3)))</f>
        <v>7.1999999999999995E-2</v>
      </c>
      <c r="S735" s="19" t="str">
        <f>IF($C735="","",IF($G735="","Name only",IF(OR($I735="",$L735=""),"Partial","Complete")))</f>
        <v>Complete</v>
      </c>
      <c r="T735" s="1" t="str">
        <f>IF($C735="","",TRIM(IF(COUNTIF($C$4:$C$1463,$C735)&gt;1,"Dup name; ","")&amp;IF(AND($G735&lt;&gt;"",$G735&lt;55000),"Low CR - verify; ","")&amp;IF(AND($L735&lt;&gt;"",$L735&gt;15),"Secondary - verify; ","")&amp;IF($E735="","No class; ","")))</f>
        <v/>
      </c>
      <c r="U735" s="68"/>
      <c r="V735" s="68"/>
      <c r="W735" s="68"/>
      <c r="X735" s="76">
        <f t="shared" si="57"/>
        <v>1274</v>
      </c>
      <c r="Y735" s="1" t="str">
        <f t="shared" si="58"/>
        <v>VENDETTA|78</v>
      </c>
      <c r="Z735" s="19">
        <f>IF($C735="","",IF($G735="","",RANK($G735,$G$4:$G$1463)+COUNTIF($G$4:$G735,$G735)-1))</f>
        <v>769</v>
      </c>
      <c r="AA735" s="19">
        <f>IF($C735="","",IF($N735="","",RANK($N735,$N$4:$N$1463)+COUNTIF($N$4:$N735,$N735)-1))</f>
        <v>1145</v>
      </c>
      <c r="AB735" s="1" t="str">
        <f>IF($C735="","",IF($E735="","",$E735&amp;"#"&amp;(COUNTIFS($E$4:$E$1463,$E735,$X$4:$X$1463,"&gt;"&amp;$X735)+COUNTIFS($E$4:$E735,$E735,$X$4:$X735,"="&amp;$X735))))</f>
        <v>BARBARIAN#205</v>
      </c>
      <c r="AC735" s="1" t="str">
        <f>IF($C735="","",$B735&amp;"@"&amp;(COUNTIFS($B$4:$B$1463,$B735,$C$4:$C$1463,"&lt;"&amp;$C735)+COUNTIFS($B$4:$B735,$B735,$C$4:$C735,$C735)))</f>
        <v>VENDETTA@55</v>
      </c>
      <c r="AD735" s="1">
        <f t="shared" si="59"/>
        <v>732</v>
      </c>
      <c r="AE735" s="1" t="s">
        <v>642</v>
      </c>
      <c r="AF735" s="76">
        <f t="shared" si="60"/>
        <v>62168</v>
      </c>
      <c r="AG735" s="77">
        <f t="shared" si="61"/>
        <v>3.4</v>
      </c>
      <c r="AH735" s="1" t="str">
        <f>IF($C735="","",$B735&amp;"|"&amp;(COUNTIFS($B$4:$B$1463,$B735,$AF$4:$AF$1463,"&gt;"&amp;$AF735)+COUNTIFS($B$4:$B735,$B735,$AF$4:$AF735,"="&amp;$AF735)))</f>
        <v>VENDETTA|31</v>
      </c>
      <c r="AI735" s="1" t="str">
        <f>IF($C735="","",$B735&amp;"|"&amp;(COUNTIFS($B$4:$B$1463,$B735,$AG$4:$AG$1463,"&gt;"&amp;$AG735)+COUNTIFS($B$4:$B735,$B735,$AG$4:$AG735,"="&amp;$AG735)))</f>
        <v>VENDETTA|61</v>
      </c>
    </row>
    <row r="736" spans="1:35">
      <c r="A736" s="69" t="s">
        <v>104</v>
      </c>
      <c r="B736" s="69" t="s">
        <v>66</v>
      </c>
      <c r="C736" s="63" t="s">
        <v>1722</v>
      </c>
      <c r="D736" s="69" t="s">
        <v>1019</v>
      </c>
      <c r="E736" s="68" t="s">
        <v>75</v>
      </c>
      <c r="F736" s="19" t="str">
        <f>IF($C736="","",IF($E736="","-",IFERROR(INDEX(SETUP!$B$55:$B$64,MATCH($E736,SETUP!$A$55:$A$64,0)),"Other")))</f>
        <v>Support</v>
      </c>
      <c r="G736" s="70">
        <v>63518</v>
      </c>
      <c r="H736" s="19" t="str">
        <f>IF($C736="","",IF($G736="","-",INDEX(SETUP!$B$26:$B$32,MATCH($G736,SETUP!$A$26:$A$32,1))))</f>
        <v>63,000 - 63,999</v>
      </c>
      <c r="I736" s="70">
        <v>7364</v>
      </c>
      <c r="J736" s="19" t="str">
        <f>IF($C736="","",IF($I736="","-",INDEX(SETUP!$B$16:$B$22,MATCH($I736,SETUP!$A$16:$A$22,1))))</f>
        <v>VETERAN</v>
      </c>
      <c r="K736" s="19" t="str">
        <f>IF($C736="","",IF($I736="","-",TEXT(INT($I736/1000)*1000,"#,##0")&amp;" - "&amp;TEXT(INT($I736/1000)*1000+999,"#,##0")))</f>
        <v>7,000 - 7,999</v>
      </c>
      <c r="L736" s="71">
        <v>6.52</v>
      </c>
      <c r="M736" s="19" t="str">
        <f>IF($C736="","",IF($L736="","-",INDEX(SETUP!$B$36:$B$42,MATCH($L736,SETUP!$A$36:$A$42,1))))</f>
        <v>6k - 8k</v>
      </c>
      <c r="N736" s="21">
        <f>IF($C736="","",IF(OR($G736="",$I736=""),"",ROUND(100*(SETUP!$B$4*MIN(1,$I736/SETUP!$B$9)+SETUP!$B$5*MAX(0,MIN(1,($G736-SETUP!$B$10)/(SETUP!$B$11-SETUP!$B$10)))+SETUP!$B$6*MIN(1,IF($L736="",0,$L736)/SETUP!$B$12)),1)))</f>
        <v>65.400000000000006</v>
      </c>
      <c r="O736" s="19" t="str">
        <f>IF($C736="","",IF($N736="","-",INDEX(SETUP!$B$46:$B$51,MATCH($N736,SETUP!$A$46:$A$51,1))))</f>
        <v>S</v>
      </c>
      <c r="P736" s="19">
        <f>IF($C736="","",IF($I736="","",RANK($I736,$I$4:$I$1463)+COUNTIF($I$4:$I736,$I736)-1))</f>
        <v>186</v>
      </c>
      <c r="Q736" s="19">
        <f>IF($C736="","",COUNTIFS($B$4:$B$1463,$B736,$X$4:$X$1463,"&gt;"&amp;$X736)+COUNTIFS($B$4:$B736,$B736,$X$4:$X736,"="&amp;$X736))</f>
        <v>20</v>
      </c>
      <c r="R736" s="75">
        <f>IF($C736="","",IF($I736="","",ROUND(COUNTIF($I$4:$I$1463,"&lt;"&amp;$I736)/COUNT($I$4:$I$1463),3)))</f>
        <v>0.86</v>
      </c>
      <c r="S736" s="19" t="str">
        <f>IF($C736="","",IF($G736="","Name only",IF(OR($I736="",$L736=""),"Partial","Complete")))</f>
        <v>Complete</v>
      </c>
      <c r="T736" s="1" t="str">
        <f>IF($C736="","",TRIM(IF(COUNTIF($C$4:$C$1463,$C736)&gt;1,"Dup name; ","")&amp;IF(AND($G736&lt;&gt;"",$G736&lt;55000),"Low CR - verify; ","")&amp;IF(AND($L736&lt;&gt;"",$L736&gt;15),"Secondary - verify; ","")&amp;IF($E736="","No class; ","")))</f>
        <v/>
      </c>
      <c r="U736" s="68"/>
      <c r="V736" s="68"/>
      <c r="W736" s="68"/>
      <c r="X736" s="73">
        <f t="shared" si="57"/>
        <v>7364</v>
      </c>
      <c r="Y736" s="41" t="str">
        <f t="shared" si="58"/>
        <v>FUCT|20</v>
      </c>
      <c r="Z736" s="15">
        <f>IF($C736="","",IF($G736="","",RANK($G736,$G$4:$G$1463)+COUNTIF($G$4:$G736,$G736)-1))</f>
        <v>188</v>
      </c>
      <c r="AA736" s="15">
        <f>IF($C736="","",IF($N736="","",RANK($N736,$N$4:$N$1463)+COUNTIF($N$4:$N736,$N736)-1))</f>
        <v>171</v>
      </c>
      <c r="AB736" s="41" t="str">
        <f>IF($C736="","",IF($E736="","",$E736&amp;"#"&amp;(COUNTIFS($E$4:$E$1463,$E736,$X$4:$X$1463,"&gt;"&amp;$X736)+COUNTIFS($E$4:$E736,$E736,$X$4:$X736,"="&amp;$X736))))</f>
        <v>DRUID#9</v>
      </c>
      <c r="AC736" s="41" t="str">
        <f>IF($C736="","",$B736&amp;"@"&amp;(COUNTIFS($B$4:$B$1463,$B736,$C$4:$C$1463,"&lt;"&amp;$C736)+COUNTIFS($B$4:$B736,$B736,$C$4:$C736,$C736)))</f>
        <v>FUCT@54</v>
      </c>
      <c r="AD736" s="41">
        <f t="shared" si="59"/>
        <v>733</v>
      </c>
      <c r="AE736" s="41" t="s">
        <v>1801</v>
      </c>
      <c r="AF736" s="73">
        <f t="shared" si="60"/>
        <v>63518</v>
      </c>
      <c r="AG736" s="74">
        <f t="shared" si="61"/>
        <v>6.52</v>
      </c>
      <c r="AH736" s="41" t="str">
        <f>IF($C736="","",$B736&amp;"|"&amp;(COUNTIFS($B$4:$B$1463,$B736,$AF$4:$AF$1463,"&gt;"&amp;$AF736)+COUNTIFS($B$4:$B736,$B736,$AF$4:$AF736,"="&amp;$AF736)))</f>
        <v>FUCT|19</v>
      </c>
      <c r="AI736" s="41" t="str">
        <f>IF($C736="","",$B736&amp;"|"&amp;(COUNTIFS($B$4:$B$1463,$B736,$AG$4:$AG$1463,"&gt;"&amp;$AG736)+COUNTIFS($B$4:$B736,$B736,$AG$4:$AG736,"="&amp;$AG736)))</f>
        <v>FUCT|9</v>
      </c>
    </row>
    <row r="737" spans="1:35" hidden="1">
      <c r="A737" s="69" t="s">
        <v>106</v>
      </c>
      <c r="B737" s="69" t="s">
        <v>107</v>
      </c>
      <c r="C737" s="63" t="s">
        <v>1802</v>
      </c>
      <c r="D737" s="69"/>
      <c r="E737" s="68" t="s">
        <v>75</v>
      </c>
      <c r="F737" s="19" t="str">
        <f>IF($C737="","",IF($E737="","-",IFERROR(INDEX(SETUP!$B$55:$B$64,MATCH($E737,SETUP!$A$55:$A$64,0)),"Other")))</f>
        <v>Support</v>
      </c>
      <c r="G737" s="70">
        <v>62430</v>
      </c>
      <c r="H737" s="19" t="str">
        <f>IF($C737="","",IF($G737="","-",INDEX(SETUP!$B$26:$B$32,MATCH($G737,SETUP!$A$26:$A$32,1))))</f>
        <v>62,000 - 62,999</v>
      </c>
      <c r="I737" s="70">
        <v>3136</v>
      </c>
      <c r="J737" s="19" t="str">
        <f>IF($C737="","",IF($I737="","-",INDEX(SETUP!$B$16:$B$22,MATCH($I737,SETUP!$A$16:$A$22,1))))</f>
        <v>DEVELOPING</v>
      </c>
      <c r="K737" s="19" t="str">
        <f>IF($C737="","",IF($I737="","-",TEXT(INT($I737/1000)*1000,"#,##0")&amp;" - "&amp;TEXT(INT($I737/1000)*1000+999,"#,##0")))</f>
        <v>3,000 - 3,999</v>
      </c>
      <c r="L737" s="71">
        <v>5.69</v>
      </c>
      <c r="M737" s="19" t="str">
        <f>IF($C737="","",IF($L737="","-",INDEX(SETUP!$B$36:$B$42,MATCH($L737,SETUP!$A$36:$A$42,1))))</f>
        <v>5k - 6k</v>
      </c>
      <c r="N737" s="21">
        <f>IF($C737="","",IF(OR($G737="",$I737=""),"",ROUND(100*(SETUP!$B$4*MIN(1,$I737/SETUP!$B$9)+SETUP!$B$5*MAX(0,MIN(1,($G737-SETUP!$B$10)/(SETUP!$B$11-SETUP!$B$10)))+SETUP!$B$6*MIN(1,IF($L737="",0,$L737)/SETUP!$B$12)),1)))</f>
        <v>42.7</v>
      </c>
      <c r="O737" s="19" t="str">
        <f>IF($C737="","",IF($N737="","-",INDEX(SETUP!$B$46:$B$51,MATCH($N737,SETUP!$A$46:$A$51,1))))</f>
        <v>B</v>
      </c>
      <c r="P737" s="19">
        <f>IF($C737="","",IF($I737="","",RANK($I737,$I$4:$I$1463)+COUNTIF($I$4:$I737,$I737)-1))</f>
        <v>846</v>
      </c>
      <c r="Q737" s="19">
        <f>IF($C737="","",COUNTIFS($B$4:$B$1463,$B737,$X$4:$X$1463,"&gt;"&amp;$X737)+COUNTIFS($B$4:$B737,$B737,$X$4:$X737,"="&amp;$X737))</f>
        <v>79</v>
      </c>
      <c r="R737" s="75">
        <f>IF($C737="","",IF($I737="","",ROUND(COUNTIF($I$4:$I$1463,"&lt;"&amp;$I737)/COUNT($I$4:$I$1463),3)))</f>
        <v>0.36199999999999999</v>
      </c>
      <c r="S737" s="19" t="str">
        <f>IF($C737="","",IF($G737="","Name only",IF(OR($I737="",$L737=""),"Partial","Complete")))</f>
        <v>Complete</v>
      </c>
      <c r="T737" s="1" t="str">
        <f>IF($C737="","",TRIM(IF(COUNTIF($C$4:$C$1463,$C737)&gt;1,"Dup name; ","")&amp;IF(AND($G737&lt;&gt;"",$G737&lt;55000),"Low CR - verify; ","")&amp;IF(AND($L737&lt;&gt;"",$L737&gt;15),"Secondary - verify; ","")&amp;IF($E737="","No class; ","")))</f>
        <v/>
      </c>
      <c r="U737" s="68"/>
      <c r="V737" s="68"/>
      <c r="W737" s="68"/>
      <c r="X737" s="76">
        <f t="shared" si="57"/>
        <v>3136</v>
      </c>
      <c r="Y737" s="1" t="str">
        <f t="shared" si="58"/>
        <v>UNDYING|79</v>
      </c>
      <c r="Z737" s="19">
        <f>IF($C737="","",IF($G737="","",RANK($G737,$G$4:$G$1463)+COUNTIF($G$4:$G737,$G737)-1))</f>
        <v>676</v>
      </c>
      <c r="AA737" s="19">
        <f>IF($C737="","",IF($N737="","",RANK($N737,$N$4:$N$1463)+COUNTIF($N$4:$N737,$N737)-1))</f>
        <v>715</v>
      </c>
      <c r="AB737" s="1" t="str">
        <f>IF($C737="","",IF($E737="","",$E737&amp;"#"&amp;(COUNTIFS($E$4:$E$1463,$E737,$X$4:$X$1463,"&gt;"&amp;$X737)+COUNTIFS($E$4:$E737,$E737,$X$4:$X737,"="&amp;$X737))))</f>
        <v>DRUID#39</v>
      </c>
      <c r="AC737" s="1" t="str">
        <f>IF($C737="","",$B737&amp;"@"&amp;(COUNTIFS($B$4:$B$1463,$B737,$C$4:$C$1463,"&lt;"&amp;$C737)+COUNTIFS($B$4:$B737,$B737,$C$4:$C737,$C737)))</f>
        <v>UNDYING@66</v>
      </c>
      <c r="AD737" s="1">
        <f t="shared" si="59"/>
        <v>734</v>
      </c>
      <c r="AE737" s="1" t="s">
        <v>1803</v>
      </c>
      <c r="AF737" s="76">
        <f t="shared" si="60"/>
        <v>62430</v>
      </c>
      <c r="AG737" s="77">
        <f t="shared" si="61"/>
        <v>5.69</v>
      </c>
      <c r="AH737" s="1" t="str">
        <f>IF($C737="","",$B737&amp;"|"&amp;(COUNTIFS($B$4:$B$1463,$B737,$AF$4:$AF$1463,"&gt;"&amp;$AF737)+COUNTIFS($B$4:$B737,$B737,$AF$4:$AF737,"="&amp;$AF737)))</f>
        <v>UNDYING|66</v>
      </c>
      <c r="AI737" s="1" t="str">
        <f>IF($C737="","",$B737&amp;"|"&amp;(COUNTIFS($B$4:$B$1463,$B737,$AG$4:$AG$1463,"&gt;"&amp;$AG737)+COUNTIFS($B$4:$B737,$B737,$AG$4:$AG737,"="&amp;$AG737)))</f>
        <v>UNDYING|32</v>
      </c>
    </row>
    <row r="738" spans="1:35" hidden="1">
      <c r="A738" s="69" t="s">
        <v>109</v>
      </c>
      <c r="B738" s="69" t="s">
        <v>112</v>
      </c>
      <c r="C738" s="63" t="s">
        <v>1804</v>
      </c>
      <c r="D738" s="69" t="s">
        <v>567</v>
      </c>
      <c r="E738" s="68" t="s">
        <v>79</v>
      </c>
      <c r="F738" s="15" t="str">
        <f>IF($C738="","",IF($E738="","-",IFERROR(INDEX(SETUP!$B$55:$B$64,MATCH($E738,SETUP!$A$55:$A$64,0)),"Other")))</f>
        <v>Control</v>
      </c>
      <c r="G738" s="70">
        <v>63311</v>
      </c>
      <c r="H738" s="15" t="str">
        <f>IF($C738="","",IF($G738="","-",INDEX(SETUP!$B$26:$B$32,MATCH($G738,SETUP!$A$26:$A$32,1))))</f>
        <v>63,000 - 63,999</v>
      </c>
      <c r="I738" s="70">
        <v>3926</v>
      </c>
      <c r="J738" s="15" t="str">
        <f>IF($C738="","",IF($I738="","-",INDEX(SETUP!$B$16:$B$22,MATCH($I738,SETUP!$A$16:$A$22,1))))</f>
        <v>DEVELOPING</v>
      </c>
      <c r="K738" s="15" t="str">
        <f>IF($C738="","",IF($I738="","-",TEXT(INT($I738/1000)*1000,"#,##0")&amp;" - "&amp;TEXT(INT($I738/1000)*1000+999,"#,##0")))</f>
        <v>3,000 - 3,999</v>
      </c>
      <c r="L738" s="71">
        <v>5.3</v>
      </c>
      <c r="M738" s="15" t="str">
        <f>IF($C738="","",IF($L738="","-",INDEX(SETUP!$B$36:$B$42,MATCH($L738,SETUP!$A$36:$A$42,1))))</f>
        <v>5k - 6k</v>
      </c>
      <c r="N738" s="17">
        <f>IF($C738="","",IF(OR($G738="",$I738=""),"",ROUND(100*(SETUP!$B$4*MIN(1,$I738/SETUP!$B$9)+SETUP!$B$5*MAX(0,MIN(1,($G738-SETUP!$B$10)/(SETUP!$B$11-SETUP!$B$10)))+SETUP!$B$6*MIN(1,IF($L738="",0,$L738)/SETUP!$B$12)),1)))</f>
        <v>47.8</v>
      </c>
      <c r="O738" s="15" t="str">
        <f>IF($C738="","",IF($N738="","-",INDEX(SETUP!$B$46:$B$51,MATCH($N738,SETUP!$A$46:$A$51,1))))</f>
        <v>B</v>
      </c>
      <c r="P738" s="15">
        <f>IF($C738="","",IF($I738="","",RANK($I738,$I$4:$I$1463)+COUNTIF($I$4:$I738,$I738)-1))</f>
        <v>617</v>
      </c>
      <c r="Q738" s="15">
        <f>IF($C738="","",COUNTIFS($B$4:$B$1463,$B738,$X$4:$X$1463,"&gt;"&amp;$X738)+COUNTIFS($B$4:$B738,$B738,$X$4:$X738,"="&amp;$X738))</f>
        <v>47</v>
      </c>
      <c r="R738" s="72">
        <f>IF($C738="","",IF($I738="","",ROUND(COUNTIF($I$4:$I$1463,"&lt;"&amp;$I738)/COUNT($I$4:$I$1463),3)))</f>
        <v>0.53400000000000003</v>
      </c>
      <c r="S738" s="15" t="str">
        <f>IF($C738="","",IF($G738="","Name only",IF(OR($I738="",$L738=""),"Partial","Complete")))</f>
        <v>Complete</v>
      </c>
      <c r="T738" s="41" t="str">
        <f>IF($C738="","",TRIM(IF(COUNTIF($C$4:$C$1463,$C738)&gt;1,"Dup name; ","")&amp;IF(AND($G738&lt;&gt;"",$G738&lt;55000),"Low CR - verify; ","")&amp;IF(AND($L738&lt;&gt;"",$L738&gt;15),"Secondary - verify; ","")&amp;IF($E738="","No class; ","")))</f>
        <v/>
      </c>
      <c r="U738" s="68"/>
      <c r="V738" s="68"/>
      <c r="W738" s="68"/>
      <c r="X738" s="73">
        <f t="shared" si="57"/>
        <v>3926</v>
      </c>
      <c r="Y738" s="41" t="str">
        <f t="shared" si="58"/>
        <v>ACHERON|47</v>
      </c>
      <c r="Z738" s="15">
        <f>IF($C738="","",IF($G738="","",RANK($G738,$G$4:$G$1463)+COUNTIF($G$4:$G738,$G738)-1))</f>
        <v>255</v>
      </c>
      <c r="AA738" s="15">
        <f>IF($C738="","",IF($N738="","",RANK($N738,$N$4:$N$1463)+COUNTIF($N$4:$N738,$N738)-1))</f>
        <v>523</v>
      </c>
      <c r="AB738" s="41" t="str">
        <f>IF($C738="","",IF($E738="","",$E738&amp;"#"&amp;(COUNTIFS($E$4:$E$1463,$E738,$X$4:$X$1463,"&gt;"&amp;$X738)+COUNTIFS($E$4:$E738,$E738,$X$4:$X738,"="&amp;$X738))))</f>
        <v>WARLOCK#144</v>
      </c>
      <c r="AC738" s="41" t="str">
        <f>IF($C738="","",$B738&amp;"@"&amp;(COUNTIFS($B$4:$B$1463,$B738,$C$4:$C$1463,"&lt;"&amp;$C738)+COUNTIFS($B$4:$B738,$B738,$C$4:$C738,$C738)))</f>
        <v>ACHERON@49</v>
      </c>
      <c r="AD738" s="41">
        <f t="shared" si="59"/>
        <v>735</v>
      </c>
      <c r="AE738" s="41" t="s">
        <v>1805</v>
      </c>
      <c r="AF738" s="73">
        <f t="shared" si="60"/>
        <v>63311</v>
      </c>
      <c r="AG738" s="74">
        <f t="shared" si="61"/>
        <v>5.3</v>
      </c>
      <c r="AH738" s="41" t="str">
        <f>IF($C738="","",$B738&amp;"|"&amp;(COUNTIFS($B$4:$B$1463,$B738,$AF$4:$AF$1463,"&gt;"&amp;$AF738)+COUNTIFS($B$4:$B738,$B738,$AF$4:$AF738,"="&amp;$AF738)))</f>
        <v>ACHERON|18</v>
      </c>
      <c r="AI738" s="41" t="str">
        <f>IF($C738="","",$B738&amp;"|"&amp;(COUNTIFS($B$4:$B$1463,$B738,$AG$4:$AG$1463,"&gt;"&amp;$AG738)+COUNTIFS($B$4:$B738,$B738,$AG$4:$AG738,"="&amp;$AG738)))</f>
        <v>ACHERON|37</v>
      </c>
    </row>
    <row r="739" spans="1:35" hidden="1">
      <c r="A739" s="69" t="s">
        <v>106</v>
      </c>
      <c r="B739" s="69" t="s">
        <v>107</v>
      </c>
      <c r="C739" s="63" t="s">
        <v>1806</v>
      </c>
      <c r="D739" s="69"/>
      <c r="E739" s="68" t="s">
        <v>73</v>
      </c>
      <c r="F739" s="19" t="str">
        <f>IF($C739="","",IF($E739="","-",IFERROR(INDEX(SETUP!$B$55:$B$64,MATCH($E739,SETUP!$A$55:$A$64,0)),"Other")))</f>
        <v>Frontline</v>
      </c>
      <c r="G739" s="70">
        <v>63267</v>
      </c>
      <c r="H739" s="19" t="str">
        <f>IF($C739="","",IF($G739="","-",INDEX(SETUP!$B$26:$B$32,MATCH($G739,SETUP!$A$26:$A$32,1))))</f>
        <v>63,000 - 63,999</v>
      </c>
      <c r="I739" s="70">
        <v>5519</v>
      </c>
      <c r="J739" s="19" t="str">
        <f>IF($C739="","",IF($I739="","-",INDEX(SETUP!$B$16:$B$22,MATCH($I739,SETUP!$A$16:$A$22,1))))</f>
        <v>CORE</v>
      </c>
      <c r="K739" s="19" t="str">
        <f>IF($C739="","",IF($I739="","-",TEXT(INT($I739/1000)*1000,"#,##0")&amp;" - "&amp;TEXT(INT($I739/1000)*1000+999,"#,##0")))</f>
        <v>5,000 - 5,999</v>
      </c>
      <c r="L739" s="71">
        <v>5.95</v>
      </c>
      <c r="M739" s="19" t="str">
        <f>IF($C739="","",IF($L739="","-",INDEX(SETUP!$B$36:$B$42,MATCH($L739,SETUP!$A$36:$A$42,1))))</f>
        <v>5k - 6k</v>
      </c>
      <c r="N739" s="21">
        <f>IF($C739="","",IF(OR($G739="",$I739=""),"",ROUND(100*(SETUP!$B$4*MIN(1,$I739/SETUP!$B$9)+SETUP!$B$5*MAX(0,MIN(1,($G739-SETUP!$B$10)/(SETUP!$B$11-SETUP!$B$10)))+SETUP!$B$6*MIN(1,IF($L739="",0,$L739)/SETUP!$B$12)),1)))</f>
        <v>55.8</v>
      </c>
      <c r="O739" s="19" t="str">
        <f>IF($C739="","",IF($N739="","-",INDEX(SETUP!$B$46:$B$51,MATCH($N739,SETUP!$A$46:$A$51,1))))</f>
        <v>A</v>
      </c>
      <c r="P739" s="19">
        <f>IF($C739="","",IF($I739="","",RANK($I739,$I$4:$I$1463)+COUNTIF($I$4:$I739,$I739)-1))</f>
        <v>335</v>
      </c>
      <c r="Q739" s="19">
        <f>IF($C739="","",COUNTIFS($B$4:$B$1463,$B739,$X$4:$X$1463,"&gt;"&amp;$X739)+COUNTIFS($B$4:$B739,$B739,$X$4:$X739,"="&amp;$X739))</f>
        <v>23</v>
      </c>
      <c r="R739" s="75">
        <f>IF($C739="","",IF($I739="","",ROUND(COUNTIF($I$4:$I$1463,"&lt;"&amp;$I739)/COUNT($I$4:$I$1463),3)))</f>
        <v>0.747</v>
      </c>
      <c r="S739" s="19" t="str">
        <f>IF($C739="","",IF($G739="","Name only",IF(OR($I739="",$L739=""),"Partial","Complete")))</f>
        <v>Complete</v>
      </c>
      <c r="T739" s="1" t="str">
        <f>IF($C739="","",TRIM(IF(COUNTIF($C$4:$C$1463,$C739)&gt;1,"Dup name; ","")&amp;IF(AND($G739&lt;&gt;"",$G739&lt;55000),"Low CR - verify; ","")&amp;IF(AND($L739&lt;&gt;"",$L739&gt;15),"Secondary - verify; ","")&amp;IF($E739="","No class; ","")))</f>
        <v/>
      </c>
      <c r="U739" s="68"/>
      <c r="V739" s="68"/>
      <c r="W739" s="68"/>
      <c r="X739" s="76">
        <f t="shared" si="57"/>
        <v>5519</v>
      </c>
      <c r="Y739" s="1" t="str">
        <f t="shared" si="58"/>
        <v>UNDYING|23</v>
      </c>
      <c r="Z739" s="19">
        <f>IF($C739="","",IF($G739="","",RANK($G739,$G$4:$G$1463)+COUNTIF($G$4:$G739,$G739)-1))</f>
        <v>279</v>
      </c>
      <c r="AA739" s="19">
        <f>IF($C739="","",IF($N739="","",RANK($N739,$N$4:$N$1463)+COUNTIF($N$4:$N739,$N739)-1))</f>
        <v>297</v>
      </c>
      <c r="AB739" s="1" t="str">
        <f>IF($C739="","",IF($E739="","",$E739&amp;"#"&amp;(COUNTIFS($E$4:$E$1463,$E739,$X$4:$X$1463,"&gt;"&amp;$X739)+COUNTIFS($E$4:$E739,$E739,$X$4:$X739,"="&amp;$X739))))</f>
        <v>CRUSADER#45</v>
      </c>
      <c r="AC739" s="1" t="str">
        <f>IF($C739="","",$B739&amp;"@"&amp;(COUNTIFS($B$4:$B$1463,$B739,$C$4:$C$1463,"&lt;"&amp;$C739)+COUNTIFS($B$4:$B739,$B739,$C$4:$C739,$C739)))</f>
        <v>UNDYING@67</v>
      </c>
      <c r="AD739" s="1">
        <f t="shared" si="59"/>
        <v>736</v>
      </c>
      <c r="AE739" s="1" t="s">
        <v>1807</v>
      </c>
      <c r="AF739" s="76">
        <f t="shared" si="60"/>
        <v>63267</v>
      </c>
      <c r="AG739" s="77">
        <f t="shared" si="61"/>
        <v>5.95</v>
      </c>
      <c r="AH739" s="1" t="str">
        <f>IF($C739="","",$B739&amp;"|"&amp;(COUNTIFS($B$4:$B$1463,$B739,$AF$4:$AF$1463,"&gt;"&amp;$AF739)+COUNTIFS($B$4:$B739,$B739,$AF$4:$AF739,"="&amp;$AF739)))</f>
        <v>UNDYING|25</v>
      </c>
      <c r="AI739" s="1" t="str">
        <f>IF($C739="","",$B739&amp;"|"&amp;(COUNTIFS($B$4:$B$1463,$B739,$AG$4:$AG$1463,"&gt;"&amp;$AG739)+COUNTIFS($B$4:$B739,$B739,$AG$4:$AG739,"="&amp;$AG739)))</f>
        <v>UNDYING|26</v>
      </c>
    </row>
    <row r="740" spans="1:35" hidden="1">
      <c r="A740" s="69" t="s">
        <v>109</v>
      </c>
      <c r="B740" s="69" t="s">
        <v>114</v>
      </c>
      <c r="C740" s="63" t="s">
        <v>1808</v>
      </c>
      <c r="D740" s="69"/>
      <c r="E740" s="68" t="s">
        <v>77</v>
      </c>
      <c r="F740" s="15" t="str">
        <f>IF($C740="","",IF($E740="","-",IFERROR(INDEX(SETUP!$B$55:$B$64,MATCH($E740,SETUP!$A$55:$A$64,0)),"Other")))</f>
        <v>Control</v>
      </c>
      <c r="G740" s="70">
        <v>61628</v>
      </c>
      <c r="H740" s="15" t="str">
        <f>IF($C740="","",IF($G740="","-",INDEX(SETUP!$B$26:$B$32,MATCH($G740,SETUP!$A$26:$A$32,1))))</f>
        <v>61,000 - 61,999</v>
      </c>
      <c r="I740" s="70">
        <v>2818</v>
      </c>
      <c r="J740" s="15" t="str">
        <f>IF($C740="","",IF($I740="","-",INDEX(SETUP!$B$16:$B$22,MATCH($I740,SETUP!$A$16:$A$22,1))))</f>
        <v>DEVELOPING</v>
      </c>
      <c r="K740" s="15" t="str">
        <f>IF($C740="","",IF($I740="","-",TEXT(INT($I740/1000)*1000,"#,##0")&amp;" - "&amp;TEXT(INT($I740/1000)*1000+999,"#,##0")))</f>
        <v>2,000 - 2,999</v>
      </c>
      <c r="L740" s="71">
        <v>4.6500000000000004</v>
      </c>
      <c r="M740" s="15" t="str">
        <f>IF($C740="","",IF($L740="","-",INDEX(SETUP!$B$36:$B$42,MATCH($L740,SETUP!$A$36:$A$42,1))))</f>
        <v>4k - 5k</v>
      </c>
      <c r="N740" s="17">
        <f>IF($C740="","",IF(OR($G740="",$I740=""),"",ROUND(100*(SETUP!$B$4*MIN(1,$I740/SETUP!$B$9)+SETUP!$B$5*MAX(0,MIN(1,($G740-SETUP!$B$10)/(SETUP!$B$11-SETUP!$B$10)))+SETUP!$B$6*MIN(1,IF($L740="",0,$L740)/SETUP!$B$12)),1)))</f>
        <v>37.5</v>
      </c>
      <c r="O740" s="15" t="str">
        <f>IF($C740="","",IF($N740="","-",INDEX(SETUP!$B$46:$B$51,MATCH($N740,SETUP!$A$46:$A$51,1))))</f>
        <v>B</v>
      </c>
      <c r="P740" s="15">
        <f>IF($C740="","",IF($I740="","",RANK($I740,$I$4:$I$1463)+COUNTIF($I$4:$I740,$I740)-1))</f>
        <v>931</v>
      </c>
      <c r="Q740" s="15">
        <f>IF($C740="","",COUNTIFS($B$4:$B$1463,$B740,$X$4:$X$1463,"&gt;"&amp;$X740)+COUNTIFS($B$4:$B740,$B740,$X$4:$X740,"="&amp;$X740))</f>
        <v>28</v>
      </c>
      <c r="R740" s="72">
        <f>IF($C740="","",IF($I740="","",ROUND(COUNTIF($I$4:$I$1463,"&lt;"&amp;$I740)/COUNT($I$4:$I$1463),3)))</f>
        <v>0.29699999999999999</v>
      </c>
      <c r="S740" s="15" t="str">
        <f>IF($C740="","",IF($G740="","Name only",IF(OR($I740="",$L740=""),"Partial","Complete")))</f>
        <v>Complete</v>
      </c>
      <c r="T740" s="41" t="str">
        <f>IF($C740="","",TRIM(IF(COUNTIF($C$4:$C$1463,$C740)&gt;1,"Dup name; ","")&amp;IF(AND($G740&lt;&gt;"",$G740&lt;55000),"Low CR - verify; ","")&amp;IF(AND($L740&lt;&gt;"",$L740&gt;15),"Secondary - verify; ","")&amp;IF($E740="","No class; ","")))</f>
        <v/>
      </c>
      <c r="U740" s="68"/>
      <c r="V740" s="68"/>
      <c r="W740" s="68"/>
      <c r="X740" s="73">
        <f t="shared" si="57"/>
        <v>2818</v>
      </c>
      <c r="Y740" s="41" t="str">
        <f t="shared" si="58"/>
        <v>EMERALD LEAF TRIBE|28</v>
      </c>
      <c r="Z740" s="15">
        <f>IF($C740="","",IF($G740="","",RANK($G740,$G$4:$G$1463)+COUNTIF($G$4:$G740,$G740)-1))</f>
        <v>969</v>
      </c>
      <c r="AA740" s="15">
        <f>IF($C740="","",IF($N740="","",RANK($N740,$N$4:$N$1463)+COUNTIF($N$4:$N740,$N740)-1))</f>
        <v>913</v>
      </c>
      <c r="AB740" s="41" t="str">
        <f>IF($C740="","",IF($E740="","",$E740&amp;"#"&amp;(COUNTIFS($E$4:$E$1463,$E740,$X$4:$X$1463,"&gt;"&amp;$X740)+COUNTIFS($E$4:$E740,$E740,$X$4:$X740,"="&amp;$X740))))</f>
        <v>NECROMANCER#54</v>
      </c>
      <c r="AC740" s="41" t="str">
        <f>IF($C740="","",$B740&amp;"@"&amp;(COUNTIFS($B$4:$B$1463,$B740,$C$4:$C$1463,"&lt;"&amp;$C740)+COUNTIFS($B$4:$B740,$B740,$C$4:$C740,$C740)))</f>
        <v>EMERALD LEAF TRIBE@53</v>
      </c>
      <c r="AD740" s="41">
        <f t="shared" si="59"/>
        <v>737</v>
      </c>
      <c r="AE740" s="41" t="s">
        <v>1809</v>
      </c>
      <c r="AF740" s="73">
        <f t="shared" si="60"/>
        <v>61628</v>
      </c>
      <c r="AG740" s="74">
        <f t="shared" si="61"/>
        <v>4.6500000000000004</v>
      </c>
      <c r="AH740" s="41" t="str">
        <f>IF($C740="","",$B740&amp;"|"&amp;(COUNTIFS($B$4:$B$1463,$B740,$AF$4:$AF$1463,"&gt;"&amp;$AF740)+COUNTIFS($B$4:$B740,$B740,$AF$4:$AF740,"="&amp;$AF740)))</f>
        <v>EMERALD LEAF TRIBE|39</v>
      </c>
      <c r="AI740" s="41" t="str">
        <f>IF($C740="","",$B740&amp;"|"&amp;(COUNTIFS($B$4:$B$1463,$B740,$AG$4:$AG$1463,"&gt;"&amp;$AG740)+COUNTIFS($B$4:$B740,$B740,$AG$4:$AG740,"="&amp;$AG740)))</f>
        <v>EMERALD LEAF TRIBE|14</v>
      </c>
    </row>
    <row r="741" spans="1:35" hidden="1">
      <c r="A741" s="69" t="s">
        <v>109</v>
      </c>
      <c r="B741" s="69" t="s">
        <v>117</v>
      </c>
      <c r="C741" s="63" t="s">
        <v>1810</v>
      </c>
      <c r="D741" s="69"/>
      <c r="E741" s="68" t="s">
        <v>79</v>
      </c>
      <c r="F741" s="19" t="str">
        <f>IF($C741="","",IF($E741="","-",IFERROR(INDEX(SETUP!$B$55:$B$64,MATCH($E741,SETUP!$A$55:$A$64,0)),"Other")))</f>
        <v>Control</v>
      </c>
      <c r="G741" s="70">
        <v>60614</v>
      </c>
      <c r="H741" s="19" t="str">
        <f>IF($C741="","",IF($G741="","-",INDEX(SETUP!$B$26:$B$32,MATCH($G741,SETUP!$A$26:$A$32,1))))</f>
        <v>60,000 - 60,999</v>
      </c>
      <c r="I741" s="70">
        <v>986</v>
      </c>
      <c r="J741" s="19" t="str">
        <f>IF($C741="","",IF($I741="","-",INDEX(SETUP!$B$16:$B$22,MATCH($I741,SETUP!$A$16:$A$22,1))))</f>
        <v>ROOKIE</v>
      </c>
      <c r="K741" s="19" t="str">
        <f>IF($C741="","",IF($I741="","-",TEXT(INT($I741/1000)*1000,"#,##0")&amp;" - "&amp;TEXT(INT($I741/1000)*1000+999,"#,##0")))</f>
        <v>0 - 999</v>
      </c>
      <c r="L741" s="71">
        <v>2.6</v>
      </c>
      <c r="M741" s="19" t="str">
        <f>IF($C741="","",IF($L741="","-",INDEX(SETUP!$B$36:$B$42,MATCH($L741,SETUP!$A$36:$A$42,1))))</f>
        <v>Under 3k</v>
      </c>
      <c r="N741" s="21">
        <f>IF($C741="","",IF(OR($G741="",$I741=""),"",ROUND(100*(SETUP!$B$4*MIN(1,$I741/SETUP!$B$9)+SETUP!$B$5*MAX(0,MIN(1,($G741-SETUP!$B$10)/(SETUP!$B$11-SETUP!$B$10)))+SETUP!$B$6*MIN(1,IF($L741="",0,$L741)/SETUP!$B$12)),1)))</f>
        <v>23.4</v>
      </c>
      <c r="O741" s="19" t="str">
        <f>IF($C741="","",IF($N741="","-",INDEX(SETUP!$B$46:$B$51,MATCH($N741,SETUP!$A$46:$A$51,1))))</f>
        <v>C</v>
      </c>
      <c r="P741" s="19">
        <f>IF($C741="","",IF($I741="","",RANK($I741,$I$4:$I$1463)+COUNTIF($I$4:$I741,$I741)-1))</f>
        <v>1277</v>
      </c>
      <c r="Q741" s="19">
        <f>IF($C741="","",COUNTIFS($B$4:$B$1463,$B741,$X$4:$X$1463,"&gt;"&amp;$X741)+COUNTIFS($B$4:$B741,$B741,$X$4:$X741,"="&amp;$X741))</f>
        <v>84</v>
      </c>
      <c r="R741" s="75">
        <f>IF($C741="","",IF($I741="","",ROUND(COUNTIF($I$4:$I$1463,"&lt;"&amp;$I741)/COUNT($I$4:$I$1463),3)))</f>
        <v>3.5999999999999997E-2</v>
      </c>
      <c r="S741" s="19" t="str">
        <f>IF($C741="","",IF($G741="","Name only",IF(OR($I741="",$L741=""),"Partial","Complete")))</f>
        <v>Complete</v>
      </c>
      <c r="T741" s="1" t="str">
        <f>IF($C741="","",TRIM(IF(COUNTIF($C$4:$C$1463,$C741)&gt;1,"Dup name; ","")&amp;IF(AND($G741&lt;&gt;"",$G741&lt;55000),"Low CR - verify; ","")&amp;IF(AND($L741&lt;&gt;"",$L741&gt;15),"Secondary - verify; ","")&amp;IF($E741="","No class; ","")))</f>
        <v/>
      </c>
      <c r="U741" s="68"/>
      <c r="V741" s="68"/>
      <c r="W741" s="68"/>
      <c r="X741" s="76">
        <f t="shared" si="57"/>
        <v>986</v>
      </c>
      <c r="Y741" s="1" t="str">
        <f t="shared" si="58"/>
        <v>VENDETTA|84</v>
      </c>
      <c r="Z741" s="19">
        <f>IF($C741="","",IF($G741="","",RANK($G741,$G$4:$G$1463)+COUNTIF($G$4:$G741,$G741)-1))</f>
        <v>1194</v>
      </c>
      <c r="AA741" s="19">
        <f>IF($C741="","",IF($N741="","",RANK($N741,$N$4:$N$1463)+COUNTIF($N$4:$N741,$N741)-1))</f>
        <v>1266</v>
      </c>
      <c r="AB741" s="1" t="str">
        <f>IF($C741="","",IF($E741="","",$E741&amp;"#"&amp;(COUNTIFS($E$4:$E$1463,$E741,$X$4:$X$1463,"&gt;"&amp;$X741)+COUNTIFS($E$4:$E741,$E741,$X$4:$X741,"="&amp;$X741))))</f>
        <v>WARLOCK#315</v>
      </c>
      <c r="AC741" s="1" t="str">
        <f>IF($C741="","",$B741&amp;"@"&amp;(COUNTIFS($B$4:$B$1463,$B741,$C$4:$C$1463,"&lt;"&amp;$C741)+COUNTIFS($B$4:$B741,$B741,$C$4:$C741,$C741)))</f>
        <v>VENDETTA@56</v>
      </c>
      <c r="AD741" s="1">
        <f t="shared" si="59"/>
        <v>738</v>
      </c>
      <c r="AE741" s="1" t="s">
        <v>1230</v>
      </c>
      <c r="AF741" s="76">
        <f t="shared" si="60"/>
        <v>60614</v>
      </c>
      <c r="AG741" s="77">
        <f t="shared" si="61"/>
        <v>2.6</v>
      </c>
      <c r="AH741" s="1" t="str">
        <f>IF($C741="","",$B741&amp;"|"&amp;(COUNTIFS($B$4:$B$1463,$B741,$AF$4:$AF$1463,"&gt;"&amp;$AF741)+COUNTIFS($B$4:$B741,$B741,$AF$4:$AF741,"="&amp;$AF741)))</f>
        <v>VENDETTA|78</v>
      </c>
      <c r="AI741" s="1" t="str">
        <f>IF($C741="","",$B741&amp;"|"&amp;(COUNTIFS($B$4:$B$1463,$B741,$AG$4:$AG$1463,"&gt;"&amp;$AG741)+COUNTIFS($B$4:$B741,$B741,$AG$4:$AG741,"="&amp;$AG741)))</f>
        <v>VENDETTA|89</v>
      </c>
    </row>
    <row r="742" spans="1:35" hidden="1">
      <c r="A742" s="69" t="s">
        <v>109</v>
      </c>
      <c r="B742" s="69" t="s">
        <v>116</v>
      </c>
      <c r="C742" s="63" t="s">
        <v>1811</v>
      </c>
      <c r="D742" s="69" t="s">
        <v>530</v>
      </c>
      <c r="E742" s="68" t="s">
        <v>72</v>
      </c>
      <c r="F742" s="15" t="str">
        <f>IF($C742="","",IF($E742="","-",IFERROR(INDEX(SETUP!$B$55:$B$64,MATCH($E742,SETUP!$A$55:$A$64,0)),"Other")))</f>
        <v>Frontline</v>
      </c>
      <c r="G742" s="70">
        <v>63038</v>
      </c>
      <c r="H742" s="15" t="str">
        <f>IF($C742="","",IF($G742="","-",INDEX(SETUP!$B$26:$B$32,MATCH($G742,SETUP!$A$26:$A$32,1))))</f>
        <v>63,000 - 63,999</v>
      </c>
      <c r="I742" s="70">
        <v>4291</v>
      </c>
      <c r="J742" s="15" t="str">
        <f>IF($C742="","",IF($I742="","-",INDEX(SETUP!$B$16:$B$22,MATCH($I742,SETUP!$A$16:$A$22,1))))</f>
        <v>CORE</v>
      </c>
      <c r="K742" s="15" t="str">
        <f>IF($C742="","",IF($I742="","-",TEXT(INT($I742/1000)*1000,"#,##0")&amp;" - "&amp;TEXT(INT($I742/1000)*1000+999,"#,##0")))</f>
        <v>4,000 - 4,999</v>
      </c>
      <c r="L742" s="71">
        <v>5.7</v>
      </c>
      <c r="M742" s="15" t="str">
        <f>IF($C742="","",IF($L742="","-",INDEX(SETUP!$B$36:$B$42,MATCH($L742,SETUP!$A$36:$A$42,1))))</f>
        <v>5k - 6k</v>
      </c>
      <c r="N742" s="17">
        <f>IF($C742="","",IF(OR($G742="",$I742=""),"",ROUND(100*(SETUP!$B$4*MIN(1,$I742/SETUP!$B$9)+SETUP!$B$5*MAX(0,MIN(1,($G742-SETUP!$B$10)/(SETUP!$B$11-SETUP!$B$10)))+SETUP!$B$6*MIN(1,IF($L742="",0,$L742)/SETUP!$B$12)),1)))</f>
        <v>49.4</v>
      </c>
      <c r="O742" s="15" t="str">
        <f>IF($C742="","",IF($N742="","-",INDEX(SETUP!$B$46:$B$51,MATCH($N742,SETUP!$A$46:$A$51,1))))</f>
        <v>B</v>
      </c>
      <c r="P742" s="15">
        <f>IF($C742="","",IF($I742="","",RANK($I742,$I$4:$I$1463)+COUNTIF($I$4:$I742,$I742)-1))</f>
        <v>535</v>
      </c>
      <c r="Q742" s="15">
        <f>IF($C742="","",COUNTIFS($B$4:$B$1463,$B742,$X$4:$X$1463,"&gt;"&amp;$X742)+COUNTIFS($B$4:$B742,$B742,$X$4:$X742,"="&amp;$X742))</f>
        <v>27</v>
      </c>
      <c r="R742" s="72">
        <f>IF($C742="","",IF($I742="","",ROUND(COUNTIF($I$4:$I$1463,"&lt;"&amp;$I742)/COUNT($I$4:$I$1463),3)))</f>
        <v>0.59599999999999997</v>
      </c>
      <c r="S742" s="15" t="str">
        <f>IF($C742="","",IF($G742="","Name only",IF(OR($I742="",$L742=""),"Partial","Complete")))</f>
        <v>Complete</v>
      </c>
      <c r="T742" s="41" t="str">
        <f>IF($C742="","",TRIM(IF(COUNTIF($C$4:$C$1463,$C742)&gt;1,"Dup name; ","")&amp;IF(AND($G742&lt;&gt;"",$G742&lt;55000),"Low CR - verify; ","")&amp;IF(AND($L742&lt;&gt;"",$L742&gt;15),"Secondary - verify; ","")&amp;IF($E742="","No class; ","")))</f>
        <v/>
      </c>
      <c r="U742" s="68"/>
      <c r="V742" s="68"/>
      <c r="W742" s="68"/>
      <c r="X742" s="73">
        <f t="shared" si="57"/>
        <v>4291</v>
      </c>
      <c r="Y742" s="41" t="str">
        <f t="shared" si="58"/>
        <v>VENGEANCE|27</v>
      </c>
      <c r="Z742" s="15">
        <f>IF($C742="","",IF($G742="","",RANK($G742,$G$4:$G$1463)+COUNTIF($G$4:$G742,$G742)-1))</f>
        <v>407</v>
      </c>
      <c r="AA742" s="15">
        <f>IF($C742="","",IF($N742="","",RANK($N742,$N$4:$N$1463)+COUNTIF($N$4:$N742,$N742)-1))</f>
        <v>473</v>
      </c>
      <c r="AB742" s="41" t="str">
        <f>IF($C742="","",IF($E742="","",$E742&amp;"#"&amp;(COUNTIFS($E$4:$E$1463,$E742,$X$4:$X$1463,"&gt;"&amp;$X742)+COUNTIFS($E$4:$E742,$E742,$X$4:$X742,"="&amp;$X742))))</f>
        <v>BLOOD KNIGHT#33</v>
      </c>
      <c r="AC742" s="41" t="str">
        <f>IF($C742="","",$B742&amp;"@"&amp;(COUNTIFS($B$4:$B$1463,$B742,$C$4:$C$1463,"&lt;"&amp;$C742)+COUNTIFS($B$4:$B742,$B742,$C$4:$C742,$C742)))</f>
        <v>VENGEANCE@45</v>
      </c>
      <c r="AD742" s="41">
        <f t="shared" si="59"/>
        <v>739</v>
      </c>
      <c r="AE742" s="41" t="s">
        <v>755</v>
      </c>
      <c r="AF742" s="73">
        <f t="shared" si="60"/>
        <v>63038</v>
      </c>
      <c r="AG742" s="74">
        <f t="shared" si="61"/>
        <v>5.7</v>
      </c>
      <c r="AH742" s="41" t="str">
        <f>IF($C742="","",$B742&amp;"|"&amp;(COUNTIFS($B$4:$B$1463,$B742,$AF$4:$AF$1463,"&gt;"&amp;$AF742)+COUNTIFS($B$4:$B742,$B742,$AF$4:$AF742,"="&amp;$AF742)))</f>
        <v>VENGEANCE|21</v>
      </c>
      <c r="AI742" s="41" t="str">
        <f>IF($C742="","",$B742&amp;"|"&amp;(COUNTIFS($B$4:$B$1463,$B742,$AG$4:$AG$1463,"&gt;"&amp;$AG742)+COUNTIFS($B$4:$B742,$B742,$AG$4:$AG742,"="&amp;$AG742)))</f>
        <v>VENGEANCE|17</v>
      </c>
    </row>
    <row r="743" spans="1:35" hidden="1">
      <c r="A743" s="69" t="s">
        <v>109</v>
      </c>
      <c r="B743" s="69" t="s">
        <v>118</v>
      </c>
      <c r="C743" s="63" t="s">
        <v>1812</v>
      </c>
      <c r="D743" s="69"/>
      <c r="E743" s="68" t="s">
        <v>71</v>
      </c>
      <c r="F743" s="19" t="str">
        <f>IF($C743="","",IF($E743="","-",IFERROR(INDEX(SETUP!$B$55:$B$64,MATCH($E743,SETUP!$A$55:$A$64,0)),"Other")))</f>
        <v>Frontline</v>
      </c>
      <c r="G743" s="70">
        <v>63135</v>
      </c>
      <c r="H743" s="19" t="str">
        <f>IF($C743="","",IF($G743="","-",INDEX(SETUP!$B$26:$B$32,MATCH($G743,SETUP!$A$26:$A$32,1))))</f>
        <v>63,000 - 63,999</v>
      </c>
      <c r="I743" s="70">
        <v>3128</v>
      </c>
      <c r="J743" s="19" t="str">
        <f>IF($C743="","",IF($I743="","-",INDEX(SETUP!$B$16:$B$22,MATCH($I743,SETUP!$A$16:$A$22,1))))</f>
        <v>DEVELOPING</v>
      </c>
      <c r="K743" s="19" t="str">
        <f>IF($C743="","",IF($I743="","-",TEXT(INT($I743/1000)*1000,"#,##0")&amp;" - "&amp;TEXT(INT($I743/1000)*1000+999,"#,##0")))</f>
        <v>3,000 - 3,999</v>
      </c>
      <c r="L743" s="71">
        <v>6.05</v>
      </c>
      <c r="M743" s="19" t="str">
        <f>IF($C743="","",IF($L743="","-",INDEX(SETUP!$B$36:$B$42,MATCH($L743,SETUP!$A$36:$A$42,1))))</f>
        <v>6k - 8k</v>
      </c>
      <c r="N743" s="21">
        <f>IF($C743="","",IF(OR($G743="",$I743=""),"",ROUND(100*(SETUP!$B$4*MIN(1,$I743/SETUP!$B$9)+SETUP!$B$5*MAX(0,MIN(1,($G743-SETUP!$B$10)/(SETUP!$B$11-SETUP!$B$10)))+SETUP!$B$6*MIN(1,IF($L743="",0,$L743)/SETUP!$B$12)),1)))</f>
        <v>45.1</v>
      </c>
      <c r="O743" s="19" t="str">
        <f>IF($C743="","",IF($N743="","-",INDEX(SETUP!$B$46:$B$51,MATCH($N743,SETUP!$A$46:$A$51,1))))</f>
        <v>B</v>
      </c>
      <c r="P743" s="19">
        <f>IF($C743="","",IF($I743="","",RANK($I743,$I$4:$I$1463)+COUNTIF($I$4:$I743,$I743)-1))</f>
        <v>848</v>
      </c>
      <c r="Q743" s="19">
        <f>IF($C743="","",COUNTIFS($B$4:$B$1463,$B743,$X$4:$X$1463,"&gt;"&amp;$X743)+COUNTIFS($B$4:$B743,$B743,$X$4:$X743,"="&amp;$X743))</f>
        <v>17</v>
      </c>
      <c r="R743" s="75">
        <f>IF($C743="","",IF($I743="","",ROUND(COUNTIF($I$4:$I$1463,"&lt;"&amp;$I743)/COUNT($I$4:$I$1463),3)))</f>
        <v>0.36</v>
      </c>
      <c r="S743" s="19" t="str">
        <f>IF($C743="","",IF($G743="","Name only",IF(OR($I743="",$L743=""),"Partial","Complete")))</f>
        <v>Complete</v>
      </c>
      <c r="T743" s="1" t="str">
        <f>IF($C743="","",TRIM(IF(COUNTIF($C$4:$C$1463,$C743)&gt;1,"Dup name; ","")&amp;IF(AND($G743&lt;&gt;"",$G743&lt;55000),"Low CR - verify; ","")&amp;IF(AND($L743&lt;&gt;"",$L743&gt;15),"Secondary - verify; ","")&amp;IF($E743="","No class; ","")))</f>
        <v/>
      </c>
      <c r="U743" s="68"/>
      <c r="V743" s="68"/>
      <c r="W743" s="68"/>
      <c r="X743" s="76">
        <f t="shared" si="57"/>
        <v>3128</v>
      </c>
      <c r="Y743" s="1" t="str">
        <f t="shared" si="58"/>
        <v>ZOMBIES|17</v>
      </c>
      <c r="Z743" s="19">
        <f>IF($C743="","",IF($G743="","",RANK($G743,$G$4:$G$1463)+COUNTIF($G$4:$G743,$G743)-1))</f>
        <v>354</v>
      </c>
      <c r="AA743" s="19">
        <f>IF($C743="","",IF($N743="","",RANK($N743,$N$4:$N$1463)+COUNTIF($N$4:$N743,$N743)-1))</f>
        <v>619</v>
      </c>
      <c r="AB743" s="1" t="str">
        <f>IF($C743="","",IF($E743="","",$E743&amp;"#"&amp;(COUNTIFS($E$4:$E$1463,$E743,$X$4:$X$1463,"&gt;"&amp;$X743)+COUNTIFS($E$4:$E743,$E743,$X$4:$X743,"="&amp;$X743))))</f>
        <v>BARBARIAN#151</v>
      </c>
      <c r="AC743" s="1" t="str">
        <f>IF($C743="","",$B743&amp;"@"&amp;(COUNTIFS($B$4:$B$1463,$B743,$C$4:$C$1463,"&lt;"&amp;$C743)+COUNTIFS($B$4:$B743,$B743,$C$4:$C743,$C743)))</f>
        <v>ZOMBIES@53</v>
      </c>
      <c r="AD743" s="1">
        <f t="shared" si="59"/>
        <v>740</v>
      </c>
      <c r="AE743" s="1" t="s">
        <v>1813</v>
      </c>
      <c r="AF743" s="76">
        <f t="shared" si="60"/>
        <v>63135</v>
      </c>
      <c r="AG743" s="77">
        <f t="shared" si="61"/>
        <v>6.05</v>
      </c>
      <c r="AH743" s="1" t="str">
        <f>IF($C743="","",$B743&amp;"|"&amp;(COUNTIFS($B$4:$B$1463,$B743,$AF$4:$AF$1463,"&gt;"&amp;$AF743)+COUNTIFS($B$4:$B743,$B743,$AF$4:$AF743,"="&amp;$AF743)))</f>
        <v>ZOMBIES|3</v>
      </c>
      <c r="AI743" s="1" t="str">
        <f>IF($C743="","",$B743&amp;"|"&amp;(COUNTIFS($B$4:$B$1463,$B743,$AG$4:$AG$1463,"&gt;"&amp;$AG743)+COUNTIFS($B$4:$B743,$B743,$AG$4:$AG743,"="&amp;$AG743)))</f>
        <v>ZOMBIES|6</v>
      </c>
    </row>
    <row r="744" spans="1:35" hidden="1">
      <c r="A744" s="69" t="s">
        <v>109</v>
      </c>
      <c r="B744" s="69" t="s">
        <v>113</v>
      </c>
      <c r="C744" s="63" t="s">
        <v>1814</v>
      </c>
      <c r="D744" s="69" t="s">
        <v>548</v>
      </c>
      <c r="E744" s="68" t="s">
        <v>77</v>
      </c>
      <c r="F744" s="15" t="str">
        <f>IF($C744="","",IF($E744="","-",IFERROR(INDEX(SETUP!$B$55:$B$64,MATCH($E744,SETUP!$A$55:$A$64,0)),"Other")))</f>
        <v>Control</v>
      </c>
      <c r="G744" s="70">
        <v>61218</v>
      </c>
      <c r="H744" s="15" t="str">
        <f>IF($C744="","",IF($G744="","-",INDEX(SETUP!$B$26:$B$32,MATCH($G744,SETUP!$A$26:$A$32,1))))</f>
        <v>61,000 - 61,999</v>
      </c>
      <c r="I744" s="70">
        <v>2782</v>
      </c>
      <c r="J744" s="15" t="str">
        <f>IF($C744="","",IF($I744="","-",INDEX(SETUP!$B$16:$B$22,MATCH($I744,SETUP!$A$16:$A$22,1))))</f>
        <v>DEVELOPING</v>
      </c>
      <c r="K744" s="15" t="str">
        <f>IF($C744="","",IF($I744="","-",TEXT(INT($I744/1000)*1000,"#,##0")&amp;" - "&amp;TEXT(INT($I744/1000)*1000+999,"#,##0")))</f>
        <v>2,000 - 2,999</v>
      </c>
      <c r="L744" s="71">
        <v>4.7</v>
      </c>
      <c r="M744" s="15" t="str">
        <f>IF($C744="","",IF($L744="","-",INDEX(SETUP!$B$36:$B$42,MATCH($L744,SETUP!$A$36:$A$42,1))))</f>
        <v>4k - 5k</v>
      </c>
      <c r="N744" s="17">
        <f>IF($C744="","",IF(OR($G744="",$I744=""),"",ROUND(100*(SETUP!$B$4*MIN(1,$I744/SETUP!$B$9)+SETUP!$B$5*MAX(0,MIN(1,($G744-SETUP!$B$10)/(SETUP!$B$11-SETUP!$B$10)))+SETUP!$B$6*MIN(1,IF($L744="",0,$L744)/SETUP!$B$12)),1)))</f>
        <v>36.299999999999997</v>
      </c>
      <c r="O744" s="15" t="str">
        <f>IF($C744="","",IF($N744="","-",INDEX(SETUP!$B$46:$B$51,MATCH($N744,SETUP!$A$46:$A$51,1))))</f>
        <v>B</v>
      </c>
      <c r="P744" s="15">
        <f>IF($C744="","",IF($I744="","",RANK($I744,$I$4:$I$1463)+COUNTIF($I$4:$I744,$I744)-1))</f>
        <v>937</v>
      </c>
      <c r="Q744" s="15">
        <f>IF($C744="","",COUNTIFS($B$4:$B$1463,$B744,$X$4:$X$1463,"&gt;"&amp;$X744)+COUNTIFS($B$4:$B744,$B744,$X$4:$X744,"="&amp;$X744))</f>
        <v>59</v>
      </c>
      <c r="R744" s="72">
        <f>IF($C744="","",IF($I744="","",ROUND(COUNTIF($I$4:$I$1463,"&lt;"&amp;$I744)/COUNT($I$4:$I$1463),3)))</f>
        <v>0.29299999999999998</v>
      </c>
      <c r="S744" s="15" t="str">
        <f>IF($C744="","",IF($G744="","Name only",IF(OR($I744="",$L744=""),"Partial","Complete")))</f>
        <v>Complete</v>
      </c>
      <c r="T744" s="41" t="str">
        <f>IF($C744="","",TRIM(IF(COUNTIF($C$4:$C$1463,$C744)&gt;1,"Dup name; ","")&amp;IF(AND($G744&lt;&gt;"",$G744&lt;55000),"Low CR - verify; ","")&amp;IF(AND($L744&lt;&gt;"",$L744&gt;15),"Secondary - verify; ","")&amp;IF($E744="","No class; ","")))</f>
        <v/>
      </c>
      <c r="U744" s="68"/>
      <c r="V744" s="68"/>
      <c r="W744" s="68"/>
      <c r="X744" s="73">
        <f t="shared" si="57"/>
        <v>2782</v>
      </c>
      <c r="Y744" s="41" t="str">
        <f t="shared" si="58"/>
        <v>INVICTUS|59</v>
      </c>
      <c r="Z744" s="15">
        <f>IF($C744="","",IF($G744="","",RANK($G744,$G$4:$G$1463)+COUNTIF($G$4:$G744,$G744)-1))</f>
        <v>1080</v>
      </c>
      <c r="AA744" s="15">
        <f>IF($C744="","",IF($N744="","",RANK($N744,$N$4:$N$1463)+COUNTIF($N$4:$N744,$N744)-1))</f>
        <v>956</v>
      </c>
      <c r="AB744" s="41" t="str">
        <f>IF($C744="","",IF($E744="","",$E744&amp;"#"&amp;(COUNTIFS($E$4:$E$1463,$E744,$X$4:$X$1463,"&gt;"&amp;$X744)+COUNTIFS($E$4:$E744,$E744,$X$4:$X744,"="&amp;$X744))))</f>
        <v>NECROMANCER#55</v>
      </c>
      <c r="AC744" s="41" t="str">
        <f>IF($C744="","",$B744&amp;"@"&amp;(COUNTIFS($B$4:$B$1463,$B744,$C$4:$C$1463,"&lt;"&amp;$C744)+COUNTIFS($B$4:$B744,$B744,$C$4:$C744,$C744)))</f>
        <v>INVICTUS@54</v>
      </c>
      <c r="AD744" s="41">
        <f t="shared" si="59"/>
        <v>741</v>
      </c>
      <c r="AE744" s="41" t="s">
        <v>1815</v>
      </c>
      <c r="AF744" s="73">
        <f t="shared" si="60"/>
        <v>61218</v>
      </c>
      <c r="AG744" s="74">
        <f t="shared" si="61"/>
        <v>4.7</v>
      </c>
      <c r="AH744" s="41" t="str">
        <f>IF($C744="","",$B744&amp;"|"&amp;(COUNTIFS($B$4:$B$1463,$B744,$AF$4:$AF$1463,"&gt;"&amp;$AF744)+COUNTIFS($B$4:$B744,$B744,$AF$4:$AF744,"="&amp;$AF744)))</f>
        <v>INVICTUS|78</v>
      </c>
      <c r="AI744" s="41" t="str">
        <f>IF($C744="","",$B744&amp;"|"&amp;(COUNTIFS($B$4:$B$1463,$B744,$AG$4:$AG$1463,"&gt;"&amp;$AG744)+COUNTIFS($B$4:$B744,$B744,$AG$4:$AG744,"="&amp;$AG744)))</f>
        <v>INVICTUS|42</v>
      </c>
    </row>
    <row r="745" spans="1:35" hidden="1">
      <c r="A745" s="69" t="s">
        <v>109</v>
      </c>
      <c r="B745" s="69" t="s">
        <v>116</v>
      </c>
      <c r="C745" s="63" t="s">
        <v>1816</v>
      </c>
      <c r="D745" s="69" t="s">
        <v>530</v>
      </c>
      <c r="E745" s="68" t="s">
        <v>77</v>
      </c>
      <c r="F745" s="19" t="str">
        <f>IF($C745="","",IF($E745="","-",IFERROR(INDEX(SETUP!$B$55:$B$64,MATCH($E745,SETUP!$A$55:$A$64,0)),"Other")))</f>
        <v>Control</v>
      </c>
      <c r="G745" s="70">
        <v>60723</v>
      </c>
      <c r="H745" s="19" t="str">
        <f>IF($C745="","",IF($G745="","-",INDEX(SETUP!$B$26:$B$32,MATCH($G745,SETUP!$A$26:$A$32,1))))</f>
        <v>60,000 - 60,999</v>
      </c>
      <c r="I745" s="70">
        <v>1680</v>
      </c>
      <c r="J745" s="19" t="str">
        <f>IF($C745="","",IF($I745="","-",INDEX(SETUP!$B$16:$B$22,MATCH($I745,SETUP!$A$16:$A$22,1))))</f>
        <v>ROOKIE</v>
      </c>
      <c r="K745" s="19" t="str">
        <f>IF($C745="","",IF($I745="","-",TEXT(INT($I745/1000)*1000,"#,##0")&amp;" - "&amp;TEXT(INT($I745/1000)*1000+999,"#,##0")))</f>
        <v>1,000 - 1,999</v>
      </c>
      <c r="L745" s="71">
        <v>3.3</v>
      </c>
      <c r="M745" s="19" t="str">
        <f>IF($C745="","",IF($L745="","-",INDEX(SETUP!$B$36:$B$42,MATCH($L745,SETUP!$A$36:$A$42,1))))</f>
        <v>3k - 4k</v>
      </c>
      <c r="N745" s="21">
        <f>IF($C745="","",IF(OR($G745="",$I745=""),"",ROUND(100*(SETUP!$B$4*MIN(1,$I745/SETUP!$B$9)+SETUP!$B$5*MAX(0,MIN(1,($G745-SETUP!$B$10)/(SETUP!$B$11-SETUP!$B$10)))+SETUP!$B$6*MIN(1,IF($L745="",0,$L745)/SETUP!$B$12)),1)))</f>
        <v>27.9</v>
      </c>
      <c r="O745" s="19" t="str">
        <f>IF($C745="","",IF($N745="","-",INDEX(SETUP!$B$46:$B$51,MATCH($N745,SETUP!$A$46:$A$51,1))))</f>
        <v>C</v>
      </c>
      <c r="P745" s="19">
        <f>IF($C745="","",IF($I745="","",RANK($I745,$I$4:$I$1463)+COUNTIF($I$4:$I745,$I745)-1))</f>
        <v>1163</v>
      </c>
      <c r="Q745" s="19">
        <f>IF($C745="","",COUNTIFS($B$4:$B$1463,$B745,$X$4:$X$1463,"&gt;"&amp;$X745)+COUNTIFS($B$4:$B745,$B745,$X$4:$X745,"="&amp;$X745))</f>
        <v>90</v>
      </c>
      <c r="R745" s="75">
        <f>IF($C745="","",IF($I745="","",ROUND(COUNTIF($I$4:$I$1463,"&lt;"&amp;$I745)/COUNT($I$4:$I$1463),3)))</f>
        <v>0.122</v>
      </c>
      <c r="S745" s="19" t="str">
        <f>IF($C745="","",IF($G745="","Name only",IF(OR($I745="",$L745=""),"Partial","Complete")))</f>
        <v>Complete</v>
      </c>
      <c r="T745" s="1" t="str">
        <f>IF($C745="","",TRIM(IF(COUNTIF($C$4:$C$1463,$C745)&gt;1,"Dup name; ","")&amp;IF(AND($G745&lt;&gt;"",$G745&lt;55000),"Low CR - verify; ","")&amp;IF(AND($L745&lt;&gt;"",$L745&gt;15),"Secondary - verify; ","")&amp;IF($E745="","No class; ","")))</f>
        <v/>
      </c>
      <c r="U745" s="68"/>
      <c r="V745" s="68"/>
      <c r="W745" s="68"/>
      <c r="X745" s="76">
        <f t="shared" si="57"/>
        <v>1680</v>
      </c>
      <c r="Y745" s="1" t="str">
        <f t="shared" si="58"/>
        <v>VENGEANCE|90</v>
      </c>
      <c r="Z745" s="19">
        <f>IF($C745="","",IF($G745="","",RANK($G745,$G$4:$G$1463)+COUNTIF($G$4:$G745,$G745)-1))</f>
        <v>1181</v>
      </c>
      <c r="AA745" s="19">
        <f>IF($C745="","",IF($N745="","",RANK($N745,$N$4:$N$1463)+COUNTIF($N$4:$N745,$N745)-1))</f>
        <v>1195</v>
      </c>
      <c r="AB745" s="1" t="str">
        <f>IF($C745="","",IF($E745="","",$E745&amp;"#"&amp;(COUNTIFS($E$4:$E$1463,$E745,$X$4:$X$1463,"&gt;"&amp;$X745)+COUNTIFS($E$4:$E745,$E745,$X$4:$X745,"="&amp;$X745))))</f>
        <v>NECROMANCER#81</v>
      </c>
      <c r="AC745" s="1" t="str">
        <f>IF($C745="","",$B745&amp;"@"&amp;(COUNTIFS($B$4:$B$1463,$B745,$C$4:$C$1463,"&lt;"&amp;$C745)+COUNTIFS($B$4:$B745,$B745,$C$4:$C745,$C745)))</f>
        <v>VENGEANCE@46</v>
      </c>
      <c r="AD745" s="1">
        <f t="shared" si="59"/>
        <v>742</v>
      </c>
      <c r="AE745" s="1" t="s">
        <v>858</v>
      </c>
      <c r="AF745" s="76">
        <f t="shared" si="60"/>
        <v>60723</v>
      </c>
      <c r="AG745" s="77">
        <f t="shared" si="61"/>
        <v>3.3</v>
      </c>
      <c r="AH745" s="1" t="str">
        <f>IF($C745="","",$B745&amp;"|"&amp;(COUNTIFS($B$4:$B$1463,$B745,$AF$4:$AF$1463,"&gt;"&amp;$AF745)+COUNTIFS($B$4:$B745,$B745,$AF$4:$AF745,"="&amp;$AF745)))</f>
        <v>VENGEANCE|80</v>
      </c>
      <c r="AI745" s="1" t="str">
        <f>IF($C745="","",$B745&amp;"|"&amp;(COUNTIFS($B$4:$B$1463,$B745,$AG$4:$AG$1463,"&gt;"&amp;$AG745)+COUNTIFS($B$4:$B745,$B745,$AG$4:$AG745,"="&amp;$AG745)))</f>
        <v>VENGEANCE|89</v>
      </c>
    </row>
    <row r="746" spans="1:35" hidden="1">
      <c r="A746" s="69" t="s">
        <v>109</v>
      </c>
      <c r="B746" s="69" t="s">
        <v>118</v>
      </c>
      <c r="C746" s="63" t="s">
        <v>1817</v>
      </c>
      <c r="D746" s="69"/>
      <c r="E746" s="68" t="s">
        <v>76</v>
      </c>
      <c r="F746" s="15" t="str">
        <f>IF($C746="","",IF($E746="","-",IFERROR(INDEX(SETUP!$B$55:$B$64,MATCH($E746,SETUP!$A$55:$A$64,0)),"Other")))</f>
        <v>Support</v>
      </c>
      <c r="G746" s="70">
        <v>60959</v>
      </c>
      <c r="H746" s="15" t="str">
        <f>IF($C746="","",IF($G746="","-",INDEX(SETUP!$B$26:$B$32,MATCH($G746,SETUP!$A$26:$A$32,1))))</f>
        <v>60,000 - 60,999</v>
      </c>
      <c r="I746" s="70">
        <v>4179</v>
      </c>
      <c r="J746" s="15" t="str">
        <f>IF($C746="","",IF($I746="","-",INDEX(SETUP!$B$16:$B$22,MATCH($I746,SETUP!$A$16:$A$22,1))))</f>
        <v>CORE</v>
      </c>
      <c r="K746" s="15" t="str">
        <f>IF($C746="","",IF($I746="","-",TEXT(INT($I746/1000)*1000,"#,##0")&amp;" - "&amp;TEXT(INT($I746/1000)*1000+999,"#,##0")))</f>
        <v>4,000 - 4,999</v>
      </c>
      <c r="L746" s="71">
        <v>6.12</v>
      </c>
      <c r="M746" s="15" t="str">
        <f>IF($C746="","",IF($L746="","-",INDEX(SETUP!$B$36:$B$42,MATCH($L746,SETUP!$A$36:$A$42,1))))</f>
        <v>6k - 8k</v>
      </c>
      <c r="N746" s="17">
        <f>IF($C746="","",IF(OR($G746="",$I746=""),"",ROUND(100*(SETUP!$B$4*MIN(1,$I746/SETUP!$B$9)+SETUP!$B$5*MAX(0,MIN(1,($G746-SETUP!$B$10)/(SETUP!$B$11-SETUP!$B$10)))+SETUP!$B$6*MIN(1,IF($L746="",0,$L746)/SETUP!$B$12)),1)))</f>
        <v>44.1</v>
      </c>
      <c r="O746" s="15" t="str">
        <f>IF($C746="","",IF($N746="","-",INDEX(SETUP!$B$46:$B$51,MATCH($N746,SETUP!$A$46:$A$51,1))))</f>
        <v>B</v>
      </c>
      <c r="P746" s="15">
        <f>IF($C746="","",IF($I746="","",RANK($I746,$I$4:$I$1463)+COUNTIF($I$4:$I746,$I746)-1))</f>
        <v>561</v>
      </c>
      <c r="Q746" s="15">
        <f>IF($C746="","",COUNTIFS($B$4:$B$1463,$B746,$X$4:$X$1463,"&gt;"&amp;$X746)+COUNTIFS($B$4:$B746,$B746,$X$4:$X746,"="&amp;$X746))</f>
        <v>7</v>
      </c>
      <c r="R746" s="72">
        <f>IF($C746="","",IF($I746="","",ROUND(COUNTIF($I$4:$I$1463,"&lt;"&amp;$I746)/COUNT($I$4:$I$1463),3)))</f>
        <v>0.57699999999999996</v>
      </c>
      <c r="S746" s="15" t="str">
        <f>IF($C746="","",IF($G746="","Name only",IF(OR($I746="",$L746=""),"Partial","Complete")))</f>
        <v>Complete</v>
      </c>
      <c r="T746" s="41" t="str">
        <f>IF($C746="","",TRIM(IF(COUNTIF($C$4:$C$1463,$C746)&gt;1,"Dup name; ","")&amp;IF(AND($G746&lt;&gt;"",$G746&lt;55000),"Low CR - verify; ","")&amp;IF(AND($L746&lt;&gt;"",$L746&gt;15),"Secondary - verify; ","")&amp;IF($E746="","No class; ","")))</f>
        <v/>
      </c>
      <c r="U746" s="68"/>
      <c r="V746" s="68"/>
      <c r="W746" s="68"/>
      <c r="X746" s="73">
        <f t="shared" si="57"/>
        <v>4179</v>
      </c>
      <c r="Y746" s="41" t="str">
        <f t="shared" si="58"/>
        <v>ZOMBIES|7</v>
      </c>
      <c r="Z746" s="15">
        <f>IF($C746="","",IF($G746="","",RANK($G746,$G$4:$G$1463)+COUNTIF($G$4:$G746,$G746)-1))</f>
        <v>1141</v>
      </c>
      <c r="AA746" s="15">
        <f>IF($C746="","",IF($N746="","",RANK($N746,$N$4:$N$1463)+COUNTIF($N$4:$N746,$N746)-1))</f>
        <v>665</v>
      </c>
      <c r="AB746" s="41" t="str">
        <f>IF($C746="","",IF($E746="","",$E746&amp;"#"&amp;(COUNTIFS($E$4:$E$1463,$E746,$X$4:$X$1463,"&gt;"&amp;$X746)+COUNTIFS($E$4:$E746,$E746,$X$4:$X746,"="&amp;$X746))))</f>
        <v>MONK#21</v>
      </c>
      <c r="AC746" s="41" t="str">
        <f>IF($C746="","",$B746&amp;"@"&amp;(COUNTIFS($B$4:$B$1463,$B746,$C$4:$C$1463,"&lt;"&amp;$C746)+COUNTIFS($B$4:$B746,$B746,$C$4:$C746,$C746)))</f>
        <v>ZOMBIES@54</v>
      </c>
      <c r="AD746" s="41">
        <f t="shared" si="59"/>
        <v>743</v>
      </c>
      <c r="AE746" s="41" t="s">
        <v>1818</v>
      </c>
      <c r="AF746" s="73">
        <f t="shared" si="60"/>
        <v>60959</v>
      </c>
      <c r="AG746" s="74">
        <f t="shared" si="61"/>
        <v>6.12</v>
      </c>
      <c r="AH746" s="41" t="str">
        <f>IF($C746="","",$B746&amp;"|"&amp;(COUNTIFS($B$4:$B$1463,$B746,$AF$4:$AF$1463,"&gt;"&amp;$AF746)+COUNTIFS($B$4:$B746,$B746,$AF$4:$AF746,"="&amp;$AF746)))</f>
        <v>ZOMBIES|55</v>
      </c>
      <c r="AI746" s="41" t="str">
        <f>IF($C746="","",$B746&amp;"|"&amp;(COUNTIFS($B$4:$B$1463,$B746,$AG$4:$AG$1463,"&gt;"&amp;$AG746)+COUNTIFS($B$4:$B746,$B746,$AG$4:$AG746,"="&amp;$AG746)))</f>
        <v>ZOMBIES|5</v>
      </c>
    </row>
    <row r="747" spans="1:35" hidden="1">
      <c r="A747" s="69" t="s">
        <v>106</v>
      </c>
      <c r="B747" s="69" t="s">
        <v>105</v>
      </c>
      <c r="C747" s="63" t="s">
        <v>1819</v>
      </c>
      <c r="D747" s="69"/>
      <c r="E747" s="68" t="s">
        <v>79</v>
      </c>
      <c r="F747" s="19" t="str">
        <f>IF($C747="","",IF($E747="","-",IFERROR(INDEX(SETUP!$B$55:$B$64,MATCH($E747,SETUP!$A$55:$A$64,0)),"Other")))</f>
        <v>Control</v>
      </c>
      <c r="G747" s="70">
        <v>63021</v>
      </c>
      <c r="H747" s="19" t="str">
        <f>IF($C747="","",IF($G747="","-",INDEX(SETUP!$B$26:$B$32,MATCH($G747,SETUP!$A$26:$A$32,1))))</f>
        <v>63,000 - 63,999</v>
      </c>
      <c r="I747" s="70">
        <v>2865</v>
      </c>
      <c r="J747" s="19" t="str">
        <f>IF($C747="","",IF($I747="","-",INDEX(SETUP!$B$16:$B$22,MATCH($I747,SETUP!$A$16:$A$22,1))))</f>
        <v>DEVELOPING</v>
      </c>
      <c r="K747" s="19" t="str">
        <f>IF($C747="","",IF($I747="","-",TEXT(INT($I747/1000)*1000,"#,##0")&amp;" - "&amp;TEXT(INT($I747/1000)*1000+999,"#,##0")))</f>
        <v>2,000 - 2,999</v>
      </c>
      <c r="L747" s="71">
        <v>4.21</v>
      </c>
      <c r="M747" s="19" t="str">
        <f>IF($C747="","",IF($L747="","-",INDEX(SETUP!$B$36:$B$42,MATCH($L747,SETUP!$A$36:$A$42,1))))</f>
        <v>4k - 5k</v>
      </c>
      <c r="N747" s="21">
        <f>IF($C747="","",IF(OR($G747="",$I747=""),"",ROUND(100*(SETUP!$B$4*MIN(1,$I747/SETUP!$B$9)+SETUP!$B$5*MAX(0,MIN(1,($G747-SETUP!$B$10)/(SETUP!$B$11-SETUP!$B$10)))+SETUP!$B$6*MIN(1,IF($L747="",0,$L747)/SETUP!$B$12)),1)))</f>
        <v>40.6</v>
      </c>
      <c r="O747" s="19" t="str">
        <f>IF($C747="","",IF($N747="","-",INDEX(SETUP!$B$46:$B$51,MATCH($N747,SETUP!$A$46:$A$51,1))))</f>
        <v>B</v>
      </c>
      <c r="P747" s="19">
        <f>IF($C747="","",IF($I747="","",RANK($I747,$I$4:$I$1463)+COUNTIF($I$4:$I747,$I747)-1))</f>
        <v>919</v>
      </c>
      <c r="Q747" s="19">
        <f>IF($C747="","",COUNTIFS($B$4:$B$1463,$B747,$X$4:$X$1463,"&gt;"&amp;$X747)+COUNTIFS($B$4:$B747,$B747,$X$4:$X747,"="&amp;$X747))</f>
        <v>96</v>
      </c>
      <c r="R747" s="75">
        <f>IF($C747="","",IF($I747="","",ROUND(COUNTIF($I$4:$I$1463,"&lt;"&amp;$I747)/COUNT($I$4:$I$1463),3)))</f>
        <v>0.30599999999999999</v>
      </c>
      <c r="S747" s="19" t="str">
        <f>IF($C747="","",IF($G747="","Name only",IF(OR($I747="",$L747=""),"Partial","Complete")))</f>
        <v>Complete</v>
      </c>
      <c r="T747" s="1" t="str">
        <f>IF($C747="","",TRIM(IF(COUNTIF($C$4:$C$1463,$C747)&gt;1,"Dup name; ","")&amp;IF(AND($G747&lt;&gt;"",$G747&lt;55000),"Low CR - verify; ","")&amp;IF(AND($L747&lt;&gt;"",$L747&gt;15),"Secondary - verify; ","")&amp;IF($E747="","No class; ","")))</f>
        <v/>
      </c>
      <c r="U747" s="68"/>
      <c r="V747" s="68"/>
      <c r="W747" s="68"/>
      <c r="X747" s="76">
        <f t="shared" si="57"/>
        <v>2865</v>
      </c>
      <c r="Y747" s="1" t="str">
        <f t="shared" si="58"/>
        <v>LEGENDS|96</v>
      </c>
      <c r="Z747" s="19">
        <f>IF($C747="","",IF($G747="","",RANK($G747,$G$4:$G$1463)+COUNTIF($G$4:$G747,$G747)-1))</f>
        <v>419</v>
      </c>
      <c r="AA747" s="19">
        <f>IF($C747="","",IF($N747="","",RANK($N747,$N$4:$N$1463)+COUNTIF($N$4:$N747,$N747)-1))</f>
        <v>798</v>
      </c>
      <c r="AB747" s="1" t="str">
        <f>IF($C747="","",IF($E747="","",$E747&amp;"#"&amp;(COUNTIFS($E$4:$E$1463,$E747,$X$4:$X$1463,"&gt;"&amp;$X747)+COUNTIFS($E$4:$E747,$E747,$X$4:$X747,"="&amp;$X747))))</f>
        <v>WARLOCK#227</v>
      </c>
      <c r="AC747" s="1" t="str">
        <f>IF($C747="","",$B747&amp;"@"&amp;(COUNTIFS($B$4:$B$1463,$B747,$C$4:$C$1463,"&lt;"&amp;$C747)+COUNTIFS($B$4:$B747,$B747,$C$4:$C747,$C747)))</f>
        <v>LEGENDS@65</v>
      </c>
      <c r="AD747" s="1">
        <f t="shared" si="59"/>
        <v>744</v>
      </c>
      <c r="AE747" s="1" t="s">
        <v>1820</v>
      </c>
      <c r="AF747" s="76">
        <f t="shared" si="60"/>
        <v>63021</v>
      </c>
      <c r="AG747" s="77">
        <f t="shared" si="61"/>
        <v>4.21</v>
      </c>
      <c r="AH747" s="1" t="str">
        <f>IF($C747="","",$B747&amp;"|"&amp;(COUNTIFS($B$4:$B$1463,$B747,$AF$4:$AF$1463,"&gt;"&amp;$AF747)+COUNTIFS($B$4:$B747,$B747,$AF$4:$AF747,"="&amp;$AF747)))</f>
        <v>LEGENDS|49</v>
      </c>
      <c r="AI747" s="1" t="str">
        <f>IF($C747="","",$B747&amp;"|"&amp;(COUNTIFS($B$4:$B$1463,$B747,$AG$4:$AG$1463,"&gt;"&amp;$AG747)+COUNTIFS($B$4:$B747,$B747,$AG$4:$AG747,"="&amp;$AG747)))</f>
        <v>LEGENDS|86</v>
      </c>
    </row>
    <row r="748" spans="1:35" hidden="1">
      <c r="A748" s="69" t="s">
        <v>109</v>
      </c>
      <c r="B748" s="69" t="s">
        <v>118</v>
      </c>
      <c r="C748" s="63" t="s">
        <v>1821</v>
      </c>
      <c r="D748" s="69"/>
      <c r="E748" s="68" t="s">
        <v>79</v>
      </c>
      <c r="F748" s="15" t="str">
        <f>IF($C748="","",IF($E748="","-",IFERROR(INDEX(SETUP!$B$55:$B$64,MATCH($E748,SETUP!$A$55:$A$64,0)),"Other")))</f>
        <v>Control</v>
      </c>
      <c r="G748" s="70">
        <v>61255</v>
      </c>
      <c r="H748" s="15" t="str">
        <f>IF($C748="","",IF($G748="","-",INDEX(SETUP!$B$26:$B$32,MATCH($G748,SETUP!$A$26:$A$32,1))))</f>
        <v>61,000 - 61,999</v>
      </c>
      <c r="I748" s="70">
        <v>1404</v>
      </c>
      <c r="J748" s="15" t="str">
        <f>IF($C748="","",IF($I748="","-",INDEX(SETUP!$B$16:$B$22,MATCH($I748,SETUP!$A$16:$A$22,1))))</f>
        <v>ROOKIE</v>
      </c>
      <c r="K748" s="15" t="str">
        <f>IF($C748="","",IF($I748="","-",TEXT(INT($I748/1000)*1000,"#,##0")&amp;" - "&amp;TEXT(INT($I748/1000)*1000+999,"#,##0")))</f>
        <v>1,000 - 1,999</v>
      </c>
      <c r="L748" s="71">
        <v>3.3</v>
      </c>
      <c r="M748" s="15" t="str">
        <f>IF($C748="","",IF($L748="","-",INDEX(SETUP!$B$36:$B$42,MATCH($L748,SETUP!$A$36:$A$42,1))))</f>
        <v>3k - 4k</v>
      </c>
      <c r="N748" s="17">
        <f>IF($C748="","",IF(OR($G748="",$I748=""),"",ROUND(100*(SETUP!$B$4*MIN(1,$I748/SETUP!$B$9)+SETUP!$B$5*MAX(0,MIN(1,($G748-SETUP!$B$10)/(SETUP!$B$11-SETUP!$B$10)))+SETUP!$B$6*MIN(1,IF($L748="",0,$L748)/SETUP!$B$12)),1)))</f>
        <v>28.1</v>
      </c>
      <c r="O748" s="15" t="str">
        <f>IF($C748="","",IF($N748="","-",INDEX(SETUP!$B$46:$B$51,MATCH($N748,SETUP!$A$46:$A$51,1))))</f>
        <v>C</v>
      </c>
      <c r="P748" s="15">
        <f>IF($C748="","",IF($I748="","",RANK($I748,$I$4:$I$1463)+COUNTIF($I$4:$I748,$I748)-1))</f>
        <v>1212</v>
      </c>
      <c r="Q748" s="15">
        <f>IF($C748="","",COUNTIFS($B$4:$B$1463,$B748,$X$4:$X$1463,"&gt;"&amp;$X748)+COUNTIFS($B$4:$B748,$B748,$X$4:$X748,"="&amp;$X748))</f>
        <v>65</v>
      </c>
      <c r="R748" s="72">
        <f>IF($C748="","",IF($I748="","",ROUND(COUNTIF($I$4:$I$1463,"&lt;"&amp;$I748)/COUNT($I$4:$I$1463),3)))</f>
        <v>8.5000000000000006E-2</v>
      </c>
      <c r="S748" s="15" t="str">
        <f>IF($C748="","",IF($G748="","Name only",IF(OR($I748="",$L748=""),"Partial","Complete")))</f>
        <v>Complete</v>
      </c>
      <c r="T748" s="41" t="str">
        <f>IF($C748="","",TRIM(IF(COUNTIF($C$4:$C$1463,$C748)&gt;1,"Dup name; ","")&amp;IF(AND($G748&lt;&gt;"",$G748&lt;55000),"Low CR - verify; ","")&amp;IF(AND($L748&lt;&gt;"",$L748&gt;15),"Secondary - verify; ","")&amp;IF($E748="","No class; ","")))</f>
        <v/>
      </c>
      <c r="U748" s="68"/>
      <c r="V748" s="68"/>
      <c r="W748" s="68"/>
      <c r="X748" s="73">
        <f t="shared" si="57"/>
        <v>1404</v>
      </c>
      <c r="Y748" s="41" t="str">
        <f t="shared" si="58"/>
        <v>ZOMBIES|65</v>
      </c>
      <c r="Z748" s="15">
        <f>IF($C748="","",IF($G748="","",RANK($G748,$G$4:$G$1463)+COUNTIF($G$4:$G748,$G748)-1))</f>
        <v>1072</v>
      </c>
      <c r="AA748" s="15">
        <f>IF($C748="","",IF($N748="","",RANK($N748,$N$4:$N$1463)+COUNTIF($N$4:$N748,$N748)-1))</f>
        <v>1187</v>
      </c>
      <c r="AB748" s="41" t="str">
        <f>IF($C748="","",IF($E748="","",$E748&amp;"#"&amp;(COUNTIFS($E$4:$E$1463,$E748,$X$4:$X$1463,"&gt;"&amp;$X748)+COUNTIFS($E$4:$E748,$E748,$X$4:$X748,"="&amp;$X748))))</f>
        <v>WARLOCK#301</v>
      </c>
      <c r="AC748" s="41" t="str">
        <f>IF($C748="","",$B748&amp;"@"&amp;(COUNTIFS($B$4:$B$1463,$B748,$C$4:$C$1463,"&lt;"&amp;$C748)+COUNTIFS($B$4:$B748,$B748,$C$4:$C748,$C748)))</f>
        <v>ZOMBIES@55</v>
      </c>
      <c r="AD748" s="41">
        <f t="shared" si="59"/>
        <v>745</v>
      </c>
      <c r="AE748" s="41" t="s">
        <v>624</v>
      </c>
      <c r="AF748" s="73">
        <f t="shared" si="60"/>
        <v>61255</v>
      </c>
      <c r="AG748" s="74">
        <f t="shared" si="61"/>
        <v>3.3</v>
      </c>
      <c r="AH748" s="41" t="str">
        <f>IF($C748="","",$B748&amp;"|"&amp;(COUNTIFS($B$4:$B$1463,$B748,$AF$4:$AF$1463,"&gt;"&amp;$AF748)+COUNTIFS($B$4:$B748,$B748,$AF$4:$AF748,"="&amp;$AF748)))</f>
        <v>ZOMBIES|47</v>
      </c>
      <c r="AI748" s="41" t="str">
        <f>IF($C748="","",$B748&amp;"|"&amp;(COUNTIFS($B$4:$B$1463,$B748,$AG$4:$AG$1463,"&gt;"&amp;$AG748)+COUNTIFS($B$4:$B748,$B748,$AG$4:$AG748,"="&amp;$AG748)))</f>
        <v>ZOMBIES|56</v>
      </c>
    </row>
    <row r="749" spans="1:35">
      <c r="A749" s="69" t="s">
        <v>104</v>
      </c>
      <c r="B749" s="69" t="s">
        <v>66</v>
      </c>
      <c r="C749" s="63" t="s">
        <v>1768</v>
      </c>
      <c r="D749" s="69"/>
      <c r="E749" s="68" t="s">
        <v>71</v>
      </c>
      <c r="F749" s="19" t="str">
        <f>IF($C749="","",IF($E749="","-",IFERROR(INDEX(SETUP!$B$55:$B$64,MATCH($E749,SETUP!$A$55:$A$64,0)),"Other")))</f>
        <v>Frontline</v>
      </c>
      <c r="G749" s="70">
        <v>62694</v>
      </c>
      <c r="H749" s="19" t="str">
        <f>IF($C749="","",IF($G749="","-",INDEX(SETUP!$B$26:$B$32,MATCH($G749,SETUP!$A$26:$A$32,1))))</f>
        <v>62,000 - 62,999</v>
      </c>
      <c r="I749" s="70">
        <v>3268</v>
      </c>
      <c r="J749" s="19" t="str">
        <f>IF($C749="","",IF($I749="","-",INDEX(SETUP!$B$16:$B$22,MATCH($I749,SETUP!$A$16:$A$22,1))))</f>
        <v>DEVELOPING</v>
      </c>
      <c r="K749" s="19" t="str">
        <f>IF($C749="","",IF($I749="","-",TEXT(INT($I749/1000)*1000,"#,##0")&amp;" - "&amp;TEXT(INT($I749/1000)*1000+999,"#,##0")))</f>
        <v>3,000 - 3,999</v>
      </c>
      <c r="L749" s="71">
        <v>4.07</v>
      </c>
      <c r="M749" s="19" t="str">
        <f>IF($C749="","",IF($L749="","-",INDEX(SETUP!$B$36:$B$42,MATCH($L749,SETUP!$A$36:$A$42,1))))</f>
        <v>4k - 5k</v>
      </c>
      <c r="N749" s="21">
        <f>IF($C749="","",IF(OR($G749="",$I749=""),"",ROUND(100*(SETUP!$B$4*MIN(1,$I749/SETUP!$B$9)+SETUP!$B$5*MAX(0,MIN(1,($G749-SETUP!$B$10)/(SETUP!$B$11-SETUP!$B$10)))+SETUP!$B$6*MIN(1,IF($L749="",0,$L749)/SETUP!$B$12)),1)))</f>
        <v>41.3</v>
      </c>
      <c r="O749" s="19" t="str">
        <f>IF($C749="","",IF($N749="","-",INDEX(SETUP!$B$46:$B$51,MATCH($N749,SETUP!$A$46:$A$51,1))))</f>
        <v>B</v>
      </c>
      <c r="P749" s="19">
        <f>IF($C749="","",IF($I749="","",RANK($I749,$I$4:$I$1463)+COUNTIF($I$4:$I749,$I749)-1))</f>
        <v>804</v>
      </c>
      <c r="Q749" s="19">
        <f>IF($C749="","",COUNTIFS($B$4:$B$1463,$B749,$X$4:$X$1463,"&gt;"&amp;$X749)+COUNTIFS($B$4:$B749,$B749,$X$4:$X749,"="&amp;$X749))</f>
        <v>80</v>
      </c>
      <c r="R749" s="75">
        <f>IF($C749="","",IF($I749="","",ROUND(COUNTIF($I$4:$I$1463,"&lt;"&amp;$I749)/COUNT($I$4:$I$1463),3)))</f>
        <v>0.39300000000000002</v>
      </c>
      <c r="S749" s="19" t="str">
        <f>IF($C749="","",IF($G749="","Name only",IF(OR($I749="",$L749=""),"Partial","Complete")))</f>
        <v>Complete</v>
      </c>
      <c r="T749" s="1" t="str">
        <f>IF($C749="","",TRIM(IF(COUNTIF($C$4:$C$1463,$C749)&gt;1,"Dup name; ","")&amp;IF(AND($G749&lt;&gt;"",$G749&lt;55000),"Low CR - verify; ","")&amp;IF(AND($L749&lt;&gt;"",$L749&gt;15),"Secondary - verify; ","")&amp;IF($E749="","No class; ","")))</f>
        <v/>
      </c>
      <c r="U749" s="68" t="s">
        <v>268</v>
      </c>
      <c r="V749" s="68" t="s">
        <v>66</v>
      </c>
      <c r="W749" s="68" t="s">
        <v>285</v>
      </c>
      <c r="X749" s="76">
        <f t="shared" si="57"/>
        <v>3268</v>
      </c>
      <c r="Y749" s="1" t="str">
        <f t="shared" si="58"/>
        <v>FUCT|80</v>
      </c>
      <c r="Z749" s="19">
        <f>IF($C749="","",IF($G749="","",RANK($G749,$G$4:$G$1463)+COUNTIF($G$4:$G749,$G749)-1))</f>
        <v>566</v>
      </c>
      <c r="AA749" s="19">
        <f>IF($C749="","",IF($N749="","",RANK($N749,$N$4:$N$1463)+COUNTIF($N$4:$N749,$N749)-1))</f>
        <v>762</v>
      </c>
      <c r="AB749" s="1" t="str">
        <f>IF($C749="","",IF($E749="","",$E749&amp;"#"&amp;(COUNTIFS($E$4:$E$1463,$E749,$X$4:$X$1463,"&gt;"&amp;$X749)+COUNTIFS($E$4:$E749,$E749,$X$4:$X749,"="&amp;$X749))))</f>
        <v>BARBARIAN#143</v>
      </c>
      <c r="AC749" s="1" t="str">
        <f>IF($C749="","",$B749&amp;"@"&amp;(COUNTIFS($B$4:$B$1463,$B749,$C$4:$C$1463,"&lt;"&amp;$C749)+COUNTIFS($B$4:$B749,$B749,$C$4:$C749,$C749)))</f>
        <v>FUCT@55</v>
      </c>
      <c r="AD749" s="1">
        <f t="shared" si="59"/>
        <v>746</v>
      </c>
      <c r="AE749" s="1" t="s">
        <v>1823</v>
      </c>
      <c r="AF749" s="76">
        <f t="shared" si="60"/>
        <v>62694</v>
      </c>
      <c r="AG749" s="77">
        <f t="shared" si="61"/>
        <v>4.07</v>
      </c>
      <c r="AH749" s="1" t="str">
        <f>IF($C749="","",$B749&amp;"|"&amp;(COUNTIFS($B$4:$B$1463,$B749,$AF$4:$AF$1463,"&gt;"&amp;$AF749)+COUNTIFS($B$4:$B749,$B749,$AF$4:$AF749,"="&amp;$AF749)))</f>
        <v>FUCT|60</v>
      </c>
      <c r="AI749" s="1" t="str">
        <f>IF($C749="","",$B749&amp;"|"&amp;(COUNTIFS($B$4:$B$1463,$B749,$AG$4:$AG$1463,"&gt;"&amp;$AG749)+COUNTIFS($B$4:$B749,$B749,$AG$4:$AG749,"="&amp;$AG749)))</f>
        <v>FUCT|75</v>
      </c>
    </row>
    <row r="750" spans="1:35" hidden="1">
      <c r="A750" s="69" t="s">
        <v>109</v>
      </c>
      <c r="B750" s="69" t="s">
        <v>117</v>
      </c>
      <c r="C750" s="63" t="s">
        <v>1824</v>
      </c>
      <c r="D750" s="69"/>
      <c r="E750" s="68" t="s">
        <v>80</v>
      </c>
      <c r="F750" s="15" t="str">
        <f>IF($C750="","",IF($E750="","-",IFERROR(INDEX(SETUP!$B$55:$B$64,MATCH($E750,SETUP!$A$55:$A$64,0)),"Other")))</f>
        <v>Ranged DPS</v>
      </c>
      <c r="G750" s="70">
        <v>62502</v>
      </c>
      <c r="H750" s="15" t="str">
        <f>IF($C750="","",IF($G750="","-",INDEX(SETUP!$B$26:$B$32,MATCH($G750,SETUP!$A$26:$A$32,1))))</f>
        <v>62,000 - 62,999</v>
      </c>
      <c r="I750" s="70">
        <v>2618</v>
      </c>
      <c r="J750" s="15" t="str">
        <f>IF($C750="","",IF($I750="","-",INDEX(SETUP!$B$16:$B$22,MATCH($I750,SETUP!$A$16:$A$22,1))))</f>
        <v>DEVELOPING</v>
      </c>
      <c r="K750" s="15" t="str">
        <f>IF($C750="","",IF($I750="","-",TEXT(INT($I750/1000)*1000,"#,##0")&amp;" - "&amp;TEXT(INT($I750/1000)*1000+999,"#,##0")))</f>
        <v>2,000 - 2,999</v>
      </c>
      <c r="L750" s="71">
        <v>3.4</v>
      </c>
      <c r="M750" s="15" t="str">
        <f>IF($C750="","",IF($L750="","-",INDEX(SETUP!$B$36:$B$42,MATCH($L750,SETUP!$A$36:$A$42,1))))</f>
        <v>3k - 4k</v>
      </c>
      <c r="N750" s="17">
        <f>IF($C750="","",IF(OR($G750="",$I750=""),"",ROUND(100*(SETUP!$B$4*MIN(1,$I750/SETUP!$B$9)+SETUP!$B$5*MAX(0,MIN(1,($G750-SETUP!$B$10)/(SETUP!$B$11-SETUP!$B$10)))+SETUP!$B$6*MIN(1,IF($L750="",0,$L750)/SETUP!$B$12)),1)))</f>
        <v>36.799999999999997</v>
      </c>
      <c r="O750" s="15" t="str">
        <f>IF($C750="","",IF($N750="","-",INDEX(SETUP!$B$46:$B$51,MATCH($N750,SETUP!$A$46:$A$51,1))))</f>
        <v>B</v>
      </c>
      <c r="P750" s="15">
        <f>IF($C750="","",IF($I750="","",RANK($I750,$I$4:$I$1463)+COUNTIF($I$4:$I750,$I750)-1))</f>
        <v>977</v>
      </c>
      <c r="Q750" s="15">
        <f>IF($C750="","",COUNTIFS($B$4:$B$1463,$B750,$X$4:$X$1463,"&gt;"&amp;$X750)+COUNTIFS($B$4:$B750,$B750,$X$4:$X750,"="&amp;$X750))</f>
        <v>29</v>
      </c>
      <c r="R750" s="72">
        <f>IF($C750="","",IF($I750="","",ROUND(COUNTIF($I$4:$I$1463,"&lt;"&amp;$I750)/COUNT($I$4:$I$1463),3)))</f>
        <v>0.26300000000000001</v>
      </c>
      <c r="S750" s="15" t="str">
        <f>IF($C750="","",IF($G750="","Name only",IF(OR($I750="",$L750=""),"Partial","Complete")))</f>
        <v>Complete</v>
      </c>
      <c r="T750" s="41" t="str">
        <f>IF($C750="","",TRIM(IF(COUNTIF($C$4:$C$1463,$C750)&gt;1,"Dup name; ","")&amp;IF(AND($G750&lt;&gt;"",$G750&lt;55000),"Low CR - verify; ","")&amp;IF(AND($L750&lt;&gt;"",$L750&gt;15),"Secondary - verify; ","")&amp;IF($E750="","No class; ","")))</f>
        <v/>
      </c>
      <c r="U750" s="68"/>
      <c r="V750" s="68"/>
      <c r="W750" s="68"/>
      <c r="X750" s="73">
        <f t="shared" si="57"/>
        <v>2618</v>
      </c>
      <c r="Y750" s="41" t="str">
        <f t="shared" si="58"/>
        <v>VENDETTA|29</v>
      </c>
      <c r="Z750" s="15">
        <f>IF($C750="","",IF($G750="","",RANK($G750,$G$4:$G$1463)+COUNTIF($G$4:$G750,$G750)-1))</f>
        <v>653</v>
      </c>
      <c r="AA750" s="15">
        <f>IF($C750="","",IF($N750="","",RANK($N750,$N$4:$N$1463)+COUNTIF($N$4:$N750,$N750)-1))</f>
        <v>937</v>
      </c>
      <c r="AB750" s="41" t="str">
        <f>IF($C750="","",IF($E750="","",$E750&amp;"#"&amp;(COUNTIFS($E$4:$E$1463,$E750,$X$4:$X$1463,"&gt;"&amp;$X750)+COUNTIFS($E$4:$E750,$E750,$X$4:$X750,"="&amp;$X750))))</f>
        <v>WIZARD#69</v>
      </c>
      <c r="AC750" s="41" t="str">
        <f>IF($C750="","",$B750&amp;"@"&amp;(COUNTIFS($B$4:$B$1463,$B750,$C$4:$C$1463,"&lt;"&amp;$C750)+COUNTIFS($B$4:$B750,$B750,$C$4:$C750,$C750)))</f>
        <v>VENDETTA@57</v>
      </c>
      <c r="AD750" s="41">
        <f t="shared" si="59"/>
        <v>747</v>
      </c>
      <c r="AE750" s="41" t="s">
        <v>1825</v>
      </c>
      <c r="AF750" s="73">
        <f t="shared" si="60"/>
        <v>62502</v>
      </c>
      <c r="AG750" s="74">
        <f t="shared" si="61"/>
        <v>3.4</v>
      </c>
      <c r="AH750" s="41" t="str">
        <f>IF($C750="","",$B750&amp;"|"&amp;(COUNTIFS($B$4:$B$1463,$B750,$AF$4:$AF$1463,"&gt;"&amp;$AF750)+COUNTIFS($B$4:$B750,$B750,$AF$4:$AF750,"="&amp;$AF750)))</f>
        <v>VENDETTA|20</v>
      </c>
      <c r="AI750" s="41" t="str">
        <f>IF($C750="","",$B750&amp;"|"&amp;(COUNTIFS($B$4:$B$1463,$B750,$AG$4:$AG$1463,"&gt;"&amp;$AG750)+COUNTIFS($B$4:$B750,$B750,$AG$4:$AG750,"="&amp;$AG750)))</f>
        <v>VENDETTA|62</v>
      </c>
    </row>
    <row r="751" spans="1:35" hidden="1">
      <c r="A751" s="69" t="s">
        <v>109</v>
      </c>
      <c r="B751" s="69" t="s">
        <v>114</v>
      </c>
      <c r="C751" s="63" t="s">
        <v>1826</v>
      </c>
      <c r="D751" s="69"/>
      <c r="E751" s="68" t="s">
        <v>72</v>
      </c>
      <c r="F751" s="19" t="str">
        <f>IF($C751="","",IF($E751="","-",IFERROR(INDEX(SETUP!$B$55:$B$64,MATCH($E751,SETUP!$A$55:$A$64,0)),"Other")))</f>
        <v>Frontline</v>
      </c>
      <c r="G751" s="70">
        <v>62024</v>
      </c>
      <c r="H751" s="19" t="str">
        <f>IF($C751="","",IF($G751="","-",INDEX(SETUP!$B$26:$B$32,MATCH($G751,SETUP!$A$26:$A$32,1))))</f>
        <v>62,000 - 62,999</v>
      </c>
      <c r="I751" s="70">
        <v>4165</v>
      </c>
      <c r="J751" s="19" t="str">
        <f>IF($C751="","",IF($I751="","-",INDEX(SETUP!$B$16:$B$22,MATCH($I751,SETUP!$A$16:$A$22,1))))</f>
        <v>CORE</v>
      </c>
      <c r="K751" s="19" t="str">
        <f>IF($C751="","",IF($I751="","-",TEXT(INT($I751/1000)*1000,"#,##0")&amp;" - "&amp;TEXT(INT($I751/1000)*1000+999,"#,##0")))</f>
        <v>4,000 - 4,999</v>
      </c>
      <c r="L751" s="71">
        <v>4.63</v>
      </c>
      <c r="M751" s="19" t="str">
        <f>IF($C751="","",IF($L751="","-",INDEX(SETUP!$B$36:$B$42,MATCH($L751,SETUP!$A$36:$A$42,1))))</f>
        <v>4k - 5k</v>
      </c>
      <c r="N751" s="21">
        <f>IF($C751="","",IF(OR($G751="",$I751=""),"",ROUND(100*(SETUP!$B$4*MIN(1,$I751/SETUP!$B$9)+SETUP!$B$5*MAX(0,MIN(1,($G751-SETUP!$B$10)/(SETUP!$B$11-SETUP!$B$10)))+SETUP!$B$6*MIN(1,IF($L751="",0,$L751)/SETUP!$B$12)),1)))</f>
        <v>44.4</v>
      </c>
      <c r="O751" s="19" t="str">
        <f>IF($C751="","",IF($N751="","-",INDEX(SETUP!$B$46:$B$51,MATCH($N751,SETUP!$A$46:$A$51,1))))</f>
        <v>B</v>
      </c>
      <c r="P751" s="19">
        <f>IF($C751="","",IF($I751="","",RANK($I751,$I$4:$I$1463)+COUNTIF($I$4:$I751,$I751)-1))</f>
        <v>563</v>
      </c>
      <c r="Q751" s="19">
        <f>IF($C751="","",COUNTIFS($B$4:$B$1463,$B751,$X$4:$X$1463,"&gt;"&amp;$X751)+COUNTIFS($B$4:$B751,$B751,$X$4:$X751,"="&amp;$X751))</f>
        <v>12</v>
      </c>
      <c r="R751" s="75">
        <f>IF($C751="","",IF($I751="","",ROUND(COUNTIF($I$4:$I$1463,"&lt;"&amp;$I751)/COUNT($I$4:$I$1463),3)))</f>
        <v>0.57499999999999996</v>
      </c>
      <c r="S751" s="19" t="str">
        <f>IF($C751="","",IF($G751="","Name only",IF(OR($I751="",$L751=""),"Partial","Complete")))</f>
        <v>Complete</v>
      </c>
      <c r="T751" s="1" t="str">
        <f>IF($C751="","",TRIM(IF(COUNTIF($C$4:$C$1463,$C751)&gt;1,"Dup name; ","")&amp;IF(AND($G751&lt;&gt;"",$G751&lt;55000),"Low CR - verify; ","")&amp;IF(AND($L751&lt;&gt;"",$L751&gt;15),"Secondary - verify; ","")&amp;IF($E751="","No class; ","")))</f>
        <v/>
      </c>
      <c r="U751" s="68"/>
      <c r="V751" s="68"/>
      <c r="W751" s="68"/>
      <c r="X751" s="76">
        <f t="shared" si="57"/>
        <v>4165</v>
      </c>
      <c r="Y751" s="1" t="str">
        <f t="shared" si="58"/>
        <v>EMERALD LEAF TRIBE|12</v>
      </c>
      <c r="Z751" s="19">
        <f>IF($C751="","",IF($G751="","",RANK($G751,$G$4:$G$1463)+COUNTIF($G$4:$G751,$G751)-1))</f>
        <v>829</v>
      </c>
      <c r="AA751" s="19">
        <f>IF($C751="","",IF($N751="","",RANK($N751,$N$4:$N$1463)+COUNTIF($N$4:$N751,$N751)-1))</f>
        <v>647</v>
      </c>
      <c r="AB751" s="1" t="str">
        <f>IF($C751="","",IF($E751="","",$E751&amp;"#"&amp;(COUNTIFS($E$4:$E$1463,$E751,$X$4:$X$1463,"&gt;"&amp;$X751)+COUNTIFS($E$4:$E751,$E751,$X$4:$X751,"="&amp;$X751))))</f>
        <v>BLOOD KNIGHT#34</v>
      </c>
      <c r="AC751" s="1" t="str">
        <f>IF($C751="","",$B751&amp;"@"&amp;(COUNTIFS($B$4:$B$1463,$B751,$C$4:$C$1463,"&lt;"&amp;$C751)+COUNTIFS($B$4:$B751,$B751,$C$4:$C751,$C751)))</f>
        <v>EMERALD LEAF TRIBE@54</v>
      </c>
      <c r="AD751" s="1">
        <f t="shared" si="59"/>
        <v>748</v>
      </c>
      <c r="AE751" s="1" t="s">
        <v>1827</v>
      </c>
      <c r="AF751" s="76">
        <f t="shared" si="60"/>
        <v>62024</v>
      </c>
      <c r="AG751" s="77">
        <f t="shared" si="61"/>
        <v>4.63</v>
      </c>
      <c r="AH751" s="1" t="str">
        <f>IF($C751="","",$B751&amp;"|"&amp;(COUNTIFS($B$4:$B$1463,$B751,$AF$4:$AF$1463,"&gt;"&amp;$AF751)+COUNTIFS($B$4:$B751,$B751,$AF$4:$AF751,"="&amp;$AF751)))</f>
        <v>EMERALD LEAF TRIBE|26</v>
      </c>
      <c r="AI751" s="1" t="str">
        <f>IF($C751="","",$B751&amp;"|"&amp;(COUNTIFS($B$4:$B$1463,$B751,$AG$4:$AG$1463,"&gt;"&amp;$AG751)+COUNTIFS($B$4:$B751,$B751,$AG$4:$AG751,"="&amp;$AG751)))</f>
        <v>EMERALD LEAF TRIBE|15</v>
      </c>
    </row>
    <row r="752" spans="1:35" hidden="1">
      <c r="A752" s="69" t="s">
        <v>109</v>
      </c>
      <c r="B752" s="69" t="s">
        <v>110</v>
      </c>
      <c r="C752" s="63" t="s">
        <v>1828</v>
      </c>
      <c r="D752" s="69"/>
      <c r="E752" s="68" t="s">
        <v>74</v>
      </c>
      <c r="F752" s="15" t="str">
        <f>IF($C752="","",IF($E752="","-",IFERROR(INDEX(SETUP!$B$55:$B$64,MATCH($E752,SETUP!$A$55:$A$64,0)),"Other")))</f>
        <v>Ranged DPS</v>
      </c>
      <c r="G752" s="70">
        <v>62330</v>
      </c>
      <c r="H752" s="15" t="str">
        <f>IF($C752="","",IF($G752="","-",INDEX(SETUP!$B$26:$B$32,MATCH($G752,SETUP!$A$26:$A$32,1))))</f>
        <v>62,000 - 62,999</v>
      </c>
      <c r="I752" s="70">
        <v>3609</v>
      </c>
      <c r="J752" s="15" t="str">
        <f>IF($C752="","",IF($I752="","-",INDEX(SETUP!$B$16:$B$22,MATCH($I752,SETUP!$A$16:$A$22,1))))</f>
        <v>DEVELOPING</v>
      </c>
      <c r="K752" s="15" t="str">
        <f>IF($C752="","",IF($I752="","-",TEXT(INT($I752/1000)*1000,"#,##0")&amp;" - "&amp;TEXT(INT($I752/1000)*1000+999,"#,##0")))</f>
        <v>3,000 - 3,999</v>
      </c>
      <c r="L752" s="71">
        <v>3.9</v>
      </c>
      <c r="M752" s="15" t="str">
        <f>IF($C752="","",IF($L752="","-",INDEX(SETUP!$B$36:$B$42,MATCH($L752,SETUP!$A$36:$A$42,1))))</f>
        <v>3k - 4k</v>
      </c>
      <c r="N752" s="17">
        <f>IF($C752="","",IF(OR($G752="",$I752=""),"",ROUND(100*(SETUP!$B$4*MIN(1,$I752/SETUP!$B$9)+SETUP!$B$5*MAX(0,MIN(1,($G752-SETUP!$B$10)/(SETUP!$B$11-SETUP!$B$10)))+SETUP!$B$6*MIN(1,IF($L752="",0,$L752)/SETUP!$B$12)),1)))</f>
        <v>41.5</v>
      </c>
      <c r="O752" s="15" t="str">
        <f>IF($C752="","",IF($N752="","-",INDEX(SETUP!$B$46:$B$51,MATCH($N752,SETUP!$A$46:$A$51,1))))</f>
        <v>B</v>
      </c>
      <c r="P752" s="15">
        <f>IF($C752="","",IF($I752="","",RANK($I752,$I$4:$I$1463)+COUNTIF($I$4:$I752,$I752)-1))</f>
        <v>698</v>
      </c>
      <c r="Q752" s="15">
        <f>IF($C752="","",COUNTIFS($B$4:$B$1463,$B752,$X$4:$X$1463,"&gt;"&amp;$X752)+COUNTIFS($B$4:$B752,$B752,$X$4:$X752,"="&amp;$X752))</f>
        <v>70</v>
      </c>
      <c r="R752" s="72">
        <f>IF($C752="","",IF($I752="","",ROUND(COUNTIF($I$4:$I$1463,"&lt;"&amp;$I752)/COUNT($I$4:$I$1463),3)))</f>
        <v>0.47299999999999998</v>
      </c>
      <c r="S752" s="15" t="str">
        <f>IF($C752="","",IF($G752="","Name only",IF(OR($I752="",$L752=""),"Partial","Complete")))</f>
        <v>Complete</v>
      </c>
      <c r="T752" s="41" t="str">
        <f>IF($C752="","",TRIM(IF(COUNTIF($C$4:$C$1463,$C752)&gt;1,"Dup name; ","")&amp;IF(AND($G752&lt;&gt;"",$G752&lt;55000),"Low CR - verify; ","")&amp;IF(AND($L752&lt;&gt;"",$L752&gt;15),"Secondary - verify; ","")&amp;IF($E752="","No class; ","")))</f>
        <v/>
      </c>
      <c r="U752" s="68"/>
      <c r="V752" s="68"/>
      <c r="W752" s="68"/>
      <c r="X752" s="73">
        <f t="shared" si="57"/>
        <v>3609</v>
      </c>
      <c r="Y752" s="41" t="str">
        <f t="shared" si="58"/>
        <v>AZUKI|70</v>
      </c>
      <c r="Z752" s="15">
        <f>IF($C752="","",IF($G752="","",RANK($G752,$G$4:$G$1463)+COUNTIF($G$4:$G752,$G752)-1))</f>
        <v>715</v>
      </c>
      <c r="AA752" s="15">
        <f>IF($C752="","",IF($N752="","",RANK($N752,$N$4:$N$1463)+COUNTIF($N$4:$N752,$N752)-1))</f>
        <v>757</v>
      </c>
      <c r="AB752" s="41" t="str">
        <f>IF($C752="","",IF($E752="","",$E752&amp;"#"&amp;(COUNTIFS($E$4:$E$1463,$E752,$X$4:$X$1463,"&gt;"&amp;$X752)+COUNTIFS($E$4:$E752,$E752,$X$4:$X752,"="&amp;$X752))))</f>
        <v>DEMON HUNTER#114</v>
      </c>
      <c r="AC752" s="41" t="str">
        <f>IF($C752="","",$B752&amp;"@"&amp;(COUNTIFS($B$4:$B$1463,$B752,$C$4:$C$1463,"&lt;"&amp;$C752)+COUNTIFS($B$4:$B752,$B752,$C$4:$C752,$C752)))</f>
        <v>AZUKI@57</v>
      </c>
      <c r="AD752" s="41">
        <f t="shared" si="59"/>
        <v>749</v>
      </c>
      <c r="AE752" s="41" t="s">
        <v>1829</v>
      </c>
      <c r="AF752" s="73">
        <f t="shared" si="60"/>
        <v>62330</v>
      </c>
      <c r="AG752" s="74">
        <f t="shared" si="61"/>
        <v>3.9</v>
      </c>
      <c r="AH752" s="41" t="str">
        <f>IF($C752="","",$B752&amp;"|"&amp;(COUNTIFS($B$4:$B$1463,$B752,$AF$4:$AF$1463,"&gt;"&amp;$AF752)+COUNTIFS($B$4:$B752,$B752,$AF$4:$AF752,"="&amp;$AF752)))</f>
        <v>AZUKI|62</v>
      </c>
      <c r="AI752" s="41" t="str">
        <f>IF($C752="","",$B752&amp;"|"&amp;(COUNTIFS($B$4:$B$1463,$B752,$AG$4:$AG$1463,"&gt;"&amp;$AG752)+COUNTIFS($B$4:$B752,$B752,$AG$4:$AG752,"="&amp;$AG752)))</f>
        <v>AZUKI|97</v>
      </c>
    </row>
    <row r="753" spans="1:35" hidden="1">
      <c r="A753" s="69" t="s">
        <v>106</v>
      </c>
      <c r="B753" s="69" t="s">
        <v>86</v>
      </c>
      <c r="C753" s="63" t="s">
        <v>1830</v>
      </c>
      <c r="D753" s="69"/>
      <c r="E753" s="68" t="s">
        <v>75</v>
      </c>
      <c r="F753" s="19" t="str">
        <f>IF($C753="","",IF($E753="","-",IFERROR(INDEX(SETUP!$B$55:$B$64,MATCH($E753,SETUP!$A$55:$A$64,0)),"Other")))</f>
        <v>Support</v>
      </c>
      <c r="G753" s="70">
        <v>63454</v>
      </c>
      <c r="H753" s="19" t="str">
        <f>IF($C753="","",IF($G753="","-",INDEX(SETUP!$B$26:$B$32,MATCH($G753,SETUP!$A$26:$A$32,1))))</f>
        <v>63,000 - 63,999</v>
      </c>
      <c r="I753" s="70">
        <v>4508</v>
      </c>
      <c r="J753" s="19" t="str">
        <f>IF($C753="","",IF($I753="","-",INDEX(SETUP!$B$16:$B$22,MATCH($I753,SETUP!$A$16:$A$22,1))))</f>
        <v>CORE</v>
      </c>
      <c r="K753" s="19" t="str">
        <f>IF($C753="","",IF($I753="","-",TEXT(INT($I753/1000)*1000,"#,##0")&amp;" - "&amp;TEXT(INT($I753/1000)*1000+999,"#,##0")))</f>
        <v>4,000 - 4,999</v>
      </c>
      <c r="L753" s="71">
        <v>4.2699999999999996</v>
      </c>
      <c r="M753" s="19" t="str">
        <f>IF($C753="","",IF($L753="","-",INDEX(SETUP!$B$36:$B$42,MATCH($L753,SETUP!$A$36:$A$42,1))))</f>
        <v>4k - 5k</v>
      </c>
      <c r="N753" s="21">
        <f>IF($C753="","",IF(OR($G753="",$I753=""),"",ROUND(100*(SETUP!$B$4*MIN(1,$I753/SETUP!$B$9)+SETUP!$B$5*MAX(0,MIN(1,($G753-SETUP!$B$10)/(SETUP!$B$11-SETUP!$B$10)))+SETUP!$B$6*MIN(1,IF($L753="",0,$L753)/SETUP!$B$12)),1)))</f>
        <v>49</v>
      </c>
      <c r="O753" s="19" t="str">
        <f>IF($C753="","",IF($N753="","-",INDEX(SETUP!$B$46:$B$51,MATCH($N753,SETUP!$A$46:$A$51,1))))</f>
        <v>B</v>
      </c>
      <c r="P753" s="19">
        <f>IF($C753="","",IF($I753="","",RANK($I753,$I$4:$I$1463)+COUNTIF($I$4:$I753,$I753)-1))</f>
        <v>494</v>
      </c>
      <c r="Q753" s="19">
        <f>IF($C753="","",COUNTIFS($B$4:$B$1463,$B753,$X$4:$X$1463,"&gt;"&amp;$X753)+COUNTIFS($B$4:$B753,$B753,$X$4:$X753,"="&amp;$X753))</f>
        <v>73</v>
      </c>
      <c r="R753" s="75">
        <f>IF($C753="","",IF($I753="","",ROUND(COUNTIF($I$4:$I$1463,"&lt;"&amp;$I753)/COUNT($I$4:$I$1463),3)))</f>
        <v>0.627</v>
      </c>
      <c r="S753" s="19" t="str">
        <f>IF($C753="","",IF($G753="","Name only",IF(OR($I753="",$L753=""),"Partial","Complete")))</f>
        <v>Complete</v>
      </c>
      <c r="T753" s="1" t="str">
        <f>IF($C753="","",TRIM(IF(COUNTIF($C$4:$C$1463,$C753)&gt;1,"Dup name; ","")&amp;IF(AND($G753&lt;&gt;"",$G753&lt;55000),"Low CR - verify; ","")&amp;IF(AND($L753&lt;&gt;"",$L753&gt;15),"Secondary - verify; ","")&amp;IF($E753="","No class; ","")))</f>
        <v/>
      </c>
      <c r="U753" s="68"/>
      <c r="V753" s="68"/>
      <c r="W753" s="68"/>
      <c r="X753" s="76">
        <f t="shared" si="57"/>
        <v>4508</v>
      </c>
      <c r="Y753" s="1" t="str">
        <f t="shared" si="58"/>
        <v>VANGUARD|73</v>
      </c>
      <c r="Z753" s="19">
        <f>IF($C753="","",IF($G753="","",RANK($G753,$G$4:$G$1463)+COUNTIF($G$4:$G753,$G753)-1))</f>
        <v>203</v>
      </c>
      <c r="AA753" s="19">
        <f>IF($C753="","",IF($N753="","",RANK($N753,$N$4:$N$1463)+COUNTIF($N$4:$N753,$N753)-1))</f>
        <v>488</v>
      </c>
      <c r="AB753" s="1" t="str">
        <f>IF($C753="","",IF($E753="","",$E753&amp;"#"&amp;(COUNTIFS($E$4:$E$1463,$E753,$X$4:$X$1463,"&gt;"&amp;$X753)+COUNTIFS($E$4:$E753,$E753,$X$4:$X753,"="&amp;$X753))))</f>
        <v>DRUID#24</v>
      </c>
      <c r="AC753" s="1" t="str">
        <f>IF($C753="","",$B753&amp;"@"&amp;(COUNTIFS($B$4:$B$1463,$B753,$C$4:$C$1463,"&lt;"&amp;$C753)+COUNTIFS($B$4:$B753,$B753,$C$4:$C753,$C753)))</f>
        <v>VANGUARD@57</v>
      </c>
      <c r="AD753" s="1">
        <f t="shared" si="59"/>
        <v>750</v>
      </c>
      <c r="AE753" s="1" t="s">
        <v>1831</v>
      </c>
      <c r="AF753" s="76">
        <f t="shared" si="60"/>
        <v>63454</v>
      </c>
      <c r="AG753" s="77">
        <f t="shared" si="61"/>
        <v>4.2699999999999996</v>
      </c>
      <c r="AH753" s="1" t="str">
        <f>IF($C753="","",$B753&amp;"|"&amp;(COUNTIFS($B$4:$B$1463,$B753,$AF$4:$AF$1463,"&gt;"&amp;$AF753)+COUNTIFS($B$4:$B753,$B753,$AF$4:$AF753,"="&amp;$AF753)))</f>
        <v>VANGUARD|42</v>
      </c>
      <c r="AI753" s="1" t="str">
        <f>IF($C753="","",$B753&amp;"|"&amp;(COUNTIFS($B$4:$B$1463,$B753,$AG$4:$AG$1463,"&gt;"&amp;$AG753)+COUNTIFS($B$4:$B753,$B753,$AG$4:$AG753,"="&amp;$AG753)))</f>
        <v>VANGUARD|87</v>
      </c>
    </row>
    <row r="754" spans="1:35" hidden="1">
      <c r="A754" s="69" t="s">
        <v>109</v>
      </c>
      <c r="B754" s="69" t="s">
        <v>115</v>
      </c>
      <c r="C754" s="63" t="s">
        <v>1832</v>
      </c>
      <c r="D754" s="69"/>
      <c r="E754" s="68" t="s">
        <v>71</v>
      </c>
      <c r="F754" s="15" t="str">
        <f>IF($C754="","",IF($E754="","-",IFERROR(INDEX(SETUP!$B$55:$B$64,MATCH($E754,SETUP!$A$55:$A$64,0)),"Other")))</f>
        <v>Frontline</v>
      </c>
      <c r="G754" s="70">
        <v>62248</v>
      </c>
      <c r="H754" s="15" t="str">
        <f>IF($C754="","",IF($G754="","-",INDEX(SETUP!$B$26:$B$32,MATCH($G754,SETUP!$A$26:$A$32,1))))</f>
        <v>62,000 - 62,999</v>
      </c>
      <c r="I754" s="70">
        <v>2848</v>
      </c>
      <c r="J754" s="15" t="str">
        <f>IF($C754="","",IF($I754="","-",INDEX(SETUP!$B$16:$B$22,MATCH($I754,SETUP!$A$16:$A$22,1))))</f>
        <v>DEVELOPING</v>
      </c>
      <c r="K754" s="15" t="str">
        <f>IF($C754="","",IF($I754="","-",TEXT(INT($I754/1000)*1000,"#,##0")&amp;" - "&amp;TEXT(INT($I754/1000)*1000+999,"#,##0")))</f>
        <v>2,000 - 2,999</v>
      </c>
      <c r="L754" s="71">
        <v>4.5</v>
      </c>
      <c r="M754" s="15" t="str">
        <f>IF($C754="","",IF($L754="","-",INDEX(SETUP!$B$36:$B$42,MATCH($L754,SETUP!$A$36:$A$42,1))))</f>
        <v>4k - 5k</v>
      </c>
      <c r="N754" s="17">
        <f>IF($C754="","",IF(OR($G754="",$I754=""),"",ROUND(100*(SETUP!$B$4*MIN(1,$I754/SETUP!$B$9)+SETUP!$B$5*MAX(0,MIN(1,($G754-SETUP!$B$10)/(SETUP!$B$11-SETUP!$B$10)))+SETUP!$B$6*MIN(1,IF($L754="",0,$L754)/SETUP!$B$12)),1)))</f>
        <v>39</v>
      </c>
      <c r="O754" s="15" t="str">
        <f>IF($C754="","",IF($N754="","-",INDEX(SETUP!$B$46:$B$51,MATCH($N754,SETUP!$A$46:$A$51,1))))</f>
        <v>B</v>
      </c>
      <c r="P754" s="15">
        <f>IF($C754="","",IF($I754="","",RANK($I754,$I$4:$I$1463)+COUNTIF($I$4:$I754,$I754)-1))</f>
        <v>921</v>
      </c>
      <c r="Q754" s="15">
        <f>IF($C754="","",COUNTIFS($B$4:$B$1463,$B754,$X$4:$X$1463,"&gt;"&amp;$X754)+COUNTIFS($B$4:$B754,$B754,$X$4:$X754,"="&amp;$X754))</f>
        <v>28</v>
      </c>
      <c r="R754" s="72">
        <f>IF($C754="","",IF($I754="","",ROUND(COUNTIF($I$4:$I$1463,"&lt;"&amp;$I754)/COUNT($I$4:$I$1463),3)))</f>
        <v>0.30499999999999999</v>
      </c>
      <c r="S754" s="15" t="str">
        <f>IF($C754="","",IF($G754="","Name only",IF(OR($I754="",$L754=""),"Partial","Complete")))</f>
        <v>Complete</v>
      </c>
      <c r="T754" s="41" t="str">
        <f>IF($C754="","",TRIM(IF(COUNTIF($C$4:$C$1463,$C754)&gt;1,"Dup name; ","")&amp;IF(AND($G754&lt;&gt;"",$G754&lt;55000),"Low CR - verify; ","")&amp;IF(AND($L754&lt;&gt;"",$L754&gt;15),"Secondary - verify; ","")&amp;IF($E754="","No class; ","")))</f>
        <v/>
      </c>
      <c r="U754" s="68"/>
      <c r="V754" s="68"/>
      <c r="W754" s="68"/>
      <c r="X754" s="73">
        <f t="shared" si="57"/>
        <v>2848</v>
      </c>
      <c r="Y754" s="41" t="str">
        <f t="shared" si="58"/>
        <v>SUB ROSA|28</v>
      </c>
      <c r="Z754" s="15">
        <f>IF($C754="","",IF($G754="","",RANK($G754,$G$4:$G$1463)+COUNTIF($G$4:$G754,$G754)-1))</f>
        <v>744</v>
      </c>
      <c r="AA754" s="15">
        <f>IF($C754="","",IF($N754="","",RANK($N754,$N$4:$N$1463)+COUNTIF($N$4:$N754,$N754)-1))</f>
        <v>861</v>
      </c>
      <c r="AB754" s="41" t="str">
        <f>IF($C754="","",IF($E754="","",$E754&amp;"#"&amp;(COUNTIFS($E$4:$E$1463,$E754,$X$4:$X$1463,"&gt;"&amp;$X754)+COUNTIFS($E$4:$E754,$E754,$X$4:$X754,"="&amp;$X754))))</f>
        <v>BARBARIAN#160</v>
      </c>
      <c r="AC754" s="41" t="str">
        <f>IF($C754="","",$B754&amp;"@"&amp;(COUNTIFS($B$4:$B$1463,$B754,$C$4:$C$1463,"&lt;"&amp;$C754)+COUNTIFS($B$4:$B754,$B754,$C$4:$C754,$C754)))</f>
        <v>SUB ROSA@49</v>
      </c>
      <c r="AD754" s="41">
        <f t="shared" si="59"/>
        <v>751</v>
      </c>
      <c r="AE754" s="41" t="s">
        <v>630</v>
      </c>
      <c r="AF754" s="73">
        <f t="shared" si="60"/>
        <v>62248</v>
      </c>
      <c r="AG754" s="74">
        <f t="shared" si="61"/>
        <v>4.5</v>
      </c>
      <c r="AH754" s="41" t="str">
        <f>IF($C754="","",$B754&amp;"|"&amp;(COUNTIFS($B$4:$B$1463,$B754,$AF$4:$AF$1463,"&gt;"&amp;$AF754)+COUNTIFS($B$4:$B754,$B754,$AF$4:$AF754,"="&amp;$AF754)))</f>
        <v>SUB ROSA|25</v>
      </c>
      <c r="AI754" s="41" t="str">
        <f>IF($C754="","",$B754&amp;"|"&amp;(COUNTIFS($B$4:$B$1463,$B754,$AG$4:$AG$1463,"&gt;"&amp;$AG754)+COUNTIFS($B$4:$B754,$B754,$AG$4:$AG754,"="&amp;$AG754)))</f>
        <v>SUB ROSA|20</v>
      </c>
    </row>
    <row r="755" spans="1:35" hidden="1">
      <c r="A755" s="69" t="s">
        <v>106</v>
      </c>
      <c r="B755" s="69" t="s">
        <v>86</v>
      </c>
      <c r="C755" s="63" t="s">
        <v>1833</v>
      </c>
      <c r="D755" s="69"/>
      <c r="E755" s="68" t="s">
        <v>72</v>
      </c>
      <c r="F755" s="19" t="str">
        <f>IF($C755="","",IF($E755="","-",IFERROR(INDEX(SETUP!$B$55:$B$64,MATCH($E755,SETUP!$A$55:$A$64,0)),"Other")))</f>
        <v>Frontline</v>
      </c>
      <c r="G755" s="70">
        <v>63088</v>
      </c>
      <c r="H755" s="19" t="str">
        <f>IF($C755="","",IF($G755="","-",INDEX(SETUP!$B$26:$B$32,MATCH($G755,SETUP!$A$26:$A$32,1))))</f>
        <v>63,000 - 63,999</v>
      </c>
      <c r="I755" s="70">
        <v>4420</v>
      </c>
      <c r="J755" s="19" t="str">
        <f>IF($C755="","",IF($I755="","-",INDEX(SETUP!$B$16:$B$22,MATCH($I755,SETUP!$A$16:$A$22,1))))</f>
        <v>CORE</v>
      </c>
      <c r="K755" s="19" t="str">
        <f>IF($C755="","",IF($I755="","-",TEXT(INT($I755/1000)*1000,"#,##0")&amp;" - "&amp;TEXT(INT($I755/1000)*1000+999,"#,##0")))</f>
        <v>4,000 - 4,999</v>
      </c>
      <c r="L755" s="71">
        <v>4.3</v>
      </c>
      <c r="M755" s="19" t="str">
        <f>IF($C755="","",IF($L755="","-",INDEX(SETUP!$B$36:$B$42,MATCH($L755,SETUP!$A$36:$A$42,1))))</f>
        <v>4k - 5k</v>
      </c>
      <c r="N755" s="21">
        <f>IF($C755="","",IF(OR($G755="",$I755=""),"",ROUND(100*(SETUP!$B$4*MIN(1,$I755/SETUP!$B$9)+SETUP!$B$5*MAX(0,MIN(1,($G755-SETUP!$B$10)/(SETUP!$B$11-SETUP!$B$10)))+SETUP!$B$6*MIN(1,IF($L755="",0,$L755)/SETUP!$B$12)),1)))</f>
        <v>47.7</v>
      </c>
      <c r="O755" s="19" t="str">
        <f>IF($C755="","",IF($N755="","-",INDEX(SETUP!$B$46:$B$51,MATCH($N755,SETUP!$A$46:$A$51,1))))</f>
        <v>B</v>
      </c>
      <c r="P755" s="19">
        <f>IF($C755="","",IF($I755="","",RANK($I755,$I$4:$I$1463)+COUNTIF($I$4:$I755,$I755)-1))</f>
        <v>509</v>
      </c>
      <c r="Q755" s="19">
        <f>IF($C755="","",COUNTIFS($B$4:$B$1463,$B755,$X$4:$X$1463,"&gt;"&amp;$X755)+COUNTIFS($B$4:$B755,$B755,$X$4:$X755,"="&amp;$X755))</f>
        <v>76</v>
      </c>
      <c r="R755" s="75">
        <f>IF($C755="","",IF($I755="","",ROUND(COUNTIF($I$4:$I$1463,"&lt;"&amp;$I755)/COUNT($I$4:$I$1463),3)))</f>
        <v>0.61599999999999999</v>
      </c>
      <c r="S755" s="19" t="str">
        <f>IF($C755="","",IF($G755="","Name only",IF(OR($I755="",$L755=""),"Partial","Complete")))</f>
        <v>Complete</v>
      </c>
      <c r="T755" s="1" t="str">
        <f>IF($C755="","",TRIM(IF(COUNTIF($C$4:$C$1463,$C755)&gt;1,"Dup name; ","")&amp;IF(AND($G755&lt;&gt;"",$G755&lt;55000),"Low CR - verify; ","")&amp;IF(AND($L755&lt;&gt;"",$L755&gt;15),"Secondary - verify; ","")&amp;IF($E755="","No class; ","")))</f>
        <v/>
      </c>
      <c r="U755" s="68"/>
      <c r="V755" s="68"/>
      <c r="W755" s="68"/>
      <c r="X755" s="76">
        <f t="shared" si="57"/>
        <v>4420</v>
      </c>
      <c r="Y755" s="1" t="str">
        <f t="shared" si="58"/>
        <v>VANGUARD|76</v>
      </c>
      <c r="Z755" s="19">
        <f>IF($C755="","",IF($G755="","",RANK($G755,$G$4:$G$1463)+COUNTIF($G$4:$G755,$G755)-1))</f>
        <v>384</v>
      </c>
      <c r="AA755" s="19">
        <f>IF($C755="","",IF($N755="","",RANK($N755,$N$4:$N$1463)+COUNTIF($N$4:$N755,$N755)-1))</f>
        <v>529</v>
      </c>
      <c r="AB755" s="1" t="str">
        <f>IF($C755="","",IF($E755="","",$E755&amp;"#"&amp;(COUNTIFS($E$4:$E$1463,$E755,$X$4:$X$1463,"&gt;"&amp;$X755)+COUNTIFS($E$4:$E755,$E755,$X$4:$X755,"="&amp;$X755))))</f>
        <v>BLOOD KNIGHT#32</v>
      </c>
      <c r="AC755" s="1" t="str">
        <f>IF($C755="","",$B755&amp;"@"&amp;(COUNTIFS($B$4:$B$1463,$B755,$C$4:$C$1463,"&lt;"&amp;$C755)+COUNTIFS($B$4:$B755,$B755,$C$4:$C755,$C755)))</f>
        <v>VANGUARD@58</v>
      </c>
      <c r="AD755" s="1">
        <f t="shared" si="59"/>
        <v>752</v>
      </c>
      <c r="AE755" s="1" t="s">
        <v>956</v>
      </c>
      <c r="AF755" s="76">
        <f t="shared" si="60"/>
        <v>63088</v>
      </c>
      <c r="AG755" s="77">
        <f t="shared" si="61"/>
        <v>4.3</v>
      </c>
      <c r="AH755" s="1" t="str">
        <f>IF($C755="","",$B755&amp;"|"&amp;(COUNTIFS($B$4:$B$1463,$B755,$AF$4:$AF$1463,"&gt;"&amp;$AF755)+COUNTIFS($B$4:$B755,$B755,$AF$4:$AF755,"="&amp;$AF755)))</f>
        <v>VANGUARD|61</v>
      </c>
      <c r="AI755" s="1" t="str">
        <f>IF($C755="","",$B755&amp;"|"&amp;(COUNTIFS($B$4:$B$1463,$B755,$AG$4:$AG$1463,"&gt;"&amp;$AG755)+COUNTIFS($B$4:$B755,$B755,$AG$4:$AG755,"="&amp;$AG755)))</f>
        <v>VANGUARD|86</v>
      </c>
    </row>
    <row r="756" spans="1:35" hidden="1">
      <c r="A756" s="69" t="s">
        <v>106</v>
      </c>
      <c r="B756" s="69" t="s">
        <v>86</v>
      </c>
      <c r="C756" s="63" t="s">
        <v>1834</v>
      </c>
      <c r="D756" s="69"/>
      <c r="E756" s="68" t="s">
        <v>74</v>
      </c>
      <c r="F756" s="15" t="str">
        <f>IF($C756="","",IF($E756="","-",IFERROR(INDEX(SETUP!$B$55:$B$64,MATCH($E756,SETUP!$A$55:$A$64,0)),"Other")))</f>
        <v>Ranged DPS</v>
      </c>
      <c r="G756" s="70">
        <v>63081</v>
      </c>
      <c r="H756" s="15" t="str">
        <f>IF($C756="","",IF($G756="","-",INDEX(SETUP!$B$26:$B$32,MATCH($G756,SETUP!$A$26:$A$32,1))))</f>
        <v>63,000 - 63,999</v>
      </c>
      <c r="I756" s="70">
        <v>3026</v>
      </c>
      <c r="J756" s="15" t="str">
        <f>IF($C756="","",IF($I756="","-",INDEX(SETUP!$B$16:$B$22,MATCH($I756,SETUP!$A$16:$A$22,1))))</f>
        <v>DEVELOPING</v>
      </c>
      <c r="K756" s="15" t="str">
        <f>IF($C756="","",IF($I756="","-",TEXT(INT($I756/1000)*1000,"#,##0")&amp;" - "&amp;TEXT(INT($I756/1000)*1000+999,"#,##0")))</f>
        <v>3,000 - 3,999</v>
      </c>
      <c r="L756" s="71">
        <v>4.9000000000000004</v>
      </c>
      <c r="M756" s="15" t="str">
        <f>IF($C756="","",IF($L756="","-",INDEX(SETUP!$B$36:$B$42,MATCH($L756,SETUP!$A$36:$A$42,1))))</f>
        <v>4k - 5k</v>
      </c>
      <c r="N756" s="17">
        <f>IF($C756="","",IF(OR($G756="",$I756=""),"",ROUND(100*(SETUP!$B$4*MIN(1,$I756/SETUP!$B$9)+SETUP!$B$5*MAX(0,MIN(1,($G756-SETUP!$B$10)/(SETUP!$B$11-SETUP!$B$10)))+SETUP!$B$6*MIN(1,IF($L756="",0,$L756)/SETUP!$B$12)),1)))</f>
        <v>42.6</v>
      </c>
      <c r="O756" s="15" t="str">
        <f>IF($C756="","",IF($N756="","-",INDEX(SETUP!$B$46:$B$51,MATCH($N756,SETUP!$A$46:$A$51,1))))</f>
        <v>B</v>
      </c>
      <c r="P756" s="15">
        <f>IF($C756="","",IF($I756="","",RANK($I756,$I$4:$I$1463)+COUNTIF($I$4:$I756,$I756)-1))</f>
        <v>871</v>
      </c>
      <c r="Q756" s="15">
        <f>IF($C756="","",COUNTIFS($B$4:$B$1463,$B756,$X$4:$X$1463,"&gt;"&amp;$X756)+COUNTIFS($B$4:$B756,$B756,$X$4:$X756,"="&amp;$X756))</f>
        <v>88</v>
      </c>
      <c r="R756" s="72">
        <f>IF($C756="","",IF($I756="","",ROUND(COUNTIF($I$4:$I$1463,"&lt;"&amp;$I756)/COUNT($I$4:$I$1463),3)))</f>
        <v>0.34300000000000003</v>
      </c>
      <c r="S756" s="15" t="str">
        <f>IF($C756="","",IF($G756="","Name only",IF(OR($I756="",$L756=""),"Partial","Complete")))</f>
        <v>Complete</v>
      </c>
      <c r="T756" s="41" t="str">
        <f>IF($C756="","",TRIM(IF(COUNTIF($C$4:$C$1463,$C756)&gt;1,"Dup name; ","")&amp;IF(AND($G756&lt;&gt;"",$G756&lt;55000),"Low CR - verify; ","")&amp;IF(AND($L756&lt;&gt;"",$L756&gt;15),"Secondary - verify; ","")&amp;IF($E756="","No class; ","")))</f>
        <v/>
      </c>
      <c r="U756" s="68"/>
      <c r="V756" s="68"/>
      <c r="W756" s="68"/>
      <c r="X756" s="73">
        <f t="shared" si="57"/>
        <v>3026</v>
      </c>
      <c r="Y756" s="41" t="str">
        <f t="shared" si="58"/>
        <v>VANGUARD|88</v>
      </c>
      <c r="Z756" s="15">
        <f>IF($C756="","",IF($G756="","",RANK($G756,$G$4:$G$1463)+COUNTIF($G$4:$G756,$G756)-1))</f>
        <v>390</v>
      </c>
      <c r="AA756" s="15">
        <f>IF($C756="","",IF($N756="","",RANK($N756,$N$4:$N$1463)+COUNTIF($N$4:$N756,$N756)-1))</f>
        <v>720</v>
      </c>
      <c r="AB756" s="41" t="str">
        <f>IF($C756="","",IF($E756="","",$E756&amp;"#"&amp;(COUNTIFS($E$4:$E$1463,$E756,$X$4:$X$1463,"&gt;"&amp;$X756)+COUNTIFS($E$4:$E756,$E756,$X$4:$X756,"="&amp;$X756))))</f>
        <v>DEMON HUNTER#139</v>
      </c>
      <c r="AC756" s="41" t="str">
        <f>IF($C756="","",$B756&amp;"@"&amp;(COUNTIFS($B$4:$B$1463,$B756,$C$4:$C$1463,"&lt;"&amp;$C756)+COUNTIFS($B$4:$B756,$B756,$C$4:$C756,$C756)))</f>
        <v>VANGUARD@59</v>
      </c>
      <c r="AD756" s="41">
        <f t="shared" si="59"/>
        <v>753</v>
      </c>
      <c r="AE756" s="41" t="s">
        <v>733</v>
      </c>
      <c r="AF756" s="73">
        <f t="shared" si="60"/>
        <v>63081</v>
      </c>
      <c r="AG756" s="74">
        <f t="shared" si="61"/>
        <v>4.9000000000000004</v>
      </c>
      <c r="AH756" s="41" t="str">
        <f>IF($C756="","",$B756&amp;"|"&amp;(COUNTIFS($B$4:$B$1463,$B756,$AF$4:$AF$1463,"&gt;"&amp;$AF756)+COUNTIFS($B$4:$B756,$B756,$AF$4:$AF756,"="&amp;$AF756)))</f>
        <v>VANGUARD|62</v>
      </c>
      <c r="AI756" s="41" t="str">
        <f>IF($C756="","",$B756&amp;"|"&amp;(COUNTIFS($B$4:$B$1463,$B756,$AG$4:$AG$1463,"&gt;"&amp;$AG756)+COUNTIFS($B$4:$B756,$B756,$AG$4:$AG756,"="&amp;$AG756)))</f>
        <v>VANGUARD|69</v>
      </c>
    </row>
    <row r="757" spans="1:35" hidden="1">
      <c r="A757" s="69" t="s">
        <v>109</v>
      </c>
      <c r="B757" s="69" t="s">
        <v>110</v>
      </c>
      <c r="C757" s="63" t="s">
        <v>1835</v>
      </c>
      <c r="D757" s="69" t="s">
        <v>604</v>
      </c>
      <c r="E757" s="68" t="s">
        <v>73</v>
      </c>
      <c r="F757" s="19" t="str">
        <f>IF($C757="","",IF($E757="","-",IFERROR(INDEX(SETUP!$B$55:$B$64,MATCH($E757,SETUP!$A$55:$A$64,0)),"Other")))</f>
        <v>Frontline</v>
      </c>
      <c r="G757" s="70">
        <v>60555</v>
      </c>
      <c r="H757" s="19" t="str">
        <f>IF($C757="","",IF($G757="","-",INDEX(SETUP!$B$26:$B$32,MATCH($G757,SETUP!$A$26:$A$32,1))))</f>
        <v>60,000 - 60,999</v>
      </c>
      <c r="I757" s="70">
        <v>9175</v>
      </c>
      <c r="J757" s="19" t="str">
        <f>IF($C757="","",IF($I757="","-",INDEX(SETUP!$B$16:$B$22,MATCH($I757,SETUP!$A$16:$A$22,1))))</f>
        <v>ELITE</v>
      </c>
      <c r="K757" s="19" t="str">
        <f>IF($C757="","",IF($I757="","-",TEXT(INT($I757/1000)*1000,"#,##0")&amp;" - "&amp;TEXT(INT($I757/1000)*1000+999,"#,##0")))</f>
        <v>9,000 - 9,999</v>
      </c>
      <c r="L757" s="71">
        <v>7.9</v>
      </c>
      <c r="M757" s="19" t="str">
        <f>IF($C757="","",IF($L757="","-",INDEX(SETUP!$B$36:$B$42,MATCH($L757,SETUP!$A$36:$A$42,1))))</f>
        <v>6k - 8k</v>
      </c>
      <c r="N757" s="21">
        <f>IF($C757="","",IF(OR($G757="",$I757=""),"",ROUND(100*(SETUP!$B$4*MIN(1,$I757/SETUP!$B$9)+SETUP!$B$5*MAX(0,MIN(1,($G757-SETUP!$B$10)/(SETUP!$B$11-SETUP!$B$10)))+SETUP!$B$6*MIN(1,IF($L757="",0,$L757)/SETUP!$B$12)),1)))</f>
        <v>67.8</v>
      </c>
      <c r="O757" s="19" t="str">
        <f>IF($C757="","",IF($N757="","-",INDEX(SETUP!$B$46:$B$51,MATCH($N757,SETUP!$A$46:$A$51,1))))</f>
        <v>S</v>
      </c>
      <c r="P757" s="19">
        <f>IF($C757="","",IF($I757="","",RANK($I757,$I$4:$I$1463)+COUNTIF($I$4:$I757,$I757)-1))</f>
        <v>85</v>
      </c>
      <c r="Q757" s="19">
        <f>IF($C757="","",COUNTIFS($B$4:$B$1463,$B757,$X$4:$X$1463,"&gt;"&amp;$X757)+COUNTIFS($B$4:$B757,$B757,$X$4:$X757,"="&amp;$X757))</f>
        <v>20</v>
      </c>
      <c r="R757" s="75">
        <f>IF($C757="","",IF($I757="","",ROUND(COUNTIF($I$4:$I$1463,"&lt;"&amp;$I757)/COUNT($I$4:$I$1463),3)))</f>
        <v>0.93500000000000005</v>
      </c>
      <c r="S757" s="19" t="str">
        <f>IF($C757="","",IF($G757="","Name only",IF(OR($I757="",$L757=""),"Partial","Complete")))</f>
        <v>Complete</v>
      </c>
      <c r="T757" s="1" t="str">
        <f>IF($C757="","",TRIM(IF(COUNTIF($C$4:$C$1463,$C757)&gt;1,"Dup name; ","")&amp;IF(AND($G757&lt;&gt;"",$G757&lt;55000),"Low CR - verify; ","")&amp;IF(AND($L757&lt;&gt;"",$L757&gt;15),"Secondary - verify; ","")&amp;IF($E757="","No class; ","")))</f>
        <v>Dup name;</v>
      </c>
      <c r="U757" s="68"/>
      <c r="V757" s="68"/>
      <c r="W757" s="68"/>
      <c r="X757" s="76">
        <f t="shared" si="57"/>
        <v>9175</v>
      </c>
      <c r="Y757" s="1" t="str">
        <f t="shared" si="58"/>
        <v>AZUKI|20</v>
      </c>
      <c r="Z757" s="19">
        <f>IF($C757="","",IF($G757="","",RANK($G757,$G$4:$G$1463)+COUNTIF($G$4:$G757,$G757)-1))</f>
        <v>1200</v>
      </c>
      <c r="AA757" s="19">
        <f>IF($C757="","",IF($N757="","",RANK($N757,$N$4:$N$1463)+COUNTIF($N$4:$N757,$N757)-1))</f>
        <v>147</v>
      </c>
      <c r="AB757" s="1" t="str">
        <f>IF($C757="","",IF($E757="","",$E757&amp;"#"&amp;(COUNTIFS($E$4:$E$1463,$E757,$X$4:$X$1463,"&gt;"&amp;$X757)+COUNTIFS($E$4:$E757,$E757,$X$4:$X757,"="&amp;$X757))))</f>
        <v>CRUSADER#14</v>
      </c>
      <c r="AC757" s="1" t="str">
        <f>IF($C757="","",$B757&amp;"@"&amp;(COUNTIFS($B$4:$B$1463,$B757,$C$4:$C$1463,"&lt;"&amp;$C757)+COUNTIFS($B$4:$B757,$B757,$C$4:$C757,$C757)))</f>
        <v>AZUKI@58</v>
      </c>
      <c r="AD757" s="1">
        <f t="shared" si="59"/>
        <v>754</v>
      </c>
      <c r="AE757" s="1" t="s">
        <v>1836</v>
      </c>
      <c r="AF757" s="76">
        <f t="shared" si="60"/>
        <v>60555</v>
      </c>
      <c r="AG757" s="77">
        <f t="shared" si="61"/>
        <v>7.9</v>
      </c>
      <c r="AH757" s="1" t="str">
        <f>IF($C757="","",$B757&amp;"|"&amp;(COUNTIFS($B$4:$B$1463,$B757,$AF$4:$AF$1463,"&gt;"&amp;$AF757)+COUNTIFS($B$4:$B757,$B757,$AF$4:$AF757,"="&amp;$AF757)))</f>
        <v>AZUKI|97</v>
      </c>
      <c r="AI757" s="1" t="str">
        <f>IF($C757="","",$B757&amp;"|"&amp;(COUNTIFS($B$4:$B$1463,$B757,$AG$4:$AG$1463,"&gt;"&amp;$AG757)+COUNTIFS($B$4:$B757,$B757,$AG$4:$AG757,"="&amp;$AG757)))</f>
        <v>AZUKI|17</v>
      </c>
    </row>
    <row r="758" spans="1:35" hidden="1">
      <c r="A758" s="69" t="s">
        <v>109</v>
      </c>
      <c r="B758" s="69" t="s">
        <v>113</v>
      </c>
      <c r="C758" s="63" t="s">
        <v>1835</v>
      </c>
      <c r="D758" s="69" t="s">
        <v>548</v>
      </c>
      <c r="E758" s="68" t="s">
        <v>73</v>
      </c>
      <c r="F758" s="15" t="str">
        <f>IF($C758="","",IF($E758="","-",IFERROR(INDEX(SETUP!$B$55:$B$64,MATCH($E758,SETUP!$A$55:$A$64,0)),"Other")))</f>
        <v>Frontline</v>
      </c>
      <c r="G758" s="70">
        <v>60555</v>
      </c>
      <c r="H758" s="15" t="str">
        <f>IF($C758="","",IF($G758="","-",INDEX(SETUP!$B$26:$B$32,MATCH($G758,SETUP!$A$26:$A$32,1))))</f>
        <v>60,000 - 60,999</v>
      </c>
      <c r="I758" s="70">
        <v>9175</v>
      </c>
      <c r="J758" s="15" t="str">
        <f>IF($C758="","",IF($I758="","-",INDEX(SETUP!$B$16:$B$22,MATCH($I758,SETUP!$A$16:$A$22,1))))</f>
        <v>ELITE</v>
      </c>
      <c r="K758" s="15" t="str">
        <f>IF($C758="","",IF($I758="","-",TEXT(INT($I758/1000)*1000,"#,##0")&amp;" - "&amp;TEXT(INT($I758/1000)*1000+999,"#,##0")))</f>
        <v>9,000 - 9,999</v>
      </c>
      <c r="L758" s="71">
        <v>7.9</v>
      </c>
      <c r="M758" s="15" t="str">
        <f>IF($C758="","",IF($L758="","-",INDEX(SETUP!$B$36:$B$42,MATCH($L758,SETUP!$A$36:$A$42,1))))</f>
        <v>6k - 8k</v>
      </c>
      <c r="N758" s="17">
        <f>IF($C758="","",IF(OR($G758="",$I758=""),"",ROUND(100*(SETUP!$B$4*MIN(1,$I758/SETUP!$B$9)+SETUP!$B$5*MAX(0,MIN(1,($G758-SETUP!$B$10)/(SETUP!$B$11-SETUP!$B$10)))+SETUP!$B$6*MIN(1,IF($L758="",0,$L758)/SETUP!$B$12)),1)))</f>
        <v>67.8</v>
      </c>
      <c r="O758" s="15" t="str">
        <f>IF($C758="","",IF($N758="","-",INDEX(SETUP!$B$46:$B$51,MATCH($N758,SETUP!$A$46:$A$51,1))))</f>
        <v>S</v>
      </c>
      <c r="P758" s="15">
        <f>IF($C758="","",IF($I758="","",RANK($I758,$I$4:$I$1463)+COUNTIF($I$4:$I758,$I758)-1))</f>
        <v>86</v>
      </c>
      <c r="Q758" s="15">
        <f>IF($C758="","",COUNTIFS($B$4:$B$1463,$B758,$X$4:$X$1463,"&gt;"&amp;$X758)+COUNTIFS($B$4:$B758,$B758,$X$4:$X758,"="&amp;$X758))</f>
        <v>2</v>
      </c>
      <c r="R758" s="72">
        <f>IF($C758="","",IF($I758="","",ROUND(COUNTIF($I$4:$I$1463,"&lt;"&amp;$I758)/COUNT($I$4:$I$1463),3)))</f>
        <v>0.93500000000000005</v>
      </c>
      <c r="S758" s="15" t="str">
        <f>IF($C758="","",IF($G758="","Name only",IF(OR($I758="",$L758=""),"Partial","Complete")))</f>
        <v>Complete</v>
      </c>
      <c r="T758" s="41" t="str">
        <f>IF($C758="","",TRIM(IF(COUNTIF($C$4:$C$1463,$C758)&gt;1,"Dup name; ","")&amp;IF(AND($G758&lt;&gt;"",$G758&lt;55000),"Low CR - verify; ","")&amp;IF(AND($L758&lt;&gt;"",$L758&gt;15),"Secondary - verify; ","")&amp;IF($E758="","No class; ","")))</f>
        <v>Dup name;</v>
      </c>
      <c r="U758" s="68"/>
      <c r="V758" s="68"/>
      <c r="W758" s="68"/>
      <c r="X758" s="73">
        <f t="shared" si="57"/>
        <v>9175</v>
      </c>
      <c r="Y758" s="41" t="str">
        <f t="shared" si="58"/>
        <v>INVICTUS|2</v>
      </c>
      <c r="Z758" s="15">
        <f>IF($C758="","",IF($G758="","",RANK($G758,$G$4:$G$1463)+COUNTIF($G$4:$G758,$G758)-1))</f>
        <v>1201</v>
      </c>
      <c r="AA758" s="15">
        <f>IF($C758="","",IF($N758="","",RANK($N758,$N$4:$N$1463)+COUNTIF($N$4:$N758,$N758)-1))</f>
        <v>148</v>
      </c>
      <c r="AB758" s="41" t="str">
        <f>IF($C758="","",IF($E758="","",$E758&amp;"#"&amp;(COUNTIFS($E$4:$E$1463,$E758,$X$4:$X$1463,"&gt;"&amp;$X758)+COUNTIFS($E$4:$E758,$E758,$X$4:$X758,"="&amp;$X758))))</f>
        <v>CRUSADER#15</v>
      </c>
      <c r="AC758" s="41" t="str">
        <f>IF($C758="","",$B758&amp;"@"&amp;(COUNTIFS($B$4:$B$1463,$B758,$C$4:$C$1463,"&lt;"&amp;$C758)+COUNTIFS($B$4:$B758,$B758,$C$4:$C758,$C758)))</f>
        <v>INVICTUS@55</v>
      </c>
      <c r="AD758" s="41">
        <f t="shared" si="59"/>
        <v>755</v>
      </c>
      <c r="AE758" s="41" t="s">
        <v>1837</v>
      </c>
      <c r="AF758" s="73">
        <f t="shared" si="60"/>
        <v>60555</v>
      </c>
      <c r="AG758" s="74">
        <f t="shared" si="61"/>
        <v>7.9</v>
      </c>
      <c r="AH758" s="41" t="str">
        <f>IF($C758="","",$B758&amp;"|"&amp;(COUNTIFS($B$4:$B$1463,$B758,$AF$4:$AF$1463,"&gt;"&amp;$AF758)+COUNTIFS($B$4:$B758,$B758,$AF$4:$AF758,"="&amp;$AF758)))</f>
        <v>INVICTUS|92</v>
      </c>
      <c r="AI758" s="41" t="str">
        <f>IF($C758="","",$B758&amp;"|"&amp;(COUNTIFS($B$4:$B$1463,$B758,$AG$4:$AG$1463,"&gt;"&amp;$AG758)+COUNTIFS($B$4:$B758,$B758,$AG$4:$AG758,"="&amp;$AG758)))</f>
        <v>INVICTUS|1</v>
      </c>
    </row>
    <row r="759" spans="1:35" hidden="1">
      <c r="A759" s="69" t="s">
        <v>109</v>
      </c>
      <c r="B759" s="69" t="s">
        <v>118</v>
      </c>
      <c r="C759" s="63" t="s">
        <v>1838</v>
      </c>
      <c r="D759" s="69"/>
      <c r="E759" s="68" t="s">
        <v>74</v>
      </c>
      <c r="F759" s="19" t="str">
        <f>IF($C759="","",IF($E759="","-",IFERROR(INDEX(SETUP!$B$55:$B$64,MATCH($E759,SETUP!$A$55:$A$64,0)),"Other")))</f>
        <v>Ranged DPS</v>
      </c>
      <c r="G759" s="70">
        <v>61756</v>
      </c>
      <c r="H759" s="19" t="str">
        <f>IF($C759="","",IF($G759="","-",INDEX(SETUP!$B$26:$B$32,MATCH($G759,SETUP!$A$26:$A$32,1))))</f>
        <v>61,000 - 61,999</v>
      </c>
      <c r="I759" s="70">
        <v>3147</v>
      </c>
      <c r="J759" s="19" t="str">
        <f>IF($C759="","",IF($I759="","-",INDEX(SETUP!$B$16:$B$22,MATCH($I759,SETUP!$A$16:$A$22,1))))</f>
        <v>DEVELOPING</v>
      </c>
      <c r="K759" s="19" t="str">
        <f>IF($C759="","",IF($I759="","-",TEXT(INT($I759/1000)*1000,"#,##0")&amp;" - "&amp;TEXT(INT($I759/1000)*1000+999,"#,##0")))</f>
        <v>3,000 - 3,999</v>
      </c>
      <c r="L759" s="71">
        <v>3.8</v>
      </c>
      <c r="M759" s="19" t="str">
        <f>IF($C759="","",IF($L759="","-",INDEX(SETUP!$B$36:$B$42,MATCH($L759,SETUP!$A$36:$A$42,1))))</f>
        <v>3k - 4k</v>
      </c>
      <c r="N759" s="21">
        <f>IF($C759="","",IF(OR($G759="",$I759=""),"",ROUND(100*(SETUP!$B$4*MIN(1,$I759/SETUP!$B$9)+SETUP!$B$5*MAX(0,MIN(1,($G759-SETUP!$B$10)/(SETUP!$B$11-SETUP!$B$10)))+SETUP!$B$6*MIN(1,IF($L759="",0,$L759)/SETUP!$B$12)),1)))</f>
        <v>37.799999999999997</v>
      </c>
      <c r="O759" s="19" t="str">
        <f>IF($C759="","",IF($N759="","-",INDEX(SETUP!$B$46:$B$51,MATCH($N759,SETUP!$A$46:$A$51,1))))</f>
        <v>B</v>
      </c>
      <c r="P759" s="19">
        <f>IF($C759="","",IF($I759="","",RANK($I759,$I$4:$I$1463)+COUNTIF($I$4:$I759,$I759)-1))</f>
        <v>840</v>
      </c>
      <c r="Q759" s="19">
        <f>IF($C759="","",COUNTIFS($B$4:$B$1463,$B759,$X$4:$X$1463,"&gt;"&amp;$X759)+COUNTIFS($B$4:$B759,$B759,$X$4:$X759,"="&amp;$X759))</f>
        <v>16</v>
      </c>
      <c r="R759" s="75">
        <f>IF($C759="","",IF($I759="","",ROUND(COUNTIF($I$4:$I$1463,"&lt;"&amp;$I759)/COUNT($I$4:$I$1463),3)))</f>
        <v>0.36499999999999999</v>
      </c>
      <c r="S759" s="19" t="str">
        <f>IF($C759="","",IF($G759="","Name only",IF(OR($I759="",$L759=""),"Partial","Complete")))</f>
        <v>Complete</v>
      </c>
      <c r="T759" s="1" t="str">
        <f>IF($C759="","",TRIM(IF(COUNTIF($C$4:$C$1463,$C759)&gt;1,"Dup name; ","")&amp;IF(AND($G759&lt;&gt;"",$G759&lt;55000),"Low CR - verify; ","")&amp;IF(AND($L759&lt;&gt;"",$L759&gt;15),"Secondary - verify; ","")&amp;IF($E759="","No class; ","")))</f>
        <v/>
      </c>
      <c r="U759" s="68"/>
      <c r="V759" s="68"/>
      <c r="W759" s="68"/>
      <c r="X759" s="76">
        <f t="shared" si="57"/>
        <v>3147</v>
      </c>
      <c r="Y759" s="1" t="str">
        <f t="shared" si="58"/>
        <v>ZOMBIES|16</v>
      </c>
      <c r="Z759" s="19">
        <f>IF($C759="","",IF($G759="","",RANK($G759,$G$4:$G$1463)+COUNTIF($G$4:$G759,$G759)-1))</f>
        <v>924</v>
      </c>
      <c r="AA759" s="19">
        <f>IF($C759="","",IF($N759="","",RANK($N759,$N$4:$N$1463)+COUNTIF($N$4:$N759,$N759)-1))</f>
        <v>907</v>
      </c>
      <c r="AB759" s="1" t="str">
        <f>IF($C759="","",IF($E759="","",$E759&amp;"#"&amp;(COUNTIFS($E$4:$E$1463,$E759,$X$4:$X$1463,"&gt;"&amp;$X759)+COUNTIFS($E$4:$E759,$E759,$X$4:$X759,"="&amp;$X759))))</f>
        <v>DEMON HUNTER#135</v>
      </c>
      <c r="AC759" s="1" t="str">
        <f>IF($C759="","",$B759&amp;"@"&amp;(COUNTIFS($B$4:$B$1463,$B759,$C$4:$C$1463,"&lt;"&amp;$C759)+COUNTIFS($B$4:$B759,$B759,$C$4:$C759,$C759)))</f>
        <v>ZOMBIES@56</v>
      </c>
      <c r="AD759" s="1">
        <f t="shared" si="59"/>
        <v>756</v>
      </c>
      <c r="AE759" s="1" t="s">
        <v>1399</v>
      </c>
      <c r="AF759" s="76">
        <f t="shared" si="60"/>
        <v>61756</v>
      </c>
      <c r="AG759" s="77">
        <f t="shared" si="61"/>
        <v>3.8</v>
      </c>
      <c r="AH759" s="1" t="str">
        <f>IF($C759="","",$B759&amp;"|"&amp;(COUNTIFS($B$4:$B$1463,$B759,$AF$4:$AF$1463,"&gt;"&amp;$AF759)+COUNTIFS($B$4:$B759,$B759,$AF$4:$AF759,"="&amp;$AF759)))</f>
        <v>ZOMBIES|33</v>
      </c>
      <c r="AI759" s="1" t="str">
        <f>IF($C759="","",$B759&amp;"|"&amp;(COUNTIFS($B$4:$B$1463,$B759,$AG$4:$AG$1463,"&gt;"&amp;$AG759)+COUNTIFS($B$4:$B759,$B759,$AG$4:$AG759,"="&amp;$AG759)))</f>
        <v>ZOMBIES|38</v>
      </c>
    </row>
    <row r="760" spans="1:35" hidden="1">
      <c r="A760" s="69" t="s">
        <v>106</v>
      </c>
      <c r="B760" s="69" t="s">
        <v>107</v>
      </c>
      <c r="C760" s="63" t="s">
        <v>1839</v>
      </c>
      <c r="D760" s="69"/>
      <c r="E760" s="68" t="s">
        <v>75</v>
      </c>
      <c r="F760" s="15" t="str">
        <f>IF($C760="","",IF($E760="","-",IFERROR(INDEX(SETUP!$B$55:$B$64,MATCH($E760,SETUP!$A$55:$A$64,0)),"Other")))</f>
        <v>Support</v>
      </c>
      <c r="G760" s="70">
        <v>60820</v>
      </c>
      <c r="H760" s="15" t="str">
        <f>IF($C760="","",IF($G760="","-",INDEX(SETUP!$B$26:$B$32,MATCH($G760,SETUP!$A$26:$A$32,1))))</f>
        <v>60,000 - 60,999</v>
      </c>
      <c r="I760" s="70">
        <v>3767</v>
      </c>
      <c r="J760" s="15" t="str">
        <f>IF($C760="","",IF($I760="","-",INDEX(SETUP!$B$16:$B$22,MATCH($I760,SETUP!$A$16:$A$22,1))))</f>
        <v>DEVELOPING</v>
      </c>
      <c r="K760" s="15" t="str">
        <f>IF($C760="","",IF($I760="","-",TEXT(INT($I760/1000)*1000,"#,##0")&amp;" - "&amp;TEXT(INT($I760/1000)*1000+999,"#,##0")))</f>
        <v>3,000 - 3,999</v>
      </c>
      <c r="L760" s="71">
        <v>4.6500000000000004</v>
      </c>
      <c r="M760" s="15" t="str">
        <f>IF($C760="","",IF($L760="","-",INDEX(SETUP!$B$36:$B$42,MATCH($L760,SETUP!$A$36:$A$42,1))))</f>
        <v>4k - 5k</v>
      </c>
      <c r="N760" s="17">
        <f>IF($C760="","",IF(OR($G760="",$I760=""),"",ROUND(100*(SETUP!$B$4*MIN(1,$I760/SETUP!$B$9)+SETUP!$B$5*MAX(0,MIN(1,($G760-SETUP!$B$10)/(SETUP!$B$11-SETUP!$B$10)))+SETUP!$B$6*MIN(1,IF($L760="",0,$L760)/SETUP!$B$12)),1)))</f>
        <v>39.5</v>
      </c>
      <c r="O760" s="15" t="str">
        <f>IF($C760="","",IF($N760="","-",INDEX(SETUP!$B$46:$B$51,MATCH($N760,SETUP!$A$46:$A$51,1))))</f>
        <v>B</v>
      </c>
      <c r="P760" s="15">
        <f>IF($C760="","",IF($I760="","",RANK($I760,$I$4:$I$1463)+COUNTIF($I$4:$I760,$I760)-1))</f>
        <v>656</v>
      </c>
      <c r="Q760" s="15">
        <f>IF($C760="","",COUNTIFS($B$4:$B$1463,$B760,$X$4:$X$1463,"&gt;"&amp;$X760)+COUNTIFS($B$4:$B760,$B760,$X$4:$X760,"="&amp;$X760))</f>
        <v>57</v>
      </c>
      <c r="R760" s="72">
        <f>IF($C760="","",IF($I760="","",ROUND(COUNTIF($I$4:$I$1463,"&lt;"&amp;$I760)/COUNT($I$4:$I$1463),3)))</f>
        <v>0.505</v>
      </c>
      <c r="S760" s="15" t="str">
        <f>IF($C760="","",IF($G760="","Name only",IF(OR($I760="",$L760=""),"Partial","Complete")))</f>
        <v>Complete</v>
      </c>
      <c r="T760" s="41" t="str">
        <f>IF($C760="","",TRIM(IF(COUNTIF($C$4:$C$1463,$C760)&gt;1,"Dup name; ","")&amp;IF(AND($G760&lt;&gt;"",$G760&lt;55000),"Low CR - verify; ","")&amp;IF(AND($L760&lt;&gt;"",$L760&gt;15),"Secondary - verify; ","")&amp;IF($E760="","No class; ","")))</f>
        <v/>
      </c>
      <c r="U760" s="68"/>
      <c r="V760" s="68"/>
      <c r="W760" s="68"/>
      <c r="X760" s="73">
        <f t="shared" si="57"/>
        <v>3767</v>
      </c>
      <c r="Y760" s="41" t="str">
        <f t="shared" si="58"/>
        <v>UNDYING|57</v>
      </c>
      <c r="Z760" s="15">
        <f>IF($C760="","",IF($G760="","",RANK($G760,$G$4:$G$1463)+COUNTIF($G$4:$G760,$G760)-1))</f>
        <v>1169</v>
      </c>
      <c r="AA760" s="15">
        <f>IF($C760="","",IF($N760="","",RANK($N760,$N$4:$N$1463)+COUNTIF($N$4:$N760,$N760)-1))</f>
        <v>842</v>
      </c>
      <c r="AB760" s="41" t="str">
        <f>IF($C760="","",IF($E760="","",$E760&amp;"#"&amp;(COUNTIFS($E$4:$E$1463,$E760,$X$4:$X$1463,"&gt;"&amp;$X760)+COUNTIFS($E$4:$E760,$E760,$X$4:$X760,"="&amp;$X760))))</f>
        <v>DRUID#31</v>
      </c>
      <c r="AC760" s="41" t="str">
        <f>IF($C760="","",$B760&amp;"@"&amp;(COUNTIFS($B$4:$B$1463,$B760,$C$4:$C$1463,"&lt;"&amp;$C760)+COUNTIFS($B$4:$B760,$B760,$C$4:$C760,$C760)))</f>
        <v>UNDYING@68</v>
      </c>
      <c r="AD760" s="41">
        <f t="shared" si="59"/>
        <v>757</v>
      </c>
      <c r="AE760" s="41" t="s">
        <v>1341</v>
      </c>
      <c r="AF760" s="73">
        <f t="shared" si="60"/>
        <v>60820</v>
      </c>
      <c r="AG760" s="74">
        <f t="shared" si="61"/>
        <v>4.6500000000000004</v>
      </c>
      <c r="AH760" s="41" t="str">
        <f>IF($C760="","",$B760&amp;"|"&amp;(COUNTIFS($B$4:$B$1463,$B760,$AF$4:$AF$1463,"&gt;"&amp;$AF760)+COUNTIFS($B$4:$B760,$B760,$AF$4:$AF760,"="&amp;$AF760)))</f>
        <v>UNDYING|96</v>
      </c>
      <c r="AI760" s="41" t="str">
        <f>IF($C760="","",$B760&amp;"|"&amp;(COUNTIFS($B$4:$B$1463,$B760,$AG$4:$AG$1463,"&gt;"&amp;$AG760)+COUNTIFS($B$4:$B760,$B760,$AG$4:$AG760,"="&amp;$AG760)))</f>
        <v>UNDYING|62</v>
      </c>
    </row>
    <row r="761" spans="1:35">
      <c r="A761" s="69" t="s">
        <v>104</v>
      </c>
      <c r="B761" s="69" t="s">
        <v>66</v>
      </c>
      <c r="C761" s="63" t="s">
        <v>344</v>
      </c>
      <c r="D761" s="69"/>
      <c r="E761" s="68" t="s">
        <v>79</v>
      </c>
      <c r="F761" s="19" t="str">
        <f>IF($C761="","",IF($E761="","-",IFERROR(INDEX(SETUP!$B$55:$B$64,MATCH($E761,SETUP!$A$55:$A$64,0)),"Other")))</f>
        <v>Control</v>
      </c>
      <c r="G761" s="70">
        <v>62515</v>
      </c>
      <c r="H761" s="19" t="str">
        <f>IF($C761="","",IF($G761="","-",INDEX(SETUP!$B$26:$B$32,MATCH($G761,SETUP!$A$26:$A$32,1))))</f>
        <v>62,000 - 62,999</v>
      </c>
      <c r="I761" s="70">
        <v>2830</v>
      </c>
      <c r="J761" s="19" t="str">
        <f>IF($C761="","",IF($I761="","-",INDEX(SETUP!$B$16:$B$22,MATCH($I761,SETUP!$A$16:$A$22,1))))</f>
        <v>DEVELOPING</v>
      </c>
      <c r="K761" s="19" t="str">
        <f>IF($C761="","",IF($I761="","-",TEXT(INT($I761/1000)*1000,"#,##0")&amp;" - "&amp;TEXT(INT($I761/1000)*1000+999,"#,##0")))</f>
        <v>2,000 - 2,999</v>
      </c>
      <c r="L761" s="71">
        <v>4.3899999999999997</v>
      </c>
      <c r="M761" s="19" t="str">
        <f>IF($C761="","",IF($L761="","-",INDEX(SETUP!$B$36:$B$42,MATCH($L761,SETUP!$A$36:$A$42,1))))</f>
        <v>4k - 5k</v>
      </c>
      <c r="N761" s="21">
        <f>IF($C761="","",IF(OR($G761="",$I761=""),"",ROUND(100*(SETUP!$B$4*MIN(1,$I761/SETUP!$B$9)+SETUP!$B$5*MAX(0,MIN(1,($G761-SETUP!$B$10)/(SETUP!$B$11-SETUP!$B$10)))+SETUP!$B$6*MIN(1,IF($L761="",0,$L761)/SETUP!$B$12)),1)))</f>
        <v>39.4</v>
      </c>
      <c r="O761" s="19" t="str">
        <f>IF($C761="","",IF($N761="","-",INDEX(SETUP!$B$46:$B$51,MATCH($N761,SETUP!$A$46:$A$51,1))))</f>
        <v>B</v>
      </c>
      <c r="P761" s="19">
        <f>IF($C761="","",IF($I761="","",RANK($I761,$I$4:$I$1463)+COUNTIF($I$4:$I761,$I761)-1))</f>
        <v>927</v>
      </c>
      <c r="Q761" s="19">
        <f>IF($C761="","",COUNTIFS($B$4:$B$1463,$B761,$X$4:$X$1463,"&gt;"&amp;$X761)+COUNTIFS($B$4:$B761,$B761,$X$4:$X761,"="&amp;$X761))</f>
        <v>95</v>
      </c>
      <c r="R761" s="75">
        <f>IF($C761="","",IF($I761="","",ROUND(COUNTIF($I$4:$I$1463,"&lt;"&amp;$I761)/COUNT($I$4:$I$1463),3)))</f>
        <v>0.3</v>
      </c>
      <c r="S761" s="19" t="str">
        <f>IF($C761="","",IF($G761="","Name only",IF(OR($I761="",$L761=""),"Partial","Complete")))</f>
        <v>Complete</v>
      </c>
      <c r="T761" s="1" t="str">
        <f>IF($C761="","",TRIM(IF(COUNTIF($C$4:$C$1463,$C761)&gt;1,"Dup name; ","")&amp;IF(AND($G761&lt;&gt;"",$G761&lt;55000),"Low CR - verify; ","")&amp;IF(AND($L761&lt;&gt;"",$L761&gt;15),"Secondary - verify; ","")&amp;IF($E761="","No class; ","")))</f>
        <v/>
      </c>
      <c r="U761" s="68" t="s">
        <v>271</v>
      </c>
      <c r="V761" s="68" t="s">
        <v>66</v>
      </c>
      <c r="W761" s="68" t="s">
        <v>285</v>
      </c>
      <c r="X761" s="76">
        <f t="shared" si="57"/>
        <v>2830</v>
      </c>
      <c r="Y761" s="1" t="str">
        <f t="shared" si="58"/>
        <v>FUCT|95</v>
      </c>
      <c r="Z761" s="19">
        <f>IF($C761="","",IF($G761="","",RANK($G761,$G$4:$G$1463)+COUNTIF($G$4:$G761,$G761)-1))</f>
        <v>646</v>
      </c>
      <c r="AA761" s="19">
        <f>IF($C761="","",IF($N761="","",RANK($N761,$N$4:$N$1463)+COUNTIF($N$4:$N761,$N761)-1))</f>
        <v>845</v>
      </c>
      <c r="AB761" s="1" t="str">
        <f>IF($C761="","",IF($E761="","",$E761&amp;"#"&amp;(COUNTIFS($E$4:$E$1463,$E761,$X$4:$X$1463,"&gt;"&amp;$X761)+COUNTIFS($E$4:$E761,$E761,$X$4:$X761,"="&amp;$X761))))</f>
        <v>WARLOCK#229</v>
      </c>
      <c r="AC761" s="1" t="str">
        <f>IF($C761="","",$B761&amp;"@"&amp;(COUNTIFS($B$4:$B$1463,$B761,$C$4:$C$1463,"&lt;"&amp;$C761)+COUNTIFS($B$4:$B761,$B761,$C$4:$C761,$C761)))</f>
        <v>FUCT@56</v>
      </c>
      <c r="AD761" s="1">
        <f t="shared" si="59"/>
        <v>758</v>
      </c>
      <c r="AE761" s="1" t="s">
        <v>1840</v>
      </c>
      <c r="AF761" s="76">
        <f t="shared" si="60"/>
        <v>62515</v>
      </c>
      <c r="AG761" s="77">
        <f t="shared" si="61"/>
        <v>4.3899999999999997</v>
      </c>
      <c r="AH761" s="1" t="str">
        <f>IF($C761="","",$B761&amp;"|"&amp;(COUNTIFS($B$4:$B$1463,$B761,$AF$4:$AF$1463,"&gt;"&amp;$AF761)+COUNTIFS($B$4:$B761,$B761,$AF$4:$AF761,"="&amp;$AF761)))</f>
        <v>FUCT|67</v>
      </c>
      <c r="AI761" s="1" t="str">
        <f>IF($C761="","",$B761&amp;"|"&amp;(COUNTIFS($B$4:$B$1463,$B761,$AG$4:$AG$1463,"&gt;"&amp;$AG761)+COUNTIFS($B$4:$B761,$B761,$AG$4:$AG761,"="&amp;$AG761)))</f>
        <v>FUCT|64</v>
      </c>
    </row>
    <row r="762" spans="1:35" hidden="1">
      <c r="A762" s="69" t="s">
        <v>109</v>
      </c>
      <c r="B762" s="69" t="s">
        <v>115</v>
      </c>
      <c r="C762" s="63" t="s">
        <v>1841</v>
      </c>
      <c r="D762" s="69"/>
      <c r="E762" s="68"/>
      <c r="F762" s="15" t="str">
        <f>IF($C762="","",IF($E762="","-",IFERROR(INDEX(SETUP!$B$55:$B$64,MATCH($E762,SETUP!$A$55:$A$64,0)),"Other")))</f>
        <v>-</v>
      </c>
      <c r="G762" s="70"/>
      <c r="H762" s="15" t="str">
        <f>IF($C762="","",IF($G762="","-",INDEX(SETUP!$B$26:$B$32,MATCH($G762,SETUP!$A$26:$A$32,1))))</f>
        <v>-</v>
      </c>
      <c r="I762" s="70"/>
      <c r="J762" s="15" t="str">
        <f>IF($C762="","",IF($I762="","-",INDEX(SETUP!$B$16:$B$22,MATCH($I762,SETUP!$A$16:$A$22,1))))</f>
        <v>-</v>
      </c>
      <c r="K762" s="15" t="str">
        <f>IF($C762="","",IF($I762="","-",TEXT(INT($I762/1000)*1000,"#,##0")&amp;" - "&amp;TEXT(INT($I762/1000)*1000+999,"#,##0")))</f>
        <v>-</v>
      </c>
      <c r="L762" s="71"/>
      <c r="M762" s="15" t="str">
        <f>IF($C762="","",IF($L762="","-",INDEX(SETUP!$B$36:$B$42,MATCH($L762,SETUP!$A$36:$A$42,1))))</f>
        <v>-</v>
      </c>
      <c r="N762" s="17" t="str">
        <f>IF($C762="","",IF(OR($G762="",$I762=""),"",ROUND(100*(SETUP!$B$4*MIN(1,$I762/SETUP!$B$9)+SETUP!$B$5*MAX(0,MIN(1,($G762-SETUP!$B$10)/(SETUP!$B$11-SETUP!$B$10)))+SETUP!$B$6*MIN(1,IF($L762="",0,$L762)/SETUP!$B$12)),1)))</f>
        <v/>
      </c>
      <c r="O762" s="15" t="str">
        <f>IF($C762="","",IF($N762="","-",INDEX(SETUP!$B$46:$B$51,MATCH($N762,SETUP!$A$46:$A$51,1))))</f>
        <v>-</v>
      </c>
      <c r="P762" s="15" t="str">
        <f>IF($C762="","",IF($I762="","",RANK($I762,$I$4:$I$1463)+COUNTIF($I$4:$I762,$I762)-1))</f>
        <v/>
      </c>
      <c r="Q762" s="15">
        <f>IF($C762="","",COUNTIFS($B$4:$B$1463,$B762,$X$4:$X$1463,"&gt;"&amp;$X762)+COUNTIFS($B$4:$B762,$B762,$X$4:$X762,"="&amp;$X762))</f>
        <v>70</v>
      </c>
      <c r="R762" s="72" t="str">
        <f>IF($C762="","",IF($I762="","",ROUND(COUNTIF($I$4:$I$1463,"&lt;"&amp;$I762)/COUNT($I$4:$I$1463),3)))</f>
        <v/>
      </c>
      <c r="S762" s="15" t="str">
        <f>IF($C762="","",IF($G762="","Name only",IF(OR($I762="",$L762=""),"Partial","Complete")))</f>
        <v>Name only</v>
      </c>
      <c r="T762" s="41" t="str">
        <f>IF($C762="","",TRIM(IF(COUNTIF($C$4:$C$1463,$C762)&gt;1,"Dup name; ","")&amp;IF(AND($G762&lt;&gt;"",$G762&lt;55000),"Low CR - verify; ","")&amp;IF(AND($L762&lt;&gt;"",$L762&gt;15),"Secondary - verify; ","")&amp;IF($E762="","No class; ","")))</f>
        <v>No class;</v>
      </c>
      <c r="U762" s="68"/>
      <c r="V762" s="68"/>
      <c r="W762" s="68"/>
      <c r="X762" s="41">
        <f t="shared" si="57"/>
        <v>-1</v>
      </c>
      <c r="Y762" s="41" t="str">
        <f t="shared" si="58"/>
        <v>SUB ROSA|70</v>
      </c>
      <c r="Z762" s="15" t="str">
        <f>IF($C762="","",IF($G762="","",RANK($G762,$G$4:$G$1463)+COUNTIF($G$4:$G762,$G762)-1))</f>
        <v/>
      </c>
      <c r="AA762" s="15" t="str">
        <f>IF($C762="","",IF($N762="","",RANK($N762,$N$4:$N$1463)+COUNTIF($N$4:$N762,$N762)-1))</f>
        <v/>
      </c>
      <c r="AB762" s="41" t="str">
        <f>IF($C762="","",IF($E762="","",$E762&amp;"#"&amp;(COUNTIFS($E$4:$E$1463,$E762,$X$4:$X$1463,"&gt;"&amp;$X762)+COUNTIFS($E$4:$E762,$E762,$X$4:$X762,"="&amp;$X762))))</f>
        <v/>
      </c>
      <c r="AC762" s="41" t="str">
        <f>IF($C762="","",$B762&amp;"@"&amp;(COUNTIFS($B$4:$B$1463,$B762,$C$4:$C$1463,"&lt;"&amp;$C762)+COUNTIFS($B$4:$B762,$B762,$C$4:$C762,$C762)))</f>
        <v>SUB ROSA@50</v>
      </c>
      <c r="AD762" s="41">
        <f t="shared" si="59"/>
        <v>759</v>
      </c>
      <c r="AE762" s="41"/>
      <c r="AF762" s="41">
        <f t="shared" si="60"/>
        <v>-1</v>
      </c>
      <c r="AG762" s="41">
        <f t="shared" si="61"/>
        <v>-1</v>
      </c>
      <c r="AH762" s="41" t="str">
        <f>IF($C762="","",$B762&amp;"|"&amp;(COUNTIFS($B$4:$B$1463,$B762,$AF$4:$AF$1463,"&gt;"&amp;$AF762)+COUNTIFS($B$4:$B762,$B762,$AF$4:$AF762,"="&amp;$AF762)))</f>
        <v>SUB ROSA|70</v>
      </c>
      <c r="AI762" s="41" t="str">
        <f>IF($C762="","",$B762&amp;"|"&amp;(COUNTIFS($B$4:$B$1463,$B762,$AG$4:$AG$1463,"&gt;"&amp;$AG762)+COUNTIFS($B$4:$B762,$B762,$AG$4:$AG762,"="&amp;$AG762)))</f>
        <v>SUB ROSA|70</v>
      </c>
    </row>
    <row r="763" spans="1:35" hidden="1">
      <c r="A763" s="69" t="s">
        <v>109</v>
      </c>
      <c r="B763" s="69" t="s">
        <v>113</v>
      </c>
      <c r="C763" s="63" t="s">
        <v>1842</v>
      </c>
      <c r="D763" s="69" t="s">
        <v>548</v>
      </c>
      <c r="E763" s="68" t="s">
        <v>79</v>
      </c>
      <c r="F763" s="19" t="str">
        <f>IF($C763="","",IF($E763="","-",IFERROR(INDEX(SETUP!$B$55:$B$64,MATCH($E763,SETUP!$A$55:$A$64,0)),"Other")))</f>
        <v>Control</v>
      </c>
      <c r="G763" s="70">
        <v>62577</v>
      </c>
      <c r="H763" s="19" t="str">
        <f>IF($C763="","",IF($G763="","-",INDEX(SETUP!$B$26:$B$32,MATCH($G763,SETUP!$A$26:$A$32,1))))</f>
        <v>62,000 - 62,999</v>
      </c>
      <c r="I763" s="70">
        <v>3146</v>
      </c>
      <c r="J763" s="19" t="str">
        <f>IF($C763="","",IF($I763="","-",INDEX(SETUP!$B$16:$B$22,MATCH($I763,SETUP!$A$16:$A$22,1))))</f>
        <v>DEVELOPING</v>
      </c>
      <c r="K763" s="19" t="str">
        <f>IF($C763="","",IF($I763="","-",TEXT(INT($I763/1000)*1000,"#,##0")&amp;" - "&amp;TEXT(INT($I763/1000)*1000+999,"#,##0")))</f>
        <v>3,000 - 3,999</v>
      </c>
      <c r="L763" s="71">
        <v>4.05</v>
      </c>
      <c r="M763" s="19" t="str">
        <f>IF($C763="","",IF($L763="","-",INDEX(SETUP!$B$36:$B$42,MATCH($L763,SETUP!$A$36:$A$42,1))))</f>
        <v>4k - 5k</v>
      </c>
      <c r="N763" s="21">
        <f>IF($C763="","",IF(OR($G763="",$I763=""),"",ROUND(100*(SETUP!$B$4*MIN(1,$I763/SETUP!$B$9)+SETUP!$B$5*MAX(0,MIN(1,($G763-SETUP!$B$10)/(SETUP!$B$11-SETUP!$B$10)))+SETUP!$B$6*MIN(1,IF($L763="",0,$L763)/SETUP!$B$12)),1)))</f>
        <v>40.4</v>
      </c>
      <c r="O763" s="19" t="str">
        <f>IF($C763="","",IF($N763="","-",INDEX(SETUP!$B$46:$B$51,MATCH($N763,SETUP!$A$46:$A$51,1))))</f>
        <v>B</v>
      </c>
      <c r="P763" s="19">
        <f>IF($C763="","",IF($I763="","",RANK($I763,$I$4:$I$1463)+COUNTIF($I$4:$I763,$I763)-1))</f>
        <v>842</v>
      </c>
      <c r="Q763" s="19">
        <f>IF($C763="","",COUNTIFS($B$4:$B$1463,$B763,$X$4:$X$1463,"&gt;"&amp;$X763)+COUNTIFS($B$4:$B763,$B763,$X$4:$X763,"="&amp;$X763))</f>
        <v>48</v>
      </c>
      <c r="R763" s="75">
        <f>IF($C763="","",IF($I763="","",ROUND(COUNTIF($I$4:$I$1463,"&lt;"&amp;$I763)/COUNT($I$4:$I$1463),3)))</f>
        <v>0.36499999999999999</v>
      </c>
      <c r="S763" s="19" t="str">
        <f>IF($C763="","",IF($G763="","Name only",IF(OR($I763="",$L763=""),"Partial","Complete")))</f>
        <v>Complete</v>
      </c>
      <c r="T763" s="1" t="str">
        <f>IF($C763="","",TRIM(IF(COUNTIF($C$4:$C$1463,$C763)&gt;1,"Dup name; ","")&amp;IF(AND($G763&lt;&gt;"",$G763&lt;55000),"Low CR - verify; ","")&amp;IF(AND($L763&lt;&gt;"",$L763&gt;15),"Secondary - verify; ","")&amp;IF($E763="","No class; ","")))</f>
        <v/>
      </c>
      <c r="U763" s="68"/>
      <c r="V763" s="68"/>
      <c r="W763" s="68"/>
      <c r="X763" s="76">
        <f t="shared" si="57"/>
        <v>3146</v>
      </c>
      <c r="Y763" s="1" t="str">
        <f t="shared" si="58"/>
        <v>INVICTUS|48</v>
      </c>
      <c r="Z763" s="19">
        <f>IF($C763="","",IF($G763="","",RANK($G763,$G$4:$G$1463)+COUNTIF($G$4:$G763,$G763)-1))</f>
        <v>621</v>
      </c>
      <c r="AA763" s="19">
        <f>IF($C763="","",IF($N763="","",RANK($N763,$N$4:$N$1463)+COUNTIF($N$4:$N763,$N763)-1))</f>
        <v>807</v>
      </c>
      <c r="AB763" s="1" t="str">
        <f>IF($C763="","",IF($E763="","",$E763&amp;"#"&amp;(COUNTIFS($E$4:$E$1463,$E763,$X$4:$X$1463,"&gt;"&amp;$X763)+COUNTIFS($E$4:$E763,$E763,$X$4:$X763,"="&amp;$X763))))</f>
        <v>WARLOCK#208</v>
      </c>
      <c r="AC763" s="1" t="str">
        <f>IF($C763="","",$B763&amp;"@"&amp;(COUNTIFS($B$4:$B$1463,$B763,$C$4:$C$1463,"&lt;"&amp;$C763)+COUNTIFS($B$4:$B763,$B763,$C$4:$C763,$C763)))</f>
        <v>INVICTUS@56</v>
      </c>
      <c r="AD763" s="1">
        <f t="shared" si="59"/>
        <v>760</v>
      </c>
      <c r="AE763" s="1" t="s">
        <v>1843</v>
      </c>
      <c r="AF763" s="76">
        <f t="shared" si="60"/>
        <v>62577</v>
      </c>
      <c r="AG763" s="77">
        <f t="shared" si="61"/>
        <v>4.05</v>
      </c>
      <c r="AH763" s="1" t="str">
        <f>IF($C763="","",$B763&amp;"|"&amp;(COUNTIFS($B$4:$B$1463,$B763,$AF$4:$AF$1463,"&gt;"&amp;$AF763)+COUNTIFS($B$4:$B763,$B763,$AF$4:$AF763,"="&amp;$AF763)))</f>
        <v>INVICTUS|36</v>
      </c>
      <c r="AI763" s="1" t="str">
        <f>IF($C763="","",$B763&amp;"|"&amp;(COUNTIFS($B$4:$B$1463,$B763,$AG$4:$AG$1463,"&gt;"&amp;$AG763)+COUNTIFS($B$4:$B763,$B763,$AG$4:$AG763,"="&amp;$AG763)))</f>
        <v>INVICTUS|58</v>
      </c>
    </row>
    <row r="764" spans="1:35" hidden="1">
      <c r="A764" s="69" t="s">
        <v>106</v>
      </c>
      <c r="B764" s="69" t="s">
        <v>86</v>
      </c>
      <c r="C764" s="63" t="s">
        <v>1844</v>
      </c>
      <c r="D764" s="69"/>
      <c r="E764" s="68" t="s">
        <v>77</v>
      </c>
      <c r="F764" s="15" t="str">
        <f>IF($C764="","",IF($E764="","-",IFERROR(INDEX(SETUP!$B$55:$B$64,MATCH($E764,SETUP!$A$55:$A$64,0)),"Other")))</f>
        <v>Control</v>
      </c>
      <c r="G764" s="70">
        <v>61600</v>
      </c>
      <c r="H764" s="15" t="str">
        <f>IF($C764="","",IF($G764="","-",INDEX(SETUP!$B$26:$B$32,MATCH($G764,SETUP!$A$26:$A$32,1))))</f>
        <v>61,000 - 61,999</v>
      </c>
      <c r="I764" s="70">
        <v>3019</v>
      </c>
      <c r="J764" s="15" t="str">
        <f>IF($C764="","",IF($I764="","-",INDEX(SETUP!$B$16:$B$22,MATCH($I764,SETUP!$A$16:$A$22,1))))</f>
        <v>DEVELOPING</v>
      </c>
      <c r="K764" s="15" t="str">
        <f>IF($C764="","",IF($I764="","-",TEXT(INT($I764/1000)*1000,"#,##0")&amp;" - "&amp;TEXT(INT($I764/1000)*1000+999,"#,##0")))</f>
        <v>3,000 - 3,999</v>
      </c>
      <c r="L764" s="71">
        <v>3.4</v>
      </c>
      <c r="M764" s="15" t="str">
        <f>IF($C764="","",IF($L764="","-",INDEX(SETUP!$B$36:$B$42,MATCH($L764,SETUP!$A$36:$A$42,1))))</f>
        <v>3k - 4k</v>
      </c>
      <c r="N764" s="17">
        <f>IF($C764="","",IF(OR($G764="",$I764=""),"",ROUND(100*(SETUP!$B$4*MIN(1,$I764/SETUP!$B$9)+SETUP!$B$5*MAX(0,MIN(1,($G764-SETUP!$B$10)/(SETUP!$B$11-SETUP!$B$10)))+SETUP!$B$6*MIN(1,IF($L764="",0,$L764)/SETUP!$B$12)),1)))</f>
        <v>36.200000000000003</v>
      </c>
      <c r="O764" s="15" t="str">
        <f>IF($C764="","",IF($N764="","-",INDEX(SETUP!$B$46:$B$51,MATCH($N764,SETUP!$A$46:$A$51,1))))</f>
        <v>B</v>
      </c>
      <c r="P764" s="15">
        <f>IF($C764="","",IF($I764="","",RANK($I764,$I$4:$I$1463)+COUNTIF($I$4:$I764,$I764)-1))</f>
        <v>875</v>
      </c>
      <c r="Q764" s="15">
        <f>IF($C764="","",COUNTIFS($B$4:$B$1463,$B764,$X$4:$X$1463,"&gt;"&amp;$X764)+COUNTIFS($B$4:$B764,$B764,$X$4:$X764,"="&amp;$X764))</f>
        <v>89</v>
      </c>
      <c r="R764" s="72">
        <f>IF($C764="","",IF($I764="","",ROUND(COUNTIF($I$4:$I$1463,"&lt;"&amp;$I764)/COUNT($I$4:$I$1463),3)))</f>
        <v>0.34</v>
      </c>
      <c r="S764" s="15" t="str">
        <f>IF($C764="","",IF($G764="","Name only",IF(OR($I764="",$L764=""),"Partial","Complete")))</f>
        <v>Complete</v>
      </c>
      <c r="T764" s="41" t="str">
        <f>IF($C764="","",TRIM(IF(COUNTIF($C$4:$C$1463,$C764)&gt;1,"Dup name; ","")&amp;IF(AND($G764&lt;&gt;"",$G764&lt;55000),"Low CR - verify; ","")&amp;IF(AND($L764&lt;&gt;"",$L764&gt;15),"Secondary - verify; ","")&amp;IF($E764="","No class; ","")))</f>
        <v/>
      </c>
      <c r="U764" s="68"/>
      <c r="V764" s="68"/>
      <c r="W764" s="68"/>
      <c r="X764" s="73">
        <f t="shared" si="57"/>
        <v>3019</v>
      </c>
      <c r="Y764" s="41" t="str">
        <f t="shared" si="58"/>
        <v>VANGUARD|89</v>
      </c>
      <c r="Z764" s="15">
        <f>IF($C764="","",IF($G764="","",RANK($G764,$G$4:$G$1463)+COUNTIF($G$4:$G764,$G764)-1))</f>
        <v>977</v>
      </c>
      <c r="AA764" s="15">
        <f>IF($C764="","",IF($N764="","",RANK($N764,$N$4:$N$1463)+COUNTIF($N$4:$N764,$N764)-1))</f>
        <v>958</v>
      </c>
      <c r="AB764" s="41" t="str">
        <f>IF($C764="","",IF($E764="","",$E764&amp;"#"&amp;(COUNTIFS($E$4:$E$1463,$E764,$X$4:$X$1463,"&gt;"&amp;$X764)+COUNTIFS($E$4:$E764,$E764,$X$4:$X764,"="&amp;$X764))))</f>
        <v>NECROMANCER#49</v>
      </c>
      <c r="AC764" s="41" t="str">
        <f>IF($C764="","",$B764&amp;"@"&amp;(COUNTIFS($B$4:$B$1463,$B764,$C$4:$C$1463,"&lt;"&amp;$C764)+COUNTIFS($B$4:$B764,$B764,$C$4:$C764,$C764)))</f>
        <v>VANGUARD@60</v>
      </c>
      <c r="AD764" s="41">
        <f t="shared" si="59"/>
        <v>761</v>
      </c>
      <c r="AE764" s="41" t="s">
        <v>1327</v>
      </c>
      <c r="AF764" s="73">
        <f t="shared" si="60"/>
        <v>61600</v>
      </c>
      <c r="AG764" s="74">
        <f t="shared" si="61"/>
        <v>3.4</v>
      </c>
      <c r="AH764" s="41" t="str">
        <f>IF($C764="","",$B764&amp;"|"&amp;(COUNTIFS($B$4:$B$1463,$B764,$AF$4:$AF$1463,"&gt;"&amp;$AF764)+COUNTIFS($B$4:$B764,$B764,$AF$4:$AF764,"="&amp;$AF764)))</f>
        <v>VANGUARD|91</v>
      </c>
      <c r="AI764" s="41" t="str">
        <f>IF($C764="","",$B764&amp;"|"&amp;(COUNTIFS($B$4:$B$1463,$B764,$AG$4:$AG$1463,"&gt;"&amp;$AG764)+COUNTIFS($B$4:$B764,$B764,$AG$4:$AG764,"="&amp;$AG764)))</f>
        <v>VANGUARD|95</v>
      </c>
    </row>
    <row r="765" spans="1:35" hidden="1">
      <c r="A765" s="69" t="s">
        <v>109</v>
      </c>
      <c r="B765" s="69" t="s">
        <v>113</v>
      </c>
      <c r="C765" s="63" t="s">
        <v>1845</v>
      </c>
      <c r="D765" s="69" t="s">
        <v>548</v>
      </c>
      <c r="E765" s="68" t="s">
        <v>71</v>
      </c>
      <c r="F765" s="19" t="str">
        <f>IF($C765="","",IF($E765="","-",IFERROR(INDEX(SETUP!$B$55:$B$64,MATCH($E765,SETUP!$A$55:$A$64,0)),"Other")))</f>
        <v>Frontline</v>
      </c>
      <c r="G765" s="70">
        <v>61413</v>
      </c>
      <c r="H765" s="19" t="str">
        <f>IF($C765="","",IF($G765="","-",INDEX(SETUP!$B$26:$B$32,MATCH($G765,SETUP!$A$26:$A$32,1))))</f>
        <v>61,000 - 61,999</v>
      </c>
      <c r="I765" s="70">
        <v>1982</v>
      </c>
      <c r="J765" s="19" t="str">
        <f>IF($C765="","",IF($I765="","-",INDEX(SETUP!$B$16:$B$22,MATCH($I765,SETUP!$A$16:$A$22,1))))</f>
        <v>ROOKIE</v>
      </c>
      <c r="K765" s="19" t="str">
        <f>IF($C765="","",IF($I765="","-",TEXT(INT($I765/1000)*1000,"#,##0")&amp;" - "&amp;TEXT(INT($I765/1000)*1000+999,"#,##0")))</f>
        <v>1,000 - 1,999</v>
      </c>
      <c r="L765" s="71">
        <v>3</v>
      </c>
      <c r="M765" s="19" t="str">
        <f>IF($C765="","",IF($L765="","-",INDEX(SETUP!$B$36:$B$42,MATCH($L765,SETUP!$A$36:$A$42,1))))</f>
        <v>3k - 4k</v>
      </c>
      <c r="N765" s="21">
        <f>IF($C765="","",IF(OR($G765="",$I765=""),"",ROUND(100*(SETUP!$B$4*MIN(1,$I765/SETUP!$B$9)+SETUP!$B$5*MAX(0,MIN(1,($G765-SETUP!$B$10)/(SETUP!$B$11-SETUP!$B$10)))+SETUP!$B$6*MIN(1,IF($L765="",0,$L765)/SETUP!$B$12)),1)))</f>
        <v>30.5</v>
      </c>
      <c r="O765" s="19" t="str">
        <f>IF($C765="","",IF($N765="","-",INDEX(SETUP!$B$46:$B$51,MATCH($N765,SETUP!$A$46:$A$51,1))))</f>
        <v>C</v>
      </c>
      <c r="P765" s="19">
        <f>IF($C765="","",IF($I765="","",RANK($I765,$I$4:$I$1463)+COUNTIF($I$4:$I765,$I765)-1))</f>
        <v>1121</v>
      </c>
      <c r="Q765" s="19">
        <f>IF($C765="","",COUNTIFS($B$4:$B$1463,$B765,$X$4:$X$1463,"&gt;"&amp;$X765)+COUNTIFS($B$4:$B765,$B765,$X$4:$X765,"="&amp;$X765))</f>
        <v>84</v>
      </c>
      <c r="R765" s="75">
        <f>IF($C765="","",IF($I765="","",ROUND(COUNTIF($I$4:$I$1463,"&lt;"&amp;$I765)/COUNT($I$4:$I$1463),3)))</f>
        <v>0.154</v>
      </c>
      <c r="S765" s="19" t="str">
        <f>IF($C765="","",IF($G765="","Name only",IF(OR($I765="",$L765=""),"Partial","Complete")))</f>
        <v>Complete</v>
      </c>
      <c r="T765" s="1" t="str">
        <f>IF($C765="","",TRIM(IF(COUNTIF($C$4:$C$1463,$C765)&gt;1,"Dup name; ","")&amp;IF(AND($G765&lt;&gt;"",$G765&lt;55000),"Low CR - verify; ","")&amp;IF(AND($L765&lt;&gt;"",$L765&gt;15),"Secondary - verify; ","")&amp;IF($E765="","No class; ","")))</f>
        <v/>
      </c>
      <c r="U765" s="68"/>
      <c r="V765" s="68"/>
      <c r="W765" s="68"/>
      <c r="X765" s="76">
        <f t="shared" si="57"/>
        <v>1982</v>
      </c>
      <c r="Y765" s="1" t="str">
        <f t="shared" si="58"/>
        <v>INVICTUS|84</v>
      </c>
      <c r="Z765" s="19">
        <f>IF($C765="","",IF($G765="","",RANK($G765,$G$4:$G$1463)+COUNTIF($G$4:$G765,$G765)-1))</f>
        <v>1028</v>
      </c>
      <c r="AA765" s="19">
        <f>IF($C765="","",IF($N765="","",RANK($N765,$N$4:$N$1463)+COUNTIF($N$4:$N765,$N765)-1))</f>
        <v>1135</v>
      </c>
      <c r="AB765" s="1" t="str">
        <f>IF($C765="","",IF($E765="","",$E765&amp;"#"&amp;(COUNTIFS($E$4:$E$1463,$E765,$X$4:$X$1463,"&gt;"&amp;$X765)+COUNTIFS($E$4:$E765,$E765,$X$4:$X765,"="&amp;$X765))))</f>
        <v>BARBARIAN#190</v>
      </c>
      <c r="AC765" s="1" t="str">
        <f>IF($C765="","",$B765&amp;"@"&amp;(COUNTIFS($B$4:$B$1463,$B765,$C$4:$C$1463,"&lt;"&amp;$C765)+COUNTIFS($B$4:$B765,$B765,$C$4:$C765,$C765)))</f>
        <v>INVICTUS@57</v>
      </c>
      <c r="AD765" s="1">
        <f t="shared" si="59"/>
        <v>762</v>
      </c>
      <c r="AE765" s="1" t="s">
        <v>611</v>
      </c>
      <c r="AF765" s="76">
        <f t="shared" si="60"/>
        <v>61413</v>
      </c>
      <c r="AG765" s="77">
        <f t="shared" si="61"/>
        <v>3</v>
      </c>
      <c r="AH765" s="1" t="str">
        <f>IF($C765="","",$B765&amp;"|"&amp;(COUNTIFS($B$4:$B$1463,$B765,$AF$4:$AF$1463,"&gt;"&amp;$AF765)+COUNTIFS($B$4:$B765,$B765,$AF$4:$AF765,"="&amp;$AF765)))</f>
        <v>INVICTUS|73</v>
      </c>
      <c r="AI765" s="1" t="str">
        <f>IF($C765="","",$B765&amp;"|"&amp;(COUNTIFS($B$4:$B$1463,$B765,$AG$4:$AG$1463,"&gt;"&amp;$AG765)+COUNTIFS($B$4:$B765,$B765,$AG$4:$AG765,"="&amp;$AG765)))</f>
        <v>INVICTUS|94</v>
      </c>
    </row>
    <row r="766" spans="1:35" hidden="1">
      <c r="A766" s="69" t="s">
        <v>109</v>
      </c>
      <c r="B766" s="69" t="s">
        <v>110</v>
      </c>
      <c r="C766" s="63" t="s">
        <v>1846</v>
      </c>
      <c r="D766" s="69"/>
      <c r="E766" s="68" t="s">
        <v>79</v>
      </c>
      <c r="F766" s="15" t="str">
        <f>IF($C766="","",IF($E766="","-",IFERROR(INDEX(SETUP!$B$55:$B$64,MATCH($E766,SETUP!$A$55:$A$64,0)),"Other")))</f>
        <v>Control</v>
      </c>
      <c r="G766" s="70">
        <v>62086</v>
      </c>
      <c r="H766" s="15" t="str">
        <f>IF($C766="","",IF($G766="","-",INDEX(SETUP!$B$26:$B$32,MATCH($G766,SETUP!$A$26:$A$32,1))))</f>
        <v>62,000 - 62,999</v>
      </c>
      <c r="I766" s="70">
        <v>4163</v>
      </c>
      <c r="J766" s="15" t="str">
        <f>IF($C766="","",IF($I766="","-",INDEX(SETUP!$B$16:$B$22,MATCH($I766,SETUP!$A$16:$A$22,1))))</f>
        <v>CORE</v>
      </c>
      <c r="K766" s="15" t="str">
        <f>IF($C766="","",IF($I766="","-",TEXT(INT($I766/1000)*1000,"#,##0")&amp;" - "&amp;TEXT(INT($I766/1000)*1000+999,"#,##0")))</f>
        <v>4,000 - 4,999</v>
      </c>
      <c r="L766" s="71">
        <v>4.2</v>
      </c>
      <c r="M766" s="15" t="str">
        <f>IF($C766="","",IF($L766="","-",INDEX(SETUP!$B$36:$B$42,MATCH($L766,SETUP!$A$36:$A$42,1))))</f>
        <v>4k - 5k</v>
      </c>
      <c r="N766" s="17">
        <f>IF($C766="","",IF(OR($G766="",$I766=""),"",ROUND(100*(SETUP!$B$4*MIN(1,$I766/SETUP!$B$9)+SETUP!$B$5*MAX(0,MIN(1,($G766-SETUP!$B$10)/(SETUP!$B$11-SETUP!$B$10)))+SETUP!$B$6*MIN(1,IF($L766="",0,$L766)/SETUP!$B$12)),1)))</f>
        <v>43.8</v>
      </c>
      <c r="O766" s="15" t="str">
        <f>IF($C766="","",IF($N766="","-",INDEX(SETUP!$B$46:$B$51,MATCH($N766,SETUP!$A$46:$A$51,1))))</f>
        <v>B</v>
      </c>
      <c r="P766" s="15">
        <f>IF($C766="","",IF($I766="","",RANK($I766,$I$4:$I$1463)+COUNTIF($I$4:$I766,$I766)-1))</f>
        <v>566</v>
      </c>
      <c r="Q766" s="15">
        <f>IF($C766="","",COUNTIFS($B$4:$B$1463,$B766,$X$4:$X$1463,"&gt;"&amp;$X766)+COUNTIFS($B$4:$B766,$B766,$X$4:$X766,"="&amp;$X766))</f>
        <v>60</v>
      </c>
      <c r="R766" s="72">
        <f>IF($C766="","",IF($I766="","",ROUND(COUNTIF($I$4:$I$1463,"&lt;"&amp;$I766)/COUNT($I$4:$I$1463),3)))</f>
        <v>0.57299999999999995</v>
      </c>
      <c r="S766" s="15" t="str">
        <f>IF($C766="","",IF($G766="","Name only",IF(OR($I766="",$L766=""),"Partial","Complete")))</f>
        <v>Complete</v>
      </c>
      <c r="T766" s="41" t="str">
        <f>IF($C766="","",TRIM(IF(COUNTIF($C$4:$C$1463,$C766)&gt;1,"Dup name; ","")&amp;IF(AND($G766&lt;&gt;"",$G766&lt;55000),"Low CR - verify; ","")&amp;IF(AND($L766&lt;&gt;"",$L766&gt;15),"Secondary - verify; ","")&amp;IF($E766="","No class; ","")))</f>
        <v/>
      </c>
      <c r="U766" s="68"/>
      <c r="V766" s="68"/>
      <c r="W766" s="68"/>
      <c r="X766" s="73">
        <f t="shared" si="57"/>
        <v>4163</v>
      </c>
      <c r="Y766" s="41" t="str">
        <f t="shared" si="58"/>
        <v>AZUKI|60</v>
      </c>
      <c r="Z766" s="15">
        <f>IF($C766="","",IF($G766="","",RANK($G766,$G$4:$G$1463)+COUNTIF($G$4:$G766,$G766)-1))</f>
        <v>804</v>
      </c>
      <c r="AA766" s="15">
        <f>IF($C766="","",IF($N766="","",RANK($N766,$N$4:$N$1463)+COUNTIF($N$4:$N766,$N766)-1))</f>
        <v>673</v>
      </c>
      <c r="AB766" s="41" t="str">
        <f>IF($C766="","",IF($E766="","",$E766&amp;"#"&amp;(COUNTIFS($E$4:$E$1463,$E766,$X$4:$X$1463,"&gt;"&amp;$X766)+COUNTIFS($E$4:$E766,$E766,$X$4:$X766,"="&amp;$X766))))</f>
        <v>WARLOCK#133</v>
      </c>
      <c r="AC766" s="41" t="str">
        <f>IF($C766="","",$B766&amp;"@"&amp;(COUNTIFS($B$4:$B$1463,$B766,$C$4:$C$1463,"&lt;"&amp;$C766)+COUNTIFS($B$4:$B766,$B766,$C$4:$C766,$C766)))</f>
        <v>AZUKI@59</v>
      </c>
      <c r="AD766" s="41">
        <f t="shared" si="59"/>
        <v>763</v>
      </c>
      <c r="AE766" s="41" t="s">
        <v>1847</v>
      </c>
      <c r="AF766" s="73">
        <f t="shared" si="60"/>
        <v>62086</v>
      </c>
      <c r="AG766" s="74">
        <f t="shared" si="61"/>
        <v>4.2</v>
      </c>
      <c r="AH766" s="41" t="str">
        <f>IF($C766="","",$B766&amp;"|"&amp;(COUNTIFS($B$4:$B$1463,$B766,$AF$4:$AF$1463,"&gt;"&amp;$AF766)+COUNTIFS($B$4:$B766,$B766,$AF$4:$AF766,"="&amp;$AF766)))</f>
        <v>AZUKI|75</v>
      </c>
      <c r="AI766" s="41" t="str">
        <f>IF($C766="","",$B766&amp;"|"&amp;(COUNTIFS($B$4:$B$1463,$B766,$AG$4:$AG$1463,"&gt;"&amp;$AG766)+COUNTIFS($B$4:$B766,$B766,$AG$4:$AG766,"="&amp;$AG766)))</f>
        <v>AZUKI|86</v>
      </c>
    </row>
    <row r="767" spans="1:35" hidden="1">
      <c r="A767" s="69" t="s">
        <v>109</v>
      </c>
      <c r="B767" s="69" t="s">
        <v>113</v>
      </c>
      <c r="C767" s="63" t="s">
        <v>1848</v>
      </c>
      <c r="D767" s="69" t="s">
        <v>548</v>
      </c>
      <c r="E767" s="68" t="s">
        <v>79</v>
      </c>
      <c r="F767" s="19" t="str">
        <f>IF($C767="","",IF($E767="","-",IFERROR(INDEX(SETUP!$B$55:$B$64,MATCH($E767,SETUP!$A$55:$A$64,0)),"Other")))</f>
        <v>Control</v>
      </c>
      <c r="G767" s="70">
        <v>62412</v>
      </c>
      <c r="H767" s="19" t="str">
        <f>IF($C767="","",IF($G767="","-",INDEX(SETUP!$B$26:$B$32,MATCH($G767,SETUP!$A$26:$A$32,1))))</f>
        <v>62,000 - 62,999</v>
      </c>
      <c r="I767" s="70">
        <v>3288</v>
      </c>
      <c r="J767" s="19" t="str">
        <f>IF($C767="","",IF($I767="","-",INDEX(SETUP!$B$16:$B$22,MATCH($I767,SETUP!$A$16:$A$22,1))))</f>
        <v>DEVELOPING</v>
      </c>
      <c r="K767" s="19" t="str">
        <f>IF($C767="","",IF($I767="","-",TEXT(INT($I767/1000)*1000,"#,##0")&amp;" - "&amp;TEXT(INT($I767/1000)*1000+999,"#,##0")))</f>
        <v>3,000 - 3,999</v>
      </c>
      <c r="L767" s="71">
        <v>6.2</v>
      </c>
      <c r="M767" s="19" t="str">
        <f>IF($C767="","",IF($L767="","-",INDEX(SETUP!$B$36:$B$42,MATCH($L767,SETUP!$A$36:$A$42,1))))</f>
        <v>6k - 8k</v>
      </c>
      <c r="N767" s="21">
        <f>IF($C767="","",IF(OR($G767="",$I767=""),"",ROUND(100*(SETUP!$B$4*MIN(1,$I767/SETUP!$B$9)+SETUP!$B$5*MAX(0,MIN(1,($G767-SETUP!$B$10)/(SETUP!$B$11-SETUP!$B$10)))+SETUP!$B$6*MIN(1,IF($L767="",0,$L767)/SETUP!$B$12)),1)))</f>
        <v>44.2</v>
      </c>
      <c r="O767" s="19" t="str">
        <f>IF($C767="","",IF($N767="","-",INDEX(SETUP!$B$46:$B$51,MATCH($N767,SETUP!$A$46:$A$51,1))))</f>
        <v>B</v>
      </c>
      <c r="P767" s="19">
        <f>IF($C767="","",IF($I767="","",RANK($I767,$I$4:$I$1463)+COUNTIF($I$4:$I767,$I767)-1))</f>
        <v>799</v>
      </c>
      <c r="Q767" s="19">
        <f>IF($C767="","",COUNTIFS($B$4:$B$1463,$B767,$X$4:$X$1463,"&gt;"&amp;$X767)+COUNTIFS($B$4:$B767,$B767,$X$4:$X767,"="&amp;$X767))</f>
        <v>44</v>
      </c>
      <c r="R767" s="75">
        <f>IF($C767="","",IF($I767="","",ROUND(COUNTIF($I$4:$I$1463,"&lt;"&amp;$I767)/COUNT($I$4:$I$1463),3)))</f>
        <v>0.39700000000000002</v>
      </c>
      <c r="S767" s="19" t="str">
        <f>IF($C767="","",IF($G767="","Name only",IF(OR($I767="",$L767=""),"Partial","Complete")))</f>
        <v>Complete</v>
      </c>
      <c r="T767" s="1" t="str">
        <f>IF($C767="","",TRIM(IF(COUNTIF($C$4:$C$1463,$C767)&gt;1,"Dup name; ","")&amp;IF(AND($G767&lt;&gt;"",$G767&lt;55000),"Low CR - verify; ","")&amp;IF(AND($L767&lt;&gt;"",$L767&gt;15),"Secondary - verify; ","")&amp;IF($E767="","No class; ","")))</f>
        <v/>
      </c>
      <c r="U767" s="68"/>
      <c r="V767" s="68"/>
      <c r="W767" s="68"/>
      <c r="X767" s="76">
        <f t="shared" si="57"/>
        <v>3288</v>
      </c>
      <c r="Y767" s="1" t="str">
        <f t="shared" si="58"/>
        <v>INVICTUS|44</v>
      </c>
      <c r="Z767" s="19">
        <f>IF($C767="","",IF($G767="","",RANK($G767,$G$4:$G$1463)+COUNTIF($G$4:$G767,$G767)-1))</f>
        <v>683</v>
      </c>
      <c r="AA767" s="19">
        <f>IF($C767="","",IF($N767="","",RANK($N767,$N$4:$N$1463)+COUNTIF($N$4:$N767,$N767)-1))</f>
        <v>657</v>
      </c>
      <c r="AB767" s="1" t="str">
        <f>IF($C767="","",IF($E767="","",$E767&amp;"#"&amp;(COUNTIFS($E$4:$E$1463,$E767,$X$4:$X$1463,"&gt;"&amp;$X767)+COUNTIFS($E$4:$E767,$E767,$X$4:$X767,"="&amp;$X767))))</f>
        <v>WARLOCK#197</v>
      </c>
      <c r="AC767" s="1" t="str">
        <f>IF($C767="","",$B767&amp;"@"&amp;(COUNTIFS($B$4:$B$1463,$B767,$C$4:$C$1463,"&lt;"&amp;$C767)+COUNTIFS($B$4:$B767,$B767,$C$4:$C767,$C767)))</f>
        <v>INVICTUS@58</v>
      </c>
      <c r="AD767" s="1">
        <f t="shared" si="59"/>
        <v>764</v>
      </c>
      <c r="AE767" s="1" t="s">
        <v>1849</v>
      </c>
      <c r="AF767" s="76">
        <f t="shared" si="60"/>
        <v>62412</v>
      </c>
      <c r="AG767" s="77">
        <f t="shared" si="61"/>
        <v>6.2</v>
      </c>
      <c r="AH767" s="1" t="str">
        <f>IF($C767="","",$B767&amp;"|"&amp;(COUNTIFS($B$4:$B$1463,$B767,$AF$4:$AF$1463,"&gt;"&amp;$AF767)+COUNTIFS($B$4:$B767,$B767,$AF$4:$AF767,"="&amp;$AF767)))</f>
        <v>INVICTUS|41</v>
      </c>
      <c r="AI767" s="1" t="str">
        <f>IF($C767="","",$B767&amp;"|"&amp;(COUNTIFS($B$4:$B$1463,$B767,$AG$4:$AG$1463,"&gt;"&amp;$AG767)+COUNTIFS($B$4:$B767,$B767,$AG$4:$AG767,"="&amp;$AG767)))</f>
        <v>INVICTUS|9</v>
      </c>
    </row>
    <row r="768" spans="1:35" hidden="1">
      <c r="A768" s="69" t="s">
        <v>109</v>
      </c>
      <c r="B768" s="69" t="s">
        <v>110</v>
      </c>
      <c r="C768" s="63" t="s">
        <v>1850</v>
      </c>
      <c r="D768" s="69"/>
      <c r="E768" s="68" t="s">
        <v>71</v>
      </c>
      <c r="F768" s="15" t="str">
        <f>IF($C768="","",IF($E768="","-",IFERROR(INDEX(SETUP!$B$55:$B$64,MATCH($E768,SETUP!$A$55:$A$64,0)),"Other")))</f>
        <v>Frontline</v>
      </c>
      <c r="G768" s="70">
        <v>61930</v>
      </c>
      <c r="H768" s="15" t="str">
        <f>IF($C768="","",IF($G768="","-",INDEX(SETUP!$B$26:$B$32,MATCH($G768,SETUP!$A$26:$A$32,1))))</f>
        <v>61,000 - 61,999</v>
      </c>
      <c r="I768" s="70">
        <v>3605</v>
      </c>
      <c r="J768" s="15" t="str">
        <f>IF($C768="","",IF($I768="","-",INDEX(SETUP!$B$16:$B$22,MATCH($I768,SETUP!$A$16:$A$22,1))))</f>
        <v>DEVELOPING</v>
      </c>
      <c r="K768" s="15" t="str">
        <f>IF($C768="","",IF($I768="","-",TEXT(INT($I768/1000)*1000,"#,##0")&amp;" - "&amp;TEXT(INT($I768/1000)*1000+999,"#,##0")))</f>
        <v>3,000 - 3,999</v>
      </c>
      <c r="L768" s="71">
        <v>4.05</v>
      </c>
      <c r="M768" s="15" t="str">
        <f>IF($C768="","",IF($L768="","-",INDEX(SETUP!$B$36:$B$42,MATCH($L768,SETUP!$A$36:$A$42,1))))</f>
        <v>4k - 5k</v>
      </c>
      <c r="N768" s="17">
        <f>IF($C768="","",IF(OR($G768="",$I768=""),"",ROUND(100*(SETUP!$B$4*MIN(1,$I768/SETUP!$B$9)+SETUP!$B$5*MAX(0,MIN(1,($G768-SETUP!$B$10)/(SETUP!$B$11-SETUP!$B$10)))+SETUP!$B$6*MIN(1,IF($L768="",0,$L768)/SETUP!$B$12)),1)))</f>
        <v>40.700000000000003</v>
      </c>
      <c r="O768" s="15" t="str">
        <f>IF($C768="","",IF($N768="","-",INDEX(SETUP!$B$46:$B$51,MATCH($N768,SETUP!$A$46:$A$51,1))))</f>
        <v>B</v>
      </c>
      <c r="P768" s="15">
        <f>IF($C768="","",IF($I768="","",RANK($I768,$I$4:$I$1463)+COUNTIF($I$4:$I768,$I768)-1))</f>
        <v>699</v>
      </c>
      <c r="Q768" s="15">
        <f>IF($C768="","",COUNTIFS($B$4:$B$1463,$B768,$X$4:$X$1463,"&gt;"&amp;$X768)+COUNTIFS($B$4:$B768,$B768,$X$4:$X768,"="&amp;$X768))</f>
        <v>71</v>
      </c>
      <c r="R768" s="72">
        <f>IF($C768="","",IF($I768="","",ROUND(COUNTIF($I$4:$I$1463,"&lt;"&amp;$I768)/COUNT($I$4:$I$1463),3)))</f>
        <v>0.47199999999999998</v>
      </c>
      <c r="S768" s="15" t="str">
        <f>IF($C768="","",IF($G768="","Name only",IF(OR($I768="",$L768=""),"Partial","Complete")))</f>
        <v>Complete</v>
      </c>
      <c r="T768" s="41" t="str">
        <f>IF($C768="","",TRIM(IF(COUNTIF($C$4:$C$1463,$C768)&gt;1,"Dup name; ","")&amp;IF(AND($G768&lt;&gt;"",$G768&lt;55000),"Low CR - verify; ","")&amp;IF(AND($L768&lt;&gt;"",$L768&gt;15),"Secondary - verify; ","")&amp;IF($E768="","No class; ","")))</f>
        <v/>
      </c>
      <c r="U768" s="68"/>
      <c r="V768" s="68"/>
      <c r="W768" s="68"/>
      <c r="X768" s="73">
        <f t="shared" si="57"/>
        <v>3605</v>
      </c>
      <c r="Y768" s="41" t="str">
        <f t="shared" si="58"/>
        <v>AZUKI|71</v>
      </c>
      <c r="Z768" s="15">
        <f>IF($C768="","",IF($G768="","",RANK($G768,$G$4:$G$1463)+COUNTIF($G$4:$G768,$G768)-1))</f>
        <v>860</v>
      </c>
      <c r="AA768" s="15">
        <f>IF($C768="","",IF($N768="","",RANK($N768,$N$4:$N$1463)+COUNTIF($N$4:$N768,$N768)-1))</f>
        <v>791</v>
      </c>
      <c r="AB768" s="41" t="str">
        <f>IF($C768="","",IF($E768="","",$E768&amp;"#"&amp;(COUNTIFS($E$4:$E$1463,$E768,$X$4:$X$1463,"&gt;"&amp;$X768)+COUNTIFS($E$4:$E768,$E768,$X$4:$X768,"="&amp;$X768))))</f>
        <v>BARBARIAN#123</v>
      </c>
      <c r="AC768" s="41" t="str">
        <f>IF($C768="","",$B768&amp;"@"&amp;(COUNTIFS($B$4:$B$1463,$B768,$C$4:$C$1463,"&lt;"&amp;$C768)+COUNTIFS($B$4:$B768,$B768,$C$4:$C768,$C768)))</f>
        <v>AZUKI@60</v>
      </c>
      <c r="AD768" s="41">
        <f t="shared" si="59"/>
        <v>765</v>
      </c>
      <c r="AE768" s="41" t="s">
        <v>1851</v>
      </c>
      <c r="AF768" s="73">
        <f t="shared" si="60"/>
        <v>61930</v>
      </c>
      <c r="AG768" s="74">
        <f t="shared" si="61"/>
        <v>4.05</v>
      </c>
      <c r="AH768" s="41" t="str">
        <f>IF($C768="","",$B768&amp;"|"&amp;(COUNTIFS($B$4:$B$1463,$B768,$AF$4:$AF$1463,"&gt;"&amp;$AF768)+COUNTIFS($B$4:$B768,$B768,$AF$4:$AF768,"="&amp;$AF768)))</f>
        <v>AZUKI|80</v>
      </c>
      <c r="AI768" s="41" t="str">
        <f>IF($C768="","",$B768&amp;"|"&amp;(COUNTIFS($B$4:$B$1463,$B768,$AG$4:$AG$1463,"&gt;"&amp;$AG768)+COUNTIFS($B$4:$B768,$B768,$AG$4:$AG768,"="&amp;$AG768)))</f>
        <v>AZUKI|90</v>
      </c>
    </row>
    <row r="769" spans="1:35" hidden="1">
      <c r="A769" s="69" t="s">
        <v>109</v>
      </c>
      <c r="B769" s="69" t="s">
        <v>113</v>
      </c>
      <c r="C769" s="63" t="s">
        <v>1852</v>
      </c>
      <c r="D769" s="69" t="s">
        <v>548</v>
      </c>
      <c r="E769" s="68" t="s">
        <v>77</v>
      </c>
      <c r="F769" s="19" t="str">
        <f>IF($C769="","",IF($E769="","-",IFERROR(INDEX(SETUP!$B$55:$B$64,MATCH($E769,SETUP!$A$55:$A$64,0)),"Other")))</f>
        <v>Control</v>
      </c>
      <c r="G769" s="70">
        <v>63094</v>
      </c>
      <c r="H769" s="19" t="str">
        <f>IF($C769="","",IF($G769="","-",INDEX(SETUP!$B$26:$B$32,MATCH($G769,SETUP!$A$26:$A$32,1))))</f>
        <v>63,000 - 63,999</v>
      </c>
      <c r="I769" s="70">
        <v>3960</v>
      </c>
      <c r="J769" s="19" t="str">
        <f>IF($C769="","",IF($I769="","-",INDEX(SETUP!$B$16:$B$22,MATCH($I769,SETUP!$A$16:$A$22,1))))</f>
        <v>DEVELOPING</v>
      </c>
      <c r="K769" s="19" t="str">
        <f>IF($C769="","",IF($I769="","-",TEXT(INT($I769/1000)*1000,"#,##0")&amp;" - "&amp;TEXT(INT($I769/1000)*1000+999,"#,##0")))</f>
        <v>3,000 - 3,999</v>
      </c>
      <c r="L769" s="71">
        <v>5.5</v>
      </c>
      <c r="M769" s="19" t="str">
        <f>IF($C769="","",IF($L769="","-",INDEX(SETUP!$B$36:$B$42,MATCH($L769,SETUP!$A$36:$A$42,1))))</f>
        <v>5k - 6k</v>
      </c>
      <c r="N769" s="21">
        <f>IF($C769="","",IF(OR($G769="",$I769=""),"",ROUND(100*(SETUP!$B$4*MIN(1,$I769/SETUP!$B$9)+SETUP!$B$5*MAX(0,MIN(1,($G769-SETUP!$B$10)/(SETUP!$B$11-SETUP!$B$10)))+SETUP!$B$6*MIN(1,IF($L769="",0,$L769)/SETUP!$B$12)),1)))</f>
        <v>47.8</v>
      </c>
      <c r="O769" s="19" t="str">
        <f>IF($C769="","",IF($N769="","-",INDEX(SETUP!$B$46:$B$51,MATCH($N769,SETUP!$A$46:$A$51,1))))</f>
        <v>B</v>
      </c>
      <c r="P769" s="19">
        <f>IF($C769="","",IF($I769="","",RANK($I769,$I$4:$I$1463)+COUNTIF($I$4:$I769,$I769)-1))</f>
        <v>607</v>
      </c>
      <c r="Q769" s="19">
        <f>IF($C769="","",COUNTIFS($B$4:$B$1463,$B769,$X$4:$X$1463,"&gt;"&amp;$X769)+COUNTIFS($B$4:$B769,$B769,$X$4:$X769,"="&amp;$X769))</f>
        <v>28</v>
      </c>
      <c r="R769" s="75">
        <f>IF($C769="","",IF($I769="","",ROUND(COUNTIF($I$4:$I$1463,"&lt;"&amp;$I769)/COUNT($I$4:$I$1463),3)))</f>
        <v>0.54200000000000004</v>
      </c>
      <c r="S769" s="19" t="str">
        <f>IF($C769="","",IF($G769="","Name only",IF(OR($I769="",$L769=""),"Partial","Complete")))</f>
        <v>Complete</v>
      </c>
      <c r="T769" s="1" t="str">
        <f>IF($C769="","",TRIM(IF(COUNTIF($C$4:$C$1463,$C769)&gt;1,"Dup name; ","")&amp;IF(AND($G769&lt;&gt;"",$G769&lt;55000),"Low CR - verify; ","")&amp;IF(AND($L769&lt;&gt;"",$L769&gt;15),"Secondary - verify; ","")&amp;IF($E769="","No class; ","")))</f>
        <v/>
      </c>
      <c r="U769" s="68"/>
      <c r="V769" s="68"/>
      <c r="W769" s="68"/>
      <c r="X769" s="76">
        <f t="shared" si="57"/>
        <v>3960</v>
      </c>
      <c r="Y769" s="1" t="str">
        <f t="shared" si="58"/>
        <v>INVICTUS|28</v>
      </c>
      <c r="Z769" s="19">
        <f>IF($C769="","",IF($G769="","",RANK($G769,$G$4:$G$1463)+COUNTIF($G$4:$G769,$G769)-1))</f>
        <v>382</v>
      </c>
      <c r="AA769" s="19">
        <f>IF($C769="","",IF($N769="","",RANK($N769,$N$4:$N$1463)+COUNTIF($N$4:$N769,$N769)-1))</f>
        <v>524</v>
      </c>
      <c r="AB769" s="1" t="str">
        <f>IF($C769="","",IF($E769="","",$E769&amp;"#"&amp;(COUNTIFS($E$4:$E$1463,$E769,$X$4:$X$1463,"&gt;"&amp;$X769)+COUNTIFS($E$4:$E769,$E769,$X$4:$X769,"="&amp;$X769))))</f>
        <v>NECROMANCER#29</v>
      </c>
      <c r="AC769" s="1" t="str">
        <f>IF($C769="","",$B769&amp;"@"&amp;(COUNTIFS($B$4:$B$1463,$B769,$C$4:$C$1463,"&lt;"&amp;$C769)+COUNTIFS($B$4:$B769,$B769,$C$4:$C769,$C769)))</f>
        <v>INVICTUS@59</v>
      </c>
      <c r="AD769" s="1">
        <f t="shared" si="59"/>
        <v>766</v>
      </c>
      <c r="AE769" s="1" t="s">
        <v>1853</v>
      </c>
      <c r="AF769" s="76">
        <f t="shared" si="60"/>
        <v>63094</v>
      </c>
      <c r="AG769" s="77">
        <f t="shared" si="61"/>
        <v>5.5</v>
      </c>
      <c r="AH769" s="1" t="str">
        <f>IF($C769="","",$B769&amp;"|"&amp;(COUNTIFS($B$4:$B$1463,$B769,$AF$4:$AF$1463,"&gt;"&amp;$AF769)+COUNTIFS($B$4:$B769,$B769,$AF$4:$AF769,"="&amp;$AF769)))</f>
        <v>INVICTUS|19</v>
      </c>
      <c r="AI769" s="1" t="str">
        <f>IF($C769="","",$B769&amp;"|"&amp;(COUNTIFS($B$4:$B$1463,$B769,$AG$4:$AG$1463,"&gt;"&amp;$AG769)+COUNTIFS($B$4:$B769,$B769,$AG$4:$AG769,"="&amp;$AG769)))</f>
        <v>INVICTUS|20</v>
      </c>
    </row>
    <row r="770" spans="1:35" hidden="1">
      <c r="A770" s="69" t="s">
        <v>109</v>
      </c>
      <c r="B770" s="69" t="s">
        <v>108</v>
      </c>
      <c r="C770" s="63" t="s">
        <v>1854</v>
      </c>
      <c r="D770" s="69"/>
      <c r="E770" s="68" t="s">
        <v>74</v>
      </c>
      <c r="F770" s="15" t="str">
        <f>IF($C770="","",IF($E770="","-",IFERROR(INDEX(SETUP!$B$55:$B$64,MATCH($E770,SETUP!$A$55:$A$64,0)),"Other")))</f>
        <v>Ranged DPS</v>
      </c>
      <c r="G770" s="70">
        <v>58327</v>
      </c>
      <c r="H770" s="15" t="str">
        <f>IF($C770="","",IF($G770="","-",INDEX(SETUP!$B$26:$B$32,MATCH($G770,SETUP!$A$26:$A$32,1))))</f>
        <v>58,000 - 59,999</v>
      </c>
      <c r="I770" s="70">
        <v>7428</v>
      </c>
      <c r="J770" s="15" t="str">
        <f>IF($C770="","",IF($I770="","-",INDEX(SETUP!$B$16:$B$22,MATCH($I770,SETUP!$A$16:$A$22,1))))</f>
        <v>VETERAN</v>
      </c>
      <c r="K770" s="15" t="str">
        <f>IF($C770="","",IF($I770="","-",TEXT(INT($I770/1000)*1000,"#,##0")&amp;" - "&amp;TEXT(INT($I770/1000)*1000+999,"#,##0")))</f>
        <v>7,000 - 7,999</v>
      </c>
      <c r="L770" s="71">
        <v>5.95</v>
      </c>
      <c r="M770" s="15" t="str">
        <f>IF($C770="","",IF($L770="","-",INDEX(SETUP!$B$36:$B$42,MATCH($L770,SETUP!$A$36:$A$42,1))))</f>
        <v>5k - 6k</v>
      </c>
      <c r="N770" s="17">
        <f>IF($C770="","",IF(OR($G770="",$I770=""),"",ROUND(100*(SETUP!$B$4*MIN(1,$I770/SETUP!$B$9)+SETUP!$B$5*MAX(0,MIN(1,($G770-SETUP!$B$10)/(SETUP!$B$11-SETUP!$B$10)))+SETUP!$B$6*MIN(1,IF($L770="",0,$L770)/SETUP!$B$12)),1)))</f>
        <v>51.1</v>
      </c>
      <c r="O770" s="15" t="str">
        <f>IF($C770="","",IF($N770="","-",INDEX(SETUP!$B$46:$B$51,MATCH($N770,SETUP!$A$46:$A$51,1))))</f>
        <v>A</v>
      </c>
      <c r="P770" s="15">
        <f>IF($C770="","",IF($I770="","",RANK($I770,$I$4:$I$1463)+COUNTIF($I$4:$I770,$I770)-1))</f>
        <v>179</v>
      </c>
      <c r="Q770" s="15">
        <f>IF($C770="","",COUNTIFS($B$4:$B$1463,$B770,$X$4:$X$1463,"&gt;"&amp;$X770)+COUNTIFS($B$4:$B770,$B770,$X$4:$X770,"="&amp;$X770))</f>
        <v>26</v>
      </c>
      <c r="R770" s="72">
        <f>IF($C770="","",IF($I770="","",ROUND(COUNTIF($I$4:$I$1463,"&lt;"&amp;$I770)/COUNT($I$4:$I$1463),3)))</f>
        <v>0.86499999999999999</v>
      </c>
      <c r="S770" s="15" t="str">
        <f>IF($C770="","",IF($G770="","Name only",IF(OR($I770="",$L770=""),"Partial","Complete")))</f>
        <v>Complete</v>
      </c>
      <c r="T770" s="41" t="str">
        <f>IF($C770="","",TRIM(IF(COUNTIF($C$4:$C$1463,$C770)&gt;1,"Dup name; ","")&amp;IF(AND($G770&lt;&gt;"",$G770&lt;55000),"Low CR - verify; ","")&amp;IF(AND($L770&lt;&gt;"",$L770&gt;15),"Secondary - verify; ","")&amp;IF($E770="","No class; ","")))</f>
        <v/>
      </c>
      <c r="U770" s="68"/>
      <c r="V770" s="68"/>
      <c r="W770" s="68"/>
      <c r="X770" s="73">
        <f t="shared" si="57"/>
        <v>7428</v>
      </c>
      <c r="Y770" s="41" t="str">
        <f t="shared" si="58"/>
        <v>SBG|26</v>
      </c>
      <c r="Z770" s="15">
        <f>IF($C770="","",IF($G770="","",RANK($G770,$G$4:$G$1463)+COUNTIF($G$4:$G770,$G770)-1))</f>
        <v>1292</v>
      </c>
      <c r="AA770" s="15">
        <f>IF($C770="","",IF($N770="","",RANK($N770,$N$4:$N$1463)+COUNTIF($N$4:$N770,$N770)-1))</f>
        <v>423</v>
      </c>
      <c r="AB770" s="41" t="str">
        <f>IF($C770="","",IF($E770="","",$E770&amp;"#"&amp;(COUNTIFS($E$4:$E$1463,$E770,$X$4:$X$1463,"&gt;"&amp;$X770)+COUNTIFS($E$4:$E770,$E770,$X$4:$X770,"="&amp;$X770))))</f>
        <v>DEMON HUNTER#33</v>
      </c>
      <c r="AC770" s="41" t="str">
        <f>IF($C770="","",$B770&amp;"@"&amp;(COUNTIFS($B$4:$B$1463,$B770,$C$4:$C$1463,"&lt;"&amp;$C770)+COUNTIFS($B$4:$B770,$B770,$C$4:$C770,$C770)))</f>
        <v>SBG@44</v>
      </c>
      <c r="AD770" s="41">
        <f t="shared" si="59"/>
        <v>767</v>
      </c>
      <c r="AE770" s="41" t="s">
        <v>1855</v>
      </c>
      <c r="AF770" s="73">
        <f t="shared" si="60"/>
        <v>58327</v>
      </c>
      <c r="AG770" s="74">
        <f t="shared" si="61"/>
        <v>5.95</v>
      </c>
      <c r="AH770" s="41" t="str">
        <f>IF($C770="","",$B770&amp;"|"&amp;(COUNTIFS($B$4:$B$1463,$B770,$AF$4:$AF$1463,"&gt;"&amp;$AF770)+COUNTIFS($B$4:$B770,$B770,$AF$4:$AF770,"="&amp;$AF770)))</f>
        <v>SBG|96</v>
      </c>
      <c r="AI770" s="41" t="str">
        <f>IF($C770="","",$B770&amp;"|"&amp;(COUNTIFS($B$4:$B$1463,$B770,$AG$4:$AG$1463,"&gt;"&amp;$AG770)+COUNTIFS($B$4:$B770,$B770,$AG$4:$AG770,"="&amp;$AG770)))</f>
        <v>SBG|42</v>
      </c>
    </row>
    <row r="771" spans="1:35" hidden="1">
      <c r="A771" s="69" t="s">
        <v>109</v>
      </c>
      <c r="B771" s="69" t="s">
        <v>116</v>
      </c>
      <c r="C771" s="63" t="s">
        <v>1856</v>
      </c>
      <c r="D771" s="69" t="s">
        <v>530</v>
      </c>
      <c r="E771" s="68" t="s">
        <v>80</v>
      </c>
      <c r="F771" s="19" t="str">
        <f>IF($C771="","",IF($E771="","-",IFERROR(INDEX(SETUP!$B$55:$B$64,MATCH($E771,SETUP!$A$55:$A$64,0)),"Other")))</f>
        <v>Ranged DPS</v>
      </c>
      <c r="G771" s="70">
        <v>62410</v>
      </c>
      <c r="H771" s="19" t="str">
        <f>IF($C771="","",IF($G771="","-",INDEX(SETUP!$B$26:$B$32,MATCH($G771,SETUP!$A$26:$A$32,1))))</f>
        <v>62,000 - 62,999</v>
      </c>
      <c r="I771" s="70">
        <v>4744</v>
      </c>
      <c r="J771" s="19" t="str">
        <f>IF($C771="","",IF($I771="","-",INDEX(SETUP!$B$16:$B$22,MATCH($I771,SETUP!$A$16:$A$22,1))))</f>
        <v>CORE</v>
      </c>
      <c r="K771" s="19" t="str">
        <f>IF($C771="","",IF($I771="","-",TEXT(INT($I771/1000)*1000,"#,##0")&amp;" - "&amp;TEXT(INT($I771/1000)*1000+999,"#,##0")))</f>
        <v>4,000 - 4,999</v>
      </c>
      <c r="L771" s="71">
        <v>6.43</v>
      </c>
      <c r="M771" s="19" t="str">
        <f>IF($C771="","",IF($L771="","-",INDEX(SETUP!$B$36:$B$42,MATCH($L771,SETUP!$A$36:$A$42,1))))</f>
        <v>6k - 8k</v>
      </c>
      <c r="N771" s="21">
        <f>IF($C771="","",IF(OR($G771="",$I771=""),"",ROUND(100*(SETUP!$B$4*MIN(1,$I771/SETUP!$B$9)+SETUP!$B$5*MAX(0,MIN(1,($G771-SETUP!$B$10)/(SETUP!$B$11-SETUP!$B$10)))+SETUP!$B$6*MIN(1,IF($L771="",0,$L771)/SETUP!$B$12)),1)))</f>
        <v>50.9</v>
      </c>
      <c r="O771" s="19" t="str">
        <f>IF($C771="","",IF($N771="","-",INDEX(SETUP!$B$46:$B$51,MATCH($N771,SETUP!$A$46:$A$51,1))))</f>
        <v>A</v>
      </c>
      <c r="P771" s="19">
        <f>IF($C771="","",IF($I771="","",RANK($I771,$I$4:$I$1463)+COUNTIF($I$4:$I771,$I771)-1))</f>
        <v>450</v>
      </c>
      <c r="Q771" s="19">
        <f>IF($C771="","",COUNTIFS($B$4:$B$1463,$B771,$X$4:$X$1463,"&gt;"&amp;$X771)+COUNTIFS($B$4:$B771,$B771,$X$4:$X771,"="&amp;$X771))</f>
        <v>19</v>
      </c>
      <c r="R771" s="75">
        <f>IF($C771="","",IF($I771="","",ROUND(COUNTIF($I$4:$I$1463,"&lt;"&amp;$I771)/COUNT($I$4:$I$1463),3)))</f>
        <v>0.66</v>
      </c>
      <c r="S771" s="19" t="str">
        <f>IF($C771="","",IF($G771="","Name only",IF(OR($I771="",$L771=""),"Partial","Complete")))</f>
        <v>Complete</v>
      </c>
      <c r="T771" s="1" t="str">
        <f>IF($C771="","",TRIM(IF(COUNTIF($C$4:$C$1463,$C771)&gt;1,"Dup name; ","")&amp;IF(AND($G771&lt;&gt;"",$G771&lt;55000),"Low CR - verify; ","")&amp;IF(AND($L771&lt;&gt;"",$L771&gt;15),"Secondary - verify; ","")&amp;IF($E771="","No class; ","")))</f>
        <v/>
      </c>
      <c r="U771" s="68"/>
      <c r="V771" s="68"/>
      <c r="W771" s="68"/>
      <c r="X771" s="76">
        <f t="shared" si="57"/>
        <v>4744</v>
      </c>
      <c r="Y771" s="1" t="str">
        <f t="shared" si="58"/>
        <v>VENGEANCE|19</v>
      </c>
      <c r="Z771" s="19">
        <f>IF($C771="","",IF($G771="","",RANK($G771,$G$4:$G$1463)+COUNTIF($G$4:$G771,$G771)-1))</f>
        <v>686</v>
      </c>
      <c r="AA771" s="19">
        <f>IF($C771="","",IF($N771="","",RANK($N771,$N$4:$N$1463)+COUNTIF($N$4:$N771,$N771)-1))</f>
        <v>430</v>
      </c>
      <c r="AB771" s="1" t="str">
        <f>IF($C771="","",IF($E771="","",$E771&amp;"#"&amp;(COUNTIFS($E$4:$E$1463,$E771,$X$4:$X$1463,"&gt;"&amp;$X771)+COUNTIFS($E$4:$E771,$E771,$X$4:$X771,"="&amp;$X771))))</f>
        <v>WIZARD#30</v>
      </c>
      <c r="AC771" s="1" t="str">
        <f>IF($C771="","",$B771&amp;"@"&amp;(COUNTIFS($B$4:$B$1463,$B771,$C$4:$C$1463,"&lt;"&amp;$C771)+COUNTIFS($B$4:$B771,$B771,$C$4:$C771,$C771)))</f>
        <v>VENGEANCE@47</v>
      </c>
      <c r="AD771" s="1">
        <f t="shared" si="59"/>
        <v>768</v>
      </c>
      <c r="AE771" s="1" t="s">
        <v>1857</v>
      </c>
      <c r="AF771" s="76">
        <f t="shared" si="60"/>
        <v>62410</v>
      </c>
      <c r="AG771" s="77">
        <f t="shared" si="61"/>
        <v>6.43</v>
      </c>
      <c r="AH771" s="1" t="str">
        <f>IF($C771="","",$B771&amp;"|"&amp;(COUNTIFS($B$4:$B$1463,$B771,$AF$4:$AF$1463,"&gt;"&amp;$AF771)+COUNTIFS($B$4:$B771,$B771,$AF$4:$AF771,"="&amp;$AF771)))</f>
        <v>VENGEANCE|43</v>
      </c>
      <c r="AI771" s="1" t="str">
        <f>IF($C771="","",$B771&amp;"|"&amp;(COUNTIFS($B$4:$B$1463,$B771,$AG$4:$AG$1463,"&gt;"&amp;$AG771)+COUNTIFS($B$4:$B771,$B771,$AG$4:$AG771,"="&amp;$AG771)))</f>
        <v>VENGEANCE|8</v>
      </c>
    </row>
    <row r="772" spans="1:35" hidden="1">
      <c r="A772" s="69" t="s">
        <v>109</v>
      </c>
      <c r="B772" s="69" t="s">
        <v>108</v>
      </c>
      <c r="C772" s="63" t="s">
        <v>1858</v>
      </c>
      <c r="D772" s="69"/>
      <c r="E772" s="68" t="s">
        <v>74</v>
      </c>
      <c r="F772" s="15" t="str">
        <f>IF($C772="","",IF($E772="","-",IFERROR(INDEX(SETUP!$B$55:$B$64,MATCH($E772,SETUP!$A$55:$A$64,0)),"Other")))</f>
        <v>Ranged DPS</v>
      </c>
      <c r="G772" s="70">
        <v>62594</v>
      </c>
      <c r="H772" s="15" t="str">
        <f>IF($C772="","",IF($G772="","-",INDEX(SETUP!$B$26:$B$32,MATCH($G772,SETUP!$A$26:$A$32,1))))</f>
        <v>62,000 - 62,999</v>
      </c>
      <c r="I772" s="70">
        <v>4075</v>
      </c>
      <c r="J772" s="15" t="str">
        <f>IF($C772="","",IF($I772="","-",INDEX(SETUP!$B$16:$B$22,MATCH($I772,SETUP!$A$16:$A$22,1))))</f>
        <v>CORE</v>
      </c>
      <c r="K772" s="15" t="str">
        <f>IF($C772="","",IF($I772="","-",TEXT(INT($I772/1000)*1000,"#,##0")&amp;" - "&amp;TEXT(INT($I772/1000)*1000+999,"#,##0")))</f>
        <v>4,000 - 4,999</v>
      </c>
      <c r="L772" s="71">
        <v>5.85</v>
      </c>
      <c r="M772" s="15" t="str">
        <f>IF($C772="","",IF($L772="","-",INDEX(SETUP!$B$36:$B$42,MATCH($L772,SETUP!$A$36:$A$42,1))))</f>
        <v>5k - 6k</v>
      </c>
      <c r="N772" s="17">
        <f>IF($C772="","",IF(OR($G772="",$I772=""),"",ROUND(100*(SETUP!$B$4*MIN(1,$I772/SETUP!$B$9)+SETUP!$B$5*MAX(0,MIN(1,($G772-SETUP!$B$10)/(SETUP!$B$11-SETUP!$B$10)))+SETUP!$B$6*MIN(1,IF($L772="",0,$L772)/SETUP!$B$12)),1)))</f>
        <v>47.5</v>
      </c>
      <c r="O772" s="15" t="str">
        <f>IF($C772="","",IF($N772="","-",INDEX(SETUP!$B$46:$B$51,MATCH($N772,SETUP!$A$46:$A$51,1))))</f>
        <v>B</v>
      </c>
      <c r="P772" s="15">
        <f>IF($C772="","",IF($I772="","",RANK($I772,$I$4:$I$1463)+COUNTIF($I$4:$I772,$I772)-1))</f>
        <v>582</v>
      </c>
      <c r="Q772" s="15">
        <f>IF($C772="","",COUNTIFS($B$4:$B$1463,$B772,$X$4:$X$1463,"&gt;"&amp;$X772)+COUNTIFS($B$4:$B772,$B772,$X$4:$X772,"="&amp;$X772))</f>
        <v>70</v>
      </c>
      <c r="R772" s="72">
        <f>IF($C772="","",IF($I772="","",ROUND(COUNTIF($I$4:$I$1463,"&lt;"&amp;$I772)/COUNT($I$4:$I$1463),3)))</f>
        <v>0.56100000000000005</v>
      </c>
      <c r="S772" s="15" t="str">
        <f>IF($C772="","",IF($G772="","Name only",IF(OR($I772="",$L772=""),"Partial","Complete")))</f>
        <v>Complete</v>
      </c>
      <c r="T772" s="41" t="str">
        <f>IF($C772="","",TRIM(IF(COUNTIF($C$4:$C$1463,$C772)&gt;1,"Dup name; ","")&amp;IF(AND($G772&lt;&gt;"",$G772&lt;55000),"Low CR - verify; ","")&amp;IF(AND($L772&lt;&gt;"",$L772&gt;15),"Secondary - verify; ","")&amp;IF($E772="","No class; ","")))</f>
        <v/>
      </c>
      <c r="U772" s="68"/>
      <c r="V772" s="68"/>
      <c r="W772" s="68"/>
      <c r="X772" s="73">
        <f t="shared" ref="X772:X835" si="62">IF($C772="","",IF($I772="",-1,$I772))</f>
        <v>4075</v>
      </c>
      <c r="Y772" s="41" t="str">
        <f t="shared" ref="Y772:Y835" si="63">IF($C772="","",$B772&amp;"|"&amp;$Q772)</f>
        <v>SBG|70</v>
      </c>
      <c r="Z772" s="15">
        <f>IF($C772="","",IF($G772="","",RANK($G772,$G$4:$G$1463)+COUNTIF($G$4:$G772,$G772)-1))</f>
        <v>615</v>
      </c>
      <c r="AA772" s="15">
        <f>IF($C772="","",IF($N772="","",RANK($N772,$N$4:$N$1463)+COUNTIF($N$4:$N772,$N772)-1))</f>
        <v>535</v>
      </c>
      <c r="AB772" s="41" t="str">
        <f>IF($C772="","",IF($E772="","",$E772&amp;"#"&amp;(COUNTIFS($E$4:$E$1463,$E772,$X$4:$X$1463,"&gt;"&amp;$X772)+COUNTIFS($E$4:$E772,$E772,$X$4:$X772,"="&amp;$X772))))</f>
        <v>DEMON HUNTER#93</v>
      </c>
      <c r="AC772" s="41" t="str">
        <f>IF($C772="","",$B772&amp;"@"&amp;(COUNTIFS($B$4:$B$1463,$B772,$C$4:$C$1463,"&lt;"&amp;$C772)+COUNTIFS($B$4:$B772,$B772,$C$4:$C772,$C772)))</f>
        <v>SBG@45</v>
      </c>
      <c r="AD772" s="41">
        <f t="shared" ref="AD772:AD835" si="64">IF($C772="","",ROW()-4+1)</f>
        <v>769</v>
      </c>
      <c r="AE772" s="41" t="s">
        <v>1859</v>
      </c>
      <c r="AF772" s="73">
        <f t="shared" ref="AF772:AF835" si="65">IF($C772="","",IF($G772="",-1,$G772))</f>
        <v>62594</v>
      </c>
      <c r="AG772" s="74">
        <f t="shared" ref="AG772:AG835" si="66">IF($C772="","",IF($L772="",-1,$L772))</f>
        <v>5.85</v>
      </c>
      <c r="AH772" s="41" t="str">
        <f>IF($C772="","",$B772&amp;"|"&amp;(COUNTIFS($B$4:$B$1463,$B772,$AF$4:$AF$1463,"&gt;"&amp;$AF772)+COUNTIFS($B$4:$B772,$B772,$AF$4:$AF772,"="&amp;$AF772)))</f>
        <v>SBG|58</v>
      </c>
      <c r="AI772" s="41" t="str">
        <f>IF($C772="","",$B772&amp;"|"&amp;(COUNTIFS($B$4:$B$1463,$B772,$AG$4:$AG$1463,"&gt;"&amp;$AG772)+COUNTIFS($B$4:$B772,$B772,$AG$4:$AG772,"="&amp;$AG772)))</f>
        <v>SBG|46</v>
      </c>
    </row>
    <row r="773" spans="1:35" hidden="1">
      <c r="A773" s="69" t="s">
        <v>109</v>
      </c>
      <c r="B773" s="69" t="s">
        <v>116</v>
      </c>
      <c r="C773" s="63" t="s">
        <v>1860</v>
      </c>
      <c r="D773" s="69" t="s">
        <v>530</v>
      </c>
      <c r="E773" s="68" t="s">
        <v>79</v>
      </c>
      <c r="F773" s="19" t="str">
        <f>IF($C773="","",IF($E773="","-",IFERROR(INDEX(SETUP!$B$55:$B$64,MATCH($E773,SETUP!$A$55:$A$64,0)),"Other")))</f>
        <v>Control</v>
      </c>
      <c r="G773" s="70">
        <v>63174</v>
      </c>
      <c r="H773" s="19" t="str">
        <f>IF($C773="","",IF($G773="","-",INDEX(SETUP!$B$26:$B$32,MATCH($G773,SETUP!$A$26:$A$32,1))))</f>
        <v>63,000 - 63,999</v>
      </c>
      <c r="I773" s="70">
        <v>4081</v>
      </c>
      <c r="J773" s="19" t="str">
        <f>IF($C773="","",IF($I773="","-",INDEX(SETUP!$B$16:$B$22,MATCH($I773,SETUP!$A$16:$A$22,1))))</f>
        <v>CORE</v>
      </c>
      <c r="K773" s="19" t="str">
        <f>IF($C773="","",IF($I773="","-",TEXT(INT($I773/1000)*1000,"#,##0")&amp;" - "&amp;TEXT(INT($I773/1000)*1000+999,"#,##0")))</f>
        <v>4,000 - 4,999</v>
      </c>
      <c r="L773" s="71">
        <v>4.5</v>
      </c>
      <c r="M773" s="19" t="str">
        <f>IF($C773="","",IF($L773="","-",INDEX(SETUP!$B$36:$B$42,MATCH($L773,SETUP!$A$36:$A$42,1))))</f>
        <v>4k - 5k</v>
      </c>
      <c r="N773" s="21">
        <f>IF($C773="","",IF(OR($G773="",$I773=""),"",ROUND(100*(SETUP!$B$4*MIN(1,$I773/SETUP!$B$9)+SETUP!$B$5*MAX(0,MIN(1,($G773-SETUP!$B$10)/(SETUP!$B$11-SETUP!$B$10)))+SETUP!$B$6*MIN(1,IF($L773="",0,$L773)/SETUP!$B$12)),1)))</f>
        <v>46.8</v>
      </c>
      <c r="O773" s="19" t="str">
        <f>IF($C773="","",IF($N773="","-",INDEX(SETUP!$B$46:$B$51,MATCH($N773,SETUP!$A$46:$A$51,1))))</f>
        <v>B</v>
      </c>
      <c r="P773" s="19">
        <f>IF($C773="","",IF($I773="","",RANK($I773,$I$4:$I$1463)+COUNTIF($I$4:$I773,$I773)-1))</f>
        <v>579</v>
      </c>
      <c r="Q773" s="19">
        <f>IF($C773="","",COUNTIFS($B$4:$B$1463,$B773,$X$4:$X$1463,"&gt;"&amp;$X773)+COUNTIFS($B$4:$B773,$B773,$X$4:$X773,"="&amp;$X773))</f>
        <v>30</v>
      </c>
      <c r="R773" s="75">
        <f>IF($C773="","",IF($I773="","",ROUND(COUNTIF($I$4:$I$1463,"&lt;"&amp;$I773)/COUNT($I$4:$I$1463),3)))</f>
        <v>0.56299999999999994</v>
      </c>
      <c r="S773" s="19" t="str">
        <f>IF($C773="","",IF($G773="","Name only",IF(OR($I773="",$L773=""),"Partial","Complete")))</f>
        <v>Complete</v>
      </c>
      <c r="T773" s="1" t="str">
        <f>IF($C773="","",TRIM(IF(COUNTIF($C$4:$C$1463,$C773)&gt;1,"Dup name; ","")&amp;IF(AND($G773&lt;&gt;"",$G773&lt;55000),"Low CR - verify; ","")&amp;IF(AND($L773&lt;&gt;"",$L773&gt;15),"Secondary - verify; ","")&amp;IF($E773="","No class; ","")))</f>
        <v/>
      </c>
      <c r="U773" s="68"/>
      <c r="V773" s="68"/>
      <c r="W773" s="68"/>
      <c r="X773" s="76">
        <f t="shared" si="62"/>
        <v>4081</v>
      </c>
      <c r="Y773" s="1" t="str">
        <f t="shared" si="63"/>
        <v>VENGEANCE|30</v>
      </c>
      <c r="Z773" s="19">
        <f>IF($C773="","",IF($G773="","",RANK($G773,$G$4:$G$1463)+COUNTIF($G$4:$G773,$G773)-1))</f>
        <v>329</v>
      </c>
      <c r="AA773" s="19">
        <f>IF($C773="","",IF($N773="","",RANK($N773,$N$4:$N$1463)+COUNTIF($N$4:$N773,$N773)-1))</f>
        <v>555</v>
      </c>
      <c r="AB773" s="1" t="str">
        <f>IF($C773="","",IF($E773="","",$E773&amp;"#"&amp;(COUNTIFS($E$4:$E$1463,$E773,$X$4:$X$1463,"&gt;"&amp;$X773)+COUNTIFS($E$4:$E773,$E773,$X$4:$X773,"="&amp;$X773))))</f>
        <v>WARLOCK#136</v>
      </c>
      <c r="AC773" s="1" t="str">
        <f>IF($C773="","",$B773&amp;"@"&amp;(COUNTIFS($B$4:$B$1463,$B773,$C$4:$C$1463,"&lt;"&amp;$C773)+COUNTIFS($B$4:$B773,$B773,$C$4:$C773,$C773)))</f>
        <v>VENGEANCE@48</v>
      </c>
      <c r="AD773" s="1">
        <f t="shared" si="64"/>
        <v>770</v>
      </c>
      <c r="AE773" s="1" t="s">
        <v>630</v>
      </c>
      <c r="AF773" s="76">
        <f t="shared" si="65"/>
        <v>63174</v>
      </c>
      <c r="AG773" s="77">
        <f t="shared" si="66"/>
        <v>4.5</v>
      </c>
      <c r="AH773" s="1" t="str">
        <f>IF($C773="","",$B773&amp;"|"&amp;(COUNTIFS($B$4:$B$1463,$B773,$AF$4:$AF$1463,"&gt;"&amp;$AF773)+COUNTIFS($B$4:$B773,$B773,$AF$4:$AF773,"="&amp;$AF773)))</f>
        <v>VENGEANCE|15</v>
      </c>
      <c r="AI773" s="1" t="str">
        <f>IF($C773="","",$B773&amp;"|"&amp;(COUNTIFS($B$4:$B$1463,$B773,$AG$4:$AG$1463,"&gt;"&amp;$AG773)+COUNTIFS($B$4:$B773,$B773,$AG$4:$AG773,"="&amp;$AG773)))</f>
        <v>VENGEANCE|54</v>
      </c>
    </row>
    <row r="774" spans="1:35" hidden="1">
      <c r="A774" s="69" t="s">
        <v>109</v>
      </c>
      <c r="B774" s="69" t="s">
        <v>111</v>
      </c>
      <c r="C774" s="63" t="s">
        <v>1861</v>
      </c>
      <c r="D774" s="69" t="s">
        <v>527</v>
      </c>
      <c r="E774" s="68" t="s">
        <v>80</v>
      </c>
      <c r="F774" s="15" t="str">
        <f>IF($C774="","",IF($E774="","-",IFERROR(INDEX(SETUP!$B$55:$B$64,MATCH($E774,SETUP!$A$55:$A$64,0)),"Other")))</f>
        <v>Ranged DPS</v>
      </c>
      <c r="G774" s="70">
        <v>63503</v>
      </c>
      <c r="H774" s="15" t="str">
        <f>IF($C774="","",IF($G774="","-",INDEX(SETUP!$B$26:$B$32,MATCH($G774,SETUP!$A$26:$A$32,1))))</f>
        <v>63,000 - 63,999</v>
      </c>
      <c r="I774" s="70">
        <v>6809</v>
      </c>
      <c r="J774" s="15" t="str">
        <f>IF($C774="","",IF($I774="","-",INDEX(SETUP!$B$16:$B$22,MATCH($I774,SETUP!$A$16:$A$22,1))))</f>
        <v>VETERAN</v>
      </c>
      <c r="K774" s="15" t="str">
        <f>IF($C774="","",IF($I774="","-",TEXT(INT($I774/1000)*1000,"#,##0")&amp;" - "&amp;TEXT(INT($I774/1000)*1000+999,"#,##0")))</f>
        <v>6,000 - 6,999</v>
      </c>
      <c r="L774" s="71">
        <v>7.05</v>
      </c>
      <c r="M774" s="15" t="str">
        <f>IF($C774="","",IF($L774="","-",INDEX(SETUP!$B$36:$B$42,MATCH($L774,SETUP!$A$36:$A$42,1))))</f>
        <v>6k - 8k</v>
      </c>
      <c r="N774" s="17">
        <f>IF($C774="","",IF(OR($G774="",$I774=""),"",ROUND(100*(SETUP!$B$4*MIN(1,$I774/SETUP!$B$9)+SETUP!$B$5*MAX(0,MIN(1,($G774-SETUP!$B$10)/(SETUP!$B$11-SETUP!$B$10)))+SETUP!$B$6*MIN(1,IF($L774="",0,$L774)/SETUP!$B$12)),1)))</f>
        <v>63.8</v>
      </c>
      <c r="O774" s="15" t="str">
        <f>IF($C774="","",IF($N774="","-",INDEX(SETUP!$B$46:$B$51,MATCH($N774,SETUP!$A$46:$A$51,1))))</f>
        <v>A</v>
      </c>
      <c r="P774" s="15">
        <f>IF($C774="","",IF($I774="","",RANK($I774,$I$4:$I$1463)+COUNTIF($I$4:$I774,$I774)-1))</f>
        <v>233</v>
      </c>
      <c r="Q774" s="15">
        <f>IF($C774="","",COUNTIFS($B$4:$B$1463,$B774,$X$4:$X$1463,"&gt;"&amp;$X774)+COUNTIFS($B$4:$B774,$B774,$X$4:$X774,"="&amp;$X774))</f>
        <v>27</v>
      </c>
      <c r="R774" s="72">
        <f>IF($C774="","",IF($I774="","",ROUND(COUNTIF($I$4:$I$1463,"&lt;"&amp;$I774)/COUNT($I$4:$I$1463),3)))</f>
        <v>0.82399999999999995</v>
      </c>
      <c r="S774" s="15" t="str">
        <f>IF($C774="","",IF($G774="","Name only",IF(OR($I774="",$L774=""),"Partial","Complete")))</f>
        <v>Complete</v>
      </c>
      <c r="T774" s="41" t="str">
        <f>IF($C774="","",TRIM(IF(COUNTIF($C$4:$C$1463,$C774)&gt;1,"Dup name; ","")&amp;IF(AND($G774&lt;&gt;"",$G774&lt;55000),"Low CR - verify; ","")&amp;IF(AND($L774&lt;&gt;"",$L774&gt;15),"Secondary - verify; ","")&amp;IF($E774="","No class; ","")))</f>
        <v/>
      </c>
      <c r="U774" s="68"/>
      <c r="V774" s="68"/>
      <c r="W774" s="68"/>
      <c r="X774" s="73">
        <f t="shared" si="62"/>
        <v>6809</v>
      </c>
      <c r="Y774" s="41" t="str">
        <f t="shared" si="63"/>
        <v>RECKONING|27</v>
      </c>
      <c r="Z774" s="15">
        <f>IF($C774="","",IF($G774="","",RANK($G774,$G$4:$G$1463)+COUNTIF($G$4:$G774,$G774)-1))</f>
        <v>191</v>
      </c>
      <c r="AA774" s="15">
        <f>IF($C774="","",IF($N774="","",RANK($N774,$N$4:$N$1463)+COUNTIF($N$4:$N774,$N774)-1))</f>
        <v>191</v>
      </c>
      <c r="AB774" s="41" t="str">
        <f>IF($C774="","",IF($E774="","",$E774&amp;"#"&amp;(COUNTIFS($E$4:$E$1463,$E774,$X$4:$X$1463,"&gt;"&amp;$X774)+COUNTIFS($E$4:$E774,$E774,$X$4:$X774,"="&amp;$X774))))</f>
        <v>WIZARD#16</v>
      </c>
      <c r="AC774" s="41" t="str">
        <f>IF($C774="","",$B774&amp;"@"&amp;(COUNTIFS($B$4:$B$1463,$B774,$C$4:$C$1463,"&lt;"&amp;$C774)+COUNTIFS($B$4:$B774,$B774,$C$4:$C774,$C774)))</f>
        <v>RECKONING@58</v>
      </c>
      <c r="AD774" s="41">
        <f t="shared" si="64"/>
        <v>771</v>
      </c>
      <c r="AE774" s="41" t="s">
        <v>1862</v>
      </c>
      <c r="AF774" s="73">
        <f t="shared" si="65"/>
        <v>63503</v>
      </c>
      <c r="AG774" s="74">
        <f t="shared" si="66"/>
        <v>7.05</v>
      </c>
      <c r="AH774" s="41" t="str">
        <f>IF($C774="","",$B774&amp;"|"&amp;(COUNTIFS($B$4:$B$1463,$B774,$AF$4:$AF$1463,"&gt;"&amp;$AF774)+COUNTIFS($B$4:$B774,$B774,$AF$4:$AF774,"="&amp;$AF774)))</f>
        <v>RECKONING|22</v>
      </c>
      <c r="AI774" s="41" t="str">
        <f>IF($C774="","",$B774&amp;"|"&amp;(COUNTIFS($B$4:$B$1463,$B774,$AG$4:$AG$1463,"&gt;"&amp;$AG774)+COUNTIFS($B$4:$B774,$B774,$AG$4:$AG774,"="&amp;$AG774)))</f>
        <v>RECKONING|22</v>
      </c>
    </row>
    <row r="775" spans="1:35">
      <c r="A775" s="69" t="s">
        <v>104</v>
      </c>
      <c r="B775" s="69" t="s">
        <v>66</v>
      </c>
      <c r="C775" s="63" t="s">
        <v>345</v>
      </c>
      <c r="D775" s="69"/>
      <c r="E775" s="68" t="s">
        <v>76</v>
      </c>
      <c r="F775" s="15" t="str">
        <f>IF($C775="","",IF($E775="","-",IFERROR(INDEX(SETUP!$B$55:$B$64,MATCH($E775,SETUP!$A$55:$A$64,0)),"Other")))</f>
        <v>Support</v>
      </c>
      <c r="G775" s="70">
        <v>62911</v>
      </c>
      <c r="H775" s="15" t="str">
        <f>IF($C775="","",IF($G775="","-",INDEX(SETUP!$B$26:$B$32,MATCH($G775,SETUP!$A$26:$A$32,1))))</f>
        <v>62,000 - 62,999</v>
      </c>
      <c r="I775" s="70">
        <v>3206</v>
      </c>
      <c r="J775" s="15" t="str">
        <f>IF($C775="","",IF($I775="","-",INDEX(SETUP!$B$16:$B$22,MATCH($I775,SETUP!$A$16:$A$22,1))))</f>
        <v>DEVELOPING</v>
      </c>
      <c r="K775" s="15" t="str">
        <f>IF($C775="","",IF($I775="","-",TEXT(INT($I775/1000)*1000,"#,##0")&amp;" - "&amp;TEXT(INT($I775/1000)*1000+999,"#,##0")))</f>
        <v>3,000 - 3,999</v>
      </c>
      <c r="L775" s="71">
        <v>4.16</v>
      </c>
      <c r="M775" s="15" t="str">
        <f>IF($C775="","",IF($L775="","-",INDEX(SETUP!$B$36:$B$42,MATCH($L775,SETUP!$A$36:$A$42,1))))</f>
        <v>4k - 5k</v>
      </c>
      <c r="N775" s="17">
        <f>IF($C775="","",IF(OR($G775="",$I775=""),"",ROUND(100*(SETUP!$B$4*MIN(1,$I775/SETUP!$B$9)+SETUP!$B$5*MAX(0,MIN(1,($G775-SETUP!$B$10)/(SETUP!$B$11-SETUP!$B$10)))+SETUP!$B$6*MIN(1,IF($L775="",0,$L775)/SETUP!$B$12)),1)))</f>
        <v>41.7</v>
      </c>
      <c r="O775" s="15" t="str">
        <f>IF($C775="","",IF($N775="","-",INDEX(SETUP!$B$46:$B$51,MATCH($N775,SETUP!$A$46:$A$51,1))))</f>
        <v>B</v>
      </c>
      <c r="P775" s="15">
        <f>IF($C775="","",IF($I775="","",RANK($I775,$I$4:$I$1463)+COUNTIF($I$4:$I775,$I775)-1))</f>
        <v>820</v>
      </c>
      <c r="Q775" s="15">
        <f>IF($C775="","",COUNTIFS($B$4:$B$1463,$B775,$X$4:$X$1463,"&gt;"&amp;$X775)+COUNTIFS($B$4:$B775,$B775,$X$4:$X775,"="&amp;$X775))</f>
        <v>85</v>
      </c>
      <c r="R775" s="72">
        <f>IF($C775="","",IF($I775="","",ROUND(COUNTIF($I$4:$I$1463,"&lt;"&amp;$I775)/COUNT($I$4:$I$1463),3)))</f>
        <v>0.38100000000000001</v>
      </c>
      <c r="S775" s="15" t="str">
        <f>IF($C775="","",IF($G775="","Name only",IF(OR($I775="",$L775=""),"Partial","Complete")))</f>
        <v>Complete</v>
      </c>
      <c r="T775" s="41" t="str">
        <f>IF($C775="","",TRIM(IF(COUNTIF($C$4:$C$1463,$C775)&gt;1,"Dup name; ","")&amp;IF(AND($G775&lt;&gt;"",$G775&lt;55000),"Low CR - verify; ","")&amp;IF(AND($L775&lt;&gt;"",$L775&gt;15),"Secondary - verify; ","")&amp;IF($E775="","No class; ","")))</f>
        <v/>
      </c>
      <c r="U775" s="68" t="s">
        <v>266</v>
      </c>
      <c r="V775" s="68" t="s">
        <v>66</v>
      </c>
      <c r="W775" s="68" t="s">
        <v>285</v>
      </c>
      <c r="X775" s="76">
        <f t="shared" si="62"/>
        <v>3206</v>
      </c>
      <c r="Y775" s="1" t="str">
        <f t="shared" si="63"/>
        <v>FUCT|85</v>
      </c>
      <c r="Z775" s="19">
        <f>IF($C775="","",IF($G775="","",RANK($G775,$G$4:$G$1463)+COUNTIF($G$4:$G775,$G775)-1))</f>
        <v>472</v>
      </c>
      <c r="AA775" s="19">
        <f>IF($C775="","",IF($N775="","",RANK($N775,$N$4:$N$1463)+COUNTIF($N$4:$N775,$N775)-1))</f>
        <v>750</v>
      </c>
      <c r="AB775" s="1" t="str">
        <f>IF($C775="","",IF($E775="","",$E775&amp;"#"&amp;(COUNTIFS($E$4:$E$1463,$E775,$X$4:$X$1463,"&gt;"&amp;$X775)+COUNTIFS($E$4:$E775,$E775,$X$4:$X775,"="&amp;$X775))))</f>
        <v>MONK#29</v>
      </c>
      <c r="AC775" s="1" t="str">
        <f>IF($C775="","",$B775&amp;"@"&amp;(COUNTIFS($B$4:$B$1463,$B775,$C$4:$C$1463,"&lt;"&amp;$C775)+COUNTIFS($B$4:$B775,$B775,$C$4:$C775,$C775)))</f>
        <v>FUCT@57</v>
      </c>
      <c r="AD775" s="1">
        <f t="shared" si="64"/>
        <v>772</v>
      </c>
      <c r="AE775" s="1" t="s">
        <v>1864</v>
      </c>
      <c r="AF775" s="76">
        <f t="shared" si="65"/>
        <v>62911</v>
      </c>
      <c r="AG775" s="77">
        <f t="shared" si="66"/>
        <v>4.16</v>
      </c>
      <c r="AH775" s="1" t="str">
        <f>IF($C775="","",$B775&amp;"|"&amp;(COUNTIFS($B$4:$B$1463,$B775,$AF$4:$AF$1463,"&gt;"&amp;$AF775)+COUNTIFS($B$4:$B775,$B775,$AF$4:$AF775,"="&amp;$AF775)))</f>
        <v>FUCT|51</v>
      </c>
      <c r="AI775" s="1" t="str">
        <f>IF($C775="","",$B775&amp;"|"&amp;(COUNTIFS($B$4:$B$1463,$B775,$AG$4:$AG$1463,"&gt;"&amp;$AG775)+COUNTIFS($B$4:$B775,$B775,$AG$4:$AG775,"="&amp;$AG775)))</f>
        <v>FUCT|71</v>
      </c>
    </row>
    <row r="776" spans="1:35" hidden="1">
      <c r="A776" s="69" t="s">
        <v>109</v>
      </c>
      <c r="B776" s="69" t="s">
        <v>114</v>
      </c>
      <c r="C776" s="63" t="s">
        <v>1865</v>
      </c>
      <c r="D776" s="69"/>
      <c r="E776" s="68" t="s">
        <v>79</v>
      </c>
      <c r="F776" s="15" t="str">
        <f>IF($C776="","",IF($E776="","-",IFERROR(INDEX(SETUP!$B$55:$B$64,MATCH($E776,SETUP!$A$55:$A$64,0)),"Other")))</f>
        <v>Control</v>
      </c>
      <c r="G776" s="70">
        <v>62793</v>
      </c>
      <c r="H776" s="15" t="str">
        <f>IF($C776="","",IF($G776="","-",INDEX(SETUP!$B$26:$B$32,MATCH($G776,SETUP!$A$26:$A$32,1))))</f>
        <v>62,000 - 62,999</v>
      </c>
      <c r="I776" s="70">
        <v>2358</v>
      </c>
      <c r="J776" s="15" t="str">
        <f>IF($C776="","",IF($I776="","-",INDEX(SETUP!$B$16:$B$22,MATCH($I776,SETUP!$A$16:$A$22,1))))</f>
        <v>DEVELOPING</v>
      </c>
      <c r="K776" s="15" t="str">
        <f>IF($C776="","",IF($I776="","-",TEXT(INT($I776/1000)*1000,"#,##0")&amp;" - "&amp;TEXT(INT($I776/1000)*1000+999,"#,##0")))</f>
        <v>2,000 - 2,999</v>
      </c>
      <c r="L776" s="71">
        <v>3.35</v>
      </c>
      <c r="M776" s="15" t="str">
        <f>IF($C776="","",IF($L776="","-",INDEX(SETUP!$B$36:$B$42,MATCH($L776,SETUP!$A$36:$A$42,1))))</f>
        <v>3k - 4k</v>
      </c>
      <c r="N776" s="17">
        <f>IF($C776="","",IF(OR($G776="",$I776=""),"",ROUND(100*(SETUP!$B$4*MIN(1,$I776/SETUP!$B$9)+SETUP!$B$5*MAX(0,MIN(1,($G776-SETUP!$B$10)/(SETUP!$B$11-SETUP!$B$10)))+SETUP!$B$6*MIN(1,IF($L776="",0,$L776)/SETUP!$B$12)),1)))</f>
        <v>36.4</v>
      </c>
      <c r="O776" s="15" t="str">
        <f>IF($C776="","",IF($N776="","-",INDEX(SETUP!$B$46:$B$51,MATCH($N776,SETUP!$A$46:$A$51,1))))</f>
        <v>B</v>
      </c>
      <c r="P776" s="15">
        <f>IF($C776="","",IF($I776="","",RANK($I776,$I$4:$I$1463)+COUNTIF($I$4:$I776,$I776)-1))</f>
        <v>1035</v>
      </c>
      <c r="Q776" s="15">
        <f>IF($C776="","",COUNTIFS($B$4:$B$1463,$B776,$X$4:$X$1463,"&gt;"&amp;$X776)+COUNTIFS($B$4:$B776,$B776,$X$4:$X776,"="&amp;$X776))</f>
        <v>46</v>
      </c>
      <c r="R776" s="72">
        <f>IF($C776="","",IF($I776="","",ROUND(COUNTIF($I$4:$I$1463,"&lt;"&amp;$I776)/COUNT($I$4:$I$1463),3)))</f>
        <v>0.219</v>
      </c>
      <c r="S776" s="15" t="str">
        <f>IF($C776="","",IF($G776="","Name only",IF(OR($I776="",$L776=""),"Partial","Complete")))</f>
        <v>Complete</v>
      </c>
      <c r="T776" s="41" t="str">
        <f>IF($C776="","",TRIM(IF(COUNTIF($C$4:$C$1463,$C776)&gt;1,"Dup name; ","")&amp;IF(AND($G776&lt;&gt;"",$G776&lt;55000),"Low CR - verify; ","")&amp;IF(AND($L776&lt;&gt;"",$L776&gt;15),"Secondary - verify; ","")&amp;IF($E776="","No class; ","")))</f>
        <v/>
      </c>
      <c r="U776" s="68"/>
      <c r="V776" s="68"/>
      <c r="W776" s="68"/>
      <c r="X776" s="73">
        <f t="shared" si="62"/>
        <v>2358</v>
      </c>
      <c r="Y776" s="41" t="str">
        <f t="shared" si="63"/>
        <v>EMERALD LEAF TRIBE|46</v>
      </c>
      <c r="Z776" s="15">
        <f>IF($C776="","",IF($G776="","",RANK($G776,$G$4:$G$1463)+COUNTIF($G$4:$G776,$G776)-1))</f>
        <v>522</v>
      </c>
      <c r="AA776" s="15">
        <f>IF($C776="","",IF($N776="","",RANK($N776,$N$4:$N$1463)+COUNTIF($N$4:$N776,$N776)-1))</f>
        <v>953</v>
      </c>
      <c r="AB776" s="41" t="str">
        <f>IF($C776="","",IF($E776="","",$E776&amp;"#"&amp;(COUNTIFS($E$4:$E$1463,$E776,$X$4:$X$1463,"&gt;"&amp;$X776)+COUNTIFS($E$4:$E776,$E776,$X$4:$X776,"="&amp;$X776))))</f>
        <v>WARLOCK#260</v>
      </c>
      <c r="AC776" s="41" t="str">
        <f>IF($C776="","",$B776&amp;"@"&amp;(COUNTIFS($B$4:$B$1463,$B776,$C$4:$C$1463,"&lt;"&amp;$C776)+COUNTIFS($B$4:$B776,$B776,$C$4:$C776,$C776)))</f>
        <v>EMERALD LEAF TRIBE@55</v>
      </c>
      <c r="AD776" s="41">
        <f t="shared" si="64"/>
        <v>773</v>
      </c>
      <c r="AE776" s="41" t="s">
        <v>1866</v>
      </c>
      <c r="AF776" s="73">
        <f t="shared" si="65"/>
        <v>62793</v>
      </c>
      <c r="AG776" s="74">
        <f t="shared" si="66"/>
        <v>3.35</v>
      </c>
      <c r="AH776" s="41" t="str">
        <f>IF($C776="","",$B776&amp;"|"&amp;(COUNTIFS($B$4:$B$1463,$B776,$AF$4:$AF$1463,"&gt;"&amp;$AF776)+COUNTIFS($B$4:$B776,$B776,$AF$4:$AF776,"="&amp;$AF776)))</f>
        <v>EMERALD LEAF TRIBE|13</v>
      </c>
      <c r="AI776" s="41" t="str">
        <f>IF($C776="","",$B776&amp;"|"&amp;(COUNTIFS($B$4:$B$1463,$B776,$AG$4:$AG$1463,"&gt;"&amp;$AG776)+COUNTIFS($B$4:$B776,$B776,$AG$4:$AG776,"="&amp;$AG776)))</f>
        <v>EMERALD LEAF TRIBE|60</v>
      </c>
    </row>
    <row r="777" spans="1:35" hidden="1">
      <c r="A777" s="69" t="s">
        <v>109</v>
      </c>
      <c r="B777" s="69" t="s">
        <v>116</v>
      </c>
      <c r="C777" s="63" t="s">
        <v>1867</v>
      </c>
      <c r="D777" s="69" t="s">
        <v>530</v>
      </c>
      <c r="E777" s="68" t="s">
        <v>80</v>
      </c>
      <c r="F777" s="19" t="str">
        <f>IF($C777="","",IF($E777="","-",IFERROR(INDEX(SETUP!$B$55:$B$64,MATCH($E777,SETUP!$A$55:$A$64,0)),"Other")))</f>
        <v>Ranged DPS</v>
      </c>
      <c r="G777" s="70">
        <v>61331</v>
      </c>
      <c r="H777" s="19" t="str">
        <f>IF($C777="","",IF($G777="","-",INDEX(SETUP!$B$26:$B$32,MATCH($G777,SETUP!$A$26:$A$32,1))))</f>
        <v>61,000 - 61,999</v>
      </c>
      <c r="I777" s="70">
        <v>3529</v>
      </c>
      <c r="J777" s="19" t="str">
        <f>IF($C777="","",IF($I777="","-",INDEX(SETUP!$B$16:$B$22,MATCH($I777,SETUP!$A$16:$A$22,1))))</f>
        <v>DEVELOPING</v>
      </c>
      <c r="K777" s="19" t="str">
        <f>IF($C777="","",IF($I777="","-",TEXT(INT($I777/1000)*1000,"#,##0")&amp;" - "&amp;TEXT(INT($I777/1000)*1000+999,"#,##0")))</f>
        <v>3,000 - 3,999</v>
      </c>
      <c r="L777" s="71">
        <v>4.4000000000000004</v>
      </c>
      <c r="M777" s="19" t="str">
        <f>IF($C777="","",IF($L777="","-",INDEX(SETUP!$B$36:$B$42,MATCH($L777,SETUP!$A$36:$A$42,1))))</f>
        <v>4k - 5k</v>
      </c>
      <c r="N777" s="21">
        <f>IF($C777="","",IF(OR($G777="",$I777=""),"",ROUND(100*(SETUP!$B$4*MIN(1,$I777/SETUP!$B$9)+SETUP!$B$5*MAX(0,MIN(1,($G777-SETUP!$B$10)/(SETUP!$B$11-SETUP!$B$10)))+SETUP!$B$6*MIN(1,IF($L777="",0,$L777)/SETUP!$B$12)),1)))</f>
        <v>39.4</v>
      </c>
      <c r="O777" s="19" t="str">
        <f>IF($C777="","",IF($N777="","-",INDEX(SETUP!$B$46:$B$51,MATCH($N777,SETUP!$A$46:$A$51,1))))</f>
        <v>B</v>
      </c>
      <c r="P777" s="19">
        <f>IF($C777="","",IF($I777="","",RANK($I777,$I$4:$I$1463)+COUNTIF($I$4:$I777,$I777)-1))</f>
        <v>720</v>
      </c>
      <c r="Q777" s="19">
        <f>IF($C777="","",COUNTIFS($B$4:$B$1463,$B777,$X$4:$X$1463,"&gt;"&amp;$X777)+COUNTIFS($B$4:$B777,$B777,$X$4:$X777,"="&amp;$X777))</f>
        <v>42</v>
      </c>
      <c r="R777" s="75">
        <f>IF($C777="","",IF($I777="","",ROUND(COUNTIF($I$4:$I$1463,"&lt;"&amp;$I777)/COUNT($I$4:$I$1463),3)))</f>
        <v>0.45700000000000002</v>
      </c>
      <c r="S777" s="19" t="str">
        <f>IF($C777="","",IF($G777="","Name only",IF(OR($I777="",$L777=""),"Partial","Complete")))</f>
        <v>Complete</v>
      </c>
      <c r="T777" s="1" t="str">
        <f>IF($C777="","",TRIM(IF(COUNTIF($C$4:$C$1463,$C777)&gt;1,"Dup name; ","")&amp;IF(AND($G777&lt;&gt;"",$G777&lt;55000),"Low CR - verify; ","")&amp;IF(AND($L777&lt;&gt;"",$L777&gt;15),"Secondary - verify; ","")&amp;IF($E777="","No class; ","")))</f>
        <v/>
      </c>
      <c r="U777" s="68"/>
      <c r="V777" s="68"/>
      <c r="W777" s="68"/>
      <c r="X777" s="76">
        <f t="shared" si="62"/>
        <v>3529</v>
      </c>
      <c r="Y777" s="1" t="str">
        <f t="shared" si="63"/>
        <v>VENGEANCE|42</v>
      </c>
      <c r="Z777" s="19">
        <f>IF($C777="","",IF($G777="","",RANK($G777,$G$4:$G$1463)+COUNTIF($G$4:$G777,$G777)-1))</f>
        <v>1055</v>
      </c>
      <c r="AA777" s="19">
        <f>IF($C777="","",IF($N777="","",RANK($N777,$N$4:$N$1463)+COUNTIF($N$4:$N777,$N777)-1))</f>
        <v>846</v>
      </c>
      <c r="AB777" s="1" t="str">
        <f>IF($C777="","",IF($E777="","",$E777&amp;"#"&amp;(COUNTIFS($E$4:$E$1463,$E777,$X$4:$X$1463,"&gt;"&amp;$X777)+COUNTIFS($E$4:$E777,$E777,$X$4:$X777,"="&amp;$X777))))</f>
        <v>WIZARD#52</v>
      </c>
      <c r="AC777" s="1" t="str">
        <f>IF($C777="","",$B777&amp;"@"&amp;(COUNTIFS($B$4:$B$1463,$B777,$C$4:$C$1463,"&lt;"&amp;$C777)+COUNTIFS($B$4:$B777,$B777,$C$4:$C777,$C777)))</f>
        <v>VENGEANCE@49</v>
      </c>
      <c r="AD777" s="1">
        <f t="shared" si="64"/>
        <v>774</v>
      </c>
      <c r="AE777" s="1" t="s">
        <v>592</v>
      </c>
      <c r="AF777" s="76">
        <f t="shared" si="65"/>
        <v>61331</v>
      </c>
      <c r="AG777" s="77">
        <f t="shared" si="66"/>
        <v>4.4000000000000004</v>
      </c>
      <c r="AH777" s="1" t="str">
        <f>IF($C777="","",$B777&amp;"|"&amp;(COUNTIFS($B$4:$B$1463,$B777,$AF$4:$AF$1463,"&gt;"&amp;$AF777)+COUNTIFS($B$4:$B777,$B777,$AF$4:$AF777,"="&amp;$AF777)))</f>
        <v>VENGEANCE|67</v>
      </c>
      <c r="AI777" s="1" t="str">
        <f>IF($C777="","",$B777&amp;"|"&amp;(COUNTIFS($B$4:$B$1463,$B777,$AG$4:$AG$1463,"&gt;"&amp;$AG777)+COUNTIFS($B$4:$B777,$B777,$AG$4:$AG777,"="&amp;$AG777)))</f>
        <v>VENGEANCE|56</v>
      </c>
    </row>
    <row r="778" spans="1:35" hidden="1">
      <c r="A778" s="69" t="s">
        <v>109</v>
      </c>
      <c r="B778" s="69" t="s">
        <v>114</v>
      </c>
      <c r="C778" s="63" t="s">
        <v>1868</v>
      </c>
      <c r="D778" s="69"/>
      <c r="E778" s="68" t="s">
        <v>79</v>
      </c>
      <c r="F778" s="15" t="str">
        <f>IF($C778="","",IF($E778="","-",IFERROR(INDEX(SETUP!$B$55:$B$64,MATCH($E778,SETUP!$A$55:$A$64,0)),"Other")))</f>
        <v>Control</v>
      </c>
      <c r="G778" s="70">
        <v>58021</v>
      </c>
      <c r="H778" s="15" t="str">
        <f>IF($C778="","",IF($G778="","-",INDEX(SETUP!$B$26:$B$32,MATCH($G778,SETUP!$A$26:$A$32,1))))</f>
        <v>58,000 - 59,999</v>
      </c>
      <c r="I778" s="70">
        <v>1492</v>
      </c>
      <c r="J778" s="15" t="str">
        <f>IF($C778="","",IF($I778="","-",INDEX(SETUP!$B$16:$B$22,MATCH($I778,SETUP!$A$16:$A$22,1))))</f>
        <v>ROOKIE</v>
      </c>
      <c r="K778" s="15" t="str">
        <f>IF($C778="","",IF($I778="","-",TEXT(INT($I778/1000)*1000,"#,##0")&amp;" - "&amp;TEXT(INT($I778/1000)*1000+999,"#,##0")))</f>
        <v>1,000 - 1,999</v>
      </c>
      <c r="L778" s="71">
        <v>3.8</v>
      </c>
      <c r="M778" s="15" t="str">
        <f>IF($C778="","",IF($L778="","-",INDEX(SETUP!$B$36:$B$42,MATCH($L778,SETUP!$A$36:$A$42,1))))</f>
        <v>3k - 4k</v>
      </c>
      <c r="N778" s="17">
        <f>IF($C778="","",IF(OR($G778="",$I778=""),"",ROUND(100*(SETUP!$B$4*MIN(1,$I778/SETUP!$B$9)+SETUP!$B$5*MAX(0,MIN(1,($G778-SETUP!$B$10)/(SETUP!$B$11-SETUP!$B$10)))+SETUP!$B$6*MIN(1,IF($L778="",0,$L778)/SETUP!$B$12)),1)))</f>
        <v>20.8</v>
      </c>
      <c r="O778" s="15" t="str">
        <f>IF($C778="","",IF($N778="","-",INDEX(SETUP!$B$46:$B$51,MATCH($N778,SETUP!$A$46:$A$51,1))))</f>
        <v>C</v>
      </c>
      <c r="P778" s="15">
        <f>IF($C778="","",IF($I778="","",RANK($I778,$I$4:$I$1463)+COUNTIF($I$4:$I778,$I778)-1))</f>
        <v>1192</v>
      </c>
      <c r="Q778" s="15">
        <f>IF($C778="","",COUNTIFS($B$4:$B$1463,$B778,$X$4:$X$1463,"&gt;"&amp;$X778)+COUNTIFS($B$4:$B778,$B778,$X$4:$X778,"="&amp;$X778))</f>
        <v>71</v>
      </c>
      <c r="R778" s="72">
        <f>IF($C778="","",IF($I778="","",ROUND(COUNTIF($I$4:$I$1463,"&lt;"&amp;$I778)/COUNT($I$4:$I$1463),3)))</f>
        <v>0.1</v>
      </c>
      <c r="S778" s="15" t="str">
        <f>IF($C778="","",IF($G778="","Name only",IF(OR($I778="",$L778=""),"Partial","Complete")))</f>
        <v>Complete</v>
      </c>
      <c r="T778" s="41" t="str">
        <f>IF($C778="","",TRIM(IF(COUNTIF($C$4:$C$1463,$C778)&gt;1,"Dup name; ","")&amp;IF(AND($G778&lt;&gt;"",$G778&lt;55000),"Low CR - verify; ","")&amp;IF(AND($L778&lt;&gt;"",$L778&gt;15),"Secondary - verify; ","")&amp;IF($E778="","No class; ","")))</f>
        <v/>
      </c>
      <c r="U778" s="68"/>
      <c r="V778" s="68"/>
      <c r="W778" s="68"/>
      <c r="X778" s="73">
        <f t="shared" si="62"/>
        <v>1492</v>
      </c>
      <c r="Y778" s="41" t="str">
        <f t="shared" si="63"/>
        <v>EMERALD LEAF TRIBE|71</v>
      </c>
      <c r="Z778" s="15">
        <f>IF($C778="","",IF($G778="","",RANK($G778,$G$4:$G$1463)+COUNTIF($G$4:$G778,$G778)-1))</f>
        <v>1299</v>
      </c>
      <c r="AA778" s="15">
        <f>IF($C778="","",IF($N778="","",RANK($N778,$N$4:$N$1463)+COUNTIF($N$4:$N778,$N778)-1))</f>
        <v>1288</v>
      </c>
      <c r="AB778" s="41" t="str">
        <f>IF($C778="","",IF($E778="","",$E778&amp;"#"&amp;(COUNTIFS($E$4:$E$1463,$E778,$X$4:$X$1463,"&gt;"&amp;$X778)+COUNTIFS($E$4:$E778,$E778,$X$4:$X778,"="&amp;$X778))))</f>
        <v>WARLOCK#293</v>
      </c>
      <c r="AC778" s="41" t="str">
        <f>IF($C778="","",$B778&amp;"@"&amp;(COUNTIFS($B$4:$B$1463,$B778,$C$4:$C$1463,"&lt;"&amp;$C778)+COUNTIFS($B$4:$B778,$B778,$C$4:$C778,$C778)))</f>
        <v>EMERALD LEAF TRIBE@56</v>
      </c>
      <c r="AD778" s="41">
        <f t="shared" si="64"/>
        <v>775</v>
      </c>
      <c r="AE778" s="41" t="s">
        <v>1869</v>
      </c>
      <c r="AF778" s="73">
        <f t="shared" si="65"/>
        <v>58021</v>
      </c>
      <c r="AG778" s="74">
        <f t="shared" si="66"/>
        <v>3.8</v>
      </c>
      <c r="AH778" s="41" t="str">
        <f>IF($C778="","",$B778&amp;"|"&amp;(COUNTIFS($B$4:$B$1463,$B778,$AF$4:$AF$1463,"&gt;"&amp;$AF778)+COUNTIFS($B$4:$B778,$B778,$AF$4:$AF778,"="&amp;$AF778)))</f>
        <v>EMERALD LEAF TRIBE|89</v>
      </c>
      <c r="AI778" s="41" t="str">
        <f>IF($C778="","",$B778&amp;"|"&amp;(COUNTIFS($B$4:$B$1463,$B778,$AG$4:$AG$1463,"&gt;"&amp;$AG778)+COUNTIFS($B$4:$B778,$B778,$AG$4:$AG778,"="&amp;$AG778)))</f>
        <v>EMERALD LEAF TRIBE|39</v>
      </c>
    </row>
    <row r="779" spans="1:35">
      <c r="A779" s="69" t="s">
        <v>104</v>
      </c>
      <c r="B779" s="69" t="s">
        <v>66</v>
      </c>
      <c r="C779" s="63" t="s">
        <v>1822</v>
      </c>
      <c r="D779" s="69"/>
      <c r="E779" s="68" t="s">
        <v>79</v>
      </c>
      <c r="F779" s="19" t="str">
        <f>IF($C779="","",IF($E779="","-",IFERROR(INDEX(SETUP!$B$55:$B$64,MATCH($E779,SETUP!$A$55:$A$64,0)),"Other")))</f>
        <v>Control</v>
      </c>
      <c r="G779" s="70">
        <v>63089</v>
      </c>
      <c r="H779" s="19" t="str">
        <f>IF($C779="","",IF($G779="","-",INDEX(SETUP!$B$26:$B$32,MATCH($G779,SETUP!$A$26:$A$32,1))))</f>
        <v>63,000 - 63,999</v>
      </c>
      <c r="I779" s="70">
        <v>3776</v>
      </c>
      <c r="J779" s="19" t="str">
        <f>IF($C779="","",IF($I779="","-",INDEX(SETUP!$B$16:$B$22,MATCH($I779,SETUP!$A$16:$A$22,1))))</f>
        <v>DEVELOPING</v>
      </c>
      <c r="K779" s="19" t="str">
        <f>IF($C779="","",IF($I779="","-",TEXT(INT($I779/1000)*1000,"#,##0")&amp;" - "&amp;TEXT(INT($I779/1000)*1000+999,"#,##0")))</f>
        <v>3,000 - 3,999</v>
      </c>
      <c r="L779" s="71">
        <v>4.03</v>
      </c>
      <c r="M779" s="19" t="str">
        <f>IF($C779="","",IF($L779="","-",INDEX(SETUP!$B$36:$B$42,MATCH($L779,SETUP!$A$36:$A$42,1))))</f>
        <v>4k - 5k</v>
      </c>
      <c r="N779" s="21">
        <f>IF($C779="","",IF(OR($G779="",$I779=""),"",ROUND(100*(SETUP!$B$4*MIN(1,$I779/SETUP!$B$9)+SETUP!$B$5*MAX(0,MIN(1,($G779-SETUP!$B$10)/(SETUP!$B$11-SETUP!$B$10)))+SETUP!$B$6*MIN(1,IF($L779="",0,$L779)/SETUP!$B$12)),1)))</f>
        <v>44.5</v>
      </c>
      <c r="O779" s="19" t="str">
        <f>IF($C779="","",IF($N779="","-",INDEX(SETUP!$B$46:$B$51,MATCH($N779,SETUP!$A$46:$A$51,1))))</f>
        <v>B</v>
      </c>
      <c r="P779" s="19">
        <f>IF($C779="","",IF($I779="","",RANK($I779,$I$4:$I$1463)+COUNTIF($I$4:$I779,$I779)-1))</f>
        <v>654</v>
      </c>
      <c r="Q779" s="19">
        <f>IF($C779="","",COUNTIFS($B$4:$B$1463,$B779,$X$4:$X$1463,"&gt;"&amp;$X779)+COUNTIFS($B$4:$B779,$B779,$X$4:$X779,"="&amp;$X779))</f>
        <v>67</v>
      </c>
      <c r="R779" s="75">
        <f>IF($C779="","",IF($I779="","",ROUND(COUNTIF($I$4:$I$1463,"&lt;"&amp;$I779)/COUNT($I$4:$I$1463),3)))</f>
        <v>0.50600000000000001</v>
      </c>
      <c r="S779" s="19" t="str">
        <f>IF($C779="","",IF($G779="","Name only",IF(OR($I779="",$L779=""),"Partial","Complete")))</f>
        <v>Complete</v>
      </c>
      <c r="T779" s="1" t="str">
        <f>IF($C779="","",TRIM(IF(COUNTIF($C$4:$C$1463,$C779)&gt;1,"Dup name; ","")&amp;IF(AND($G779&lt;&gt;"",$G779&lt;55000),"Low CR - verify; ","")&amp;IF(AND($L779&lt;&gt;"",$L779&gt;15),"Secondary - verify; ","")&amp;IF($E779="","No class; ","")))</f>
        <v/>
      </c>
      <c r="U779" s="68" t="s">
        <v>263</v>
      </c>
      <c r="V779" s="68" t="s">
        <v>66</v>
      </c>
      <c r="W779" s="68" t="s">
        <v>285</v>
      </c>
      <c r="X779" s="76">
        <f t="shared" si="62"/>
        <v>3776</v>
      </c>
      <c r="Y779" s="1" t="str">
        <f t="shared" si="63"/>
        <v>FUCT|67</v>
      </c>
      <c r="Z779" s="19">
        <f>IF($C779="","",IF($G779="","",RANK($G779,$G$4:$G$1463)+COUNTIF($G$4:$G779,$G779)-1))</f>
        <v>383</v>
      </c>
      <c r="AA779" s="19">
        <f>IF($C779="","",IF($N779="","",RANK($N779,$N$4:$N$1463)+COUNTIF($N$4:$N779,$N779)-1))</f>
        <v>641</v>
      </c>
      <c r="AB779" s="1" t="str">
        <f>IF($C779="","",IF($E779="","",$E779&amp;"#"&amp;(COUNTIFS($E$4:$E$1463,$E779,$X$4:$X$1463,"&gt;"&amp;$X779)+COUNTIFS($E$4:$E779,$E779,$X$4:$X779,"="&amp;$X779))))</f>
        <v>WARLOCK#156</v>
      </c>
      <c r="AC779" s="1" t="str">
        <f>IF($C779="","",$B779&amp;"@"&amp;(COUNTIFS($B$4:$B$1463,$B779,$C$4:$C$1463,"&lt;"&amp;$C779)+COUNTIFS($B$4:$B779,$B779,$C$4:$C779,$C779)))</f>
        <v>FUCT@58</v>
      </c>
      <c r="AD779" s="1">
        <f t="shared" si="64"/>
        <v>776</v>
      </c>
      <c r="AE779" s="1" t="s">
        <v>998</v>
      </c>
      <c r="AF779" s="76">
        <f t="shared" si="65"/>
        <v>63089</v>
      </c>
      <c r="AG779" s="77">
        <f t="shared" si="66"/>
        <v>4.03</v>
      </c>
      <c r="AH779" s="1" t="str">
        <f>IF($C779="","",$B779&amp;"|"&amp;(COUNTIFS($B$4:$B$1463,$B779,$AF$4:$AF$1463,"&gt;"&amp;$AF779)+COUNTIFS($B$4:$B779,$B779,$AF$4:$AF779,"="&amp;$AF779)))</f>
        <v>FUCT|38</v>
      </c>
      <c r="AI779" s="1" t="str">
        <f>IF($C779="","",$B779&amp;"|"&amp;(COUNTIFS($B$4:$B$1463,$B779,$AG$4:$AG$1463,"&gt;"&amp;$AG779)+COUNTIFS($B$4:$B779,$B779,$AG$4:$AG779,"="&amp;$AG779)))</f>
        <v>FUCT|80</v>
      </c>
    </row>
    <row r="780" spans="1:35" hidden="1">
      <c r="A780" s="69" t="s">
        <v>109</v>
      </c>
      <c r="B780" s="69" t="s">
        <v>118</v>
      </c>
      <c r="C780" s="63" t="s">
        <v>1870</v>
      </c>
      <c r="D780" s="69"/>
      <c r="E780" s="68" t="s">
        <v>79</v>
      </c>
      <c r="F780" s="15" t="str">
        <f>IF($C780="","",IF($E780="","-",IFERROR(INDEX(SETUP!$B$55:$B$64,MATCH($E780,SETUP!$A$55:$A$64,0)),"Other")))</f>
        <v>Control</v>
      </c>
      <c r="G780" s="70">
        <v>62433</v>
      </c>
      <c r="H780" s="15" t="str">
        <f>IF($C780="","",IF($G780="","-",INDEX(SETUP!$B$26:$B$32,MATCH($G780,SETUP!$A$26:$A$32,1))))</f>
        <v>62,000 - 62,999</v>
      </c>
      <c r="I780" s="70">
        <v>1484</v>
      </c>
      <c r="J780" s="15" t="str">
        <f>IF($C780="","",IF($I780="","-",INDEX(SETUP!$B$16:$B$22,MATCH($I780,SETUP!$A$16:$A$22,1))))</f>
        <v>ROOKIE</v>
      </c>
      <c r="K780" s="15" t="str">
        <f>IF($C780="","",IF($I780="","-",TEXT(INT($I780/1000)*1000,"#,##0")&amp;" - "&amp;TEXT(INT($I780/1000)*1000+999,"#,##0")))</f>
        <v>1,000 - 1,999</v>
      </c>
      <c r="L780" s="71">
        <v>3.8</v>
      </c>
      <c r="M780" s="15" t="str">
        <f>IF($C780="","",IF($L780="","-",INDEX(SETUP!$B$36:$B$42,MATCH($L780,SETUP!$A$36:$A$42,1))))</f>
        <v>3k - 4k</v>
      </c>
      <c r="N780" s="17">
        <f>IF($C780="","",IF(OR($G780="",$I780=""),"",ROUND(100*(SETUP!$B$4*MIN(1,$I780/SETUP!$B$9)+SETUP!$B$5*MAX(0,MIN(1,($G780-SETUP!$B$10)/(SETUP!$B$11-SETUP!$B$10)))+SETUP!$B$6*MIN(1,IF($L780="",0,$L780)/SETUP!$B$12)),1)))</f>
        <v>32.4</v>
      </c>
      <c r="O780" s="15" t="str">
        <f>IF($C780="","",IF($N780="","-",INDEX(SETUP!$B$46:$B$51,MATCH($N780,SETUP!$A$46:$A$51,1))))</f>
        <v>C</v>
      </c>
      <c r="P780" s="15">
        <f>IF($C780="","",IF($I780="","",RANK($I780,$I$4:$I$1463)+COUNTIF($I$4:$I780,$I780)-1))</f>
        <v>1194</v>
      </c>
      <c r="Q780" s="15">
        <f>IF($C780="","",COUNTIFS($B$4:$B$1463,$B780,$X$4:$X$1463,"&gt;"&amp;$X780)+COUNTIFS($B$4:$B780,$B780,$X$4:$X780,"="&amp;$X780))</f>
        <v>58</v>
      </c>
      <c r="R780" s="72">
        <f>IF($C780="","",IF($I780="","",ROUND(COUNTIF($I$4:$I$1463,"&lt;"&amp;$I780)/COUNT($I$4:$I$1463),3)))</f>
        <v>9.9000000000000005E-2</v>
      </c>
      <c r="S780" s="15" t="str">
        <f>IF($C780="","",IF($G780="","Name only",IF(OR($I780="",$L780=""),"Partial","Complete")))</f>
        <v>Complete</v>
      </c>
      <c r="T780" s="41" t="str">
        <f>IF($C780="","",TRIM(IF(COUNTIF($C$4:$C$1463,$C780)&gt;1,"Dup name; ","")&amp;IF(AND($G780&lt;&gt;"",$G780&lt;55000),"Low CR - verify; ","")&amp;IF(AND($L780&lt;&gt;"",$L780&gt;15),"Secondary - verify; ","")&amp;IF($E780="","No class; ","")))</f>
        <v/>
      </c>
      <c r="U780" s="68"/>
      <c r="V780" s="68"/>
      <c r="W780" s="68"/>
      <c r="X780" s="73">
        <f t="shared" si="62"/>
        <v>1484</v>
      </c>
      <c r="Y780" s="41" t="str">
        <f t="shared" si="63"/>
        <v>ZOMBIES|58</v>
      </c>
      <c r="Z780" s="15">
        <f>IF($C780="","",IF($G780="","",RANK($G780,$G$4:$G$1463)+COUNTIF($G$4:$G780,$G780)-1))</f>
        <v>674</v>
      </c>
      <c r="AA780" s="15">
        <f>IF($C780="","",IF($N780="","",RANK($N780,$N$4:$N$1463)+COUNTIF($N$4:$N780,$N780)-1))</f>
        <v>1085</v>
      </c>
      <c r="AB780" s="41" t="str">
        <f>IF($C780="","",IF($E780="","",$E780&amp;"#"&amp;(COUNTIFS($E$4:$E$1463,$E780,$X$4:$X$1463,"&gt;"&amp;$X780)+COUNTIFS($E$4:$E780,$E780,$X$4:$X780,"="&amp;$X780))))</f>
        <v>WARLOCK#295</v>
      </c>
      <c r="AC780" s="41" t="str">
        <f>IF($C780="","",$B780&amp;"@"&amp;(COUNTIFS($B$4:$B$1463,$B780,$C$4:$C$1463,"&lt;"&amp;$C780)+COUNTIFS($B$4:$B780,$B780,$C$4:$C780,$C780)))</f>
        <v>ZOMBIES@57</v>
      </c>
      <c r="AD780" s="41">
        <f t="shared" si="64"/>
        <v>777</v>
      </c>
      <c r="AE780" s="41" t="s">
        <v>1399</v>
      </c>
      <c r="AF780" s="73">
        <f t="shared" si="65"/>
        <v>62433</v>
      </c>
      <c r="AG780" s="74">
        <f t="shared" si="66"/>
        <v>3.8</v>
      </c>
      <c r="AH780" s="41" t="str">
        <f>IF($C780="","",$B780&amp;"|"&amp;(COUNTIFS($B$4:$B$1463,$B780,$AF$4:$AF$1463,"&gt;"&amp;$AF780)+COUNTIFS($B$4:$B780,$B780,$AF$4:$AF780,"="&amp;$AF780)))</f>
        <v>ZOMBIES|17</v>
      </c>
      <c r="AI780" s="41" t="str">
        <f>IF($C780="","",$B780&amp;"|"&amp;(COUNTIFS($B$4:$B$1463,$B780,$AG$4:$AG$1463,"&gt;"&amp;$AG780)+COUNTIFS($B$4:$B780,$B780,$AG$4:$AG780,"="&amp;$AG780)))</f>
        <v>ZOMBIES|39</v>
      </c>
    </row>
    <row r="781" spans="1:35" hidden="1">
      <c r="A781" s="69" t="s">
        <v>109</v>
      </c>
      <c r="B781" s="69" t="s">
        <v>112</v>
      </c>
      <c r="C781" s="63" t="s">
        <v>1871</v>
      </c>
      <c r="D781" s="69" t="s">
        <v>567</v>
      </c>
      <c r="E781" s="68" t="s">
        <v>72</v>
      </c>
      <c r="F781" s="19" t="str">
        <f>IF($C781="","",IF($E781="","-",IFERROR(INDEX(SETUP!$B$55:$B$64,MATCH($E781,SETUP!$A$55:$A$64,0)),"Other")))</f>
        <v>Frontline</v>
      </c>
      <c r="G781" s="70">
        <v>61137</v>
      </c>
      <c r="H781" s="19" t="str">
        <f>IF($C781="","",IF($G781="","-",INDEX(SETUP!$B$26:$B$32,MATCH($G781,SETUP!$A$26:$A$32,1))))</f>
        <v>61,000 - 61,999</v>
      </c>
      <c r="I781" s="70">
        <v>3454</v>
      </c>
      <c r="J781" s="19" t="str">
        <f>IF($C781="","",IF($I781="","-",INDEX(SETUP!$B$16:$B$22,MATCH($I781,SETUP!$A$16:$A$22,1))))</f>
        <v>DEVELOPING</v>
      </c>
      <c r="K781" s="19" t="str">
        <f>IF($C781="","",IF($I781="","-",TEXT(INT($I781/1000)*1000,"#,##0")&amp;" - "&amp;TEXT(INT($I781/1000)*1000+999,"#,##0")))</f>
        <v>3,000 - 3,999</v>
      </c>
      <c r="L781" s="71">
        <v>5.45</v>
      </c>
      <c r="M781" s="19" t="str">
        <f>IF($C781="","",IF($L781="","-",INDEX(SETUP!$B$36:$B$42,MATCH($L781,SETUP!$A$36:$A$42,1))))</f>
        <v>5k - 6k</v>
      </c>
      <c r="N781" s="21">
        <f>IF($C781="","",IF(OR($G781="",$I781=""),"",ROUND(100*(SETUP!$B$4*MIN(1,$I781/SETUP!$B$9)+SETUP!$B$5*MAX(0,MIN(1,($G781-SETUP!$B$10)/(SETUP!$B$11-SETUP!$B$10)))+SETUP!$B$6*MIN(1,IF($L781="",0,$L781)/SETUP!$B$12)),1)))</f>
        <v>40.299999999999997</v>
      </c>
      <c r="O781" s="19" t="str">
        <f>IF($C781="","",IF($N781="","-",INDEX(SETUP!$B$46:$B$51,MATCH($N781,SETUP!$A$46:$A$51,1))))</f>
        <v>B</v>
      </c>
      <c r="P781" s="19">
        <f>IF($C781="","",IF($I781="","",RANK($I781,$I$4:$I$1463)+COUNTIF($I$4:$I781,$I781)-1))</f>
        <v>744</v>
      </c>
      <c r="Q781" s="19">
        <f>IF($C781="","",COUNTIFS($B$4:$B$1463,$B781,$X$4:$X$1463,"&gt;"&amp;$X781)+COUNTIFS($B$4:$B781,$B781,$X$4:$X781,"="&amp;$X781))</f>
        <v>53</v>
      </c>
      <c r="R781" s="75">
        <f>IF($C781="","",IF($I781="","",ROUND(COUNTIF($I$4:$I$1463,"&lt;"&amp;$I781)/COUNT($I$4:$I$1463),3)))</f>
        <v>0.438</v>
      </c>
      <c r="S781" s="19" t="str">
        <f>IF($C781="","",IF($G781="","Name only",IF(OR($I781="",$L781=""),"Partial","Complete")))</f>
        <v>Complete</v>
      </c>
      <c r="T781" s="1" t="str">
        <f>IF($C781="","",TRIM(IF(COUNTIF($C$4:$C$1463,$C781)&gt;1,"Dup name; ","")&amp;IF(AND($G781&lt;&gt;"",$G781&lt;55000),"Low CR - verify; ","")&amp;IF(AND($L781&lt;&gt;"",$L781&gt;15),"Secondary - verify; ","")&amp;IF($E781="","No class; ","")))</f>
        <v/>
      </c>
      <c r="U781" s="68"/>
      <c r="V781" s="68"/>
      <c r="W781" s="68"/>
      <c r="X781" s="76">
        <f t="shared" si="62"/>
        <v>3454</v>
      </c>
      <c r="Y781" s="1" t="str">
        <f t="shared" si="63"/>
        <v>ACHERON|53</v>
      </c>
      <c r="Z781" s="19">
        <f>IF($C781="","",IF($G781="","",RANK($G781,$G$4:$G$1463)+COUNTIF($G$4:$G781,$G781)-1))</f>
        <v>1108</v>
      </c>
      <c r="AA781" s="19">
        <f>IF($C781="","",IF($N781="","",RANK($N781,$N$4:$N$1463)+COUNTIF($N$4:$N781,$N781)-1))</f>
        <v>811</v>
      </c>
      <c r="AB781" s="1" t="str">
        <f>IF($C781="","",IF($E781="","",$E781&amp;"#"&amp;(COUNTIFS($E$4:$E$1463,$E781,$X$4:$X$1463,"&gt;"&amp;$X781)+COUNTIFS($E$4:$E781,$E781,$X$4:$X781,"="&amp;$X781))))</f>
        <v>BLOOD KNIGHT#49</v>
      </c>
      <c r="AC781" s="1" t="str">
        <f>IF($C781="","",$B781&amp;"@"&amp;(COUNTIFS($B$4:$B$1463,$B781,$C$4:$C$1463,"&lt;"&amp;$C781)+COUNTIFS($B$4:$B781,$B781,$C$4:$C781,$C781)))</f>
        <v>ACHERON@50</v>
      </c>
      <c r="AD781" s="1">
        <f t="shared" si="64"/>
        <v>778</v>
      </c>
      <c r="AE781" s="1" t="s">
        <v>1872</v>
      </c>
      <c r="AF781" s="76">
        <f t="shared" si="65"/>
        <v>61137</v>
      </c>
      <c r="AG781" s="77">
        <f t="shared" si="66"/>
        <v>5.45</v>
      </c>
      <c r="AH781" s="1" t="str">
        <f>IF($C781="","",$B781&amp;"|"&amp;(COUNTIFS($B$4:$B$1463,$B781,$AF$4:$AF$1463,"&gt;"&amp;$AF781)+COUNTIFS($B$4:$B781,$B781,$AF$4:$AF781,"="&amp;$AF781)))</f>
        <v>ACHERON|87</v>
      </c>
      <c r="AI781" s="1" t="str">
        <f>IF($C781="","",$B781&amp;"|"&amp;(COUNTIFS($B$4:$B$1463,$B781,$AG$4:$AG$1463,"&gt;"&amp;$AG781)+COUNTIFS($B$4:$B781,$B781,$AG$4:$AG781,"="&amp;$AG781)))</f>
        <v>ACHERON|32</v>
      </c>
    </row>
    <row r="782" spans="1:35" hidden="1">
      <c r="A782" s="69" t="s">
        <v>109</v>
      </c>
      <c r="B782" s="69" t="s">
        <v>114</v>
      </c>
      <c r="C782" s="63" t="s">
        <v>1873</v>
      </c>
      <c r="D782" s="69"/>
      <c r="E782" s="68" t="s">
        <v>72</v>
      </c>
      <c r="F782" s="15" t="str">
        <f>IF($C782="","",IF($E782="","-",IFERROR(INDEX(SETUP!$B$55:$B$64,MATCH($E782,SETUP!$A$55:$A$64,0)),"Other")))</f>
        <v>Frontline</v>
      </c>
      <c r="G782" s="70">
        <v>60682</v>
      </c>
      <c r="H782" s="15" t="str">
        <f>IF($C782="","",IF($G782="","-",INDEX(SETUP!$B$26:$B$32,MATCH($G782,SETUP!$A$26:$A$32,1))))</f>
        <v>60,000 - 60,999</v>
      </c>
      <c r="I782" s="70">
        <v>1370</v>
      </c>
      <c r="J782" s="15" t="str">
        <f>IF($C782="","",IF($I782="","-",INDEX(SETUP!$B$16:$B$22,MATCH($I782,SETUP!$A$16:$A$22,1))))</f>
        <v>ROOKIE</v>
      </c>
      <c r="K782" s="15" t="str">
        <f>IF($C782="","",IF($I782="","-",TEXT(INT($I782/1000)*1000,"#,##0")&amp;" - "&amp;TEXT(INT($I782/1000)*1000+999,"#,##0")))</f>
        <v>1,000 - 1,999</v>
      </c>
      <c r="L782" s="71">
        <v>2.95</v>
      </c>
      <c r="M782" s="15" t="str">
        <f>IF($C782="","",IF($L782="","-",INDEX(SETUP!$B$36:$B$42,MATCH($L782,SETUP!$A$36:$A$42,1))))</f>
        <v>Under 3k</v>
      </c>
      <c r="N782" s="17">
        <f>IF($C782="","",IF(OR($G782="",$I782=""),"",ROUND(100*(SETUP!$B$4*MIN(1,$I782/SETUP!$B$9)+SETUP!$B$5*MAX(0,MIN(1,($G782-SETUP!$B$10)/(SETUP!$B$11-SETUP!$B$10)))+SETUP!$B$6*MIN(1,IF($L782="",0,$L782)/SETUP!$B$12)),1)))</f>
        <v>25.8</v>
      </c>
      <c r="O782" s="15" t="str">
        <f>IF($C782="","",IF($N782="","-",INDEX(SETUP!$B$46:$B$51,MATCH($N782,SETUP!$A$46:$A$51,1))))</f>
        <v>C</v>
      </c>
      <c r="P782" s="15">
        <f>IF($C782="","",IF($I782="","",RANK($I782,$I$4:$I$1463)+COUNTIF($I$4:$I782,$I782)-1))</f>
        <v>1221</v>
      </c>
      <c r="Q782" s="15">
        <f>IF($C782="","",COUNTIFS($B$4:$B$1463,$B782,$X$4:$X$1463,"&gt;"&amp;$X782)+COUNTIFS($B$4:$B782,$B782,$X$4:$X782,"="&amp;$X782))</f>
        <v>76</v>
      </c>
      <c r="R782" s="72">
        <f>IF($C782="","",IF($I782="","",ROUND(COUNTIF($I$4:$I$1463,"&lt;"&amp;$I782)/COUNT($I$4:$I$1463),3)))</f>
        <v>7.8E-2</v>
      </c>
      <c r="S782" s="15" t="str">
        <f>IF($C782="","",IF($G782="","Name only",IF(OR($I782="",$L782=""),"Partial","Complete")))</f>
        <v>Complete</v>
      </c>
      <c r="T782" s="41" t="str">
        <f>IF($C782="","",TRIM(IF(COUNTIF($C$4:$C$1463,$C782)&gt;1,"Dup name; ","")&amp;IF(AND($G782&lt;&gt;"",$G782&lt;55000),"Low CR - verify; ","")&amp;IF(AND($L782&lt;&gt;"",$L782&gt;15),"Secondary - verify; ","")&amp;IF($E782="","No class; ","")))</f>
        <v/>
      </c>
      <c r="U782" s="68"/>
      <c r="V782" s="68"/>
      <c r="W782" s="68"/>
      <c r="X782" s="73">
        <f t="shared" si="62"/>
        <v>1370</v>
      </c>
      <c r="Y782" s="41" t="str">
        <f t="shared" si="63"/>
        <v>EMERALD LEAF TRIBE|76</v>
      </c>
      <c r="Z782" s="15">
        <f>IF($C782="","",IF($G782="","",RANK($G782,$G$4:$G$1463)+COUNTIF($G$4:$G782,$G782)-1))</f>
        <v>1184</v>
      </c>
      <c r="AA782" s="15">
        <f>IF($C782="","",IF($N782="","",RANK($N782,$N$4:$N$1463)+COUNTIF($N$4:$N782,$N782)-1))</f>
        <v>1230</v>
      </c>
      <c r="AB782" s="41" t="str">
        <f>IF($C782="","",IF($E782="","",$E782&amp;"#"&amp;(COUNTIFS($E$4:$E$1463,$E782,$X$4:$X$1463,"&gt;"&amp;$X782)+COUNTIFS($E$4:$E782,$E782,$X$4:$X782,"="&amp;$X782))))</f>
        <v>BLOOD KNIGHT#87</v>
      </c>
      <c r="AC782" s="41" t="str">
        <f>IF($C782="","",$B782&amp;"@"&amp;(COUNTIFS($B$4:$B$1463,$B782,$C$4:$C$1463,"&lt;"&amp;$C782)+COUNTIFS($B$4:$B782,$B782,$C$4:$C782,$C782)))</f>
        <v>EMERALD LEAF TRIBE@57</v>
      </c>
      <c r="AD782" s="41">
        <f t="shared" si="64"/>
        <v>779</v>
      </c>
      <c r="AE782" s="41" t="s">
        <v>1874</v>
      </c>
      <c r="AF782" s="73">
        <f t="shared" si="65"/>
        <v>60682</v>
      </c>
      <c r="AG782" s="74">
        <f t="shared" si="66"/>
        <v>2.95</v>
      </c>
      <c r="AH782" s="41" t="str">
        <f>IF($C782="","",$B782&amp;"|"&amp;(COUNTIFS($B$4:$B$1463,$B782,$AF$4:$AF$1463,"&gt;"&amp;$AF782)+COUNTIFS($B$4:$B782,$B782,$AF$4:$AF782,"="&amp;$AF782)))</f>
        <v>EMERALD LEAF TRIBE|67</v>
      </c>
      <c r="AI782" s="41" t="str">
        <f>IF($C782="","",$B782&amp;"|"&amp;(COUNTIFS($B$4:$B$1463,$B782,$AG$4:$AG$1463,"&gt;"&amp;$AG782)+COUNTIFS($B$4:$B782,$B782,$AG$4:$AG782,"="&amp;$AG782)))</f>
        <v>EMERALD LEAF TRIBE|82</v>
      </c>
    </row>
    <row r="783" spans="1:35">
      <c r="A783" s="69" t="s">
        <v>104</v>
      </c>
      <c r="B783" s="69" t="s">
        <v>66</v>
      </c>
      <c r="C783" s="63" t="s">
        <v>347</v>
      </c>
      <c r="D783" s="69"/>
      <c r="E783" s="68" t="s">
        <v>74</v>
      </c>
      <c r="F783" s="19" t="str">
        <f>IF($C783="","",IF($E783="","-",IFERROR(INDEX(SETUP!$B$55:$B$64,MATCH($E783,SETUP!$A$55:$A$64,0)),"Other")))</f>
        <v>Ranged DPS</v>
      </c>
      <c r="G783" s="70">
        <v>62538</v>
      </c>
      <c r="H783" s="19" t="str">
        <f>IF($C783="","",IF($G783="","-",INDEX(SETUP!$B$26:$B$32,MATCH($G783,SETUP!$A$26:$A$32,1))))</f>
        <v>62,000 - 62,999</v>
      </c>
      <c r="I783" s="70">
        <v>4987</v>
      </c>
      <c r="J783" s="19" t="str">
        <f>IF($C783="","",IF($I783="","-",INDEX(SETUP!$B$16:$B$22,MATCH($I783,SETUP!$A$16:$A$22,1))))</f>
        <v>CORE</v>
      </c>
      <c r="K783" s="19" t="str">
        <f>IF($C783="","",IF($I783="","-",TEXT(INT($I783/1000)*1000,"#,##0")&amp;" - "&amp;TEXT(INT($I783/1000)*1000+999,"#,##0")))</f>
        <v>4,000 - 4,999</v>
      </c>
      <c r="L783" s="71">
        <v>4.5</v>
      </c>
      <c r="M783" s="19" t="str">
        <f>IF($C783="","",IF($L783="","-",INDEX(SETUP!$B$36:$B$42,MATCH($L783,SETUP!$A$36:$A$42,1))))</f>
        <v>4k - 5k</v>
      </c>
      <c r="N783" s="21">
        <f>IF($C783="","",IF(OR($G783="",$I783=""),"",ROUND(100*(SETUP!$B$4*MIN(1,$I783/SETUP!$B$9)+SETUP!$B$5*MAX(0,MIN(1,($G783-SETUP!$B$10)/(SETUP!$B$11-SETUP!$B$10)))+SETUP!$B$6*MIN(1,IF($L783="",0,$L783)/SETUP!$B$12)),1)))</f>
        <v>49.1</v>
      </c>
      <c r="O783" s="19" t="str">
        <f>IF($C783="","",IF($N783="","-",INDEX(SETUP!$B$46:$B$51,MATCH($N783,SETUP!$A$46:$A$51,1))))</f>
        <v>B</v>
      </c>
      <c r="P783" s="19">
        <f>IF($C783="","",IF($I783="","",RANK($I783,$I$4:$I$1463)+COUNTIF($I$4:$I783,$I783)-1))</f>
        <v>414</v>
      </c>
      <c r="Q783" s="19">
        <f>IF($C783="","",COUNTIFS($B$4:$B$1463,$B783,$X$4:$X$1463,"&gt;"&amp;$X783)+COUNTIFS($B$4:$B783,$B783,$X$4:$X783,"="&amp;$X783))</f>
        <v>42</v>
      </c>
      <c r="R783" s="75">
        <f>IF($C783="","",IF($I783="","",ROUND(COUNTIF($I$4:$I$1463,"&lt;"&amp;$I783)/COUNT($I$4:$I$1463),3)))</f>
        <v>0.68799999999999994</v>
      </c>
      <c r="S783" s="19" t="str">
        <f>IF($C783="","",IF($G783="","Name only",IF(OR($I783="",$L783=""),"Partial","Complete")))</f>
        <v>Complete</v>
      </c>
      <c r="T783" s="1" t="str">
        <f>IF($C783="","",TRIM(IF(COUNTIF($C$4:$C$1463,$C783)&gt;1,"Dup name; ","")&amp;IF(AND($G783&lt;&gt;"",$G783&lt;55000),"Low CR - verify; ","")&amp;IF(AND($L783&lt;&gt;"",$L783&gt;15),"Secondary - verify; ","")&amp;IF($E783="","No class; ","")))</f>
        <v/>
      </c>
      <c r="U783" s="68" t="s">
        <v>266</v>
      </c>
      <c r="V783" s="68" t="s">
        <v>66</v>
      </c>
      <c r="W783" s="68" t="s">
        <v>285</v>
      </c>
      <c r="X783" s="76">
        <f t="shared" si="62"/>
        <v>4987</v>
      </c>
      <c r="Y783" s="1" t="str">
        <f t="shared" si="63"/>
        <v>FUCT|42</v>
      </c>
      <c r="Z783" s="19">
        <f>IF($C783="","",IF($G783="","",RANK($G783,$G$4:$G$1463)+COUNTIF($G$4:$G783,$G783)-1))</f>
        <v>638</v>
      </c>
      <c r="AA783" s="19">
        <f>IF($C783="","",IF($N783="","",RANK($N783,$N$4:$N$1463)+COUNTIF($N$4:$N783,$N783)-1))</f>
        <v>482</v>
      </c>
      <c r="AB783" s="1" t="str">
        <f>IF($C783="","",IF($E783="","",$E783&amp;"#"&amp;(COUNTIFS($E$4:$E$1463,$E783,$X$4:$X$1463,"&gt;"&amp;$X783)+COUNTIFS($E$4:$E783,$E783,$X$4:$X783,"="&amp;$X783))))</f>
        <v>DEMON HUNTER#67</v>
      </c>
      <c r="AC783" s="1" t="str">
        <f>IF($C783="","",$B783&amp;"@"&amp;(COUNTIFS($B$4:$B$1463,$B783,$C$4:$C$1463,"&lt;"&amp;$C783)+COUNTIFS($B$4:$B783,$B783,$C$4:$C783,$C783)))</f>
        <v>FUCT@59</v>
      </c>
      <c r="AD783" s="1">
        <f t="shared" si="64"/>
        <v>780</v>
      </c>
      <c r="AE783" s="1" t="s">
        <v>1876</v>
      </c>
      <c r="AF783" s="76">
        <f t="shared" si="65"/>
        <v>62538</v>
      </c>
      <c r="AG783" s="77">
        <f t="shared" si="66"/>
        <v>4.5</v>
      </c>
      <c r="AH783" s="1" t="str">
        <f>IF($C783="","",$B783&amp;"|"&amp;(COUNTIFS($B$4:$B$1463,$B783,$AF$4:$AF$1463,"&gt;"&amp;$AF783)+COUNTIFS($B$4:$B783,$B783,$AF$4:$AF783,"="&amp;$AF783)))</f>
        <v>FUCT|65</v>
      </c>
      <c r="AI783" s="1" t="str">
        <f>IF($C783="","",$B783&amp;"|"&amp;(COUNTIFS($B$4:$B$1463,$B783,$AG$4:$AG$1463,"&gt;"&amp;$AG783)+COUNTIFS($B$4:$B783,$B783,$AG$4:$AG783,"="&amp;$AG783)))</f>
        <v>FUCT|61</v>
      </c>
    </row>
    <row r="784" spans="1:35" hidden="1">
      <c r="A784" s="69" t="s">
        <v>109</v>
      </c>
      <c r="B784" s="69" t="s">
        <v>108</v>
      </c>
      <c r="C784" s="63" t="s">
        <v>1877</v>
      </c>
      <c r="D784" s="69"/>
      <c r="E784" s="68" t="s">
        <v>76</v>
      </c>
      <c r="F784" s="15" t="str">
        <f>IF($C784="","",IF($E784="","-",IFERROR(INDEX(SETUP!$B$55:$B$64,MATCH($E784,SETUP!$A$55:$A$64,0)),"Other")))</f>
        <v>Support</v>
      </c>
      <c r="G784" s="70">
        <v>62841</v>
      </c>
      <c r="H784" s="15" t="str">
        <f>IF($C784="","",IF($G784="","-",INDEX(SETUP!$B$26:$B$32,MATCH($G784,SETUP!$A$26:$A$32,1))))</f>
        <v>62,000 - 62,999</v>
      </c>
      <c r="I784" s="70">
        <v>4931</v>
      </c>
      <c r="J784" s="15" t="str">
        <f>IF($C784="","",IF($I784="","-",INDEX(SETUP!$B$16:$B$22,MATCH($I784,SETUP!$A$16:$A$22,1))))</f>
        <v>CORE</v>
      </c>
      <c r="K784" s="15" t="str">
        <f>IF($C784="","",IF($I784="","-",TEXT(INT($I784/1000)*1000,"#,##0")&amp;" - "&amp;TEXT(INT($I784/1000)*1000+999,"#,##0")))</f>
        <v>4,000 - 4,999</v>
      </c>
      <c r="L784" s="71">
        <v>6.1</v>
      </c>
      <c r="M784" s="15" t="str">
        <f>IF($C784="","",IF($L784="","-",INDEX(SETUP!$B$36:$B$42,MATCH($L784,SETUP!$A$36:$A$42,1))))</f>
        <v>6k - 8k</v>
      </c>
      <c r="N784" s="17">
        <f>IF($C784="","",IF(OR($G784="",$I784=""),"",ROUND(100*(SETUP!$B$4*MIN(1,$I784/SETUP!$B$9)+SETUP!$B$5*MAX(0,MIN(1,($G784-SETUP!$B$10)/(SETUP!$B$11-SETUP!$B$10)))+SETUP!$B$6*MIN(1,IF($L784="",0,$L784)/SETUP!$B$12)),1)))</f>
        <v>52.3</v>
      </c>
      <c r="O784" s="15" t="str">
        <f>IF($C784="","",IF($N784="","-",INDEX(SETUP!$B$46:$B$51,MATCH($N784,SETUP!$A$46:$A$51,1))))</f>
        <v>A</v>
      </c>
      <c r="P784" s="15">
        <f>IF($C784="","",IF($I784="","",RANK($I784,$I$4:$I$1463)+COUNTIF($I$4:$I784,$I784)-1))</f>
        <v>426</v>
      </c>
      <c r="Q784" s="15">
        <f>IF($C784="","",COUNTIFS($B$4:$B$1463,$B784,$X$4:$X$1463,"&gt;"&amp;$X784)+COUNTIFS($B$4:$B784,$B784,$X$4:$X784,"="&amp;$X784))</f>
        <v>59</v>
      </c>
      <c r="R784" s="72">
        <f>IF($C784="","",IF($I784="","",ROUND(COUNTIF($I$4:$I$1463,"&lt;"&amp;$I784)/COUNT($I$4:$I$1463),3)))</f>
        <v>0.67800000000000005</v>
      </c>
      <c r="S784" s="15" t="str">
        <f>IF($C784="","",IF($G784="","Name only",IF(OR($I784="",$L784=""),"Partial","Complete")))</f>
        <v>Complete</v>
      </c>
      <c r="T784" s="41" t="str">
        <f>IF($C784="","",TRIM(IF(COUNTIF($C$4:$C$1463,$C784)&gt;1,"Dup name; ","")&amp;IF(AND($G784&lt;&gt;"",$G784&lt;55000),"Low CR - verify; ","")&amp;IF(AND($L784&lt;&gt;"",$L784&gt;15),"Secondary - verify; ","")&amp;IF($E784="","No class; ","")))</f>
        <v/>
      </c>
      <c r="U784" s="68"/>
      <c r="V784" s="68"/>
      <c r="W784" s="68"/>
      <c r="X784" s="73">
        <f t="shared" si="62"/>
        <v>4931</v>
      </c>
      <c r="Y784" s="41" t="str">
        <f t="shared" si="63"/>
        <v>SBG|59</v>
      </c>
      <c r="Z784" s="15">
        <f>IF($C784="","",IF($G784="","",RANK($G784,$G$4:$G$1463)+COUNTIF($G$4:$G784,$G784)-1))</f>
        <v>500</v>
      </c>
      <c r="AA784" s="15">
        <f>IF($C784="","",IF($N784="","",RANK($N784,$N$4:$N$1463)+COUNTIF($N$4:$N784,$N784)-1))</f>
        <v>377</v>
      </c>
      <c r="AB784" s="41" t="str">
        <f>IF($C784="","",IF($E784="","",$E784&amp;"#"&amp;(COUNTIFS($E$4:$E$1463,$E784,$X$4:$X$1463,"&gt;"&amp;$X784)+COUNTIFS($E$4:$E784,$E784,$X$4:$X784,"="&amp;$X784))))</f>
        <v>MONK#14</v>
      </c>
      <c r="AC784" s="41" t="str">
        <f>IF($C784="","",$B784&amp;"@"&amp;(COUNTIFS($B$4:$B$1463,$B784,$C$4:$C$1463,"&lt;"&amp;$C784)+COUNTIFS($B$4:$B784,$B784,$C$4:$C784,$C784)))</f>
        <v>SBG@46</v>
      </c>
      <c r="AD784" s="41">
        <f t="shared" si="64"/>
        <v>781</v>
      </c>
      <c r="AE784" s="41" t="s">
        <v>1878</v>
      </c>
      <c r="AF784" s="73">
        <f t="shared" si="65"/>
        <v>62841</v>
      </c>
      <c r="AG784" s="74">
        <f t="shared" si="66"/>
        <v>6.1</v>
      </c>
      <c r="AH784" s="41" t="str">
        <f>IF($C784="","",$B784&amp;"|"&amp;(COUNTIFS($B$4:$B$1463,$B784,$AF$4:$AF$1463,"&gt;"&amp;$AF784)+COUNTIFS($B$4:$B784,$B784,$AF$4:$AF784,"="&amp;$AF784)))</f>
        <v>SBG|47</v>
      </c>
      <c r="AI784" s="41" t="str">
        <f>IF($C784="","",$B784&amp;"|"&amp;(COUNTIFS($B$4:$B$1463,$B784,$AG$4:$AG$1463,"&gt;"&amp;$AG784)+COUNTIFS($B$4:$B784,$B784,$AG$4:$AG784,"="&amp;$AG784)))</f>
        <v>SBG|36</v>
      </c>
    </row>
    <row r="785" spans="1:35" hidden="1">
      <c r="A785" s="69" t="s">
        <v>109</v>
      </c>
      <c r="B785" s="69" t="s">
        <v>114</v>
      </c>
      <c r="C785" s="63" t="s">
        <v>1879</v>
      </c>
      <c r="D785" s="69"/>
      <c r="E785" s="68" t="s">
        <v>77</v>
      </c>
      <c r="F785" s="19" t="str">
        <f>IF($C785="","",IF($E785="","-",IFERROR(INDEX(SETUP!$B$55:$B$64,MATCH($E785,SETUP!$A$55:$A$64,0)),"Other")))</f>
        <v>Control</v>
      </c>
      <c r="G785" s="70">
        <v>57250</v>
      </c>
      <c r="H785" s="19" t="str">
        <f>IF($C785="","",IF($G785="","-",INDEX(SETUP!$B$26:$B$32,MATCH($G785,SETUP!$A$26:$A$32,1))))</f>
        <v>Under 58,000</v>
      </c>
      <c r="I785" s="70">
        <v>988</v>
      </c>
      <c r="J785" s="19" t="str">
        <f>IF($C785="","",IF($I785="","-",INDEX(SETUP!$B$16:$B$22,MATCH($I785,SETUP!$A$16:$A$22,1))))</f>
        <v>ROOKIE</v>
      </c>
      <c r="K785" s="19" t="str">
        <f>IF($C785="","",IF($I785="","-",TEXT(INT($I785/1000)*1000,"#,##0")&amp;" - "&amp;TEXT(INT($I785/1000)*1000+999,"#,##0")))</f>
        <v>0 - 999</v>
      </c>
      <c r="L785" s="71">
        <v>2.85</v>
      </c>
      <c r="M785" s="19" t="str">
        <f>IF($C785="","",IF($L785="","-",INDEX(SETUP!$B$36:$B$42,MATCH($L785,SETUP!$A$36:$A$42,1))))</f>
        <v>Under 3k</v>
      </c>
      <c r="N785" s="21">
        <f>IF($C785="","",IF(OR($G785="",$I785=""),"",ROUND(100*(SETUP!$B$4*MIN(1,$I785/SETUP!$B$9)+SETUP!$B$5*MAX(0,MIN(1,($G785-SETUP!$B$10)/(SETUP!$B$11-SETUP!$B$10)))+SETUP!$B$6*MIN(1,IF($L785="",0,$L785)/SETUP!$B$12)),1)))</f>
        <v>15</v>
      </c>
      <c r="O785" s="19" t="str">
        <f>IF($C785="","",IF($N785="","-",INDEX(SETUP!$B$46:$B$51,MATCH($N785,SETUP!$A$46:$A$51,1))))</f>
        <v>D</v>
      </c>
      <c r="P785" s="19">
        <f>IF($C785="","",IF($I785="","",RANK($I785,$I$4:$I$1463)+COUNTIF($I$4:$I785,$I785)-1))</f>
        <v>1276</v>
      </c>
      <c r="Q785" s="19">
        <f>IF($C785="","",COUNTIFS($B$4:$B$1463,$B785,$X$4:$X$1463,"&gt;"&amp;$X785)+COUNTIFS($B$4:$B785,$B785,$X$4:$X785,"="&amp;$X785))</f>
        <v>84</v>
      </c>
      <c r="R785" s="75">
        <f>IF($C785="","",IF($I785="","",ROUND(COUNTIF($I$4:$I$1463,"&lt;"&amp;$I785)/COUNT($I$4:$I$1463),3)))</f>
        <v>3.6999999999999998E-2</v>
      </c>
      <c r="S785" s="19" t="str">
        <f>IF($C785="","",IF($G785="","Name only",IF(OR($I785="",$L785=""),"Partial","Complete")))</f>
        <v>Complete</v>
      </c>
      <c r="T785" s="1" t="str">
        <f>IF($C785="","",TRIM(IF(COUNTIF($C$4:$C$1463,$C785)&gt;1,"Dup name; ","")&amp;IF(AND($G785&lt;&gt;"",$G785&lt;55000),"Low CR - verify; ","")&amp;IF(AND($L785&lt;&gt;"",$L785&gt;15),"Secondary - verify; ","")&amp;IF($E785="","No class; ","")))</f>
        <v/>
      </c>
      <c r="U785" s="68"/>
      <c r="V785" s="68"/>
      <c r="W785" s="68"/>
      <c r="X785" s="76">
        <f t="shared" si="62"/>
        <v>988</v>
      </c>
      <c r="Y785" s="1" t="str">
        <f t="shared" si="63"/>
        <v>EMERALD LEAF TRIBE|84</v>
      </c>
      <c r="Z785" s="19">
        <f>IF($C785="","",IF($G785="","",RANK($G785,$G$4:$G$1463)+COUNTIF($G$4:$G785,$G785)-1))</f>
        <v>1308</v>
      </c>
      <c r="AA785" s="19">
        <f>IF($C785="","",IF($N785="","",RANK($N785,$N$4:$N$1463)+COUNTIF($N$4:$N785,$N785)-1))</f>
        <v>1309</v>
      </c>
      <c r="AB785" s="1" t="str">
        <f>IF($C785="","",IF($E785="","",$E785&amp;"#"&amp;(COUNTIFS($E$4:$E$1463,$E785,$X$4:$X$1463,"&gt;"&amp;$X785)+COUNTIFS($E$4:$E785,$E785,$X$4:$X785,"="&amp;$X785))))</f>
        <v>NECROMANCER#98</v>
      </c>
      <c r="AC785" s="1" t="str">
        <f>IF($C785="","",$B785&amp;"@"&amp;(COUNTIFS($B$4:$B$1463,$B785,$C$4:$C$1463,"&lt;"&amp;$C785)+COUNTIFS($B$4:$B785,$B785,$C$4:$C785,$C785)))</f>
        <v>EMERALD LEAF TRIBE@58</v>
      </c>
      <c r="AD785" s="1">
        <f t="shared" si="64"/>
        <v>782</v>
      </c>
      <c r="AE785" s="1" t="s">
        <v>1880</v>
      </c>
      <c r="AF785" s="76">
        <f t="shared" si="65"/>
        <v>57250</v>
      </c>
      <c r="AG785" s="77">
        <f t="shared" si="66"/>
        <v>2.85</v>
      </c>
      <c r="AH785" s="1" t="str">
        <f>IF($C785="","",$B785&amp;"|"&amp;(COUNTIFS($B$4:$B$1463,$B785,$AF$4:$AF$1463,"&gt;"&amp;$AF785)+COUNTIFS($B$4:$B785,$B785,$AF$4:$AF785,"="&amp;$AF785)))</f>
        <v>EMERALD LEAF TRIBE|93</v>
      </c>
      <c r="AI785" s="1" t="str">
        <f>IF($C785="","",$B785&amp;"|"&amp;(COUNTIFS($B$4:$B$1463,$B785,$AG$4:$AG$1463,"&gt;"&amp;$AG785)+COUNTIFS($B$4:$B785,$B785,$AG$4:$AG785,"="&amp;$AG785)))</f>
        <v>EMERALD LEAF TRIBE|85</v>
      </c>
    </row>
    <row r="786" spans="1:35" hidden="1">
      <c r="A786" s="69" t="s">
        <v>106</v>
      </c>
      <c r="B786" s="69" t="s">
        <v>86</v>
      </c>
      <c r="C786" s="63" t="s">
        <v>1881</v>
      </c>
      <c r="D786" s="69"/>
      <c r="E786" s="68" t="s">
        <v>79</v>
      </c>
      <c r="F786" s="15" t="str">
        <f>IF($C786="","",IF($E786="","-",IFERROR(INDEX(SETUP!$B$55:$B$64,MATCH($E786,SETUP!$A$55:$A$64,0)),"Other")))</f>
        <v>Control</v>
      </c>
      <c r="G786" s="70">
        <v>63144</v>
      </c>
      <c r="H786" s="15" t="str">
        <f>IF($C786="","",IF($G786="","-",INDEX(SETUP!$B$26:$B$32,MATCH($G786,SETUP!$A$26:$A$32,1))))</f>
        <v>63,000 - 63,999</v>
      </c>
      <c r="I786" s="70">
        <v>4048</v>
      </c>
      <c r="J786" s="15" t="str">
        <f>IF($C786="","",IF($I786="","-",INDEX(SETUP!$B$16:$B$22,MATCH($I786,SETUP!$A$16:$A$22,1))))</f>
        <v>CORE</v>
      </c>
      <c r="K786" s="15" t="str">
        <f>IF($C786="","",IF($I786="","-",TEXT(INT($I786/1000)*1000,"#,##0")&amp;" - "&amp;TEXT(INT($I786/1000)*1000+999,"#,##0")))</f>
        <v>4,000 - 4,999</v>
      </c>
      <c r="L786" s="71">
        <v>4</v>
      </c>
      <c r="M786" s="15" t="str">
        <f>IF($C786="","",IF($L786="","-",INDEX(SETUP!$B$36:$B$42,MATCH($L786,SETUP!$A$36:$A$42,1))))</f>
        <v>4k - 5k</v>
      </c>
      <c r="N786" s="17">
        <f>IF($C786="","",IF(OR($G786="",$I786=""),"",ROUND(100*(SETUP!$B$4*MIN(1,$I786/SETUP!$B$9)+SETUP!$B$5*MAX(0,MIN(1,($G786-SETUP!$B$10)/(SETUP!$B$11-SETUP!$B$10)))+SETUP!$B$6*MIN(1,IF($L786="",0,$L786)/SETUP!$B$12)),1)))</f>
        <v>45.8</v>
      </c>
      <c r="O786" s="15" t="str">
        <f>IF($C786="","",IF($N786="","-",INDEX(SETUP!$B$46:$B$51,MATCH($N786,SETUP!$A$46:$A$51,1))))</f>
        <v>B</v>
      </c>
      <c r="P786" s="15">
        <f>IF($C786="","",IF($I786="","",RANK($I786,$I$4:$I$1463)+COUNTIF($I$4:$I786,$I786)-1))</f>
        <v>587</v>
      </c>
      <c r="Q786" s="15">
        <f>IF($C786="","",COUNTIFS($B$4:$B$1463,$B786,$X$4:$X$1463,"&gt;"&amp;$X786)+COUNTIFS($B$4:$B786,$B786,$X$4:$X786,"="&amp;$X786))</f>
        <v>79</v>
      </c>
      <c r="R786" s="72">
        <f>IF($C786="","",IF($I786="","",ROUND(COUNTIF($I$4:$I$1463,"&lt;"&amp;$I786)/COUNT($I$4:$I$1463),3)))</f>
        <v>0.55700000000000005</v>
      </c>
      <c r="S786" s="15" t="str">
        <f>IF($C786="","",IF($G786="","Name only",IF(OR($I786="",$L786=""),"Partial","Complete")))</f>
        <v>Complete</v>
      </c>
      <c r="T786" s="41" t="str">
        <f>IF($C786="","",TRIM(IF(COUNTIF($C$4:$C$1463,$C786)&gt;1,"Dup name; ","")&amp;IF(AND($G786&lt;&gt;"",$G786&lt;55000),"Low CR - verify; ","")&amp;IF(AND($L786&lt;&gt;"",$L786&gt;15),"Secondary - verify; ","")&amp;IF($E786="","No class; ","")))</f>
        <v/>
      </c>
      <c r="U786" s="68"/>
      <c r="V786" s="68"/>
      <c r="W786" s="68"/>
      <c r="X786" s="73">
        <f t="shared" si="62"/>
        <v>4048</v>
      </c>
      <c r="Y786" s="41" t="str">
        <f t="shared" si="63"/>
        <v>VANGUARD|79</v>
      </c>
      <c r="Z786" s="15">
        <f>IF($C786="","",IF($G786="","",RANK($G786,$G$4:$G$1463)+COUNTIF($G$4:$G786,$G786)-1))</f>
        <v>350</v>
      </c>
      <c r="AA786" s="15">
        <f>IF($C786="","",IF($N786="","",RANK($N786,$N$4:$N$1463)+COUNTIF($N$4:$N786,$N786)-1))</f>
        <v>596</v>
      </c>
      <c r="AB786" s="41" t="str">
        <f>IF($C786="","",IF($E786="","",$E786&amp;"#"&amp;(COUNTIFS($E$4:$E$1463,$E786,$X$4:$X$1463,"&gt;"&amp;$X786)+COUNTIFS($E$4:$E786,$E786,$X$4:$X786,"="&amp;$X786))))</f>
        <v>WARLOCK#137</v>
      </c>
      <c r="AC786" s="41" t="str">
        <f>IF($C786="","",$B786&amp;"@"&amp;(COUNTIFS($B$4:$B$1463,$B786,$C$4:$C$1463,"&lt;"&amp;$C786)+COUNTIFS($B$4:$B786,$B786,$C$4:$C786,$C786)))</f>
        <v>VANGUARD@61</v>
      </c>
      <c r="AD786" s="41">
        <f t="shared" si="64"/>
        <v>783</v>
      </c>
      <c r="AE786" s="41" t="s">
        <v>1081</v>
      </c>
      <c r="AF786" s="73">
        <f t="shared" si="65"/>
        <v>63144</v>
      </c>
      <c r="AG786" s="74">
        <f t="shared" si="66"/>
        <v>4</v>
      </c>
      <c r="AH786" s="41" t="str">
        <f>IF($C786="","",$B786&amp;"|"&amp;(COUNTIFS($B$4:$B$1463,$B786,$AF$4:$AF$1463,"&gt;"&amp;$AF786)+COUNTIFS($B$4:$B786,$B786,$AF$4:$AF786,"="&amp;$AF786)))</f>
        <v>VANGUARD|56</v>
      </c>
      <c r="AI786" s="41" t="str">
        <f>IF($C786="","",$B786&amp;"|"&amp;(COUNTIFS($B$4:$B$1463,$B786,$AG$4:$AG$1463,"&gt;"&amp;$AG786)+COUNTIFS($B$4:$B786,$B786,$AG$4:$AG786,"="&amp;$AG786)))</f>
        <v>VANGUARD|90</v>
      </c>
    </row>
    <row r="787" spans="1:35" hidden="1">
      <c r="A787" s="69" t="s">
        <v>109</v>
      </c>
      <c r="B787" s="69" t="s">
        <v>108</v>
      </c>
      <c r="C787" s="63" t="s">
        <v>1882</v>
      </c>
      <c r="D787" s="69" t="s">
        <v>1066</v>
      </c>
      <c r="E787" s="68" t="s">
        <v>71</v>
      </c>
      <c r="F787" s="19" t="str">
        <f>IF($C787="","",IF($E787="","-",IFERROR(INDEX(SETUP!$B$55:$B$64,MATCH($E787,SETUP!$A$55:$A$64,0)),"Other")))</f>
        <v>Frontline</v>
      </c>
      <c r="G787" s="70">
        <v>64112</v>
      </c>
      <c r="H787" s="19" t="str">
        <f>IF($C787="","",IF($G787="","-",INDEX(SETUP!$B$26:$B$32,MATCH($G787,SETUP!$A$26:$A$32,1))))</f>
        <v>64,000 +</v>
      </c>
      <c r="I787" s="70">
        <v>9003</v>
      </c>
      <c r="J787" s="19" t="str">
        <f>IF($C787="","",IF($I787="","-",INDEX(SETUP!$B$16:$B$22,MATCH($I787,SETUP!$A$16:$A$22,1))))</f>
        <v>ELITE</v>
      </c>
      <c r="K787" s="19" t="str">
        <f>IF($C787="","",IF($I787="","-",TEXT(INT($I787/1000)*1000,"#,##0")&amp;" - "&amp;TEXT(INT($I787/1000)*1000+999,"#,##0")))</f>
        <v>9,000 - 9,999</v>
      </c>
      <c r="L787" s="71">
        <v>5.6</v>
      </c>
      <c r="M787" s="19" t="str">
        <f>IF($C787="","",IF($L787="","-",INDEX(SETUP!$B$36:$B$42,MATCH($L787,SETUP!$A$36:$A$42,1))))</f>
        <v>5k - 6k</v>
      </c>
      <c r="N787" s="21">
        <f>IF($C787="","",IF(OR($G787="",$I787=""),"",ROUND(100*(SETUP!$B$4*MIN(1,$I787/SETUP!$B$9)+SETUP!$B$5*MAX(0,MIN(1,($G787-SETUP!$B$10)/(SETUP!$B$11-SETUP!$B$10)))+SETUP!$B$6*MIN(1,IF($L787="",0,$L787)/SETUP!$B$12)),1)))</f>
        <v>72.599999999999994</v>
      </c>
      <c r="O787" s="19" t="str">
        <f>IF($C787="","",IF($N787="","-",INDEX(SETUP!$B$46:$B$51,MATCH($N787,SETUP!$A$46:$A$51,1))))</f>
        <v>S</v>
      </c>
      <c r="P787" s="19">
        <f>IF($C787="","",IF($I787="","",RANK($I787,$I$4:$I$1463)+COUNTIF($I$4:$I787,$I787)-1))</f>
        <v>96</v>
      </c>
      <c r="Q787" s="19">
        <f>IF($C787="","",COUNTIFS($B$4:$B$1463,$B787,$X$4:$X$1463,"&gt;"&amp;$X787)+COUNTIFS($B$4:$B787,$B787,$X$4:$X787,"="&amp;$X787))</f>
        <v>13</v>
      </c>
      <c r="R787" s="75">
        <f>IF($C787="","",IF($I787="","",ROUND(COUNTIF($I$4:$I$1463,"&lt;"&amp;$I787)/COUNT($I$4:$I$1463),3)))</f>
        <v>0.92800000000000005</v>
      </c>
      <c r="S787" s="19" t="str">
        <f>IF($C787="","",IF($G787="","Name only",IF(OR($I787="",$L787=""),"Partial","Complete")))</f>
        <v>Complete</v>
      </c>
      <c r="T787" s="1" t="str">
        <f>IF($C787="","",TRIM(IF(COUNTIF($C$4:$C$1463,$C787)&gt;1,"Dup name; ","")&amp;IF(AND($G787&lt;&gt;"",$G787&lt;55000),"Low CR - verify; ","")&amp;IF(AND($L787&lt;&gt;"",$L787&gt;15),"Secondary - verify; ","")&amp;IF($E787="","No class; ","")))</f>
        <v/>
      </c>
      <c r="U787" s="68"/>
      <c r="V787" s="68"/>
      <c r="W787" s="68"/>
      <c r="X787" s="76">
        <f t="shared" si="62"/>
        <v>9003</v>
      </c>
      <c r="Y787" s="1" t="str">
        <f t="shared" si="63"/>
        <v>SBG|13</v>
      </c>
      <c r="Z787" s="19">
        <f>IF($C787="","",IF($G787="","",RANK($G787,$G$4:$G$1463)+COUNTIF($G$4:$G787,$G787)-1))</f>
        <v>57</v>
      </c>
      <c r="AA787" s="19">
        <f>IF($C787="","",IF($N787="","",RANK($N787,$N$4:$N$1463)+COUNTIF($N$4:$N787,$N787)-1))</f>
        <v>106</v>
      </c>
      <c r="AB787" s="1" t="str">
        <f>IF($C787="","",IF($E787="","",$E787&amp;"#"&amp;(COUNTIFS($E$4:$E$1463,$E787,$X$4:$X$1463,"&gt;"&amp;$X787)+COUNTIFS($E$4:$E787,$E787,$X$4:$X787,"="&amp;$X787))))</f>
        <v>BARBARIAN#22</v>
      </c>
      <c r="AC787" s="1" t="str">
        <f>IF($C787="","",$B787&amp;"@"&amp;(COUNTIFS($B$4:$B$1463,$B787,$C$4:$C$1463,"&lt;"&amp;$C787)+COUNTIFS($B$4:$B787,$B787,$C$4:$C787,$C787)))</f>
        <v>SBG@48</v>
      </c>
      <c r="AD787" s="1">
        <f t="shared" si="64"/>
        <v>784</v>
      </c>
      <c r="AE787" s="1" t="s">
        <v>1883</v>
      </c>
      <c r="AF787" s="76">
        <f t="shared" si="65"/>
        <v>64112</v>
      </c>
      <c r="AG787" s="77">
        <f t="shared" si="66"/>
        <v>5.6</v>
      </c>
      <c r="AH787" s="1" t="str">
        <f>IF($C787="","",$B787&amp;"|"&amp;(COUNTIFS($B$4:$B$1463,$B787,$AF$4:$AF$1463,"&gt;"&amp;$AF787)+COUNTIFS($B$4:$B787,$B787,$AF$4:$AF787,"="&amp;$AF787)))</f>
        <v>SBG|10</v>
      </c>
      <c r="AI787" s="1" t="str">
        <f>IF($C787="","",$B787&amp;"|"&amp;(COUNTIFS($B$4:$B$1463,$B787,$AG$4:$AG$1463,"&gt;"&amp;$AG787)+COUNTIFS($B$4:$B787,$B787,$AG$4:$AG787,"="&amp;$AG787)))</f>
        <v>SBG|54</v>
      </c>
    </row>
    <row r="788" spans="1:35" hidden="1">
      <c r="A788" s="69" t="s">
        <v>109</v>
      </c>
      <c r="B788" s="69" t="s">
        <v>113</v>
      </c>
      <c r="C788" s="63" t="s">
        <v>1884</v>
      </c>
      <c r="D788" s="69" t="s">
        <v>548</v>
      </c>
      <c r="E788" s="68" t="s">
        <v>79</v>
      </c>
      <c r="F788" s="15" t="str">
        <f>IF($C788="","",IF($E788="","-",IFERROR(INDEX(SETUP!$B$55:$B$64,MATCH($E788,SETUP!$A$55:$A$64,0)),"Other")))</f>
        <v>Control</v>
      </c>
      <c r="G788" s="70">
        <v>63537</v>
      </c>
      <c r="H788" s="15" t="str">
        <f>IF($C788="","",IF($G788="","-",INDEX(SETUP!$B$26:$B$32,MATCH($G788,SETUP!$A$26:$A$32,1))))</f>
        <v>63,000 - 63,999</v>
      </c>
      <c r="I788" s="70">
        <v>5758</v>
      </c>
      <c r="J788" s="15" t="str">
        <f>IF($C788="","",IF($I788="","-",INDEX(SETUP!$B$16:$B$22,MATCH($I788,SETUP!$A$16:$A$22,1))))</f>
        <v>CORE</v>
      </c>
      <c r="K788" s="15" t="str">
        <f>IF($C788="","",IF($I788="","-",TEXT(INT($I788/1000)*1000,"#,##0")&amp;" - "&amp;TEXT(INT($I788/1000)*1000+999,"#,##0")))</f>
        <v>5,000 - 5,999</v>
      </c>
      <c r="L788" s="71">
        <v>5.95</v>
      </c>
      <c r="M788" s="15" t="str">
        <f>IF($C788="","",IF($L788="","-",INDEX(SETUP!$B$36:$B$42,MATCH($L788,SETUP!$A$36:$A$42,1))))</f>
        <v>5k - 6k</v>
      </c>
      <c r="N788" s="17">
        <f>IF($C788="","",IF(OR($G788="",$I788=""),"",ROUND(100*(SETUP!$B$4*MIN(1,$I788/SETUP!$B$9)+SETUP!$B$5*MAX(0,MIN(1,($G788-SETUP!$B$10)/(SETUP!$B$11-SETUP!$B$10)))+SETUP!$B$6*MIN(1,IF($L788="",0,$L788)/SETUP!$B$12)),1)))</f>
        <v>57.5</v>
      </c>
      <c r="O788" s="15" t="str">
        <f>IF($C788="","",IF($N788="","-",INDEX(SETUP!$B$46:$B$51,MATCH($N788,SETUP!$A$46:$A$51,1))))</f>
        <v>A</v>
      </c>
      <c r="P788" s="15">
        <f>IF($C788="","",IF($I788="","",RANK($I788,$I$4:$I$1463)+COUNTIF($I$4:$I788,$I788)-1))</f>
        <v>308</v>
      </c>
      <c r="Q788" s="15">
        <f>IF($C788="","",COUNTIFS($B$4:$B$1463,$B788,$X$4:$X$1463,"&gt;"&amp;$X788)+COUNTIFS($B$4:$B788,$B788,$X$4:$X788,"="&amp;$X788))</f>
        <v>10</v>
      </c>
      <c r="R788" s="72">
        <f>IF($C788="","",IF($I788="","",ROUND(COUNTIF($I$4:$I$1463,"&lt;"&amp;$I788)/COUNT($I$4:$I$1463),3)))</f>
        <v>0.76800000000000002</v>
      </c>
      <c r="S788" s="15" t="str">
        <f>IF($C788="","",IF($G788="","Name only",IF(OR($I788="",$L788=""),"Partial","Complete")))</f>
        <v>Complete</v>
      </c>
      <c r="T788" s="41" t="str">
        <f>IF($C788="","",TRIM(IF(COUNTIF($C$4:$C$1463,$C788)&gt;1,"Dup name; ","")&amp;IF(AND($G788&lt;&gt;"",$G788&lt;55000),"Low CR - verify; ","")&amp;IF(AND($L788&lt;&gt;"",$L788&gt;15),"Secondary - verify; ","")&amp;IF($E788="","No class; ","")))</f>
        <v/>
      </c>
      <c r="U788" s="68"/>
      <c r="V788" s="68"/>
      <c r="W788" s="68"/>
      <c r="X788" s="73">
        <f t="shared" si="62"/>
        <v>5758</v>
      </c>
      <c r="Y788" s="41" t="str">
        <f t="shared" si="63"/>
        <v>INVICTUS|10</v>
      </c>
      <c r="Z788" s="15">
        <f>IF($C788="","",IF($G788="","",RANK($G788,$G$4:$G$1463)+COUNTIF($G$4:$G788,$G788)-1))</f>
        <v>180</v>
      </c>
      <c r="AA788" s="15">
        <f>IF($C788="","",IF($N788="","",RANK($N788,$N$4:$N$1463)+COUNTIF($N$4:$N788,$N788)-1))</f>
        <v>270</v>
      </c>
      <c r="AB788" s="41" t="str">
        <f>IF($C788="","",IF($E788="","",$E788&amp;"#"&amp;(COUNTIFS($E$4:$E$1463,$E788,$X$4:$X$1463,"&gt;"&amp;$X788)+COUNTIFS($E$4:$E788,$E788,$X$4:$X788,"="&amp;$X788))))</f>
        <v>WARLOCK#66</v>
      </c>
      <c r="AC788" s="41" t="str">
        <f>IF($C788="","",$B788&amp;"@"&amp;(COUNTIFS($B$4:$B$1463,$B788,$C$4:$C$1463,"&lt;"&amp;$C788)+COUNTIFS($B$4:$B788,$B788,$C$4:$C788,$C788)))</f>
        <v>INVICTUS@60</v>
      </c>
      <c r="AD788" s="41">
        <f t="shared" si="64"/>
        <v>785</v>
      </c>
      <c r="AE788" s="41" t="s">
        <v>1885</v>
      </c>
      <c r="AF788" s="73">
        <f t="shared" si="65"/>
        <v>63537</v>
      </c>
      <c r="AG788" s="74">
        <f t="shared" si="66"/>
        <v>5.95</v>
      </c>
      <c r="AH788" s="41" t="str">
        <f>IF($C788="","",$B788&amp;"|"&amp;(COUNTIFS($B$4:$B$1463,$B788,$AF$4:$AF$1463,"&gt;"&amp;$AF788)+COUNTIFS($B$4:$B788,$B788,$AF$4:$AF788,"="&amp;$AF788)))</f>
        <v>INVICTUS|5</v>
      </c>
      <c r="AI788" s="41" t="str">
        <f>IF($C788="","",$B788&amp;"|"&amp;(COUNTIFS($B$4:$B$1463,$B788,$AG$4:$AG$1463,"&gt;"&amp;$AG788)+COUNTIFS($B$4:$B788,$B788,$AG$4:$AG788,"="&amp;$AG788)))</f>
        <v>INVICTUS|14</v>
      </c>
    </row>
    <row r="789" spans="1:35" hidden="1">
      <c r="A789" s="69" t="s">
        <v>109</v>
      </c>
      <c r="B789" s="69" t="s">
        <v>117</v>
      </c>
      <c r="C789" s="63" t="s">
        <v>1886</v>
      </c>
      <c r="D789" s="69"/>
      <c r="E789" s="68" t="s">
        <v>74</v>
      </c>
      <c r="F789" s="19" t="str">
        <f>IF($C789="","",IF($E789="","-",IFERROR(INDEX(SETUP!$B$55:$B$64,MATCH($E789,SETUP!$A$55:$A$64,0)),"Other")))</f>
        <v>Ranged DPS</v>
      </c>
      <c r="G789" s="70">
        <v>60969</v>
      </c>
      <c r="H789" s="19" t="str">
        <f>IF($C789="","",IF($G789="","-",INDEX(SETUP!$B$26:$B$32,MATCH($G789,SETUP!$A$26:$A$32,1))))</f>
        <v>60,000 - 60,999</v>
      </c>
      <c r="I789" s="70">
        <v>2932</v>
      </c>
      <c r="J789" s="19" t="str">
        <f>IF($C789="","",IF($I789="","-",INDEX(SETUP!$B$16:$B$22,MATCH($I789,SETUP!$A$16:$A$22,1))))</f>
        <v>DEVELOPING</v>
      </c>
      <c r="K789" s="19" t="str">
        <f>IF($C789="","",IF($I789="","-",TEXT(INT($I789/1000)*1000,"#,##0")&amp;" - "&amp;TEXT(INT($I789/1000)*1000+999,"#,##0")))</f>
        <v>2,000 - 2,999</v>
      </c>
      <c r="L789" s="71">
        <v>3.5</v>
      </c>
      <c r="M789" s="19" t="str">
        <f>IF($C789="","",IF($L789="","-",INDEX(SETUP!$B$36:$B$42,MATCH($L789,SETUP!$A$36:$A$42,1))))</f>
        <v>3k - 4k</v>
      </c>
      <c r="N789" s="21">
        <f>IF($C789="","",IF(OR($G789="",$I789=""),"",ROUND(100*(SETUP!$B$4*MIN(1,$I789/SETUP!$B$9)+SETUP!$B$5*MAX(0,MIN(1,($G789-SETUP!$B$10)/(SETUP!$B$11-SETUP!$B$10)))+SETUP!$B$6*MIN(1,IF($L789="",0,$L789)/SETUP!$B$12)),1)))</f>
        <v>34.299999999999997</v>
      </c>
      <c r="O789" s="19" t="str">
        <f>IF($C789="","",IF($N789="","-",INDEX(SETUP!$B$46:$B$51,MATCH($N789,SETUP!$A$46:$A$51,1))))</f>
        <v>C</v>
      </c>
      <c r="P789" s="19">
        <f>IF($C789="","",IF($I789="","",RANK($I789,$I$4:$I$1463)+COUNTIF($I$4:$I789,$I789)-1))</f>
        <v>899</v>
      </c>
      <c r="Q789" s="19">
        <f>IF($C789="","",COUNTIFS($B$4:$B$1463,$B789,$X$4:$X$1463,"&gt;"&amp;$X789)+COUNTIFS($B$4:$B789,$B789,$X$4:$X789,"="&amp;$X789))</f>
        <v>17</v>
      </c>
      <c r="R789" s="75">
        <f>IF($C789="","",IF($I789="","",ROUND(COUNTIF($I$4:$I$1463,"&lt;"&amp;$I789)/COUNT($I$4:$I$1463),3)))</f>
        <v>0.32100000000000001</v>
      </c>
      <c r="S789" s="19" t="str">
        <f>IF($C789="","",IF($G789="","Name only",IF(OR($I789="",$L789=""),"Partial","Complete")))</f>
        <v>Complete</v>
      </c>
      <c r="T789" s="1" t="str">
        <f>IF($C789="","",TRIM(IF(COUNTIF($C$4:$C$1463,$C789)&gt;1,"Dup name; ","")&amp;IF(AND($G789&lt;&gt;"",$G789&lt;55000),"Low CR - verify; ","")&amp;IF(AND($L789&lt;&gt;"",$L789&gt;15),"Secondary - verify; ","")&amp;IF($E789="","No class; ","")))</f>
        <v/>
      </c>
      <c r="U789" s="68"/>
      <c r="V789" s="68"/>
      <c r="W789" s="68"/>
      <c r="X789" s="76">
        <f t="shared" si="62"/>
        <v>2932</v>
      </c>
      <c r="Y789" s="1" t="str">
        <f t="shared" si="63"/>
        <v>VENDETTA|17</v>
      </c>
      <c r="Z789" s="19">
        <f>IF($C789="","",IF($G789="","",RANK($G789,$G$4:$G$1463)+COUNTIF($G$4:$G789,$G789)-1))</f>
        <v>1138</v>
      </c>
      <c r="AA789" s="19">
        <f>IF($C789="","",IF($N789="","",RANK($N789,$N$4:$N$1463)+COUNTIF($N$4:$N789,$N789)-1))</f>
        <v>1035</v>
      </c>
      <c r="AB789" s="1" t="str">
        <f>IF($C789="","",IF($E789="","",$E789&amp;"#"&amp;(COUNTIFS($E$4:$E$1463,$E789,$X$4:$X$1463,"&gt;"&amp;$X789)+COUNTIFS($E$4:$E789,$E789,$X$4:$X789,"="&amp;$X789))))</f>
        <v>DEMON HUNTER#143</v>
      </c>
      <c r="AC789" s="1" t="str">
        <f>IF($C789="","",$B789&amp;"@"&amp;(COUNTIFS($B$4:$B$1463,$B789,$C$4:$C$1463,"&lt;"&amp;$C789)+COUNTIFS($B$4:$B789,$B789,$C$4:$C789,$C789)))</f>
        <v>VENDETTA@58</v>
      </c>
      <c r="AD789" s="1">
        <f t="shared" si="64"/>
        <v>786</v>
      </c>
      <c r="AE789" s="1" t="s">
        <v>568</v>
      </c>
      <c r="AF789" s="76">
        <f t="shared" si="65"/>
        <v>60969</v>
      </c>
      <c r="AG789" s="77">
        <f t="shared" si="66"/>
        <v>3.5</v>
      </c>
      <c r="AH789" s="1" t="str">
        <f>IF($C789="","",$B789&amp;"|"&amp;(COUNTIFS($B$4:$B$1463,$B789,$AF$4:$AF$1463,"&gt;"&amp;$AF789)+COUNTIFS($B$4:$B789,$B789,$AF$4:$AF789,"="&amp;$AF789)))</f>
        <v>VENDETTA|65</v>
      </c>
      <c r="AI789" s="1" t="str">
        <f>IF($C789="","",$B789&amp;"|"&amp;(COUNTIFS($B$4:$B$1463,$B789,$AG$4:$AG$1463,"&gt;"&amp;$AG789)+COUNTIFS($B$4:$B789,$B789,$AG$4:$AG789,"="&amp;$AG789)))</f>
        <v>VENDETTA|59</v>
      </c>
    </row>
    <row r="790" spans="1:35" hidden="1">
      <c r="A790" s="69" t="s">
        <v>109</v>
      </c>
      <c r="B790" s="69" t="s">
        <v>108</v>
      </c>
      <c r="C790" s="63" t="s">
        <v>1887</v>
      </c>
      <c r="D790" s="69"/>
      <c r="E790" s="68" t="s">
        <v>71</v>
      </c>
      <c r="F790" s="15" t="str">
        <f>IF($C790="","",IF($E790="","-",IFERROR(INDEX(SETUP!$B$55:$B$64,MATCH($E790,SETUP!$A$55:$A$64,0)),"Other")))</f>
        <v>Frontline</v>
      </c>
      <c r="G790" s="70">
        <v>64023</v>
      </c>
      <c r="H790" s="15" t="str">
        <f>IF($C790="","",IF($G790="","-",INDEX(SETUP!$B$26:$B$32,MATCH($G790,SETUP!$A$26:$A$32,1))))</f>
        <v>64,000 +</v>
      </c>
      <c r="I790" s="70">
        <v>8496</v>
      </c>
      <c r="J790" s="15" t="str">
        <f>IF($C790="","",IF($I790="","-",INDEX(SETUP!$B$16:$B$22,MATCH($I790,SETUP!$A$16:$A$22,1))))</f>
        <v>ELITE</v>
      </c>
      <c r="K790" s="15" t="str">
        <f>IF($C790="","",IF($I790="","-",TEXT(INT($I790/1000)*1000,"#,##0")&amp;" - "&amp;TEXT(INT($I790/1000)*1000+999,"#,##0")))</f>
        <v>8,000 - 8,999</v>
      </c>
      <c r="L790" s="71">
        <v>7.8</v>
      </c>
      <c r="M790" s="15" t="str">
        <f>IF($C790="","",IF($L790="","-",INDEX(SETUP!$B$36:$B$42,MATCH($L790,SETUP!$A$36:$A$42,1))))</f>
        <v>6k - 8k</v>
      </c>
      <c r="N790" s="17">
        <f>IF($C790="","",IF(OR($G790="",$I790=""),"",ROUND(100*(SETUP!$B$4*MIN(1,$I790/SETUP!$B$9)+SETUP!$B$5*MAX(0,MIN(1,($G790-SETUP!$B$10)/(SETUP!$B$11-SETUP!$B$10)))+SETUP!$B$6*MIN(1,IF($L790="",0,$L790)/SETUP!$B$12)),1)))</f>
        <v>73.8</v>
      </c>
      <c r="O790" s="15" t="str">
        <f>IF($C790="","",IF($N790="","-",INDEX(SETUP!$B$46:$B$51,MATCH($N790,SETUP!$A$46:$A$51,1))))</f>
        <v>S</v>
      </c>
      <c r="P790" s="15">
        <f>IF($C790="","",IF($I790="","",RANK($I790,$I$4:$I$1463)+COUNTIF($I$4:$I790,$I790)-1))</f>
        <v>120</v>
      </c>
      <c r="Q790" s="15">
        <f>IF($C790="","",COUNTIFS($B$4:$B$1463,$B790,$X$4:$X$1463,"&gt;"&amp;$X790)+COUNTIFS($B$4:$B790,$B790,$X$4:$X790,"="&amp;$X790))</f>
        <v>19</v>
      </c>
      <c r="R790" s="72">
        <f>IF($C790="","",IF($I790="","",ROUND(COUNTIF($I$4:$I$1463,"&lt;"&amp;$I790)/COUNT($I$4:$I$1463),3)))</f>
        <v>0.90900000000000003</v>
      </c>
      <c r="S790" s="15" t="str">
        <f>IF($C790="","",IF($G790="","Name only",IF(OR($I790="",$L790=""),"Partial","Complete")))</f>
        <v>Complete</v>
      </c>
      <c r="T790" s="41" t="str">
        <f>IF($C790="","",TRIM(IF(COUNTIF($C$4:$C$1463,$C790)&gt;1,"Dup name; ","")&amp;IF(AND($G790&lt;&gt;"",$G790&lt;55000),"Low CR - verify; ","")&amp;IF(AND($L790&lt;&gt;"",$L790&gt;15),"Secondary - verify; ","")&amp;IF($E790="","No class; ","")))</f>
        <v/>
      </c>
      <c r="U790" s="68"/>
      <c r="V790" s="68"/>
      <c r="W790" s="68"/>
      <c r="X790" s="73">
        <f t="shared" si="62"/>
        <v>8496</v>
      </c>
      <c r="Y790" s="41" t="str">
        <f t="shared" si="63"/>
        <v>SBG|19</v>
      </c>
      <c r="Z790" s="15">
        <f>IF($C790="","",IF($G790="","",RANK($G790,$G$4:$G$1463)+COUNTIF($G$4:$G790,$G790)-1))</f>
        <v>67</v>
      </c>
      <c r="AA790" s="15">
        <f>IF($C790="","",IF($N790="","",RANK($N790,$N$4:$N$1463)+COUNTIF($N$4:$N790,$N790)-1))</f>
        <v>95</v>
      </c>
      <c r="AB790" s="41" t="str">
        <f>IF($C790="","",IF($E790="","",$E790&amp;"#"&amp;(COUNTIFS($E$4:$E$1463,$E790,$X$4:$X$1463,"&gt;"&amp;$X790)+COUNTIFS($E$4:$E790,$E790,$X$4:$X790,"="&amp;$X790))))</f>
        <v>BARBARIAN#24</v>
      </c>
      <c r="AC790" s="41" t="str">
        <f>IF($C790="","",$B790&amp;"@"&amp;(COUNTIFS($B$4:$B$1463,$B790,$C$4:$C$1463,"&lt;"&amp;$C790)+COUNTIFS($B$4:$B790,$B790,$C$4:$C790,$C790)))</f>
        <v>SBG@49</v>
      </c>
      <c r="AD790" s="41">
        <f t="shared" si="64"/>
        <v>787</v>
      </c>
      <c r="AE790" s="41" t="s">
        <v>1888</v>
      </c>
      <c r="AF790" s="73">
        <f t="shared" si="65"/>
        <v>64023</v>
      </c>
      <c r="AG790" s="74">
        <f t="shared" si="66"/>
        <v>7.8</v>
      </c>
      <c r="AH790" s="41" t="str">
        <f>IF($C790="","",$B790&amp;"|"&amp;(COUNTIFS($B$4:$B$1463,$B790,$AF$4:$AF$1463,"&gt;"&amp;$AF790)+COUNTIFS($B$4:$B790,$B790,$AF$4:$AF790,"="&amp;$AF790)))</f>
        <v>SBG|13</v>
      </c>
      <c r="AI790" s="41" t="str">
        <f>IF($C790="","",$B790&amp;"|"&amp;(COUNTIFS($B$4:$B$1463,$B790,$AG$4:$AG$1463,"&gt;"&amp;$AG790)+COUNTIFS($B$4:$B790,$B790,$AG$4:$AG790,"="&amp;$AG790)))</f>
        <v>SBG|15</v>
      </c>
    </row>
    <row r="791" spans="1:35" hidden="1">
      <c r="A791" s="69" t="s">
        <v>106</v>
      </c>
      <c r="B791" s="69" t="s">
        <v>107</v>
      </c>
      <c r="C791" s="63" t="s">
        <v>1889</v>
      </c>
      <c r="D791" s="69"/>
      <c r="E791" s="68" t="s">
        <v>80</v>
      </c>
      <c r="F791" s="19" t="str">
        <f>IF($C791="","",IF($E791="","-",IFERROR(INDEX(SETUP!$B$55:$B$64,MATCH($E791,SETUP!$A$55:$A$64,0)),"Other")))</f>
        <v>Ranged DPS</v>
      </c>
      <c r="G791" s="70">
        <v>62626</v>
      </c>
      <c r="H791" s="19" t="str">
        <f>IF($C791="","",IF($G791="","-",INDEX(SETUP!$B$26:$B$32,MATCH($G791,SETUP!$A$26:$A$32,1))))</f>
        <v>62,000 - 62,999</v>
      </c>
      <c r="I791" s="70">
        <v>2280</v>
      </c>
      <c r="J791" s="19" t="str">
        <f>IF($C791="","",IF($I791="","-",INDEX(SETUP!$B$16:$B$22,MATCH($I791,SETUP!$A$16:$A$22,1))))</f>
        <v>DEVELOPING</v>
      </c>
      <c r="K791" s="19" t="str">
        <f>IF($C791="","",IF($I791="","-",TEXT(INT($I791/1000)*1000,"#,##0")&amp;" - "&amp;TEXT(INT($I791/1000)*1000+999,"#,##0")))</f>
        <v>2,000 - 2,999</v>
      </c>
      <c r="L791" s="71">
        <v>4.1500000000000004</v>
      </c>
      <c r="M791" s="19" t="str">
        <f>IF($C791="","",IF($L791="","-",INDEX(SETUP!$B$36:$B$42,MATCH($L791,SETUP!$A$36:$A$42,1))))</f>
        <v>4k - 5k</v>
      </c>
      <c r="N791" s="21">
        <f>IF($C791="","",IF(OR($G791="",$I791=""),"",ROUND(100*(SETUP!$B$4*MIN(1,$I791/SETUP!$B$9)+SETUP!$B$5*MAX(0,MIN(1,($G791-SETUP!$B$10)/(SETUP!$B$11-SETUP!$B$10)))+SETUP!$B$6*MIN(1,IF($L791="",0,$L791)/SETUP!$B$12)),1)))</f>
        <v>36.9</v>
      </c>
      <c r="O791" s="19" t="str">
        <f>IF($C791="","",IF($N791="","-",INDEX(SETUP!$B$46:$B$51,MATCH($N791,SETUP!$A$46:$A$51,1))))</f>
        <v>B</v>
      </c>
      <c r="P791" s="19">
        <f>IF($C791="","",IF($I791="","",RANK($I791,$I$4:$I$1463)+COUNTIF($I$4:$I791,$I791)-1))</f>
        <v>1051</v>
      </c>
      <c r="Q791" s="19">
        <f>IF($C791="","",COUNTIFS($B$4:$B$1463,$B791,$X$4:$X$1463,"&gt;"&amp;$X791)+COUNTIFS($B$4:$B791,$B791,$X$4:$X791,"="&amp;$X791))</f>
        <v>92</v>
      </c>
      <c r="R791" s="75">
        <f>IF($C791="","",IF($I791="","",ROUND(COUNTIF($I$4:$I$1463,"&lt;"&amp;$I791)/COUNT($I$4:$I$1463),3)))</f>
        <v>0.20699999999999999</v>
      </c>
      <c r="S791" s="19" t="str">
        <f>IF($C791="","",IF($G791="","Name only",IF(OR($I791="",$L791=""),"Partial","Complete")))</f>
        <v>Complete</v>
      </c>
      <c r="T791" s="1" t="str">
        <f>IF($C791="","",TRIM(IF(COUNTIF($C$4:$C$1463,$C791)&gt;1,"Dup name; ","")&amp;IF(AND($G791&lt;&gt;"",$G791&lt;55000),"Low CR - verify; ","")&amp;IF(AND($L791&lt;&gt;"",$L791&gt;15),"Secondary - verify; ","")&amp;IF($E791="","No class; ","")))</f>
        <v/>
      </c>
      <c r="U791" s="68"/>
      <c r="V791" s="68"/>
      <c r="W791" s="68"/>
      <c r="X791" s="76">
        <f t="shared" si="62"/>
        <v>2280</v>
      </c>
      <c r="Y791" s="1" t="str">
        <f t="shared" si="63"/>
        <v>UNDYING|92</v>
      </c>
      <c r="Z791" s="19">
        <f>IF($C791="","",IF($G791="","",RANK($G791,$G$4:$G$1463)+COUNTIF($G$4:$G791,$G791)-1))</f>
        <v>597</v>
      </c>
      <c r="AA791" s="19">
        <f>IF($C791="","",IF($N791="","",RANK($N791,$N$4:$N$1463)+COUNTIF($N$4:$N791,$N791)-1))</f>
        <v>933</v>
      </c>
      <c r="AB791" s="1" t="str">
        <f>IF($C791="","",IF($E791="","",$E791&amp;"#"&amp;(COUNTIFS($E$4:$E$1463,$E791,$X$4:$X$1463,"&gt;"&amp;$X791)+COUNTIFS($E$4:$E791,$E791,$X$4:$X791,"="&amp;$X791))))</f>
        <v>WIZARD#75</v>
      </c>
      <c r="AC791" s="1" t="str">
        <f>IF($C791="","",$B791&amp;"@"&amp;(COUNTIFS($B$4:$B$1463,$B791,$C$4:$C$1463,"&lt;"&amp;$C791)+COUNTIFS($B$4:$B791,$B791,$C$4:$C791,$C791)))</f>
        <v>UNDYING@69</v>
      </c>
      <c r="AD791" s="1">
        <f t="shared" si="64"/>
        <v>788</v>
      </c>
      <c r="AE791" s="1" t="s">
        <v>1890</v>
      </c>
      <c r="AF791" s="76">
        <f t="shared" si="65"/>
        <v>62626</v>
      </c>
      <c r="AG791" s="77">
        <f t="shared" si="66"/>
        <v>4.1500000000000004</v>
      </c>
      <c r="AH791" s="1" t="str">
        <f>IF($C791="","",$B791&amp;"|"&amp;(COUNTIFS($B$4:$B$1463,$B791,$AF$4:$AF$1463,"&gt;"&amp;$AF791)+COUNTIFS($B$4:$B791,$B791,$AF$4:$AF791,"="&amp;$AF791)))</f>
        <v>UNDYING|61</v>
      </c>
      <c r="AI791" s="1" t="str">
        <f>IF($C791="","",$B791&amp;"|"&amp;(COUNTIFS($B$4:$B$1463,$B791,$AG$4:$AG$1463,"&gt;"&amp;$AG791)+COUNTIFS($B$4:$B791,$B791,$AG$4:$AG791,"="&amp;$AG791)))</f>
        <v>UNDYING|77</v>
      </c>
    </row>
    <row r="792" spans="1:35" hidden="1">
      <c r="A792" s="69" t="s">
        <v>109</v>
      </c>
      <c r="B792" s="69" t="s">
        <v>113</v>
      </c>
      <c r="C792" s="63" t="s">
        <v>1891</v>
      </c>
      <c r="D792" s="69" t="s">
        <v>548</v>
      </c>
      <c r="E792" s="68" t="s">
        <v>79</v>
      </c>
      <c r="F792" s="15" t="str">
        <f>IF($C792="","",IF($E792="","-",IFERROR(INDEX(SETUP!$B$55:$B$64,MATCH($E792,SETUP!$A$55:$A$64,0)),"Other")))</f>
        <v>Control</v>
      </c>
      <c r="G792" s="70">
        <v>60739</v>
      </c>
      <c r="H792" s="15" t="str">
        <f>IF($C792="","",IF($G792="","-",INDEX(SETUP!$B$26:$B$32,MATCH($G792,SETUP!$A$26:$A$32,1))))</f>
        <v>60,000 - 60,999</v>
      </c>
      <c r="I792" s="70">
        <v>1075</v>
      </c>
      <c r="J792" s="15" t="str">
        <f>IF($C792="","",IF($I792="","-",INDEX(SETUP!$B$16:$B$22,MATCH($I792,SETUP!$A$16:$A$22,1))))</f>
        <v>ROOKIE</v>
      </c>
      <c r="K792" s="15" t="str">
        <f>IF($C792="","",IF($I792="","-",TEXT(INT($I792/1000)*1000,"#,##0")&amp;" - "&amp;TEXT(INT($I792/1000)*1000+999,"#,##0")))</f>
        <v>1,000 - 1,999</v>
      </c>
      <c r="L792" s="71">
        <v>3.45</v>
      </c>
      <c r="M792" s="15" t="str">
        <f>IF($C792="","",IF($L792="","-",INDEX(SETUP!$B$36:$B$42,MATCH($L792,SETUP!$A$36:$A$42,1))))</f>
        <v>3k - 4k</v>
      </c>
      <c r="N792" s="17">
        <f>IF($C792="","",IF(OR($G792="",$I792=""),"",ROUND(100*(SETUP!$B$4*MIN(1,$I792/SETUP!$B$9)+SETUP!$B$5*MAX(0,MIN(1,($G792-SETUP!$B$10)/(SETUP!$B$11-SETUP!$B$10)))+SETUP!$B$6*MIN(1,IF($L792="",0,$L792)/SETUP!$B$12)),1)))</f>
        <v>25.5</v>
      </c>
      <c r="O792" s="15" t="str">
        <f>IF($C792="","",IF($N792="","-",INDEX(SETUP!$B$46:$B$51,MATCH($N792,SETUP!$A$46:$A$51,1))))</f>
        <v>C</v>
      </c>
      <c r="P792" s="15">
        <f>IF($C792="","",IF($I792="","",RANK($I792,$I$4:$I$1463)+COUNTIF($I$4:$I792,$I792)-1))</f>
        <v>1259</v>
      </c>
      <c r="Q792" s="15">
        <f>IF($C792="","",COUNTIFS($B$4:$B$1463,$B792,$X$4:$X$1463,"&gt;"&amp;$X792)+COUNTIFS($B$4:$B792,$B792,$X$4:$X792,"="&amp;$X792))</f>
        <v>95</v>
      </c>
      <c r="R792" s="72">
        <f>IF($C792="","",IF($I792="","",ROUND(COUNTIF($I$4:$I$1463,"&lt;"&amp;$I792)/COUNT($I$4:$I$1463),3)))</f>
        <v>0.05</v>
      </c>
      <c r="S792" s="15" t="str">
        <f>IF($C792="","",IF($G792="","Name only",IF(OR($I792="",$L792=""),"Partial","Complete")))</f>
        <v>Complete</v>
      </c>
      <c r="T792" s="41" t="str">
        <f>IF($C792="","",TRIM(IF(COUNTIF($C$4:$C$1463,$C792)&gt;1,"Dup name; ","")&amp;IF(AND($G792&lt;&gt;"",$G792&lt;55000),"Low CR - verify; ","")&amp;IF(AND($L792&lt;&gt;"",$L792&gt;15),"Secondary - verify; ","")&amp;IF($E792="","No class; ","")))</f>
        <v/>
      </c>
      <c r="U792" s="68"/>
      <c r="V792" s="68"/>
      <c r="W792" s="68"/>
      <c r="X792" s="73">
        <f t="shared" si="62"/>
        <v>1075</v>
      </c>
      <c r="Y792" s="41" t="str">
        <f t="shared" si="63"/>
        <v>INVICTUS|95</v>
      </c>
      <c r="Z792" s="15">
        <f>IF($C792="","",IF($G792="","",RANK($G792,$G$4:$G$1463)+COUNTIF($G$4:$G792,$G792)-1))</f>
        <v>1180</v>
      </c>
      <c r="AA792" s="15">
        <f>IF($C792="","",IF($N792="","",RANK($N792,$N$4:$N$1463)+COUNTIF($N$4:$N792,$N792)-1))</f>
        <v>1237</v>
      </c>
      <c r="AB792" s="41" t="str">
        <f>IF($C792="","",IF($E792="","",$E792&amp;"#"&amp;(COUNTIFS($E$4:$E$1463,$E792,$X$4:$X$1463,"&gt;"&amp;$X792)+COUNTIFS($E$4:$E792,$E792,$X$4:$X792,"="&amp;$X792))))</f>
        <v>WARLOCK#309</v>
      </c>
      <c r="AC792" s="41" t="str">
        <f>IF($C792="","",$B792&amp;"@"&amp;(COUNTIFS($B$4:$B$1463,$B792,$C$4:$C$1463,"&lt;"&amp;$C792)+COUNTIFS($B$4:$B792,$B792,$C$4:$C792,$C792)))</f>
        <v>INVICTUS@61</v>
      </c>
      <c r="AD792" s="41">
        <f t="shared" si="64"/>
        <v>789</v>
      </c>
      <c r="AE792" s="41" t="s">
        <v>1892</v>
      </c>
      <c r="AF792" s="73">
        <f t="shared" si="65"/>
        <v>60739</v>
      </c>
      <c r="AG792" s="74">
        <f t="shared" si="66"/>
        <v>3.45</v>
      </c>
      <c r="AH792" s="41" t="str">
        <f>IF($C792="","",$B792&amp;"|"&amp;(COUNTIFS($B$4:$B$1463,$B792,$AF$4:$AF$1463,"&gt;"&amp;$AF792)+COUNTIFS($B$4:$B792,$B792,$AF$4:$AF792,"="&amp;$AF792)))</f>
        <v>INVICTUS|90</v>
      </c>
      <c r="AI792" s="41" t="str">
        <f>IF($C792="","",$B792&amp;"|"&amp;(COUNTIFS($B$4:$B$1463,$B792,$AG$4:$AG$1463,"&gt;"&amp;$AG792)+COUNTIFS($B$4:$B792,$B792,$AG$4:$AG792,"="&amp;$AG792)))</f>
        <v>INVICTUS|79</v>
      </c>
    </row>
    <row r="793" spans="1:35" hidden="1">
      <c r="A793" s="69" t="s">
        <v>109</v>
      </c>
      <c r="B793" s="69" t="s">
        <v>117</v>
      </c>
      <c r="C793" s="63" t="s">
        <v>1893</v>
      </c>
      <c r="D793" s="69"/>
      <c r="E793" s="68" t="s">
        <v>79</v>
      </c>
      <c r="F793" s="19" t="str">
        <f>IF($C793="","",IF($E793="","-",IFERROR(INDEX(SETUP!$B$55:$B$64,MATCH($E793,SETUP!$A$55:$A$64,0)),"Other")))</f>
        <v>Control</v>
      </c>
      <c r="G793" s="70">
        <v>60935</v>
      </c>
      <c r="H793" s="19" t="str">
        <f>IF($C793="","",IF($G793="","-",INDEX(SETUP!$B$26:$B$32,MATCH($G793,SETUP!$A$26:$A$32,1))))</f>
        <v>60,000 - 60,999</v>
      </c>
      <c r="I793" s="70">
        <v>1550</v>
      </c>
      <c r="J793" s="19" t="str">
        <f>IF($C793="","",IF($I793="","-",INDEX(SETUP!$B$16:$B$22,MATCH($I793,SETUP!$A$16:$A$22,1))))</f>
        <v>ROOKIE</v>
      </c>
      <c r="K793" s="19" t="str">
        <f>IF($C793="","",IF($I793="","-",TEXT(INT($I793/1000)*1000,"#,##0")&amp;" - "&amp;TEXT(INT($I793/1000)*1000+999,"#,##0")))</f>
        <v>1,000 - 1,999</v>
      </c>
      <c r="L793" s="71">
        <v>4</v>
      </c>
      <c r="M793" s="19" t="str">
        <f>IF($C793="","",IF($L793="","-",INDEX(SETUP!$B$36:$B$42,MATCH($L793,SETUP!$A$36:$A$42,1))))</f>
        <v>4k - 5k</v>
      </c>
      <c r="N793" s="21">
        <f>IF($C793="","",IF(OR($G793="",$I793=""),"",ROUND(100*(SETUP!$B$4*MIN(1,$I793/SETUP!$B$9)+SETUP!$B$5*MAX(0,MIN(1,($G793-SETUP!$B$10)/(SETUP!$B$11-SETUP!$B$10)))+SETUP!$B$6*MIN(1,IF($L793="",0,$L793)/SETUP!$B$12)),1)))</f>
        <v>29.1</v>
      </c>
      <c r="O793" s="19" t="str">
        <f>IF($C793="","",IF($N793="","-",INDEX(SETUP!$B$46:$B$51,MATCH($N793,SETUP!$A$46:$A$51,1))))</f>
        <v>C</v>
      </c>
      <c r="P793" s="19">
        <f>IF($C793="","",IF($I793="","",RANK($I793,$I$4:$I$1463)+COUNTIF($I$4:$I793,$I793)-1))</f>
        <v>1180</v>
      </c>
      <c r="Q793" s="19">
        <f>IF($C793="","",COUNTIFS($B$4:$B$1463,$B793,$X$4:$X$1463,"&gt;"&amp;$X793)+COUNTIFS($B$4:$B793,$B793,$X$4:$X793,"="&amp;$X793))</f>
        <v>62</v>
      </c>
      <c r="R793" s="75">
        <f>IF($C793="","",IF($I793="","",ROUND(COUNTIF($I$4:$I$1463,"&lt;"&amp;$I793)/COUNT($I$4:$I$1463),3)))</f>
        <v>0.109</v>
      </c>
      <c r="S793" s="19" t="str">
        <f>IF($C793="","",IF($G793="","Name only",IF(OR($I793="",$L793=""),"Partial","Complete")))</f>
        <v>Complete</v>
      </c>
      <c r="T793" s="1" t="str">
        <f>IF($C793="","",TRIM(IF(COUNTIF($C$4:$C$1463,$C793)&gt;1,"Dup name; ","")&amp;IF(AND($G793&lt;&gt;"",$G793&lt;55000),"Low CR - verify; ","")&amp;IF(AND($L793&lt;&gt;"",$L793&gt;15),"Secondary - verify; ","")&amp;IF($E793="","No class; ","")))</f>
        <v/>
      </c>
      <c r="U793" s="68"/>
      <c r="V793" s="68"/>
      <c r="W793" s="68"/>
      <c r="X793" s="76">
        <f t="shared" si="62"/>
        <v>1550</v>
      </c>
      <c r="Y793" s="1" t="str">
        <f t="shared" si="63"/>
        <v>VENDETTA|62</v>
      </c>
      <c r="Z793" s="19">
        <f>IF($C793="","",IF($G793="","",RANK($G793,$G$4:$G$1463)+COUNTIF($G$4:$G793,$G793)-1))</f>
        <v>1146</v>
      </c>
      <c r="AA793" s="19">
        <f>IF($C793="","",IF($N793="","",RANK($N793,$N$4:$N$1463)+COUNTIF($N$4:$N793,$N793)-1))</f>
        <v>1167</v>
      </c>
      <c r="AB793" s="1" t="str">
        <f>IF($C793="","",IF($E793="","",$E793&amp;"#"&amp;(COUNTIFS($E$4:$E$1463,$E793,$X$4:$X$1463,"&gt;"&amp;$X793)+COUNTIFS($E$4:$E793,$E793,$X$4:$X793,"="&amp;$X793))))</f>
        <v>WARLOCK#291</v>
      </c>
      <c r="AC793" s="1" t="str">
        <f>IF($C793="","",$B793&amp;"@"&amp;(COUNTIFS($B$4:$B$1463,$B793,$C$4:$C$1463,"&lt;"&amp;$C793)+COUNTIFS($B$4:$B793,$B793,$C$4:$C793,$C793)))</f>
        <v>VENDETTA@59</v>
      </c>
      <c r="AD793" s="1">
        <f t="shared" si="64"/>
        <v>790</v>
      </c>
      <c r="AE793" s="1" t="s">
        <v>1894</v>
      </c>
      <c r="AF793" s="76">
        <f t="shared" si="65"/>
        <v>60935</v>
      </c>
      <c r="AG793" s="77">
        <f t="shared" si="66"/>
        <v>4</v>
      </c>
      <c r="AH793" s="1" t="str">
        <f>IF($C793="","",$B793&amp;"|"&amp;(COUNTIFS($B$4:$B$1463,$B793,$AF$4:$AF$1463,"&gt;"&amp;$AF793)+COUNTIFS($B$4:$B793,$B793,$AF$4:$AF793,"="&amp;$AF793)))</f>
        <v>VENDETTA|67</v>
      </c>
      <c r="AI793" s="1" t="str">
        <f>IF($C793="","",$B793&amp;"|"&amp;(COUNTIFS($B$4:$B$1463,$B793,$AG$4:$AG$1463,"&gt;"&amp;$AG793)+COUNTIFS($B$4:$B793,$B793,$AG$4:$AG793,"="&amp;$AG793)))</f>
        <v>VENDETTA|40</v>
      </c>
    </row>
    <row r="794" spans="1:35" hidden="1">
      <c r="A794" s="69" t="s">
        <v>109</v>
      </c>
      <c r="B794" s="69" t="s">
        <v>114</v>
      </c>
      <c r="C794" s="63" t="s">
        <v>1895</v>
      </c>
      <c r="D794" s="69"/>
      <c r="E794" s="68" t="s">
        <v>80</v>
      </c>
      <c r="F794" s="15" t="str">
        <f>IF($C794="","",IF($E794="","-",IFERROR(INDEX(SETUP!$B$55:$B$64,MATCH($E794,SETUP!$A$55:$A$64,0)),"Other")))</f>
        <v>Ranged DPS</v>
      </c>
      <c r="G794" s="70">
        <v>62658</v>
      </c>
      <c r="H794" s="15" t="str">
        <f>IF($C794="","",IF($G794="","-",INDEX(SETUP!$B$26:$B$32,MATCH($G794,SETUP!$A$26:$A$32,1))))</f>
        <v>62,000 - 62,999</v>
      </c>
      <c r="I794" s="70">
        <v>2597</v>
      </c>
      <c r="J794" s="15" t="str">
        <f>IF($C794="","",IF($I794="","-",INDEX(SETUP!$B$16:$B$22,MATCH($I794,SETUP!$A$16:$A$22,1))))</f>
        <v>DEVELOPING</v>
      </c>
      <c r="K794" s="15" t="str">
        <f>IF($C794="","",IF($I794="","-",TEXT(INT($I794/1000)*1000,"#,##0")&amp;" - "&amp;TEXT(INT($I794/1000)*1000+999,"#,##0")))</f>
        <v>2,000 - 2,999</v>
      </c>
      <c r="L794" s="71">
        <v>4.1500000000000004</v>
      </c>
      <c r="M794" s="15" t="str">
        <f>IF($C794="","",IF($L794="","-",INDEX(SETUP!$B$36:$B$42,MATCH($L794,SETUP!$A$36:$A$42,1))))</f>
        <v>4k - 5k</v>
      </c>
      <c r="N794" s="17">
        <f>IF($C794="","",IF(OR($G794="",$I794=""),"",ROUND(100*(SETUP!$B$4*MIN(1,$I794/SETUP!$B$9)+SETUP!$B$5*MAX(0,MIN(1,($G794-SETUP!$B$10)/(SETUP!$B$11-SETUP!$B$10)))+SETUP!$B$6*MIN(1,IF($L794="",0,$L794)/SETUP!$B$12)),1)))</f>
        <v>38.4</v>
      </c>
      <c r="O794" s="15" t="str">
        <f>IF($C794="","",IF($N794="","-",INDEX(SETUP!$B$46:$B$51,MATCH($N794,SETUP!$A$46:$A$51,1))))</f>
        <v>B</v>
      </c>
      <c r="P794" s="15">
        <f>IF($C794="","",IF($I794="","",RANK($I794,$I$4:$I$1463)+COUNTIF($I$4:$I794,$I794)-1))</f>
        <v>980</v>
      </c>
      <c r="Q794" s="15">
        <f>IF($C794="","",COUNTIFS($B$4:$B$1463,$B794,$X$4:$X$1463,"&gt;"&amp;$X794)+COUNTIFS($B$4:$B794,$B794,$X$4:$X794,"="&amp;$X794))</f>
        <v>34</v>
      </c>
      <c r="R794" s="72">
        <f>IF($C794="","",IF($I794="","",ROUND(COUNTIF($I$4:$I$1463,"&lt;"&amp;$I794)/COUNT($I$4:$I$1463),3)))</f>
        <v>0.26</v>
      </c>
      <c r="S794" s="15" t="str">
        <f>IF($C794="","",IF($G794="","Name only",IF(OR($I794="",$L794=""),"Partial","Complete")))</f>
        <v>Complete</v>
      </c>
      <c r="T794" s="41" t="str">
        <f>IF($C794="","",TRIM(IF(COUNTIF($C$4:$C$1463,$C794)&gt;1,"Dup name; ","")&amp;IF(AND($G794&lt;&gt;"",$G794&lt;55000),"Low CR - verify; ","")&amp;IF(AND($L794&lt;&gt;"",$L794&gt;15),"Secondary - verify; ","")&amp;IF($E794="","No class; ","")))</f>
        <v/>
      </c>
      <c r="U794" s="68"/>
      <c r="V794" s="68"/>
      <c r="W794" s="68"/>
      <c r="X794" s="73">
        <f t="shared" si="62"/>
        <v>2597</v>
      </c>
      <c r="Y794" s="41" t="str">
        <f t="shared" si="63"/>
        <v>EMERALD LEAF TRIBE|34</v>
      </c>
      <c r="Z794" s="15">
        <f>IF($C794="","",IF($G794="","",RANK($G794,$G$4:$G$1463)+COUNTIF($G$4:$G794,$G794)-1))</f>
        <v>583</v>
      </c>
      <c r="AA794" s="15">
        <f>IF($C794="","",IF($N794="","",RANK($N794,$N$4:$N$1463)+COUNTIF($N$4:$N794,$N794)-1))</f>
        <v>892</v>
      </c>
      <c r="AB794" s="41" t="str">
        <f>IF($C794="","",IF($E794="","",$E794&amp;"#"&amp;(COUNTIFS($E$4:$E$1463,$E794,$X$4:$X$1463,"&gt;"&amp;$X794)+COUNTIFS($E$4:$E794,$E794,$X$4:$X794,"="&amp;$X794))))</f>
        <v>WIZARD#70</v>
      </c>
      <c r="AC794" s="41" t="str">
        <f>IF($C794="","",$B794&amp;"@"&amp;(COUNTIFS($B$4:$B$1463,$B794,$C$4:$C$1463,"&lt;"&amp;$C794)+COUNTIFS($B$4:$B794,$B794,$C$4:$C794,$C794)))</f>
        <v>EMERALD LEAF TRIBE@59</v>
      </c>
      <c r="AD794" s="41">
        <f t="shared" si="64"/>
        <v>791</v>
      </c>
      <c r="AE794" s="41" t="s">
        <v>1896</v>
      </c>
      <c r="AF794" s="73">
        <f t="shared" si="65"/>
        <v>62658</v>
      </c>
      <c r="AG794" s="74">
        <f t="shared" si="66"/>
        <v>4.1500000000000004</v>
      </c>
      <c r="AH794" s="41" t="str">
        <f>IF($C794="","",$B794&amp;"|"&amp;(COUNTIFS($B$4:$B$1463,$B794,$AF$4:$AF$1463,"&gt;"&amp;$AF794)+COUNTIFS($B$4:$B794,$B794,$AF$4:$AF794,"="&amp;$AF794)))</f>
        <v>EMERALD LEAF TRIBE|16</v>
      </c>
      <c r="AI794" s="41" t="str">
        <f>IF($C794="","",$B794&amp;"|"&amp;(COUNTIFS($B$4:$B$1463,$B794,$AG$4:$AG$1463,"&gt;"&amp;$AG794)+COUNTIFS($B$4:$B794,$B794,$AG$4:$AG794,"="&amp;$AG794)))</f>
        <v>EMERALD LEAF TRIBE|27</v>
      </c>
    </row>
    <row r="795" spans="1:35" hidden="1">
      <c r="A795" s="69" t="s">
        <v>106</v>
      </c>
      <c r="B795" s="69" t="s">
        <v>86</v>
      </c>
      <c r="C795" s="63" t="s">
        <v>1897</v>
      </c>
      <c r="D795" s="69"/>
      <c r="E795" s="68" t="s">
        <v>74</v>
      </c>
      <c r="F795" s="19" t="str">
        <f>IF($C795="","",IF($E795="","-",IFERROR(INDEX(SETUP!$B$55:$B$64,MATCH($E795,SETUP!$A$55:$A$64,0)),"Other")))</f>
        <v>Ranged DPS</v>
      </c>
      <c r="G795" s="70">
        <v>63321</v>
      </c>
      <c r="H795" s="19" t="str">
        <f>IF($C795="","",IF($G795="","-",INDEX(SETUP!$B$26:$B$32,MATCH($G795,SETUP!$A$26:$A$32,1))))</f>
        <v>63,000 - 63,999</v>
      </c>
      <c r="I795" s="70">
        <v>5179</v>
      </c>
      <c r="J795" s="19" t="str">
        <f>IF($C795="","",IF($I795="","-",INDEX(SETUP!$B$16:$B$22,MATCH($I795,SETUP!$A$16:$A$22,1))))</f>
        <v>CORE</v>
      </c>
      <c r="K795" s="19" t="str">
        <f>IF($C795="","",IF($I795="","-",TEXT(INT($I795/1000)*1000,"#,##0")&amp;" - "&amp;TEXT(INT($I795/1000)*1000+999,"#,##0")))</f>
        <v>5,000 - 5,999</v>
      </c>
      <c r="L795" s="71">
        <v>5.2</v>
      </c>
      <c r="M795" s="19" t="str">
        <f>IF($C795="","",IF($L795="","-",INDEX(SETUP!$B$36:$B$42,MATCH($L795,SETUP!$A$36:$A$42,1))))</f>
        <v>5k - 6k</v>
      </c>
      <c r="N795" s="21">
        <f>IF($C795="","",IF(OR($G795="",$I795=""),"",ROUND(100*(SETUP!$B$4*MIN(1,$I795/SETUP!$B$9)+SETUP!$B$5*MAX(0,MIN(1,($G795-SETUP!$B$10)/(SETUP!$B$11-SETUP!$B$10)))+SETUP!$B$6*MIN(1,IF($L795="",0,$L795)/SETUP!$B$12)),1)))</f>
        <v>53.2</v>
      </c>
      <c r="O795" s="19" t="str">
        <f>IF($C795="","",IF($N795="","-",INDEX(SETUP!$B$46:$B$51,MATCH($N795,SETUP!$A$46:$A$51,1))))</f>
        <v>A</v>
      </c>
      <c r="P795" s="19">
        <f>IF($C795="","",IF($I795="","",RANK($I795,$I$4:$I$1463)+COUNTIF($I$4:$I795,$I795)-1))</f>
        <v>382</v>
      </c>
      <c r="Q795" s="19">
        <f>IF($C795="","",COUNTIFS($B$4:$B$1463,$B795,$X$4:$X$1463,"&gt;"&amp;$X795)+COUNTIFS($B$4:$B795,$B795,$X$4:$X795,"="&amp;$X795))</f>
        <v>64</v>
      </c>
      <c r="R795" s="75">
        <f>IF($C795="","",IF($I795="","",ROUND(COUNTIF($I$4:$I$1463,"&lt;"&amp;$I795)/COUNT($I$4:$I$1463),3)))</f>
        <v>0.71199999999999997</v>
      </c>
      <c r="S795" s="19" t="str">
        <f>IF($C795="","",IF($G795="","Name only",IF(OR($I795="",$L795=""),"Partial","Complete")))</f>
        <v>Complete</v>
      </c>
      <c r="T795" s="1" t="str">
        <f>IF($C795="","",TRIM(IF(COUNTIF($C$4:$C$1463,$C795)&gt;1,"Dup name; ","")&amp;IF(AND($G795&lt;&gt;"",$G795&lt;55000),"Low CR - verify; ","")&amp;IF(AND($L795&lt;&gt;"",$L795&gt;15),"Secondary - verify; ","")&amp;IF($E795="","No class; ","")))</f>
        <v/>
      </c>
      <c r="U795" s="68"/>
      <c r="V795" s="68"/>
      <c r="W795" s="68"/>
      <c r="X795" s="76">
        <f t="shared" si="62"/>
        <v>5179</v>
      </c>
      <c r="Y795" s="1" t="str">
        <f t="shared" si="63"/>
        <v>VANGUARD|64</v>
      </c>
      <c r="Z795" s="19">
        <f>IF($C795="","",IF($G795="","",RANK($G795,$G$4:$G$1463)+COUNTIF($G$4:$G795,$G795)-1))</f>
        <v>249</v>
      </c>
      <c r="AA795" s="19">
        <f>IF($C795="","",IF($N795="","",RANK($N795,$N$4:$N$1463)+COUNTIF($N$4:$N795,$N795)-1))</f>
        <v>362</v>
      </c>
      <c r="AB795" s="1" t="str">
        <f>IF($C795="","",IF($E795="","",$E795&amp;"#"&amp;(COUNTIFS($E$4:$E$1463,$E795,$X$4:$X$1463,"&gt;"&amp;$X795)+COUNTIFS($E$4:$E795,$E795,$X$4:$X795,"="&amp;$X795))))</f>
        <v>DEMON HUNTER#61</v>
      </c>
      <c r="AC795" s="1" t="str">
        <f>IF($C795="","",$B795&amp;"@"&amp;(COUNTIFS($B$4:$B$1463,$B795,$C$4:$C$1463,"&lt;"&amp;$C795)+COUNTIFS($B$4:$B795,$B795,$C$4:$C795,$C795)))</f>
        <v>VANGUARD@62</v>
      </c>
      <c r="AD795" s="1">
        <f t="shared" si="64"/>
        <v>792</v>
      </c>
      <c r="AE795" s="1" t="s">
        <v>1060</v>
      </c>
      <c r="AF795" s="76">
        <f t="shared" si="65"/>
        <v>63321</v>
      </c>
      <c r="AG795" s="77">
        <f t="shared" si="66"/>
        <v>5.2</v>
      </c>
      <c r="AH795" s="1" t="str">
        <f>IF($C795="","",$B795&amp;"|"&amp;(COUNTIFS($B$4:$B$1463,$B795,$AF$4:$AF$1463,"&gt;"&amp;$AF795)+COUNTIFS($B$4:$B795,$B795,$AF$4:$AF795,"="&amp;$AF795)))</f>
        <v>VANGUARD|48</v>
      </c>
      <c r="AI795" s="1" t="str">
        <f>IF($C795="","",$B795&amp;"|"&amp;(COUNTIFS($B$4:$B$1463,$B795,$AG$4:$AG$1463,"&gt;"&amp;$AG795)+COUNTIFS($B$4:$B795,$B795,$AG$4:$AG795,"="&amp;$AG795)))</f>
        <v>VANGUARD|62</v>
      </c>
    </row>
    <row r="796" spans="1:35" hidden="1">
      <c r="A796" s="69" t="s">
        <v>109</v>
      </c>
      <c r="B796" s="69" t="s">
        <v>108</v>
      </c>
      <c r="C796" s="63" t="s">
        <v>1898</v>
      </c>
      <c r="D796" s="69"/>
      <c r="E796" s="68" t="s">
        <v>71</v>
      </c>
      <c r="F796" s="15" t="str">
        <f>IF($C796="","",IF($E796="","-",IFERROR(INDEX(SETUP!$B$55:$B$64,MATCH($E796,SETUP!$A$55:$A$64,0)),"Other")))</f>
        <v>Frontline</v>
      </c>
      <c r="G796" s="70">
        <v>62303</v>
      </c>
      <c r="H796" s="15" t="str">
        <f>IF($C796="","",IF($G796="","-",INDEX(SETUP!$B$26:$B$32,MATCH($G796,SETUP!$A$26:$A$32,1))))</f>
        <v>62,000 - 62,999</v>
      </c>
      <c r="I796" s="70">
        <v>4117</v>
      </c>
      <c r="J796" s="15" t="str">
        <f>IF($C796="","",IF($I796="","-",INDEX(SETUP!$B$16:$B$22,MATCH($I796,SETUP!$A$16:$A$22,1))))</f>
        <v>CORE</v>
      </c>
      <c r="K796" s="15" t="str">
        <f>IF($C796="","",IF($I796="","-",TEXT(INT($I796/1000)*1000,"#,##0")&amp;" - "&amp;TEXT(INT($I796/1000)*1000+999,"#,##0")))</f>
        <v>4,000 - 4,999</v>
      </c>
      <c r="L796" s="71">
        <v>3</v>
      </c>
      <c r="M796" s="15" t="str">
        <f>IF($C796="","",IF($L796="","-",INDEX(SETUP!$B$36:$B$42,MATCH($L796,SETUP!$A$36:$A$42,1))))</f>
        <v>3k - 4k</v>
      </c>
      <c r="N796" s="17">
        <f>IF($C796="","",IF(OR($G796="",$I796=""),"",ROUND(100*(SETUP!$B$4*MIN(1,$I796/SETUP!$B$9)+SETUP!$B$5*MAX(0,MIN(1,($G796-SETUP!$B$10)/(SETUP!$B$11-SETUP!$B$10)))+SETUP!$B$6*MIN(1,IF($L796="",0,$L796)/SETUP!$B$12)),1)))</f>
        <v>42.2</v>
      </c>
      <c r="O796" s="15" t="str">
        <f>IF($C796="","",IF($N796="","-",INDEX(SETUP!$B$46:$B$51,MATCH($N796,SETUP!$A$46:$A$51,1))))</f>
        <v>B</v>
      </c>
      <c r="P796" s="15">
        <f>IF($C796="","",IF($I796="","",RANK($I796,$I$4:$I$1463)+COUNTIF($I$4:$I796,$I796)-1))</f>
        <v>574</v>
      </c>
      <c r="Q796" s="15">
        <f>IF($C796="","",COUNTIFS($B$4:$B$1463,$B796,$X$4:$X$1463,"&gt;"&amp;$X796)+COUNTIFS($B$4:$B796,$B796,$X$4:$X796,"="&amp;$X796))</f>
        <v>69</v>
      </c>
      <c r="R796" s="72">
        <f>IF($C796="","",IF($I796="","",ROUND(COUNTIF($I$4:$I$1463,"&lt;"&amp;$I796)/COUNT($I$4:$I$1463),3)))</f>
        <v>0.56699999999999995</v>
      </c>
      <c r="S796" s="15" t="str">
        <f>IF($C796="","",IF($G796="","Name only",IF(OR($I796="",$L796=""),"Partial","Complete")))</f>
        <v>Complete</v>
      </c>
      <c r="T796" s="41" t="str">
        <f>IF($C796="","",TRIM(IF(COUNTIF($C$4:$C$1463,$C796)&gt;1,"Dup name; ","")&amp;IF(AND($G796&lt;&gt;"",$G796&lt;55000),"Low CR - verify; ","")&amp;IF(AND($L796&lt;&gt;"",$L796&gt;15),"Secondary - verify; ","")&amp;IF($E796="","No class; ","")))</f>
        <v/>
      </c>
      <c r="U796" s="68"/>
      <c r="V796" s="68"/>
      <c r="W796" s="68"/>
      <c r="X796" s="73">
        <f t="shared" si="62"/>
        <v>4117</v>
      </c>
      <c r="Y796" s="41" t="str">
        <f t="shared" si="63"/>
        <v>SBG|69</v>
      </c>
      <c r="Z796" s="15">
        <f>IF($C796="","",IF($G796="","",RANK($G796,$G$4:$G$1463)+COUNTIF($G$4:$G796,$G796)-1))</f>
        <v>723</v>
      </c>
      <c r="AA796" s="15">
        <f>IF($C796="","",IF($N796="","",RANK($N796,$N$4:$N$1463)+COUNTIF($N$4:$N796,$N796)-1))</f>
        <v>736</v>
      </c>
      <c r="AB796" s="41" t="str">
        <f>IF($C796="","",IF($E796="","",$E796&amp;"#"&amp;(COUNTIFS($E$4:$E$1463,$E796,$X$4:$X$1463,"&gt;"&amp;$X796)+COUNTIFS($E$4:$E796,$E796,$X$4:$X796,"="&amp;$X796))))</f>
        <v>BARBARIAN#111</v>
      </c>
      <c r="AC796" s="41" t="str">
        <f>IF($C796="","",$B796&amp;"@"&amp;(COUNTIFS($B$4:$B$1463,$B796,$C$4:$C$1463,"&lt;"&amp;$C796)+COUNTIFS($B$4:$B796,$B796,$C$4:$C796,$C796)))</f>
        <v>SBG@47</v>
      </c>
      <c r="AD796" s="41">
        <f t="shared" si="64"/>
        <v>793</v>
      </c>
      <c r="AE796" s="41" t="s">
        <v>1899</v>
      </c>
      <c r="AF796" s="73">
        <f t="shared" si="65"/>
        <v>62303</v>
      </c>
      <c r="AG796" s="74">
        <f t="shared" si="66"/>
        <v>3</v>
      </c>
      <c r="AH796" s="41" t="str">
        <f>IF($C796="","",$B796&amp;"|"&amp;(COUNTIFS($B$4:$B$1463,$B796,$AF$4:$AF$1463,"&gt;"&amp;$AF796)+COUNTIFS($B$4:$B796,$B796,$AF$4:$AF796,"="&amp;$AF796)))</f>
        <v>SBG|64</v>
      </c>
      <c r="AI796" s="41" t="str">
        <f>IF($C796="","",$B796&amp;"|"&amp;(COUNTIFS($B$4:$B$1463,$B796,$AG$4:$AG$1463,"&gt;"&amp;$AG796)+COUNTIFS($B$4:$B796,$B796,$AG$4:$AG796,"="&amp;$AG796)))</f>
        <v>SBG|97</v>
      </c>
    </row>
    <row r="797" spans="1:35" hidden="1">
      <c r="A797" s="69" t="s">
        <v>109</v>
      </c>
      <c r="B797" s="69" t="s">
        <v>112</v>
      </c>
      <c r="C797" s="63" t="s">
        <v>1900</v>
      </c>
      <c r="D797" s="69" t="s">
        <v>567</v>
      </c>
      <c r="E797" s="68" t="s">
        <v>71</v>
      </c>
      <c r="F797" s="19" t="str">
        <f>IF($C797="","",IF($E797="","-",IFERROR(INDEX(SETUP!$B$55:$B$64,MATCH($E797,SETUP!$A$55:$A$64,0)),"Other")))</f>
        <v>Frontline</v>
      </c>
      <c r="G797" s="70">
        <v>60751</v>
      </c>
      <c r="H797" s="19" t="str">
        <f>IF($C797="","",IF($G797="","-",INDEX(SETUP!$B$26:$B$32,MATCH($G797,SETUP!$A$26:$A$32,1))))</f>
        <v>60,000 - 60,999</v>
      </c>
      <c r="I797" s="70">
        <v>2246</v>
      </c>
      <c r="J797" s="19" t="str">
        <f>IF($C797="","",IF($I797="","-",INDEX(SETUP!$B$16:$B$22,MATCH($I797,SETUP!$A$16:$A$22,1))))</f>
        <v>DEVELOPING</v>
      </c>
      <c r="K797" s="19" t="str">
        <f>IF($C797="","",IF($I797="","-",TEXT(INT($I797/1000)*1000,"#,##0")&amp;" - "&amp;TEXT(INT($I797/1000)*1000+999,"#,##0")))</f>
        <v>2,000 - 2,999</v>
      </c>
      <c r="L797" s="71">
        <v>4.8</v>
      </c>
      <c r="M797" s="19" t="str">
        <f>IF($C797="","",IF($L797="","-",INDEX(SETUP!$B$36:$B$42,MATCH($L797,SETUP!$A$36:$A$42,1))))</f>
        <v>4k - 5k</v>
      </c>
      <c r="N797" s="21">
        <f>IF($C797="","",IF(OR($G797="",$I797=""),"",ROUND(100*(SETUP!$B$4*MIN(1,$I797/SETUP!$B$9)+SETUP!$B$5*MAX(0,MIN(1,($G797-SETUP!$B$10)/(SETUP!$B$11-SETUP!$B$10)))+SETUP!$B$6*MIN(1,IF($L797="",0,$L797)/SETUP!$B$12)),1)))</f>
        <v>32.9</v>
      </c>
      <c r="O797" s="19" t="str">
        <f>IF($C797="","",IF($N797="","-",INDEX(SETUP!$B$46:$B$51,MATCH($N797,SETUP!$A$46:$A$51,1))))</f>
        <v>C</v>
      </c>
      <c r="P797" s="19">
        <f>IF($C797="","",IF($I797="","",RANK($I797,$I$4:$I$1463)+COUNTIF($I$4:$I797,$I797)-1))</f>
        <v>1057</v>
      </c>
      <c r="Q797" s="19">
        <f>IF($C797="","",COUNTIFS($B$4:$B$1463,$B797,$X$4:$X$1463,"&gt;"&amp;$X797)+COUNTIFS($B$4:$B797,$B797,$X$4:$X797,"="&amp;$X797))</f>
        <v>82</v>
      </c>
      <c r="R797" s="75">
        <f>IF($C797="","",IF($I797="","",ROUND(COUNTIF($I$4:$I$1463,"&lt;"&amp;$I797)/COUNT($I$4:$I$1463),3)))</f>
        <v>0.20200000000000001</v>
      </c>
      <c r="S797" s="19" t="str">
        <f>IF($C797="","",IF($G797="","Name only",IF(OR($I797="",$L797=""),"Partial","Complete")))</f>
        <v>Complete</v>
      </c>
      <c r="T797" s="1" t="str">
        <f>IF($C797="","",TRIM(IF(COUNTIF($C$4:$C$1463,$C797)&gt;1,"Dup name; ","")&amp;IF(AND($G797&lt;&gt;"",$G797&lt;55000),"Low CR - verify; ","")&amp;IF(AND($L797&lt;&gt;"",$L797&gt;15),"Secondary - verify; ","")&amp;IF($E797="","No class; ","")))</f>
        <v/>
      </c>
      <c r="U797" s="68"/>
      <c r="V797" s="68"/>
      <c r="W797" s="68"/>
      <c r="X797" s="76">
        <f t="shared" si="62"/>
        <v>2246</v>
      </c>
      <c r="Y797" s="1" t="str">
        <f t="shared" si="63"/>
        <v>ACHERON|82</v>
      </c>
      <c r="Z797" s="19">
        <f>IF($C797="","",IF($G797="","",RANK($G797,$G$4:$G$1463)+COUNTIF($G$4:$G797,$G797)-1))</f>
        <v>1178</v>
      </c>
      <c r="AA797" s="19">
        <f>IF($C797="","",IF($N797="","",RANK($N797,$N$4:$N$1463)+COUNTIF($N$4:$N797,$N797)-1))</f>
        <v>1070</v>
      </c>
      <c r="AB797" s="1" t="str">
        <f>IF($C797="","",IF($E797="","",$E797&amp;"#"&amp;(COUNTIFS($E$4:$E$1463,$E797,$X$4:$X$1463,"&gt;"&amp;$X797)+COUNTIFS($E$4:$E797,$E797,$X$4:$X797,"="&amp;$X797))))</f>
        <v>BARBARIAN#181</v>
      </c>
      <c r="AC797" s="1" t="str">
        <f>IF($C797="","",$B797&amp;"@"&amp;(COUNTIFS($B$4:$B$1463,$B797,$C$4:$C$1463,"&lt;"&amp;$C797)+COUNTIFS($B$4:$B797,$B797,$C$4:$C797,$C797)))</f>
        <v>ACHERON@51</v>
      </c>
      <c r="AD797" s="1">
        <f t="shared" si="64"/>
        <v>794</v>
      </c>
      <c r="AE797" s="1" t="s">
        <v>1901</v>
      </c>
      <c r="AF797" s="76">
        <f t="shared" si="65"/>
        <v>60751</v>
      </c>
      <c r="AG797" s="77">
        <f t="shared" si="66"/>
        <v>4.8</v>
      </c>
      <c r="AH797" s="1" t="str">
        <f>IF($C797="","",$B797&amp;"|"&amp;(COUNTIFS($B$4:$B$1463,$B797,$AF$4:$AF$1463,"&gt;"&amp;$AF797)+COUNTIFS($B$4:$B797,$B797,$AF$4:$AF797,"="&amp;$AF797)))</f>
        <v>ACHERON|89</v>
      </c>
      <c r="AI797" s="1" t="str">
        <f>IF($C797="","",$B797&amp;"|"&amp;(COUNTIFS($B$4:$B$1463,$B797,$AG$4:$AG$1463,"&gt;"&amp;$AG797)+COUNTIFS($B$4:$B797,$B797,$AG$4:$AG797,"="&amp;$AG797)))</f>
        <v>ACHERON|50</v>
      </c>
    </row>
    <row r="798" spans="1:35" hidden="1">
      <c r="A798" s="69" t="s">
        <v>109</v>
      </c>
      <c r="B798" s="69" t="s">
        <v>114</v>
      </c>
      <c r="C798" s="63" t="s">
        <v>1902</v>
      </c>
      <c r="D798" s="69"/>
      <c r="E798" s="68" t="s">
        <v>73</v>
      </c>
      <c r="F798" s="15" t="str">
        <f>IF($C798="","",IF($E798="","-",IFERROR(INDEX(SETUP!$B$55:$B$64,MATCH($E798,SETUP!$A$55:$A$64,0)),"Other")))</f>
        <v>Frontline</v>
      </c>
      <c r="G798" s="70">
        <v>62693</v>
      </c>
      <c r="H798" s="15" t="str">
        <f>IF($C798="","",IF($G798="","-",INDEX(SETUP!$B$26:$B$32,MATCH($G798,SETUP!$A$26:$A$32,1))))</f>
        <v>62,000 - 62,999</v>
      </c>
      <c r="I798" s="70">
        <v>2552</v>
      </c>
      <c r="J798" s="15" t="str">
        <f>IF($C798="","",IF($I798="","-",INDEX(SETUP!$B$16:$B$22,MATCH($I798,SETUP!$A$16:$A$22,1))))</f>
        <v>DEVELOPING</v>
      </c>
      <c r="K798" s="15" t="str">
        <f>IF($C798="","",IF($I798="","-",TEXT(INT($I798/1000)*1000,"#,##0")&amp;" - "&amp;TEXT(INT($I798/1000)*1000+999,"#,##0")))</f>
        <v>2,000 - 2,999</v>
      </c>
      <c r="L798" s="71">
        <v>4.3499999999999996</v>
      </c>
      <c r="M798" s="15" t="str">
        <f>IF($C798="","",IF($L798="","-",INDEX(SETUP!$B$36:$B$42,MATCH($L798,SETUP!$A$36:$A$42,1))))</f>
        <v>4k - 5k</v>
      </c>
      <c r="N798" s="17">
        <f>IF($C798="","",IF(OR($G798="",$I798=""),"",ROUND(100*(SETUP!$B$4*MIN(1,$I798/SETUP!$B$9)+SETUP!$B$5*MAX(0,MIN(1,($G798-SETUP!$B$10)/(SETUP!$B$11-SETUP!$B$10)))+SETUP!$B$6*MIN(1,IF($L798="",0,$L798)/SETUP!$B$12)),1)))</f>
        <v>38.6</v>
      </c>
      <c r="O798" s="15" t="str">
        <f>IF($C798="","",IF($N798="","-",INDEX(SETUP!$B$46:$B$51,MATCH($N798,SETUP!$A$46:$A$51,1))))</f>
        <v>B</v>
      </c>
      <c r="P798" s="15">
        <f>IF($C798="","",IF($I798="","",RANK($I798,$I$4:$I$1463)+COUNTIF($I$4:$I798,$I798)-1))</f>
        <v>995</v>
      </c>
      <c r="Q798" s="15">
        <f>IF($C798="","",COUNTIFS($B$4:$B$1463,$B798,$X$4:$X$1463,"&gt;"&amp;$X798)+COUNTIFS($B$4:$B798,$B798,$X$4:$X798,"="&amp;$X798))</f>
        <v>40</v>
      </c>
      <c r="R798" s="72">
        <f>IF($C798="","",IF($I798="","",ROUND(COUNTIF($I$4:$I$1463,"&lt;"&amp;$I798)/COUNT($I$4:$I$1463),3)))</f>
        <v>0.249</v>
      </c>
      <c r="S798" s="15" t="str">
        <f>IF($C798="","",IF($G798="","Name only",IF(OR($I798="",$L798=""),"Partial","Complete")))</f>
        <v>Complete</v>
      </c>
      <c r="T798" s="41" t="str">
        <f>IF($C798="","",TRIM(IF(COUNTIF($C$4:$C$1463,$C798)&gt;1,"Dup name; ","")&amp;IF(AND($G798&lt;&gt;"",$G798&lt;55000),"Low CR - verify; ","")&amp;IF(AND($L798&lt;&gt;"",$L798&gt;15),"Secondary - verify; ","")&amp;IF($E798="","No class; ","")))</f>
        <v/>
      </c>
      <c r="U798" s="68"/>
      <c r="V798" s="68"/>
      <c r="W798" s="68"/>
      <c r="X798" s="73">
        <f t="shared" si="62"/>
        <v>2552</v>
      </c>
      <c r="Y798" s="41" t="str">
        <f t="shared" si="63"/>
        <v>EMERALD LEAF TRIBE|40</v>
      </c>
      <c r="Z798" s="15">
        <f>IF($C798="","",IF($G798="","",RANK($G798,$G$4:$G$1463)+COUNTIF($G$4:$G798,$G798)-1))</f>
        <v>567</v>
      </c>
      <c r="AA798" s="15">
        <f>IF($C798="","",IF($N798="","",RANK($N798,$N$4:$N$1463)+COUNTIF($N$4:$N798,$N798)-1))</f>
        <v>877</v>
      </c>
      <c r="AB798" s="41" t="str">
        <f>IF($C798="","",IF($E798="","",$E798&amp;"#"&amp;(COUNTIFS($E$4:$E$1463,$E798,$X$4:$X$1463,"&gt;"&amp;$X798)+COUNTIFS($E$4:$E798,$E798,$X$4:$X798,"="&amp;$X798))))</f>
        <v>CRUSADER#98</v>
      </c>
      <c r="AC798" s="41" t="str">
        <f>IF($C798="","",$B798&amp;"@"&amp;(COUNTIFS($B$4:$B$1463,$B798,$C$4:$C$1463,"&lt;"&amp;$C798)+COUNTIFS($B$4:$B798,$B798,$C$4:$C798,$C798)))</f>
        <v>EMERALD LEAF TRIBE@60</v>
      </c>
      <c r="AD798" s="41">
        <f t="shared" si="64"/>
        <v>795</v>
      </c>
      <c r="AE798" s="41" t="s">
        <v>1903</v>
      </c>
      <c r="AF798" s="73">
        <f t="shared" si="65"/>
        <v>62693</v>
      </c>
      <c r="AG798" s="74">
        <f t="shared" si="66"/>
        <v>4.3499999999999996</v>
      </c>
      <c r="AH798" s="41" t="str">
        <f>IF($C798="","",$B798&amp;"|"&amp;(COUNTIFS($B$4:$B$1463,$B798,$AF$4:$AF$1463,"&gt;"&amp;$AF798)+COUNTIFS($B$4:$B798,$B798,$AF$4:$AF798,"="&amp;$AF798)))</f>
        <v>EMERALD LEAF TRIBE|15</v>
      </c>
      <c r="AI798" s="41" t="str">
        <f>IF($C798="","",$B798&amp;"|"&amp;(COUNTIFS($B$4:$B$1463,$B798,$AG$4:$AG$1463,"&gt;"&amp;$AG798)+COUNTIFS($B$4:$B798,$B798,$AG$4:$AG798,"="&amp;$AG798)))</f>
        <v>EMERALD LEAF TRIBE|21</v>
      </c>
    </row>
    <row r="799" spans="1:35" hidden="1">
      <c r="A799" s="69" t="s">
        <v>109</v>
      </c>
      <c r="B799" s="69" t="s">
        <v>110</v>
      </c>
      <c r="C799" s="63" t="s">
        <v>1904</v>
      </c>
      <c r="D799" s="69"/>
      <c r="E799" s="68" t="s">
        <v>77</v>
      </c>
      <c r="F799" s="19" t="str">
        <f>IF($C799="","",IF($E799="","-",IFERROR(INDEX(SETUP!$B$55:$B$64,MATCH($E799,SETUP!$A$55:$A$64,0)),"Other")))</f>
        <v>Control</v>
      </c>
      <c r="G799" s="70">
        <v>61960</v>
      </c>
      <c r="H799" s="19" t="str">
        <f>IF($C799="","",IF($G799="","-",INDEX(SETUP!$B$26:$B$32,MATCH($G799,SETUP!$A$26:$A$32,1))))</f>
        <v>61,000 - 61,999</v>
      </c>
      <c r="I799" s="70">
        <v>3321</v>
      </c>
      <c r="J799" s="19" t="str">
        <f>IF($C799="","",IF($I799="","-",INDEX(SETUP!$B$16:$B$22,MATCH($I799,SETUP!$A$16:$A$22,1))))</f>
        <v>DEVELOPING</v>
      </c>
      <c r="K799" s="19" t="str">
        <f>IF($C799="","",IF($I799="","-",TEXT(INT($I799/1000)*1000,"#,##0")&amp;" - "&amp;TEXT(INT($I799/1000)*1000+999,"#,##0")))</f>
        <v>3,000 - 3,999</v>
      </c>
      <c r="L799" s="71">
        <v>4.0999999999999996</v>
      </c>
      <c r="M799" s="19" t="str">
        <f>IF($C799="","",IF($L799="","-",INDEX(SETUP!$B$36:$B$42,MATCH($L799,SETUP!$A$36:$A$42,1))))</f>
        <v>4k - 5k</v>
      </c>
      <c r="N799" s="21">
        <f>IF($C799="","",IF(OR($G799="",$I799=""),"",ROUND(100*(SETUP!$B$4*MIN(1,$I799/SETUP!$B$9)+SETUP!$B$5*MAX(0,MIN(1,($G799-SETUP!$B$10)/(SETUP!$B$11-SETUP!$B$10)))+SETUP!$B$6*MIN(1,IF($L799="",0,$L799)/SETUP!$B$12)),1)))</f>
        <v>39.6</v>
      </c>
      <c r="O799" s="19" t="str">
        <f>IF($C799="","",IF($N799="","-",INDEX(SETUP!$B$46:$B$51,MATCH($N799,SETUP!$A$46:$A$51,1))))</f>
        <v>B</v>
      </c>
      <c r="P799" s="19">
        <f>IF($C799="","",IF($I799="","",RANK($I799,$I$4:$I$1463)+COUNTIF($I$4:$I799,$I799)-1))</f>
        <v>782</v>
      </c>
      <c r="Q799" s="19">
        <f>IF($C799="","",COUNTIFS($B$4:$B$1463,$B799,$X$4:$X$1463,"&gt;"&amp;$X799)+COUNTIFS($B$4:$B799,$B799,$X$4:$X799,"="&amp;$X799))</f>
        <v>82</v>
      </c>
      <c r="R799" s="75">
        <f>IF($C799="","",IF($I799="","",ROUND(COUNTIF($I$4:$I$1463,"&lt;"&amp;$I799)/COUNT($I$4:$I$1463),3)))</f>
        <v>0.41</v>
      </c>
      <c r="S799" s="19" t="str">
        <f>IF($C799="","",IF($G799="","Name only",IF(OR($I799="",$L799=""),"Partial","Complete")))</f>
        <v>Complete</v>
      </c>
      <c r="T799" s="1" t="str">
        <f>IF($C799="","",TRIM(IF(COUNTIF($C$4:$C$1463,$C799)&gt;1,"Dup name; ","")&amp;IF(AND($G799&lt;&gt;"",$G799&lt;55000),"Low CR - verify; ","")&amp;IF(AND($L799&lt;&gt;"",$L799&gt;15),"Secondary - verify; ","")&amp;IF($E799="","No class; ","")))</f>
        <v/>
      </c>
      <c r="U799" s="68"/>
      <c r="V799" s="68"/>
      <c r="W799" s="68"/>
      <c r="X799" s="76">
        <f t="shared" si="62"/>
        <v>3321</v>
      </c>
      <c r="Y799" s="1" t="str">
        <f t="shared" si="63"/>
        <v>AZUKI|82</v>
      </c>
      <c r="Z799" s="19">
        <f>IF($C799="","",IF($G799="","",RANK($G799,$G$4:$G$1463)+COUNTIF($G$4:$G799,$G799)-1))</f>
        <v>845</v>
      </c>
      <c r="AA799" s="19">
        <f>IF($C799="","",IF($N799="","",RANK($N799,$N$4:$N$1463)+COUNTIF($N$4:$N799,$N799)-1))</f>
        <v>836</v>
      </c>
      <c r="AB799" s="1" t="str">
        <f>IF($C799="","",IF($E799="","",$E799&amp;"#"&amp;(COUNTIFS($E$4:$E$1463,$E799,$X$4:$X$1463,"&gt;"&amp;$X799)+COUNTIFS($E$4:$E799,$E799,$X$4:$X799,"="&amp;$X799))))</f>
        <v>NECROMANCER#40</v>
      </c>
      <c r="AC799" s="1" t="str">
        <f>IF($C799="","",$B799&amp;"@"&amp;(COUNTIFS($B$4:$B$1463,$B799,$C$4:$C$1463,"&lt;"&amp;$C799)+COUNTIFS($B$4:$B799,$B799,$C$4:$C799,$C799)))</f>
        <v>AZUKI@61</v>
      </c>
      <c r="AD799" s="1">
        <f t="shared" si="64"/>
        <v>796</v>
      </c>
      <c r="AE799" s="1" t="s">
        <v>1391</v>
      </c>
      <c r="AF799" s="76">
        <f t="shared" si="65"/>
        <v>61960</v>
      </c>
      <c r="AG799" s="77">
        <f t="shared" si="66"/>
        <v>4.0999999999999996</v>
      </c>
      <c r="AH799" s="1" t="str">
        <f>IF($C799="","",$B799&amp;"|"&amp;(COUNTIFS($B$4:$B$1463,$B799,$AF$4:$AF$1463,"&gt;"&amp;$AF799)+COUNTIFS($B$4:$B799,$B799,$AF$4:$AF799,"="&amp;$AF799)))</f>
        <v>AZUKI|78</v>
      </c>
      <c r="AI799" s="1" t="str">
        <f>IF($C799="","",$B799&amp;"|"&amp;(COUNTIFS($B$4:$B$1463,$B799,$AG$4:$AG$1463,"&gt;"&amp;$AG799)+COUNTIFS($B$4:$B799,$B799,$AG$4:$AG799,"="&amp;$AG799)))</f>
        <v>AZUKI|88</v>
      </c>
    </row>
    <row r="800" spans="1:35" hidden="1">
      <c r="A800" s="69" t="s">
        <v>109</v>
      </c>
      <c r="B800" s="69" t="s">
        <v>114</v>
      </c>
      <c r="C800" s="63" t="s">
        <v>1905</v>
      </c>
      <c r="D800" s="69"/>
      <c r="E800" s="68" t="s">
        <v>79</v>
      </c>
      <c r="F800" s="15" t="str">
        <f>IF($C800="","",IF($E800="","-",IFERROR(INDEX(SETUP!$B$55:$B$64,MATCH($E800,SETUP!$A$55:$A$64,0)),"Other")))</f>
        <v>Control</v>
      </c>
      <c r="G800" s="70">
        <v>61512</v>
      </c>
      <c r="H800" s="15" t="str">
        <f>IF($C800="","",IF($G800="","-",INDEX(SETUP!$B$26:$B$32,MATCH($G800,SETUP!$A$26:$A$32,1))))</f>
        <v>61,000 - 61,999</v>
      </c>
      <c r="I800" s="70">
        <v>1155</v>
      </c>
      <c r="J800" s="15" t="str">
        <f>IF($C800="","",IF($I800="","-",INDEX(SETUP!$B$16:$B$22,MATCH($I800,SETUP!$A$16:$A$22,1))))</f>
        <v>ROOKIE</v>
      </c>
      <c r="K800" s="15" t="str">
        <f>IF($C800="","",IF($I800="","-",TEXT(INT($I800/1000)*1000,"#,##0")&amp;" - "&amp;TEXT(INT($I800/1000)*1000+999,"#,##0")))</f>
        <v>1,000 - 1,999</v>
      </c>
      <c r="L800" s="71">
        <v>3.05</v>
      </c>
      <c r="M800" s="15" t="str">
        <f>IF($C800="","",IF($L800="","-",INDEX(SETUP!$B$36:$B$42,MATCH($L800,SETUP!$A$36:$A$42,1))))</f>
        <v>3k - 4k</v>
      </c>
      <c r="N800" s="17">
        <f>IF($C800="","",IF(OR($G800="",$I800=""),"",ROUND(100*(SETUP!$B$4*MIN(1,$I800/SETUP!$B$9)+SETUP!$B$5*MAX(0,MIN(1,($G800-SETUP!$B$10)/(SETUP!$B$11-SETUP!$B$10)))+SETUP!$B$6*MIN(1,IF($L800="",0,$L800)/SETUP!$B$12)),1)))</f>
        <v>27.3</v>
      </c>
      <c r="O800" s="15" t="str">
        <f>IF($C800="","",IF($N800="","-",INDEX(SETUP!$B$46:$B$51,MATCH($N800,SETUP!$A$46:$A$51,1))))</f>
        <v>C</v>
      </c>
      <c r="P800" s="15">
        <f>IF($C800="","",IF($I800="","",RANK($I800,$I$4:$I$1463)+COUNTIF($I$4:$I800,$I800)-1))</f>
        <v>1247</v>
      </c>
      <c r="Q800" s="15">
        <f>IF($C800="","",COUNTIFS($B$4:$B$1463,$B800,$X$4:$X$1463,"&gt;"&amp;$X800)+COUNTIFS($B$4:$B800,$B800,$X$4:$X800,"="&amp;$X800))</f>
        <v>79</v>
      </c>
      <c r="R800" s="72">
        <f>IF($C800="","",IF($I800="","",ROUND(COUNTIF($I$4:$I$1463,"&lt;"&amp;$I800)/COUNT($I$4:$I$1463),3)))</f>
        <v>5.8999999999999997E-2</v>
      </c>
      <c r="S800" s="15" t="str">
        <f>IF($C800="","",IF($G800="","Name only",IF(OR($I800="",$L800=""),"Partial","Complete")))</f>
        <v>Complete</v>
      </c>
      <c r="T800" s="41" t="str">
        <f>IF($C800="","",TRIM(IF(COUNTIF($C$4:$C$1463,$C800)&gt;1,"Dup name; ","")&amp;IF(AND($G800&lt;&gt;"",$G800&lt;55000),"Low CR - verify; ","")&amp;IF(AND($L800&lt;&gt;"",$L800&gt;15),"Secondary - verify; ","")&amp;IF($E800="","No class; ","")))</f>
        <v/>
      </c>
      <c r="U800" s="68"/>
      <c r="V800" s="68"/>
      <c r="W800" s="68"/>
      <c r="X800" s="73">
        <f t="shared" si="62"/>
        <v>1155</v>
      </c>
      <c r="Y800" s="41" t="str">
        <f t="shared" si="63"/>
        <v>EMERALD LEAF TRIBE|79</v>
      </c>
      <c r="Z800" s="15">
        <f>IF($C800="","",IF($G800="","",RANK($G800,$G$4:$G$1463)+COUNTIF($G$4:$G800,$G800)-1))</f>
        <v>1001</v>
      </c>
      <c r="AA800" s="15">
        <f>IF($C800="","",IF($N800="","",RANK($N800,$N$4:$N$1463)+COUNTIF($N$4:$N800,$N800)-1))</f>
        <v>1205</v>
      </c>
      <c r="AB800" s="41" t="str">
        <f>IF($C800="","",IF($E800="","",$E800&amp;"#"&amp;(COUNTIFS($E$4:$E$1463,$E800,$X$4:$X$1463,"&gt;"&amp;$X800)+COUNTIFS($E$4:$E800,$E800,$X$4:$X800,"="&amp;$X800))))</f>
        <v>WARLOCK#305</v>
      </c>
      <c r="AC800" s="41" t="str">
        <f>IF($C800="","",$B800&amp;"@"&amp;(COUNTIFS($B$4:$B$1463,$B800,$C$4:$C$1463,"&lt;"&amp;$C800)+COUNTIFS($B$4:$B800,$B800,$C$4:$C800,$C800)))</f>
        <v>EMERALD LEAF TRIBE@61</v>
      </c>
      <c r="AD800" s="41">
        <f t="shared" si="64"/>
        <v>797</v>
      </c>
      <c r="AE800" s="41" t="s">
        <v>1906</v>
      </c>
      <c r="AF800" s="73">
        <f t="shared" si="65"/>
        <v>61512</v>
      </c>
      <c r="AG800" s="74">
        <f t="shared" si="66"/>
        <v>3.05</v>
      </c>
      <c r="AH800" s="41" t="str">
        <f>IF($C800="","",$B800&amp;"|"&amp;(COUNTIFS($B$4:$B$1463,$B800,$AF$4:$AF$1463,"&gt;"&amp;$AF800)+COUNTIFS($B$4:$B800,$B800,$AF$4:$AF800,"="&amp;$AF800)))</f>
        <v>EMERALD LEAF TRIBE|42</v>
      </c>
      <c r="AI800" s="41" t="str">
        <f>IF($C800="","",$B800&amp;"|"&amp;(COUNTIFS($B$4:$B$1463,$B800,$AG$4:$AG$1463,"&gt;"&amp;$AG800)+COUNTIFS($B$4:$B800,$B800,$AG$4:$AG800,"="&amp;$AG800)))</f>
        <v>EMERALD LEAF TRIBE|77</v>
      </c>
    </row>
    <row r="801" spans="1:35" hidden="1">
      <c r="A801" s="69" t="s">
        <v>109</v>
      </c>
      <c r="B801" s="69" t="s">
        <v>114</v>
      </c>
      <c r="C801" s="63" t="s">
        <v>1907</v>
      </c>
      <c r="D801" s="69"/>
      <c r="E801" s="68" t="s">
        <v>73</v>
      </c>
      <c r="F801" s="19" t="str">
        <f>IF($C801="","",IF($E801="","-",IFERROR(INDEX(SETUP!$B$55:$B$64,MATCH($E801,SETUP!$A$55:$A$64,0)),"Other")))</f>
        <v>Frontline</v>
      </c>
      <c r="G801" s="70">
        <v>62923</v>
      </c>
      <c r="H801" s="19" t="str">
        <f>IF($C801="","",IF($G801="","-",INDEX(SETUP!$B$26:$B$32,MATCH($G801,SETUP!$A$26:$A$32,1))))</f>
        <v>62,000 - 62,999</v>
      </c>
      <c r="I801" s="70">
        <v>2624</v>
      </c>
      <c r="J801" s="19" t="str">
        <f>IF($C801="","",IF($I801="","-",INDEX(SETUP!$B$16:$B$22,MATCH($I801,SETUP!$A$16:$A$22,1))))</f>
        <v>DEVELOPING</v>
      </c>
      <c r="K801" s="19" t="str">
        <f>IF($C801="","",IF($I801="","-",TEXT(INT($I801/1000)*1000,"#,##0")&amp;" - "&amp;TEXT(INT($I801/1000)*1000+999,"#,##0")))</f>
        <v>2,000 - 2,999</v>
      </c>
      <c r="L801" s="71">
        <v>3.35</v>
      </c>
      <c r="M801" s="19" t="str">
        <f>IF($C801="","",IF($L801="","-",INDEX(SETUP!$B$36:$B$42,MATCH($L801,SETUP!$A$36:$A$42,1))))</f>
        <v>3k - 4k</v>
      </c>
      <c r="N801" s="21">
        <f>IF($C801="","",IF(OR($G801="",$I801=""),"",ROUND(100*(SETUP!$B$4*MIN(1,$I801/SETUP!$B$9)+SETUP!$B$5*MAX(0,MIN(1,($G801-SETUP!$B$10)/(SETUP!$B$11-SETUP!$B$10)))+SETUP!$B$6*MIN(1,IF($L801="",0,$L801)/SETUP!$B$12)),1)))</f>
        <v>37.9</v>
      </c>
      <c r="O801" s="19" t="str">
        <f>IF($C801="","",IF($N801="","-",INDEX(SETUP!$B$46:$B$51,MATCH($N801,SETUP!$A$46:$A$51,1))))</f>
        <v>B</v>
      </c>
      <c r="P801" s="19">
        <f>IF($C801="","",IF($I801="","",RANK($I801,$I$4:$I$1463)+COUNTIF($I$4:$I801,$I801)-1))</f>
        <v>974</v>
      </c>
      <c r="Q801" s="19">
        <f>IF($C801="","",COUNTIFS($B$4:$B$1463,$B801,$X$4:$X$1463,"&gt;"&amp;$X801)+COUNTIFS($B$4:$B801,$B801,$X$4:$X801,"="&amp;$X801))</f>
        <v>32</v>
      </c>
      <c r="R801" s="75">
        <f>IF($C801="","",IF($I801="","",ROUND(COUNTIF($I$4:$I$1463,"&lt;"&amp;$I801)/COUNT($I$4:$I$1463),3)))</f>
        <v>0.26500000000000001</v>
      </c>
      <c r="S801" s="19" t="str">
        <f>IF($C801="","",IF($G801="","Name only",IF(OR($I801="",$L801=""),"Partial","Complete")))</f>
        <v>Complete</v>
      </c>
      <c r="T801" s="1" t="str">
        <f>IF($C801="","",TRIM(IF(COUNTIF($C$4:$C$1463,$C801)&gt;1,"Dup name; ","")&amp;IF(AND($G801&lt;&gt;"",$G801&lt;55000),"Low CR - verify; ","")&amp;IF(AND($L801&lt;&gt;"",$L801&gt;15),"Secondary - verify; ","")&amp;IF($E801="","No class; ","")))</f>
        <v/>
      </c>
      <c r="U801" s="68"/>
      <c r="V801" s="68"/>
      <c r="W801" s="68"/>
      <c r="X801" s="76">
        <f t="shared" si="62"/>
        <v>2624</v>
      </c>
      <c r="Y801" s="1" t="str">
        <f t="shared" si="63"/>
        <v>EMERALD LEAF TRIBE|32</v>
      </c>
      <c r="Z801" s="19">
        <f>IF($C801="","",IF($G801="","",RANK($G801,$G$4:$G$1463)+COUNTIF($G$4:$G801,$G801)-1))</f>
        <v>466</v>
      </c>
      <c r="AA801" s="19">
        <f>IF($C801="","",IF($N801="","",RANK($N801,$N$4:$N$1463)+COUNTIF($N$4:$N801,$N801)-1))</f>
        <v>901</v>
      </c>
      <c r="AB801" s="1" t="str">
        <f>IF($C801="","",IF($E801="","",$E801&amp;"#"&amp;(COUNTIFS($E$4:$E$1463,$E801,$X$4:$X$1463,"&gt;"&amp;$X801)+COUNTIFS($E$4:$E801,$E801,$X$4:$X801,"="&amp;$X801))))</f>
        <v>CRUSADER#96</v>
      </c>
      <c r="AC801" s="1" t="str">
        <f>IF($C801="","",$B801&amp;"@"&amp;(COUNTIFS($B$4:$B$1463,$B801,$C$4:$C$1463,"&lt;"&amp;$C801)+COUNTIFS($B$4:$B801,$B801,$C$4:$C801,$C801)))</f>
        <v>EMERALD LEAF TRIBE@62</v>
      </c>
      <c r="AD801" s="1">
        <f t="shared" si="64"/>
        <v>798</v>
      </c>
      <c r="AE801" s="1" t="s">
        <v>1908</v>
      </c>
      <c r="AF801" s="76">
        <f t="shared" si="65"/>
        <v>62923</v>
      </c>
      <c r="AG801" s="77">
        <f t="shared" si="66"/>
        <v>3.35</v>
      </c>
      <c r="AH801" s="1" t="str">
        <f>IF($C801="","",$B801&amp;"|"&amp;(COUNTIFS($B$4:$B$1463,$B801,$AF$4:$AF$1463,"&gt;"&amp;$AF801)+COUNTIFS($B$4:$B801,$B801,$AF$4:$AF801,"="&amp;$AF801)))</f>
        <v>EMERALD LEAF TRIBE|8</v>
      </c>
      <c r="AI801" s="1" t="str">
        <f>IF($C801="","",$B801&amp;"|"&amp;(COUNTIFS($B$4:$B$1463,$B801,$AG$4:$AG$1463,"&gt;"&amp;$AG801)+COUNTIFS($B$4:$B801,$B801,$AG$4:$AG801,"="&amp;$AG801)))</f>
        <v>EMERALD LEAF TRIBE|61</v>
      </c>
    </row>
    <row r="802" spans="1:35" hidden="1">
      <c r="A802" s="69" t="s">
        <v>109</v>
      </c>
      <c r="B802" s="69" t="s">
        <v>118</v>
      </c>
      <c r="C802" s="63" t="s">
        <v>1909</v>
      </c>
      <c r="D802" s="69"/>
      <c r="E802" s="68" t="s">
        <v>79</v>
      </c>
      <c r="F802" s="15" t="str">
        <f>IF($C802="","",IF($E802="","-",IFERROR(INDEX(SETUP!$B$55:$B$64,MATCH($E802,SETUP!$A$55:$A$64,0)),"Other")))</f>
        <v>Control</v>
      </c>
      <c r="G802" s="70">
        <v>61881</v>
      </c>
      <c r="H802" s="15" t="str">
        <f>IF($C802="","",IF($G802="","-",INDEX(SETUP!$B$26:$B$32,MATCH($G802,SETUP!$A$26:$A$32,1))))</f>
        <v>61,000 - 61,999</v>
      </c>
      <c r="I802" s="70">
        <v>1422</v>
      </c>
      <c r="J802" s="15" t="str">
        <f>IF($C802="","",IF($I802="","-",INDEX(SETUP!$B$16:$B$22,MATCH($I802,SETUP!$A$16:$A$22,1))))</f>
        <v>ROOKIE</v>
      </c>
      <c r="K802" s="15" t="str">
        <f>IF($C802="","",IF($I802="","-",TEXT(INT($I802/1000)*1000,"#,##0")&amp;" - "&amp;TEXT(INT($I802/1000)*1000+999,"#,##0")))</f>
        <v>1,000 - 1,999</v>
      </c>
      <c r="L802" s="71">
        <v>3.5</v>
      </c>
      <c r="M802" s="15" t="str">
        <f>IF($C802="","",IF($L802="","-",INDEX(SETUP!$B$36:$B$42,MATCH($L802,SETUP!$A$36:$A$42,1))))</f>
        <v>3k - 4k</v>
      </c>
      <c r="N802" s="17">
        <f>IF($C802="","",IF(OR($G802="",$I802=""),"",ROUND(100*(SETUP!$B$4*MIN(1,$I802/SETUP!$B$9)+SETUP!$B$5*MAX(0,MIN(1,($G802-SETUP!$B$10)/(SETUP!$B$11-SETUP!$B$10)))+SETUP!$B$6*MIN(1,IF($L802="",0,$L802)/SETUP!$B$12)),1)))</f>
        <v>30.1</v>
      </c>
      <c r="O802" s="15" t="str">
        <f>IF($C802="","",IF($N802="","-",INDEX(SETUP!$B$46:$B$51,MATCH($N802,SETUP!$A$46:$A$51,1))))</f>
        <v>C</v>
      </c>
      <c r="P802" s="15">
        <f>IF($C802="","",IF($I802="","",RANK($I802,$I$4:$I$1463)+COUNTIF($I$4:$I802,$I802)-1))</f>
        <v>1206</v>
      </c>
      <c r="Q802" s="15">
        <f>IF($C802="","",COUNTIFS($B$4:$B$1463,$B802,$X$4:$X$1463,"&gt;"&amp;$X802)+COUNTIFS($B$4:$B802,$B802,$X$4:$X802,"="&amp;$X802))</f>
        <v>61</v>
      </c>
      <c r="R802" s="72">
        <f>IF($C802="","",IF($I802="","",ROUND(COUNTIF($I$4:$I$1463,"&lt;"&amp;$I802)/COUNT($I$4:$I$1463),3)))</f>
        <v>8.8999999999999996E-2</v>
      </c>
      <c r="S802" s="15" t="str">
        <f>IF($C802="","",IF($G802="","Name only",IF(OR($I802="",$L802=""),"Partial","Complete")))</f>
        <v>Complete</v>
      </c>
      <c r="T802" s="41" t="str">
        <f>IF($C802="","",TRIM(IF(COUNTIF($C$4:$C$1463,$C802)&gt;1,"Dup name; ","")&amp;IF(AND($G802&lt;&gt;"",$G802&lt;55000),"Low CR - verify; ","")&amp;IF(AND($L802&lt;&gt;"",$L802&gt;15),"Secondary - verify; ","")&amp;IF($E802="","No class; ","")))</f>
        <v/>
      </c>
      <c r="U802" s="68"/>
      <c r="V802" s="68"/>
      <c r="W802" s="68"/>
      <c r="X802" s="73">
        <f t="shared" si="62"/>
        <v>1422</v>
      </c>
      <c r="Y802" s="41" t="str">
        <f t="shared" si="63"/>
        <v>ZOMBIES|61</v>
      </c>
      <c r="Z802" s="15">
        <f>IF($C802="","",IF($G802="","",RANK($G802,$G$4:$G$1463)+COUNTIF($G$4:$G802,$G802)-1))</f>
        <v>882</v>
      </c>
      <c r="AA802" s="15">
        <f>IF($C802="","",IF($N802="","",RANK($N802,$N$4:$N$1463)+COUNTIF($N$4:$N802,$N802)-1))</f>
        <v>1146</v>
      </c>
      <c r="AB802" s="41" t="str">
        <f>IF($C802="","",IF($E802="","",$E802&amp;"#"&amp;(COUNTIFS($E$4:$E$1463,$E802,$X$4:$X$1463,"&gt;"&amp;$X802)+COUNTIFS($E$4:$E802,$E802,$X$4:$X802,"="&amp;$X802))))</f>
        <v>WARLOCK#299</v>
      </c>
      <c r="AC802" s="41" t="str">
        <f>IF($C802="","",$B802&amp;"@"&amp;(COUNTIFS($B$4:$B$1463,$B802,$C$4:$C$1463,"&lt;"&amp;$C802)+COUNTIFS($B$4:$B802,$B802,$C$4:$C802,$C802)))</f>
        <v>ZOMBIES@58</v>
      </c>
      <c r="AD802" s="41">
        <f t="shared" si="64"/>
        <v>799</v>
      </c>
      <c r="AE802" s="41" t="s">
        <v>568</v>
      </c>
      <c r="AF802" s="73">
        <f t="shared" si="65"/>
        <v>61881</v>
      </c>
      <c r="AG802" s="74">
        <f t="shared" si="66"/>
        <v>3.5</v>
      </c>
      <c r="AH802" s="41" t="str">
        <f>IF($C802="","",$B802&amp;"|"&amp;(COUNTIFS($B$4:$B$1463,$B802,$AF$4:$AF$1463,"&gt;"&amp;$AF802)+COUNTIFS($B$4:$B802,$B802,$AF$4:$AF802,"="&amp;$AF802)))</f>
        <v>ZOMBIES|29</v>
      </c>
      <c r="AI802" s="41" t="str">
        <f>IF($C802="","",$B802&amp;"|"&amp;(COUNTIFS($B$4:$B$1463,$B802,$AG$4:$AG$1463,"&gt;"&amp;$AG802)+COUNTIFS($B$4:$B802,$B802,$AG$4:$AG802,"="&amp;$AG802)))</f>
        <v>ZOMBIES|49</v>
      </c>
    </row>
    <row r="803" spans="1:35" hidden="1">
      <c r="A803" s="69" t="s">
        <v>109</v>
      </c>
      <c r="B803" s="69" t="s">
        <v>110</v>
      </c>
      <c r="C803" s="63" t="s">
        <v>1910</v>
      </c>
      <c r="D803" s="69"/>
      <c r="E803" s="68" t="s">
        <v>78</v>
      </c>
      <c r="F803" s="19" t="str">
        <f>IF($C803="","",IF($E803="","-",IFERROR(INDEX(SETUP!$B$55:$B$64,MATCH($E803,SETUP!$A$55:$A$64,0)),"Other")))</f>
        <v>Melee DPS</v>
      </c>
      <c r="G803" s="70">
        <v>63148</v>
      </c>
      <c r="H803" s="19" t="str">
        <f>IF($C803="","",IF($G803="","-",INDEX(SETUP!$B$26:$B$32,MATCH($G803,SETUP!$A$26:$A$32,1))))</f>
        <v>63,000 - 63,999</v>
      </c>
      <c r="I803" s="70">
        <v>3846</v>
      </c>
      <c r="J803" s="19" t="str">
        <f>IF($C803="","",IF($I803="","-",INDEX(SETUP!$B$16:$B$22,MATCH($I803,SETUP!$A$16:$A$22,1))))</f>
        <v>DEVELOPING</v>
      </c>
      <c r="K803" s="19" t="str">
        <f>IF($C803="","",IF($I803="","-",TEXT(INT($I803/1000)*1000,"#,##0")&amp;" - "&amp;TEXT(INT($I803/1000)*1000+999,"#,##0")))</f>
        <v>3,000 - 3,999</v>
      </c>
      <c r="L803" s="71">
        <v>6.15</v>
      </c>
      <c r="M803" s="19" t="str">
        <f>IF($C803="","",IF($L803="","-",INDEX(SETUP!$B$36:$B$42,MATCH($L803,SETUP!$A$36:$A$42,1))))</f>
        <v>6k - 8k</v>
      </c>
      <c r="N803" s="21">
        <f>IF($C803="","",IF(OR($G803="",$I803=""),"",ROUND(100*(SETUP!$B$4*MIN(1,$I803/SETUP!$B$9)+SETUP!$B$5*MAX(0,MIN(1,($G803-SETUP!$B$10)/(SETUP!$B$11-SETUP!$B$10)))+SETUP!$B$6*MIN(1,IF($L803="",0,$L803)/SETUP!$B$12)),1)))</f>
        <v>48.5</v>
      </c>
      <c r="O803" s="19" t="str">
        <f>IF($C803="","",IF($N803="","-",INDEX(SETUP!$B$46:$B$51,MATCH($N803,SETUP!$A$46:$A$51,1))))</f>
        <v>B</v>
      </c>
      <c r="P803" s="19">
        <f>IF($C803="","",IF($I803="","",RANK($I803,$I$4:$I$1463)+COUNTIF($I$4:$I803,$I803)-1))</f>
        <v>637</v>
      </c>
      <c r="Q803" s="19">
        <f>IF($C803="","",COUNTIFS($B$4:$B$1463,$B803,$X$4:$X$1463,"&gt;"&amp;$X803)+COUNTIFS($B$4:$B803,$B803,$X$4:$X803,"="&amp;$X803))</f>
        <v>66</v>
      </c>
      <c r="R803" s="75">
        <f>IF($C803="","",IF($I803="","",ROUND(COUNTIF($I$4:$I$1463,"&lt;"&amp;$I803)/COUNT($I$4:$I$1463),3)))</f>
        <v>0.51900000000000002</v>
      </c>
      <c r="S803" s="19" t="str">
        <f>IF($C803="","",IF($G803="","Name only",IF(OR($I803="",$L803=""),"Partial","Complete")))</f>
        <v>Complete</v>
      </c>
      <c r="T803" s="1" t="str">
        <f>IF($C803="","",TRIM(IF(COUNTIF($C$4:$C$1463,$C803)&gt;1,"Dup name; ","")&amp;IF(AND($G803&lt;&gt;"",$G803&lt;55000),"Low CR - verify; ","")&amp;IF(AND($L803&lt;&gt;"",$L803&gt;15),"Secondary - verify; ","")&amp;IF($E803="","No class; ","")))</f>
        <v/>
      </c>
      <c r="U803" s="68"/>
      <c r="V803" s="68"/>
      <c r="W803" s="68"/>
      <c r="X803" s="76">
        <f t="shared" si="62"/>
        <v>3846</v>
      </c>
      <c r="Y803" s="1" t="str">
        <f t="shared" si="63"/>
        <v>AZUKI|66</v>
      </c>
      <c r="Z803" s="19">
        <f>IF($C803="","",IF($G803="","",RANK($G803,$G$4:$G$1463)+COUNTIF($G$4:$G803,$G803)-1))</f>
        <v>347</v>
      </c>
      <c r="AA803" s="19">
        <f>IF($C803="","",IF($N803="","",RANK($N803,$N$4:$N$1463)+COUNTIF($N$4:$N803,$N803)-1))</f>
        <v>502</v>
      </c>
      <c r="AB803" s="1" t="str">
        <f>IF($C803="","",IF($E803="","",$E803&amp;"#"&amp;(COUNTIFS($E$4:$E$1463,$E803,$X$4:$X$1463,"&gt;"&amp;$X803)+COUNTIFS($E$4:$E803,$E803,$X$4:$X803,"="&amp;$X803))))</f>
        <v>TEMPEST#23</v>
      </c>
      <c r="AC803" s="1" t="str">
        <f>IF($C803="","",$B803&amp;"@"&amp;(COUNTIFS($B$4:$B$1463,$B803,$C$4:$C$1463,"&lt;"&amp;$C803)+COUNTIFS($B$4:$B803,$B803,$C$4:$C803,$C803)))</f>
        <v>AZUKI@62</v>
      </c>
      <c r="AD803" s="1">
        <f t="shared" si="64"/>
        <v>800</v>
      </c>
      <c r="AE803" s="1" t="s">
        <v>1911</v>
      </c>
      <c r="AF803" s="76">
        <f t="shared" si="65"/>
        <v>63148</v>
      </c>
      <c r="AG803" s="77">
        <f t="shared" si="66"/>
        <v>6.15</v>
      </c>
      <c r="AH803" s="1" t="str">
        <f>IF($C803="","",$B803&amp;"|"&amp;(COUNTIFS($B$4:$B$1463,$B803,$AF$4:$AF$1463,"&gt;"&amp;$AF803)+COUNTIFS($B$4:$B803,$B803,$AF$4:$AF803,"="&amp;$AF803)))</f>
        <v>AZUKI|34</v>
      </c>
      <c r="AI803" s="1" t="str">
        <f>IF($C803="","",$B803&amp;"|"&amp;(COUNTIFS($B$4:$B$1463,$B803,$AG$4:$AG$1463,"&gt;"&amp;$AG803)+COUNTIFS($B$4:$B803,$B803,$AG$4:$AG803,"="&amp;$AG803)))</f>
        <v>AZUKI|42</v>
      </c>
    </row>
    <row r="804" spans="1:35" hidden="1">
      <c r="A804" s="69" t="s">
        <v>106</v>
      </c>
      <c r="B804" s="69" t="s">
        <v>105</v>
      </c>
      <c r="C804" s="63" t="s">
        <v>1912</v>
      </c>
      <c r="D804" s="69"/>
      <c r="E804" s="68"/>
      <c r="F804" s="15" t="str">
        <f>IF($C804="","",IF($E804="","-",IFERROR(INDEX(SETUP!$B$55:$B$64,MATCH($E804,SETUP!$A$55:$A$64,0)),"Other")))</f>
        <v>-</v>
      </c>
      <c r="G804" s="70"/>
      <c r="H804" s="15" t="str">
        <f>IF($C804="","",IF($G804="","-",INDEX(SETUP!$B$26:$B$32,MATCH($G804,SETUP!$A$26:$A$32,1))))</f>
        <v>-</v>
      </c>
      <c r="I804" s="70"/>
      <c r="J804" s="15" t="str">
        <f>IF($C804="","",IF($I804="","-",INDEX(SETUP!$B$16:$B$22,MATCH($I804,SETUP!$A$16:$A$22,1))))</f>
        <v>-</v>
      </c>
      <c r="K804" s="15" t="str">
        <f>IF($C804="","",IF($I804="","-",TEXT(INT($I804/1000)*1000,"#,##0")&amp;" - "&amp;TEXT(INT($I804/1000)*1000+999,"#,##0")))</f>
        <v>-</v>
      </c>
      <c r="L804" s="71"/>
      <c r="M804" s="15" t="str">
        <f>IF($C804="","",IF($L804="","-",INDEX(SETUP!$B$36:$B$42,MATCH($L804,SETUP!$A$36:$A$42,1))))</f>
        <v>-</v>
      </c>
      <c r="N804" s="17" t="str">
        <f>IF($C804="","",IF(OR($G804="",$I804=""),"",ROUND(100*(SETUP!$B$4*MIN(1,$I804/SETUP!$B$9)+SETUP!$B$5*MAX(0,MIN(1,($G804-SETUP!$B$10)/(SETUP!$B$11-SETUP!$B$10)))+SETUP!$B$6*MIN(1,IF($L804="",0,$L804)/SETUP!$B$12)),1)))</f>
        <v/>
      </c>
      <c r="O804" s="15" t="str">
        <f>IF($C804="","",IF($N804="","-",INDEX(SETUP!$B$46:$B$51,MATCH($N804,SETUP!$A$46:$A$51,1))))</f>
        <v>-</v>
      </c>
      <c r="P804" s="15" t="str">
        <f>IF($C804="","",IF($I804="","",RANK($I804,$I$4:$I$1463)+COUNTIF($I$4:$I804,$I804)-1))</f>
        <v/>
      </c>
      <c r="Q804" s="15">
        <f>IF($C804="","",COUNTIFS($B$4:$B$1463,$B804,$X$4:$X$1463,"&gt;"&amp;$X804)+COUNTIFS($B$4:$B804,$B804,$X$4:$X804,"="&amp;$X804))</f>
        <v>99</v>
      </c>
      <c r="R804" s="72" t="str">
        <f>IF($C804="","",IF($I804="","",ROUND(COUNTIF($I$4:$I$1463,"&lt;"&amp;$I804)/COUNT($I$4:$I$1463),3)))</f>
        <v/>
      </c>
      <c r="S804" s="15" t="str">
        <f>IF($C804="","",IF($G804="","Name only",IF(OR($I804="",$L804=""),"Partial","Complete")))</f>
        <v>Name only</v>
      </c>
      <c r="T804" s="41" t="str">
        <f>IF($C804="","",TRIM(IF(COUNTIF($C$4:$C$1463,$C804)&gt;1,"Dup name; ","")&amp;IF(AND($G804&lt;&gt;"",$G804&lt;55000),"Low CR - verify; ","")&amp;IF(AND($L804&lt;&gt;"",$L804&gt;15),"Secondary - verify; ","")&amp;IF($E804="","No class; ","")))</f>
        <v>No class;</v>
      </c>
      <c r="U804" s="68"/>
      <c r="V804" s="68"/>
      <c r="W804" s="68"/>
      <c r="X804" s="41">
        <f t="shared" si="62"/>
        <v>-1</v>
      </c>
      <c r="Y804" s="41" t="str">
        <f t="shared" si="63"/>
        <v>LEGENDS|99</v>
      </c>
      <c r="Z804" s="15" t="str">
        <f>IF($C804="","",IF($G804="","",RANK($G804,$G$4:$G$1463)+COUNTIF($G$4:$G804,$G804)-1))</f>
        <v/>
      </c>
      <c r="AA804" s="15" t="str">
        <f>IF($C804="","",IF($N804="","",RANK($N804,$N$4:$N$1463)+COUNTIF($N$4:$N804,$N804)-1))</f>
        <v/>
      </c>
      <c r="AB804" s="41" t="str">
        <f>IF($C804="","",IF($E804="","",$E804&amp;"#"&amp;(COUNTIFS($E$4:$E$1463,$E804,$X$4:$X$1463,"&gt;"&amp;$X804)+COUNTIFS($E$4:$E804,$E804,$X$4:$X804,"="&amp;$X804))))</f>
        <v/>
      </c>
      <c r="AC804" s="41" t="str">
        <f>IF($C804="","",$B804&amp;"@"&amp;(COUNTIFS($B$4:$B$1463,$B804,$C$4:$C$1463,"&lt;"&amp;$C804)+COUNTIFS($B$4:$B804,$B804,$C$4:$C804,$C804)))</f>
        <v>LEGENDS@66</v>
      </c>
      <c r="AD804" s="41">
        <f t="shared" si="64"/>
        <v>801</v>
      </c>
      <c r="AE804" s="41"/>
      <c r="AF804" s="41">
        <f t="shared" si="65"/>
        <v>-1</v>
      </c>
      <c r="AG804" s="41">
        <f t="shared" si="66"/>
        <v>-1</v>
      </c>
      <c r="AH804" s="41" t="str">
        <f>IF($C804="","",$B804&amp;"|"&amp;(COUNTIFS($B$4:$B$1463,$B804,$AF$4:$AF$1463,"&gt;"&amp;$AF804)+COUNTIFS($B$4:$B804,$B804,$AF$4:$AF804,"="&amp;$AF804)))</f>
        <v>LEGENDS|99</v>
      </c>
      <c r="AI804" s="41" t="str">
        <f>IF($C804="","",$B804&amp;"|"&amp;(COUNTIFS($B$4:$B$1463,$B804,$AG$4:$AG$1463,"&gt;"&amp;$AG804)+COUNTIFS($B$4:$B804,$B804,$AG$4:$AG804,"="&amp;$AG804)))</f>
        <v>LEGENDS|99</v>
      </c>
    </row>
    <row r="805" spans="1:35" hidden="1">
      <c r="A805" s="69" t="s">
        <v>109</v>
      </c>
      <c r="B805" s="69" t="s">
        <v>113</v>
      </c>
      <c r="C805" s="63" t="s">
        <v>1913</v>
      </c>
      <c r="D805" s="69" t="s">
        <v>548</v>
      </c>
      <c r="E805" s="68" t="s">
        <v>74</v>
      </c>
      <c r="F805" s="19" t="str">
        <f>IF($C805="","",IF($E805="","-",IFERROR(INDEX(SETUP!$B$55:$B$64,MATCH($E805,SETUP!$A$55:$A$64,0)),"Other")))</f>
        <v>Ranged DPS</v>
      </c>
      <c r="G805" s="70">
        <v>61797</v>
      </c>
      <c r="H805" s="19" t="str">
        <f>IF($C805="","",IF($G805="","-",INDEX(SETUP!$B$26:$B$32,MATCH($G805,SETUP!$A$26:$A$32,1))))</f>
        <v>61,000 - 61,999</v>
      </c>
      <c r="I805" s="70">
        <v>2592</v>
      </c>
      <c r="J805" s="19" t="str">
        <f>IF($C805="","",IF($I805="","-",INDEX(SETUP!$B$16:$B$22,MATCH($I805,SETUP!$A$16:$A$22,1))))</f>
        <v>DEVELOPING</v>
      </c>
      <c r="K805" s="19" t="str">
        <f>IF($C805="","",IF($I805="","-",TEXT(INT($I805/1000)*1000,"#,##0")&amp;" - "&amp;TEXT(INT($I805/1000)*1000+999,"#,##0")))</f>
        <v>2,000 - 2,999</v>
      </c>
      <c r="L805" s="71">
        <v>4.8499999999999996</v>
      </c>
      <c r="M805" s="19" t="str">
        <f>IF($C805="","",IF($L805="","-",INDEX(SETUP!$B$36:$B$42,MATCH($L805,SETUP!$A$36:$A$42,1))))</f>
        <v>4k - 5k</v>
      </c>
      <c r="N805" s="21">
        <f>IF($C805="","",IF(OR($G805="",$I805=""),"",ROUND(100*(SETUP!$B$4*MIN(1,$I805/SETUP!$B$9)+SETUP!$B$5*MAX(0,MIN(1,($G805-SETUP!$B$10)/(SETUP!$B$11-SETUP!$B$10)))+SETUP!$B$6*MIN(1,IF($L805="",0,$L805)/SETUP!$B$12)),1)))</f>
        <v>37.299999999999997</v>
      </c>
      <c r="O805" s="19" t="str">
        <f>IF($C805="","",IF($N805="","-",INDEX(SETUP!$B$46:$B$51,MATCH($N805,SETUP!$A$46:$A$51,1))))</f>
        <v>B</v>
      </c>
      <c r="P805" s="19">
        <f>IF($C805="","",IF($I805="","",RANK($I805,$I$4:$I$1463)+COUNTIF($I$4:$I805,$I805)-1))</f>
        <v>981</v>
      </c>
      <c r="Q805" s="19">
        <f>IF($C805="","",COUNTIFS($B$4:$B$1463,$B805,$X$4:$X$1463,"&gt;"&amp;$X805)+COUNTIFS($B$4:$B805,$B805,$X$4:$X805,"="&amp;$X805))</f>
        <v>66</v>
      </c>
      <c r="R805" s="75">
        <f>IF($C805="","",IF($I805="","",ROUND(COUNTIF($I$4:$I$1463,"&lt;"&amp;$I805)/COUNT($I$4:$I$1463),3)))</f>
        <v>0.26</v>
      </c>
      <c r="S805" s="19" t="str">
        <f>IF($C805="","",IF($G805="","Name only",IF(OR($I805="",$L805=""),"Partial","Complete")))</f>
        <v>Complete</v>
      </c>
      <c r="T805" s="1" t="str">
        <f>IF($C805="","",TRIM(IF(COUNTIF($C$4:$C$1463,$C805)&gt;1,"Dup name; ","")&amp;IF(AND($G805&lt;&gt;"",$G805&lt;55000),"Low CR - verify; ","")&amp;IF(AND($L805&lt;&gt;"",$L805&gt;15),"Secondary - verify; ","")&amp;IF($E805="","No class; ","")))</f>
        <v/>
      </c>
      <c r="U805" s="68"/>
      <c r="V805" s="68"/>
      <c r="W805" s="68"/>
      <c r="X805" s="76">
        <f t="shared" si="62"/>
        <v>2592</v>
      </c>
      <c r="Y805" s="1" t="str">
        <f t="shared" si="63"/>
        <v>INVICTUS|66</v>
      </c>
      <c r="Z805" s="19">
        <f>IF($C805="","",IF($G805="","",RANK($G805,$G$4:$G$1463)+COUNTIF($G$4:$G805,$G805)-1))</f>
        <v>913</v>
      </c>
      <c r="AA805" s="19">
        <f>IF($C805="","",IF($N805="","",RANK($N805,$N$4:$N$1463)+COUNTIF($N$4:$N805,$N805)-1))</f>
        <v>919</v>
      </c>
      <c r="AB805" s="1" t="str">
        <f>IF($C805="","",IF($E805="","",$E805&amp;"#"&amp;(COUNTIFS($E$4:$E$1463,$E805,$X$4:$X$1463,"&gt;"&amp;$X805)+COUNTIFS($E$4:$E805,$E805,$X$4:$X805,"="&amp;$X805))))</f>
        <v>DEMON HUNTER#156</v>
      </c>
      <c r="AC805" s="1" t="str">
        <f>IF($C805="","",$B805&amp;"@"&amp;(COUNTIFS($B$4:$B$1463,$B805,$C$4:$C$1463,"&lt;"&amp;$C805)+COUNTIFS($B$4:$B805,$B805,$C$4:$C805,$C805)))</f>
        <v>INVICTUS@62</v>
      </c>
      <c r="AD805" s="1">
        <f t="shared" si="64"/>
        <v>802</v>
      </c>
      <c r="AE805" s="1" t="s">
        <v>1914</v>
      </c>
      <c r="AF805" s="76">
        <f t="shared" si="65"/>
        <v>61797</v>
      </c>
      <c r="AG805" s="77">
        <f t="shared" si="66"/>
        <v>4.8499999999999996</v>
      </c>
      <c r="AH805" s="1" t="str">
        <f>IF($C805="","",$B805&amp;"|"&amp;(COUNTIFS($B$4:$B$1463,$B805,$AF$4:$AF$1463,"&gt;"&amp;$AF805)+COUNTIFS($B$4:$B805,$B805,$AF$4:$AF805,"="&amp;$AF805)))</f>
        <v>INVICTUS|63</v>
      </c>
      <c r="AI805" s="1" t="str">
        <f>IF($C805="","",$B805&amp;"|"&amp;(COUNTIFS($B$4:$B$1463,$B805,$AG$4:$AG$1463,"&gt;"&amp;$AG805)+COUNTIFS($B$4:$B805,$B805,$AG$4:$AG805,"="&amp;$AG805)))</f>
        <v>INVICTUS|36</v>
      </c>
    </row>
    <row r="806" spans="1:35" hidden="1">
      <c r="A806" s="69" t="s">
        <v>109</v>
      </c>
      <c r="B806" s="69" t="s">
        <v>111</v>
      </c>
      <c r="C806" s="63" t="s">
        <v>1915</v>
      </c>
      <c r="D806" s="69" t="s">
        <v>527</v>
      </c>
      <c r="E806" s="68" t="s">
        <v>76</v>
      </c>
      <c r="F806" s="15" t="str">
        <f>IF($C806="","",IF($E806="","-",IFERROR(INDEX(SETUP!$B$55:$B$64,MATCH($E806,SETUP!$A$55:$A$64,0)),"Other")))</f>
        <v>Support</v>
      </c>
      <c r="G806" s="70">
        <v>63626</v>
      </c>
      <c r="H806" s="15" t="str">
        <f>IF($C806="","",IF($G806="","-",INDEX(SETUP!$B$26:$B$32,MATCH($G806,SETUP!$A$26:$A$32,1))))</f>
        <v>63,000 - 63,999</v>
      </c>
      <c r="I806" s="70">
        <v>8529</v>
      </c>
      <c r="J806" s="15" t="str">
        <f>IF($C806="","",IF($I806="","-",INDEX(SETUP!$B$16:$B$22,MATCH($I806,SETUP!$A$16:$A$22,1))))</f>
        <v>ELITE</v>
      </c>
      <c r="K806" s="15" t="str">
        <f>IF($C806="","",IF($I806="","-",TEXT(INT($I806/1000)*1000,"#,##0")&amp;" - "&amp;TEXT(INT($I806/1000)*1000+999,"#,##0")))</f>
        <v>8,000 - 8,999</v>
      </c>
      <c r="L806" s="71">
        <v>7.6</v>
      </c>
      <c r="M806" s="15" t="str">
        <f>IF($C806="","",IF($L806="","-",INDEX(SETUP!$B$36:$B$42,MATCH($L806,SETUP!$A$36:$A$42,1))))</f>
        <v>6k - 8k</v>
      </c>
      <c r="N806" s="17">
        <f>IF($C806="","",IF(OR($G806="",$I806=""),"",ROUND(100*(SETUP!$B$4*MIN(1,$I806/SETUP!$B$9)+SETUP!$B$5*MAX(0,MIN(1,($G806-SETUP!$B$10)/(SETUP!$B$11-SETUP!$B$10)))+SETUP!$B$6*MIN(1,IF($L806="",0,$L806)/SETUP!$B$12)),1)))</f>
        <v>72.599999999999994</v>
      </c>
      <c r="O806" s="15" t="str">
        <f>IF($C806="","",IF($N806="","-",INDEX(SETUP!$B$46:$B$51,MATCH($N806,SETUP!$A$46:$A$51,1))))</f>
        <v>S</v>
      </c>
      <c r="P806" s="15">
        <f>IF($C806="","",IF($I806="","",RANK($I806,$I$4:$I$1463)+COUNTIF($I$4:$I806,$I806)-1))</f>
        <v>118</v>
      </c>
      <c r="Q806" s="15">
        <f>IF($C806="","",COUNTIFS($B$4:$B$1463,$B806,$X$4:$X$1463,"&gt;"&amp;$X806)+COUNTIFS($B$4:$B806,$B806,$X$4:$X806,"="&amp;$X806))</f>
        <v>19</v>
      </c>
      <c r="R806" s="72">
        <f>IF($C806="","",IF($I806="","",ROUND(COUNTIF($I$4:$I$1463,"&lt;"&amp;$I806)/COUNT($I$4:$I$1463),3)))</f>
        <v>0.91100000000000003</v>
      </c>
      <c r="S806" s="15" t="str">
        <f>IF($C806="","",IF($G806="","Name only",IF(OR($I806="",$L806=""),"Partial","Complete")))</f>
        <v>Complete</v>
      </c>
      <c r="T806" s="41" t="str">
        <f>IF($C806="","",TRIM(IF(COUNTIF($C$4:$C$1463,$C806)&gt;1,"Dup name; ","")&amp;IF(AND($G806&lt;&gt;"",$G806&lt;55000),"Low CR - verify; ","")&amp;IF(AND($L806&lt;&gt;"",$L806&gt;15),"Secondary - verify; ","")&amp;IF($E806="","No class; ","")))</f>
        <v/>
      </c>
      <c r="U806" s="68"/>
      <c r="V806" s="68"/>
      <c r="W806" s="68"/>
      <c r="X806" s="73">
        <f t="shared" si="62"/>
        <v>8529</v>
      </c>
      <c r="Y806" s="41" t="str">
        <f t="shared" si="63"/>
        <v>RECKONING|19</v>
      </c>
      <c r="Z806" s="15">
        <f>IF($C806="","",IF($G806="","",RANK($G806,$G$4:$G$1463)+COUNTIF($G$4:$G806,$G806)-1))</f>
        <v>161</v>
      </c>
      <c r="AA806" s="15">
        <f>IF($C806="","",IF($N806="","",RANK($N806,$N$4:$N$1463)+COUNTIF($N$4:$N806,$N806)-1))</f>
        <v>107</v>
      </c>
      <c r="AB806" s="41" t="str">
        <f>IF($C806="","",IF($E806="","",$E806&amp;"#"&amp;(COUNTIFS($E$4:$E$1463,$E806,$X$4:$X$1463,"&gt;"&amp;$X806)+COUNTIFS($E$4:$E806,$E806,$X$4:$X806,"="&amp;$X806))))</f>
        <v>MONK#5</v>
      </c>
      <c r="AC806" s="41" t="str">
        <f>IF($C806="","",$B806&amp;"@"&amp;(COUNTIFS($B$4:$B$1463,$B806,$C$4:$C$1463,"&lt;"&amp;$C806)+COUNTIFS($B$4:$B806,$B806,$C$4:$C806,$C806)))</f>
        <v>RECKONING@57</v>
      </c>
      <c r="AD806" s="41">
        <f t="shared" si="64"/>
        <v>803</v>
      </c>
      <c r="AE806" s="41" t="s">
        <v>1916</v>
      </c>
      <c r="AF806" s="73">
        <f t="shared" si="65"/>
        <v>63626</v>
      </c>
      <c r="AG806" s="74">
        <f t="shared" si="66"/>
        <v>7.6</v>
      </c>
      <c r="AH806" s="41" t="str">
        <f>IF($C806="","",$B806&amp;"|"&amp;(COUNTIFS($B$4:$B$1463,$B806,$AF$4:$AF$1463,"&gt;"&amp;$AF806)+COUNTIFS($B$4:$B806,$B806,$AF$4:$AF806,"="&amp;$AF806)))</f>
        <v>RECKONING|18</v>
      </c>
      <c r="AI806" s="41" t="str">
        <f>IF($C806="","",$B806&amp;"|"&amp;(COUNTIFS($B$4:$B$1463,$B806,$AG$4:$AG$1463,"&gt;"&amp;$AG806)+COUNTIFS($B$4:$B806,$B806,$AG$4:$AG806,"="&amp;$AG806)))</f>
        <v>RECKONING|17</v>
      </c>
    </row>
    <row r="807" spans="1:35">
      <c r="A807" s="69" t="s">
        <v>104</v>
      </c>
      <c r="B807" s="69" t="s">
        <v>66</v>
      </c>
      <c r="C807" s="63" t="s">
        <v>2909</v>
      </c>
      <c r="D807" s="69"/>
      <c r="E807" s="68" t="s">
        <v>80</v>
      </c>
      <c r="F807" s="19" t="str">
        <f>IF($C807="","",IF($E807="","-",IFERROR(INDEX(SETUP!$B$55:$B$64,MATCH($E807,SETUP!$A$55:$A$64,0)),"Other")))</f>
        <v>Ranged DPS</v>
      </c>
      <c r="G807" s="70">
        <v>63126</v>
      </c>
      <c r="H807" s="19" t="str">
        <f>IF($C807="","",IF($G807="","-",INDEX(SETUP!$B$26:$B$32,MATCH($G807,SETUP!$A$26:$A$32,1))))</f>
        <v>63,000 - 63,999</v>
      </c>
      <c r="I807" s="70">
        <v>2922</v>
      </c>
      <c r="J807" s="19" t="str">
        <f>IF($C807="","",IF($I807="","-",INDEX(SETUP!$B$16:$B$22,MATCH($I807,SETUP!$A$16:$A$22,1))))</f>
        <v>DEVELOPING</v>
      </c>
      <c r="K807" s="19" t="str">
        <f>IF($C807="","",IF($I807="","-",TEXT(INT($I807/1000)*1000,"#,##0")&amp;" - "&amp;TEXT(INT($I807/1000)*1000+999,"#,##0")))</f>
        <v>2,000 - 2,999</v>
      </c>
      <c r="L807" s="71">
        <v>3.77</v>
      </c>
      <c r="M807" s="19" t="str">
        <f>IF($C807="","",IF($L807="","-",INDEX(SETUP!$B$36:$B$42,MATCH($L807,SETUP!$A$36:$A$42,1))))</f>
        <v>3k - 4k</v>
      </c>
      <c r="N807" s="21">
        <f>IF($C807="","",IF(OR($G807="",$I807=""),"",ROUND(100*(SETUP!$B$4*MIN(1,$I807/SETUP!$B$9)+SETUP!$B$5*MAX(0,MIN(1,($G807-SETUP!$B$10)/(SETUP!$B$11-SETUP!$B$10)))+SETUP!$B$6*MIN(1,IF($L807="",0,$L807)/SETUP!$B$12)),1)))</f>
        <v>40.4</v>
      </c>
      <c r="O807" s="19" t="str">
        <f>IF($C807="","",IF($N807="","-",INDEX(SETUP!$B$46:$B$51,MATCH($N807,SETUP!$A$46:$A$51,1))))</f>
        <v>B</v>
      </c>
      <c r="P807" s="19">
        <f>IF($C807="","",IF($I807="","",RANK($I807,$I$4:$I$1463)+COUNTIF($I$4:$I807,$I807)-1))</f>
        <v>902</v>
      </c>
      <c r="Q807" s="19">
        <f>IF($C807="","",COUNTIFS($B$4:$B$1463,$B807,$X$4:$X$1463,"&gt;"&amp;$X807)+COUNTIFS($B$4:$B807,$B807,$X$4:$X807,"="&amp;$X807))</f>
        <v>94</v>
      </c>
      <c r="R807" s="75">
        <f>IF($C807="","",IF($I807="","",ROUND(COUNTIF($I$4:$I$1463,"&lt;"&amp;$I807)/COUNT($I$4:$I$1463),3)))</f>
        <v>0.31900000000000001</v>
      </c>
      <c r="S807" s="19" t="str">
        <f>IF($C807="","",IF($G807="","Name only",IF(OR($I807="",$L807=""),"Partial","Complete")))</f>
        <v>Complete</v>
      </c>
      <c r="T807" s="1" t="str">
        <f>IF($C807="","",TRIM(IF(COUNTIF($C$4:$C$1463,$C807)&gt;1,"Dup name; ","")&amp;IF(AND($G807&lt;&gt;"",$G807&lt;55000),"Low CR - verify; ","")&amp;IF(AND($L807&lt;&gt;"",$L807&gt;15),"Secondary - verify; ","")&amp;IF($E807="","No class; ","")))</f>
        <v/>
      </c>
      <c r="U807" s="68"/>
      <c r="V807" s="68"/>
      <c r="W807" s="68"/>
      <c r="X807" s="76">
        <f t="shared" si="62"/>
        <v>2922</v>
      </c>
      <c r="Y807" s="1" t="str">
        <f t="shared" si="63"/>
        <v>FUCT|94</v>
      </c>
      <c r="Z807" s="19">
        <f>IF($C807="","",IF($G807="","",RANK($G807,$G$4:$G$1463)+COUNTIF($G$4:$G807,$G807)-1))</f>
        <v>360</v>
      </c>
      <c r="AA807" s="19">
        <f>IF($C807="","",IF($N807="","",RANK($N807,$N$4:$N$1463)+COUNTIF($N$4:$N807,$N807)-1))</f>
        <v>808</v>
      </c>
      <c r="AB807" s="1" t="str">
        <f>IF($C807="","",IF($E807="","",$E807&amp;"#"&amp;(COUNTIFS($E$4:$E$1463,$E807,$X$4:$X$1463,"&gt;"&amp;$X807)+COUNTIFS($E$4:$E807,$E807,$X$4:$X807,"="&amp;$X807))))</f>
        <v>WIZARD#63</v>
      </c>
      <c r="AC807" s="1" t="str">
        <f>IF($C807="","",$B807&amp;"@"&amp;(COUNTIFS($B$4:$B$1463,$B807,$C$4:$C$1463,"&lt;"&amp;$C807)+COUNTIFS($B$4:$B807,$B807,$C$4:$C807,$C807)))</f>
        <v>FUCT@60</v>
      </c>
      <c r="AD807" s="1">
        <f t="shared" si="64"/>
        <v>804</v>
      </c>
      <c r="AE807" s="1" t="s">
        <v>1917</v>
      </c>
      <c r="AF807" s="76">
        <f t="shared" si="65"/>
        <v>63126</v>
      </c>
      <c r="AG807" s="77">
        <f t="shared" si="66"/>
        <v>3.77</v>
      </c>
      <c r="AH807" s="1" t="str">
        <f>IF($C807="","",$B807&amp;"|"&amp;(COUNTIFS($B$4:$B$1463,$B807,$AF$4:$AF$1463,"&gt;"&amp;$AF807)+COUNTIFS($B$4:$B807,$B807,$AF$4:$AF807,"="&amp;$AF807)))</f>
        <v>FUCT|34</v>
      </c>
      <c r="AI807" s="1" t="str">
        <f>IF($C807="","",$B807&amp;"|"&amp;(COUNTIFS($B$4:$B$1463,$B807,$AG$4:$AG$1463,"&gt;"&amp;$AG807)+COUNTIFS($B$4:$B807,$B807,$AG$4:$AG807,"="&amp;$AG807)))</f>
        <v>FUCT|88</v>
      </c>
    </row>
    <row r="808" spans="1:35" hidden="1">
      <c r="A808" s="69" t="s">
        <v>109</v>
      </c>
      <c r="B808" s="69" t="s">
        <v>117</v>
      </c>
      <c r="C808" s="63" t="s">
        <v>1918</v>
      </c>
      <c r="D808" s="69"/>
      <c r="E808" s="68" t="s">
        <v>77</v>
      </c>
      <c r="F808" s="15" t="str">
        <f>IF($C808="","",IF($E808="","-",IFERROR(INDEX(SETUP!$B$55:$B$64,MATCH($E808,SETUP!$A$55:$A$64,0)),"Other")))</f>
        <v>Control</v>
      </c>
      <c r="G808" s="70">
        <v>60679</v>
      </c>
      <c r="H808" s="15" t="str">
        <f>IF($C808="","",IF($G808="","-",INDEX(SETUP!$B$26:$B$32,MATCH($G808,SETUP!$A$26:$A$32,1))))</f>
        <v>60,000 - 60,999</v>
      </c>
      <c r="I808" s="70">
        <v>1500</v>
      </c>
      <c r="J808" s="15" t="str">
        <f>IF($C808="","",IF($I808="","-",INDEX(SETUP!$B$16:$B$22,MATCH($I808,SETUP!$A$16:$A$22,1))))</f>
        <v>ROOKIE</v>
      </c>
      <c r="K808" s="15" t="str">
        <f>IF($C808="","",IF($I808="","-",TEXT(INT($I808/1000)*1000,"#,##0")&amp;" - "&amp;TEXT(INT($I808/1000)*1000+999,"#,##0")))</f>
        <v>1,000 - 1,999</v>
      </c>
      <c r="L808" s="71">
        <v>2.95</v>
      </c>
      <c r="M808" s="15" t="str">
        <f>IF($C808="","",IF($L808="","-",INDEX(SETUP!$B$36:$B$42,MATCH($L808,SETUP!$A$36:$A$42,1))))</f>
        <v>Under 3k</v>
      </c>
      <c r="N808" s="17">
        <f>IF($C808="","",IF(OR($G808="",$I808=""),"",ROUND(100*(SETUP!$B$4*MIN(1,$I808/SETUP!$B$9)+SETUP!$B$5*MAX(0,MIN(1,($G808-SETUP!$B$10)/(SETUP!$B$11-SETUP!$B$10)))+SETUP!$B$6*MIN(1,IF($L808="",0,$L808)/SETUP!$B$12)),1)))</f>
        <v>26.4</v>
      </c>
      <c r="O808" s="15" t="str">
        <f>IF($C808="","",IF($N808="","-",INDEX(SETUP!$B$46:$B$51,MATCH($N808,SETUP!$A$46:$A$51,1))))</f>
        <v>C</v>
      </c>
      <c r="P808" s="15">
        <f>IF($C808="","",IF($I808="","",RANK($I808,$I$4:$I$1463)+COUNTIF($I$4:$I808,$I808)-1))</f>
        <v>1191</v>
      </c>
      <c r="Q808" s="15">
        <f>IF($C808="","",COUNTIFS($B$4:$B$1463,$B808,$X$4:$X$1463,"&gt;"&amp;$X808)+COUNTIFS($B$4:$B808,$B808,$X$4:$X808,"="&amp;$X808))</f>
        <v>66</v>
      </c>
      <c r="R808" s="72">
        <f>IF($C808="","",IF($I808="","",ROUND(COUNTIF($I$4:$I$1463,"&lt;"&amp;$I808)/COUNT($I$4:$I$1463),3)))</f>
        <v>0.10100000000000001</v>
      </c>
      <c r="S808" s="15" t="str">
        <f>IF($C808="","",IF($G808="","Name only",IF(OR($I808="",$L808=""),"Partial","Complete")))</f>
        <v>Complete</v>
      </c>
      <c r="T808" s="41" t="str">
        <f>IF($C808="","",TRIM(IF(COUNTIF($C$4:$C$1463,$C808)&gt;1,"Dup name; ","")&amp;IF(AND($G808&lt;&gt;"",$G808&lt;55000),"Low CR - verify; ","")&amp;IF(AND($L808&lt;&gt;"",$L808&gt;15),"Secondary - verify; ","")&amp;IF($E808="","No class; ","")))</f>
        <v/>
      </c>
      <c r="U808" s="68"/>
      <c r="V808" s="68"/>
      <c r="W808" s="68"/>
      <c r="X808" s="73">
        <f t="shared" si="62"/>
        <v>1500</v>
      </c>
      <c r="Y808" s="41" t="str">
        <f t="shared" si="63"/>
        <v>VENDETTA|66</v>
      </c>
      <c r="Z808" s="15">
        <f>IF($C808="","",IF($G808="","",RANK($G808,$G$4:$G$1463)+COUNTIF($G$4:$G808,$G808)-1))</f>
        <v>1186</v>
      </c>
      <c r="AA808" s="15">
        <f>IF($C808="","",IF($N808="","",RANK($N808,$N$4:$N$1463)+COUNTIF($N$4:$N808,$N808)-1))</f>
        <v>1219</v>
      </c>
      <c r="AB808" s="41" t="str">
        <f>IF($C808="","",IF($E808="","",$E808&amp;"#"&amp;(COUNTIFS($E$4:$E$1463,$E808,$X$4:$X$1463,"&gt;"&amp;$X808)+COUNTIFS($E$4:$E808,$E808,$X$4:$X808,"="&amp;$X808))))</f>
        <v>NECROMANCER#88</v>
      </c>
      <c r="AC808" s="41" t="str">
        <f>IF($C808="","",$B808&amp;"@"&amp;(COUNTIFS($B$4:$B$1463,$B808,$C$4:$C$1463,"&lt;"&amp;$C808)+COUNTIFS($B$4:$B808,$B808,$C$4:$C808,$C808)))</f>
        <v>VENDETTA@60</v>
      </c>
      <c r="AD808" s="41">
        <f t="shared" si="64"/>
        <v>805</v>
      </c>
      <c r="AE808" s="41" t="s">
        <v>1919</v>
      </c>
      <c r="AF808" s="73">
        <f t="shared" si="65"/>
        <v>60679</v>
      </c>
      <c r="AG808" s="74">
        <f t="shared" si="66"/>
        <v>2.95</v>
      </c>
      <c r="AH808" s="41" t="str">
        <f>IF($C808="","",$B808&amp;"|"&amp;(COUNTIFS($B$4:$B$1463,$B808,$AF$4:$AF$1463,"&gt;"&amp;$AF808)+COUNTIFS($B$4:$B808,$B808,$AF$4:$AF808,"="&amp;$AF808)))</f>
        <v>VENDETTA|74</v>
      </c>
      <c r="AI808" s="41" t="str">
        <f>IF($C808="","",$B808&amp;"|"&amp;(COUNTIFS($B$4:$B$1463,$B808,$AG$4:$AG$1463,"&gt;"&amp;$AG808)+COUNTIFS($B$4:$B808,$B808,$AG$4:$AG808,"="&amp;$AG808)))</f>
        <v>VENDETTA|83</v>
      </c>
    </row>
    <row r="809" spans="1:35">
      <c r="A809" s="69" t="s">
        <v>104</v>
      </c>
      <c r="B809" s="69" t="s">
        <v>66</v>
      </c>
      <c r="C809" s="63" t="s">
        <v>1863</v>
      </c>
      <c r="D809" s="69"/>
      <c r="E809" s="68" t="s">
        <v>72</v>
      </c>
      <c r="F809" s="19" t="str">
        <f>IF($C809="","",IF($E809="","-",IFERROR(INDEX(SETUP!$B$55:$B$64,MATCH($E809,SETUP!$A$55:$A$64,0)),"Other")))</f>
        <v>Frontline</v>
      </c>
      <c r="G809" s="70">
        <v>62240</v>
      </c>
      <c r="H809" s="19" t="str">
        <f>IF($C809="","",IF($G809="","-",INDEX(SETUP!$B$26:$B$32,MATCH($G809,SETUP!$A$26:$A$32,1))))</f>
        <v>62,000 - 62,999</v>
      </c>
      <c r="I809" s="70">
        <v>4098</v>
      </c>
      <c r="J809" s="19" t="str">
        <f>IF($C809="","",IF($I809="","-",INDEX(SETUP!$B$16:$B$22,MATCH($I809,SETUP!$A$16:$A$22,1))))</f>
        <v>CORE</v>
      </c>
      <c r="K809" s="19" t="str">
        <f>IF($C809="","",IF($I809="","-",TEXT(INT($I809/1000)*1000,"#,##0")&amp;" - "&amp;TEXT(INT($I809/1000)*1000+999,"#,##0")))</f>
        <v>4,000 - 4,999</v>
      </c>
      <c r="L809" s="71">
        <v>5.56</v>
      </c>
      <c r="M809" s="19" t="str">
        <f>IF($C809="","",IF($L809="","-",INDEX(SETUP!$B$36:$B$42,MATCH($L809,SETUP!$A$36:$A$42,1))))</f>
        <v>5k - 6k</v>
      </c>
      <c r="N809" s="21">
        <f>IF($C809="","",IF(OR($G809="",$I809=""),"",ROUND(100*(SETUP!$B$4*MIN(1,$I809/SETUP!$B$9)+SETUP!$B$5*MAX(0,MIN(1,($G809-SETUP!$B$10)/(SETUP!$B$11-SETUP!$B$10)))+SETUP!$B$6*MIN(1,IF($L809="",0,$L809)/SETUP!$B$12)),1)))</f>
        <v>46.2</v>
      </c>
      <c r="O809" s="19" t="str">
        <f>IF($C809="","",IF($N809="","-",INDEX(SETUP!$B$46:$B$51,MATCH($N809,SETUP!$A$46:$A$51,1))))</f>
        <v>B</v>
      </c>
      <c r="P809" s="19">
        <f>IF($C809="","",IF($I809="","",RANK($I809,$I$4:$I$1463)+COUNTIF($I$4:$I809,$I809)-1))</f>
        <v>577</v>
      </c>
      <c r="Q809" s="19">
        <f>IF($C809="","",COUNTIFS($B$4:$B$1463,$B809,$X$4:$X$1463,"&gt;"&amp;$X809)+COUNTIFS($B$4:$B809,$B809,$X$4:$X809,"="&amp;$X809))</f>
        <v>57</v>
      </c>
      <c r="R809" s="75">
        <f>IF($C809="","",IF($I809="","",ROUND(COUNTIF($I$4:$I$1463,"&lt;"&amp;$I809)/COUNT($I$4:$I$1463),3)))</f>
        <v>0.56499999999999995</v>
      </c>
      <c r="S809" s="19" t="str">
        <f>IF($C809="","",IF($G809="","Name only",IF(OR($I809="",$L809=""),"Partial","Complete")))</f>
        <v>Complete</v>
      </c>
      <c r="T809" s="1" t="str">
        <f>IF($C809="","",TRIM(IF(COUNTIF($C$4:$C$1463,$C809)&gt;1,"Dup name; ","")&amp;IF(AND($G809&lt;&gt;"",$G809&lt;55000),"Low CR - verify; ","")&amp;IF(AND($L809&lt;&gt;"",$L809&gt;15),"Secondary - verify; ","")&amp;IF($E809="","No class; ","")))</f>
        <v/>
      </c>
      <c r="U809" s="68"/>
      <c r="V809" s="68"/>
      <c r="W809" s="68"/>
      <c r="X809" s="76">
        <f t="shared" si="62"/>
        <v>4098</v>
      </c>
      <c r="Y809" s="1" t="str">
        <f t="shared" si="63"/>
        <v>FUCT|57</v>
      </c>
      <c r="Z809" s="19">
        <f>IF($C809="","",IF($G809="","",RANK($G809,$G$4:$G$1463)+COUNTIF($G$4:$G809,$G809)-1))</f>
        <v>747</v>
      </c>
      <c r="AA809" s="19">
        <f>IF($C809="","",IF($N809="","",RANK($N809,$N$4:$N$1463)+COUNTIF($N$4:$N809,$N809)-1))</f>
        <v>583</v>
      </c>
      <c r="AB809" s="1" t="str">
        <f>IF($C809="","",IF($E809="","",$E809&amp;"#"&amp;(COUNTIFS($E$4:$E$1463,$E809,$X$4:$X$1463,"&gt;"&amp;$X809)+COUNTIFS($E$4:$E809,$E809,$X$4:$X809,"="&amp;$X809))))</f>
        <v>BLOOD KNIGHT#36</v>
      </c>
      <c r="AC809" s="1" t="str">
        <f>IF($C809="","",$B809&amp;"@"&amp;(COUNTIFS($B$4:$B$1463,$B809,$C$4:$C$1463,"&lt;"&amp;$C809)+COUNTIFS($B$4:$B809,$B809,$C$4:$C809,$C809)))</f>
        <v>FUCT@61</v>
      </c>
      <c r="AD809" s="1">
        <f t="shared" si="64"/>
        <v>806</v>
      </c>
      <c r="AE809" s="1" t="s">
        <v>1920</v>
      </c>
      <c r="AF809" s="76">
        <f t="shared" si="65"/>
        <v>62240</v>
      </c>
      <c r="AG809" s="77">
        <f t="shared" si="66"/>
        <v>5.56</v>
      </c>
      <c r="AH809" s="1" t="str">
        <f>IF($C809="","",$B809&amp;"|"&amp;(COUNTIFS($B$4:$B$1463,$B809,$AF$4:$AF$1463,"&gt;"&amp;$AF809)+COUNTIFS($B$4:$B809,$B809,$AF$4:$AF809,"="&amp;$AF809)))</f>
        <v>FUCT|74</v>
      </c>
      <c r="AI809" s="1" t="str">
        <f>IF($C809="","",$B809&amp;"|"&amp;(COUNTIFS($B$4:$B$1463,$B809,$AG$4:$AG$1463,"&gt;"&amp;$AG809)+COUNTIFS($B$4:$B809,$B809,$AG$4:$AG809,"="&amp;$AG809)))</f>
        <v>FUCT|28</v>
      </c>
    </row>
    <row r="810" spans="1:35" hidden="1">
      <c r="A810" s="69" t="s">
        <v>109</v>
      </c>
      <c r="B810" s="69" t="s">
        <v>108</v>
      </c>
      <c r="C810" s="63" t="s">
        <v>1921</v>
      </c>
      <c r="D810" s="69"/>
      <c r="E810" s="68" t="s">
        <v>79</v>
      </c>
      <c r="F810" s="15" t="str">
        <f>IF($C810="","",IF($E810="","-",IFERROR(INDEX(SETUP!$B$55:$B$64,MATCH($E810,SETUP!$A$55:$A$64,0)),"Other")))</f>
        <v>Control</v>
      </c>
      <c r="G810" s="70">
        <v>62740</v>
      </c>
      <c r="H810" s="15" t="str">
        <f>IF($C810="","",IF($G810="","-",INDEX(SETUP!$B$26:$B$32,MATCH($G810,SETUP!$A$26:$A$32,1))))</f>
        <v>62,000 - 62,999</v>
      </c>
      <c r="I810" s="70">
        <v>3475</v>
      </c>
      <c r="J810" s="15" t="str">
        <f>IF($C810="","",IF($I810="","-",INDEX(SETUP!$B$16:$B$22,MATCH($I810,SETUP!$A$16:$A$22,1))))</f>
        <v>DEVELOPING</v>
      </c>
      <c r="K810" s="15" t="str">
        <f>IF($C810="","",IF($I810="","-",TEXT(INT($I810/1000)*1000,"#,##0")&amp;" - "&amp;TEXT(INT($I810/1000)*1000+999,"#,##0")))</f>
        <v>3,000 - 3,999</v>
      </c>
      <c r="L810" s="71">
        <v>4.2</v>
      </c>
      <c r="M810" s="15" t="str">
        <f>IF($C810="","",IF($L810="","-",INDEX(SETUP!$B$36:$B$42,MATCH($L810,SETUP!$A$36:$A$42,1))))</f>
        <v>4k - 5k</v>
      </c>
      <c r="N810" s="17">
        <f>IF($C810="","",IF(OR($G810="",$I810=""),"",ROUND(100*(SETUP!$B$4*MIN(1,$I810/SETUP!$B$9)+SETUP!$B$5*MAX(0,MIN(1,($G810-SETUP!$B$10)/(SETUP!$B$11-SETUP!$B$10)))+SETUP!$B$6*MIN(1,IF($L810="",0,$L810)/SETUP!$B$12)),1)))</f>
        <v>42.5</v>
      </c>
      <c r="O810" s="15" t="str">
        <f>IF($C810="","",IF($N810="","-",INDEX(SETUP!$B$46:$B$51,MATCH($N810,SETUP!$A$46:$A$51,1))))</f>
        <v>B</v>
      </c>
      <c r="P810" s="15">
        <f>IF($C810="","",IF($I810="","",RANK($I810,$I$4:$I$1463)+COUNTIF($I$4:$I810,$I810)-1))</f>
        <v>737</v>
      </c>
      <c r="Q810" s="15">
        <f>IF($C810="","",COUNTIFS($B$4:$B$1463,$B810,$X$4:$X$1463,"&gt;"&amp;$X810)+COUNTIFS($B$4:$B810,$B810,$X$4:$X810,"="&amp;$X810))</f>
        <v>83</v>
      </c>
      <c r="R810" s="72">
        <f>IF($C810="","",IF($I810="","",ROUND(COUNTIF($I$4:$I$1463,"&lt;"&amp;$I810)/COUNT($I$4:$I$1463),3)))</f>
        <v>0.44400000000000001</v>
      </c>
      <c r="S810" s="15" t="str">
        <f>IF($C810="","",IF($G810="","Name only",IF(OR($I810="",$L810=""),"Partial","Complete")))</f>
        <v>Complete</v>
      </c>
      <c r="T810" s="41" t="str">
        <f>IF($C810="","",TRIM(IF(COUNTIF($C$4:$C$1463,$C810)&gt;1,"Dup name; ","")&amp;IF(AND($G810&lt;&gt;"",$G810&lt;55000),"Low CR - verify; ","")&amp;IF(AND($L810&lt;&gt;"",$L810&gt;15),"Secondary - verify; ","")&amp;IF($E810="","No class; ","")))</f>
        <v/>
      </c>
      <c r="U810" s="68"/>
      <c r="V810" s="68"/>
      <c r="W810" s="68"/>
      <c r="X810" s="73">
        <f t="shared" si="62"/>
        <v>3475</v>
      </c>
      <c r="Y810" s="41" t="str">
        <f t="shared" si="63"/>
        <v>SBG|83</v>
      </c>
      <c r="Z810" s="15">
        <f>IF($C810="","",IF($G810="","",RANK($G810,$G$4:$G$1463)+COUNTIF($G$4:$G810,$G810)-1))</f>
        <v>550</v>
      </c>
      <c r="AA810" s="15">
        <f>IF($C810="","",IF($N810="","",RANK($N810,$N$4:$N$1463)+COUNTIF($N$4:$N810,$N810)-1))</f>
        <v>727</v>
      </c>
      <c r="AB810" s="41" t="str">
        <f>IF($C810="","",IF($E810="","",$E810&amp;"#"&amp;(COUNTIFS($E$4:$E$1463,$E810,$X$4:$X$1463,"&gt;"&amp;$X810)+COUNTIFS($E$4:$E810,$E810,$X$4:$X810,"="&amp;$X810))))</f>
        <v>WARLOCK#181</v>
      </c>
      <c r="AC810" s="41" t="str">
        <f>IF($C810="","",$B810&amp;"@"&amp;(COUNTIFS($B$4:$B$1463,$B810,$C$4:$C$1463,"&lt;"&amp;$C810)+COUNTIFS($B$4:$B810,$B810,$C$4:$C810,$C810)))</f>
        <v>SBG@50</v>
      </c>
      <c r="AD810" s="41">
        <f t="shared" si="64"/>
        <v>807</v>
      </c>
      <c r="AE810" s="41" t="s">
        <v>1922</v>
      </c>
      <c r="AF810" s="73">
        <f t="shared" si="65"/>
        <v>62740</v>
      </c>
      <c r="AG810" s="74">
        <f t="shared" si="66"/>
        <v>4.2</v>
      </c>
      <c r="AH810" s="41" t="str">
        <f>IF($C810="","",$B810&amp;"|"&amp;(COUNTIFS($B$4:$B$1463,$B810,$AF$4:$AF$1463,"&gt;"&amp;$AF810)+COUNTIFS($B$4:$B810,$B810,$AF$4:$AF810,"="&amp;$AF810)))</f>
        <v>SBG|51</v>
      </c>
      <c r="AI810" s="41" t="str">
        <f>IF($C810="","",$B810&amp;"|"&amp;(COUNTIFS($B$4:$B$1463,$B810,$AG$4:$AG$1463,"&gt;"&amp;$AG810)+COUNTIFS($B$4:$B810,$B810,$AG$4:$AG810,"="&amp;$AG810)))</f>
        <v>SBG|91</v>
      </c>
    </row>
    <row r="811" spans="1:35" hidden="1">
      <c r="A811" s="69" t="s">
        <v>109</v>
      </c>
      <c r="B811" s="69" t="s">
        <v>110</v>
      </c>
      <c r="C811" s="63" t="s">
        <v>1923</v>
      </c>
      <c r="D811" s="69"/>
      <c r="E811" s="68" t="s">
        <v>79</v>
      </c>
      <c r="F811" s="19" t="str">
        <f>IF($C811="","",IF($E811="","-",IFERROR(INDEX(SETUP!$B$55:$B$64,MATCH($E811,SETUP!$A$55:$A$64,0)),"Other")))</f>
        <v>Control</v>
      </c>
      <c r="G811" s="70">
        <v>62000</v>
      </c>
      <c r="H811" s="19" t="str">
        <f>IF($C811="","",IF($G811="","-",INDEX(SETUP!$B$26:$B$32,MATCH($G811,SETUP!$A$26:$A$32,1))))</f>
        <v>62,000 - 62,999</v>
      </c>
      <c r="I811" s="70">
        <v>3076</v>
      </c>
      <c r="J811" s="19" t="str">
        <f>IF($C811="","",IF($I811="","-",INDEX(SETUP!$B$16:$B$22,MATCH($I811,SETUP!$A$16:$A$22,1))))</f>
        <v>DEVELOPING</v>
      </c>
      <c r="K811" s="19" t="str">
        <f>IF($C811="","",IF($I811="","-",TEXT(INT($I811/1000)*1000,"#,##0")&amp;" - "&amp;TEXT(INT($I811/1000)*1000+999,"#,##0")))</f>
        <v>3,000 - 3,999</v>
      </c>
      <c r="L811" s="71">
        <v>4</v>
      </c>
      <c r="M811" s="19" t="str">
        <f>IF($C811="","",IF($L811="","-",INDEX(SETUP!$B$36:$B$42,MATCH($L811,SETUP!$A$36:$A$42,1))))</f>
        <v>4k - 5k</v>
      </c>
      <c r="N811" s="21">
        <f>IF($C811="","",IF(OR($G811="",$I811=""),"",ROUND(100*(SETUP!$B$4*MIN(1,$I811/SETUP!$B$9)+SETUP!$B$5*MAX(0,MIN(1,($G811-SETUP!$B$10)/(SETUP!$B$11-SETUP!$B$10)))+SETUP!$B$6*MIN(1,IF($L811="",0,$L811)/SETUP!$B$12)),1)))</f>
        <v>38.5</v>
      </c>
      <c r="O811" s="19" t="str">
        <f>IF($C811="","",IF($N811="","-",INDEX(SETUP!$B$46:$B$51,MATCH($N811,SETUP!$A$46:$A$51,1))))</f>
        <v>B</v>
      </c>
      <c r="P811" s="19">
        <f>IF($C811="","",IF($I811="","",RANK($I811,$I$4:$I$1463)+COUNTIF($I$4:$I811,$I811)-1))</f>
        <v>856</v>
      </c>
      <c r="Q811" s="19">
        <f>IF($C811="","",COUNTIFS($B$4:$B$1463,$B811,$X$4:$X$1463,"&gt;"&amp;$X811)+COUNTIFS($B$4:$B811,$B811,$X$4:$X811,"="&amp;$X811))</f>
        <v>87</v>
      </c>
      <c r="R811" s="75">
        <f>IF($C811="","",IF($I811="","",ROUND(COUNTIF($I$4:$I$1463,"&lt;"&amp;$I811)/COUNT($I$4:$I$1463),3)))</f>
        <v>0.35399999999999998</v>
      </c>
      <c r="S811" s="19" t="str">
        <f>IF($C811="","",IF($G811="","Name only",IF(OR($I811="",$L811=""),"Partial","Complete")))</f>
        <v>Complete</v>
      </c>
      <c r="T811" s="1" t="str">
        <f>IF($C811="","",TRIM(IF(COUNTIF($C$4:$C$1463,$C811)&gt;1,"Dup name; ","")&amp;IF(AND($G811&lt;&gt;"",$G811&lt;55000),"Low CR - verify; ","")&amp;IF(AND($L811&lt;&gt;"",$L811&gt;15),"Secondary - verify; ","")&amp;IF($E811="","No class; ","")))</f>
        <v/>
      </c>
      <c r="U811" s="68"/>
      <c r="V811" s="68"/>
      <c r="W811" s="68"/>
      <c r="X811" s="76">
        <f t="shared" si="62"/>
        <v>3076</v>
      </c>
      <c r="Y811" s="1" t="str">
        <f t="shared" si="63"/>
        <v>AZUKI|87</v>
      </c>
      <c r="Z811" s="19">
        <f>IF($C811="","",IF($G811="","",RANK($G811,$G$4:$G$1463)+COUNTIF($G$4:$G811,$G811)-1))</f>
        <v>837</v>
      </c>
      <c r="AA811" s="19">
        <f>IF($C811="","",IF($N811="","",RANK($N811,$N$4:$N$1463)+COUNTIF($N$4:$N811,$N811)-1))</f>
        <v>883</v>
      </c>
      <c r="AB811" s="1" t="str">
        <f>IF($C811="","",IF($E811="","",$E811&amp;"#"&amp;(COUNTIFS($E$4:$E$1463,$E811,$X$4:$X$1463,"&gt;"&amp;$X811)+COUNTIFS($E$4:$E811,$E811,$X$4:$X811,"="&amp;$X811))))</f>
        <v>WARLOCK#213</v>
      </c>
      <c r="AC811" s="1" t="str">
        <f>IF($C811="","",$B811&amp;"@"&amp;(COUNTIFS($B$4:$B$1463,$B811,$C$4:$C$1463,"&lt;"&amp;$C811)+COUNTIFS($B$4:$B811,$B811,$C$4:$C811,$C811)))</f>
        <v>AZUKI@63</v>
      </c>
      <c r="AD811" s="1">
        <f t="shared" si="64"/>
        <v>808</v>
      </c>
      <c r="AE811" s="1" t="s">
        <v>650</v>
      </c>
      <c r="AF811" s="76">
        <f t="shared" si="65"/>
        <v>62000</v>
      </c>
      <c r="AG811" s="77">
        <f t="shared" si="66"/>
        <v>4</v>
      </c>
      <c r="AH811" s="1" t="str">
        <f>IF($C811="","",$B811&amp;"|"&amp;(COUNTIFS($B$4:$B$1463,$B811,$AF$4:$AF$1463,"&gt;"&amp;$AF811)+COUNTIFS($B$4:$B811,$B811,$AF$4:$AF811,"="&amp;$AF811)))</f>
        <v>AZUKI|76</v>
      </c>
      <c r="AI811" s="1" t="str">
        <f>IF($C811="","",$B811&amp;"|"&amp;(COUNTIFS($B$4:$B$1463,$B811,$AG$4:$AG$1463,"&gt;"&amp;$AG811)+COUNTIFS($B$4:$B811,$B811,$AG$4:$AG811,"="&amp;$AG811)))</f>
        <v>AZUKI|94</v>
      </c>
    </row>
    <row r="812" spans="1:35" hidden="1">
      <c r="A812" s="69" t="s">
        <v>109</v>
      </c>
      <c r="B812" s="69" t="s">
        <v>116</v>
      </c>
      <c r="C812" s="63" t="s">
        <v>1924</v>
      </c>
      <c r="D812" s="69" t="s">
        <v>530</v>
      </c>
      <c r="E812" s="68" t="s">
        <v>73</v>
      </c>
      <c r="F812" s="15" t="str">
        <f>IF($C812="","",IF($E812="","-",IFERROR(INDEX(SETUP!$B$55:$B$64,MATCH($E812,SETUP!$A$55:$A$64,0)),"Other")))</f>
        <v>Frontline</v>
      </c>
      <c r="G812" s="70">
        <v>62861</v>
      </c>
      <c r="H812" s="15" t="str">
        <f>IF($C812="","",IF($G812="","-",INDEX(SETUP!$B$26:$B$32,MATCH($G812,SETUP!$A$26:$A$32,1))))</f>
        <v>62,000 - 62,999</v>
      </c>
      <c r="I812" s="70">
        <v>6380</v>
      </c>
      <c r="J812" s="15" t="str">
        <f>IF($C812="","",IF($I812="","-",INDEX(SETUP!$B$16:$B$22,MATCH($I812,SETUP!$A$16:$A$22,1))))</f>
        <v>VETERAN</v>
      </c>
      <c r="K812" s="15" t="str">
        <f>IF($C812="","",IF($I812="","-",TEXT(INT($I812/1000)*1000,"#,##0")&amp;" - "&amp;TEXT(INT($I812/1000)*1000+999,"#,##0")))</f>
        <v>6,000 - 6,999</v>
      </c>
      <c r="L812" s="71">
        <v>5.8</v>
      </c>
      <c r="M812" s="15" t="str">
        <f>IF($C812="","",IF($L812="","-",INDEX(SETUP!$B$36:$B$42,MATCH($L812,SETUP!$A$36:$A$42,1))))</f>
        <v>5k - 6k</v>
      </c>
      <c r="N812" s="17">
        <f>IF($C812="","",IF(OR($G812="",$I812=""),"",ROUND(100*(SETUP!$B$4*MIN(1,$I812/SETUP!$B$9)+SETUP!$B$5*MAX(0,MIN(1,($G812-SETUP!$B$10)/(SETUP!$B$11-SETUP!$B$10)))+SETUP!$B$6*MIN(1,IF($L812="",0,$L812)/SETUP!$B$12)),1)))</f>
        <v>58.2</v>
      </c>
      <c r="O812" s="15" t="str">
        <f>IF($C812="","",IF($N812="","-",INDEX(SETUP!$B$46:$B$51,MATCH($N812,SETUP!$A$46:$A$51,1))))</f>
        <v>A</v>
      </c>
      <c r="P812" s="15">
        <f>IF($C812="","",IF($I812="","",RANK($I812,$I$4:$I$1463)+COUNTIF($I$4:$I812,$I812)-1))</f>
        <v>253</v>
      </c>
      <c r="Q812" s="15">
        <f>IF($C812="","",COUNTIFS($B$4:$B$1463,$B812,$X$4:$X$1463,"&gt;"&amp;$X812)+COUNTIFS($B$4:$B812,$B812,$X$4:$X812,"="&amp;$X812))</f>
        <v>6</v>
      </c>
      <c r="R812" s="72">
        <f>IF($C812="","",IF($I812="","",ROUND(COUNTIF($I$4:$I$1463,"&lt;"&amp;$I812)/COUNT($I$4:$I$1463),3)))</f>
        <v>0.80900000000000005</v>
      </c>
      <c r="S812" s="15" t="str">
        <f>IF($C812="","",IF($G812="","Name only",IF(OR($I812="",$L812=""),"Partial","Complete")))</f>
        <v>Complete</v>
      </c>
      <c r="T812" s="41" t="str">
        <f>IF($C812="","",TRIM(IF(COUNTIF($C$4:$C$1463,$C812)&gt;1,"Dup name; ","")&amp;IF(AND($G812&lt;&gt;"",$G812&lt;55000),"Low CR - verify; ","")&amp;IF(AND($L812&lt;&gt;"",$L812&gt;15),"Secondary - verify; ","")&amp;IF($E812="","No class; ","")))</f>
        <v/>
      </c>
      <c r="U812" s="68"/>
      <c r="V812" s="68"/>
      <c r="W812" s="68"/>
      <c r="X812" s="73">
        <f t="shared" si="62"/>
        <v>6380</v>
      </c>
      <c r="Y812" s="41" t="str">
        <f t="shared" si="63"/>
        <v>VENGEANCE|6</v>
      </c>
      <c r="Z812" s="15">
        <f>IF($C812="","",IF($G812="","",RANK($G812,$G$4:$G$1463)+COUNTIF($G$4:$G812,$G812)-1))</f>
        <v>490</v>
      </c>
      <c r="AA812" s="15">
        <f>IF($C812="","",IF($N812="","",RANK($N812,$N$4:$N$1463)+COUNTIF($N$4:$N812,$N812)-1))</f>
        <v>261</v>
      </c>
      <c r="AB812" s="41" t="str">
        <f>IF($C812="","",IF($E812="","",$E812&amp;"#"&amp;(COUNTIFS($E$4:$E$1463,$E812,$X$4:$X$1463,"&gt;"&amp;$X812)+COUNTIFS($E$4:$E812,$E812,$X$4:$X812,"="&amp;$X812))))</f>
        <v>CRUSADER#37</v>
      </c>
      <c r="AC812" s="41" t="str">
        <f>IF($C812="","",$B812&amp;"@"&amp;(COUNTIFS($B$4:$B$1463,$B812,$C$4:$C$1463,"&lt;"&amp;$C812)+COUNTIFS($B$4:$B812,$B812,$C$4:$C812,$C812)))</f>
        <v>VENGEANCE@50</v>
      </c>
      <c r="AD812" s="41">
        <f t="shared" si="64"/>
        <v>809</v>
      </c>
      <c r="AE812" s="41" t="s">
        <v>759</v>
      </c>
      <c r="AF812" s="73">
        <f t="shared" si="65"/>
        <v>62861</v>
      </c>
      <c r="AG812" s="74">
        <f t="shared" si="66"/>
        <v>5.8</v>
      </c>
      <c r="AH812" s="41" t="str">
        <f>IF($C812="","",$B812&amp;"|"&amp;(COUNTIFS($B$4:$B$1463,$B812,$AF$4:$AF$1463,"&gt;"&amp;$AF812)+COUNTIFS($B$4:$B812,$B812,$AF$4:$AF812,"="&amp;$AF812)))</f>
        <v>VENGEANCE|25</v>
      </c>
      <c r="AI812" s="41" t="str">
        <f>IF($C812="","",$B812&amp;"|"&amp;(COUNTIFS($B$4:$B$1463,$B812,$AG$4:$AG$1463,"&gt;"&amp;$AG812)+COUNTIFS($B$4:$B812,$B812,$AG$4:$AG812,"="&amp;$AG812)))</f>
        <v>VENGEANCE|14</v>
      </c>
    </row>
    <row r="813" spans="1:35" hidden="1">
      <c r="A813" s="69" t="s">
        <v>106</v>
      </c>
      <c r="B813" s="69" t="s">
        <v>105</v>
      </c>
      <c r="C813" s="63" t="s">
        <v>1925</v>
      </c>
      <c r="D813" s="69"/>
      <c r="E813" s="68" t="s">
        <v>79</v>
      </c>
      <c r="F813" s="19" t="str">
        <f>IF($C813="","",IF($E813="","-",IFERROR(INDEX(SETUP!$B$55:$B$64,MATCH($E813,SETUP!$A$55:$A$64,0)),"Other")))</f>
        <v>Control</v>
      </c>
      <c r="G813" s="70">
        <v>62412</v>
      </c>
      <c r="H813" s="19" t="str">
        <f>IF($C813="","",IF($G813="","-",INDEX(SETUP!$B$26:$B$32,MATCH($G813,SETUP!$A$26:$A$32,1))))</f>
        <v>62,000 - 62,999</v>
      </c>
      <c r="I813" s="70">
        <v>3536</v>
      </c>
      <c r="J813" s="19" t="str">
        <f>IF($C813="","",IF($I813="","-",INDEX(SETUP!$B$16:$B$22,MATCH($I813,SETUP!$A$16:$A$22,1))))</f>
        <v>DEVELOPING</v>
      </c>
      <c r="K813" s="19" t="str">
        <f>IF($C813="","",IF($I813="","-",TEXT(INT($I813/1000)*1000,"#,##0")&amp;" - "&amp;TEXT(INT($I813/1000)*1000+999,"#,##0")))</f>
        <v>3,000 - 3,999</v>
      </c>
      <c r="L813" s="71">
        <v>6.1</v>
      </c>
      <c r="M813" s="19" t="str">
        <f>IF($C813="","",IF($L813="","-",INDEX(SETUP!$B$36:$B$42,MATCH($L813,SETUP!$A$36:$A$42,1))))</f>
        <v>6k - 8k</v>
      </c>
      <c r="N813" s="21">
        <f>IF($C813="","",IF(OR($G813="",$I813=""),"",ROUND(100*(SETUP!$B$4*MIN(1,$I813/SETUP!$B$9)+SETUP!$B$5*MAX(0,MIN(1,($G813-SETUP!$B$10)/(SETUP!$B$11-SETUP!$B$10)))+SETUP!$B$6*MIN(1,IF($L813="",0,$L813)/SETUP!$B$12)),1)))</f>
        <v>45.1</v>
      </c>
      <c r="O813" s="19" t="str">
        <f>IF($C813="","",IF($N813="","-",INDEX(SETUP!$B$46:$B$51,MATCH($N813,SETUP!$A$46:$A$51,1))))</f>
        <v>B</v>
      </c>
      <c r="P813" s="19">
        <f>IF($C813="","",IF($I813="","",RANK($I813,$I$4:$I$1463)+COUNTIF($I$4:$I813,$I813)-1))</f>
        <v>718</v>
      </c>
      <c r="Q813" s="19">
        <f>IF($C813="","",COUNTIFS($B$4:$B$1463,$B813,$X$4:$X$1463,"&gt;"&amp;$X813)+COUNTIFS($B$4:$B813,$B813,$X$4:$X813,"="&amp;$X813))</f>
        <v>84</v>
      </c>
      <c r="R813" s="75">
        <f>IF($C813="","",IF($I813="","",ROUND(COUNTIF($I$4:$I$1463,"&lt;"&amp;$I813)/COUNT($I$4:$I$1463),3)))</f>
        <v>0.45800000000000002</v>
      </c>
      <c r="S813" s="19" t="str">
        <f>IF($C813="","",IF($G813="","Name only",IF(OR($I813="",$L813=""),"Partial","Complete")))</f>
        <v>Complete</v>
      </c>
      <c r="T813" s="1" t="str">
        <f>IF($C813="","",TRIM(IF(COUNTIF($C$4:$C$1463,$C813)&gt;1,"Dup name; ","")&amp;IF(AND($G813&lt;&gt;"",$G813&lt;55000),"Low CR - verify; ","")&amp;IF(AND($L813&lt;&gt;"",$L813&gt;15),"Secondary - verify; ","")&amp;IF($E813="","No class; ","")))</f>
        <v/>
      </c>
      <c r="U813" s="68"/>
      <c r="V813" s="68"/>
      <c r="W813" s="68"/>
      <c r="X813" s="76">
        <f t="shared" si="62"/>
        <v>3536</v>
      </c>
      <c r="Y813" s="1" t="str">
        <f t="shared" si="63"/>
        <v>LEGENDS|84</v>
      </c>
      <c r="Z813" s="19">
        <f>IF($C813="","",IF($G813="","",RANK($G813,$G$4:$G$1463)+COUNTIF($G$4:$G813,$G813)-1))</f>
        <v>684</v>
      </c>
      <c r="AA813" s="19">
        <f>IF($C813="","",IF($N813="","",RANK($N813,$N$4:$N$1463)+COUNTIF($N$4:$N813,$N813)-1))</f>
        <v>620</v>
      </c>
      <c r="AB813" s="1" t="str">
        <f>IF($C813="","",IF($E813="","",$E813&amp;"#"&amp;(COUNTIFS($E$4:$E$1463,$E813,$X$4:$X$1463,"&gt;"&amp;$X813)+COUNTIFS($E$4:$E813,$E813,$X$4:$X813,"="&amp;$X813))))</f>
        <v>WARLOCK#179</v>
      </c>
      <c r="AC813" s="1" t="str">
        <f>IF($C813="","",$B813&amp;"@"&amp;(COUNTIFS($B$4:$B$1463,$B813,$C$4:$C$1463,"&lt;"&amp;$C813)+COUNTIFS($B$4:$B813,$B813,$C$4:$C813,$C813)))</f>
        <v>LEGENDS@67</v>
      </c>
      <c r="AD813" s="1">
        <f t="shared" si="64"/>
        <v>810</v>
      </c>
      <c r="AE813" s="1" t="s">
        <v>1926</v>
      </c>
      <c r="AF813" s="76">
        <f t="shared" si="65"/>
        <v>62412</v>
      </c>
      <c r="AG813" s="77">
        <f t="shared" si="66"/>
        <v>6.1</v>
      </c>
      <c r="AH813" s="1" t="str">
        <f>IF($C813="","",$B813&amp;"|"&amp;(COUNTIFS($B$4:$B$1463,$B813,$AF$4:$AF$1463,"&gt;"&amp;$AF813)+COUNTIFS($B$4:$B813,$B813,$AF$4:$AF813,"="&amp;$AF813)))</f>
        <v>LEGENDS|71</v>
      </c>
      <c r="AI813" s="1" t="str">
        <f>IF($C813="","",$B813&amp;"|"&amp;(COUNTIFS($B$4:$B$1463,$B813,$AG$4:$AG$1463,"&gt;"&amp;$AG813)+COUNTIFS($B$4:$B813,$B813,$AG$4:$AG813,"="&amp;$AG813)))</f>
        <v>LEGENDS|18</v>
      </c>
    </row>
    <row r="814" spans="1:35" hidden="1">
      <c r="A814" s="69" t="s">
        <v>109</v>
      </c>
      <c r="B814" s="69" t="s">
        <v>116</v>
      </c>
      <c r="C814" s="63" t="s">
        <v>1927</v>
      </c>
      <c r="D814" s="69" t="s">
        <v>530</v>
      </c>
      <c r="E814" s="68" t="s">
        <v>78</v>
      </c>
      <c r="F814" s="15" t="str">
        <f>IF($C814="","",IF($E814="","-",IFERROR(INDEX(SETUP!$B$55:$B$64,MATCH($E814,SETUP!$A$55:$A$64,0)),"Other")))</f>
        <v>Melee DPS</v>
      </c>
      <c r="G814" s="70">
        <v>61420</v>
      </c>
      <c r="H814" s="15" t="str">
        <f>IF($C814="","",IF($G814="","-",INDEX(SETUP!$B$26:$B$32,MATCH($G814,SETUP!$A$26:$A$32,1))))</f>
        <v>61,000 - 61,999</v>
      </c>
      <c r="I814" s="70">
        <v>2184</v>
      </c>
      <c r="J814" s="15" t="str">
        <f>IF($C814="","",IF($I814="","-",INDEX(SETUP!$B$16:$B$22,MATCH($I814,SETUP!$A$16:$A$22,1))))</f>
        <v>DEVELOPING</v>
      </c>
      <c r="K814" s="15" t="str">
        <f>IF($C814="","",IF($I814="","-",TEXT(INT($I814/1000)*1000,"#,##0")&amp;" - "&amp;TEXT(INT($I814/1000)*1000+999,"#,##0")))</f>
        <v>2,000 - 2,999</v>
      </c>
      <c r="L814" s="71">
        <v>3.6</v>
      </c>
      <c r="M814" s="15" t="str">
        <f>IF($C814="","",IF($L814="","-",INDEX(SETUP!$B$36:$B$42,MATCH($L814,SETUP!$A$36:$A$42,1))))</f>
        <v>3k - 4k</v>
      </c>
      <c r="N814" s="17">
        <f>IF($C814="","",IF(OR($G814="",$I814=""),"",ROUND(100*(SETUP!$B$4*MIN(1,$I814/SETUP!$B$9)+SETUP!$B$5*MAX(0,MIN(1,($G814-SETUP!$B$10)/(SETUP!$B$11-SETUP!$B$10)))+SETUP!$B$6*MIN(1,IF($L814="",0,$L814)/SETUP!$B$12)),1)))</f>
        <v>32.4</v>
      </c>
      <c r="O814" s="15" t="str">
        <f>IF($C814="","",IF($N814="","-",INDEX(SETUP!$B$46:$B$51,MATCH($N814,SETUP!$A$46:$A$51,1))))</f>
        <v>C</v>
      </c>
      <c r="P814" s="15">
        <f>IF($C814="","",IF($I814="","",RANK($I814,$I$4:$I$1463)+COUNTIF($I$4:$I814,$I814)-1))</f>
        <v>1070</v>
      </c>
      <c r="Q814" s="15">
        <f>IF($C814="","",COUNTIFS($B$4:$B$1463,$B814,$X$4:$X$1463,"&gt;"&amp;$X814)+COUNTIFS($B$4:$B814,$B814,$X$4:$X814,"="&amp;$X814))</f>
        <v>80</v>
      </c>
      <c r="R814" s="72">
        <f>IF($C814="","",IF($I814="","",ROUND(COUNTIF($I$4:$I$1463,"&lt;"&amp;$I814)/COUNT($I$4:$I$1463),3)))</f>
        <v>0.192</v>
      </c>
      <c r="S814" s="15" t="str">
        <f>IF($C814="","",IF($G814="","Name only",IF(OR($I814="",$L814=""),"Partial","Complete")))</f>
        <v>Complete</v>
      </c>
      <c r="T814" s="41" t="str">
        <f>IF($C814="","",TRIM(IF(COUNTIF($C$4:$C$1463,$C814)&gt;1,"Dup name; ","")&amp;IF(AND($G814&lt;&gt;"",$G814&lt;55000),"Low CR - verify; ","")&amp;IF(AND($L814&lt;&gt;"",$L814&gt;15),"Secondary - verify; ","")&amp;IF($E814="","No class; ","")))</f>
        <v/>
      </c>
      <c r="U814" s="68"/>
      <c r="V814" s="68"/>
      <c r="W814" s="68"/>
      <c r="X814" s="73">
        <f t="shared" si="62"/>
        <v>2184</v>
      </c>
      <c r="Y814" s="41" t="str">
        <f t="shared" si="63"/>
        <v>VENGEANCE|80</v>
      </c>
      <c r="Z814" s="15">
        <f>IF($C814="","",IF($G814="","",RANK($G814,$G$4:$G$1463)+COUNTIF($G$4:$G814,$G814)-1))</f>
        <v>1025</v>
      </c>
      <c r="AA814" s="15">
        <f>IF($C814="","",IF($N814="","",RANK($N814,$N$4:$N$1463)+COUNTIF($N$4:$N814,$N814)-1))</f>
        <v>1086</v>
      </c>
      <c r="AB814" s="41" t="str">
        <f>IF($C814="","",IF($E814="","",$E814&amp;"#"&amp;(COUNTIFS($E$4:$E$1463,$E814,$X$4:$X$1463,"&gt;"&amp;$X814)+COUNTIFS($E$4:$E814,$E814,$X$4:$X814,"="&amp;$X814))))</f>
        <v>TEMPEST#48</v>
      </c>
      <c r="AC814" s="41" t="str">
        <f>IF($C814="","",$B814&amp;"@"&amp;(COUNTIFS($B$4:$B$1463,$B814,$C$4:$C$1463,"&lt;"&amp;$C814)+COUNTIFS($B$4:$B814,$B814,$C$4:$C814,$C814)))</f>
        <v>VENGEANCE@51</v>
      </c>
      <c r="AD814" s="41">
        <f t="shared" si="64"/>
        <v>811</v>
      </c>
      <c r="AE814" s="41" t="s">
        <v>925</v>
      </c>
      <c r="AF814" s="73">
        <f t="shared" si="65"/>
        <v>61420</v>
      </c>
      <c r="AG814" s="74">
        <f t="shared" si="66"/>
        <v>3.6</v>
      </c>
      <c r="AH814" s="41" t="str">
        <f>IF($C814="","",$B814&amp;"|"&amp;(COUNTIFS($B$4:$B$1463,$B814,$AF$4:$AF$1463,"&gt;"&amp;$AF814)+COUNTIFS($B$4:$B814,$B814,$AF$4:$AF814,"="&amp;$AF814)))</f>
        <v>VENGEANCE|66</v>
      </c>
      <c r="AI814" s="41" t="str">
        <f>IF($C814="","",$B814&amp;"|"&amp;(COUNTIFS($B$4:$B$1463,$B814,$AG$4:$AG$1463,"&gt;"&amp;$AG814)+COUNTIFS($B$4:$B814,$B814,$AG$4:$AG814,"="&amp;$AG814)))</f>
        <v>VENGEANCE|77</v>
      </c>
    </row>
    <row r="815" spans="1:35" hidden="1">
      <c r="A815" s="69" t="s">
        <v>106</v>
      </c>
      <c r="B815" s="69" t="s">
        <v>107</v>
      </c>
      <c r="C815" s="63" t="s">
        <v>1928</v>
      </c>
      <c r="D815" s="69"/>
      <c r="E815" s="68" t="s">
        <v>74</v>
      </c>
      <c r="F815" s="19" t="str">
        <f>IF($C815="","",IF($E815="","-",IFERROR(INDEX(SETUP!$B$55:$B$64,MATCH($E815,SETUP!$A$55:$A$64,0)),"Other")))</f>
        <v>Ranged DPS</v>
      </c>
      <c r="G815" s="70">
        <v>63530</v>
      </c>
      <c r="H815" s="19" t="str">
        <f>IF($C815="","",IF($G815="","-",INDEX(SETUP!$B$26:$B$32,MATCH($G815,SETUP!$A$26:$A$32,1))))</f>
        <v>63,000 - 63,999</v>
      </c>
      <c r="I815" s="70">
        <v>4639</v>
      </c>
      <c r="J815" s="19" t="str">
        <f>IF($C815="","",IF($I815="","-",INDEX(SETUP!$B$16:$B$22,MATCH($I815,SETUP!$A$16:$A$22,1))))</f>
        <v>CORE</v>
      </c>
      <c r="K815" s="19" t="str">
        <f>IF($C815="","",IF($I815="","-",TEXT(INT($I815/1000)*1000,"#,##0")&amp;" - "&amp;TEXT(INT($I815/1000)*1000+999,"#,##0")))</f>
        <v>4,000 - 4,999</v>
      </c>
      <c r="L815" s="71">
        <v>5.6</v>
      </c>
      <c r="M815" s="19" t="str">
        <f>IF($C815="","",IF($L815="","-",INDEX(SETUP!$B$36:$B$42,MATCH($L815,SETUP!$A$36:$A$42,1))))</f>
        <v>5k - 6k</v>
      </c>
      <c r="N815" s="21">
        <f>IF($C815="","",IF(OR($G815="",$I815=""),"",ROUND(100*(SETUP!$B$4*MIN(1,$I815/SETUP!$B$9)+SETUP!$B$5*MAX(0,MIN(1,($G815-SETUP!$B$10)/(SETUP!$B$11-SETUP!$B$10)))+SETUP!$B$6*MIN(1,IF($L815="",0,$L815)/SETUP!$B$12)),1)))</f>
        <v>52</v>
      </c>
      <c r="O815" s="19" t="str">
        <f>IF($C815="","",IF($N815="","-",INDEX(SETUP!$B$46:$B$51,MATCH($N815,SETUP!$A$46:$A$51,1))))</f>
        <v>A</v>
      </c>
      <c r="P815" s="19">
        <f>IF($C815="","",IF($I815="","",RANK($I815,$I$4:$I$1463)+COUNTIF($I$4:$I815,$I815)-1))</f>
        <v>463</v>
      </c>
      <c r="Q815" s="19">
        <f>IF($C815="","",COUNTIFS($B$4:$B$1463,$B815,$X$4:$X$1463,"&gt;"&amp;$X815)+COUNTIFS($B$4:$B815,$B815,$X$4:$X815,"="&amp;$X815))</f>
        <v>32</v>
      </c>
      <c r="R815" s="75">
        <f>IF($C815="","",IF($I815="","",ROUND(COUNTIF($I$4:$I$1463,"&lt;"&amp;$I815)/COUNT($I$4:$I$1463),3)))</f>
        <v>0.65100000000000002</v>
      </c>
      <c r="S815" s="19" t="str">
        <f>IF($C815="","",IF($G815="","Name only",IF(OR($I815="",$L815=""),"Partial","Complete")))</f>
        <v>Complete</v>
      </c>
      <c r="T815" s="1" t="str">
        <f>IF($C815="","",TRIM(IF(COUNTIF($C$4:$C$1463,$C815)&gt;1,"Dup name; ","")&amp;IF(AND($G815&lt;&gt;"",$G815&lt;55000),"Low CR - verify; ","")&amp;IF(AND($L815&lt;&gt;"",$L815&gt;15),"Secondary - verify; ","")&amp;IF($E815="","No class; ","")))</f>
        <v/>
      </c>
      <c r="U815" s="68"/>
      <c r="V815" s="68"/>
      <c r="W815" s="68"/>
      <c r="X815" s="76">
        <f t="shared" si="62"/>
        <v>4639</v>
      </c>
      <c r="Y815" s="1" t="str">
        <f t="shared" si="63"/>
        <v>UNDYING|32</v>
      </c>
      <c r="Z815" s="19">
        <f>IF($C815="","",IF($G815="","",RANK($G815,$G$4:$G$1463)+COUNTIF($G$4:$G815,$G815)-1))</f>
        <v>182</v>
      </c>
      <c r="AA815" s="19">
        <f>IF($C815="","",IF($N815="","",RANK($N815,$N$4:$N$1463)+COUNTIF($N$4:$N815,$N815)-1))</f>
        <v>391</v>
      </c>
      <c r="AB815" s="1" t="str">
        <f>IF($C815="","",IF($E815="","",$E815&amp;"#"&amp;(COUNTIFS($E$4:$E$1463,$E815,$X$4:$X$1463,"&gt;"&amp;$X815)+COUNTIFS($E$4:$E815,$E815,$X$4:$X815,"="&amp;$X815))))</f>
        <v>DEMON HUNTER#76</v>
      </c>
      <c r="AC815" s="1" t="str">
        <f>IF($C815="","",$B815&amp;"@"&amp;(COUNTIFS($B$4:$B$1463,$B815,$C$4:$C$1463,"&lt;"&amp;$C815)+COUNTIFS($B$4:$B815,$B815,$C$4:$C815,$C815)))</f>
        <v>UNDYING@70</v>
      </c>
      <c r="AD815" s="1">
        <f t="shared" si="64"/>
        <v>812</v>
      </c>
      <c r="AE815" s="1" t="s">
        <v>998</v>
      </c>
      <c r="AF815" s="76">
        <f t="shared" si="65"/>
        <v>63530</v>
      </c>
      <c r="AG815" s="77">
        <f t="shared" si="66"/>
        <v>5.6</v>
      </c>
      <c r="AH815" s="1" t="str">
        <f>IF($C815="","",$B815&amp;"|"&amp;(COUNTIFS($B$4:$B$1463,$B815,$AF$4:$AF$1463,"&gt;"&amp;$AF815)+COUNTIFS($B$4:$B815,$B815,$AF$4:$AF815,"="&amp;$AF815)))</f>
        <v>UNDYING|9</v>
      </c>
      <c r="AI815" s="1" t="str">
        <f>IF($C815="","",$B815&amp;"|"&amp;(COUNTIFS($B$4:$B$1463,$B815,$AG$4:$AG$1463,"&gt;"&amp;$AG815)+COUNTIFS($B$4:$B815,$B815,$AG$4:$AG815,"="&amp;$AG815)))</f>
        <v>UNDYING|36</v>
      </c>
    </row>
    <row r="816" spans="1:35" hidden="1">
      <c r="A816" s="69" t="s">
        <v>106</v>
      </c>
      <c r="B816" s="69" t="s">
        <v>107</v>
      </c>
      <c r="C816" s="63" t="s">
        <v>1929</v>
      </c>
      <c r="D816" s="69"/>
      <c r="E816" s="68" t="s">
        <v>77</v>
      </c>
      <c r="F816" s="15" t="str">
        <f>IF($C816="","",IF($E816="","-",IFERROR(INDEX(SETUP!$B$55:$B$64,MATCH($E816,SETUP!$A$55:$A$64,0)),"Other")))</f>
        <v>Control</v>
      </c>
      <c r="G816" s="70">
        <v>61495</v>
      </c>
      <c r="H816" s="15" t="str">
        <f>IF($C816="","",IF($G816="","-",INDEX(SETUP!$B$26:$B$32,MATCH($G816,SETUP!$A$26:$A$32,1))))</f>
        <v>61,000 - 61,999</v>
      </c>
      <c r="I816" s="70">
        <v>2314</v>
      </c>
      <c r="J816" s="15" t="str">
        <f>IF($C816="","",IF($I816="","-",INDEX(SETUP!$B$16:$B$22,MATCH($I816,SETUP!$A$16:$A$22,1))))</f>
        <v>DEVELOPING</v>
      </c>
      <c r="K816" s="15" t="str">
        <f>IF($C816="","",IF($I816="","-",TEXT(INT($I816/1000)*1000,"#,##0")&amp;" - "&amp;TEXT(INT($I816/1000)*1000+999,"#,##0")))</f>
        <v>2,000 - 2,999</v>
      </c>
      <c r="L816" s="71">
        <v>3.5</v>
      </c>
      <c r="M816" s="15" t="str">
        <f>IF($C816="","",IF($L816="","-",INDEX(SETUP!$B$36:$B$42,MATCH($L816,SETUP!$A$36:$A$42,1))))</f>
        <v>3k - 4k</v>
      </c>
      <c r="N816" s="17">
        <f>IF($C816="","",IF(OR($G816="",$I816=""),"",ROUND(100*(SETUP!$B$4*MIN(1,$I816/SETUP!$B$9)+SETUP!$B$5*MAX(0,MIN(1,($G816-SETUP!$B$10)/(SETUP!$B$11-SETUP!$B$10)))+SETUP!$B$6*MIN(1,IF($L816="",0,$L816)/SETUP!$B$12)),1)))</f>
        <v>33</v>
      </c>
      <c r="O816" s="15" t="str">
        <f>IF($C816="","",IF($N816="","-",INDEX(SETUP!$B$46:$B$51,MATCH($N816,SETUP!$A$46:$A$51,1))))</f>
        <v>C</v>
      </c>
      <c r="P816" s="15">
        <f>IF($C816="","",IF($I816="","",RANK($I816,$I$4:$I$1463)+COUNTIF($I$4:$I816,$I816)-1))</f>
        <v>1038</v>
      </c>
      <c r="Q816" s="15">
        <f>IF($C816="","",COUNTIFS($B$4:$B$1463,$B816,$X$4:$X$1463,"&gt;"&amp;$X816)+COUNTIFS($B$4:$B816,$B816,$X$4:$X816,"="&amp;$X816))</f>
        <v>91</v>
      </c>
      <c r="R816" s="72">
        <f>IF($C816="","",IF($I816="","",ROUND(COUNTIF($I$4:$I$1463,"&lt;"&amp;$I816)/COUNT($I$4:$I$1463),3)))</f>
        <v>0.216</v>
      </c>
      <c r="S816" s="15" t="str">
        <f>IF($C816="","",IF($G816="","Name only",IF(OR($I816="",$L816=""),"Partial","Complete")))</f>
        <v>Complete</v>
      </c>
      <c r="T816" s="41" t="str">
        <f>IF($C816="","",TRIM(IF(COUNTIF($C$4:$C$1463,$C816)&gt;1,"Dup name; ","")&amp;IF(AND($G816&lt;&gt;"",$G816&lt;55000),"Low CR - verify; ","")&amp;IF(AND($L816&lt;&gt;"",$L816&gt;15),"Secondary - verify; ","")&amp;IF($E816="","No class; ","")))</f>
        <v/>
      </c>
      <c r="U816" s="68"/>
      <c r="V816" s="68"/>
      <c r="W816" s="68"/>
      <c r="X816" s="73">
        <f t="shared" si="62"/>
        <v>2314</v>
      </c>
      <c r="Y816" s="41" t="str">
        <f t="shared" si="63"/>
        <v>UNDYING|91</v>
      </c>
      <c r="Z816" s="15">
        <f>IF($C816="","",IF($G816="","",RANK($G816,$G$4:$G$1463)+COUNTIF($G$4:$G816,$G816)-1))</f>
        <v>1004</v>
      </c>
      <c r="AA816" s="15">
        <f>IF($C816="","",IF($N816="","",RANK($N816,$N$4:$N$1463)+COUNTIF($N$4:$N816,$N816)-1))</f>
        <v>1066</v>
      </c>
      <c r="AB816" s="41" t="str">
        <f>IF($C816="","",IF($E816="","",$E816&amp;"#"&amp;(COUNTIFS($E$4:$E$1463,$E816,$X$4:$X$1463,"&gt;"&amp;$X816)+COUNTIFS($E$4:$E816,$E816,$X$4:$X816,"="&amp;$X816))))</f>
        <v>NECROMANCER#66</v>
      </c>
      <c r="AC816" s="41" t="str">
        <f>IF($C816="","",$B816&amp;"@"&amp;(COUNTIFS($B$4:$B$1463,$B816,$C$4:$C$1463,"&lt;"&amp;$C816)+COUNTIFS($B$4:$B816,$B816,$C$4:$C816,$C816)))</f>
        <v>UNDYING@71</v>
      </c>
      <c r="AD816" s="41">
        <f t="shared" si="64"/>
        <v>813</v>
      </c>
      <c r="AE816" s="41" t="s">
        <v>1057</v>
      </c>
      <c r="AF816" s="73">
        <f t="shared" si="65"/>
        <v>61495</v>
      </c>
      <c r="AG816" s="74">
        <f t="shared" si="66"/>
        <v>3.5</v>
      </c>
      <c r="AH816" s="41" t="str">
        <f>IF($C816="","",$B816&amp;"|"&amp;(COUNTIFS($B$4:$B$1463,$B816,$AF$4:$AF$1463,"&gt;"&amp;$AF816)+COUNTIFS($B$4:$B816,$B816,$AF$4:$AF816,"="&amp;$AF816)))</f>
        <v>UNDYING|87</v>
      </c>
      <c r="AI816" s="41" t="str">
        <f>IF($C816="","",$B816&amp;"|"&amp;(COUNTIFS($B$4:$B$1463,$B816,$AG$4:$AG$1463,"&gt;"&amp;$AG816)+COUNTIFS($B$4:$B816,$B816,$AG$4:$AG816,"="&amp;$AG816)))</f>
        <v>UNDYING|91</v>
      </c>
    </row>
    <row r="817" spans="1:35" hidden="1">
      <c r="A817" s="69" t="s">
        <v>109</v>
      </c>
      <c r="B817" s="69" t="s">
        <v>116</v>
      </c>
      <c r="C817" s="63" t="s">
        <v>1930</v>
      </c>
      <c r="D817" s="69" t="s">
        <v>530</v>
      </c>
      <c r="E817" s="68" t="s">
        <v>72</v>
      </c>
      <c r="F817" s="19" t="str">
        <f>IF($C817="","",IF($E817="","-",IFERROR(INDEX(SETUP!$B$55:$B$64,MATCH($E817,SETUP!$A$55:$A$64,0)),"Other")))</f>
        <v>Frontline</v>
      </c>
      <c r="G817" s="70">
        <v>61738</v>
      </c>
      <c r="H817" s="19" t="str">
        <f>IF($C817="","",IF($G817="","-",INDEX(SETUP!$B$26:$B$32,MATCH($G817,SETUP!$A$26:$A$32,1))))</f>
        <v>61,000 - 61,999</v>
      </c>
      <c r="I817" s="70">
        <v>1855</v>
      </c>
      <c r="J817" s="19" t="str">
        <f>IF($C817="","",IF($I817="","-",INDEX(SETUP!$B$16:$B$22,MATCH($I817,SETUP!$A$16:$A$22,1))))</f>
        <v>ROOKIE</v>
      </c>
      <c r="K817" s="19" t="str">
        <f>IF($C817="","",IF($I817="","-",TEXT(INT($I817/1000)*1000,"#,##0")&amp;" - "&amp;TEXT(INT($I817/1000)*1000+999,"#,##0")))</f>
        <v>1,000 - 1,999</v>
      </c>
      <c r="L817" s="71">
        <v>3.7</v>
      </c>
      <c r="M817" s="19" t="str">
        <f>IF($C817="","",IF($L817="","-",INDEX(SETUP!$B$36:$B$42,MATCH($L817,SETUP!$A$36:$A$42,1))))</f>
        <v>3k - 4k</v>
      </c>
      <c r="N817" s="21">
        <f>IF($C817="","",IF(OR($G817="",$I817=""),"",ROUND(100*(SETUP!$B$4*MIN(1,$I817/SETUP!$B$9)+SETUP!$B$5*MAX(0,MIN(1,($G817-SETUP!$B$10)/(SETUP!$B$11-SETUP!$B$10)))+SETUP!$B$6*MIN(1,IF($L817="",0,$L817)/SETUP!$B$12)),1)))</f>
        <v>32</v>
      </c>
      <c r="O817" s="19" t="str">
        <f>IF($C817="","",IF($N817="","-",INDEX(SETUP!$B$46:$B$51,MATCH($N817,SETUP!$A$46:$A$51,1))))</f>
        <v>C</v>
      </c>
      <c r="P817" s="19">
        <f>IF($C817="","",IF($I817="","",RANK($I817,$I$4:$I$1463)+COUNTIF($I$4:$I817,$I817)-1))</f>
        <v>1138</v>
      </c>
      <c r="Q817" s="19">
        <f>IF($C817="","",COUNTIFS($B$4:$B$1463,$B817,$X$4:$X$1463,"&gt;"&amp;$X817)+COUNTIFS($B$4:$B817,$B817,$X$4:$X817,"="&amp;$X817))</f>
        <v>86</v>
      </c>
      <c r="R817" s="75">
        <f>IF($C817="","",IF($I817="","",ROUND(COUNTIF($I$4:$I$1463,"&lt;"&amp;$I817)/COUNT($I$4:$I$1463),3)))</f>
        <v>0.14099999999999999</v>
      </c>
      <c r="S817" s="19" t="str">
        <f>IF($C817="","",IF($G817="","Name only",IF(OR($I817="",$L817=""),"Partial","Complete")))</f>
        <v>Complete</v>
      </c>
      <c r="T817" s="1" t="str">
        <f>IF($C817="","",TRIM(IF(COUNTIF($C$4:$C$1463,$C817)&gt;1,"Dup name; ","")&amp;IF(AND($G817&lt;&gt;"",$G817&lt;55000),"Low CR - verify; ","")&amp;IF(AND($L817&lt;&gt;"",$L817&gt;15),"Secondary - verify; ","")&amp;IF($E817="","No class; ","")))</f>
        <v/>
      </c>
      <c r="U817" s="68"/>
      <c r="V817" s="68"/>
      <c r="W817" s="68"/>
      <c r="X817" s="76">
        <f t="shared" si="62"/>
        <v>1855</v>
      </c>
      <c r="Y817" s="1" t="str">
        <f t="shared" si="63"/>
        <v>VENGEANCE|86</v>
      </c>
      <c r="Z817" s="19">
        <f>IF($C817="","",IF($G817="","",RANK($G817,$G$4:$G$1463)+COUNTIF($G$4:$G817,$G817)-1))</f>
        <v>930</v>
      </c>
      <c r="AA817" s="19">
        <f>IF($C817="","",IF($N817="","",RANK($N817,$N$4:$N$1463)+COUNTIF($N$4:$N817,$N817)-1))</f>
        <v>1100</v>
      </c>
      <c r="AB817" s="1" t="str">
        <f>IF($C817="","",IF($E817="","",$E817&amp;"#"&amp;(COUNTIFS($E$4:$E$1463,$E817,$X$4:$X$1463,"&gt;"&amp;$X817)+COUNTIFS($E$4:$E817,$E817,$X$4:$X817,"="&amp;$X817))))</f>
        <v>BLOOD KNIGHT#78</v>
      </c>
      <c r="AC817" s="1" t="str">
        <f>IF($C817="","",$B817&amp;"@"&amp;(COUNTIFS($B$4:$B$1463,$B817,$C$4:$C$1463,"&lt;"&amp;$C817)+COUNTIFS($B$4:$B817,$B817,$C$4:$C817,$C817)))</f>
        <v>VENGEANCE@52</v>
      </c>
      <c r="AD817" s="1">
        <f t="shared" si="64"/>
        <v>814</v>
      </c>
      <c r="AE817" s="1" t="s">
        <v>1048</v>
      </c>
      <c r="AF817" s="76">
        <f t="shared" si="65"/>
        <v>61738</v>
      </c>
      <c r="AG817" s="77">
        <f t="shared" si="66"/>
        <v>3.7</v>
      </c>
      <c r="AH817" s="1" t="str">
        <f>IF($C817="","",$B817&amp;"|"&amp;(COUNTIFS($B$4:$B$1463,$B817,$AF$4:$AF$1463,"&gt;"&amp;$AF817)+COUNTIFS($B$4:$B817,$B817,$AF$4:$AF817,"="&amp;$AF817)))</f>
        <v>VENGEANCE|57</v>
      </c>
      <c r="AI817" s="1" t="str">
        <f>IF($C817="","",$B817&amp;"|"&amp;(COUNTIFS($B$4:$B$1463,$B817,$AG$4:$AG$1463,"&gt;"&amp;$AG817)+COUNTIFS($B$4:$B817,$B817,$AG$4:$AG817,"="&amp;$AG817)))</f>
        <v>VENGEANCE|74</v>
      </c>
    </row>
    <row r="818" spans="1:35" hidden="1">
      <c r="A818" s="69" t="s">
        <v>106</v>
      </c>
      <c r="B818" s="69" t="s">
        <v>86</v>
      </c>
      <c r="C818" s="63" t="s">
        <v>1931</v>
      </c>
      <c r="D818" s="69"/>
      <c r="E818" s="68" t="s">
        <v>71</v>
      </c>
      <c r="F818" s="15" t="str">
        <f>IF($C818="","",IF($E818="","-",IFERROR(INDEX(SETUP!$B$55:$B$64,MATCH($E818,SETUP!$A$55:$A$64,0)),"Other")))</f>
        <v>Frontline</v>
      </c>
      <c r="G818" s="70">
        <v>61605</v>
      </c>
      <c r="H818" s="15" t="str">
        <f>IF($C818="","",IF($G818="","-",INDEX(SETUP!$B$26:$B$32,MATCH($G818,SETUP!$A$26:$A$32,1))))</f>
        <v>61,000 - 61,999</v>
      </c>
      <c r="I818" s="70">
        <v>7932</v>
      </c>
      <c r="J818" s="15" t="str">
        <f>IF($C818="","",IF($I818="","-",INDEX(SETUP!$B$16:$B$22,MATCH($I818,SETUP!$A$16:$A$22,1))))</f>
        <v>VETERAN</v>
      </c>
      <c r="K818" s="15" t="str">
        <f>IF($C818="","",IF($I818="","-",TEXT(INT($I818/1000)*1000,"#,##0")&amp;" - "&amp;TEXT(INT($I818/1000)*1000+999,"#,##0")))</f>
        <v>7,000 - 7,999</v>
      </c>
      <c r="L818" s="71">
        <v>10.55</v>
      </c>
      <c r="M818" s="15" t="str">
        <f>IF($C818="","",IF($L818="","-",INDEX(SETUP!$B$36:$B$42,MATCH($L818,SETUP!$A$36:$A$42,1))))</f>
        <v>10k +</v>
      </c>
      <c r="N818" s="17">
        <f>IF($C818="","",IF(OR($G818="",$I818=""),"",ROUND(100*(SETUP!$B$4*MIN(1,$I818/SETUP!$B$9)+SETUP!$B$5*MAX(0,MIN(1,($G818-SETUP!$B$10)/(SETUP!$B$11-SETUP!$B$10)))+SETUP!$B$6*MIN(1,IF($L818="",0,$L818)/SETUP!$B$12)),1)))</f>
        <v>69.599999999999994</v>
      </c>
      <c r="O818" s="15" t="str">
        <f>IF($C818="","",IF($N818="","-",INDEX(SETUP!$B$46:$B$51,MATCH($N818,SETUP!$A$46:$A$51,1))))</f>
        <v>S</v>
      </c>
      <c r="P818" s="15">
        <f>IF($C818="","",IF($I818="","",RANK($I818,$I$4:$I$1463)+COUNTIF($I$4:$I818,$I818)-1))</f>
        <v>151</v>
      </c>
      <c r="Q818" s="15">
        <f>IF($C818="","",COUNTIFS($B$4:$B$1463,$B818,$X$4:$X$1463,"&gt;"&amp;$X818)+COUNTIFS($B$4:$B818,$B818,$X$4:$X818,"="&amp;$X818))</f>
        <v>34</v>
      </c>
      <c r="R818" s="72">
        <f>IF($C818="","",IF($I818="","",ROUND(COUNTIF($I$4:$I$1463,"&lt;"&amp;$I818)/COUNT($I$4:$I$1463),3)))</f>
        <v>0.88600000000000001</v>
      </c>
      <c r="S818" s="15" t="str">
        <f>IF($C818="","",IF($G818="","Name only",IF(OR($I818="",$L818=""),"Partial","Complete")))</f>
        <v>Complete</v>
      </c>
      <c r="T818" s="41" t="str">
        <f>IF($C818="","",TRIM(IF(COUNTIF($C$4:$C$1463,$C818)&gt;1,"Dup name; ","")&amp;IF(AND($G818&lt;&gt;"",$G818&lt;55000),"Low CR - verify; ","")&amp;IF(AND($L818&lt;&gt;"",$L818&gt;15),"Secondary - verify; ","")&amp;IF($E818="","No class; ","")))</f>
        <v/>
      </c>
      <c r="U818" s="68"/>
      <c r="V818" s="68"/>
      <c r="W818" s="68"/>
      <c r="X818" s="73">
        <f t="shared" si="62"/>
        <v>7932</v>
      </c>
      <c r="Y818" s="41" t="str">
        <f t="shared" si="63"/>
        <v>VANGUARD|34</v>
      </c>
      <c r="Z818" s="15">
        <f>IF($C818="","",IF($G818="","",RANK($G818,$G$4:$G$1463)+COUNTIF($G$4:$G818,$G818)-1))</f>
        <v>975</v>
      </c>
      <c r="AA818" s="15">
        <f>IF($C818="","",IF($N818="","",RANK($N818,$N$4:$N$1463)+COUNTIF($N$4:$N818,$N818)-1))</f>
        <v>132</v>
      </c>
      <c r="AB818" s="41" t="str">
        <f>IF($C818="","",IF($E818="","",$E818&amp;"#"&amp;(COUNTIFS($E$4:$E$1463,$E818,$X$4:$X$1463,"&gt;"&amp;$X818)+COUNTIFS($E$4:$E818,$E818,$X$4:$X818,"="&amp;$X818))))</f>
        <v>BARBARIAN#32</v>
      </c>
      <c r="AC818" s="41" t="str">
        <f>IF($C818="","",$B818&amp;"@"&amp;(COUNTIFS($B$4:$B$1463,$B818,$C$4:$C$1463,"&lt;"&amp;$C818)+COUNTIFS($B$4:$B818,$B818,$C$4:$C818,$C818)))</f>
        <v>VANGUARD@63</v>
      </c>
      <c r="AD818" s="41">
        <f t="shared" si="64"/>
        <v>815</v>
      </c>
      <c r="AE818" s="41" t="s">
        <v>1932</v>
      </c>
      <c r="AF818" s="73">
        <f t="shared" si="65"/>
        <v>61605</v>
      </c>
      <c r="AG818" s="74">
        <f t="shared" si="66"/>
        <v>10.55</v>
      </c>
      <c r="AH818" s="41" t="str">
        <f>IF($C818="","",$B818&amp;"|"&amp;(COUNTIFS($B$4:$B$1463,$B818,$AF$4:$AF$1463,"&gt;"&amp;$AF818)+COUNTIFS($B$4:$B818,$B818,$AF$4:$AF818,"="&amp;$AF818)))</f>
        <v>VANGUARD|90</v>
      </c>
      <c r="AI818" s="41" t="str">
        <f>IF($C818="","",$B818&amp;"|"&amp;(COUNTIFS($B$4:$B$1463,$B818,$AG$4:$AG$1463,"&gt;"&amp;$AG818)+COUNTIFS($B$4:$B818,$B818,$AG$4:$AG818,"="&amp;$AG818)))</f>
        <v>VANGUARD|2</v>
      </c>
    </row>
    <row r="819" spans="1:35" hidden="1">
      <c r="A819" s="69" t="s">
        <v>109</v>
      </c>
      <c r="B819" s="69" t="s">
        <v>115</v>
      </c>
      <c r="C819" s="63" t="s">
        <v>1933</v>
      </c>
      <c r="D819" s="69"/>
      <c r="E819" s="68" t="s">
        <v>74</v>
      </c>
      <c r="F819" s="19" t="str">
        <f>IF($C819="","",IF($E819="","-",IFERROR(INDEX(SETUP!$B$55:$B$64,MATCH($E819,SETUP!$A$55:$A$64,0)),"Other")))</f>
        <v>Ranged DPS</v>
      </c>
      <c r="G819" s="70">
        <v>61559</v>
      </c>
      <c r="H819" s="19" t="str">
        <f>IF($C819="","",IF($G819="","-",INDEX(SETUP!$B$26:$B$32,MATCH($G819,SETUP!$A$26:$A$32,1))))</f>
        <v>61,000 - 61,999</v>
      </c>
      <c r="I819" s="70">
        <v>1912</v>
      </c>
      <c r="J819" s="19" t="str">
        <f>IF($C819="","",IF($I819="","-",INDEX(SETUP!$B$16:$B$22,MATCH($I819,SETUP!$A$16:$A$22,1))))</f>
        <v>ROOKIE</v>
      </c>
      <c r="K819" s="19" t="str">
        <f>IF($C819="","",IF($I819="","-",TEXT(INT($I819/1000)*1000,"#,##0")&amp;" - "&amp;TEXT(INT($I819/1000)*1000+999,"#,##0")))</f>
        <v>1,000 - 1,999</v>
      </c>
      <c r="L819" s="71">
        <v>3.2</v>
      </c>
      <c r="M819" s="19" t="str">
        <f>IF($C819="","",IF($L819="","-",INDEX(SETUP!$B$36:$B$42,MATCH($L819,SETUP!$A$36:$A$42,1))))</f>
        <v>3k - 4k</v>
      </c>
      <c r="N819" s="21">
        <f>IF($C819="","",IF(OR($G819="",$I819=""),"",ROUND(100*(SETUP!$B$4*MIN(1,$I819/SETUP!$B$9)+SETUP!$B$5*MAX(0,MIN(1,($G819-SETUP!$B$10)/(SETUP!$B$11-SETUP!$B$10)))+SETUP!$B$6*MIN(1,IF($L819="",0,$L819)/SETUP!$B$12)),1)))</f>
        <v>30.9</v>
      </c>
      <c r="O819" s="19" t="str">
        <f>IF($C819="","",IF($N819="","-",INDEX(SETUP!$B$46:$B$51,MATCH($N819,SETUP!$A$46:$A$51,1))))</f>
        <v>C</v>
      </c>
      <c r="P819" s="19">
        <f>IF($C819="","",IF($I819="","",RANK($I819,$I$4:$I$1463)+COUNTIF($I$4:$I819,$I819)-1))</f>
        <v>1130</v>
      </c>
      <c r="Q819" s="19">
        <f>IF($C819="","",COUNTIFS($B$4:$B$1463,$B819,$X$4:$X$1463,"&gt;"&amp;$X819)+COUNTIFS($B$4:$B819,$B819,$X$4:$X819,"="&amp;$X819))</f>
        <v>47</v>
      </c>
      <c r="R819" s="75">
        <f>IF($C819="","",IF($I819="","",ROUND(COUNTIF($I$4:$I$1463,"&lt;"&amp;$I819)/COUNT($I$4:$I$1463),3)))</f>
        <v>0.14699999999999999</v>
      </c>
      <c r="S819" s="19" t="str">
        <f>IF($C819="","",IF($G819="","Name only",IF(OR($I819="",$L819=""),"Partial","Complete")))</f>
        <v>Complete</v>
      </c>
      <c r="T819" s="1" t="str">
        <f>IF($C819="","",TRIM(IF(COUNTIF($C$4:$C$1463,$C819)&gt;1,"Dup name; ","")&amp;IF(AND($G819&lt;&gt;"",$G819&lt;55000),"Low CR - verify; ","")&amp;IF(AND($L819&lt;&gt;"",$L819&gt;15),"Secondary - verify; ","")&amp;IF($E819="","No class; ","")))</f>
        <v/>
      </c>
      <c r="U819" s="68"/>
      <c r="V819" s="68"/>
      <c r="W819" s="68"/>
      <c r="X819" s="76">
        <f t="shared" si="62"/>
        <v>1912</v>
      </c>
      <c r="Y819" s="1" t="str">
        <f t="shared" si="63"/>
        <v>SUB ROSA|47</v>
      </c>
      <c r="Z819" s="19">
        <f>IF($C819="","",IF($G819="","",RANK($G819,$G$4:$G$1463)+COUNTIF($G$4:$G819,$G819)-1))</f>
        <v>986</v>
      </c>
      <c r="AA819" s="19">
        <f>IF($C819="","",IF($N819="","",RANK($N819,$N$4:$N$1463)+COUNTIF($N$4:$N819,$N819)-1))</f>
        <v>1124</v>
      </c>
      <c r="AB819" s="1" t="str">
        <f>IF($C819="","",IF($E819="","",$E819&amp;"#"&amp;(COUNTIFS($E$4:$E$1463,$E819,$X$4:$X$1463,"&gt;"&amp;$X819)+COUNTIFS($E$4:$E819,$E819,$X$4:$X819,"="&amp;$X819))))</f>
        <v>DEMON HUNTER#173</v>
      </c>
      <c r="AC819" s="1" t="str">
        <f>IF($C819="","",$B819&amp;"@"&amp;(COUNTIFS($B$4:$B$1463,$B819,$C$4:$C$1463,"&lt;"&amp;$C819)+COUNTIFS($B$4:$B819,$B819,$C$4:$C819,$C819)))</f>
        <v>SUB ROSA@51</v>
      </c>
      <c r="AD819" s="1">
        <f t="shared" si="64"/>
        <v>816</v>
      </c>
      <c r="AE819" s="1" t="s">
        <v>685</v>
      </c>
      <c r="AF819" s="76">
        <f t="shared" si="65"/>
        <v>61559</v>
      </c>
      <c r="AG819" s="77">
        <f t="shared" si="66"/>
        <v>3.2</v>
      </c>
      <c r="AH819" s="1" t="str">
        <f>IF($C819="","",$B819&amp;"|"&amp;(COUNTIFS($B$4:$B$1463,$B819,$AF$4:$AF$1463,"&gt;"&amp;$AF819)+COUNTIFS($B$4:$B819,$B819,$AF$4:$AF819,"="&amp;$AF819)))</f>
        <v>SUB ROSA|43</v>
      </c>
      <c r="AI819" s="1" t="str">
        <f>IF($C819="","",$B819&amp;"|"&amp;(COUNTIFS($B$4:$B$1463,$B819,$AG$4:$AG$1463,"&gt;"&amp;$AG819)+COUNTIFS($B$4:$B819,$B819,$AG$4:$AG819,"="&amp;$AG819)))</f>
        <v>SUB ROSA|51</v>
      </c>
    </row>
    <row r="820" spans="1:35" hidden="1">
      <c r="A820" s="69" t="s">
        <v>106</v>
      </c>
      <c r="B820" s="69" t="s">
        <v>86</v>
      </c>
      <c r="C820" s="63" t="s">
        <v>1934</v>
      </c>
      <c r="D820" s="69"/>
      <c r="E820" s="68" t="s">
        <v>79</v>
      </c>
      <c r="F820" s="15" t="str">
        <f>IF($C820="","",IF($E820="","-",IFERROR(INDEX(SETUP!$B$55:$B$64,MATCH($E820,SETUP!$A$55:$A$64,0)),"Other")))</f>
        <v>Control</v>
      </c>
      <c r="G820" s="70">
        <v>63182</v>
      </c>
      <c r="H820" s="15" t="str">
        <f>IF($C820="","",IF($G820="","-",INDEX(SETUP!$B$26:$B$32,MATCH($G820,SETUP!$A$26:$A$32,1))))</f>
        <v>63,000 - 63,999</v>
      </c>
      <c r="I820" s="70">
        <v>6494</v>
      </c>
      <c r="J820" s="15" t="str">
        <f>IF($C820="","",IF($I820="","-",INDEX(SETUP!$B$16:$B$22,MATCH($I820,SETUP!$A$16:$A$22,1))))</f>
        <v>VETERAN</v>
      </c>
      <c r="K820" s="15" t="str">
        <f>IF($C820="","",IF($I820="","-",TEXT(INT($I820/1000)*1000,"#,##0")&amp;" - "&amp;TEXT(INT($I820/1000)*1000+999,"#,##0")))</f>
        <v>6,000 - 6,999</v>
      </c>
      <c r="L820" s="71">
        <v>4.2</v>
      </c>
      <c r="M820" s="15" t="str">
        <f>IF($C820="","",IF($L820="","-",INDEX(SETUP!$B$36:$B$42,MATCH($L820,SETUP!$A$36:$A$42,1))))</f>
        <v>4k - 5k</v>
      </c>
      <c r="N820" s="17">
        <f>IF($C820="","",IF(OR($G820="",$I820=""),"",ROUND(100*(SETUP!$B$4*MIN(1,$I820/SETUP!$B$9)+SETUP!$B$5*MAX(0,MIN(1,($G820-SETUP!$B$10)/(SETUP!$B$11-SETUP!$B$10)))+SETUP!$B$6*MIN(1,IF($L820="",0,$L820)/SETUP!$B$12)),1)))</f>
        <v>56.9</v>
      </c>
      <c r="O820" s="15" t="str">
        <f>IF($C820="","",IF($N820="","-",INDEX(SETUP!$B$46:$B$51,MATCH($N820,SETUP!$A$46:$A$51,1))))</f>
        <v>A</v>
      </c>
      <c r="P820" s="15">
        <f>IF($C820="","",IF($I820="","",RANK($I820,$I$4:$I$1463)+COUNTIF($I$4:$I820,$I820)-1))</f>
        <v>248</v>
      </c>
      <c r="Q820" s="15">
        <f>IF($C820="","",COUNTIFS($B$4:$B$1463,$B820,$X$4:$X$1463,"&gt;"&amp;$X820)+COUNTIFS($B$4:$B820,$B820,$X$4:$X820,"="&amp;$X820))</f>
        <v>49</v>
      </c>
      <c r="R820" s="72">
        <f>IF($C820="","",IF($I820="","",ROUND(COUNTIF($I$4:$I$1463,"&lt;"&amp;$I820)/COUNT($I$4:$I$1463),3)))</f>
        <v>0.81299999999999994</v>
      </c>
      <c r="S820" s="15" t="str">
        <f>IF($C820="","",IF($G820="","Name only",IF(OR($I820="",$L820=""),"Partial","Complete")))</f>
        <v>Complete</v>
      </c>
      <c r="T820" s="41" t="str">
        <f>IF($C820="","",TRIM(IF(COUNTIF($C$4:$C$1463,$C820)&gt;1,"Dup name; ","")&amp;IF(AND($G820&lt;&gt;"",$G820&lt;55000),"Low CR - verify; ","")&amp;IF(AND($L820&lt;&gt;"",$L820&gt;15),"Secondary - verify; ","")&amp;IF($E820="","No class; ","")))</f>
        <v/>
      </c>
      <c r="U820" s="68"/>
      <c r="V820" s="68"/>
      <c r="W820" s="68"/>
      <c r="X820" s="73">
        <f t="shared" si="62"/>
        <v>6494</v>
      </c>
      <c r="Y820" s="41" t="str">
        <f t="shared" si="63"/>
        <v>VANGUARD|49</v>
      </c>
      <c r="Z820" s="15">
        <f>IF($C820="","",IF($G820="","",RANK($G820,$G$4:$G$1463)+COUNTIF($G$4:$G820,$G820)-1))</f>
        <v>327</v>
      </c>
      <c r="AA820" s="15">
        <f>IF($C820="","",IF($N820="","",RANK($N820,$N$4:$N$1463)+COUNTIF($N$4:$N820,$N820)-1))</f>
        <v>281</v>
      </c>
      <c r="AB820" s="41" t="str">
        <f>IF($C820="","",IF($E820="","",$E820&amp;"#"&amp;(COUNTIFS($E$4:$E$1463,$E820,$X$4:$X$1463,"&gt;"&amp;$X820)+COUNTIFS($E$4:$E820,$E820,$X$4:$X820,"="&amp;$X820))))</f>
        <v>WARLOCK#51</v>
      </c>
      <c r="AC820" s="41" t="str">
        <f>IF($C820="","",$B820&amp;"@"&amp;(COUNTIFS($B$4:$B$1463,$B820,$C$4:$C$1463,"&lt;"&amp;$C820)+COUNTIFS($B$4:$B820,$B820,$C$4:$C820,$C820)))</f>
        <v>VANGUARD@64</v>
      </c>
      <c r="AD820" s="41">
        <f t="shared" si="64"/>
        <v>817</v>
      </c>
      <c r="AE820" s="41" t="s">
        <v>646</v>
      </c>
      <c r="AF820" s="73">
        <f t="shared" si="65"/>
        <v>63182</v>
      </c>
      <c r="AG820" s="74">
        <f t="shared" si="66"/>
        <v>4.2</v>
      </c>
      <c r="AH820" s="41" t="str">
        <f>IF($C820="","",$B820&amp;"|"&amp;(COUNTIFS($B$4:$B$1463,$B820,$AF$4:$AF$1463,"&gt;"&amp;$AF820)+COUNTIFS($B$4:$B820,$B820,$AF$4:$AF820,"="&amp;$AF820)))</f>
        <v>VANGUARD|51</v>
      </c>
      <c r="AI820" s="41" t="str">
        <f>IF($C820="","",$B820&amp;"|"&amp;(COUNTIFS($B$4:$B$1463,$B820,$AG$4:$AG$1463,"&gt;"&amp;$AG820)+COUNTIFS($B$4:$B820,$B820,$AG$4:$AG820,"="&amp;$AG820)))</f>
        <v>VANGUARD|88</v>
      </c>
    </row>
    <row r="821" spans="1:35" hidden="1">
      <c r="A821" s="69" t="s">
        <v>109</v>
      </c>
      <c r="B821" s="69" t="s">
        <v>117</v>
      </c>
      <c r="C821" s="63" t="s">
        <v>1935</v>
      </c>
      <c r="D821" s="69"/>
      <c r="E821" s="68" t="s">
        <v>79</v>
      </c>
      <c r="F821" s="19" t="str">
        <f>IF($C821="","",IF($E821="","-",IFERROR(INDEX(SETUP!$B$55:$B$64,MATCH($E821,SETUP!$A$55:$A$64,0)),"Other")))</f>
        <v>Control</v>
      </c>
      <c r="G821" s="70">
        <v>60511</v>
      </c>
      <c r="H821" s="19" t="str">
        <f>IF($C821="","",IF($G821="","-",INDEX(SETUP!$B$26:$B$32,MATCH($G821,SETUP!$A$26:$A$32,1))))</f>
        <v>60,000 - 60,999</v>
      </c>
      <c r="I821" s="70">
        <v>2122</v>
      </c>
      <c r="J821" s="19" t="str">
        <f>IF($C821="","",IF($I821="","-",INDEX(SETUP!$B$16:$B$22,MATCH($I821,SETUP!$A$16:$A$22,1))))</f>
        <v>DEVELOPING</v>
      </c>
      <c r="K821" s="19" t="str">
        <f>IF($C821="","",IF($I821="","-",TEXT(INT($I821/1000)*1000,"#,##0")&amp;" - "&amp;TEXT(INT($I821/1000)*1000+999,"#,##0")))</f>
        <v>2,000 - 2,999</v>
      </c>
      <c r="L821" s="71">
        <v>3.1</v>
      </c>
      <c r="M821" s="19" t="str">
        <f>IF($C821="","",IF($L821="","-",INDEX(SETUP!$B$36:$B$42,MATCH($L821,SETUP!$A$36:$A$42,1))))</f>
        <v>3k - 4k</v>
      </c>
      <c r="N821" s="21">
        <f>IF($C821="","",IF(OR($G821="",$I821=""),"",ROUND(100*(SETUP!$B$4*MIN(1,$I821/SETUP!$B$9)+SETUP!$B$5*MAX(0,MIN(1,($G821-SETUP!$B$10)/(SETUP!$B$11-SETUP!$B$10)))+SETUP!$B$6*MIN(1,IF($L821="",0,$L821)/SETUP!$B$12)),1)))</f>
        <v>28.9</v>
      </c>
      <c r="O821" s="19" t="str">
        <f>IF($C821="","",IF($N821="","-",INDEX(SETUP!$B$46:$B$51,MATCH($N821,SETUP!$A$46:$A$51,1))))</f>
        <v>C</v>
      </c>
      <c r="P821" s="19">
        <f>IF($C821="","",IF($I821="","",RANK($I821,$I$4:$I$1463)+COUNTIF($I$4:$I821,$I821)-1))</f>
        <v>1082</v>
      </c>
      <c r="Q821" s="19">
        <f>IF($C821="","",COUNTIFS($B$4:$B$1463,$B821,$X$4:$X$1463,"&gt;"&amp;$X821)+COUNTIFS($B$4:$B821,$B821,$X$4:$X821,"="&amp;$X821))</f>
        <v>41</v>
      </c>
      <c r="R821" s="75">
        <f>IF($C821="","",IF($I821="","",ROUND(COUNTIF($I$4:$I$1463,"&lt;"&amp;$I821)/COUNT($I$4:$I$1463),3)))</f>
        <v>0.183</v>
      </c>
      <c r="S821" s="19" t="str">
        <f>IF($C821="","",IF($G821="","Name only",IF(OR($I821="",$L821=""),"Partial","Complete")))</f>
        <v>Complete</v>
      </c>
      <c r="T821" s="1" t="str">
        <f>IF($C821="","",TRIM(IF(COUNTIF($C$4:$C$1463,$C821)&gt;1,"Dup name; ","")&amp;IF(AND($G821&lt;&gt;"",$G821&lt;55000),"Low CR - verify; ","")&amp;IF(AND($L821&lt;&gt;"",$L821&gt;15),"Secondary - verify; ","")&amp;IF($E821="","No class; ","")))</f>
        <v/>
      </c>
      <c r="U821" s="68"/>
      <c r="V821" s="68"/>
      <c r="W821" s="68"/>
      <c r="X821" s="76">
        <f t="shared" si="62"/>
        <v>2122</v>
      </c>
      <c r="Y821" s="1" t="str">
        <f t="shared" si="63"/>
        <v>VENDETTA|41</v>
      </c>
      <c r="Z821" s="19">
        <f>IF($C821="","",IF($G821="","",RANK($G821,$G$4:$G$1463)+COUNTIF($G$4:$G821,$G821)-1))</f>
        <v>1205</v>
      </c>
      <c r="AA821" s="19">
        <f>IF($C821="","",IF($N821="","",RANK($N821,$N$4:$N$1463)+COUNTIF($N$4:$N821,$N821)-1))</f>
        <v>1171</v>
      </c>
      <c r="AB821" s="1" t="str">
        <f>IF($C821="","",IF($E821="","",$E821&amp;"#"&amp;(COUNTIFS($E$4:$E$1463,$E821,$X$4:$X$1463,"&gt;"&amp;$X821)+COUNTIFS($E$4:$E821,$E821,$X$4:$X821,"="&amp;$X821))))</f>
        <v>WARLOCK#270</v>
      </c>
      <c r="AC821" s="1" t="str">
        <f>IF($C821="","",$B821&amp;"@"&amp;(COUNTIFS($B$4:$B$1463,$B821,$C$4:$C$1463,"&lt;"&amp;$C821)+COUNTIFS($B$4:$B821,$B821,$C$4:$C821,$C821)))</f>
        <v>VENDETTA@61</v>
      </c>
      <c r="AD821" s="1">
        <f t="shared" si="64"/>
        <v>818</v>
      </c>
      <c r="AE821" s="1" t="s">
        <v>1936</v>
      </c>
      <c r="AF821" s="76">
        <f t="shared" si="65"/>
        <v>60511</v>
      </c>
      <c r="AG821" s="77">
        <f t="shared" si="66"/>
        <v>3.1</v>
      </c>
      <c r="AH821" s="1" t="str">
        <f>IF($C821="","",$B821&amp;"|"&amp;(COUNTIFS($B$4:$B$1463,$B821,$AF$4:$AF$1463,"&gt;"&amp;$AF821)+COUNTIFS($B$4:$B821,$B821,$AF$4:$AF821,"="&amp;$AF821)))</f>
        <v>VENDETTA|81</v>
      </c>
      <c r="AI821" s="1" t="str">
        <f>IF($C821="","",$B821&amp;"|"&amp;(COUNTIFS($B$4:$B$1463,$B821,$AG$4:$AG$1463,"&gt;"&amp;$AG821)+COUNTIFS($B$4:$B821,$B821,$AG$4:$AG821,"="&amp;$AG821)))</f>
        <v>VENDETTA|74</v>
      </c>
    </row>
    <row r="822" spans="1:35" hidden="1">
      <c r="A822" s="69" t="s">
        <v>109</v>
      </c>
      <c r="B822" s="69" t="s">
        <v>111</v>
      </c>
      <c r="C822" s="63" t="s">
        <v>1937</v>
      </c>
      <c r="D822" s="69" t="s">
        <v>527</v>
      </c>
      <c r="E822" s="68" t="s">
        <v>78</v>
      </c>
      <c r="F822" s="15" t="str">
        <f>IF($C822="","",IF($E822="","-",IFERROR(INDEX(SETUP!$B$55:$B$64,MATCH($E822,SETUP!$A$55:$A$64,0)),"Other")))</f>
        <v>Melee DPS</v>
      </c>
      <c r="G822" s="70">
        <v>63207</v>
      </c>
      <c r="H822" s="15" t="str">
        <f>IF($C822="","",IF($G822="","-",INDEX(SETUP!$B$26:$B$32,MATCH($G822,SETUP!$A$26:$A$32,1))))</f>
        <v>63,000 - 63,999</v>
      </c>
      <c r="I822" s="70">
        <v>4305</v>
      </c>
      <c r="J822" s="15" t="str">
        <f>IF($C822="","",IF($I822="","-",INDEX(SETUP!$B$16:$B$22,MATCH($I822,SETUP!$A$16:$A$22,1))))</f>
        <v>CORE</v>
      </c>
      <c r="K822" s="15" t="str">
        <f>IF($C822="","",IF($I822="","-",TEXT(INT($I822/1000)*1000,"#,##0")&amp;" - "&amp;TEXT(INT($I822/1000)*1000+999,"#,##0")))</f>
        <v>4,000 - 4,999</v>
      </c>
      <c r="L822" s="71">
        <v>5.45</v>
      </c>
      <c r="M822" s="15" t="str">
        <f>IF($C822="","",IF($L822="","-",INDEX(SETUP!$B$36:$B$42,MATCH($L822,SETUP!$A$36:$A$42,1))))</f>
        <v>5k - 6k</v>
      </c>
      <c r="N822" s="17">
        <f>IF($C822="","",IF(OR($G822="",$I822=""),"",ROUND(100*(SETUP!$B$4*MIN(1,$I822/SETUP!$B$9)+SETUP!$B$5*MAX(0,MIN(1,($G822-SETUP!$B$10)/(SETUP!$B$11-SETUP!$B$10)))+SETUP!$B$6*MIN(1,IF($L822="",0,$L822)/SETUP!$B$12)),1)))</f>
        <v>49.5</v>
      </c>
      <c r="O822" s="15" t="str">
        <f>IF($C822="","",IF($N822="","-",INDEX(SETUP!$B$46:$B$51,MATCH($N822,SETUP!$A$46:$A$51,1))))</f>
        <v>B</v>
      </c>
      <c r="P822" s="15">
        <f>IF($C822="","",IF($I822="","",RANK($I822,$I$4:$I$1463)+COUNTIF($I$4:$I822,$I822)-1))</f>
        <v>533</v>
      </c>
      <c r="Q822" s="15">
        <f>IF($C822="","",COUNTIFS($B$4:$B$1463,$B822,$X$4:$X$1463,"&gt;"&amp;$X822)+COUNTIFS($B$4:$B822,$B822,$X$4:$X822,"="&amp;$X822))</f>
        <v>55</v>
      </c>
      <c r="R822" s="72">
        <f>IF($C822="","",IF($I822="","",ROUND(COUNTIF($I$4:$I$1463,"&lt;"&amp;$I822)/COUNT($I$4:$I$1463),3)))</f>
        <v>0.59799999999999998</v>
      </c>
      <c r="S822" s="15" t="str">
        <f>IF($C822="","",IF($G822="","Name only",IF(OR($I822="",$L822=""),"Partial","Complete")))</f>
        <v>Complete</v>
      </c>
      <c r="T822" s="41" t="str">
        <f>IF($C822="","",TRIM(IF(COUNTIF($C$4:$C$1463,$C822)&gt;1,"Dup name; ","")&amp;IF(AND($G822&lt;&gt;"",$G822&lt;55000),"Low CR - verify; ","")&amp;IF(AND($L822&lt;&gt;"",$L822&gt;15),"Secondary - verify; ","")&amp;IF($E822="","No class; ","")))</f>
        <v/>
      </c>
      <c r="U822" s="68"/>
      <c r="V822" s="68"/>
      <c r="W822" s="68"/>
      <c r="X822" s="73">
        <f t="shared" si="62"/>
        <v>4305</v>
      </c>
      <c r="Y822" s="41" t="str">
        <f t="shared" si="63"/>
        <v>RECKONING|55</v>
      </c>
      <c r="Z822" s="15">
        <f>IF($C822="","",IF($G822="","",RANK($G822,$G$4:$G$1463)+COUNTIF($G$4:$G822,$G822)-1))</f>
        <v>314</v>
      </c>
      <c r="AA822" s="15">
        <f>IF($C822="","",IF($N822="","",RANK($N822,$N$4:$N$1463)+COUNTIF($N$4:$N822,$N822)-1))</f>
        <v>470</v>
      </c>
      <c r="AB822" s="41" t="str">
        <f>IF($C822="","",IF($E822="","",$E822&amp;"#"&amp;(COUNTIFS($E$4:$E$1463,$E822,$X$4:$X$1463,"&gt;"&amp;$X822)+COUNTIFS($E$4:$E822,$E822,$X$4:$X822,"="&amp;$X822))))</f>
        <v>TEMPEST#19</v>
      </c>
      <c r="AC822" s="41" t="str">
        <f>IF($C822="","",$B822&amp;"@"&amp;(COUNTIFS($B$4:$B$1463,$B822,$C$4:$C$1463,"&lt;"&amp;$C822)+COUNTIFS($B$4:$B822,$B822,$C$4:$C822,$C822)))</f>
        <v>RECKONING@59</v>
      </c>
      <c r="AD822" s="41">
        <f t="shared" si="64"/>
        <v>819</v>
      </c>
      <c r="AE822" s="41" t="s">
        <v>1938</v>
      </c>
      <c r="AF822" s="73">
        <f t="shared" si="65"/>
        <v>63207</v>
      </c>
      <c r="AG822" s="74">
        <f t="shared" si="66"/>
        <v>5.45</v>
      </c>
      <c r="AH822" s="41" t="str">
        <f>IF($C822="","",$B822&amp;"|"&amp;(COUNTIFS($B$4:$B$1463,$B822,$AF$4:$AF$1463,"&gt;"&amp;$AF822)+COUNTIFS($B$4:$B822,$B822,$AF$4:$AF822,"="&amp;$AF822)))</f>
        <v>RECKONING|33</v>
      </c>
      <c r="AI822" s="41" t="str">
        <f>IF($C822="","",$B822&amp;"|"&amp;(COUNTIFS($B$4:$B$1463,$B822,$AG$4:$AG$1463,"&gt;"&amp;$AG822)+COUNTIFS($B$4:$B822,$B822,$AG$4:$AG822,"="&amp;$AG822)))</f>
        <v>RECKONING|49</v>
      </c>
    </row>
    <row r="823" spans="1:35" hidden="1">
      <c r="A823" s="69" t="s">
        <v>109</v>
      </c>
      <c r="B823" s="69" t="s">
        <v>117</v>
      </c>
      <c r="C823" s="63" t="s">
        <v>1939</v>
      </c>
      <c r="D823" s="69"/>
      <c r="E823" s="68" t="s">
        <v>79</v>
      </c>
      <c r="F823" s="19" t="str">
        <f>IF($C823="","",IF($E823="","-",IFERROR(INDEX(SETUP!$B$55:$B$64,MATCH($E823,SETUP!$A$55:$A$64,0)),"Other")))</f>
        <v>Control</v>
      </c>
      <c r="G823" s="70">
        <v>61194</v>
      </c>
      <c r="H823" s="19" t="str">
        <f>IF($C823="","",IF($G823="","-",INDEX(SETUP!$B$26:$B$32,MATCH($G823,SETUP!$A$26:$A$32,1))))</f>
        <v>61,000 - 61,999</v>
      </c>
      <c r="I823" s="70">
        <v>2257</v>
      </c>
      <c r="J823" s="19" t="str">
        <f>IF($C823="","",IF($I823="","-",INDEX(SETUP!$B$16:$B$22,MATCH($I823,SETUP!$A$16:$A$22,1))))</f>
        <v>DEVELOPING</v>
      </c>
      <c r="K823" s="19" t="str">
        <f>IF($C823="","",IF($I823="","-",TEXT(INT($I823/1000)*1000,"#,##0")&amp;" - "&amp;TEXT(INT($I823/1000)*1000+999,"#,##0")))</f>
        <v>2,000 - 2,999</v>
      </c>
      <c r="L823" s="71">
        <v>2.93</v>
      </c>
      <c r="M823" s="19" t="str">
        <f>IF($C823="","",IF($L823="","-",INDEX(SETUP!$B$36:$B$42,MATCH($L823,SETUP!$A$36:$A$42,1))))</f>
        <v>Under 3k</v>
      </c>
      <c r="N823" s="21">
        <f>IF($C823="","",IF(OR($G823="",$I823=""),"",ROUND(100*(SETUP!$B$4*MIN(1,$I823/SETUP!$B$9)+SETUP!$B$5*MAX(0,MIN(1,($G823-SETUP!$B$10)/(SETUP!$B$11-SETUP!$B$10)))+SETUP!$B$6*MIN(1,IF($L823="",0,$L823)/SETUP!$B$12)),1)))</f>
        <v>31</v>
      </c>
      <c r="O823" s="19" t="str">
        <f>IF($C823="","",IF($N823="","-",INDEX(SETUP!$B$46:$B$51,MATCH($N823,SETUP!$A$46:$A$51,1))))</f>
        <v>C</v>
      </c>
      <c r="P823" s="19">
        <f>IF($C823="","",IF($I823="","",RANK($I823,$I$4:$I$1463)+COUNTIF($I$4:$I823,$I823)-1))</f>
        <v>1056</v>
      </c>
      <c r="Q823" s="19">
        <f>IF($C823="","",COUNTIFS($B$4:$B$1463,$B823,$X$4:$X$1463,"&gt;"&amp;$X823)+COUNTIFS($B$4:$B823,$B823,$X$4:$X823,"="&amp;$X823))</f>
        <v>38</v>
      </c>
      <c r="R823" s="75">
        <f>IF($C823="","",IF($I823="","",ROUND(COUNTIF($I$4:$I$1463,"&lt;"&amp;$I823)/COUNT($I$4:$I$1463),3)))</f>
        <v>0.20300000000000001</v>
      </c>
      <c r="S823" s="19" t="str">
        <f>IF($C823="","",IF($G823="","Name only",IF(OR($I823="",$L823=""),"Partial","Complete")))</f>
        <v>Complete</v>
      </c>
      <c r="T823" s="1" t="str">
        <f>IF($C823="","",TRIM(IF(COUNTIF($C$4:$C$1463,$C823)&gt;1,"Dup name; ","")&amp;IF(AND($G823&lt;&gt;"",$G823&lt;55000),"Low CR - verify; ","")&amp;IF(AND($L823&lt;&gt;"",$L823&gt;15),"Secondary - verify; ","")&amp;IF($E823="","No class; ","")))</f>
        <v/>
      </c>
      <c r="U823" s="68"/>
      <c r="V823" s="68"/>
      <c r="W823" s="68"/>
      <c r="X823" s="76">
        <f t="shared" si="62"/>
        <v>2257</v>
      </c>
      <c r="Y823" s="1" t="str">
        <f t="shared" si="63"/>
        <v>VENDETTA|38</v>
      </c>
      <c r="Z823" s="19">
        <f>IF($C823="","",IF($G823="","",RANK($G823,$G$4:$G$1463)+COUNTIF($G$4:$G823,$G823)-1))</f>
        <v>1092</v>
      </c>
      <c r="AA823" s="19">
        <f>IF($C823="","",IF($N823="","",RANK($N823,$N$4:$N$1463)+COUNTIF($N$4:$N823,$N823)-1))</f>
        <v>1122</v>
      </c>
      <c r="AB823" s="1" t="str">
        <f>IF($C823="","",IF($E823="","",$E823&amp;"#"&amp;(COUNTIFS($E$4:$E$1463,$E823,$X$4:$X$1463,"&gt;"&amp;$X823)+COUNTIFS($E$4:$E823,$E823,$X$4:$X823,"="&amp;$X823))))</f>
        <v>WARLOCK#264</v>
      </c>
      <c r="AC823" s="1" t="str">
        <f>IF($C823="","",$B823&amp;"@"&amp;(COUNTIFS($B$4:$B$1463,$B823,$C$4:$C$1463,"&lt;"&amp;$C823)+COUNTIFS($B$4:$B823,$B823,$C$4:$C823,$C823)))</f>
        <v>VENDETTA@62</v>
      </c>
      <c r="AD823" s="1">
        <f t="shared" si="64"/>
        <v>820</v>
      </c>
      <c r="AE823" s="1" t="s">
        <v>1940</v>
      </c>
      <c r="AF823" s="76">
        <f t="shared" si="65"/>
        <v>61194</v>
      </c>
      <c r="AG823" s="77">
        <f t="shared" si="66"/>
        <v>2.93</v>
      </c>
      <c r="AH823" s="1" t="str">
        <f>IF($C823="","",$B823&amp;"|"&amp;(COUNTIFS($B$4:$B$1463,$B823,$AF$4:$AF$1463,"&gt;"&amp;$AF823)+COUNTIFS($B$4:$B823,$B823,$AF$4:$AF823,"="&amp;$AF823)))</f>
        <v>VENDETTA|57</v>
      </c>
      <c r="AI823" s="1" t="str">
        <f>IF($C823="","",$B823&amp;"|"&amp;(COUNTIFS($B$4:$B$1463,$B823,$AG$4:$AG$1463,"&gt;"&amp;$AG823)+COUNTIFS($B$4:$B823,$B823,$AG$4:$AG823,"="&amp;$AG823)))</f>
        <v>VENDETTA|84</v>
      </c>
    </row>
    <row r="824" spans="1:35" hidden="1">
      <c r="A824" s="69" t="s">
        <v>109</v>
      </c>
      <c r="B824" s="69" t="s">
        <v>115</v>
      </c>
      <c r="C824" s="63" t="s">
        <v>1941</v>
      </c>
      <c r="D824" s="69"/>
      <c r="E824" s="68" t="s">
        <v>79</v>
      </c>
      <c r="F824" s="15" t="str">
        <f>IF($C824="","",IF($E824="","-",IFERROR(INDEX(SETUP!$B$55:$B$64,MATCH($E824,SETUP!$A$55:$A$64,0)),"Other")))</f>
        <v>Control</v>
      </c>
      <c r="G824" s="70">
        <v>63013</v>
      </c>
      <c r="H824" s="15" t="str">
        <f>IF($C824="","",IF($G824="","-",INDEX(SETUP!$B$26:$B$32,MATCH($G824,SETUP!$A$26:$A$32,1))))</f>
        <v>63,000 - 63,999</v>
      </c>
      <c r="I824" s="70">
        <v>3648</v>
      </c>
      <c r="J824" s="15" t="str">
        <f>IF($C824="","",IF($I824="","-",INDEX(SETUP!$B$16:$B$22,MATCH($I824,SETUP!$A$16:$A$22,1))))</f>
        <v>DEVELOPING</v>
      </c>
      <c r="K824" s="15" t="str">
        <f>IF($C824="","",IF($I824="","-",TEXT(INT($I824/1000)*1000,"#,##0")&amp;" - "&amp;TEXT(INT($I824/1000)*1000+999,"#,##0")))</f>
        <v>3,000 - 3,999</v>
      </c>
      <c r="L824" s="71">
        <v>3.3</v>
      </c>
      <c r="M824" s="15" t="str">
        <f>IF($C824="","",IF($L824="","-",INDEX(SETUP!$B$36:$B$42,MATCH($L824,SETUP!$A$36:$A$42,1))))</f>
        <v>3k - 4k</v>
      </c>
      <c r="N824" s="17">
        <f>IF($C824="","",IF(OR($G824="",$I824=""),"",ROUND(100*(SETUP!$B$4*MIN(1,$I824/SETUP!$B$9)+SETUP!$B$5*MAX(0,MIN(1,($G824-SETUP!$B$10)/(SETUP!$B$11-SETUP!$B$10)))+SETUP!$B$6*MIN(1,IF($L824="",0,$L824)/SETUP!$B$12)),1)))</f>
        <v>42.5</v>
      </c>
      <c r="O824" s="15" t="str">
        <f>IF($C824="","",IF($N824="","-",INDEX(SETUP!$B$46:$B$51,MATCH($N824,SETUP!$A$46:$A$51,1))))</f>
        <v>B</v>
      </c>
      <c r="P824" s="15">
        <f>IF($C824="","",IF($I824="","",RANK($I824,$I$4:$I$1463)+COUNTIF($I$4:$I824,$I824)-1))</f>
        <v>690</v>
      </c>
      <c r="Q824" s="15">
        <f>IF($C824="","",COUNTIFS($B$4:$B$1463,$B824,$X$4:$X$1463,"&gt;"&amp;$X824)+COUNTIFS($B$4:$B824,$B824,$X$4:$X824,"="&amp;$X824))</f>
        <v>18</v>
      </c>
      <c r="R824" s="72">
        <f>IF($C824="","",IF($I824="","",ROUND(COUNTIF($I$4:$I$1463,"&lt;"&amp;$I824)/COUNT($I$4:$I$1463),3)))</f>
        <v>0.47899999999999998</v>
      </c>
      <c r="S824" s="15" t="str">
        <f>IF($C824="","",IF($G824="","Name only",IF(OR($I824="",$L824=""),"Partial","Complete")))</f>
        <v>Complete</v>
      </c>
      <c r="T824" s="41" t="str">
        <f>IF($C824="","",TRIM(IF(COUNTIF($C$4:$C$1463,$C824)&gt;1,"Dup name; ","")&amp;IF(AND($G824&lt;&gt;"",$G824&lt;55000),"Low CR - verify; ","")&amp;IF(AND($L824&lt;&gt;"",$L824&gt;15),"Secondary - verify; ","")&amp;IF($E824="","No class; ","")))</f>
        <v/>
      </c>
      <c r="U824" s="68"/>
      <c r="V824" s="68"/>
      <c r="W824" s="68"/>
      <c r="X824" s="73">
        <f t="shared" si="62"/>
        <v>3648</v>
      </c>
      <c r="Y824" s="41" t="str">
        <f t="shared" si="63"/>
        <v>SUB ROSA|18</v>
      </c>
      <c r="Z824" s="15">
        <f>IF($C824="","",IF($G824="","",RANK($G824,$G$4:$G$1463)+COUNTIF($G$4:$G824,$G824)-1))</f>
        <v>422</v>
      </c>
      <c r="AA824" s="15">
        <f>IF($C824="","",IF($N824="","",RANK($N824,$N$4:$N$1463)+COUNTIF($N$4:$N824,$N824)-1))</f>
        <v>728</v>
      </c>
      <c r="AB824" s="41" t="str">
        <f>IF($C824="","",IF($E824="","",$E824&amp;"#"&amp;(COUNTIFS($E$4:$E$1463,$E824,$X$4:$X$1463,"&gt;"&amp;$X824)+COUNTIFS($E$4:$E824,$E824,$X$4:$X824,"="&amp;$X824))))</f>
        <v>WARLOCK#169</v>
      </c>
      <c r="AC824" s="41" t="str">
        <f>IF($C824="","",$B824&amp;"@"&amp;(COUNTIFS($B$4:$B$1463,$B824,$C$4:$C$1463,"&lt;"&amp;$C824)+COUNTIFS($B$4:$B824,$B824,$C$4:$C824,$C824)))</f>
        <v>SUB ROSA@52</v>
      </c>
      <c r="AD824" s="41">
        <f t="shared" si="64"/>
        <v>821</v>
      </c>
      <c r="AE824" s="41" t="s">
        <v>858</v>
      </c>
      <c r="AF824" s="73">
        <f t="shared" si="65"/>
        <v>63013</v>
      </c>
      <c r="AG824" s="74">
        <f t="shared" si="66"/>
        <v>3.3</v>
      </c>
      <c r="AH824" s="41" t="str">
        <f>IF($C824="","",$B824&amp;"|"&amp;(COUNTIFS($B$4:$B$1463,$B824,$AF$4:$AF$1463,"&gt;"&amp;$AF824)+COUNTIFS($B$4:$B824,$B824,$AF$4:$AF824,"="&amp;$AF824)))</f>
        <v>SUB ROSA|11</v>
      </c>
      <c r="AI824" s="41" t="str">
        <f>IF($C824="","",$B824&amp;"|"&amp;(COUNTIFS($B$4:$B$1463,$B824,$AG$4:$AG$1463,"&gt;"&amp;$AG824)+COUNTIFS($B$4:$B824,$B824,$AG$4:$AG824,"="&amp;$AG824)))</f>
        <v>SUB ROSA|47</v>
      </c>
    </row>
    <row r="825" spans="1:35" hidden="1">
      <c r="A825" s="69" t="s">
        <v>109</v>
      </c>
      <c r="B825" s="69" t="s">
        <v>116</v>
      </c>
      <c r="C825" s="63" t="s">
        <v>1942</v>
      </c>
      <c r="D825" s="69" t="s">
        <v>530</v>
      </c>
      <c r="E825" s="68" t="s">
        <v>72</v>
      </c>
      <c r="F825" s="19" t="str">
        <f>IF($C825="","",IF($E825="","-",IFERROR(INDEX(SETUP!$B$55:$B$64,MATCH($E825,SETUP!$A$55:$A$64,0)),"Other")))</f>
        <v>Frontline</v>
      </c>
      <c r="G825" s="70">
        <v>63184</v>
      </c>
      <c r="H825" s="19" t="str">
        <f>IF($C825="","",IF($G825="","-",INDEX(SETUP!$B$26:$B$32,MATCH($G825,SETUP!$A$26:$A$32,1))))</f>
        <v>63,000 - 63,999</v>
      </c>
      <c r="I825" s="70">
        <v>3104</v>
      </c>
      <c r="J825" s="19" t="str">
        <f>IF($C825="","",IF($I825="","-",INDEX(SETUP!$B$16:$B$22,MATCH($I825,SETUP!$A$16:$A$22,1))))</f>
        <v>DEVELOPING</v>
      </c>
      <c r="K825" s="19" t="str">
        <f>IF($C825="","",IF($I825="","-",TEXT(INT($I825/1000)*1000,"#,##0")&amp;" - "&amp;TEXT(INT($I825/1000)*1000+999,"#,##0")))</f>
        <v>3,000 - 3,999</v>
      </c>
      <c r="L825" s="71">
        <v>5.2</v>
      </c>
      <c r="M825" s="19" t="str">
        <f>IF($C825="","",IF($L825="","-",INDEX(SETUP!$B$36:$B$42,MATCH($L825,SETUP!$A$36:$A$42,1))))</f>
        <v>5k - 6k</v>
      </c>
      <c r="N825" s="21">
        <f>IF($C825="","",IF(OR($G825="",$I825=""),"",ROUND(100*(SETUP!$B$4*MIN(1,$I825/SETUP!$B$9)+SETUP!$B$5*MAX(0,MIN(1,($G825-SETUP!$B$10)/(SETUP!$B$11-SETUP!$B$10)))+SETUP!$B$6*MIN(1,IF($L825="",0,$L825)/SETUP!$B$12)),1)))</f>
        <v>43.8</v>
      </c>
      <c r="O825" s="19" t="str">
        <f>IF($C825="","",IF($N825="","-",INDEX(SETUP!$B$46:$B$51,MATCH($N825,SETUP!$A$46:$A$51,1))))</f>
        <v>B</v>
      </c>
      <c r="P825" s="19">
        <f>IF($C825="","",IF($I825="","",RANK($I825,$I$4:$I$1463)+COUNTIF($I$4:$I825,$I825)-1))</f>
        <v>852</v>
      </c>
      <c r="Q825" s="19">
        <f>IF($C825="","",COUNTIFS($B$4:$B$1463,$B825,$X$4:$X$1463,"&gt;"&amp;$X825)+COUNTIFS($B$4:$B825,$B825,$X$4:$X825,"="&amp;$X825))</f>
        <v>56</v>
      </c>
      <c r="R825" s="75">
        <f>IF($C825="","",IF($I825="","",ROUND(COUNTIF($I$4:$I$1463,"&lt;"&amp;$I825)/COUNT($I$4:$I$1463),3)))</f>
        <v>0.35699999999999998</v>
      </c>
      <c r="S825" s="19" t="str">
        <f>IF($C825="","",IF($G825="","Name only",IF(OR($I825="",$L825=""),"Partial","Complete")))</f>
        <v>Complete</v>
      </c>
      <c r="T825" s="1" t="str">
        <f>IF($C825="","",TRIM(IF(COUNTIF($C$4:$C$1463,$C825)&gt;1,"Dup name; ","")&amp;IF(AND($G825&lt;&gt;"",$G825&lt;55000),"Low CR - verify; ","")&amp;IF(AND($L825&lt;&gt;"",$L825&gt;15),"Secondary - verify; ","")&amp;IF($E825="","No class; ","")))</f>
        <v/>
      </c>
      <c r="U825" s="68"/>
      <c r="V825" s="68"/>
      <c r="W825" s="68"/>
      <c r="X825" s="76">
        <f t="shared" si="62"/>
        <v>3104</v>
      </c>
      <c r="Y825" s="1" t="str">
        <f t="shared" si="63"/>
        <v>VENGEANCE|56</v>
      </c>
      <c r="Z825" s="19">
        <f>IF($C825="","",IF($G825="","",RANK($G825,$G$4:$G$1463)+COUNTIF($G$4:$G825,$G825)-1))</f>
        <v>325</v>
      </c>
      <c r="AA825" s="19">
        <f>IF($C825="","",IF($N825="","",RANK($N825,$N$4:$N$1463)+COUNTIF($N$4:$N825,$N825)-1))</f>
        <v>674</v>
      </c>
      <c r="AB825" s="1" t="str">
        <f>IF($C825="","",IF($E825="","",$E825&amp;"#"&amp;(COUNTIFS($E$4:$E$1463,$E825,$X$4:$X$1463,"&gt;"&amp;$X825)+COUNTIFS($E$4:$E825,$E825,$X$4:$X825,"="&amp;$X825))))</f>
        <v>BLOOD KNIGHT#59</v>
      </c>
      <c r="AC825" s="1" t="str">
        <f>IF($C825="","",$B825&amp;"@"&amp;(COUNTIFS($B$4:$B$1463,$B825,$C$4:$C$1463,"&lt;"&amp;$C825)+COUNTIFS($B$4:$B825,$B825,$C$4:$C825,$C825)))</f>
        <v>VENGEANCE@53</v>
      </c>
      <c r="AD825" s="1">
        <f t="shared" si="64"/>
        <v>822</v>
      </c>
      <c r="AE825" s="1" t="s">
        <v>1060</v>
      </c>
      <c r="AF825" s="76">
        <f t="shared" si="65"/>
        <v>63184</v>
      </c>
      <c r="AG825" s="77">
        <f t="shared" si="66"/>
        <v>5.2</v>
      </c>
      <c r="AH825" s="1" t="str">
        <f>IF($C825="","",$B825&amp;"|"&amp;(COUNTIFS($B$4:$B$1463,$B825,$AF$4:$AF$1463,"&gt;"&amp;$AF825)+COUNTIFS($B$4:$B825,$B825,$AF$4:$AF825,"="&amp;$AF825)))</f>
        <v>VENGEANCE|14</v>
      </c>
      <c r="AI825" s="1" t="str">
        <f>IF($C825="","",$B825&amp;"|"&amp;(COUNTIFS($B$4:$B$1463,$B825,$AG$4:$AG$1463,"&gt;"&amp;$AG825)+COUNTIFS($B$4:$B825,$B825,$AG$4:$AG825,"="&amp;$AG825)))</f>
        <v>VENGEANCE|25</v>
      </c>
    </row>
    <row r="826" spans="1:35" hidden="1">
      <c r="A826" s="69" t="s">
        <v>109</v>
      </c>
      <c r="B826" s="69" t="s">
        <v>114</v>
      </c>
      <c r="C826" s="63" t="s">
        <v>1943</v>
      </c>
      <c r="D826" s="69"/>
      <c r="E826" s="68" t="s">
        <v>75</v>
      </c>
      <c r="F826" s="15" t="str">
        <f>IF($C826="","",IF($E826="","-",IFERROR(INDEX(SETUP!$B$55:$B$64,MATCH($E826,SETUP!$A$55:$A$64,0)),"Other")))</f>
        <v>Support</v>
      </c>
      <c r="G826" s="70">
        <v>53972</v>
      </c>
      <c r="H826" s="15" t="str">
        <f>IF($C826="","",IF($G826="","-",INDEX(SETUP!$B$26:$B$32,MATCH($G826,SETUP!$A$26:$A$32,1))))</f>
        <v>Under 58,000</v>
      </c>
      <c r="I826" s="70">
        <v>1591</v>
      </c>
      <c r="J826" s="15" t="str">
        <f>IF($C826="","",IF($I826="","-",INDEX(SETUP!$B$16:$B$22,MATCH($I826,SETUP!$A$16:$A$22,1))))</f>
        <v>ROOKIE</v>
      </c>
      <c r="K826" s="15" t="str">
        <f>IF($C826="","",IF($I826="","-",TEXT(INT($I826/1000)*1000,"#,##0")&amp;" - "&amp;TEXT(INT($I826/1000)*1000+999,"#,##0")))</f>
        <v>1,000 - 1,999</v>
      </c>
      <c r="L826" s="71">
        <v>4.3499999999999996</v>
      </c>
      <c r="M826" s="15" t="str">
        <f>IF($C826="","",IF($L826="","-",INDEX(SETUP!$B$36:$B$42,MATCH($L826,SETUP!$A$36:$A$42,1))))</f>
        <v>4k - 5k</v>
      </c>
      <c r="N826" s="17">
        <f>IF($C826="","",IF(OR($G826="",$I826=""),"",ROUND(100*(SETUP!$B$4*MIN(1,$I826/SETUP!$B$9)+SETUP!$B$5*MAX(0,MIN(1,($G826-SETUP!$B$10)/(SETUP!$B$11-SETUP!$B$10)))+SETUP!$B$6*MIN(1,IF($L826="",0,$L826)/SETUP!$B$12)),1)))</f>
        <v>14.2</v>
      </c>
      <c r="O826" s="15" t="str">
        <f>IF($C826="","",IF($N826="","-",INDEX(SETUP!$B$46:$B$51,MATCH($N826,SETUP!$A$46:$A$51,1))))</f>
        <v>D</v>
      </c>
      <c r="P826" s="15">
        <f>IF($C826="","",IF($I826="","",RANK($I826,$I$4:$I$1463)+COUNTIF($I$4:$I826,$I826)-1))</f>
        <v>1176</v>
      </c>
      <c r="Q826" s="15">
        <f>IF($C826="","",COUNTIFS($B$4:$B$1463,$B826,$X$4:$X$1463,"&gt;"&amp;$X826)+COUNTIFS($B$4:$B826,$B826,$X$4:$X826,"="&amp;$X826))</f>
        <v>67</v>
      </c>
      <c r="R826" s="72">
        <f>IF($C826="","",IF($I826="","",ROUND(COUNTIF($I$4:$I$1463,"&lt;"&amp;$I826)/COUNT($I$4:$I$1463),3)))</f>
        <v>0.112</v>
      </c>
      <c r="S826" s="15" t="str">
        <f>IF($C826="","",IF($G826="","Name only",IF(OR($I826="",$L826=""),"Partial","Complete")))</f>
        <v>Complete</v>
      </c>
      <c r="T826" s="41" t="str">
        <f>IF($C826="","",TRIM(IF(COUNTIF($C$4:$C$1463,$C826)&gt;1,"Dup name; ","")&amp;IF(AND($G826&lt;&gt;"",$G826&lt;55000),"Low CR - verify; ","")&amp;IF(AND($L826&lt;&gt;"",$L826&gt;15),"Secondary - verify; ","")&amp;IF($E826="","No class; ","")))</f>
        <v>Low CR - verify;</v>
      </c>
      <c r="U826" s="68"/>
      <c r="V826" s="68"/>
      <c r="W826" s="68"/>
      <c r="X826" s="73">
        <f t="shared" si="62"/>
        <v>1591</v>
      </c>
      <c r="Y826" s="41" t="str">
        <f t="shared" si="63"/>
        <v>EMERALD LEAF TRIBE|67</v>
      </c>
      <c r="Z826" s="15">
        <f>IF($C826="","",IF($G826="","",RANK($G826,$G$4:$G$1463)+COUNTIF($G$4:$G826,$G826)-1))</f>
        <v>1322</v>
      </c>
      <c r="AA826" s="15">
        <f>IF($C826="","",IF($N826="","",RANK($N826,$N$4:$N$1463)+COUNTIF($N$4:$N826,$N826)-1))</f>
        <v>1311</v>
      </c>
      <c r="AB826" s="41" t="str">
        <f>IF($C826="","",IF($E826="","",$E826&amp;"#"&amp;(COUNTIFS($E$4:$E$1463,$E826,$X$4:$X$1463,"&gt;"&amp;$X826)+COUNTIFS($E$4:$E826,$E826,$X$4:$X826,"="&amp;$X826))))</f>
        <v>DRUID#55</v>
      </c>
      <c r="AC826" s="41" t="str">
        <f>IF($C826="","",$B826&amp;"@"&amp;(COUNTIFS($B$4:$B$1463,$B826,$C$4:$C$1463,"&lt;"&amp;$C826)+COUNTIFS($B$4:$B826,$B826,$C$4:$C826,$C826)))</f>
        <v>EMERALD LEAF TRIBE@63</v>
      </c>
      <c r="AD826" s="41">
        <f t="shared" si="64"/>
        <v>823</v>
      </c>
      <c r="AE826" s="41" t="s">
        <v>1944</v>
      </c>
      <c r="AF826" s="73">
        <f t="shared" si="65"/>
        <v>53972</v>
      </c>
      <c r="AG826" s="74">
        <f t="shared" si="66"/>
        <v>4.3499999999999996</v>
      </c>
      <c r="AH826" s="41" t="str">
        <f>IF($C826="","",$B826&amp;"|"&amp;(COUNTIFS($B$4:$B$1463,$B826,$AF$4:$AF$1463,"&gt;"&amp;$AF826)+COUNTIFS($B$4:$B826,$B826,$AF$4:$AF826,"="&amp;$AF826)))</f>
        <v>EMERALD LEAF TRIBE|96</v>
      </c>
      <c r="AI826" s="41" t="str">
        <f>IF($C826="","",$B826&amp;"|"&amp;(COUNTIFS($B$4:$B$1463,$B826,$AG$4:$AG$1463,"&gt;"&amp;$AG826)+COUNTIFS($B$4:$B826,$B826,$AG$4:$AG826,"="&amp;$AG826)))</f>
        <v>EMERALD LEAF TRIBE|22</v>
      </c>
    </row>
    <row r="827" spans="1:35" hidden="1">
      <c r="A827" s="69" t="s">
        <v>109</v>
      </c>
      <c r="B827" s="69" t="s">
        <v>114</v>
      </c>
      <c r="C827" s="63" t="s">
        <v>1945</v>
      </c>
      <c r="D827" s="69"/>
      <c r="E827" s="68" t="s">
        <v>71</v>
      </c>
      <c r="F827" s="19" t="str">
        <f>IF($C827="","",IF($E827="","-",IFERROR(INDEX(SETUP!$B$55:$B$64,MATCH($E827,SETUP!$A$55:$A$64,0)),"Other")))</f>
        <v>Frontline</v>
      </c>
      <c r="G827" s="70">
        <v>60833</v>
      </c>
      <c r="H827" s="19" t="str">
        <f>IF($C827="","",IF($G827="","-",INDEX(SETUP!$B$26:$B$32,MATCH($G827,SETUP!$A$26:$A$32,1))))</f>
        <v>60,000 - 60,999</v>
      </c>
      <c r="I827" s="70">
        <v>2510</v>
      </c>
      <c r="J827" s="19" t="str">
        <f>IF($C827="","",IF($I827="","-",INDEX(SETUP!$B$16:$B$22,MATCH($I827,SETUP!$A$16:$A$22,1))))</f>
        <v>DEVELOPING</v>
      </c>
      <c r="K827" s="19" t="str">
        <f>IF($C827="","",IF($I827="","-",TEXT(INT($I827/1000)*1000,"#,##0")&amp;" - "&amp;TEXT(INT($I827/1000)*1000+999,"#,##0")))</f>
        <v>2,000 - 2,999</v>
      </c>
      <c r="L827" s="71">
        <v>3.3</v>
      </c>
      <c r="M827" s="19" t="str">
        <f>IF($C827="","",IF($L827="","-",INDEX(SETUP!$B$36:$B$42,MATCH($L827,SETUP!$A$36:$A$42,1))))</f>
        <v>3k - 4k</v>
      </c>
      <c r="N827" s="21">
        <f>IF($C827="","",IF(OR($G827="",$I827=""),"",ROUND(100*(SETUP!$B$4*MIN(1,$I827/SETUP!$B$9)+SETUP!$B$5*MAX(0,MIN(1,($G827-SETUP!$B$10)/(SETUP!$B$11-SETUP!$B$10)))+SETUP!$B$6*MIN(1,IF($L827="",0,$L827)/SETUP!$B$12)),1)))</f>
        <v>31.8</v>
      </c>
      <c r="O827" s="19" t="str">
        <f>IF($C827="","",IF($N827="","-",INDEX(SETUP!$B$46:$B$51,MATCH($N827,SETUP!$A$46:$A$51,1))))</f>
        <v>C</v>
      </c>
      <c r="P827" s="19">
        <f>IF($C827="","",IF($I827="","",RANK($I827,$I$4:$I$1463)+COUNTIF($I$4:$I827,$I827)-1))</f>
        <v>1007</v>
      </c>
      <c r="Q827" s="19">
        <f>IF($C827="","",COUNTIFS($B$4:$B$1463,$B827,$X$4:$X$1463,"&gt;"&amp;$X827)+COUNTIFS($B$4:$B827,$B827,$X$4:$X827,"="&amp;$X827))</f>
        <v>41</v>
      </c>
      <c r="R827" s="75">
        <f>IF($C827="","",IF($I827="","",ROUND(COUNTIF($I$4:$I$1463,"&lt;"&amp;$I827)/COUNT($I$4:$I$1463),3)))</f>
        <v>0.24</v>
      </c>
      <c r="S827" s="19" t="str">
        <f>IF($C827="","",IF($G827="","Name only",IF(OR($I827="",$L827=""),"Partial","Complete")))</f>
        <v>Complete</v>
      </c>
      <c r="T827" s="1" t="str">
        <f>IF($C827="","",TRIM(IF(COUNTIF($C$4:$C$1463,$C827)&gt;1,"Dup name; ","")&amp;IF(AND($G827&lt;&gt;"",$G827&lt;55000),"Low CR - verify; ","")&amp;IF(AND($L827&lt;&gt;"",$L827&gt;15),"Secondary - verify; ","")&amp;IF($E827="","No class; ","")))</f>
        <v/>
      </c>
      <c r="U827" s="68"/>
      <c r="V827" s="68"/>
      <c r="W827" s="68"/>
      <c r="X827" s="76">
        <f t="shared" si="62"/>
        <v>2510</v>
      </c>
      <c r="Y827" s="1" t="str">
        <f t="shared" si="63"/>
        <v>EMERALD LEAF TRIBE|41</v>
      </c>
      <c r="Z827" s="19">
        <f>IF($C827="","",IF($G827="","",RANK($G827,$G$4:$G$1463)+COUNTIF($G$4:$G827,$G827)-1))</f>
        <v>1166</v>
      </c>
      <c r="AA827" s="19">
        <f>IF($C827="","",IF($N827="","",RANK($N827,$N$4:$N$1463)+COUNTIF($N$4:$N827,$N827)-1))</f>
        <v>1103</v>
      </c>
      <c r="AB827" s="1" t="str">
        <f>IF($C827="","",IF($E827="","",$E827&amp;"#"&amp;(COUNTIFS($E$4:$E$1463,$E827,$X$4:$X$1463,"&gt;"&amp;$X827)+COUNTIFS($E$4:$E827,$E827,$X$4:$X827,"="&amp;$X827))))</f>
        <v>BARBARIAN#171</v>
      </c>
      <c r="AC827" s="1" t="str">
        <f>IF($C827="","",$B827&amp;"@"&amp;(COUNTIFS($B$4:$B$1463,$B827,$C$4:$C$1463,"&lt;"&amp;$C827)+COUNTIFS($B$4:$B827,$B827,$C$4:$C827,$C827)))</f>
        <v>EMERALD LEAF TRIBE@64</v>
      </c>
      <c r="AD827" s="1">
        <f t="shared" si="64"/>
        <v>824</v>
      </c>
      <c r="AE827" s="1" t="s">
        <v>1946</v>
      </c>
      <c r="AF827" s="76">
        <f t="shared" si="65"/>
        <v>60833</v>
      </c>
      <c r="AG827" s="77">
        <f t="shared" si="66"/>
        <v>3.3</v>
      </c>
      <c r="AH827" s="1" t="str">
        <f>IF($C827="","",$B827&amp;"|"&amp;(COUNTIFS($B$4:$B$1463,$B827,$AF$4:$AF$1463,"&gt;"&amp;$AF827)+COUNTIFS($B$4:$B827,$B827,$AF$4:$AF827,"="&amp;$AF827)))</f>
        <v>EMERALD LEAF TRIBE|63</v>
      </c>
      <c r="AI827" s="1" t="str">
        <f>IF($C827="","",$B827&amp;"|"&amp;(COUNTIFS($B$4:$B$1463,$B827,$AG$4:$AG$1463,"&gt;"&amp;$AG827)+COUNTIFS($B$4:$B827,$B827,$AG$4:$AG827,"="&amp;$AG827)))</f>
        <v>EMERALD LEAF TRIBE|66</v>
      </c>
    </row>
    <row r="828" spans="1:35" hidden="1">
      <c r="A828" s="69" t="s">
        <v>106</v>
      </c>
      <c r="B828" s="69" t="s">
        <v>107</v>
      </c>
      <c r="C828" s="63" t="s">
        <v>1947</v>
      </c>
      <c r="D828" s="69"/>
      <c r="E828" s="68" t="s">
        <v>72</v>
      </c>
      <c r="F828" s="15" t="str">
        <f>IF($C828="","",IF($E828="","-",IFERROR(INDEX(SETUP!$B$55:$B$64,MATCH($E828,SETUP!$A$55:$A$64,0)),"Other")))</f>
        <v>Frontline</v>
      </c>
      <c r="G828" s="70">
        <v>63752</v>
      </c>
      <c r="H828" s="15" t="str">
        <f>IF($C828="","",IF($G828="","-",INDEX(SETUP!$B$26:$B$32,MATCH($G828,SETUP!$A$26:$A$32,1))))</f>
        <v>63,000 - 63,999</v>
      </c>
      <c r="I828" s="70">
        <v>6165</v>
      </c>
      <c r="J828" s="15" t="str">
        <f>IF($C828="","",IF($I828="","-",INDEX(SETUP!$B$16:$B$22,MATCH($I828,SETUP!$A$16:$A$22,1))))</f>
        <v>VETERAN</v>
      </c>
      <c r="K828" s="15" t="str">
        <f>IF($C828="","",IF($I828="","-",TEXT(INT($I828/1000)*1000,"#,##0")&amp;" - "&amp;TEXT(INT($I828/1000)*1000+999,"#,##0")))</f>
        <v>6,000 - 6,999</v>
      </c>
      <c r="L828" s="71">
        <v>6.3</v>
      </c>
      <c r="M828" s="15" t="str">
        <f>IF($C828="","",IF($L828="","-",INDEX(SETUP!$B$36:$B$42,MATCH($L828,SETUP!$A$36:$A$42,1))))</f>
        <v>6k - 8k</v>
      </c>
      <c r="N828" s="17">
        <f>IF($C828="","",IF(OR($G828="",$I828=""),"",ROUND(100*(SETUP!$B$4*MIN(1,$I828/SETUP!$B$9)+SETUP!$B$5*MAX(0,MIN(1,($G828-SETUP!$B$10)/(SETUP!$B$11-SETUP!$B$10)))+SETUP!$B$6*MIN(1,IF($L828="",0,$L828)/SETUP!$B$12)),1)))</f>
        <v>60.4</v>
      </c>
      <c r="O828" s="15" t="str">
        <f>IF($C828="","",IF($N828="","-",INDEX(SETUP!$B$46:$B$51,MATCH($N828,SETUP!$A$46:$A$51,1))))</f>
        <v>A</v>
      </c>
      <c r="P828" s="15">
        <f>IF($C828="","",IF($I828="","",RANK($I828,$I$4:$I$1463)+COUNTIF($I$4:$I828,$I828)-1))</f>
        <v>270</v>
      </c>
      <c r="Q828" s="15">
        <f>IF($C828="","",COUNTIFS($B$4:$B$1463,$B828,$X$4:$X$1463,"&gt;"&amp;$X828)+COUNTIFS($B$4:$B828,$B828,$X$4:$X828,"="&amp;$X828))</f>
        <v>19</v>
      </c>
      <c r="R828" s="72">
        <f>IF($C828="","",IF($I828="","",ROUND(COUNTIF($I$4:$I$1463,"&lt;"&amp;$I828)/COUNT($I$4:$I$1463),3)))</f>
        <v>0.79500000000000004</v>
      </c>
      <c r="S828" s="15" t="str">
        <f>IF($C828="","",IF($G828="","Name only",IF(OR($I828="",$L828=""),"Partial","Complete")))</f>
        <v>Complete</v>
      </c>
      <c r="T828" s="41" t="str">
        <f>IF($C828="","",TRIM(IF(COUNTIF($C$4:$C$1463,$C828)&gt;1,"Dup name; ","")&amp;IF(AND($G828&lt;&gt;"",$G828&lt;55000),"Low CR - verify; ","")&amp;IF(AND($L828&lt;&gt;"",$L828&gt;15),"Secondary - verify; ","")&amp;IF($E828="","No class; ","")))</f>
        <v/>
      </c>
      <c r="U828" s="68"/>
      <c r="V828" s="68"/>
      <c r="W828" s="68"/>
      <c r="X828" s="73">
        <f t="shared" si="62"/>
        <v>6165</v>
      </c>
      <c r="Y828" s="41" t="str">
        <f t="shared" si="63"/>
        <v>UNDYING|19</v>
      </c>
      <c r="Z828" s="15">
        <f>IF($C828="","",IF($G828="","",RANK($G828,$G$4:$G$1463)+COUNTIF($G$4:$G828,$G828)-1))</f>
        <v>123</v>
      </c>
      <c r="AA828" s="15">
        <f>IF($C828="","",IF($N828="","",RANK($N828,$N$4:$N$1463)+COUNTIF($N$4:$N828,$N828)-1))</f>
        <v>230</v>
      </c>
      <c r="AB828" s="41" t="str">
        <f>IF($C828="","",IF($E828="","",$E828&amp;"#"&amp;(COUNTIFS($E$4:$E$1463,$E828,$X$4:$X$1463,"&gt;"&amp;$X828)+COUNTIFS($E$4:$E828,$E828,$X$4:$X828,"="&amp;$X828))))</f>
        <v>BLOOD KNIGHT#17</v>
      </c>
      <c r="AC828" s="41" t="str">
        <f>IF($C828="","",$B828&amp;"@"&amp;(COUNTIFS($B$4:$B$1463,$B828,$C$4:$C$1463,"&lt;"&amp;$C828)+COUNTIFS($B$4:$B828,$B828,$C$4:$C828,$C828)))</f>
        <v>UNDYING@72</v>
      </c>
      <c r="AD828" s="41">
        <f t="shared" si="64"/>
        <v>825</v>
      </c>
      <c r="AE828" s="41" t="s">
        <v>815</v>
      </c>
      <c r="AF828" s="73">
        <f t="shared" si="65"/>
        <v>63752</v>
      </c>
      <c r="AG828" s="74">
        <f t="shared" si="66"/>
        <v>6.3</v>
      </c>
      <c r="AH828" s="41" t="str">
        <f>IF($C828="","",$B828&amp;"|"&amp;(COUNTIFS($B$4:$B$1463,$B828,$AF$4:$AF$1463,"&gt;"&amp;$AF828)+COUNTIFS($B$4:$B828,$B828,$AF$4:$AF828,"="&amp;$AF828)))</f>
        <v>UNDYING|5</v>
      </c>
      <c r="AI828" s="41" t="str">
        <f>IF($C828="","",$B828&amp;"|"&amp;(COUNTIFS($B$4:$B$1463,$B828,$AG$4:$AG$1463,"&gt;"&amp;$AG828)+COUNTIFS($B$4:$B828,$B828,$AG$4:$AG828,"="&amp;$AG828)))</f>
        <v>UNDYING|17</v>
      </c>
    </row>
    <row r="829" spans="1:35" hidden="1">
      <c r="A829" s="69" t="s">
        <v>109</v>
      </c>
      <c r="B829" s="69" t="s">
        <v>113</v>
      </c>
      <c r="C829" s="63" t="s">
        <v>1948</v>
      </c>
      <c r="D829" s="69" t="s">
        <v>548</v>
      </c>
      <c r="E829" s="68" t="s">
        <v>79</v>
      </c>
      <c r="F829" s="19" t="str">
        <f>IF($C829="","",IF($E829="","-",IFERROR(INDEX(SETUP!$B$55:$B$64,MATCH($E829,SETUP!$A$55:$A$64,0)),"Other")))</f>
        <v>Control</v>
      </c>
      <c r="G829" s="70">
        <v>60974</v>
      </c>
      <c r="H829" s="19" t="str">
        <f>IF($C829="","",IF($G829="","-",INDEX(SETUP!$B$26:$B$32,MATCH($G829,SETUP!$A$26:$A$32,1))))</f>
        <v>60,000 - 60,999</v>
      </c>
      <c r="I829" s="70">
        <v>510</v>
      </c>
      <c r="J829" s="19" t="str">
        <f>IF($C829="","",IF($I829="","-",INDEX(SETUP!$B$16:$B$22,MATCH($I829,SETUP!$A$16:$A$22,1))))</f>
        <v>ROOKIE</v>
      </c>
      <c r="K829" s="19" t="str">
        <f>IF($C829="","",IF($I829="","-",TEXT(INT($I829/1000)*1000,"#,##0")&amp;" - "&amp;TEXT(INT($I829/1000)*1000+999,"#,##0")))</f>
        <v>0 - 999</v>
      </c>
      <c r="L829" s="71">
        <v>2.7</v>
      </c>
      <c r="M829" s="19" t="str">
        <f>IF($C829="","",IF($L829="","-",INDEX(SETUP!$B$36:$B$42,MATCH($L829,SETUP!$A$36:$A$42,1))))</f>
        <v>Under 3k</v>
      </c>
      <c r="N829" s="21">
        <f>IF($C829="","",IF(OR($G829="",$I829=""),"",ROUND(100*(SETUP!$B$4*MIN(1,$I829/SETUP!$B$9)+SETUP!$B$5*MAX(0,MIN(1,($G829-SETUP!$B$10)/(SETUP!$B$11-SETUP!$B$10)))+SETUP!$B$6*MIN(1,IF($L829="",0,$L829)/SETUP!$B$12)),1)))</f>
        <v>22.4</v>
      </c>
      <c r="O829" s="19" t="str">
        <f>IF($C829="","",IF($N829="","-",INDEX(SETUP!$B$46:$B$51,MATCH($N829,SETUP!$A$46:$A$51,1))))</f>
        <v>C</v>
      </c>
      <c r="P829" s="19">
        <f>IF($C829="","",IF($I829="","",RANK($I829,$I$4:$I$1463)+COUNTIF($I$4:$I829,$I829)-1))</f>
        <v>1318</v>
      </c>
      <c r="Q829" s="19">
        <f>IF($C829="","",COUNTIFS($B$4:$B$1463,$B829,$X$4:$X$1463,"&gt;"&amp;$X829)+COUNTIFS($B$4:$B829,$B829,$X$4:$X829,"="&amp;$X829))</f>
        <v>99</v>
      </c>
      <c r="R829" s="75">
        <f>IF($C829="","",IF($I829="","",ROUND(COUNTIF($I$4:$I$1463,"&lt;"&amp;$I829)/COUNT($I$4:$I$1463),3)))</f>
        <v>5.0000000000000001E-3</v>
      </c>
      <c r="S829" s="19" t="str">
        <f>IF($C829="","",IF($G829="","Name only",IF(OR($I829="",$L829=""),"Partial","Complete")))</f>
        <v>Complete</v>
      </c>
      <c r="T829" s="1" t="str">
        <f>IF($C829="","",TRIM(IF(COUNTIF($C$4:$C$1463,$C829)&gt;1,"Dup name; ","")&amp;IF(AND($G829&lt;&gt;"",$G829&lt;55000),"Low CR - verify; ","")&amp;IF(AND($L829&lt;&gt;"",$L829&gt;15),"Secondary - verify; ","")&amp;IF($E829="","No class; ","")))</f>
        <v/>
      </c>
      <c r="U829" s="68"/>
      <c r="V829" s="68"/>
      <c r="W829" s="68"/>
      <c r="X829" s="76">
        <f t="shared" si="62"/>
        <v>510</v>
      </c>
      <c r="Y829" s="1" t="str">
        <f t="shared" si="63"/>
        <v>INVICTUS|99</v>
      </c>
      <c r="Z829" s="19">
        <f>IF($C829="","",IF($G829="","",RANK($G829,$G$4:$G$1463)+COUNTIF($G$4:$G829,$G829)-1))</f>
        <v>1136</v>
      </c>
      <c r="AA829" s="19">
        <f>IF($C829="","",IF($N829="","",RANK($N829,$N$4:$N$1463)+COUNTIF($N$4:$N829,$N829)-1))</f>
        <v>1276</v>
      </c>
      <c r="AB829" s="1" t="str">
        <f>IF($C829="","",IF($E829="","",$E829&amp;"#"&amp;(COUNTIFS($E$4:$E$1463,$E829,$X$4:$X$1463,"&gt;"&amp;$X829)+COUNTIFS($E$4:$E829,$E829,$X$4:$X829,"="&amp;$X829))))</f>
        <v>WARLOCK#322</v>
      </c>
      <c r="AC829" s="1" t="str">
        <f>IF($C829="","",$B829&amp;"@"&amp;(COUNTIFS($B$4:$B$1463,$B829,$C$4:$C$1463,"&lt;"&amp;$C829)+COUNTIFS($B$4:$B829,$B829,$C$4:$C829,$C829)))</f>
        <v>INVICTUS@63</v>
      </c>
      <c r="AD829" s="1">
        <f t="shared" si="64"/>
        <v>826</v>
      </c>
      <c r="AE829" s="1" t="s">
        <v>1949</v>
      </c>
      <c r="AF829" s="76">
        <f t="shared" si="65"/>
        <v>60974</v>
      </c>
      <c r="AG829" s="77">
        <f t="shared" si="66"/>
        <v>2.7</v>
      </c>
      <c r="AH829" s="1" t="str">
        <f>IF($C829="","",$B829&amp;"|"&amp;(COUNTIFS($B$4:$B$1463,$B829,$AF$4:$AF$1463,"&gt;"&amp;$AF829)+COUNTIFS($B$4:$B829,$B829,$AF$4:$AF829,"="&amp;$AF829)))</f>
        <v>INVICTUS|86</v>
      </c>
      <c r="AI829" s="1" t="str">
        <f>IF($C829="","",$B829&amp;"|"&amp;(COUNTIFS($B$4:$B$1463,$B829,$AG$4:$AG$1463,"&gt;"&amp;$AG829)+COUNTIFS($B$4:$B829,$B829,$AG$4:$AG829,"="&amp;$AG829)))</f>
        <v>INVICTUS|96</v>
      </c>
    </row>
    <row r="830" spans="1:35" hidden="1">
      <c r="A830" s="69" t="s">
        <v>109</v>
      </c>
      <c r="B830" s="69" t="s">
        <v>108</v>
      </c>
      <c r="C830" s="63" t="s">
        <v>1950</v>
      </c>
      <c r="D830" s="69"/>
      <c r="E830" s="68" t="s">
        <v>76</v>
      </c>
      <c r="F830" s="15" t="str">
        <f>IF($C830="","",IF($E830="","-",IFERROR(INDEX(SETUP!$B$55:$B$64,MATCH($E830,SETUP!$A$55:$A$64,0)),"Other")))</f>
        <v>Support</v>
      </c>
      <c r="G830" s="70">
        <v>59799</v>
      </c>
      <c r="H830" s="15" t="str">
        <f>IF($C830="","",IF($G830="","-",INDEX(SETUP!$B$26:$B$32,MATCH($G830,SETUP!$A$26:$A$32,1))))</f>
        <v>58,000 - 59,999</v>
      </c>
      <c r="I830" s="70">
        <v>4043</v>
      </c>
      <c r="J830" s="15" t="str">
        <f>IF($C830="","",IF($I830="","-",INDEX(SETUP!$B$16:$B$22,MATCH($I830,SETUP!$A$16:$A$22,1))))</f>
        <v>CORE</v>
      </c>
      <c r="K830" s="15" t="str">
        <f>IF($C830="","",IF($I830="","-",TEXT(INT($I830/1000)*1000,"#,##0")&amp;" - "&amp;TEXT(INT($I830/1000)*1000+999,"#,##0")))</f>
        <v>4,000 - 4,999</v>
      </c>
      <c r="L830" s="71">
        <v>4.9000000000000004</v>
      </c>
      <c r="M830" s="15" t="str">
        <f>IF($C830="","",IF($L830="","-",INDEX(SETUP!$B$36:$B$42,MATCH($L830,SETUP!$A$36:$A$42,1))))</f>
        <v>4k - 5k</v>
      </c>
      <c r="N830" s="17">
        <f>IF($C830="","",IF(OR($G830="",$I830=""),"",ROUND(100*(SETUP!$B$4*MIN(1,$I830/SETUP!$B$9)+SETUP!$B$5*MAX(0,MIN(1,($G830-SETUP!$B$10)/(SETUP!$B$11-SETUP!$B$10)))+SETUP!$B$6*MIN(1,IF($L830="",0,$L830)/SETUP!$B$12)),1)))</f>
        <v>38.4</v>
      </c>
      <c r="O830" s="15" t="str">
        <f>IF($C830="","",IF($N830="","-",INDEX(SETUP!$B$46:$B$51,MATCH($N830,SETUP!$A$46:$A$51,1))))</f>
        <v>B</v>
      </c>
      <c r="P830" s="15">
        <f>IF($C830="","",IF($I830="","",RANK($I830,$I$4:$I$1463)+COUNTIF($I$4:$I830,$I830)-1))</f>
        <v>589</v>
      </c>
      <c r="Q830" s="15">
        <f>IF($C830="","",COUNTIFS($B$4:$B$1463,$B830,$X$4:$X$1463,"&gt;"&amp;$X830)+COUNTIFS($B$4:$B830,$B830,$X$4:$X830,"="&amp;$X830))</f>
        <v>71</v>
      </c>
      <c r="R830" s="72">
        <f>IF($C830="","",IF($I830="","",ROUND(COUNTIF($I$4:$I$1463,"&lt;"&amp;$I830)/COUNT($I$4:$I$1463),3)))</f>
        <v>0.55500000000000005</v>
      </c>
      <c r="S830" s="15" t="str">
        <f>IF($C830="","",IF($G830="","Name only",IF(OR($I830="",$L830=""),"Partial","Complete")))</f>
        <v>Complete</v>
      </c>
      <c r="T830" s="41" t="str">
        <f>IF($C830="","",TRIM(IF(COUNTIF($C$4:$C$1463,$C830)&gt;1,"Dup name; ","")&amp;IF(AND($G830&lt;&gt;"",$G830&lt;55000),"Low CR - verify; ","")&amp;IF(AND($L830&lt;&gt;"",$L830&gt;15),"Secondary - verify; ","")&amp;IF($E830="","No class; ","")))</f>
        <v/>
      </c>
      <c r="U830" s="68"/>
      <c r="V830" s="68"/>
      <c r="W830" s="68"/>
      <c r="X830" s="73">
        <f t="shared" si="62"/>
        <v>4043</v>
      </c>
      <c r="Y830" s="41" t="str">
        <f t="shared" si="63"/>
        <v>SBG|71</v>
      </c>
      <c r="Z830" s="15">
        <f>IF($C830="","",IF($G830="","",RANK($G830,$G$4:$G$1463)+COUNTIF($G$4:$G830,$G830)-1))</f>
        <v>1249</v>
      </c>
      <c r="AA830" s="15">
        <f>IF($C830="","",IF($N830="","",RANK($N830,$N$4:$N$1463)+COUNTIF($N$4:$N830,$N830)-1))</f>
        <v>893</v>
      </c>
      <c r="AB830" s="41" t="str">
        <f>IF($C830="","",IF($E830="","",$E830&amp;"#"&amp;(COUNTIFS($E$4:$E$1463,$E830,$X$4:$X$1463,"&gt;"&amp;$X830)+COUNTIFS($E$4:$E830,$E830,$X$4:$X830,"="&amp;$X830))))</f>
        <v>MONK#22</v>
      </c>
      <c r="AC830" s="41" t="str">
        <f>IF($C830="","",$B830&amp;"@"&amp;(COUNTIFS($B$4:$B$1463,$B830,$C$4:$C$1463,"&lt;"&amp;$C830)+COUNTIFS($B$4:$B830,$B830,$C$4:$C830,$C830)))</f>
        <v>SBG@51</v>
      </c>
      <c r="AD830" s="41">
        <f t="shared" si="64"/>
        <v>827</v>
      </c>
      <c r="AE830" s="41" t="s">
        <v>1951</v>
      </c>
      <c r="AF830" s="73">
        <f t="shared" si="65"/>
        <v>59799</v>
      </c>
      <c r="AG830" s="74">
        <f t="shared" si="66"/>
        <v>4.9000000000000004</v>
      </c>
      <c r="AH830" s="41" t="str">
        <f>IF($C830="","",$B830&amp;"|"&amp;(COUNTIFS($B$4:$B$1463,$B830,$AF$4:$AF$1463,"&gt;"&amp;$AF830)+COUNTIFS($B$4:$B830,$B830,$AF$4:$AF830,"="&amp;$AF830)))</f>
        <v>SBG|95</v>
      </c>
      <c r="AI830" s="41" t="str">
        <f>IF($C830="","",$B830&amp;"|"&amp;(COUNTIFS($B$4:$B$1463,$B830,$AG$4:$AG$1463,"&gt;"&amp;$AG830)+COUNTIFS($B$4:$B830,$B830,$AG$4:$AG830,"="&amp;$AG830)))</f>
        <v>SBG|77</v>
      </c>
    </row>
    <row r="831" spans="1:35" hidden="1">
      <c r="A831" s="69" t="s">
        <v>109</v>
      </c>
      <c r="B831" s="69" t="s">
        <v>115</v>
      </c>
      <c r="C831" s="63" t="s">
        <v>1952</v>
      </c>
      <c r="D831" s="69"/>
      <c r="E831" s="68"/>
      <c r="F831" s="19" t="str">
        <f>IF($C831="","",IF($E831="","-",IFERROR(INDEX(SETUP!$B$55:$B$64,MATCH($E831,SETUP!$A$55:$A$64,0)),"Other")))</f>
        <v>-</v>
      </c>
      <c r="G831" s="70"/>
      <c r="H831" s="19" t="str">
        <f>IF($C831="","",IF($G831="","-",INDEX(SETUP!$B$26:$B$32,MATCH($G831,SETUP!$A$26:$A$32,1))))</f>
        <v>-</v>
      </c>
      <c r="I831" s="70"/>
      <c r="J831" s="19" t="str">
        <f>IF($C831="","",IF($I831="","-",INDEX(SETUP!$B$16:$B$22,MATCH($I831,SETUP!$A$16:$A$22,1))))</f>
        <v>-</v>
      </c>
      <c r="K831" s="19" t="str">
        <f>IF($C831="","",IF($I831="","-",TEXT(INT($I831/1000)*1000,"#,##0")&amp;" - "&amp;TEXT(INT($I831/1000)*1000+999,"#,##0")))</f>
        <v>-</v>
      </c>
      <c r="L831" s="71"/>
      <c r="M831" s="19" t="str">
        <f>IF($C831="","",IF($L831="","-",INDEX(SETUP!$B$36:$B$42,MATCH($L831,SETUP!$A$36:$A$42,1))))</f>
        <v>-</v>
      </c>
      <c r="N831" s="21" t="str">
        <f>IF($C831="","",IF(OR($G831="",$I831=""),"",ROUND(100*(SETUP!$B$4*MIN(1,$I831/SETUP!$B$9)+SETUP!$B$5*MAX(0,MIN(1,($G831-SETUP!$B$10)/(SETUP!$B$11-SETUP!$B$10)))+SETUP!$B$6*MIN(1,IF($L831="",0,$L831)/SETUP!$B$12)),1)))</f>
        <v/>
      </c>
      <c r="O831" s="19" t="str">
        <f>IF($C831="","",IF($N831="","-",INDEX(SETUP!$B$46:$B$51,MATCH($N831,SETUP!$A$46:$A$51,1))))</f>
        <v>-</v>
      </c>
      <c r="P831" s="19" t="str">
        <f>IF($C831="","",IF($I831="","",RANK($I831,$I$4:$I$1463)+COUNTIF($I$4:$I831,$I831)-1))</f>
        <v/>
      </c>
      <c r="Q831" s="19">
        <f>IF($C831="","",COUNTIFS($B$4:$B$1463,$B831,$X$4:$X$1463,"&gt;"&amp;$X831)+COUNTIFS($B$4:$B831,$B831,$X$4:$X831,"="&amp;$X831))</f>
        <v>71</v>
      </c>
      <c r="R831" s="75" t="str">
        <f>IF($C831="","",IF($I831="","",ROUND(COUNTIF($I$4:$I$1463,"&lt;"&amp;$I831)/COUNT($I$4:$I$1463),3)))</f>
        <v/>
      </c>
      <c r="S831" s="19" t="str">
        <f>IF($C831="","",IF($G831="","Name only",IF(OR($I831="",$L831=""),"Partial","Complete")))</f>
        <v>Name only</v>
      </c>
      <c r="T831" s="1" t="str">
        <f>IF($C831="","",TRIM(IF(COUNTIF($C$4:$C$1463,$C831)&gt;1,"Dup name; ","")&amp;IF(AND($G831&lt;&gt;"",$G831&lt;55000),"Low CR - verify; ","")&amp;IF(AND($L831&lt;&gt;"",$L831&gt;15),"Secondary - verify; ","")&amp;IF($E831="","No class; ","")))</f>
        <v>No class;</v>
      </c>
      <c r="U831" s="68"/>
      <c r="V831" s="68"/>
      <c r="W831" s="68"/>
      <c r="X831" s="1">
        <f t="shared" si="62"/>
        <v>-1</v>
      </c>
      <c r="Y831" s="1" t="str">
        <f t="shared" si="63"/>
        <v>SUB ROSA|71</v>
      </c>
      <c r="Z831" s="19" t="str">
        <f>IF($C831="","",IF($G831="","",RANK($G831,$G$4:$G$1463)+COUNTIF($G$4:$G831,$G831)-1))</f>
        <v/>
      </c>
      <c r="AA831" s="19" t="str">
        <f>IF($C831="","",IF($N831="","",RANK($N831,$N$4:$N$1463)+COUNTIF($N$4:$N831,$N831)-1))</f>
        <v/>
      </c>
      <c r="AB831" s="1" t="str">
        <f>IF($C831="","",IF($E831="","",$E831&amp;"#"&amp;(COUNTIFS($E$4:$E$1463,$E831,$X$4:$X$1463,"&gt;"&amp;$X831)+COUNTIFS($E$4:$E831,$E831,$X$4:$X831,"="&amp;$X831))))</f>
        <v/>
      </c>
      <c r="AC831" s="1" t="str">
        <f>IF($C831="","",$B831&amp;"@"&amp;(COUNTIFS($B$4:$B$1463,$B831,$C$4:$C$1463,"&lt;"&amp;$C831)+COUNTIFS($B$4:$B831,$B831,$C$4:$C831,$C831)))</f>
        <v>SUB ROSA@53</v>
      </c>
      <c r="AD831" s="1">
        <f t="shared" si="64"/>
        <v>828</v>
      </c>
      <c r="AE831" s="1"/>
      <c r="AF831" s="1">
        <f t="shared" si="65"/>
        <v>-1</v>
      </c>
      <c r="AG831" s="1">
        <f t="shared" si="66"/>
        <v>-1</v>
      </c>
      <c r="AH831" s="1" t="str">
        <f>IF($C831="","",$B831&amp;"|"&amp;(COUNTIFS($B$4:$B$1463,$B831,$AF$4:$AF$1463,"&gt;"&amp;$AF831)+COUNTIFS($B$4:$B831,$B831,$AF$4:$AF831,"="&amp;$AF831)))</f>
        <v>SUB ROSA|71</v>
      </c>
      <c r="AI831" s="1" t="str">
        <f>IF($C831="","",$B831&amp;"|"&amp;(COUNTIFS($B$4:$B$1463,$B831,$AG$4:$AG$1463,"&gt;"&amp;$AG831)+COUNTIFS($B$4:$B831,$B831,$AG$4:$AG831,"="&amp;$AG831)))</f>
        <v>SUB ROSA|71</v>
      </c>
    </row>
    <row r="832" spans="1:35" hidden="1">
      <c r="A832" s="69" t="s">
        <v>109</v>
      </c>
      <c r="B832" s="69" t="s">
        <v>110</v>
      </c>
      <c r="C832" s="63" t="s">
        <v>1953</v>
      </c>
      <c r="D832" s="69"/>
      <c r="E832" s="68" t="s">
        <v>79</v>
      </c>
      <c r="F832" s="15" t="str">
        <f>IF($C832="","",IF($E832="","-",IFERROR(INDEX(SETUP!$B$55:$B$64,MATCH($E832,SETUP!$A$55:$A$64,0)),"Other")))</f>
        <v>Control</v>
      </c>
      <c r="G832" s="70">
        <v>62134</v>
      </c>
      <c r="H832" s="15" t="str">
        <f>IF($C832="","",IF($G832="","-",INDEX(SETUP!$B$26:$B$32,MATCH($G832,SETUP!$A$26:$A$32,1))))</f>
        <v>62,000 - 62,999</v>
      </c>
      <c r="I832" s="70">
        <v>5052</v>
      </c>
      <c r="J832" s="15" t="str">
        <f>IF($C832="","",IF($I832="","-",INDEX(SETUP!$B$16:$B$22,MATCH($I832,SETUP!$A$16:$A$22,1))))</f>
        <v>CORE</v>
      </c>
      <c r="K832" s="15" t="str">
        <f>IF($C832="","",IF($I832="","-",TEXT(INT($I832/1000)*1000,"#,##0")&amp;" - "&amp;TEXT(INT($I832/1000)*1000+999,"#,##0")))</f>
        <v>5,000 - 5,999</v>
      </c>
      <c r="L832" s="71">
        <v>5.7</v>
      </c>
      <c r="M832" s="15" t="str">
        <f>IF($C832="","",IF($L832="","-",INDEX(SETUP!$B$36:$B$42,MATCH($L832,SETUP!$A$36:$A$42,1))))</f>
        <v>5k - 6k</v>
      </c>
      <c r="N832" s="17">
        <f>IF($C832="","",IF(OR($G832="",$I832=""),"",ROUND(100*(SETUP!$B$4*MIN(1,$I832/SETUP!$B$9)+SETUP!$B$5*MAX(0,MIN(1,($G832-SETUP!$B$10)/(SETUP!$B$11-SETUP!$B$10)))+SETUP!$B$6*MIN(1,IF($L832="",0,$L832)/SETUP!$B$12)),1)))</f>
        <v>50.3</v>
      </c>
      <c r="O832" s="15" t="str">
        <f>IF($C832="","",IF($N832="","-",INDEX(SETUP!$B$46:$B$51,MATCH($N832,SETUP!$A$46:$A$51,1))))</f>
        <v>A</v>
      </c>
      <c r="P832" s="15">
        <f>IF($C832="","",IF($I832="","",RANK($I832,$I$4:$I$1463)+COUNTIF($I$4:$I832,$I832)-1))</f>
        <v>407</v>
      </c>
      <c r="Q832" s="15">
        <f>IF($C832="","",COUNTIFS($B$4:$B$1463,$B832,$X$4:$X$1463,"&gt;"&amp;$X832)+COUNTIFS($B$4:$B832,$B832,$X$4:$X832,"="&amp;$X832))</f>
        <v>48</v>
      </c>
      <c r="R832" s="72">
        <f>IF($C832="","",IF($I832="","",ROUND(COUNTIF($I$4:$I$1463,"&lt;"&amp;$I832)/COUNT($I$4:$I$1463),3)))</f>
        <v>0.69299999999999995</v>
      </c>
      <c r="S832" s="15" t="str">
        <f>IF($C832="","",IF($G832="","Name only",IF(OR($I832="",$L832=""),"Partial","Complete")))</f>
        <v>Complete</v>
      </c>
      <c r="T832" s="41" t="str">
        <f>IF($C832="","",TRIM(IF(COUNTIF($C$4:$C$1463,$C832)&gt;1,"Dup name; ","")&amp;IF(AND($G832&lt;&gt;"",$G832&lt;55000),"Low CR - verify; ","")&amp;IF(AND($L832&lt;&gt;"",$L832&gt;15),"Secondary - verify; ","")&amp;IF($E832="","No class; ","")))</f>
        <v/>
      </c>
      <c r="U832" s="68"/>
      <c r="V832" s="68"/>
      <c r="W832" s="68"/>
      <c r="X832" s="73">
        <f t="shared" si="62"/>
        <v>5052</v>
      </c>
      <c r="Y832" s="41" t="str">
        <f t="shared" si="63"/>
        <v>AZUKI|48</v>
      </c>
      <c r="Z832" s="15">
        <f>IF($C832="","",IF($G832="","",RANK($G832,$G$4:$G$1463)+COUNTIF($G$4:$G832,$G832)-1))</f>
        <v>784</v>
      </c>
      <c r="AA832" s="15">
        <f>IF($C832="","",IF($N832="","",RANK($N832,$N$4:$N$1463)+COUNTIF($N$4:$N832,$N832)-1))</f>
        <v>450</v>
      </c>
      <c r="AB832" s="41" t="str">
        <f>IF($C832="","",IF($E832="","",$E832&amp;"#"&amp;(COUNTIFS($E$4:$E$1463,$E832,$X$4:$X$1463,"&gt;"&amp;$X832)+COUNTIFS($E$4:$E832,$E832,$X$4:$X832,"="&amp;$X832))))</f>
        <v>WARLOCK#94</v>
      </c>
      <c r="AC832" s="41" t="str">
        <f>IF($C832="","",$B832&amp;"@"&amp;(COUNTIFS($B$4:$B$1463,$B832,$C$4:$C$1463,"&lt;"&amp;$C832)+COUNTIFS($B$4:$B832,$B832,$C$4:$C832,$C832)))</f>
        <v>AZUKI@64</v>
      </c>
      <c r="AD832" s="41">
        <f t="shared" si="64"/>
        <v>829</v>
      </c>
      <c r="AE832" s="41" t="s">
        <v>1954</v>
      </c>
      <c r="AF832" s="73">
        <f t="shared" si="65"/>
        <v>62134</v>
      </c>
      <c r="AG832" s="74">
        <f t="shared" si="66"/>
        <v>5.7</v>
      </c>
      <c r="AH832" s="41" t="str">
        <f>IF($C832="","",$B832&amp;"|"&amp;(COUNTIFS($B$4:$B$1463,$B832,$AF$4:$AF$1463,"&gt;"&amp;$AF832)+COUNTIFS($B$4:$B832,$B832,$AF$4:$AF832,"="&amp;$AF832)))</f>
        <v>AZUKI|71</v>
      </c>
      <c r="AI832" s="41" t="str">
        <f>IF($C832="","",$B832&amp;"|"&amp;(COUNTIFS($B$4:$B$1463,$B832,$AG$4:$AG$1463,"&gt;"&amp;$AG832)+COUNTIFS($B$4:$B832,$B832,$AG$4:$AG832,"="&amp;$AG832)))</f>
        <v>AZUKI|52</v>
      </c>
    </row>
    <row r="833" spans="1:35" hidden="1">
      <c r="A833" s="69" t="s">
        <v>109</v>
      </c>
      <c r="B833" s="69" t="s">
        <v>117</v>
      </c>
      <c r="C833" s="63" t="s">
        <v>1955</v>
      </c>
      <c r="D833" s="69"/>
      <c r="E833" s="68" t="s">
        <v>74</v>
      </c>
      <c r="F833" s="19" t="str">
        <f>IF($C833="","",IF($E833="","-",IFERROR(INDEX(SETUP!$B$55:$B$64,MATCH($E833,SETUP!$A$55:$A$64,0)),"Other")))</f>
        <v>Ranged DPS</v>
      </c>
      <c r="G833" s="70">
        <v>59099</v>
      </c>
      <c r="H833" s="19" t="str">
        <f>IF($C833="","",IF($G833="","-",INDEX(SETUP!$B$26:$B$32,MATCH($G833,SETUP!$A$26:$A$32,1))))</f>
        <v>58,000 - 59,999</v>
      </c>
      <c r="I833" s="70">
        <v>3130</v>
      </c>
      <c r="J833" s="19" t="str">
        <f>IF($C833="","",IF($I833="","-",INDEX(SETUP!$B$16:$B$22,MATCH($I833,SETUP!$A$16:$A$22,1))))</f>
        <v>DEVELOPING</v>
      </c>
      <c r="K833" s="19" t="str">
        <f>IF($C833="","",IF($I833="","-",TEXT(INT($I833/1000)*1000,"#,##0")&amp;" - "&amp;TEXT(INT($I833/1000)*1000+999,"#,##0")))</f>
        <v>3,000 - 3,999</v>
      </c>
      <c r="L833" s="71">
        <v>6.05</v>
      </c>
      <c r="M833" s="19" t="str">
        <f>IF($C833="","",IF($L833="","-",INDEX(SETUP!$B$36:$B$42,MATCH($L833,SETUP!$A$36:$A$42,1))))</f>
        <v>6k - 8k</v>
      </c>
      <c r="N833" s="21">
        <f>IF($C833="","",IF(OR($G833="",$I833=""),"",ROUND(100*(SETUP!$B$4*MIN(1,$I833/SETUP!$B$9)+SETUP!$B$5*MAX(0,MIN(1,($G833-SETUP!$B$10)/(SETUP!$B$11-SETUP!$B$10)))+SETUP!$B$6*MIN(1,IF($L833="",0,$L833)/SETUP!$B$12)),1)))</f>
        <v>34.5</v>
      </c>
      <c r="O833" s="19" t="str">
        <f>IF($C833="","",IF($N833="","-",INDEX(SETUP!$B$46:$B$51,MATCH($N833,SETUP!$A$46:$A$51,1))))</f>
        <v>C</v>
      </c>
      <c r="P833" s="19">
        <f>IF($C833="","",IF($I833="","",RANK($I833,$I$4:$I$1463)+COUNTIF($I$4:$I833,$I833)-1))</f>
        <v>847</v>
      </c>
      <c r="Q833" s="19">
        <f>IF($C833="","",COUNTIFS($B$4:$B$1463,$B833,$X$4:$X$1463,"&gt;"&amp;$X833)+COUNTIFS($B$4:$B833,$B833,$X$4:$X833,"="&amp;$X833))</f>
        <v>12</v>
      </c>
      <c r="R833" s="75">
        <f>IF($C833="","",IF($I833="","",ROUND(COUNTIF($I$4:$I$1463,"&lt;"&amp;$I833)/COUNT($I$4:$I$1463),3)))</f>
        <v>0.36099999999999999</v>
      </c>
      <c r="S833" s="19" t="str">
        <f>IF($C833="","",IF($G833="","Name only",IF(OR($I833="",$L833=""),"Partial","Complete")))</f>
        <v>Complete</v>
      </c>
      <c r="T833" s="1" t="str">
        <f>IF($C833="","",TRIM(IF(COUNTIF($C$4:$C$1463,$C833)&gt;1,"Dup name; ","")&amp;IF(AND($G833&lt;&gt;"",$G833&lt;55000),"Low CR - verify; ","")&amp;IF(AND($L833&lt;&gt;"",$L833&gt;15),"Secondary - verify; ","")&amp;IF($E833="","No class; ","")))</f>
        <v/>
      </c>
      <c r="U833" s="68"/>
      <c r="V833" s="68"/>
      <c r="W833" s="68"/>
      <c r="X833" s="76">
        <f t="shared" si="62"/>
        <v>3130</v>
      </c>
      <c r="Y833" s="1" t="str">
        <f t="shared" si="63"/>
        <v>VENDETTA|12</v>
      </c>
      <c r="Z833" s="19">
        <f>IF($C833="","",IF($G833="","",RANK($G833,$G$4:$G$1463)+COUNTIF($G$4:$G833,$G833)-1))</f>
        <v>1275</v>
      </c>
      <c r="AA833" s="19">
        <f>IF($C833="","",IF($N833="","",RANK($N833,$N$4:$N$1463)+COUNTIF($N$4:$N833,$N833)-1))</f>
        <v>1021</v>
      </c>
      <c r="AB833" s="1" t="str">
        <f>IF($C833="","",IF($E833="","",$E833&amp;"#"&amp;(COUNTIFS($E$4:$E$1463,$E833,$X$4:$X$1463,"&gt;"&amp;$X833)+COUNTIFS($E$4:$E833,$E833,$X$4:$X833,"="&amp;$X833))))</f>
        <v>DEMON HUNTER#136</v>
      </c>
      <c r="AC833" s="1" t="str">
        <f>IF($C833="","",$B833&amp;"@"&amp;(COUNTIFS($B$4:$B$1463,$B833,$C$4:$C$1463,"&lt;"&amp;$C833)+COUNTIFS($B$4:$B833,$B833,$C$4:$C833,$C833)))</f>
        <v>VENDETTA@63</v>
      </c>
      <c r="AD833" s="1">
        <f t="shared" si="64"/>
        <v>830</v>
      </c>
      <c r="AE833" s="1" t="s">
        <v>1956</v>
      </c>
      <c r="AF833" s="76">
        <f t="shared" si="65"/>
        <v>59099</v>
      </c>
      <c r="AG833" s="77">
        <f t="shared" si="66"/>
        <v>6.05</v>
      </c>
      <c r="AH833" s="1" t="str">
        <f>IF($C833="","",$B833&amp;"|"&amp;(COUNTIFS($B$4:$B$1463,$B833,$AF$4:$AF$1463,"&gt;"&amp;$AF833)+COUNTIFS($B$4:$B833,$B833,$AF$4:$AF833,"="&amp;$AF833)))</f>
        <v>VENDETTA|87</v>
      </c>
      <c r="AI833" s="1" t="str">
        <f>IF($C833="","",$B833&amp;"|"&amp;(COUNTIFS($B$4:$B$1463,$B833,$AG$4:$AG$1463,"&gt;"&amp;$AG833)+COUNTIFS($B$4:$B833,$B833,$AG$4:$AG833,"="&amp;$AG833)))</f>
        <v>VENDETTA|1</v>
      </c>
    </row>
    <row r="834" spans="1:35" hidden="1">
      <c r="A834" s="69" t="s">
        <v>109</v>
      </c>
      <c r="B834" s="69" t="s">
        <v>116</v>
      </c>
      <c r="C834" s="63" t="s">
        <v>1957</v>
      </c>
      <c r="D834" s="69" t="s">
        <v>530</v>
      </c>
      <c r="E834" s="68" t="s">
        <v>73</v>
      </c>
      <c r="F834" s="15" t="str">
        <f>IF($C834="","",IF($E834="","-",IFERROR(INDEX(SETUP!$B$55:$B$64,MATCH($E834,SETUP!$A$55:$A$64,0)),"Other")))</f>
        <v>Frontline</v>
      </c>
      <c r="G834" s="70">
        <v>61805</v>
      </c>
      <c r="H834" s="15" t="str">
        <f>IF($C834="","",IF($G834="","-",INDEX(SETUP!$B$26:$B$32,MATCH($G834,SETUP!$A$26:$A$32,1))))</f>
        <v>61,000 - 61,999</v>
      </c>
      <c r="I834" s="70">
        <v>4164</v>
      </c>
      <c r="J834" s="15" t="str">
        <f>IF($C834="","",IF($I834="","-",INDEX(SETUP!$B$16:$B$22,MATCH($I834,SETUP!$A$16:$A$22,1))))</f>
        <v>CORE</v>
      </c>
      <c r="K834" s="15" t="str">
        <f>IF($C834="","",IF($I834="","-",TEXT(INT($I834/1000)*1000,"#,##0")&amp;" - "&amp;TEXT(INT($I834/1000)*1000+999,"#,##0")))</f>
        <v>4,000 - 4,999</v>
      </c>
      <c r="L834" s="71">
        <v>4.7</v>
      </c>
      <c r="M834" s="15" t="str">
        <f>IF($C834="","",IF($L834="","-",INDEX(SETUP!$B$36:$B$42,MATCH($L834,SETUP!$A$36:$A$42,1))))</f>
        <v>4k - 5k</v>
      </c>
      <c r="N834" s="17">
        <f>IF($C834="","",IF(OR($G834="",$I834=""),"",ROUND(100*(SETUP!$B$4*MIN(1,$I834/SETUP!$B$9)+SETUP!$B$5*MAX(0,MIN(1,($G834-SETUP!$B$10)/(SETUP!$B$11-SETUP!$B$10)))+SETUP!$B$6*MIN(1,IF($L834="",0,$L834)/SETUP!$B$12)),1)))</f>
        <v>43.9</v>
      </c>
      <c r="O834" s="15" t="str">
        <f>IF($C834="","",IF($N834="","-",INDEX(SETUP!$B$46:$B$51,MATCH($N834,SETUP!$A$46:$A$51,1))))</f>
        <v>B</v>
      </c>
      <c r="P834" s="15">
        <f>IF($C834="","",IF($I834="","",RANK($I834,$I$4:$I$1463)+COUNTIF($I$4:$I834,$I834)-1))</f>
        <v>564</v>
      </c>
      <c r="Q834" s="15">
        <f>IF($C834="","",COUNTIFS($B$4:$B$1463,$B834,$X$4:$X$1463,"&gt;"&amp;$X834)+COUNTIFS($B$4:$B834,$B834,$X$4:$X834,"="&amp;$X834))</f>
        <v>29</v>
      </c>
      <c r="R834" s="72">
        <f>IF($C834="","",IF($I834="","",ROUND(COUNTIF($I$4:$I$1463,"&lt;"&amp;$I834)/COUNT($I$4:$I$1463),3)))</f>
        <v>0.57399999999999995</v>
      </c>
      <c r="S834" s="15" t="str">
        <f>IF($C834="","",IF($G834="","Name only",IF(OR($I834="",$L834=""),"Partial","Complete")))</f>
        <v>Complete</v>
      </c>
      <c r="T834" s="41" t="str">
        <f>IF($C834="","",TRIM(IF(COUNTIF($C$4:$C$1463,$C834)&gt;1,"Dup name; ","")&amp;IF(AND($G834&lt;&gt;"",$G834&lt;55000),"Low CR - verify; ","")&amp;IF(AND($L834&lt;&gt;"",$L834&gt;15),"Secondary - verify; ","")&amp;IF($E834="","No class; ","")))</f>
        <v/>
      </c>
      <c r="U834" s="68"/>
      <c r="V834" s="68"/>
      <c r="W834" s="68"/>
      <c r="X834" s="73">
        <f t="shared" si="62"/>
        <v>4164</v>
      </c>
      <c r="Y834" s="41" t="str">
        <f t="shared" si="63"/>
        <v>VENGEANCE|29</v>
      </c>
      <c r="Z834" s="15">
        <f>IF($C834="","",IF($G834="","",RANK($G834,$G$4:$G$1463)+COUNTIF($G$4:$G834,$G834)-1))</f>
        <v>911</v>
      </c>
      <c r="AA834" s="15">
        <f>IF($C834="","",IF($N834="","",RANK($N834,$N$4:$N$1463)+COUNTIF($N$4:$N834,$N834)-1))</f>
        <v>671</v>
      </c>
      <c r="AB834" s="41" t="str">
        <f>IF($C834="","",IF($E834="","",$E834&amp;"#"&amp;(COUNTIFS($E$4:$E$1463,$E834,$X$4:$X$1463,"&gt;"&amp;$X834)+COUNTIFS($E$4:$E834,$E834,$X$4:$X834,"="&amp;$X834))))</f>
        <v>CRUSADER#68</v>
      </c>
      <c r="AC834" s="41" t="str">
        <f>IF($C834="","",$B834&amp;"@"&amp;(COUNTIFS($B$4:$B$1463,$B834,$C$4:$C$1463,"&lt;"&amp;$C834)+COUNTIFS($B$4:$B834,$B834,$C$4:$C834,$C834)))</f>
        <v>VENGEANCE@55</v>
      </c>
      <c r="AD834" s="41">
        <f t="shared" si="64"/>
        <v>831</v>
      </c>
      <c r="AE834" s="41" t="s">
        <v>1958</v>
      </c>
      <c r="AF834" s="73">
        <f t="shared" si="65"/>
        <v>61805</v>
      </c>
      <c r="AG834" s="74">
        <f t="shared" si="66"/>
        <v>4.7</v>
      </c>
      <c r="AH834" s="41" t="str">
        <f>IF($C834="","",$B834&amp;"|"&amp;(COUNTIFS($B$4:$B$1463,$B834,$AF$4:$AF$1463,"&gt;"&amp;$AF834)+COUNTIFS($B$4:$B834,$B834,$AF$4:$AF834,"="&amp;$AF834)))</f>
        <v>VENGEANCE|56</v>
      </c>
      <c r="AI834" s="41" t="str">
        <f>IF($C834="","",$B834&amp;"|"&amp;(COUNTIFS($B$4:$B$1463,$B834,$AG$4:$AG$1463,"&gt;"&amp;$AG834)+COUNTIFS($B$4:$B834,$B834,$AG$4:$AG834,"="&amp;$AG834)))</f>
        <v>VENGEANCE|44</v>
      </c>
    </row>
    <row r="835" spans="1:35" hidden="1">
      <c r="A835" s="69" t="s">
        <v>109</v>
      </c>
      <c r="B835" s="69" t="s">
        <v>116</v>
      </c>
      <c r="C835" s="63" t="s">
        <v>1959</v>
      </c>
      <c r="D835" s="69" t="s">
        <v>530</v>
      </c>
      <c r="E835" s="68" t="s">
        <v>72</v>
      </c>
      <c r="F835" s="19" t="str">
        <f>IF($C835="","",IF($E835="","-",IFERROR(INDEX(SETUP!$B$55:$B$64,MATCH($E835,SETUP!$A$55:$A$64,0)),"Other")))</f>
        <v>Frontline</v>
      </c>
      <c r="G835" s="70">
        <v>61688</v>
      </c>
      <c r="H835" s="19" t="str">
        <f>IF($C835="","",IF($G835="","-",INDEX(SETUP!$B$26:$B$32,MATCH($G835,SETUP!$A$26:$A$32,1))))</f>
        <v>61,000 - 61,999</v>
      </c>
      <c r="I835" s="70">
        <v>3542</v>
      </c>
      <c r="J835" s="19" t="str">
        <f>IF($C835="","",IF($I835="","-",INDEX(SETUP!$B$16:$B$22,MATCH($I835,SETUP!$A$16:$A$22,1))))</f>
        <v>DEVELOPING</v>
      </c>
      <c r="K835" s="19" t="str">
        <f>IF($C835="","",IF($I835="","-",TEXT(INT($I835/1000)*1000,"#,##0")&amp;" - "&amp;TEXT(INT($I835/1000)*1000+999,"#,##0")))</f>
        <v>3,000 - 3,999</v>
      </c>
      <c r="L835" s="71">
        <v>5.5</v>
      </c>
      <c r="M835" s="19" t="str">
        <f>IF($C835="","",IF($L835="","-",INDEX(SETUP!$B$36:$B$42,MATCH($L835,SETUP!$A$36:$A$42,1))))</f>
        <v>5k - 6k</v>
      </c>
      <c r="N835" s="21">
        <f>IF($C835="","",IF(OR($G835="",$I835=""),"",ROUND(100*(SETUP!$B$4*MIN(1,$I835/SETUP!$B$9)+SETUP!$B$5*MAX(0,MIN(1,($G835-SETUP!$B$10)/(SETUP!$B$11-SETUP!$B$10)))+SETUP!$B$6*MIN(1,IF($L835="",0,$L835)/SETUP!$B$12)),1)))</f>
        <v>42.2</v>
      </c>
      <c r="O835" s="19" t="str">
        <f>IF($C835="","",IF($N835="","-",INDEX(SETUP!$B$46:$B$51,MATCH($N835,SETUP!$A$46:$A$51,1))))</f>
        <v>B</v>
      </c>
      <c r="P835" s="19">
        <f>IF($C835="","",IF($I835="","",RANK($I835,$I$4:$I$1463)+COUNTIF($I$4:$I835,$I835)-1))</f>
        <v>717</v>
      </c>
      <c r="Q835" s="19">
        <f>IF($C835="","",COUNTIFS($B$4:$B$1463,$B835,$X$4:$X$1463,"&gt;"&amp;$X835)+COUNTIFS($B$4:$B835,$B835,$X$4:$X835,"="&amp;$X835))</f>
        <v>41</v>
      </c>
      <c r="R835" s="75">
        <f>IF($C835="","",IF($I835="","",ROUND(COUNTIF($I$4:$I$1463,"&lt;"&amp;$I835)/COUNT($I$4:$I$1463),3)))</f>
        <v>0.45900000000000002</v>
      </c>
      <c r="S835" s="19" t="str">
        <f>IF($C835="","",IF($G835="","Name only",IF(OR($I835="",$L835=""),"Partial","Complete")))</f>
        <v>Complete</v>
      </c>
      <c r="T835" s="1" t="str">
        <f>IF($C835="","",TRIM(IF(COUNTIF($C$4:$C$1463,$C835)&gt;1,"Dup name; ","")&amp;IF(AND($G835&lt;&gt;"",$G835&lt;55000),"Low CR - verify; ","")&amp;IF(AND($L835&lt;&gt;"",$L835&gt;15),"Secondary - verify; ","")&amp;IF($E835="","No class; ","")))</f>
        <v/>
      </c>
      <c r="U835" s="68"/>
      <c r="V835" s="68"/>
      <c r="W835" s="68"/>
      <c r="X835" s="76">
        <f t="shared" si="62"/>
        <v>3542</v>
      </c>
      <c r="Y835" s="1" t="str">
        <f t="shared" si="63"/>
        <v>VENGEANCE|41</v>
      </c>
      <c r="Z835" s="19">
        <f>IF($C835="","",IF($G835="","",RANK($G835,$G$4:$G$1463)+COUNTIF($G$4:$G835,$G835)-1))</f>
        <v>949</v>
      </c>
      <c r="AA835" s="19">
        <f>IF($C835="","",IF($N835="","",RANK($N835,$N$4:$N$1463)+COUNTIF($N$4:$N835,$N835)-1))</f>
        <v>737</v>
      </c>
      <c r="AB835" s="1" t="str">
        <f>IF($C835="","",IF($E835="","",$E835&amp;"#"&amp;(COUNTIFS($E$4:$E$1463,$E835,$X$4:$X$1463,"&gt;"&amp;$X835)+COUNTIFS($E$4:$E835,$E835,$X$4:$X835,"="&amp;$X835))))</f>
        <v>BLOOD KNIGHT#48</v>
      </c>
      <c r="AC835" s="1" t="str">
        <f>IF($C835="","",$B835&amp;"@"&amp;(COUNTIFS($B$4:$B$1463,$B835,$C$4:$C$1463,"&lt;"&amp;$C835)+COUNTIFS($B$4:$B835,$B835,$C$4:$C835,$C835)))</f>
        <v>VENGEANCE@56</v>
      </c>
      <c r="AD835" s="1">
        <f t="shared" si="64"/>
        <v>832</v>
      </c>
      <c r="AE835" s="1" t="s">
        <v>602</v>
      </c>
      <c r="AF835" s="76">
        <f t="shared" si="65"/>
        <v>61688</v>
      </c>
      <c r="AG835" s="77">
        <f t="shared" si="66"/>
        <v>5.5</v>
      </c>
      <c r="AH835" s="1" t="str">
        <f>IF($C835="","",$B835&amp;"|"&amp;(COUNTIFS($B$4:$B$1463,$B835,$AF$4:$AF$1463,"&gt;"&amp;$AF835)+COUNTIFS($B$4:$B835,$B835,$AF$4:$AF835,"="&amp;$AF835)))</f>
        <v>VENGEANCE|59</v>
      </c>
      <c r="AI835" s="1" t="str">
        <f>IF($C835="","",$B835&amp;"|"&amp;(COUNTIFS($B$4:$B$1463,$B835,$AG$4:$AG$1463,"&gt;"&amp;$AG835)+COUNTIFS($B$4:$B835,$B835,$AG$4:$AG835,"="&amp;$AG835)))</f>
        <v>VENGEANCE|19</v>
      </c>
    </row>
    <row r="836" spans="1:35" hidden="1">
      <c r="A836" s="69" t="s">
        <v>109</v>
      </c>
      <c r="B836" s="69" t="s">
        <v>113</v>
      </c>
      <c r="C836" s="63" t="s">
        <v>1960</v>
      </c>
      <c r="D836" s="69" t="s">
        <v>548</v>
      </c>
      <c r="E836" s="68" t="s">
        <v>79</v>
      </c>
      <c r="F836" s="15" t="str">
        <f>IF($C836="","",IF($E836="","-",IFERROR(INDEX(SETUP!$B$55:$B$64,MATCH($E836,SETUP!$A$55:$A$64,0)),"Other")))</f>
        <v>Control</v>
      </c>
      <c r="G836" s="70">
        <v>58179</v>
      </c>
      <c r="H836" s="15" t="str">
        <f>IF($C836="","",IF($G836="","-",INDEX(SETUP!$B$26:$B$32,MATCH($G836,SETUP!$A$26:$A$32,1))))</f>
        <v>58,000 - 59,999</v>
      </c>
      <c r="I836" s="70">
        <v>3296</v>
      </c>
      <c r="J836" s="15" t="str">
        <f>IF($C836="","",IF($I836="","-",INDEX(SETUP!$B$16:$B$22,MATCH($I836,SETUP!$A$16:$A$22,1))))</f>
        <v>DEVELOPING</v>
      </c>
      <c r="K836" s="15" t="str">
        <f>IF($C836="","",IF($I836="","-",TEXT(INT($I836/1000)*1000,"#,##0")&amp;" - "&amp;TEXT(INT($I836/1000)*1000+999,"#,##0")))</f>
        <v>3,000 - 3,999</v>
      </c>
      <c r="L836" s="71">
        <v>6.15</v>
      </c>
      <c r="M836" s="15" t="str">
        <f>IF($C836="","",IF($L836="","-",INDEX(SETUP!$B$36:$B$42,MATCH($L836,SETUP!$A$36:$A$42,1))))</f>
        <v>6k - 8k</v>
      </c>
      <c r="N836" s="17">
        <f>IF($C836="","",IF(OR($G836="",$I836=""),"",ROUND(100*(SETUP!$B$4*MIN(1,$I836/SETUP!$B$9)+SETUP!$B$5*MAX(0,MIN(1,($G836-SETUP!$B$10)/(SETUP!$B$11-SETUP!$B$10)))+SETUP!$B$6*MIN(1,IF($L836="",0,$L836)/SETUP!$B$12)),1)))</f>
        <v>33</v>
      </c>
      <c r="O836" s="15" t="str">
        <f>IF($C836="","",IF($N836="","-",INDEX(SETUP!$B$46:$B$51,MATCH($N836,SETUP!$A$46:$A$51,1))))</f>
        <v>C</v>
      </c>
      <c r="P836" s="15">
        <f>IF($C836="","",IF($I836="","",RANK($I836,$I$4:$I$1463)+COUNTIF($I$4:$I836,$I836)-1))</f>
        <v>795</v>
      </c>
      <c r="Q836" s="15">
        <f>IF($C836="","",COUNTIFS($B$4:$B$1463,$B836,$X$4:$X$1463,"&gt;"&amp;$X836)+COUNTIFS($B$4:$B836,$B836,$X$4:$X836,"="&amp;$X836))</f>
        <v>42</v>
      </c>
      <c r="R836" s="72">
        <f>IF($C836="","",IF($I836="","",ROUND(COUNTIF($I$4:$I$1463,"&lt;"&amp;$I836)/COUNT($I$4:$I$1463),3)))</f>
        <v>0.4</v>
      </c>
      <c r="S836" s="15" t="str">
        <f>IF($C836="","",IF($G836="","Name only",IF(OR($I836="",$L836=""),"Partial","Complete")))</f>
        <v>Complete</v>
      </c>
      <c r="T836" s="41" t="str">
        <f>IF($C836="","",TRIM(IF(COUNTIF($C$4:$C$1463,$C836)&gt;1,"Dup name; ","")&amp;IF(AND($G836&lt;&gt;"",$G836&lt;55000),"Low CR - verify; ","")&amp;IF(AND($L836&lt;&gt;"",$L836&gt;15),"Secondary - verify; ","")&amp;IF($E836="","No class; ","")))</f>
        <v/>
      </c>
      <c r="U836" s="68"/>
      <c r="V836" s="68"/>
      <c r="W836" s="68"/>
      <c r="X836" s="73">
        <f t="shared" ref="X836:X899" si="67">IF($C836="","",IF($I836="",-1,$I836))</f>
        <v>3296</v>
      </c>
      <c r="Y836" s="41" t="str">
        <f t="shared" ref="Y836:Y899" si="68">IF($C836="","",$B836&amp;"|"&amp;$Q836)</f>
        <v>INVICTUS|42</v>
      </c>
      <c r="Z836" s="15">
        <f>IF($C836="","",IF($G836="","",RANK($G836,$G$4:$G$1463)+COUNTIF($G$4:$G836,$G836)-1))</f>
        <v>1295</v>
      </c>
      <c r="AA836" s="15">
        <f>IF($C836="","",IF($N836="","",RANK($N836,$N$4:$N$1463)+COUNTIF($N$4:$N836,$N836)-1))</f>
        <v>1067</v>
      </c>
      <c r="AB836" s="41" t="str">
        <f>IF($C836="","",IF($E836="","",$E836&amp;"#"&amp;(COUNTIFS($E$4:$E$1463,$E836,$X$4:$X$1463,"&gt;"&amp;$X836)+COUNTIFS($E$4:$E836,$E836,$X$4:$X836,"="&amp;$X836))))</f>
        <v>WARLOCK#196</v>
      </c>
      <c r="AC836" s="41" t="str">
        <f>IF($C836="","",$B836&amp;"@"&amp;(COUNTIFS($B$4:$B$1463,$B836,$C$4:$C$1463,"&lt;"&amp;$C836)+COUNTIFS($B$4:$B836,$B836,$C$4:$C836,$C836)))</f>
        <v>INVICTUS@64</v>
      </c>
      <c r="AD836" s="41">
        <f t="shared" ref="AD836:AD899" si="69">IF($C836="","",ROW()-4+1)</f>
        <v>833</v>
      </c>
      <c r="AE836" s="41" t="s">
        <v>1961</v>
      </c>
      <c r="AF836" s="73">
        <f t="shared" ref="AF836:AF899" si="70">IF($C836="","",IF($G836="",-1,$G836))</f>
        <v>58179</v>
      </c>
      <c r="AG836" s="74">
        <f t="shared" ref="AG836:AG899" si="71">IF($C836="","",IF($L836="",-1,$L836))</f>
        <v>6.15</v>
      </c>
      <c r="AH836" s="41" t="str">
        <f>IF($C836="","",$B836&amp;"|"&amp;(COUNTIFS($B$4:$B$1463,$B836,$AF$4:$AF$1463,"&gt;"&amp;$AF836)+COUNTIFS($B$4:$B836,$B836,$AF$4:$AF836,"="&amp;$AF836)))</f>
        <v>INVICTUS|97</v>
      </c>
      <c r="AI836" s="41" t="str">
        <f>IF($C836="","",$B836&amp;"|"&amp;(COUNTIFS($B$4:$B$1463,$B836,$AG$4:$AG$1463,"&gt;"&amp;$AG836)+COUNTIFS($B$4:$B836,$B836,$AG$4:$AG836,"="&amp;$AG836)))</f>
        <v>INVICTUS|11</v>
      </c>
    </row>
    <row r="837" spans="1:35" hidden="1">
      <c r="A837" s="69" t="s">
        <v>109</v>
      </c>
      <c r="B837" s="69" t="s">
        <v>110</v>
      </c>
      <c r="C837" s="63" t="s">
        <v>1962</v>
      </c>
      <c r="D837" s="69" t="s">
        <v>1963</v>
      </c>
      <c r="E837" s="68" t="s">
        <v>79</v>
      </c>
      <c r="F837" s="19" t="str">
        <f>IF($C837="","",IF($E837="","-",IFERROR(INDEX(SETUP!$B$55:$B$64,MATCH($E837,SETUP!$A$55:$A$64,0)),"Other")))</f>
        <v>Control</v>
      </c>
      <c r="G837" s="70">
        <v>61739</v>
      </c>
      <c r="H837" s="19" t="str">
        <f>IF($C837="","",IF($G837="","-",INDEX(SETUP!$B$26:$B$32,MATCH($G837,SETUP!$A$26:$A$32,1))))</f>
        <v>61,000 - 61,999</v>
      </c>
      <c r="I837" s="70">
        <v>3299</v>
      </c>
      <c r="J837" s="19" t="str">
        <f>IF($C837="","",IF($I837="","-",INDEX(SETUP!$B$16:$B$22,MATCH($I837,SETUP!$A$16:$A$22,1))))</f>
        <v>DEVELOPING</v>
      </c>
      <c r="K837" s="19" t="str">
        <f>IF($C837="","",IF($I837="","-",TEXT(INT($I837/1000)*1000,"#,##0")&amp;" - "&amp;TEXT(INT($I837/1000)*1000+999,"#,##0")))</f>
        <v>3,000 - 3,999</v>
      </c>
      <c r="L837" s="71">
        <v>5</v>
      </c>
      <c r="M837" s="19" t="str">
        <f>IF($C837="","",IF($L837="","-",INDEX(SETUP!$B$36:$B$42,MATCH($L837,SETUP!$A$36:$A$42,1))))</f>
        <v>5k - 6k</v>
      </c>
      <c r="N837" s="21">
        <f>IF($C837="","",IF(OR($G837="",$I837=""),"",ROUND(100*(SETUP!$B$4*MIN(1,$I837/SETUP!$B$9)+SETUP!$B$5*MAX(0,MIN(1,($G837-SETUP!$B$10)/(SETUP!$B$11-SETUP!$B$10)))+SETUP!$B$6*MIN(1,IF($L837="",0,$L837)/SETUP!$B$12)),1)))</f>
        <v>40.5</v>
      </c>
      <c r="O837" s="19" t="str">
        <f>IF($C837="","",IF($N837="","-",INDEX(SETUP!$B$46:$B$51,MATCH($N837,SETUP!$A$46:$A$51,1))))</f>
        <v>B</v>
      </c>
      <c r="P837" s="19">
        <f>IF($C837="","",IF($I837="","",RANK($I837,$I$4:$I$1463)+COUNTIF($I$4:$I837,$I837)-1))</f>
        <v>793</v>
      </c>
      <c r="Q837" s="19">
        <f>IF($C837="","",COUNTIFS($B$4:$B$1463,$B837,$X$4:$X$1463,"&gt;"&amp;$X837)+COUNTIFS($B$4:$B837,$B837,$X$4:$X837,"="&amp;$X837))</f>
        <v>83</v>
      </c>
      <c r="R837" s="75">
        <f>IF($C837="","",IF($I837="","",ROUND(COUNTIF($I$4:$I$1463,"&lt;"&amp;$I837)/COUNT($I$4:$I$1463),3)))</f>
        <v>0.40200000000000002</v>
      </c>
      <c r="S837" s="19" t="str">
        <f>IF($C837="","",IF($G837="","Name only",IF(OR($I837="",$L837=""),"Partial","Complete")))</f>
        <v>Complete</v>
      </c>
      <c r="T837" s="1" t="str">
        <f>IF($C837="","",TRIM(IF(COUNTIF($C$4:$C$1463,$C837)&gt;1,"Dup name; ","")&amp;IF(AND($G837&lt;&gt;"",$G837&lt;55000),"Low CR - verify; ","")&amp;IF(AND($L837&lt;&gt;"",$L837&gt;15),"Secondary - verify; ","")&amp;IF($E837="","No class; ","")))</f>
        <v/>
      </c>
      <c r="U837" s="68"/>
      <c r="V837" s="68"/>
      <c r="W837" s="68"/>
      <c r="X837" s="76">
        <f t="shared" si="67"/>
        <v>3299</v>
      </c>
      <c r="Y837" s="1" t="str">
        <f t="shared" si="68"/>
        <v>AZUKI|83</v>
      </c>
      <c r="Z837" s="19">
        <f>IF($C837="","",IF($G837="","",RANK($G837,$G$4:$G$1463)+COUNTIF($G$4:$G837,$G837)-1))</f>
        <v>929</v>
      </c>
      <c r="AA837" s="19">
        <f>IF($C837="","",IF($N837="","",RANK($N837,$N$4:$N$1463)+COUNTIF($N$4:$N837,$N837)-1))</f>
        <v>803</v>
      </c>
      <c r="AB837" s="1" t="str">
        <f>IF($C837="","",IF($E837="","",$E837&amp;"#"&amp;(COUNTIFS($E$4:$E$1463,$E837,$X$4:$X$1463,"&gt;"&amp;$X837)+COUNTIFS($E$4:$E837,$E837,$X$4:$X837,"="&amp;$X837))))</f>
        <v>WARLOCK#194</v>
      </c>
      <c r="AC837" s="1" t="str">
        <f>IF($C837="","",$B837&amp;"@"&amp;(COUNTIFS($B$4:$B$1463,$B837,$C$4:$C$1463,"&lt;"&amp;$C837)+COUNTIFS($B$4:$B837,$B837,$C$4:$C837,$C837)))</f>
        <v>AZUKI@65</v>
      </c>
      <c r="AD837" s="1">
        <f t="shared" si="69"/>
        <v>834</v>
      </c>
      <c r="AE837" s="1" t="s">
        <v>1964</v>
      </c>
      <c r="AF837" s="76">
        <f t="shared" si="70"/>
        <v>61739</v>
      </c>
      <c r="AG837" s="77">
        <f t="shared" si="71"/>
        <v>5</v>
      </c>
      <c r="AH837" s="1" t="str">
        <f>IF($C837="","",$B837&amp;"|"&amp;(COUNTIFS($B$4:$B$1463,$B837,$AF$4:$AF$1463,"&gt;"&amp;$AF837)+COUNTIFS($B$4:$B837,$B837,$AF$4:$AF837,"="&amp;$AF837)))</f>
        <v>AZUKI|87</v>
      </c>
      <c r="AI837" s="1" t="str">
        <f>IF($C837="","",$B837&amp;"|"&amp;(COUNTIFS($B$4:$B$1463,$B837,$AG$4:$AG$1463,"&gt;"&amp;$AG837)+COUNTIFS($B$4:$B837,$B837,$AG$4:$AG837,"="&amp;$AG837)))</f>
        <v>AZUKI|69</v>
      </c>
    </row>
    <row r="838" spans="1:35" hidden="1">
      <c r="A838" s="69" t="s">
        <v>109</v>
      </c>
      <c r="B838" s="69" t="s">
        <v>112</v>
      </c>
      <c r="C838" s="63" t="s">
        <v>1965</v>
      </c>
      <c r="D838" s="69" t="s">
        <v>567</v>
      </c>
      <c r="E838" s="68" t="s">
        <v>73</v>
      </c>
      <c r="F838" s="15" t="str">
        <f>IF($C838="","",IF($E838="","-",IFERROR(INDEX(SETUP!$B$55:$B$64,MATCH($E838,SETUP!$A$55:$A$64,0)),"Other")))</f>
        <v>Frontline</v>
      </c>
      <c r="G838" s="70">
        <v>62603</v>
      </c>
      <c r="H838" s="15" t="str">
        <f>IF($C838="","",IF($G838="","-",INDEX(SETUP!$B$26:$B$32,MATCH($G838,SETUP!$A$26:$A$32,1))))</f>
        <v>62,000 - 62,999</v>
      </c>
      <c r="I838" s="70">
        <v>8042</v>
      </c>
      <c r="J838" s="15" t="str">
        <f>IF($C838="","",IF($I838="","-",INDEX(SETUP!$B$16:$B$22,MATCH($I838,SETUP!$A$16:$A$22,1))))</f>
        <v>ELITE</v>
      </c>
      <c r="K838" s="15" t="str">
        <f>IF($C838="","",IF($I838="","-",TEXT(INT($I838/1000)*1000,"#,##0")&amp;" - "&amp;TEXT(INT($I838/1000)*1000+999,"#,##0")))</f>
        <v>8,000 - 8,999</v>
      </c>
      <c r="L838" s="71">
        <v>5.87</v>
      </c>
      <c r="M838" s="15" t="str">
        <f>IF($C838="","",IF($L838="","-",INDEX(SETUP!$B$36:$B$42,MATCH($L838,SETUP!$A$36:$A$42,1))))</f>
        <v>5k - 6k</v>
      </c>
      <c r="N838" s="17">
        <f>IF($C838="","",IF(OR($G838="",$I838=""),"",ROUND(100*(SETUP!$B$4*MIN(1,$I838/SETUP!$B$9)+SETUP!$B$5*MAX(0,MIN(1,($G838-SETUP!$B$10)/(SETUP!$B$11-SETUP!$B$10)))+SETUP!$B$6*MIN(1,IF($L838="",0,$L838)/SETUP!$B$12)),1)))</f>
        <v>64.900000000000006</v>
      </c>
      <c r="O838" s="15" t="str">
        <f>IF($C838="","",IF($N838="","-",INDEX(SETUP!$B$46:$B$51,MATCH($N838,SETUP!$A$46:$A$51,1))))</f>
        <v>A</v>
      </c>
      <c r="P838" s="15">
        <f>IF($C838="","",IF($I838="","",RANK($I838,$I$4:$I$1463)+COUNTIF($I$4:$I838,$I838)-1))</f>
        <v>146</v>
      </c>
      <c r="Q838" s="15">
        <f>IF($C838="","",COUNTIFS($B$4:$B$1463,$B838,$X$4:$X$1463,"&gt;"&amp;$X838)+COUNTIFS($B$4:$B838,$B838,$X$4:$X838,"="&amp;$X838))</f>
        <v>6</v>
      </c>
      <c r="R838" s="72">
        <f>IF($C838="","",IF($I838="","",ROUND(COUNTIF($I$4:$I$1463,"&lt;"&amp;$I838)/COUNT($I$4:$I$1463),3)))</f>
        <v>0.89</v>
      </c>
      <c r="S838" s="15" t="str">
        <f>IF($C838="","",IF($G838="","Name only",IF(OR($I838="",$L838=""),"Partial","Complete")))</f>
        <v>Complete</v>
      </c>
      <c r="T838" s="41" t="str">
        <f>IF($C838="","",TRIM(IF(COUNTIF($C$4:$C$1463,$C838)&gt;1,"Dup name; ","")&amp;IF(AND($G838&lt;&gt;"",$G838&lt;55000),"Low CR - verify; ","")&amp;IF(AND($L838&lt;&gt;"",$L838&gt;15),"Secondary - verify; ","")&amp;IF($E838="","No class; ","")))</f>
        <v/>
      </c>
      <c r="U838" s="68"/>
      <c r="V838" s="68"/>
      <c r="W838" s="68"/>
      <c r="X838" s="73">
        <f t="shared" si="67"/>
        <v>8042</v>
      </c>
      <c r="Y838" s="41" t="str">
        <f t="shared" si="68"/>
        <v>ACHERON|6</v>
      </c>
      <c r="Z838" s="15">
        <f>IF($C838="","",IF($G838="","",RANK($G838,$G$4:$G$1463)+COUNTIF($G$4:$G838,$G838)-1))</f>
        <v>612</v>
      </c>
      <c r="AA838" s="15">
        <f>IF($C838="","",IF($N838="","",RANK($N838,$N$4:$N$1463)+COUNTIF($N$4:$N838,$N838)-1))</f>
        <v>180</v>
      </c>
      <c r="AB838" s="41" t="str">
        <f>IF($C838="","",IF($E838="","",$E838&amp;"#"&amp;(COUNTIFS($E$4:$E$1463,$E838,$X$4:$X$1463,"&gt;"&amp;$X838)+COUNTIFS($E$4:$E838,$E838,$X$4:$X838,"="&amp;$X838))))</f>
        <v>CRUSADER#23</v>
      </c>
      <c r="AC838" s="41" t="str">
        <f>IF($C838="","",$B838&amp;"@"&amp;(COUNTIFS($B$4:$B$1463,$B838,$C$4:$C$1463,"&lt;"&amp;$C838)+COUNTIFS($B$4:$B838,$B838,$C$4:$C838,$C838)))</f>
        <v>ACHERON@52</v>
      </c>
      <c r="AD838" s="41">
        <f t="shared" si="69"/>
        <v>835</v>
      </c>
      <c r="AE838" s="41" t="s">
        <v>1966</v>
      </c>
      <c r="AF838" s="73">
        <f t="shared" si="70"/>
        <v>62603</v>
      </c>
      <c r="AG838" s="74">
        <f t="shared" si="71"/>
        <v>5.87</v>
      </c>
      <c r="AH838" s="41" t="str">
        <f>IF($C838="","",$B838&amp;"|"&amp;(COUNTIFS($B$4:$B$1463,$B838,$AF$4:$AF$1463,"&gt;"&amp;$AF838)+COUNTIFS($B$4:$B838,$B838,$AF$4:$AF838,"="&amp;$AF838)))</f>
        <v>ACHERON|48</v>
      </c>
      <c r="AI838" s="41" t="str">
        <f>IF($C838="","",$B838&amp;"|"&amp;(COUNTIFS($B$4:$B$1463,$B838,$AG$4:$AG$1463,"&gt;"&amp;$AG838)+COUNTIFS($B$4:$B838,$B838,$AG$4:$AG838,"="&amp;$AG838)))</f>
        <v>ACHERON|18</v>
      </c>
    </row>
    <row r="839" spans="1:35" hidden="1">
      <c r="A839" s="69" t="s">
        <v>106</v>
      </c>
      <c r="B839" s="69" t="s">
        <v>105</v>
      </c>
      <c r="C839" s="63" t="s">
        <v>1967</v>
      </c>
      <c r="D839" s="69" t="s">
        <v>691</v>
      </c>
      <c r="E839" s="68" t="s">
        <v>79</v>
      </c>
      <c r="F839" s="19" t="str">
        <f>IF($C839="","",IF($E839="","-",IFERROR(INDEX(SETUP!$B$55:$B$64,MATCH($E839,SETUP!$A$55:$A$64,0)),"Other")))</f>
        <v>Control</v>
      </c>
      <c r="G839" s="70">
        <v>63284</v>
      </c>
      <c r="H839" s="19" t="str">
        <f>IF($C839="","",IF($G839="","-",INDEX(SETUP!$B$26:$B$32,MATCH($G839,SETUP!$A$26:$A$32,1))))</f>
        <v>63,000 - 63,999</v>
      </c>
      <c r="I839" s="70">
        <v>4306</v>
      </c>
      <c r="J839" s="19" t="str">
        <f>IF($C839="","",IF($I839="","-",INDEX(SETUP!$B$16:$B$22,MATCH($I839,SETUP!$A$16:$A$22,1))))</f>
        <v>CORE</v>
      </c>
      <c r="K839" s="19" t="str">
        <f>IF($C839="","",IF($I839="","-",TEXT(INT($I839/1000)*1000,"#,##0")&amp;" - "&amp;TEXT(INT($I839/1000)*1000+999,"#,##0")))</f>
        <v>4,000 - 4,999</v>
      </c>
      <c r="L839" s="71">
        <v>3.94</v>
      </c>
      <c r="M839" s="19" t="str">
        <f>IF($C839="","",IF($L839="","-",INDEX(SETUP!$B$36:$B$42,MATCH($L839,SETUP!$A$36:$A$42,1))))</f>
        <v>3k - 4k</v>
      </c>
      <c r="N839" s="21">
        <f>IF($C839="","",IF(OR($G839="",$I839=""),"",ROUND(100*(SETUP!$B$4*MIN(1,$I839/SETUP!$B$9)+SETUP!$B$5*MAX(0,MIN(1,($G839-SETUP!$B$10)/(SETUP!$B$11-SETUP!$B$10)))+SETUP!$B$6*MIN(1,IF($L839="",0,$L839)/SETUP!$B$12)),1)))</f>
        <v>47.2</v>
      </c>
      <c r="O839" s="19" t="str">
        <f>IF($C839="","",IF($N839="","-",INDEX(SETUP!$B$46:$B$51,MATCH($N839,SETUP!$A$46:$A$51,1))))</f>
        <v>B</v>
      </c>
      <c r="P839" s="19">
        <f>IF($C839="","",IF($I839="","",RANK($I839,$I$4:$I$1463)+COUNTIF($I$4:$I839,$I839)-1))</f>
        <v>532</v>
      </c>
      <c r="Q839" s="19">
        <f>IF($C839="","",COUNTIFS($B$4:$B$1463,$B839,$X$4:$X$1463,"&gt;"&amp;$X839)+COUNTIFS($B$4:$B839,$B839,$X$4:$X839,"="&amp;$X839))</f>
        <v>68</v>
      </c>
      <c r="R839" s="75">
        <f>IF($C839="","",IF($I839="","",ROUND(COUNTIF($I$4:$I$1463,"&lt;"&amp;$I839)/COUNT($I$4:$I$1463),3)))</f>
        <v>0.59799999999999998</v>
      </c>
      <c r="S839" s="19" t="str">
        <f>IF($C839="","",IF($G839="","Name only",IF(OR($I839="",$L839=""),"Partial","Complete")))</f>
        <v>Complete</v>
      </c>
      <c r="T839" s="1" t="str">
        <f>IF($C839="","",TRIM(IF(COUNTIF($C$4:$C$1463,$C839)&gt;1,"Dup name; ","")&amp;IF(AND($G839&lt;&gt;"",$G839&lt;55000),"Low CR - verify; ","")&amp;IF(AND($L839&lt;&gt;"",$L839&gt;15),"Secondary - verify; ","")&amp;IF($E839="","No class; ","")))</f>
        <v/>
      </c>
      <c r="U839" s="68"/>
      <c r="V839" s="68"/>
      <c r="W839" s="68"/>
      <c r="X839" s="76">
        <f t="shared" si="67"/>
        <v>4306</v>
      </c>
      <c r="Y839" s="1" t="str">
        <f t="shared" si="68"/>
        <v>LEGENDS|68</v>
      </c>
      <c r="Z839" s="19">
        <f>IF($C839="","",IF($G839="","",RANK($G839,$G$4:$G$1463)+COUNTIF($G$4:$G839,$G839)-1))</f>
        <v>269</v>
      </c>
      <c r="AA839" s="19">
        <f>IF($C839="","",IF($N839="","",RANK($N839,$N$4:$N$1463)+COUNTIF($N$4:$N839,$N839)-1))</f>
        <v>547</v>
      </c>
      <c r="AB839" s="1" t="str">
        <f>IF($C839="","",IF($E839="","",$E839&amp;"#"&amp;(COUNTIFS($E$4:$E$1463,$E839,$X$4:$X$1463,"&gt;"&amp;$X839)+COUNTIFS($E$4:$E839,$E839,$X$4:$X839,"="&amp;$X839))))</f>
        <v>WARLOCK#122</v>
      </c>
      <c r="AC839" s="1" t="str">
        <f>IF($C839="","",$B839&amp;"@"&amp;(COUNTIFS($B$4:$B$1463,$B839,$C$4:$C$1463,"&lt;"&amp;$C839)+COUNTIFS($B$4:$B839,$B839,$C$4:$C839,$C839)))</f>
        <v>LEGENDS@68</v>
      </c>
      <c r="AD839" s="1">
        <f t="shared" si="69"/>
        <v>836</v>
      </c>
      <c r="AE839" s="1" t="s">
        <v>1968</v>
      </c>
      <c r="AF839" s="76">
        <f t="shared" si="70"/>
        <v>63284</v>
      </c>
      <c r="AG839" s="77">
        <f t="shared" si="71"/>
        <v>3.94</v>
      </c>
      <c r="AH839" s="1" t="str">
        <f>IF($C839="","",$B839&amp;"|"&amp;(COUNTIFS($B$4:$B$1463,$B839,$AF$4:$AF$1463,"&gt;"&amp;$AF839)+COUNTIFS($B$4:$B839,$B839,$AF$4:$AF839,"="&amp;$AF839)))</f>
        <v>LEGENDS|37</v>
      </c>
      <c r="AI839" s="1" t="str">
        <f>IF($C839="","",$B839&amp;"|"&amp;(COUNTIFS($B$4:$B$1463,$B839,$AG$4:$AG$1463,"&gt;"&amp;$AG839)+COUNTIFS($B$4:$B839,$B839,$AG$4:$AG839,"="&amp;$AG839)))</f>
        <v>LEGENDS|91</v>
      </c>
    </row>
    <row r="840" spans="1:35" hidden="1">
      <c r="A840" s="69" t="s">
        <v>109</v>
      </c>
      <c r="B840" s="69" t="s">
        <v>116</v>
      </c>
      <c r="C840" s="63" t="s">
        <v>1969</v>
      </c>
      <c r="D840" s="69" t="s">
        <v>530</v>
      </c>
      <c r="E840" s="68" t="s">
        <v>72</v>
      </c>
      <c r="F840" s="15" t="str">
        <f>IF($C840="","",IF($E840="","-",IFERROR(INDEX(SETUP!$B$55:$B$64,MATCH($E840,SETUP!$A$55:$A$64,0)),"Other")))</f>
        <v>Frontline</v>
      </c>
      <c r="G840" s="70">
        <v>60164</v>
      </c>
      <c r="H840" s="15" t="str">
        <f>IF($C840="","",IF($G840="","-",INDEX(SETUP!$B$26:$B$32,MATCH($G840,SETUP!$A$26:$A$32,1))))</f>
        <v>60,000 - 60,999</v>
      </c>
      <c r="I840" s="70">
        <v>2281</v>
      </c>
      <c r="J840" s="15" t="str">
        <f>IF($C840="","",IF($I840="","-",INDEX(SETUP!$B$16:$B$22,MATCH($I840,SETUP!$A$16:$A$22,1))))</f>
        <v>DEVELOPING</v>
      </c>
      <c r="K840" s="15" t="str">
        <f>IF($C840="","",IF($I840="","-",TEXT(INT($I840/1000)*1000,"#,##0")&amp;" - "&amp;TEXT(INT($I840/1000)*1000+999,"#,##0")))</f>
        <v>2,000 - 2,999</v>
      </c>
      <c r="L840" s="71">
        <v>3.5</v>
      </c>
      <c r="M840" s="15" t="str">
        <f>IF($C840="","",IF($L840="","-",INDEX(SETUP!$B$36:$B$42,MATCH($L840,SETUP!$A$36:$A$42,1))))</f>
        <v>3k - 4k</v>
      </c>
      <c r="N840" s="17">
        <f>IF($C840="","",IF(OR($G840="",$I840=""),"",ROUND(100*(SETUP!$B$4*MIN(1,$I840/SETUP!$B$9)+SETUP!$B$5*MAX(0,MIN(1,($G840-SETUP!$B$10)/(SETUP!$B$11-SETUP!$B$10)))+SETUP!$B$6*MIN(1,IF($L840="",0,$L840)/SETUP!$B$12)),1)))</f>
        <v>29.4</v>
      </c>
      <c r="O840" s="15" t="str">
        <f>IF($C840="","",IF($N840="","-",INDEX(SETUP!$B$46:$B$51,MATCH($N840,SETUP!$A$46:$A$51,1))))</f>
        <v>C</v>
      </c>
      <c r="P840" s="15">
        <f>IF($C840="","",IF($I840="","",RANK($I840,$I$4:$I$1463)+COUNTIF($I$4:$I840,$I840)-1))</f>
        <v>1050</v>
      </c>
      <c r="Q840" s="15">
        <f>IF($C840="","",COUNTIFS($B$4:$B$1463,$B840,$X$4:$X$1463,"&gt;"&amp;$X840)+COUNTIFS($B$4:$B840,$B840,$X$4:$X840,"="&amp;$X840))</f>
        <v>76</v>
      </c>
      <c r="R840" s="72">
        <f>IF($C840="","",IF($I840="","",ROUND(COUNTIF($I$4:$I$1463,"&lt;"&amp;$I840)/COUNT($I$4:$I$1463),3)))</f>
        <v>0.20799999999999999</v>
      </c>
      <c r="S840" s="15" t="str">
        <f>IF($C840="","",IF($G840="","Name only",IF(OR($I840="",$L840=""),"Partial","Complete")))</f>
        <v>Complete</v>
      </c>
      <c r="T840" s="41" t="str">
        <f>IF($C840="","",TRIM(IF(COUNTIF($C$4:$C$1463,$C840)&gt;1,"Dup name; ","")&amp;IF(AND($G840&lt;&gt;"",$G840&lt;55000),"Low CR - verify; ","")&amp;IF(AND($L840&lt;&gt;"",$L840&gt;15),"Secondary - verify; ","")&amp;IF($E840="","No class; ","")))</f>
        <v/>
      </c>
      <c r="U840" s="68"/>
      <c r="V840" s="68"/>
      <c r="W840" s="68"/>
      <c r="X840" s="73">
        <f t="shared" si="67"/>
        <v>2281</v>
      </c>
      <c r="Y840" s="41" t="str">
        <f t="shared" si="68"/>
        <v>VENGEANCE|76</v>
      </c>
      <c r="Z840" s="15">
        <f>IF($C840="","",IF($G840="","",RANK($G840,$G$4:$G$1463)+COUNTIF($G$4:$G840,$G840)-1))</f>
        <v>1230</v>
      </c>
      <c r="AA840" s="15">
        <f>IF($C840="","",IF($N840="","",RANK($N840,$N$4:$N$1463)+COUNTIF($N$4:$N840,$N840)-1))</f>
        <v>1161</v>
      </c>
      <c r="AB840" s="41" t="str">
        <f>IF($C840="","",IF($E840="","",$E840&amp;"#"&amp;(COUNTIFS($E$4:$E$1463,$E840,$X$4:$X$1463,"&gt;"&amp;$X840)+COUNTIFS($E$4:$E840,$E840,$X$4:$X840,"="&amp;$X840))))</f>
        <v>BLOOD KNIGHT#70</v>
      </c>
      <c r="AC840" s="41" t="str">
        <f>IF($C840="","",$B840&amp;"@"&amp;(COUNTIFS($B$4:$B$1463,$B840,$C$4:$C$1463,"&lt;"&amp;$C840)+COUNTIFS($B$4:$B840,$B840,$C$4:$C840,$C840)))</f>
        <v>VENGEANCE@54</v>
      </c>
      <c r="AD840" s="41">
        <f t="shared" si="69"/>
        <v>837</v>
      </c>
      <c r="AE840" s="41" t="s">
        <v>1057</v>
      </c>
      <c r="AF840" s="73">
        <f t="shared" si="70"/>
        <v>60164</v>
      </c>
      <c r="AG840" s="74">
        <f t="shared" si="71"/>
        <v>3.5</v>
      </c>
      <c r="AH840" s="41" t="str">
        <f>IF($C840="","",$B840&amp;"|"&amp;(COUNTIFS($B$4:$B$1463,$B840,$AF$4:$AF$1463,"&gt;"&amp;$AF840)+COUNTIFS($B$4:$B840,$B840,$AF$4:$AF840,"="&amp;$AF840)))</f>
        <v>VENGEANCE|87</v>
      </c>
      <c r="AI840" s="41" t="str">
        <f>IF($C840="","",$B840&amp;"|"&amp;(COUNTIFS($B$4:$B$1463,$B840,$AG$4:$AG$1463,"&gt;"&amp;$AG840)+COUNTIFS($B$4:$B840,$B840,$AG$4:$AG840,"="&amp;$AG840)))</f>
        <v>VENGEANCE|81</v>
      </c>
    </row>
    <row r="841" spans="1:35" hidden="1">
      <c r="A841" s="69" t="s">
        <v>109</v>
      </c>
      <c r="B841" s="69" t="s">
        <v>112</v>
      </c>
      <c r="C841" s="63" t="s">
        <v>1970</v>
      </c>
      <c r="D841" s="69" t="s">
        <v>567</v>
      </c>
      <c r="E841" s="68" t="s">
        <v>77</v>
      </c>
      <c r="F841" s="19" t="str">
        <f>IF($C841="","",IF($E841="","-",IFERROR(INDEX(SETUP!$B$55:$B$64,MATCH($E841,SETUP!$A$55:$A$64,0)),"Other")))</f>
        <v>Control</v>
      </c>
      <c r="G841" s="70">
        <v>63345</v>
      </c>
      <c r="H841" s="19" t="str">
        <f>IF($C841="","",IF($G841="","-",INDEX(SETUP!$B$26:$B$32,MATCH($G841,SETUP!$A$26:$A$32,1))))</f>
        <v>63,000 - 63,999</v>
      </c>
      <c r="I841" s="70">
        <v>5096</v>
      </c>
      <c r="J841" s="19" t="str">
        <f>IF($C841="","",IF($I841="","-",INDEX(SETUP!$B$16:$B$22,MATCH($I841,SETUP!$A$16:$A$22,1))))</f>
        <v>CORE</v>
      </c>
      <c r="K841" s="19" t="str">
        <f>IF($C841="","",IF($I841="","-",TEXT(INT($I841/1000)*1000,"#,##0")&amp;" - "&amp;TEXT(INT($I841/1000)*1000+999,"#,##0")))</f>
        <v>5,000 - 5,999</v>
      </c>
      <c r="L841" s="71">
        <v>4.8499999999999996</v>
      </c>
      <c r="M841" s="19" t="str">
        <f>IF($C841="","",IF($L841="","-",INDEX(SETUP!$B$36:$B$42,MATCH($L841,SETUP!$A$36:$A$42,1))))</f>
        <v>4k - 5k</v>
      </c>
      <c r="N841" s="21">
        <f>IF($C841="","",IF(OR($G841="",$I841=""),"",ROUND(100*(SETUP!$B$4*MIN(1,$I841/SETUP!$B$9)+SETUP!$B$5*MAX(0,MIN(1,($G841-SETUP!$B$10)/(SETUP!$B$11-SETUP!$B$10)))+SETUP!$B$6*MIN(1,IF($L841="",0,$L841)/SETUP!$B$12)),1)))</f>
        <v>52.3</v>
      </c>
      <c r="O841" s="19" t="str">
        <f>IF($C841="","",IF($N841="","-",INDEX(SETUP!$B$46:$B$51,MATCH($N841,SETUP!$A$46:$A$51,1))))</f>
        <v>A</v>
      </c>
      <c r="P841" s="19">
        <f>IF($C841="","",IF($I841="","",RANK($I841,$I$4:$I$1463)+COUNTIF($I$4:$I841,$I841)-1))</f>
        <v>397</v>
      </c>
      <c r="Q841" s="19">
        <f>IF($C841="","",COUNTIFS($B$4:$B$1463,$B841,$X$4:$X$1463,"&gt;"&amp;$X841)+COUNTIFS($B$4:$B841,$B841,$X$4:$X841,"="&amp;$X841))</f>
        <v>24</v>
      </c>
      <c r="R841" s="75">
        <f>IF($C841="","",IF($I841="","",ROUND(COUNTIF($I$4:$I$1463,"&lt;"&amp;$I841)/COUNT($I$4:$I$1463),3)))</f>
        <v>0.7</v>
      </c>
      <c r="S841" s="19" t="str">
        <f>IF($C841="","",IF($G841="","Name only",IF(OR($I841="",$L841=""),"Partial","Complete")))</f>
        <v>Complete</v>
      </c>
      <c r="T841" s="1" t="str">
        <f>IF($C841="","",TRIM(IF(COUNTIF($C$4:$C$1463,$C841)&gt;1,"Dup name; ","")&amp;IF(AND($G841&lt;&gt;"",$G841&lt;55000),"Low CR - verify; ","")&amp;IF(AND($L841&lt;&gt;"",$L841&gt;15),"Secondary - verify; ","")&amp;IF($E841="","No class; ","")))</f>
        <v/>
      </c>
      <c r="U841" s="68"/>
      <c r="V841" s="68"/>
      <c r="W841" s="68"/>
      <c r="X841" s="76">
        <f t="shared" si="67"/>
        <v>5096</v>
      </c>
      <c r="Y841" s="1" t="str">
        <f t="shared" si="68"/>
        <v>ACHERON|24</v>
      </c>
      <c r="Z841" s="19">
        <f>IF($C841="","",IF($G841="","",RANK($G841,$G$4:$G$1463)+COUNTIF($G$4:$G841,$G841)-1))</f>
        <v>242</v>
      </c>
      <c r="AA841" s="19">
        <f>IF($C841="","",IF($N841="","",RANK($N841,$N$4:$N$1463)+COUNTIF($N$4:$N841,$N841)-1))</f>
        <v>378</v>
      </c>
      <c r="AB841" s="1" t="str">
        <f>IF($C841="","",IF($E841="","",$E841&amp;"#"&amp;(COUNTIFS($E$4:$E$1463,$E841,$X$4:$X$1463,"&gt;"&amp;$X841)+COUNTIFS($E$4:$E841,$E841,$X$4:$X841,"="&amp;$X841))))</f>
        <v>NECROMANCER#19</v>
      </c>
      <c r="AC841" s="1" t="str">
        <f>IF($C841="","",$B841&amp;"@"&amp;(COUNTIFS($B$4:$B$1463,$B841,$C$4:$C$1463,"&lt;"&amp;$C841)+COUNTIFS($B$4:$B841,$B841,$C$4:$C841,$C841)))</f>
        <v>ACHERON@53</v>
      </c>
      <c r="AD841" s="1">
        <f t="shared" si="69"/>
        <v>838</v>
      </c>
      <c r="AE841" s="1" t="s">
        <v>1971</v>
      </c>
      <c r="AF841" s="76">
        <f t="shared" si="70"/>
        <v>63345</v>
      </c>
      <c r="AG841" s="77">
        <f t="shared" si="71"/>
        <v>4.8499999999999996</v>
      </c>
      <c r="AH841" s="1" t="str">
        <f>IF($C841="","",$B841&amp;"|"&amp;(COUNTIFS($B$4:$B$1463,$B841,$AF$4:$AF$1463,"&gt;"&amp;$AF841)+COUNTIFS($B$4:$B841,$B841,$AF$4:$AF841,"="&amp;$AF841)))</f>
        <v>ACHERON|14</v>
      </c>
      <c r="AI841" s="1" t="str">
        <f>IF($C841="","",$B841&amp;"|"&amp;(COUNTIFS($B$4:$B$1463,$B841,$AG$4:$AG$1463,"&gt;"&amp;$AG841)+COUNTIFS($B$4:$B841,$B841,$AG$4:$AG841,"="&amp;$AG841)))</f>
        <v>ACHERON|48</v>
      </c>
    </row>
    <row r="842" spans="1:35" hidden="1">
      <c r="A842" s="69" t="s">
        <v>106</v>
      </c>
      <c r="B842" s="69" t="s">
        <v>86</v>
      </c>
      <c r="C842" s="63" t="s">
        <v>1972</v>
      </c>
      <c r="D842" s="69"/>
      <c r="E842" s="68" t="s">
        <v>77</v>
      </c>
      <c r="F842" s="15" t="str">
        <f>IF($C842="","",IF($E842="","-",IFERROR(INDEX(SETUP!$B$55:$B$64,MATCH($E842,SETUP!$A$55:$A$64,0)),"Other")))</f>
        <v>Control</v>
      </c>
      <c r="G842" s="70">
        <v>62315</v>
      </c>
      <c r="H842" s="15" t="str">
        <f>IF($C842="","",IF($G842="","-",INDEX(SETUP!$B$26:$B$32,MATCH($G842,SETUP!$A$26:$A$32,1))))</f>
        <v>62,000 - 62,999</v>
      </c>
      <c r="I842" s="70">
        <v>6220</v>
      </c>
      <c r="J842" s="15" t="str">
        <f>IF($C842="","",IF($I842="","-",INDEX(SETUP!$B$16:$B$22,MATCH($I842,SETUP!$A$16:$A$22,1))))</f>
        <v>VETERAN</v>
      </c>
      <c r="K842" s="15" t="str">
        <f>IF($C842="","",IF($I842="","-",TEXT(INT($I842/1000)*1000,"#,##0")&amp;" - "&amp;TEXT(INT($I842/1000)*1000+999,"#,##0")))</f>
        <v>6,000 - 6,999</v>
      </c>
      <c r="L842" s="71">
        <v>5.59</v>
      </c>
      <c r="M842" s="15" t="str">
        <f>IF($C842="","",IF($L842="","-",INDEX(SETUP!$B$36:$B$42,MATCH($L842,SETUP!$A$36:$A$42,1))))</f>
        <v>5k - 6k</v>
      </c>
      <c r="N842" s="17">
        <f>IF($C842="","",IF(OR($G842="",$I842=""),"",ROUND(100*(SETUP!$B$4*MIN(1,$I842/SETUP!$B$9)+SETUP!$B$5*MAX(0,MIN(1,($G842-SETUP!$B$10)/(SETUP!$B$11-SETUP!$B$10)))+SETUP!$B$6*MIN(1,IF($L842="",0,$L842)/SETUP!$B$12)),1)))</f>
        <v>55.7</v>
      </c>
      <c r="O842" s="15" t="str">
        <f>IF($C842="","",IF($N842="","-",INDEX(SETUP!$B$46:$B$51,MATCH($N842,SETUP!$A$46:$A$51,1))))</f>
        <v>A</v>
      </c>
      <c r="P842" s="15">
        <f>IF($C842="","",IF($I842="","",RANK($I842,$I$4:$I$1463)+COUNTIF($I$4:$I842,$I842)-1))</f>
        <v>262</v>
      </c>
      <c r="Q842" s="15">
        <f>IF($C842="","",COUNTIFS($B$4:$B$1463,$B842,$X$4:$X$1463,"&gt;"&amp;$X842)+COUNTIFS($B$4:$B842,$B842,$X$4:$X842,"="&amp;$X842))</f>
        <v>54</v>
      </c>
      <c r="R842" s="72">
        <f>IF($C842="","",IF($I842="","",ROUND(COUNTIF($I$4:$I$1463,"&lt;"&amp;$I842)/COUNT($I$4:$I$1463),3)))</f>
        <v>0.80200000000000005</v>
      </c>
      <c r="S842" s="15" t="str">
        <f>IF($C842="","",IF($G842="","Name only",IF(OR($I842="",$L842=""),"Partial","Complete")))</f>
        <v>Complete</v>
      </c>
      <c r="T842" s="41" t="str">
        <f>IF($C842="","",TRIM(IF(COUNTIF($C$4:$C$1463,$C842)&gt;1,"Dup name; ","")&amp;IF(AND($G842&lt;&gt;"",$G842&lt;55000),"Low CR - verify; ","")&amp;IF(AND($L842&lt;&gt;"",$L842&gt;15),"Secondary - verify; ","")&amp;IF($E842="","No class; ","")))</f>
        <v/>
      </c>
      <c r="U842" s="68"/>
      <c r="V842" s="68"/>
      <c r="W842" s="68"/>
      <c r="X842" s="73">
        <f t="shared" si="67"/>
        <v>6220</v>
      </c>
      <c r="Y842" s="41" t="str">
        <f t="shared" si="68"/>
        <v>VANGUARD|54</v>
      </c>
      <c r="Z842" s="15">
        <f>IF($C842="","",IF($G842="","",RANK($G842,$G$4:$G$1463)+COUNTIF($G$4:$G842,$G842)-1))</f>
        <v>720</v>
      </c>
      <c r="AA842" s="15">
        <f>IF($C842="","",IF($N842="","",RANK($N842,$N$4:$N$1463)+COUNTIF($N$4:$N842,$N842)-1))</f>
        <v>300</v>
      </c>
      <c r="AB842" s="41" t="str">
        <f>IF($C842="","",IF($E842="","",$E842&amp;"#"&amp;(COUNTIFS($E$4:$E$1463,$E842,$X$4:$X$1463,"&gt;"&amp;$X842)+COUNTIFS($E$4:$E842,$E842,$X$4:$X842,"="&amp;$X842))))</f>
        <v>NECROMANCER#12</v>
      </c>
      <c r="AC842" s="41" t="str">
        <f>IF($C842="","",$B842&amp;"@"&amp;(COUNTIFS($B$4:$B$1463,$B842,$C$4:$C$1463,"&lt;"&amp;$C842)+COUNTIFS($B$4:$B842,$B842,$C$4:$C842,$C842)))</f>
        <v>VANGUARD@65</v>
      </c>
      <c r="AD842" s="41">
        <f t="shared" si="69"/>
        <v>839</v>
      </c>
      <c r="AE842" s="41" t="s">
        <v>1973</v>
      </c>
      <c r="AF842" s="73">
        <f t="shared" si="70"/>
        <v>62315</v>
      </c>
      <c r="AG842" s="74">
        <f t="shared" si="71"/>
        <v>5.59</v>
      </c>
      <c r="AH842" s="41" t="str">
        <f>IF($C842="","",$B842&amp;"|"&amp;(COUNTIFS($B$4:$B$1463,$B842,$AF$4:$AF$1463,"&gt;"&amp;$AF842)+COUNTIFS($B$4:$B842,$B842,$AF$4:$AF842,"="&amp;$AF842)))</f>
        <v>VANGUARD|82</v>
      </c>
      <c r="AI842" s="41" t="str">
        <f>IF($C842="","",$B842&amp;"|"&amp;(COUNTIFS($B$4:$B$1463,$B842,$AG$4:$AG$1463,"&gt;"&amp;$AG842)+COUNTIFS($B$4:$B842,$B842,$AG$4:$AG842,"="&amp;$AG842)))</f>
        <v>VANGUARD|52</v>
      </c>
    </row>
    <row r="843" spans="1:35" hidden="1">
      <c r="A843" s="69" t="s">
        <v>109</v>
      </c>
      <c r="B843" s="69" t="s">
        <v>111</v>
      </c>
      <c r="C843" s="63" t="s">
        <v>1974</v>
      </c>
      <c r="D843" s="69" t="s">
        <v>527</v>
      </c>
      <c r="E843" s="68" t="s">
        <v>76</v>
      </c>
      <c r="F843" s="19" t="str">
        <f>IF($C843="","",IF($E843="","-",IFERROR(INDEX(SETUP!$B$55:$B$64,MATCH($E843,SETUP!$A$55:$A$64,0)),"Other")))</f>
        <v>Support</v>
      </c>
      <c r="G843" s="70">
        <v>63312</v>
      </c>
      <c r="H843" s="19" t="str">
        <f>IF($C843="","",IF($G843="","-",INDEX(SETUP!$B$26:$B$32,MATCH($G843,SETUP!$A$26:$A$32,1))))</f>
        <v>63,000 - 63,999</v>
      </c>
      <c r="I843" s="70">
        <v>5284</v>
      </c>
      <c r="J843" s="19" t="str">
        <f>IF($C843="","",IF($I843="","-",INDEX(SETUP!$B$16:$B$22,MATCH($I843,SETUP!$A$16:$A$22,1))))</f>
        <v>CORE</v>
      </c>
      <c r="K843" s="19" t="str">
        <f>IF($C843="","",IF($I843="","-",TEXT(INT($I843/1000)*1000,"#,##0")&amp;" - "&amp;TEXT(INT($I843/1000)*1000+999,"#,##0")))</f>
        <v>5,000 - 5,999</v>
      </c>
      <c r="L843" s="71">
        <v>5.3</v>
      </c>
      <c r="M843" s="19" t="str">
        <f>IF($C843="","",IF($L843="","-",INDEX(SETUP!$B$36:$B$42,MATCH($L843,SETUP!$A$36:$A$42,1))))</f>
        <v>5k - 6k</v>
      </c>
      <c r="N843" s="21">
        <f>IF($C843="","",IF(OR($G843="",$I843=""),"",ROUND(100*(SETUP!$B$4*MIN(1,$I843/SETUP!$B$9)+SETUP!$B$5*MAX(0,MIN(1,($G843-SETUP!$B$10)/(SETUP!$B$11-SETUP!$B$10)))+SETUP!$B$6*MIN(1,IF($L843="",0,$L843)/SETUP!$B$12)),1)))</f>
        <v>53.8</v>
      </c>
      <c r="O843" s="19" t="str">
        <f>IF($C843="","",IF($N843="","-",INDEX(SETUP!$B$46:$B$51,MATCH($N843,SETUP!$A$46:$A$51,1))))</f>
        <v>A</v>
      </c>
      <c r="P843" s="19">
        <f>IF($C843="","",IF($I843="","",RANK($I843,$I$4:$I$1463)+COUNTIF($I$4:$I843,$I843)-1))</f>
        <v>364</v>
      </c>
      <c r="Q843" s="19">
        <f>IF($C843="","",COUNTIFS($B$4:$B$1463,$B843,$X$4:$X$1463,"&gt;"&amp;$X843)+COUNTIFS($B$4:$B843,$B843,$X$4:$X843,"="&amp;$X843))</f>
        <v>42</v>
      </c>
      <c r="R843" s="75">
        <f>IF($C843="","",IF($I843="","",ROUND(COUNTIF($I$4:$I$1463,"&lt;"&amp;$I843)/COUNT($I$4:$I$1463),3)))</f>
        <v>0.72499999999999998</v>
      </c>
      <c r="S843" s="19" t="str">
        <f>IF($C843="","",IF($G843="","Name only",IF(OR($I843="",$L843=""),"Partial","Complete")))</f>
        <v>Complete</v>
      </c>
      <c r="T843" s="1" t="str">
        <f>IF($C843="","",TRIM(IF(COUNTIF($C$4:$C$1463,$C843)&gt;1,"Dup name; ","")&amp;IF(AND($G843&lt;&gt;"",$G843&lt;55000),"Low CR - verify; ","")&amp;IF(AND($L843&lt;&gt;"",$L843&gt;15),"Secondary - verify; ","")&amp;IF($E843="","No class; ","")))</f>
        <v/>
      </c>
      <c r="U843" s="68"/>
      <c r="V843" s="68"/>
      <c r="W843" s="68"/>
      <c r="X843" s="76">
        <f t="shared" si="67"/>
        <v>5284</v>
      </c>
      <c r="Y843" s="1" t="str">
        <f t="shared" si="68"/>
        <v>RECKONING|42</v>
      </c>
      <c r="Z843" s="19">
        <f>IF($C843="","",IF($G843="","",RANK($G843,$G$4:$G$1463)+COUNTIF($G$4:$G843,$G843)-1))</f>
        <v>253</v>
      </c>
      <c r="AA843" s="19">
        <f>IF($C843="","",IF($N843="","",RANK($N843,$N$4:$N$1463)+COUNTIF($N$4:$N843,$N843)-1))</f>
        <v>341</v>
      </c>
      <c r="AB843" s="1" t="str">
        <f>IF($C843="","",IF($E843="","",$E843&amp;"#"&amp;(COUNTIFS($E$4:$E$1463,$E843,$X$4:$X$1463,"&gt;"&amp;$X843)+COUNTIFS($E$4:$E843,$E843,$X$4:$X843,"="&amp;$X843))))</f>
        <v>MONK#8</v>
      </c>
      <c r="AC843" s="1" t="str">
        <f>IF($C843="","",$B843&amp;"@"&amp;(COUNTIFS($B$4:$B$1463,$B843,$C$4:$C$1463,"&lt;"&amp;$C843)+COUNTIFS($B$4:$B843,$B843,$C$4:$C843,$C843)))</f>
        <v>RECKONING@60</v>
      </c>
      <c r="AD843" s="1">
        <f t="shared" si="69"/>
        <v>840</v>
      </c>
      <c r="AE843" s="1" t="s">
        <v>1975</v>
      </c>
      <c r="AF843" s="76">
        <f t="shared" si="70"/>
        <v>63312</v>
      </c>
      <c r="AG843" s="77">
        <f t="shared" si="71"/>
        <v>5.3</v>
      </c>
      <c r="AH843" s="1" t="str">
        <f>IF($C843="","",$B843&amp;"|"&amp;(COUNTIFS($B$4:$B$1463,$B843,$AF$4:$AF$1463,"&gt;"&amp;$AF843)+COUNTIFS($B$4:$B843,$B843,$AF$4:$AF843,"="&amp;$AF843)))</f>
        <v>RECKONING|28</v>
      </c>
      <c r="AI843" s="1" t="str">
        <f>IF($C843="","",$B843&amp;"|"&amp;(COUNTIFS($B$4:$B$1463,$B843,$AG$4:$AG$1463,"&gt;"&amp;$AG843)+COUNTIFS($B$4:$B843,$B843,$AG$4:$AG843,"="&amp;$AG843)))</f>
        <v>RECKONING|55</v>
      </c>
    </row>
    <row r="844" spans="1:35" hidden="1">
      <c r="A844" s="69" t="s">
        <v>106</v>
      </c>
      <c r="B844" s="69" t="s">
        <v>86</v>
      </c>
      <c r="C844" s="63" t="s">
        <v>1976</v>
      </c>
      <c r="D844" s="69"/>
      <c r="E844" s="68" t="s">
        <v>71</v>
      </c>
      <c r="F844" s="15" t="str">
        <f>IF($C844="","",IF($E844="","-",IFERROR(INDEX(SETUP!$B$55:$B$64,MATCH($E844,SETUP!$A$55:$A$64,0)),"Other")))</f>
        <v>Frontline</v>
      </c>
      <c r="G844" s="70">
        <v>63917</v>
      </c>
      <c r="H844" s="15" t="str">
        <f>IF($C844="","",IF($G844="","-",INDEX(SETUP!$B$26:$B$32,MATCH($G844,SETUP!$A$26:$A$32,1))))</f>
        <v>63,000 - 63,999</v>
      </c>
      <c r="I844" s="70">
        <v>8390</v>
      </c>
      <c r="J844" s="15" t="str">
        <f>IF($C844="","",IF($I844="","-",INDEX(SETUP!$B$16:$B$22,MATCH($I844,SETUP!$A$16:$A$22,1))))</f>
        <v>ELITE</v>
      </c>
      <c r="K844" s="15" t="str">
        <f>IF($C844="","",IF($I844="","-",TEXT(INT($I844/1000)*1000,"#,##0")&amp;" - "&amp;TEXT(INT($I844/1000)*1000+999,"#,##0")))</f>
        <v>8,000 - 8,999</v>
      </c>
      <c r="L844" s="71">
        <v>7.2</v>
      </c>
      <c r="M844" s="15" t="str">
        <f>IF($C844="","",IF($L844="","-",INDEX(SETUP!$B$36:$B$42,MATCH($L844,SETUP!$A$36:$A$42,1))))</f>
        <v>6k - 8k</v>
      </c>
      <c r="N844" s="17">
        <f>IF($C844="","",IF(OR($G844="",$I844=""),"",ROUND(100*(SETUP!$B$4*MIN(1,$I844/SETUP!$B$9)+SETUP!$B$5*MAX(0,MIN(1,($G844-SETUP!$B$10)/(SETUP!$B$11-SETUP!$B$10)))+SETUP!$B$6*MIN(1,IF($L844="",0,$L844)/SETUP!$B$12)),1)))</f>
        <v>72.099999999999994</v>
      </c>
      <c r="O844" s="15" t="str">
        <f>IF($C844="","",IF($N844="","-",INDEX(SETUP!$B$46:$B$51,MATCH($N844,SETUP!$A$46:$A$51,1))))</f>
        <v>S</v>
      </c>
      <c r="P844" s="15">
        <f>IF($C844="","",IF($I844="","",RANK($I844,$I$4:$I$1463)+COUNTIF($I$4:$I844,$I844)-1))</f>
        <v>124</v>
      </c>
      <c r="Q844" s="15">
        <f>IF($C844="","",COUNTIFS($B$4:$B$1463,$B844,$X$4:$X$1463,"&gt;"&amp;$X844)+COUNTIFS($B$4:$B844,$B844,$X$4:$X844,"="&amp;$X844))</f>
        <v>27</v>
      </c>
      <c r="R844" s="72">
        <f>IF($C844="","",IF($I844="","",ROUND(COUNTIF($I$4:$I$1463,"&lt;"&amp;$I844)/COUNT($I$4:$I$1463),3)))</f>
        <v>0.90600000000000003</v>
      </c>
      <c r="S844" s="15" t="str">
        <f>IF($C844="","",IF($G844="","Name only",IF(OR($I844="",$L844=""),"Partial","Complete")))</f>
        <v>Complete</v>
      </c>
      <c r="T844" s="41" t="str">
        <f>IF($C844="","",TRIM(IF(COUNTIF($C$4:$C$1463,$C844)&gt;1,"Dup name; ","")&amp;IF(AND($G844&lt;&gt;"",$G844&lt;55000),"Low CR - verify; ","")&amp;IF(AND($L844&lt;&gt;"",$L844&gt;15),"Secondary - verify; ","")&amp;IF($E844="","No class; ","")))</f>
        <v/>
      </c>
      <c r="U844" s="68"/>
      <c r="V844" s="68"/>
      <c r="W844" s="68"/>
      <c r="X844" s="73">
        <f t="shared" si="67"/>
        <v>8390</v>
      </c>
      <c r="Y844" s="41" t="str">
        <f t="shared" si="68"/>
        <v>VANGUARD|27</v>
      </c>
      <c r="Z844" s="15">
        <f>IF($C844="","",IF($G844="","",RANK($G844,$G$4:$G$1463)+COUNTIF($G$4:$G844,$G844)-1))</f>
        <v>92</v>
      </c>
      <c r="AA844" s="15">
        <f>IF($C844="","",IF($N844="","",RANK($N844,$N$4:$N$1463)+COUNTIF($N$4:$N844,$N844)-1))</f>
        <v>112</v>
      </c>
      <c r="AB844" s="41" t="str">
        <f>IF($C844="","",IF($E844="","",$E844&amp;"#"&amp;(COUNTIFS($E$4:$E$1463,$E844,$X$4:$X$1463,"&gt;"&amp;$X844)+COUNTIFS($E$4:$E844,$E844,$X$4:$X844,"="&amp;$X844))))</f>
        <v>BARBARIAN#26</v>
      </c>
      <c r="AC844" s="41" t="str">
        <f>IF($C844="","",$B844&amp;"@"&amp;(COUNTIFS($B$4:$B$1463,$B844,$C$4:$C$1463,"&lt;"&amp;$C844)+COUNTIFS($B$4:$B844,$B844,$C$4:$C844,$C844)))</f>
        <v>VANGUARD@66</v>
      </c>
      <c r="AD844" s="41">
        <f t="shared" si="69"/>
        <v>841</v>
      </c>
      <c r="AE844" s="41" t="s">
        <v>1977</v>
      </c>
      <c r="AF844" s="73">
        <f t="shared" si="70"/>
        <v>63917</v>
      </c>
      <c r="AG844" s="74">
        <f t="shared" si="71"/>
        <v>7.2</v>
      </c>
      <c r="AH844" s="41" t="str">
        <f>IF($C844="","",$B844&amp;"|"&amp;(COUNTIFS($B$4:$B$1463,$B844,$AF$4:$AF$1463,"&gt;"&amp;$AF844)+COUNTIFS($B$4:$B844,$B844,$AF$4:$AF844,"="&amp;$AF844)))</f>
        <v>VANGUARD|24</v>
      </c>
      <c r="AI844" s="41" t="str">
        <f>IF($C844="","",$B844&amp;"|"&amp;(COUNTIFS($B$4:$B$1463,$B844,$AG$4:$AG$1463,"&gt;"&amp;$AG844)+COUNTIFS($B$4:$B844,$B844,$AG$4:$AG844,"="&amp;$AG844)))</f>
        <v>VANGUARD|15</v>
      </c>
    </row>
    <row r="845" spans="1:35">
      <c r="A845" s="69" t="s">
        <v>104</v>
      </c>
      <c r="B845" s="69" t="s">
        <v>66</v>
      </c>
      <c r="C845" s="63" t="s">
        <v>2910</v>
      </c>
      <c r="D845" s="69" t="s">
        <v>1019</v>
      </c>
      <c r="E845" s="68" t="s">
        <v>74</v>
      </c>
      <c r="F845" s="19" t="str">
        <f>IF($C845="","",IF($E845="","-",IFERROR(INDEX(SETUP!$B$55:$B$64,MATCH($E845,SETUP!$A$55:$A$64,0)),"Other")))</f>
        <v>Ranged DPS</v>
      </c>
      <c r="G845" s="70">
        <v>63864</v>
      </c>
      <c r="H845" s="19" t="str">
        <f>IF($C845="","",IF($G845="","-",INDEX(SETUP!$B$26:$B$32,MATCH($G845,SETUP!$A$26:$A$32,1))))</f>
        <v>63,000 - 63,999</v>
      </c>
      <c r="I845" s="70">
        <v>8011</v>
      </c>
      <c r="J845" s="19" t="str">
        <f>IF($C845="","",IF($I845="","-",INDEX(SETUP!$B$16:$B$22,MATCH($I845,SETUP!$A$16:$A$22,1))))</f>
        <v>ELITE</v>
      </c>
      <c r="K845" s="19" t="str">
        <f>IF($C845="","",IF($I845="","-",TEXT(INT($I845/1000)*1000,"#,##0")&amp;" - "&amp;TEXT(INT($I845/1000)*1000+999,"#,##0")))</f>
        <v>8,000 - 8,999</v>
      </c>
      <c r="L845" s="71">
        <v>5.6</v>
      </c>
      <c r="M845" s="19" t="str">
        <f>IF($C845="","",IF($L845="","-",INDEX(SETUP!$B$36:$B$42,MATCH($L845,SETUP!$A$36:$A$42,1))))</f>
        <v>5k - 6k</v>
      </c>
      <c r="N845" s="21">
        <f>IF($C845="","",IF(OR($G845="",$I845=""),"",ROUND(100*(SETUP!$B$4*MIN(1,$I845/SETUP!$B$9)+SETUP!$B$5*MAX(0,MIN(1,($G845-SETUP!$B$10)/(SETUP!$B$11-SETUP!$B$10)))+SETUP!$B$6*MIN(1,IF($L845="",0,$L845)/SETUP!$B$12)),1)))</f>
        <v>67.599999999999994</v>
      </c>
      <c r="O845" s="19" t="str">
        <f>IF($C845="","",IF($N845="","-",INDEX(SETUP!$B$46:$B$51,MATCH($N845,SETUP!$A$46:$A$51,1))))</f>
        <v>S</v>
      </c>
      <c r="P845" s="19">
        <f>IF($C845="","",IF($I845="","",RANK($I845,$I$4:$I$1463)+COUNTIF($I$4:$I845,$I845)-1))</f>
        <v>149</v>
      </c>
      <c r="Q845" s="19">
        <f>IF($C845="","",COUNTIFS($B$4:$B$1463,$B845,$X$4:$X$1463,"&gt;"&amp;$X845)+COUNTIFS($B$4:$B845,$B845,$X$4:$X845,"="&amp;$X845))</f>
        <v>14</v>
      </c>
      <c r="R845" s="75">
        <f>IF($C845="","",IF($I845="","",ROUND(COUNTIF($I$4:$I$1463,"&lt;"&amp;$I845)/COUNT($I$4:$I$1463),3)))</f>
        <v>0.88800000000000001</v>
      </c>
      <c r="S845" s="19" t="str">
        <f>IF($C845="","",IF($G845="","Name only",IF(OR($I845="",$L845=""),"Partial","Complete")))</f>
        <v>Complete</v>
      </c>
      <c r="T845" s="1" t="str">
        <f>IF($C845="","",TRIM(IF(COUNTIF($C$4:$C$1463,$C845)&gt;1,"Dup name; ","")&amp;IF(AND($G845&lt;&gt;"",$G845&lt;55000),"Low CR - verify; ","")&amp;IF(AND($L845&lt;&gt;"",$L845&gt;15),"Secondary - verify; ","")&amp;IF($E845="","No class; ","")))</f>
        <v/>
      </c>
      <c r="U845" s="68" t="s">
        <v>263</v>
      </c>
      <c r="V845" s="68" t="s">
        <v>388</v>
      </c>
      <c r="W845" s="68" t="s">
        <v>285</v>
      </c>
      <c r="X845" s="76">
        <f t="shared" si="67"/>
        <v>8011</v>
      </c>
      <c r="Y845" s="1" t="str">
        <f t="shared" si="68"/>
        <v>FUCT|14</v>
      </c>
      <c r="Z845" s="19">
        <f>IF($C845="","",IF($G845="","",RANK($G845,$G$4:$G$1463)+COUNTIF($G$4:$G845,$G845)-1))</f>
        <v>107</v>
      </c>
      <c r="AA845" s="19">
        <f>IF($C845="","",IF($N845="","",RANK($N845,$N$4:$N$1463)+COUNTIF($N$4:$N845,$N845)-1))</f>
        <v>151</v>
      </c>
      <c r="AB845" s="1" t="str">
        <f>IF($C845="","",IF($E845="","",$E845&amp;"#"&amp;(COUNTIFS($E$4:$E$1463,$E845,$X$4:$X$1463,"&gt;"&amp;$X845)+COUNTIFS($E$4:$E845,$E845,$X$4:$X845,"="&amp;$X845))))</f>
        <v>DEMON HUNTER#25</v>
      </c>
      <c r="AC845" s="1" t="str">
        <f>IF($C845="","",$B845&amp;"@"&amp;(COUNTIFS($B$4:$B$1463,$B845,$C$4:$C$1463,"&lt;"&amp;$C845)+COUNTIFS($B$4:$B845,$B845,$C$4:$C845,$C845)))</f>
        <v>FUCT@62</v>
      </c>
      <c r="AD845" s="1">
        <f t="shared" si="69"/>
        <v>842</v>
      </c>
      <c r="AE845" s="1" t="s">
        <v>1477</v>
      </c>
      <c r="AF845" s="76">
        <f t="shared" si="70"/>
        <v>63864</v>
      </c>
      <c r="AG845" s="77">
        <f t="shared" si="71"/>
        <v>5.6</v>
      </c>
      <c r="AH845" s="1" t="str">
        <f>IF($C845="","",$B845&amp;"|"&amp;(COUNTIFS($B$4:$B$1463,$B845,$AF$4:$AF$1463,"&gt;"&amp;$AF845)+COUNTIFS($B$4:$B845,$B845,$AF$4:$AF845,"="&amp;$AF845)))</f>
        <v>FUCT|9</v>
      </c>
      <c r="AI845" s="1" t="str">
        <f>IF($C845="","",$B845&amp;"|"&amp;(COUNTIFS($B$4:$B$1463,$B845,$AG$4:$AG$1463,"&gt;"&amp;$AG845)+COUNTIFS($B$4:$B845,$B845,$AG$4:$AG845,"="&amp;$AG845)))</f>
        <v>FUCT|27</v>
      </c>
    </row>
    <row r="846" spans="1:35" hidden="1">
      <c r="A846" s="69" t="s">
        <v>109</v>
      </c>
      <c r="B846" s="69" t="s">
        <v>112</v>
      </c>
      <c r="C846" s="63" t="s">
        <v>1979</v>
      </c>
      <c r="D846" s="69" t="s">
        <v>567</v>
      </c>
      <c r="E846" s="68" t="s">
        <v>71</v>
      </c>
      <c r="F846" s="15" t="str">
        <f>IF($C846="","",IF($E846="","-",IFERROR(INDEX(SETUP!$B$55:$B$64,MATCH($E846,SETUP!$A$55:$A$64,0)),"Other")))</f>
        <v>Frontline</v>
      </c>
      <c r="G846" s="70">
        <v>62989</v>
      </c>
      <c r="H846" s="15" t="str">
        <f>IF($C846="","",IF($G846="","-",INDEX(SETUP!$B$26:$B$32,MATCH($G846,SETUP!$A$26:$A$32,1))))</f>
        <v>62,000 - 62,999</v>
      </c>
      <c r="I846" s="70">
        <v>5699</v>
      </c>
      <c r="J846" s="15" t="str">
        <f>IF($C846="","",IF($I846="","-",INDEX(SETUP!$B$16:$B$22,MATCH($I846,SETUP!$A$16:$A$22,1))))</f>
        <v>CORE</v>
      </c>
      <c r="K846" s="15" t="str">
        <f>IF($C846="","",IF($I846="","-",TEXT(INT($I846/1000)*1000,"#,##0")&amp;" - "&amp;TEXT(INT($I846/1000)*1000+999,"#,##0")))</f>
        <v>5,000 - 5,999</v>
      </c>
      <c r="L846" s="71">
        <v>5.85</v>
      </c>
      <c r="M846" s="15" t="str">
        <f>IF($C846="","",IF($L846="","-",INDEX(SETUP!$B$36:$B$42,MATCH($L846,SETUP!$A$36:$A$42,1))))</f>
        <v>5k - 6k</v>
      </c>
      <c r="N846" s="17">
        <f>IF($C846="","",IF(OR($G846="",$I846=""),"",ROUND(100*(SETUP!$B$4*MIN(1,$I846/SETUP!$B$9)+SETUP!$B$5*MAX(0,MIN(1,($G846-SETUP!$B$10)/(SETUP!$B$11-SETUP!$B$10)))+SETUP!$B$6*MIN(1,IF($L846="",0,$L846)/SETUP!$B$12)),1)))</f>
        <v>55.7</v>
      </c>
      <c r="O846" s="15" t="str">
        <f>IF($C846="","",IF($N846="","-",INDEX(SETUP!$B$46:$B$51,MATCH($N846,SETUP!$A$46:$A$51,1))))</f>
        <v>A</v>
      </c>
      <c r="P846" s="15">
        <f>IF($C846="","",IF($I846="","",RANK($I846,$I$4:$I$1463)+COUNTIF($I$4:$I846,$I846)-1))</f>
        <v>313</v>
      </c>
      <c r="Q846" s="15">
        <f>IF($C846="","",COUNTIFS($B$4:$B$1463,$B846,$X$4:$X$1463,"&gt;"&amp;$X846)+COUNTIFS($B$4:$B846,$B846,$X$4:$X846,"="&amp;$X846))</f>
        <v>16</v>
      </c>
      <c r="R846" s="72">
        <f>IF($C846="","",IF($I846="","",ROUND(COUNTIF($I$4:$I$1463,"&lt;"&amp;$I846)/COUNT($I$4:$I$1463),3)))</f>
        <v>0.76400000000000001</v>
      </c>
      <c r="S846" s="15" t="str">
        <f>IF($C846="","",IF($G846="","Name only",IF(OR($I846="",$L846=""),"Partial","Complete")))</f>
        <v>Complete</v>
      </c>
      <c r="T846" s="41" t="str">
        <f>IF($C846="","",TRIM(IF(COUNTIF($C$4:$C$1463,$C846)&gt;1,"Dup name; ","")&amp;IF(AND($G846&lt;&gt;"",$G846&lt;55000),"Low CR - verify; ","")&amp;IF(AND($L846&lt;&gt;"",$L846&gt;15),"Secondary - verify; ","")&amp;IF($E846="","No class; ","")))</f>
        <v/>
      </c>
      <c r="U846" s="68"/>
      <c r="V846" s="68"/>
      <c r="W846" s="68"/>
      <c r="X846" s="73">
        <f t="shared" si="67"/>
        <v>5699</v>
      </c>
      <c r="Y846" s="41" t="str">
        <f t="shared" si="68"/>
        <v>ACHERON|16</v>
      </c>
      <c r="Z846" s="15">
        <f>IF($C846="","",IF($G846="","",RANK($G846,$G$4:$G$1463)+COUNTIF($G$4:$G846,$G846)-1))</f>
        <v>433</v>
      </c>
      <c r="AA846" s="15">
        <f>IF($C846="","",IF($N846="","",RANK($N846,$N$4:$N$1463)+COUNTIF($N$4:$N846,$N846)-1))</f>
        <v>301</v>
      </c>
      <c r="AB846" s="41" t="str">
        <f>IF($C846="","",IF($E846="","",$E846&amp;"#"&amp;(COUNTIFS($E$4:$E$1463,$E846,$X$4:$X$1463,"&gt;"&amp;$X846)+COUNTIFS($E$4:$E846,$E846,$X$4:$X846,"="&amp;$X846))))</f>
        <v>BARBARIAN#62</v>
      </c>
      <c r="AC846" s="41" t="str">
        <f>IF($C846="","",$B846&amp;"@"&amp;(COUNTIFS($B$4:$B$1463,$B846,$C$4:$C$1463,"&lt;"&amp;$C846)+COUNTIFS($B$4:$B846,$B846,$C$4:$C846,$C846)))</f>
        <v>ACHERON@54</v>
      </c>
      <c r="AD846" s="41">
        <f t="shared" si="69"/>
        <v>843</v>
      </c>
      <c r="AE846" s="41" t="s">
        <v>1980</v>
      </c>
      <c r="AF846" s="73">
        <f t="shared" si="70"/>
        <v>62989</v>
      </c>
      <c r="AG846" s="74">
        <f t="shared" si="71"/>
        <v>5.85</v>
      </c>
      <c r="AH846" s="41" t="str">
        <f>IF($C846="","",$B846&amp;"|"&amp;(COUNTIFS($B$4:$B$1463,$B846,$AF$4:$AF$1463,"&gt;"&amp;$AF846)+COUNTIFS($B$4:$B846,$B846,$AF$4:$AF846,"="&amp;$AF846)))</f>
        <v>ACHERON|32</v>
      </c>
      <c r="AI846" s="41" t="str">
        <f>IF($C846="","",$B846&amp;"|"&amp;(COUNTIFS($B$4:$B$1463,$B846,$AG$4:$AG$1463,"&gt;"&amp;$AG846)+COUNTIFS($B$4:$B846,$B846,$AG$4:$AG846,"="&amp;$AG846)))</f>
        <v>ACHERON|19</v>
      </c>
    </row>
    <row r="847" spans="1:35" hidden="1">
      <c r="A847" s="69" t="s">
        <v>109</v>
      </c>
      <c r="B847" s="69" t="s">
        <v>118</v>
      </c>
      <c r="C847" s="63" t="s">
        <v>1981</v>
      </c>
      <c r="D847" s="69"/>
      <c r="E847" s="68" t="s">
        <v>79</v>
      </c>
      <c r="F847" s="19" t="str">
        <f>IF($C847="","",IF($E847="","-",IFERROR(INDEX(SETUP!$B$55:$B$64,MATCH($E847,SETUP!$A$55:$A$64,0)),"Other")))</f>
        <v>Control</v>
      </c>
      <c r="G847" s="70">
        <v>62551</v>
      </c>
      <c r="H847" s="19" t="str">
        <f>IF($C847="","",IF($G847="","-",INDEX(SETUP!$B$26:$B$32,MATCH($G847,SETUP!$A$26:$A$32,1))))</f>
        <v>62,000 - 62,999</v>
      </c>
      <c r="I847" s="70">
        <v>2106</v>
      </c>
      <c r="J847" s="19" t="str">
        <f>IF($C847="","",IF($I847="","-",INDEX(SETUP!$B$16:$B$22,MATCH($I847,SETUP!$A$16:$A$22,1))))</f>
        <v>DEVELOPING</v>
      </c>
      <c r="K847" s="19" t="str">
        <f>IF($C847="","",IF($I847="","-",TEXT(INT($I847/1000)*1000,"#,##0")&amp;" - "&amp;TEXT(INT($I847/1000)*1000+999,"#,##0")))</f>
        <v>2,000 - 2,999</v>
      </c>
      <c r="L847" s="71">
        <v>5.2</v>
      </c>
      <c r="M847" s="19" t="str">
        <f>IF($C847="","",IF($L847="","-",INDEX(SETUP!$B$36:$B$42,MATCH($L847,SETUP!$A$36:$A$42,1))))</f>
        <v>5k - 6k</v>
      </c>
      <c r="N847" s="21">
        <f>IF($C847="","",IF(OR($G847="",$I847=""),"",ROUND(100*(SETUP!$B$4*MIN(1,$I847/SETUP!$B$9)+SETUP!$B$5*MAX(0,MIN(1,($G847-SETUP!$B$10)/(SETUP!$B$11-SETUP!$B$10)))+SETUP!$B$6*MIN(1,IF($L847="",0,$L847)/SETUP!$B$12)),1)))</f>
        <v>37.700000000000003</v>
      </c>
      <c r="O847" s="19" t="str">
        <f>IF($C847="","",IF($N847="","-",INDEX(SETUP!$B$46:$B$51,MATCH($N847,SETUP!$A$46:$A$51,1))))</f>
        <v>B</v>
      </c>
      <c r="P847" s="19">
        <f>IF($C847="","",IF($I847="","",RANK($I847,$I$4:$I$1463)+COUNTIF($I$4:$I847,$I847)-1))</f>
        <v>1087</v>
      </c>
      <c r="Q847" s="19">
        <f>IF($C847="","",COUNTIFS($B$4:$B$1463,$B847,$X$4:$X$1463,"&gt;"&amp;$X847)+COUNTIFS($B$4:$B847,$B847,$X$4:$X847,"="&amp;$X847))</f>
        <v>37</v>
      </c>
      <c r="R847" s="75">
        <f>IF($C847="","",IF($I847="","",ROUND(COUNTIF($I$4:$I$1463,"&lt;"&amp;$I847)/COUNT($I$4:$I$1463),3)))</f>
        <v>0.18</v>
      </c>
      <c r="S847" s="19" t="str">
        <f>IF($C847="","",IF($G847="","Name only",IF(OR($I847="",$L847=""),"Partial","Complete")))</f>
        <v>Complete</v>
      </c>
      <c r="T847" s="1" t="str">
        <f>IF($C847="","",TRIM(IF(COUNTIF($C$4:$C$1463,$C847)&gt;1,"Dup name; ","")&amp;IF(AND($G847&lt;&gt;"",$G847&lt;55000),"Low CR - verify; ","")&amp;IF(AND($L847&lt;&gt;"",$L847&gt;15),"Secondary - verify; ","")&amp;IF($E847="","No class; ","")))</f>
        <v/>
      </c>
      <c r="U847" s="68"/>
      <c r="V847" s="68"/>
      <c r="W847" s="68"/>
      <c r="X847" s="76">
        <f t="shared" si="67"/>
        <v>2106</v>
      </c>
      <c r="Y847" s="1" t="str">
        <f t="shared" si="68"/>
        <v>ZOMBIES|37</v>
      </c>
      <c r="Z847" s="19">
        <f>IF($C847="","",IF($G847="","",RANK($G847,$G$4:$G$1463)+COUNTIF($G$4:$G847,$G847)-1))</f>
        <v>633</v>
      </c>
      <c r="AA847" s="19">
        <f>IF($C847="","",IF($N847="","",RANK($N847,$N$4:$N$1463)+COUNTIF($N$4:$N847,$N847)-1))</f>
        <v>908</v>
      </c>
      <c r="AB847" s="1" t="str">
        <f>IF($C847="","",IF($E847="","",$E847&amp;"#"&amp;(COUNTIFS($E$4:$E$1463,$E847,$X$4:$X$1463,"&gt;"&amp;$X847)+COUNTIFS($E$4:$E847,$E847,$X$4:$X847,"="&amp;$X847))))</f>
        <v>WARLOCK#271</v>
      </c>
      <c r="AC847" s="1" t="str">
        <f>IF($C847="","",$B847&amp;"@"&amp;(COUNTIFS($B$4:$B$1463,$B847,$C$4:$C$1463,"&lt;"&amp;$C847)+COUNTIFS($B$4:$B847,$B847,$C$4:$C847,$C847)))</f>
        <v>ZOMBIES@59</v>
      </c>
      <c r="AD847" s="1">
        <f t="shared" si="69"/>
        <v>844</v>
      </c>
      <c r="AE847" s="1" t="s">
        <v>757</v>
      </c>
      <c r="AF847" s="76">
        <f t="shared" si="70"/>
        <v>62551</v>
      </c>
      <c r="AG847" s="77">
        <f t="shared" si="71"/>
        <v>5.2</v>
      </c>
      <c r="AH847" s="1" t="str">
        <f>IF($C847="","",$B847&amp;"|"&amp;(COUNTIFS($B$4:$B$1463,$B847,$AF$4:$AF$1463,"&gt;"&amp;$AF847)+COUNTIFS($B$4:$B847,$B847,$AF$4:$AF847,"="&amp;$AF847)))</f>
        <v>ZOMBIES|14</v>
      </c>
      <c r="AI847" s="1" t="str">
        <f>IF($C847="","",$B847&amp;"|"&amp;(COUNTIFS($B$4:$B$1463,$B847,$AG$4:$AG$1463,"&gt;"&amp;$AG847)+COUNTIFS($B$4:$B847,$B847,$AG$4:$AG847,"="&amp;$AG847)))</f>
        <v>ZOMBIES|9</v>
      </c>
    </row>
    <row r="848" spans="1:35" hidden="1">
      <c r="A848" s="69" t="s">
        <v>109</v>
      </c>
      <c r="B848" s="69" t="s">
        <v>115</v>
      </c>
      <c r="C848" s="63" t="s">
        <v>1982</v>
      </c>
      <c r="D848" s="69"/>
      <c r="E848" s="68" t="s">
        <v>79</v>
      </c>
      <c r="F848" s="15" t="str">
        <f>IF($C848="","",IF($E848="","-",IFERROR(INDEX(SETUP!$B$55:$B$64,MATCH($E848,SETUP!$A$55:$A$64,0)),"Other")))</f>
        <v>Control</v>
      </c>
      <c r="G848" s="70">
        <v>62118</v>
      </c>
      <c r="H848" s="15" t="str">
        <f>IF($C848="","",IF($G848="","-",INDEX(SETUP!$B$26:$B$32,MATCH($G848,SETUP!$A$26:$A$32,1))))</f>
        <v>62,000 - 62,999</v>
      </c>
      <c r="I848" s="70">
        <v>1327</v>
      </c>
      <c r="J848" s="15" t="str">
        <f>IF($C848="","",IF($I848="","-",INDEX(SETUP!$B$16:$B$22,MATCH($I848,SETUP!$A$16:$A$22,1))))</f>
        <v>ROOKIE</v>
      </c>
      <c r="K848" s="15" t="str">
        <f>IF($C848="","",IF($I848="","-",TEXT(INT($I848/1000)*1000,"#,##0")&amp;" - "&amp;TEXT(INT($I848/1000)*1000+999,"#,##0")))</f>
        <v>1,000 - 1,999</v>
      </c>
      <c r="L848" s="71">
        <v>3</v>
      </c>
      <c r="M848" s="15" t="str">
        <f>IF($C848="","",IF($L848="","-",INDEX(SETUP!$B$36:$B$42,MATCH($L848,SETUP!$A$36:$A$42,1))))</f>
        <v>3k - 4k</v>
      </c>
      <c r="N848" s="17">
        <f>IF($C848="","",IF(OR($G848="",$I848=""),"",ROUND(100*(SETUP!$B$4*MIN(1,$I848/SETUP!$B$9)+SETUP!$B$5*MAX(0,MIN(1,($G848-SETUP!$B$10)/(SETUP!$B$11-SETUP!$B$10)))+SETUP!$B$6*MIN(1,IF($L848="",0,$L848)/SETUP!$B$12)),1)))</f>
        <v>29.5</v>
      </c>
      <c r="O848" s="15" t="str">
        <f>IF($C848="","",IF($N848="","-",INDEX(SETUP!$B$46:$B$51,MATCH($N848,SETUP!$A$46:$A$51,1))))</f>
        <v>C</v>
      </c>
      <c r="P848" s="15">
        <f>IF($C848="","",IF($I848="","",RANK($I848,$I$4:$I$1463)+COUNTIF($I$4:$I848,$I848)-1))</f>
        <v>1224</v>
      </c>
      <c r="Q848" s="15">
        <f>IF($C848="","",COUNTIFS($B$4:$B$1463,$B848,$X$4:$X$1463,"&gt;"&amp;$X848)+COUNTIFS($B$4:$B848,$B848,$X$4:$X848,"="&amp;$X848))</f>
        <v>55</v>
      </c>
      <c r="R848" s="72">
        <f>IF($C848="","",IF($I848="","",ROUND(COUNTIF($I$4:$I$1463,"&lt;"&amp;$I848)/COUNT($I$4:$I$1463),3)))</f>
        <v>7.5999999999999998E-2</v>
      </c>
      <c r="S848" s="15" t="str">
        <f>IF($C848="","",IF($G848="","Name only",IF(OR($I848="",$L848=""),"Partial","Complete")))</f>
        <v>Complete</v>
      </c>
      <c r="T848" s="41" t="str">
        <f>IF($C848="","",TRIM(IF(COUNTIF($C$4:$C$1463,$C848)&gt;1,"Dup name; ","")&amp;IF(AND($G848&lt;&gt;"",$G848&lt;55000),"Low CR - verify; ","")&amp;IF(AND($L848&lt;&gt;"",$L848&gt;15),"Secondary - verify; ","")&amp;IF($E848="","No class; ","")))</f>
        <v/>
      </c>
      <c r="U848" s="68"/>
      <c r="V848" s="68"/>
      <c r="W848" s="68"/>
      <c r="X848" s="73">
        <f t="shared" si="67"/>
        <v>1327</v>
      </c>
      <c r="Y848" s="41" t="str">
        <f t="shared" si="68"/>
        <v>SUB ROSA|55</v>
      </c>
      <c r="Z848" s="15">
        <f>IF($C848="","",IF($G848="","",RANK($G848,$G$4:$G$1463)+COUNTIF($G$4:$G848,$G848)-1))</f>
        <v>792</v>
      </c>
      <c r="AA848" s="15">
        <f>IF($C848="","",IF($N848="","",RANK($N848,$N$4:$N$1463)+COUNTIF($N$4:$N848,$N848)-1))</f>
        <v>1157</v>
      </c>
      <c r="AB848" s="41" t="str">
        <f>IF($C848="","",IF($E848="","",$E848&amp;"#"&amp;(COUNTIFS($E$4:$E$1463,$E848,$X$4:$X$1463,"&gt;"&amp;$X848)+COUNTIFS($E$4:$E848,$E848,$X$4:$X848,"="&amp;$X848))))</f>
        <v>WARLOCK#302</v>
      </c>
      <c r="AC848" s="41" t="str">
        <f>IF($C848="","",$B848&amp;"@"&amp;(COUNTIFS($B$4:$B$1463,$B848,$C$4:$C$1463,"&lt;"&amp;$C848)+COUNTIFS($B$4:$B848,$B848,$C$4:$C848,$C848)))</f>
        <v>SUB ROSA@54</v>
      </c>
      <c r="AD848" s="41">
        <f t="shared" si="69"/>
        <v>845</v>
      </c>
      <c r="AE848" s="41" t="s">
        <v>1899</v>
      </c>
      <c r="AF848" s="73">
        <f t="shared" si="70"/>
        <v>62118</v>
      </c>
      <c r="AG848" s="74">
        <f t="shared" si="71"/>
        <v>3</v>
      </c>
      <c r="AH848" s="41" t="str">
        <f>IF($C848="","",$B848&amp;"|"&amp;(COUNTIFS($B$4:$B$1463,$B848,$AF$4:$AF$1463,"&gt;"&amp;$AF848)+COUNTIFS($B$4:$B848,$B848,$AF$4:$AF848,"="&amp;$AF848)))</f>
        <v>SUB ROSA|29</v>
      </c>
      <c r="AI848" s="41" t="str">
        <f>IF($C848="","",$B848&amp;"|"&amp;(COUNTIFS($B$4:$B$1463,$B848,$AG$4:$AG$1463,"&gt;"&amp;$AG848)+COUNTIFS($B$4:$B848,$B848,$AG$4:$AG848,"="&amp;$AG848)))</f>
        <v>SUB ROSA|54</v>
      </c>
    </row>
    <row r="849" spans="1:35" hidden="1">
      <c r="A849" s="69" t="s">
        <v>109</v>
      </c>
      <c r="B849" s="69" t="s">
        <v>117</v>
      </c>
      <c r="C849" s="63" t="s">
        <v>1983</v>
      </c>
      <c r="D849" s="69"/>
      <c r="E849" s="68" t="s">
        <v>78</v>
      </c>
      <c r="F849" s="19" t="str">
        <f>IF($C849="","",IF($E849="","-",IFERROR(INDEX(SETUP!$B$55:$B$64,MATCH($E849,SETUP!$A$55:$A$64,0)),"Other")))</f>
        <v>Melee DPS</v>
      </c>
      <c r="G849" s="70">
        <v>60408</v>
      </c>
      <c r="H849" s="19" t="str">
        <f>IF($C849="","",IF($G849="","-",INDEX(SETUP!$B$26:$B$32,MATCH($G849,SETUP!$A$26:$A$32,1))))</f>
        <v>60,000 - 60,999</v>
      </c>
      <c r="I849" s="70">
        <v>3024</v>
      </c>
      <c r="J849" s="19" t="str">
        <f>IF($C849="","",IF($I849="","-",INDEX(SETUP!$B$16:$B$22,MATCH($I849,SETUP!$A$16:$A$22,1))))</f>
        <v>DEVELOPING</v>
      </c>
      <c r="K849" s="19" t="str">
        <f>IF($C849="","",IF($I849="","-",TEXT(INT($I849/1000)*1000,"#,##0")&amp;" - "&amp;TEXT(INT($I849/1000)*1000+999,"#,##0")))</f>
        <v>3,000 - 3,999</v>
      </c>
      <c r="L849" s="71">
        <v>4.7</v>
      </c>
      <c r="M849" s="19" t="str">
        <f>IF($C849="","",IF($L849="","-",INDEX(SETUP!$B$36:$B$42,MATCH($L849,SETUP!$A$36:$A$42,1))))</f>
        <v>4k - 5k</v>
      </c>
      <c r="N849" s="21">
        <f>IF($C849="","",IF(OR($G849="",$I849=""),"",ROUND(100*(SETUP!$B$4*MIN(1,$I849/SETUP!$B$9)+SETUP!$B$5*MAX(0,MIN(1,($G849-SETUP!$B$10)/(SETUP!$B$11-SETUP!$B$10)))+SETUP!$B$6*MIN(1,IF($L849="",0,$L849)/SETUP!$B$12)),1)))</f>
        <v>35.299999999999997</v>
      </c>
      <c r="O849" s="19" t="str">
        <f>IF($C849="","",IF($N849="","-",INDEX(SETUP!$B$46:$B$51,MATCH($N849,SETUP!$A$46:$A$51,1))))</f>
        <v>B</v>
      </c>
      <c r="P849" s="19">
        <f>IF($C849="","",IF($I849="","",RANK($I849,$I$4:$I$1463)+COUNTIF($I$4:$I849,$I849)-1))</f>
        <v>872</v>
      </c>
      <c r="Q849" s="19">
        <f>IF($C849="","",COUNTIFS($B$4:$B$1463,$B849,$X$4:$X$1463,"&gt;"&amp;$X849)+COUNTIFS($B$4:$B849,$B849,$X$4:$X849,"="&amp;$X849))</f>
        <v>14</v>
      </c>
      <c r="R849" s="75">
        <f>IF($C849="","",IF($I849="","",ROUND(COUNTIF($I$4:$I$1463,"&lt;"&amp;$I849)/COUNT($I$4:$I$1463),3)))</f>
        <v>0.34200000000000003</v>
      </c>
      <c r="S849" s="19" t="str">
        <f>IF($C849="","",IF($G849="","Name only",IF(OR($I849="",$L849=""),"Partial","Complete")))</f>
        <v>Complete</v>
      </c>
      <c r="T849" s="1" t="str">
        <f>IF($C849="","",TRIM(IF(COUNTIF($C$4:$C$1463,$C849)&gt;1,"Dup name; ","")&amp;IF(AND($G849&lt;&gt;"",$G849&lt;55000),"Low CR - verify; ","")&amp;IF(AND($L849&lt;&gt;"",$L849&gt;15),"Secondary - verify; ","")&amp;IF($E849="","No class; ","")))</f>
        <v/>
      </c>
      <c r="U849" s="68"/>
      <c r="V849" s="68"/>
      <c r="W849" s="68"/>
      <c r="X849" s="76">
        <f t="shared" si="67"/>
        <v>3024</v>
      </c>
      <c r="Y849" s="1" t="str">
        <f t="shared" si="68"/>
        <v>VENDETTA|14</v>
      </c>
      <c r="Z849" s="19">
        <f>IF($C849="","",IF($G849="","",RANK($G849,$G$4:$G$1463)+COUNTIF($G$4:$G849,$G849)-1))</f>
        <v>1218</v>
      </c>
      <c r="AA849" s="19">
        <f>IF($C849="","",IF($N849="","",RANK($N849,$N$4:$N$1463)+COUNTIF($N$4:$N849,$N849)-1))</f>
        <v>998</v>
      </c>
      <c r="AB849" s="1" t="str">
        <f>IF($C849="","",IF($E849="","",$E849&amp;"#"&amp;(COUNTIFS($E$4:$E$1463,$E849,$X$4:$X$1463,"&gt;"&amp;$X849)+COUNTIFS($E$4:$E849,$E849,$X$4:$X849,"="&amp;$X849))))</f>
        <v>TEMPEST#36</v>
      </c>
      <c r="AC849" s="1" t="str">
        <f>IF($C849="","",$B849&amp;"@"&amp;(COUNTIFS($B$4:$B$1463,$B849,$C$4:$C$1463,"&lt;"&amp;$C849)+COUNTIFS($B$4:$B849,$B849,$C$4:$C849,$C849)))</f>
        <v>VENDETTA@64</v>
      </c>
      <c r="AD849" s="1">
        <f t="shared" si="69"/>
        <v>846</v>
      </c>
      <c r="AE849" s="1" t="s">
        <v>1984</v>
      </c>
      <c r="AF849" s="76">
        <f t="shared" si="70"/>
        <v>60408</v>
      </c>
      <c r="AG849" s="77">
        <f t="shared" si="71"/>
        <v>4.7</v>
      </c>
      <c r="AH849" s="1" t="str">
        <f>IF($C849="","",$B849&amp;"|"&amp;(COUNTIFS($B$4:$B$1463,$B849,$AF$4:$AF$1463,"&gt;"&amp;$AF849)+COUNTIFS($B$4:$B849,$B849,$AF$4:$AF849,"="&amp;$AF849)))</f>
        <v>VENDETTA|82</v>
      </c>
      <c r="AI849" s="1" t="str">
        <f>IF($C849="","",$B849&amp;"|"&amp;(COUNTIFS($B$4:$B$1463,$B849,$AG$4:$AG$1463,"&gt;"&amp;$AG849)+COUNTIFS($B$4:$B849,$B849,$AG$4:$AG849,"="&amp;$AG849)))</f>
        <v>VENDETTA|14</v>
      </c>
    </row>
    <row r="850" spans="1:35" hidden="1">
      <c r="A850" s="69" t="s">
        <v>109</v>
      </c>
      <c r="B850" s="69" t="s">
        <v>115</v>
      </c>
      <c r="C850" s="63" t="s">
        <v>1985</v>
      </c>
      <c r="D850" s="69"/>
      <c r="E850" s="68"/>
      <c r="F850" s="15" t="str">
        <f>IF($C850="","",IF($E850="","-",IFERROR(INDEX(SETUP!$B$55:$B$64,MATCH($E850,SETUP!$A$55:$A$64,0)),"Other")))</f>
        <v>-</v>
      </c>
      <c r="G850" s="70"/>
      <c r="H850" s="15" t="str">
        <f>IF($C850="","",IF($G850="","-",INDEX(SETUP!$B$26:$B$32,MATCH($G850,SETUP!$A$26:$A$32,1))))</f>
        <v>-</v>
      </c>
      <c r="I850" s="70"/>
      <c r="J850" s="15" t="str">
        <f>IF($C850="","",IF($I850="","-",INDEX(SETUP!$B$16:$B$22,MATCH($I850,SETUP!$A$16:$A$22,1))))</f>
        <v>-</v>
      </c>
      <c r="K850" s="15" t="str">
        <f>IF($C850="","",IF($I850="","-",TEXT(INT($I850/1000)*1000,"#,##0")&amp;" - "&amp;TEXT(INT($I850/1000)*1000+999,"#,##0")))</f>
        <v>-</v>
      </c>
      <c r="L850" s="71"/>
      <c r="M850" s="15" t="str">
        <f>IF($C850="","",IF($L850="","-",INDEX(SETUP!$B$36:$B$42,MATCH($L850,SETUP!$A$36:$A$42,1))))</f>
        <v>-</v>
      </c>
      <c r="N850" s="17" t="str">
        <f>IF($C850="","",IF(OR($G850="",$I850=""),"",ROUND(100*(SETUP!$B$4*MIN(1,$I850/SETUP!$B$9)+SETUP!$B$5*MAX(0,MIN(1,($G850-SETUP!$B$10)/(SETUP!$B$11-SETUP!$B$10)))+SETUP!$B$6*MIN(1,IF($L850="",0,$L850)/SETUP!$B$12)),1)))</f>
        <v/>
      </c>
      <c r="O850" s="15" t="str">
        <f>IF($C850="","",IF($N850="","-",INDEX(SETUP!$B$46:$B$51,MATCH($N850,SETUP!$A$46:$A$51,1))))</f>
        <v>-</v>
      </c>
      <c r="P850" s="15" t="str">
        <f>IF($C850="","",IF($I850="","",RANK($I850,$I$4:$I$1463)+COUNTIF($I$4:$I850,$I850)-1))</f>
        <v/>
      </c>
      <c r="Q850" s="15">
        <f>IF($C850="","",COUNTIFS($B$4:$B$1463,$B850,$X$4:$X$1463,"&gt;"&amp;$X850)+COUNTIFS($B$4:$B850,$B850,$X$4:$X850,"="&amp;$X850))</f>
        <v>72</v>
      </c>
      <c r="R850" s="72" t="str">
        <f>IF($C850="","",IF($I850="","",ROUND(COUNTIF($I$4:$I$1463,"&lt;"&amp;$I850)/COUNT($I$4:$I$1463),3)))</f>
        <v/>
      </c>
      <c r="S850" s="15" t="str">
        <f>IF($C850="","",IF($G850="","Name only",IF(OR($I850="",$L850=""),"Partial","Complete")))</f>
        <v>Name only</v>
      </c>
      <c r="T850" s="41" t="str">
        <f>IF($C850="","",TRIM(IF(COUNTIF($C$4:$C$1463,$C850)&gt;1,"Dup name; ","")&amp;IF(AND($G850&lt;&gt;"",$G850&lt;55000),"Low CR - verify; ","")&amp;IF(AND($L850&lt;&gt;"",$L850&gt;15),"Secondary - verify; ","")&amp;IF($E850="","No class; ","")))</f>
        <v>No class;</v>
      </c>
      <c r="U850" s="68"/>
      <c r="V850" s="68"/>
      <c r="W850" s="68"/>
      <c r="X850" s="41">
        <f t="shared" si="67"/>
        <v>-1</v>
      </c>
      <c r="Y850" s="41" t="str">
        <f t="shared" si="68"/>
        <v>SUB ROSA|72</v>
      </c>
      <c r="Z850" s="15" t="str">
        <f>IF($C850="","",IF($G850="","",RANK($G850,$G$4:$G$1463)+COUNTIF($G$4:$G850,$G850)-1))</f>
        <v/>
      </c>
      <c r="AA850" s="15" t="str">
        <f>IF($C850="","",IF($N850="","",RANK($N850,$N$4:$N$1463)+COUNTIF($N$4:$N850,$N850)-1))</f>
        <v/>
      </c>
      <c r="AB850" s="41" t="str">
        <f>IF($C850="","",IF($E850="","",$E850&amp;"#"&amp;(COUNTIFS($E$4:$E$1463,$E850,$X$4:$X$1463,"&gt;"&amp;$X850)+COUNTIFS($E$4:$E850,$E850,$X$4:$X850,"="&amp;$X850))))</f>
        <v/>
      </c>
      <c r="AC850" s="41" t="str">
        <f>IF($C850="","",$B850&amp;"@"&amp;(COUNTIFS($B$4:$B$1463,$B850,$C$4:$C$1463,"&lt;"&amp;$C850)+COUNTIFS($B$4:$B850,$B850,$C$4:$C850,$C850)))</f>
        <v>SUB ROSA@55</v>
      </c>
      <c r="AD850" s="41">
        <f t="shared" si="69"/>
        <v>847</v>
      </c>
      <c r="AE850" s="41"/>
      <c r="AF850" s="41">
        <f t="shared" si="70"/>
        <v>-1</v>
      </c>
      <c r="AG850" s="41">
        <f t="shared" si="71"/>
        <v>-1</v>
      </c>
      <c r="AH850" s="41" t="str">
        <f>IF($C850="","",$B850&amp;"|"&amp;(COUNTIFS($B$4:$B$1463,$B850,$AF$4:$AF$1463,"&gt;"&amp;$AF850)+COUNTIFS($B$4:$B850,$B850,$AF$4:$AF850,"="&amp;$AF850)))</f>
        <v>SUB ROSA|72</v>
      </c>
      <c r="AI850" s="41" t="str">
        <f>IF($C850="","",$B850&amp;"|"&amp;(COUNTIFS($B$4:$B$1463,$B850,$AG$4:$AG$1463,"&gt;"&amp;$AG850)+COUNTIFS($B$4:$B850,$B850,$AG$4:$AG850,"="&amp;$AG850)))</f>
        <v>SUB ROSA|72</v>
      </c>
    </row>
    <row r="851" spans="1:35" hidden="1">
      <c r="A851" s="69" t="s">
        <v>109</v>
      </c>
      <c r="B851" s="69" t="s">
        <v>111</v>
      </c>
      <c r="C851" s="63" t="s">
        <v>1986</v>
      </c>
      <c r="D851" s="69" t="s">
        <v>527</v>
      </c>
      <c r="E851" s="68" t="s">
        <v>77</v>
      </c>
      <c r="F851" s="19" t="str">
        <f>IF($C851="","",IF($E851="","-",IFERROR(INDEX(SETUP!$B$55:$B$64,MATCH($E851,SETUP!$A$55:$A$64,0)),"Other")))</f>
        <v>Control</v>
      </c>
      <c r="G851" s="70">
        <v>61398</v>
      </c>
      <c r="H851" s="19" t="str">
        <f>IF($C851="","",IF($G851="","-",INDEX(SETUP!$B$26:$B$32,MATCH($G851,SETUP!$A$26:$A$32,1))))</f>
        <v>61,000 - 61,999</v>
      </c>
      <c r="I851" s="70">
        <v>1350</v>
      </c>
      <c r="J851" s="19" t="str">
        <f>IF($C851="","",IF($I851="","-",INDEX(SETUP!$B$16:$B$22,MATCH($I851,SETUP!$A$16:$A$22,1))))</f>
        <v>ROOKIE</v>
      </c>
      <c r="K851" s="19" t="str">
        <f>IF($C851="","",IF($I851="","-",TEXT(INT($I851/1000)*1000,"#,##0")&amp;" - "&amp;TEXT(INT($I851/1000)*1000+999,"#,##0")))</f>
        <v>1,000 - 1,999</v>
      </c>
      <c r="L851" s="71">
        <v>3</v>
      </c>
      <c r="M851" s="19" t="str">
        <f>IF($C851="","",IF($L851="","-",INDEX(SETUP!$B$36:$B$42,MATCH($L851,SETUP!$A$36:$A$42,1))))</f>
        <v>3k - 4k</v>
      </c>
      <c r="N851" s="21">
        <f>IF($C851="","",IF(OR($G851="",$I851=""),"",ROUND(100*(SETUP!$B$4*MIN(1,$I851/SETUP!$B$9)+SETUP!$B$5*MAX(0,MIN(1,($G851-SETUP!$B$10)/(SETUP!$B$11-SETUP!$B$10)))+SETUP!$B$6*MIN(1,IF($L851="",0,$L851)/SETUP!$B$12)),1)))</f>
        <v>27.7</v>
      </c>
      <c r="O851" s="19" t="str">
        <f>IF($C851="","",IF($N851="","-",INDEX(SETUP!$B$46:$B$51,MATCH($N851,SETUP!$A$46:$A$51,1))))</f>
        <v>C</v>
      </c>
      <c r="P851" s="19">
        <f>IF($C851="","",IF($I851="","",RANK($I851,$I$4:$I$1463)+COUNTIF($I$4:$I851,$I851)-1))</f>
        <v>1222</v>
      </c>
      <c r="Q851" s="19">
        <f>IF($C851="","",COUNTIFS($B$4:$B$1463,$B851,$X$4:$X$1463,"&gt;"&amp;$X851)+COUNTIFS($B$4:$B851,$B851,$X$4:$X851,"="&amp;$X851))</f>
        <v>96</v>
      </c>
      <c r="R851" s="75">
        <f>IF($C851="","",IF($I851="","",ROUND(COUNTIF($I$4:$I$1463,"&lt;"&amp;$I851)/COUNT($I$4:$I$1463),3)))</f>
        <v>7.8E-2</v>
      </c>
      <c r="S851" s="19" t="str">
        <f>IF($C851="","",IF($G851="","Name only",IF(OR($I851="",$L851=""),"Partial","Complete")))</f>
        <v>Complete</v>
      </c>
      <c r="T851" s="1" t="str">
        <f>IF($C851="","",TRIM(IF(COUNTIF($C$4:$C$1463,$C851)&gt;1,"Dup name; ","")&amp;IF(AND($G851&lt;&gt;"",$G851&lt;55000),"Low CR - verify; ","")&amp;IF(AND($L851&lt;&gt;"",$L851&gt;15),"Secondary - verify; ","")&amp;IF($E851="","No class; ","")))</f>
        <v/>
      </c>
      <c r="U851" s="68"/>
      <c r="V851" s="68"/>
      <c r="W851" s="68"/>
      <c r="X851" s="76">
        <f t="shared" si="67"/>
        <v>1350</v>
      </c>
      <c r="Y851" s="1" t="str">
        <f t="shared" si="68"/>
        <v>RECKONING|96</v>
      </c>
      <c r="Z851" s="19">
        <f>IF($C851="","",IF($G851="","",RANK($G851,$G$4:$G$1463)+COUNTIF($G$4:$G851,$G851)-1))</f>
        <v>1032</v>
      </c>
      <c r="AA851" s="19">
        <f>IF($C851="","",IF($N851="","",RANK($N851,$N$4:$N$1463)+COUNTIF($N$4:$N851,$N851)-1))</f>
        <v>1198</v>
      </c>
      <c r="AB851" s="1" t="str">
        <f>IF($C851="","",IF($E851="","",$E851&amp;"#"&amp;(COUNTIFS($E$4:$E$1463,$E851,$X$4:$X$1463,"&gt;"&amp;$X851)+COUNTIFS($E$4:$E851,$E851,$X$4:$X851,"="&amp;$X851))))</f>
        <v>NECROMANCER#93</v>
      </c>
      <c r="AC851" s="1" t="str">
        <f>IF($C851="","",$B851&amp;"@"&amp;(COUNTIFS($B$4:$B$1463,$B851,$C$4:$C$1463,"&lt;"&amp;$C851)+COUNTIFS($B$4:$B851,$B851,$C$4:$C851,$C851)))</f>
        <v>RECKONING@61</v>
      </c>
      <c r="AD851" s="1">
        <f t="shared" si="69"/>
        <v>848</v>
      </c>
      <c r="AE851" s="1" t="s">
        <v>611</v>
      </c>
      <c r="AF851" s="76">
        <f t="shared" si="70"/>
        <v>61398</v>
      </c>
      <c r="AG851" s="77">
        <f t="shared" si="71"/>
        <v>3</v>
      </c>
      <c r="AH851" s="1" t="str">
        <f>IF($C851="","",$B851&amp;"|"&amp;(COUNTIFS($B$4:$B$1463,$B851,$AF$4:$AF$1463,"&gt;"&amp;$AF851)+COUNTIFS($B$4:$B851,$B851,$AF$4:$AF851,"="&amp;$AF851)))</f>
        <v>RECKONING|86</v>
      </c>
      <c r="AI851" s="1" t="str">
        <f>IF($C851="","",$B851&amp;"|"&amp;(COUNTIFS($B$4:$B$1463,$B851,$AG$4:$AG$1463,"&gt;"&amp;$AG851)+COUNTIFS($B$4:$B851,$B851,$AG$4:$AG851,"="&amp;$AG851)))</f>
        <v>RECKONING|97</v>
      </c>
    </row>
    <row r="852" spans="1:35" hidden="1">
      <c r="A852" s="69" t="s">
        <v>109</v>
      </c>
      <c r="B852" s="69" t="s">
        <v>117</v>
      </c>
      <c r="C852" s="63" t="s">
        <v>1987</v>
      </c>
      <c r="D852" s="69"/>
      <c r="E852" s="68" t="s">
        <v>74</v>
      </c>
      <c r="F852" s="15" t="str">
        <f>IF($C852="","",IF($E852="","-",IFERROR(INDEX(SETUP!$B$55:$B$64,MATCH($E852,SETUP!$A$55:$A$64,0)),"Other")))</f>
        <v>Ranged DPS</v>
      </c>
      <c r="G852" s="70">
        <v>58572</v>
      </c>
      <c r="H852" s="15" t="str">
        <f>IF($C852="","",IF($G852="","-",INDEX(SETUP!$B$26:$B$32,MATCH($G852,SETUP!$A$26:$A$32,1))))</f>
        <v>58,000 - 59,999</v>
      </c>
      <c r="I852" s="70">
        <v>2728</v>
      </c>
      <c r="J852" s="15" t="str">
        <f>IF($C852="","",IF($I852="","-",INDEX(SETUP!$B$16:$B$22,MATCH($I852,SETUP!$A$16:$A$22,1))))</f>
        <v>DEVELOPING</v>
      </c>
      <c r="K852" s="15" t="str">
        <f>IF($C852="","",IF($I852="","-",TEXT(INT($I852/1000)*1000,"#,##0")&amp;" - "&amp;TEXT(INT($I852/1000)*1000+999,"#,##0")))</f>
        <v>2,000 - 2,999</v>
      </c>
      <c r="L852" s="71">
        <v>3.4</v>
      </c>
      <c r="M852" s="15" t="str">
        <f>IF($C852="","",IF($L852="","-",INDEX(SETUP!$B$36:$B$42,MATCH($L852,SETUP!$A$36:$A$42,1))))</f>
        <v>3k - 4k</v>
      </c>
      <c r="N852" s="17">
        <f>IF($C852="","",IF(OR($G852="",$I852=""),"",ROUND(100*(SETUP!$B$4*MIN(1,$I852/SETUP!$B$9)+SETUP!$B$5*MAX(0,MIN(1,($G852-SETUP!$B$10)/(SETUP!$B$11-SETUP!$B$10)))+SETUP!$B$6*MIN(1,IF($L852="",0,$L852)/SETUP!$B$12)),1)))</f>
        <v>27</v>
      </c>
      <c r="O852" s="15" t="str">
        <f>IF($C852="","",IF($N852="","-",INDEX(SETUP!$B$46:$B$51,MATCH($N852,SETUP!$A$46:$A$51,1))))</f>
        <v>C</v>
      </c>
      <c r="P852" s="15">
        <f>IF($C852="","",IF($I852="","",RANK($I852,$I$4:$I$1463)+COUNTIF($I$4:$I852,$I852)-1))</f>
        <v>946</v>
      </c>
      <c r="Q852" s="15">
        <f>IF($C852="","",COUNTIFS($B$4:$B$1463,$B852,$X$4:$X$1463,"&gt;"&amp;$X852)+COUNTIFS($B$4:$B852,$B852,$X$4:$X852,"="&amp;$X852))</f>
        <v>24</v>
      </c>
      <c r="R852" s="72">
        <f>IF($C852="","",IF($I852="","",ROUND(COUNTIF($I$4:$I$1463,"&lt;"&amp;$I852)/COUNT($I$4:$I$1463),3)))</f>
        <v>0.28599999999999998</v>
      </c>
      <c r="S852" s="15" t="str">
        <f>IF($C852="","",IF($G852="","Name only",IF(OR($I852="",$L852=""),"Partial","Complete")))</f>
        <v>Complete</v>
      </c>
      <c r="T852" s="41" t="str">
        <f>IF($C852="","",TRIM(IF(COUNTIF($C$4:$C$1463,$C852)&gt;1,"Dup name; ","")&amp;IF(AND($G852&lt;&gt;"",$G852&lt;55000),"Low CR - verify; ","")&amp;IF(AND($L852&lt;&gt;"",$L852&gt;15),"Secondary - verify; ","")&amp;IF($E852="","No class; ","")))</f>
        <v/>
      </c>
      <c r="U852" s="68"/>
      <c r="V852" s="68"/>
      <c r="W852" s="68"/>
      <c r="X852" s="73">
        <f t="shared" si="67"/>
        <v>2728</v>
      </c>
      <c r="Y852" s="41" t="str">
        <f t="shared" si="68"/>
        <v>VENDETTA|24</v>
      </c>
      <c r="Z852" s="15">
        <f>IF($C852="","",IF($G852="","",RANK($G852,$G$4:$G$1463)+COUNTIF($G$4:$G852,$G852)-1))</f>
        <v>1285</v>
      </c>
      <c r="AA852" s="15">
        <f>IF($C852="","",IF($N852="","",RANK($N852,$N$4:$N$1463)+COUNTIF($N$4:$N852,$N852)-1))</f>
        <v>1210</v>
      </c>
      <c r="AB852" s="41" t="str">
        <f>IF($C852="","",IF($E852="","",$E852&amp;"#"&amp;(COUNTIFS($E$4:$E$1463,$E852,$X$4:$X$1463,"&gt;"&amp;$X852)+COUNTIFS($E$4:$E852,$E852,$X$4:$X852,"="&amp;$X852))))</f>
        <v>DEMON HUNTER#153</v>
      </c>
      <c r="AC852" s="41" t="str">
        <f>IF($C852="","",$B852&amp;"@"&amp;(COUNTIFS($B$4:$B$1463,$B852,$C$4:$C$1463,"&lt;"&amp;$C852)+COUNTIFS($B$4:$B852,$B852,$C$4:$C852,$C852)))</f>
        <v>VENDETTA@65</v>
      </c>
      <c r="AD852" s="41">
        <f t="shared" si="69"/>
        <v>849</v>
      </c>
      <c r="AE852" s="41" t="s">
        <v>1988</v>
      </c>
      <c r="AF852" s="73">
        <f t="shared" si="70"/>
        <v>58572</v>
      </c>
      <c r="AG852" s="74">
        <f t="shared" si="71"/>
        <v>3.4</v>
      </c>
      <c r="AH852" s="41" t="str">
        <f>IF($C852="","",$B852&amp;"|"&amp;(COUNTIFS($B$4:$B$1463,$B852,$AF$4:$AF$1463,"&gt;"&amp;$AF852)+COUNTIFS($B$4:$B852,$B852,$AF$4:$AF852,"="&amp;$AF852)))</f>
        <v>VENDETTA|88</v>
      </c>
      <c r="AI852" s="41" t="str">
        <f>IF($C852="","",$B852&amp;"|"&amp;(COUNTIFS($B$4:$B$1463,$B852,$AG$4:$AG$1463,"&gt;"&amp;$AG852)+COUNTIFS($B$4:$B852,$B852,$AG$4:$AG852,"="&amp;$AG852)))</f>
        <v>VENDETTA|63</v>
      </c>
    </row>
    <row r="853" spans="1:35" hidden="1">
      <c r="A853" s="69" t="s">
        <v>109</v>
      </c>
      <c r="B853" s="69" t="s">
        <v>118</v>
      </c>
      <c r="C853" s="63" t="s">
        <v>1989</v>
      </c>
      <c r="D853" s="69"/>
      <c r="E853" s="68" t="s">
        <v>71</v>
      </c>
      <c r="F853" s="19" t="str">
        <f>IF($C853="","",IF($E853="","-",IFERROR(INDEX(SETUP!$B$55:$B$64,MATCH($E853,SETUP!$A$55:$A$64,0)),"Other")))</f>
        <v>Frontline</v>
      </c>
      <c r="G853" s="70">
        <v>61790</v>
      </c>
      <c r="H853" s="19" t="str">
        <f>IF($C853="","",IF($G853="","-",INDEX(SETUP!$B$26:$B$32,MATCH($G853,SETUP!$A$26:$A$32,1))))</f>
        <v>61,000 - 61,999</v>
      </c>
      <c r="I853" s="70">
        <v>2384</v>
      </c>
      <c r="J853" s="19" t="str">
        <f>IF($C853="","",IF($I853="","-",INDEX(SETUP!$B$16:$B$22,MATCH($I853,SETUP!$A$16:$A$22,1))))</f>
        <v>DEVELOPING</v>
      </c>
      <c r="K853" s="19" t="str">
        <f>IF($C853="","",IF($I853="","-",TEXT(INT($I853/1000)*1000,"#,##0")&amp;" - "&amp;TEXT(INT($I853/1000)*1000+999,"#,##0")))</f>
        <v>2,000 - 2,999</v>
      </c>
      <c r="L853" s="71">
        <v>3.5</v>
      </c>
      <c r="M853" s="19" t="str">
        <f>IF($C853="","",IF($L853="","-",INDEX(SETUP!$B$36:$B$42,MATCH($L853,SETUP!$A$36:$A$42,1))))</f>
        <v>3k - 4k</v>
      </c>
      <c r="N853" s="21">
        <f>IF($C853="","",IF(OR($G853="",$I853=""),"",ROUND(100*(SETUP!$B$4*MIN(1,$I853/SETUP!$B$9)+SETUP!$B$5*MAX(0,MIN(1,($G853-SETUP!$B$10)/(SETUP!$B$11-SETUP!$B$10)))+SETUP!$B$6*MIN(1,IF($L853="",0,$L853)/SETUP!$B$12)),1)))</f>
        <v>34.1</v>
      </c>
      <c r="O853" s="19" t="str">
        <f>IF($C853="","",IF($N853="","-",INDEX(SETUP!$B$46:$B$51,MATCH($N853,SETUP!$A$46:$A$51,1))))</f>
        <v>C</v>
      </c>
      <c r="P853" s="19">
        <f>IF($C853="","",IF($I853="","",RANK($I853,$I$4:$I$1463)+COUNTIF($I$4:$I853,$I853)-1))</f>
        <v>1032</v>
      </c>
      <c r="Q853" s="19">
        <f>IF($C853="","",COUNTIFS($B$4:$B$1463,$B853,$X$4:$X$1463,"&gt;"&amp;$X853)+COUNTIFS($B$4:$B853,$B853,$X$4:$X853,"="&amp;$X853))</f>
        <v>30</v>
      </c>
      <c r="R853" s="75">
        <f>IF($C853="","",IF($I853="","",ROUND(COUNTIF($I$4:$I$1463,"&lt;"&amp;$I853)/COUNT($I$4:$I$1463),3)))</f>
        <v>0.221</v>
      </c>
      <c r="S853" s="19" t="str">
        <f>IF($C853="","",IF($G853="","Name only",IF(OR($I853="",$L853=""),"Partial","Complete")))</f>
        <v>Complete</v>
      </c>
      <c r="T853" s="1" t="str">
        <f>IF($C853="","",TRIM(IF(COUNTIF($C$4:$C$1463,$C853)&gt;1,"Dup name; ","")&amp;IF(AND($G853&lt;&gt;"",$G853&lt;55000),"Low CR - verify; ","")&amp;IF(AND($L853&lt;&gt;"",$L853&gt;15),"Secondary - verify; ","")&amp;IF($E853="","No class; ","")))</f>
        <v/>
      </c>
      <c r="U853" s="68"/>
      <c r="V853" s="68"/>
      <c r="W853" s="68"/>
      <c r="X853" s="76">
        <f t="shared" si="67"/>
        <v>2384</v>
      </c>
      <c r="Y853" s="1" t="str">
        <f t="shared" si="68"/>
        <v>ZOMBIES|30</v>
      </c>
      <c r="Z853" s="19">
        <f>IF($C853="","",IF($G853="","",RANK($G853,$G$4:$G$1463)+COUNTIF($G$4:$G853,$G853)-1))</f>
        <v>916</v>
      </c>
      <c r="AA853" s="19">
        <f>IF($C853="","",IF($N853="","",RANK($N853,$N$4:$N$1463)+COUNTIF($N$4:$N853,$N853)-1))</f>
        <v>1042</v>
      </c>
      <c r="AB853" s="1" t="str">
        <f>IF($C853="","",IF($E853="","",$E853&amp;"#"&amp;(COUNTIFS($E$4:$E$1463,$E853,$X$4:$X$1463,"&gt;"&amp;$X853)+COUNTIFS($E$4:$E853,$E853,$X$4:$X853,"="&amp;$X853))))</f>
        <v>BARBARIAN#174</v>
      </c>
      <c r="AC853" s="1" t="str">
        <f>IF($C853="","",$B853&amp;"@"&amp;(COUNTIFS($B$4:$B$1463,$B853,$C$4:$C$1463,"&lt;"&amp;$C853)+COUNTIFS($B$4:$B853,$B853,$C$4:$C853,$C853)))</f>
        <v>ZOMBIES@60</v>
      </c>
      <c r="AD853" s="1">
        <f t="shared" si="69"/>
        <v>850</v>
      </c>
      <c r="AE853" s="1" t="s">
        <v>1990</v>
      </c>
      <c r="AF853" s="76">
        <f t="shared" si="70"/>
        <v>61790</v>
      </c>
      <c r="AG853" s="77">
        <f t="shared" si="71"/>
        <v>3.5</v>
      </c>
      <c r="AH853" s="1" t="str">
        <f>IF($C853="","",$B853&amp;"|"&amp;(COUNTIFS($B$4:$B$1463,$B853,$AF$4:$AF$1463,"&gt;"&amp;$AF853)+COUNTIFS($B$4:$B853,$B853,$AF$4:$AF853,"="&amp;$AF853)))</f>
        <v>ZOMBIES|32</v>
      </c>
      <c r="AI853" s="1" t="str">
        <f>IF($C853="","",$B853&amp;"|"&amp;(COUNTIFS($B$4:$B$1463,$B853,$AG$4:$AG$1463,"&gt;"&amp;$AG853)+COUNTIFS($B$4:$B853,$B853,$AG$4:$AG853,"="&amp;$AG853)))</f>
        <v>ZOMBIES|50</v>
      </c>
    </row>
    <row r="854" spans="1:35" hidden="1">
      <c r="A854" s="69" t="s">
        <v>109</v>
      </c>
      <c r="B854" s="69" t="s">
        <v>110</v>
      </c>
      <c r="C854" s="63" t="s">
        <v>1991</v>
      </c>
      <c r="D854" s="69"/>
      <c r="E854" s="68"/>
      <c r="F854" s="15" t="str">
        <f>IF($C854="","",IF($E854="","-",IFERROR(INDEX(SETUP!$B$55:$B$64,MATCH($E854,SETUP!$A$55:$A$64,0)),"Other")))</f>
        <v>-</v>
      </c>
      <c r="G854" s="70"/>
      <c r="H854" s="15" t="str">
        <f>IF($C854="","",IF($G854="","-",INDEX(SETUP!$B$26:$B$32,MATCH($G854,SETUP!$A$26:$A$32,1))))</f>
        <v>-</v>
      </c>
      <c r="I854" s="70"/>
      <c r="J854" s="15" t="str">
        <f>IF($C854="","",IF($I854="","-",INDEX(SETUP!$B$16:$B$22,MATCH($I854,SETUP!$A$16:$A$22,1))))</f>
        <v>-</v>
      </c>
      <c r="K854" s="15" t="str">
        <f>IF($C854="","",IF($I854="","-",TEXT(INT($I854/1000)*1000,"#,##0")&amp;" - "&amp;TEXT(INT($I854/1000)*1000+999,"#,##0")))</f>
        <v>-</v>
      </c>
      <c r="L854" s="71"/>
      <c r="M854" s="15" t="str">
        <f>IF($C854="","",IF($L854="","-",INDEX(SETUP!$B$36:$B$42,MATCH($L854,SETUP!$A$36:$A$42,1))))</f>
        <v>-</v>
      </c>
      <c r="N854" s="17" t="str">
        <f>IF($C854="","",IF(OR($G854="",$I854=""),"",ROUND(100*(SETUP!$B$4*MIN(1,$I854/SETUP!$B$9)+SETUP!$B$5*MAX(0,MIN(1,($G854-SETUP!$B$10)/(SETUP!$B$11-SETUP!$B$10)))+SETUP!$B$6*MIN(1,IF($L854="",0,$L854)/SETUP!$B$12)),1)))</f>
        <v/>
      </c>
      <c r="O854" s="15" t="str">
        <f>IF($C854="","",IF($N854="","-",INDEX(SETUP!$B$46:$B$51,MATCH($N854,SETUP!$A$46:$A$51,1))))</f>
        <v>-</v>
      </c>
      <c r="P854" s="15" t="str">
        <f>IF($C854="","",IF($I854="","",RANK($I854,$I$4:$I$1463)+COUNTIF($I$4:$I854,$I854)-1))</f>
        <v/>
      </c>
      <c r="Q854" s="15">
        <f>IF($C854="","",COUNTIFS($B$4:$B$1463,$B854,$X$4:$X$1463,"&gt;"&amp;$X854)+COUNTIFS($B$4:$B854,$B854,$X$4:$X854,"="&amp;$X854))</f>
        <v>102</v>
      </c>
      <c r="R854" s="72" t="str">
        <f>IF($C854="","",IF($I854="","",ROUND(COUNTIF($I$4:$I$1463,"&lt;"&amp;$I854)/COUNT($I$4:$I$1463),3)))</f>
        <v/>
      </c>
      <c r="S854" s="15" t="str">
        <f>IF($C854="","",IF($G854="","Name only",IF(OR($I854="",$L854=""),"Partial","Complete")))</f>
        <v>Name only</v>
      </c>
      <c r="T854" s="41" t="str">
        <f>IF($C854="","",TRIM(IF(COUNTIF($C$4:$C$1463,$C854)&gt;1,"Dup name; ","")&amp;IF(AND($G854&lt;&gt;"",$G854&lt;55000),"Low CR - verify; ","")&amp;IF(AND($L854&lt;&gt;"",$L854&gt;15),"Secondary - verify; ","")&amp;IF($E854="","No class; ","")))</f>
        <v>No class;</v>
      </c>
      <c r="U854" s="68"/>
      <c r="V854" s="68"/>
      <c r="W854" s="68"/>
      <c r="X854" s="41">
        <f t="shared" si="67"/>
        <v>-1</v>
      </c>
      <c r="Y854" s="41" t="str">
        <f t="shared" si="68"/>
        <v>AZUKI|102</v>
      </c>
      <c r="Z854" s="15" t="str">
        <f>IF($C854="","",IF($G854="","",RANK($G854,$G$4:$G$1463)+COUNTIF($G$4:$G854,$G854)-1))</f>
        <v/>
      </c>
      <c r="AA854" s="15" t="str">
        <f>IF($C854="","",IF($N854="","",RANK($N854,$N$4:$N$1463)+COUNTIF($N$4:$N854,$N854)-1))</f>
        <v/>
      </c>
      <c r="AB854" s="41" t="str">
        <f>IF($C854="","",IF($E854="","",$E854&amp;"#"&amp;(COUNTIFS($E$4:$E$1463,$E854,$X$4:$X$1463,"&gt;"&amp;$X854)+COUNTIFS($E$4:$E854,$E854,$X$4:$X854,"="&amp;$X854))))</f>
        <v/>
      </c>
      <c r="AC854" s="41" t="str">
        <f>IF($C854="","",$B854&amp;"@"&amp;(COUNTIFS($B$4:$B$1463,$B854,$C$4:$C$1463,"&lt;"&amp;$C854)+COUNTIFS($B$4:$B854,$B854,$C$4:$C854,$C854)))</f>
        <v>AZUKI@66</v>
      </c>
      <c r="AD854" s="41">
        <f t="shared" si="69"/>
        <v>851</v>
      </c>
      <c r="AE854" s="41"/>
      <c r="AF854" s="41">
        <f t="shared" si="70"/>
        <v>-1</v>
      </c>
      <c r="AG854" s="41">
        <f t="shared" si="71"/>
        <v>-1</v>
      </c>
      <c r="AH854" s="41" t="str">
        <f>IF($C854="","",$B854&amp;"|"&amp;(COUNTIFS($B$4:$B$1463,$B854,$AF$4:$AF$1463,"&gt;"&amp;$AF854)+COUNTIFS($B$4:$B854,$B854,$AF$4:$AF854,"="&amp;$AF854)))</f>
        <v>AZUKI|102</v>
      </c>
      <c r="AI854" s="41" t="str">
        <f>IF($C854="","",$B854&amp;"|"&amp;(COUNTIFS($B$4:$B$1463,$B854,$AG$4:$AG$1463,"&gt;"&amp;$AG854)+COUNTIFS($B$4:$B854,$B854,$AG$4:$AG854,"="&amp;$AG854)))</f>
        <v>AZUKI|102</v>
      </c>
    </row>
    <row r="855" spans="1:35" hidden="1">
      <c r="A855" s="69" t="s">
        <v>109</v>
      </c>
      <c r="B855" s="69" t="s">
        <v>108</v>
      </c>
      <c r="C855" s="63" t="s">
        <v>1992</v>
      </c>
      <c r="D855" s="69"/>
      <c r="E855" s="68" t="s">
        <v>78</v>
      </c>
      <c r="F855" s="19" t="str">
        <f>IF($C855="","",IF($E855="","-",IFERROR(INDEX(SETUP!$B$55:$B$64,MATCH($E855,SETUP!$A$55:$A$64,0)),"Other")))</f>
        <v>Melee DPS</v>
      </c>
      <c r="G855" s="70">
        <v>63652</v>
      </c>
      <c r="H855" s="19" t="str">
        <f>IF($C855="","",IF($G855="","-",INDEX(SETUP!$B$26:$B$32,MATCH($G855,SETUP!$A$26:$A$32,1))))</f>
        <v>63,000 - 63,999</v>
      </c>
      <c r="I855" s="70">
        <v>9255</v>
      </c>
      <c r="J855" s="19" t="str">
        <f>IF($C855="","",IF($I855="","-",INDEX(SETUP!$B$16:$B$22,MATCH($I855,SETUP!$A$16:$A$22,1))))</f>
        <v>ELITE</v>
      </c>
      <c r="K855" s="19" t="str">
        <f>IF($C855="","",IF($I855="","-",TEXT(INT($I855/1000)*1000,"#,##0")&amp;" - "&amp;TEXT(INT($I855/1000)*1000+999,"#,##0")))</f>
        <v>9,000 - 9,999</v>
      </c>
      <c r="L855" s="71">
        <v>7.95</v>
      </c>
      <c r="M855" s="19" t="str">
        <f>IF($C855="","",IF($L855="","-",INDEX(SETUP!$B$36:$B$42,MATCH($L855,SETUP!$A$36:$A$42,1))))</f>
        <v>6k - 8k</v>
      </c>
      <c r="N855" s="21">
        <f>IF($C855="","",IF(OR($G855="",$I855=""),"",ROUND(100*(SETUP!$B$4*MIN(1,$I855/SETUP!$B$9)+SETUP!$B$5*MAX(0,MIN(1,($G855-SETUP!$B$10)/(SETUP!$B$11-SETUP!$B$10)))+SETUP!$B$6*MIN(1,IF($L855="",0,$L855)/SETUP!$B$12)),1)))</f>
        <v>76.400000000000006</v>
      </c>
      <c r="O855" s="19" t="str">
        <f>IF($C855="","",IF($N855="","-",INDEX(SETUP!$B$46:$B$51,MATCH($N855,SETUP!$A$46:$A$51,1))))</f>
        <v>S</v>
      </c>
      <c r="P855" s="19">
        <f>IF($C855="","",IF($I855="","",RANK($I855,$I$4:$I$1463)+COUNTIF($I$4:$I855,$I855)-1))</f>
        <v>83</v>
      </c>
      <c r="Q855" s="19">
        <f>IF($C855="","",COUNTIFS($B$4:$B$1463,$B855,$X$4:$X$1463,"&gt;"&amp;$X855)+COUNTIFS($B$4:$B855,$B855,$X$4:$X855,"="&amp;$X855))</f>
        <v>11</v>
      </c>
      <c r="R855" s="75">
        <f>IF($C855="","",IF($I855="","",ROUND(COUNTIF($I$4:$I$1463,"&lt;"&amp;$I855)/COUNT($I$4:$I$1463),3)))</f>
        <v>0.93700000000000006</v>
      </c>
      <c r="S855" s="19" t="str">
        <f>IF($C855="","",IF($G855="","Name only",IF(OR($I855="",$L855=""),"Partial","Complete")))</f>
        <v>Complete</v>
      </c>
      <c r="T855" s="1" t="str">
        <f>IF($C855="","",TRIM(IF(COUNTIF($C$4:$C$1463,$C855)&gt;1,"Dup name; ","")&amp;IF(AND($G855&lt;&gt;"",$G855&lt;55000),"Low CR - verify; ","")&amp;IF(AND($L855&lt;&gt;"",$L855&gt;15),"Secondary - verify; ","")&amp;IF($E855="","No class; ","")))</f>
        <v/>
      </c>
      <c r="U855" s="68"/>
      <c r="V855" s="68"/>
      <c r="W855" s="68"/>
      <c r="X855" s="76">
        <f t="shared" si="67"/>
        <v>9255</v>
      </c>
      <c r="Y855" s="1" t="str">
        <f t="shared" si="68"/>
        <v>SBG|11</v>
      </c>
      <c r="Z855" s="19">
        <f>IF($C855="","",IF($G855="","",RANK($G855,$G$4:$G$1463)+COUNTIF($G$4:$G855,$G855)-1))</f>
        <v>153</v>
      </c>
      <c r="AA855" s="19">
        <f>IF($C855="","",IF($N855="","",RANK($N855,$N$4:$N$1463)+COUNTIF($N$4:$N855,$N855)-1))</f>
        <v>80</v>
      </c>
      <c r="AB855" s="1" t="str">
        <f>IF($C855="","",IF($E855="","",$E855&amp;"#"&amp;(COUNTIFS($E$4:$E$1463,$E855,$X$4:$X$1463,"&gt;"&amp;$X855)+COUNTIFS($E$4:$E855,$E855,$X$4:$X855,"="&amp;$X855))))</f>
        <v>TEMPEST#3</v>
      </c>
      <c r="AC855" s="1" t="str">
        <f>IF($C855="","",$B855&amp;"@"&amp;(COUNTIFS($B$4:$B$1463,$B855,$C$4:$C$1463,"&lt;"&amp;$C855)+COUNTIFS($B$4:$B855,$B855,$C$4:$C855,$C855)))</f>
        <v>SBG@52</v>
      </c>
      <c r="AD855" s="1">
        <f t="shared" si="69"/>
        <v>852</v>
      </c>
      <c r="AE855" s="1" t="s">
        <v>1993</v>
      </c>
      <c r="AF855" s="76">
        <f t="shared" si="70"/>
        <v>63652</v>
      </c>
      <c r="AG855" s="77">
        <f t="shared" si="71"/>
        <v>7.95</v>
      </c>
      <c r="AH855" s="1" t="str">
        <f>IF($C855="","",$B855&amp;"|"&amp;(COUNTIFS($B$4:$B$1463,$B855,$AF$4:$AF$1463,"&gt;"&amp;$AF855)+COUNTIFS($B$4:$B855,$B855,$AF$4:$AF855,"="&amp;$AF855)))</f>
        <v>SBG|27</v>
      </c>
      <c r="AI855" s="1" t="str">
        <f>IF($C855="","",$B855&amp;"|"&amp;(COUNTIFS($B$4:$B$1463,$B855,$AG$4:$AG$1463,"&gt;"&amp;$AG855)+COUNTIFS($B$4:$B855,$B855,$AG$4:$AG855,"="&amp;$AG855)))</f>
        <v>SBG|13</v>
      </c>
    </row>
    <row r="856" spans="1:35" hidden="1">
      <c r="A856" s="69" t="s">
        <v>109</v>
      </c>
      <c r="B856" s="69" t="s">
        <v>111</v>
      </c>
      <c r="C856" s="63" t="s">
        <v>1994</v>
      </c>
      <c r="D856" s="69" t="s">
        <v>527</v>
      </c>
      <c r="E856" s="68" t="s">
        <v>71</v>
      </c>
      <c r="F856" s="15" t="str">
        <f>IF($C856="","",IF($E856="","-",IFERROR(INDEX(SETUP!$B$55:$B$64,MATCH($E856,SETUP!$A$55:$A$64,0)),"Other")))</f>
        <v>Frontline</v>
      </c>
      <c r="G856" s="70">
        <v>63374</v>
      </c>
      <c r="H856" s="15" t="str">
        <f>IF($C856="","",IF($G856="","-",INDEX(SETUP!$B$26:$B$32,MATCH($G856,SETUP!$A$26:$A$32,1))))</f>
        <v>63,000 - 63,999</v>
      </c>
      <c r="I856" s="70">
        <v>4276</v>
      </c>
      <c r="J856" s="15" t="str">
        <f>IF($C856="","",IF($I856="","-",INDEX(SETUP!$B$16:$B$22,MATCH($I856,SETUP!$A$16:$A$22,1))))</f>
        <v>CORE</v>
      </c>
      <c r="K856" s="15" t="str">
        <f>IF($C856="","",IF($I856="","-",TEXT(INT($I856/1000)*1000,"#,##0")&amp;" - "&amp;TEXT(INT($I856/1000)*1000+999,"#,##0")))</f>
        <v>4,000 - 4,999</v>
      </c>
      <c r="L856" s="71">
        <v>4.45</v>
      </c>
      <c r="M856" s="15" t="str">
        <f>IF($C856="","",IF($L856="","-",INDEX(SETUP!$B$36:$B$42,MATCH($L856,SETUP!$A$36:$A$42,1))))</f>
        <v>4k - 5k</v>
      </c>
      <c r="N856" s="17">
        <f>IF($C856="","",IF(OR($G856="",$I856=""),"",ROUND(100*(SETUP!$B$4*MIN(1,$I856/SETUP!$B$9)+SETUP!$B$5*MAX(0,MIN(1,($G856-SETUP!$B$10)/(SETUP!$B$11-SETUP!$B$10)))+SETUP!$B$6*MIN(1,IF($L856="",0,$L856)/SETUP!$B$12)),1)))</f>
        <v>48.1</v>
      </c>
      <c r="O856" s="15" t="str">
        <f>IF($C856="","",IF($N856="","-",INDEX(SETUP!$B$46:$B$51,MATCH($N856,SETUP!$A$46:$A$51,1))))</f>
        <v>B</v>
      </c>
      <c r="P856" s="15">
        <f>IF($C856="","",IF($I856="","",RANK($I856,$I$4:$I$1463)+COUNTIF($I$4:$I856,$I856)-1))</f>
        <v>540</v>
      </c>
      <c r="Q856" s="15">
        <f>IF($C856="","",COUNTIFS($B$4:$B$1463,$B856,$X$4:$X$1463,"&gt;"&amp;$X856)+COUNTIFS($B$4:$B856,$B856,$X$4:$X856,"="&amp;$X856))</f>
        <v>58</v>
      </c>
      <c r="R856" s="72">
        <f>IF($C856="","",IF($I856="","",ROUND(COUNTIF($I$4:$I$1463,"&lt;"&amp;$I856)/COUNT($I$4:$I$1463),3)))</f>
        <v>0.59199999999999997</v>
      </c>
      <c r="S856" s="15" t="str">
        <f>IF($C856="","",IF($G856="","Name only",IF(OR($I856="",$L856=""),"Partial","Complete")))</f>
        <v>Complete</v>
      </c>
      <c r="T856" s="41" t="str">
        <f>IF($C856="","",TRIM(IF(COUNTIF($C$4:$C$1463,$C856)&gt;1,"Dup name; ","")&amp;IF(AND($G856&lt;&gt;"",$G856&lt;55000),"Low CR - verify; ","")&amp;IF(AND($L856&lt;&gt;"",$L856&gt;15),"Secondary - verify; ","")&amp;IF($E856="","No class; ","")))</f>
        <v/>
      </c>
      <c r="U856" s="68"/>
      <c r="V856" s="68"/>
      <c r="W856" s="68"/>
      <c r="X856" s="73">
        <f t="shared" si="67"/>
        <v>4276</v>
      </c>
      <c r="Y856" s="41" t="str">
        <f t="shared" si="68"/>
        <v>RECKONING|58</v>
      </c>
      <c r="Z856" s="15">
        <f>IF($C856="","",IF($G856="","",RANK($G856,$G$4:$G$1463)+COUNTIF($G$4:$G856,$G856)-1))</f>
        <v>232</v>
      </c>
      <c r="AA856" s="15">
        <f>IF($C856="","",IF($N856="","",RANK($N856,$N$4:$N$1463)+COUNTIF($N$4:$N856,$N856)-1))</f>
        <v>516</v>
      </c>
      <c r="AB856" s="41" t="str">
        <f>IF($C856="","",IF($E856="","",$E856&amp;"#"&amp;(COUNTIFS($E$4:$E$1463,$E856,$X$4:$X$1463,"&gt;"&amp;$X856)+COUNTIFS($E$4:$E856,$E856,$X$4:$X856,"="&amp;$X856))))</f>
        <v>BARBARIAN#104</v>
      </c>
      <c r="AC856" s="41" t="str">
        <f>IF($C856="","",$B856&amp;"@"&amp;(COUNTIFS($B$4:$B$1463,$B856,$C$4:$C$1463,"&lt;"&amp;$C856)+COUNTIFS($B$4:$B856,$B856,$C$4:$C856,$C856)))</f>
        <v>RECKONING@62</v>
      </c>
      <c r="AD856" s="41">
        <f t="shared" si="69"/>
        <v>853</v>
      </c>
      <c r="AE856" s="41" t="s">
        <v>1995</v>
      </c>
      <c r="AF856" s="73">
        <f t="shared" si="70"/>
        <v>63374</v>
      </c>
      <c r="AG856" s="74">
        <f t="shared" si="71"/>
        <v>4.45</v>
      </c>
      <c r="AH856" s="41" t="str">
        <f>IF($C856="","",$B856&amp;"|"&amp;(COUNTIFS($B$4:$B$1463,$B856,$AF$4:$AF$1463,"&gt;"&amp;$AF856)+COUNTIFS($B$4:$B856,$B856,$AF$4:$AF856,"="&amp;$AF856)))</f>
        <v>RECKONING|25</v>
      </c>
      <c r="AI856" s="41" t="str">
        <f>IF($C856="","",$B856&amp;"|"&amp;(COUNTIFS($B$4:$B$1463,$B856,$AG$4:$AG$1463,"&gt;"&amp;$AG856)+COUNTIFS($B$4:$B856,$B856,$AG$4:$AG856,"="&amp;$AG856)))</f>
        <v>RECKONING|85</v>
      </c>
    </row>
    <row r="857" spans="1:35" hidden="1">
      <c r="A857" s="69" t="s">
        <v>109</v>
      </c>
      <c r="B857" s="69" t="s">
        <v>114</v>
      </c>
      <c r="C857" s="63" t="s">
        <v>1996</v>
      </c>
      <c r="D857" s="69"/>
      <c r="E857" s="68" t="s">
        <v>72</v>
      </c>
      <c r="F857" s="19" t="str">
        <f>IF($C857="","",IF($E857="","-",IFERROR(INDEX(SETUP!$B$55:$B$64,MATCH($E857,SETUP!$A$55:$A$64,0)),"Other")))</f>
        <v>Frontline</v>
      </c>
      <c r="G857" s="70">
        <v>61128</v>
      </c>
      <c r="H857" s="19" t="str">
        <f>IF($C857="","",IF($G857="","-",INDEX(SETUP!$B$26:$B$32,MATCH($G857,SETUP!$A$26:$A$32,1))))</f>
        <v>61,000 - 61,999</v>
      </c>
      <c r="I857" s="70">
        <v>2110</v>
      </c>
      <c r="J857" s="19" t="str">
        <f>IF($C857="","",IF($I857="","-",INDEX(SETUP!$B$16:$B$22,MATCH($I857,SETUP!$A$16:$A$22,1))))</f>
        <v>DEVELOPING</v>
      </c>
      <c r="K857" s="19" t="str">
        <f>IF($C857="","",IF($I857="","-",TEXT(INT($I857/1000)*1000,"#,##0")&amp;" - "&amp;TEXT(INT($I857/1000)*1000+999,"#,##0")))</f>
        <v>2,000 - 2,999</v>
      </c>
      <c r="L857" s="71">
        <v>3.87</v>
      </c>
      <c r="M857" s="19" t="str">
        <f>IF($C857="","",IF($L857="","-",INDEX(SETUP!$B$36:$B$42,MATCH($L857,SETUP!$A$36:$A$42,1))))</f>
        <v>3k - 4k</v>
      </c>
      <c r="N857" s="21">
        <f>IF($C857="","",IF(OR($G857="",$I857=""),"",ROUND(100*(SETUP!$B$4*MIN(1,$I857/SETUP!$B$9)+SETUP!$B$5*MAX(0,MIN(1,($G857-SETUP!$B$10)/(SETUP!$B$11-SETUP!$B$10)))+SETUP!$B$6*MIN(1,IF($L857="",0,$L857)/SETUP!$B$12)),1)))</f>
        <v>31.8</v>
      </c>
      <c r="O857" s="19" t="str">
        <f>IF($C857="","",IF($N857="","-",INDEX(SETUP!$B$46:$B$51,MATCH($N857,SETUP!$A$46:$A$51,1))))</f>
        <v>C</v>
      </c>
      <c r="P857" s="19">
        <f>IF($C857="","",IF($I857="","",RANK($I857,$I$4:$I$1463)+COUNTIF($I$4:$I857,$I857)-1))</f>
        <v>1084</v>
      </c>
      <c r="Q857" s="19">
        <f>IF($C857="","",COUNTIFS($B$4:$B$1463,$B857,$X$4:$X$1463,"&gt;"&amp;$X857)+COUNTIFS($B$4:$B857,$B857,$X$4:$X857,"="&amp;$X857))</f>
        <v>52</v>
      </c>
      <c r="R857" s="75">
        <f>IF($C857="","",IF($I857="","",ROUND(COUNTIF($I$4:$I$1463,"&lt;"&amp;$I857)/COUNT($I$4:$I$1463),3)))</f>
        <v>0.182</v>
      </c>
      <c r="S857" s="19" t="str">
        <f>IF($C857="","",IF($G857="","Name only",IF(OR($I857="",$L857=""),"Partial","Complete")))</f>
        <v>Complete</v>
      </c>
      <c r="T857" s="1" t="str">
        <f>IF($C857="","",TRIM(IF(COUNTIF($C$4:$C$1463,$C857)&gt;1,"Dup name; ","")&amp;IF(AND($G857&lt;&gt;"",$G857&lt;55000),"Low CR - verify; ","")&amp;IF(AND($L857&lt;&gt;"",$L857&gt;15),"Secondary - verify; ","")&amp;IF($E857="","No class; ","")))</f>
        <v/>
      </c>
      <c r="U857" s="68"/>
      <c r="V857" s="68"/>
      <c r="W857" s="68"/>
      <c r="X857" s="76">
        <f t="shared" si="67"/>
        <v>2110</v>
      </c>
      <c r="Y857" s="1" t="str">
        <f t="shared" si="68"/>
        <v>EMERALD LEAF TRIBE|52</v>
      </c>
      <c r="Z857" s="19">
        <f>IF($C857="","",IF($G857="","",RANK($G857,$G$4:$G$1463)+COUNTIF($G$4:$G857,$G857)-1))</f>
        <v>1111</v>
      </c>
      <c r="AA857" s="19">
        <f>IF($C857="","",IF($N857="","",RANK($N857,$N$4:$N$1463)+COUNTIF($N$4:$N857,$N857)-1))</f>
        <v>1104</v>
      </c>
      <c r="AB857" s="1" t="str">
        <f>IF($C857="","",IF($E857="","",$E857&amp;"#"&amp;(COUNTIFS($E$4:$E$1463,$E857,$X$4:$X$1463,"&gt;"&amp;$X857)+COUNTIFS($E$4:$E857,$E857,$X$4:$X857,"="&amp;$X857))))</f>
        <v>BLOOD KNIGHT#75</v>
      </c>
      <c r="AC857" s="1" t="str">
        <f>IF($C857="","",$B857&amp;"@"&amp;(COUNTIFS($B$4:$B$1463,$B857,$C$4:$C$1463,"&lt;"&amp;$C857)+COUNTIFS($B$4:$B857,$B857,$C$4:$C857,$C857)))</f>
        <v>EMERALD LEAF TRIBE@65</v>
      </c>
      <c r="AD857" s="1">
        <f t="shared" si="69"/>
        <v>854</v>
      </c>
      <c r="AE857" s="1" t="s">
        <v>1997</v>
      </c>
      <c r="AF857" s="76">
        <f t="shared" si="70"/>
        <v>61128</v>
      </c>
      <c r="AG857" s="77">
        <f t="shared" si="71"/>
        <v>3.87</v>
      </c>
      <c r="AH857" s="1" t="str">
        <f>IF($C857="","",$B857&amp;"|"&amp;(COUNTIFS($B$4:$B$1463,$B857,$AF$4:$AF$1463,"&gt;"&amp;$AF857)+COUNTIFS($B$4:$B857,$B857,$AF$4:$AF857,"="&amp;$AF857)))</f>
        <v>EMERALD LEAF TRIBE|55</v>
      </c>
      <c r="AI857" s="1" t="str">
        <f>IF($C857="","",$B857&amp;"|"&amp;(COUNTIFS($B$4:$B$1463,$B857,$AG$4:$AG$1463,"&gt;"&amp;$AG857)+COUNTIFS($B$4:$B857,$B857,$AG$4:$AG857,"="&amp;$AG857)))</f>
        <v>EMERALD LEAF TRIBE|34</v>
      </c>
    </row>
    <row r="858" spans="1:35" hidden="1">
      <c r="A858" s="69" t="s">
        <v>106</v>
      </c>
      <c r="B858" s="69" t="s">
        <v>107</v>
      </c>
      <c r="C858" s="63" t="s">
        <v>1998</v>
      </c>
      <c r="D858" s="69"/>
      <c r="E858" s="68" t="s">
        <v>79</v>
      </c>
      <c r="F858" s="15" t="str">
        <f>IF($C858="","",IF($E858="","-",IFERROR(INDEX(SETUP!$B$55:$B$64,MATCH($E858,SETUP!$A$55:$A$64,0)),"Other")))</f>
        <v>Control</v>
      </c>
      <c r="G858" s="70">
        <v>62941</v>
      </c>
      <c r="H858" s="15" t="str">
        <f>IF($C858="","",IF($G858="","-",INDEX(SETUP!$B$26:$B$32,MATCH($G858,SETUP!$A$26:$A$32,1))))</f>
        <v>62,000 - 62,999</v>
      </c>
      <c r="I858" s="70">
        <v>3574</v>
      </c>
      <c r="J858" s="15" t="str">
        <f>IF($C858="","",IF($I858="","-",INDEX(SETUP!$B$16:$B$22,MATCH($I858,SETUP!$A$16:$A$22,1))))</f>
        <v>DEVELOPING</v>
      </c>
      <c r="K858" s="15" t="str">
        <f>IF($C858="","",IF($I858="","-",TEXT(INT($I858/1000)*1000,"#,##0")&amp;" - "&amp;TEXT(INT($I858/1000)*1000+999,"#,##0")))</f>
        <v>3,000 - 3,999</v>
      </c>
      <c r="L858" s="71">
        <v>4.5999999999999996</v>
      </c>
      <c r="M858" s="15" t="str">
        <f>IF($C858="","",IF($L858="","-",INDEX(SETUP!$B$36:$B$42,MATCH($L858,SETUP!$A$36:$A$42,1))))</f>
        <v>4k - 5k</v>
      </c>
      <c r="N858" s="17">
        <f>IF($C858="","",IF(OR($G858="",$I858=""),"",ROUND(100*(SETUP!$B$4*MIN(1,$I858/SETUP!$B$9)+SETUP!$B$5*MAX(0,MIN(1,($G858-SETUP!$B$10)/(SETUP!$B$11-SETUP!$B$10)))+SETUP!$B$6*MIN(1,IF($L858="",0,$L858)/SETUP!$B$12)),1)))</f>
        <v>44.2</v>
      </c>
      <c r="O858" s="15" t="str">
        <f>IF($C858="","",IF($N858="","-",INDEX(SETUP!$B$46:$B$51,MATCH($N858,SETUP!$A$46:$A$51,1))))</f>
        <v>B</v>
      </c>
      <c r="P858" s="15">
        <f>IF($C858="","",IF($I858="","",RANK($I858,$I$4:$I$1463)+COUNTIF($I$4:$I858,$I858)-1))</f>
        <v>707</v>
      </c>
      <c r="Q858" s="15">
        <f>IF($C858="","",COUNTIFS($B$4:$B$1463,$B858,$X$4:$X$1463,"&gt;"&amp;$X858)+COUNTIFS($B$4:$B858,$B858,$X$4:$X858,"="&amp;$X858))</f>
        <v>65</v>
      </c>
      <c r="R858" s="72">
        <f>IF($C858="","",IF($I858="","",ROUND(COUNTIF($I$4:$I$1463,"&lt;"&amp;$I858)/COUNT($I$4:$I$1463),3)))</f>
        <v>0.46600000000000003</v>
      </c>
      <c r="S858" s="15" t="str">
        <f>IF($C858="","",IF($G858="","Name only",IF(OR($I858="",$L858=""),"Partial","Complete")))</f>
        <v>Complete</v>
      </c>
      <c r="T858" s="41" t="str">
        <f>IF($C858="","",TRIM(IF(COUNTIF($C$4:$C$1463,$C858)&gt;1,"Dup name; ","")&amp;IF(AND($G858&lt;&gt;"",$G858&lt;55000),"Low CR - verify; ","")&amp;IF(AND($L858&lt;&gt;"",$L858&gt;15),"Secondary - verify; ","")&amp;IF($E858="","No class; ","")))</f>
        <v/>
      </c>
      <c r="U858" s="68"/>
      <c r="V858" s="68"/>
      <c r="W858" s="68"/>
      <c r="X858" s="73">
        <f t="shared" si="67"/>
        <v>3574</v>
      </c>
      <c r="Y858" s="41" t="str">
        <f t="shared" si="68"/>
        <v>UNDYING|65</v>
      </c>
      <c r="Z858" s="15">
        <f>IF($C858="","",IF($G858="","",RANK($G858,$G$4:$G$1463)+COUNTIF($G$4:$G858,$G858)-1))</f>
        <v>456</v>
      </c>
      <c r="AA858" s="15">
        <f>IF($C858="","",IF($N858="","",RANK($N858,$N$4:$N$1463)+COUNTIF($N$4:$N858,$N858)-1))</f>
        <v>658</v>
      </c>
      <c r="AB858" s="41" t="str">
        <f>IF($C858="","",IF($E858="","",$E858&amp;"#"&amp;(COUNTIFS($E$4:$E$1463,$E858,$X$4:$X$1463,"&gt;"&amp;$X858)+COUNTIFS($E$4:$E858,$E858,$X$4:$X858,"="&amp;$X858))))</f>
        <v>WARLOCK#176</v>
      </c>
      <c r="AC858" s="41" t="str">
        <f>IF($C858="","",$B858&amp;"@"&amp;(COUNTIFS($B$4:$B$1463,$B858,$C$4:$C$1463,"&lt;"&amp;$C858)+COUNTIFS($B$4:$B858,$B858,$C$4:$C858,$C858)))</f>
        <v>UNDYING@73</v>
      </c>
      <c r="AD858" s="41">
        <f t="shared" si="69"/>
        <v>855</v>
      </c>
      <c r="AE858" s="41" t="s">
        <v>553</v>
      </c>
      <c r="AF858" s="73">
        <f t="shared" si="70"/>
        <v>62941</v>
      </c>
      <c r="AG858" s="74">
        <f t="shared" si="71"/>
        <v>4.5999999999999996</v>
      </c>
      <c r="AH858" s="41" t="str">
        <f>IF($C858="","",$B858&amp;"|"&amp;(COUNTIFS($B$4:$B$1463,$B858,$AF$4:$AF$1463,"&gt;"&amp;$AF858)+COUNTIFS($B$4:$B858,$B858,$AF$4:$AF858,"="&amp;$AF858)))</f>
        <v>UNDYING|45</v>
      </c>
      <c r="AI858" s="41" t="str">
        <f>IF($C858="","",$B858&amp;"|"&amp;(COUNTIFS($B$4:$B$1463,$B858,$AG$4:$AG$1463,"&gt;"&amp;$AG858)+COUNTIFS($B$4:$B858,$B858,$AG$4:$AG858,"="&amp;$AG858)))</f>
        <v>UNDYING|69</v>
      </c>
    </row>
    <row r="859" spans="1:35" hidden="1">
      <c r="A859" s="69" t="s">
        <v>106</v>
      </c>
      <c r="B859" s="69" t="s">
        <v>105</v>
      </c>
      <c r="C859" s="63" t="s">
        <v>1999</v>
      </c>
      <c r="D859" s="69" t="s">
        <v>691</v>
      </c>
      <c r="E859" s="68" t="s">
        <v>71</v>
      </c>
      <c r="F859" s="19" t="str">
        <f>IF($C859="","",IF($E859="","-",IFERROR(INDEX(SETUP!$B$55:$B$64,MATCH($E859,SETUP!$A$55:$A$64,0)),"Other")))</f>
        <v>Frontline</v>
      </c>
      <c r="G859" s="70">
        <v>63360</v>
      </c>
      <c r="H859" s="19" t="str">
        <f>IF($C859="","",IF($G859="","-",INDEX(SETUP!$B$26:$B$32,MATCH($G859,SETUP!$A$26:$A$32,1))))</f>
        <v>63,000 - 63,999</v>
      </c>
      <c r="I859" s="70">
        <v>5353</v>
      </c>
      <c r="J859" s="19" t="str">
        <f>IF($C859="","",IF($I859="","-",INDEX(SETUP!$B$16:$B$22,MATCH($I859,SETUP!$A$16:$A$22,1))))</f>
        <v>CORE</v>
      </c>
      <c r="K859" s="19" t="str">
        <f>IF($C859="","",IF($I859="","-",TEXT(INT($I859/1000)*1000,"#,##0")&amp;" - "&amp;TEXT(INT($I859/1000)*1000+999,"#,##0")))</f>
        <v>5,000 - 5,999</v>
      </c>
      <c r="L859" s="71">
        <v>5.33</v>
      </c>
      <c r="M859" s="19" t="str">
        <f>IF($C859="","",IF($L859="","-",INDEX(SETUP!$B$36:$B$42,MATCH($L859,SETUP!$A$36:$A$42,1))))</f>
        <v>5k - 6k</v>
      </c>
      <c r="N859" s="21">
        <f>IF($C859="","",IF(OR($G859="",$I859=""),"",ROUND(100*(SETUP!$B$4*MIN(1,$I859/SETUP!$B$9)+SETUP!$B$5*MAX(0,MIN(1,($G859-SETUP!$B$10)/(SETUP!$B$11-SETUP!$B$10)))+SETUP!$B$6*MIN(1,IF($L859="",0,$L859)/SETUP!$B$12)),1)))</f>
        <v>54.2</v>
      </c>
      <c r="O859" s="19" t="str">
        <f>IF($C859="","",IF($N859="","-",INDEX(SETUP!$B$46:$B$51,MATCH($N859,SETUP!$A$46:$A$51,1))))</f>
        <v>A</v>
      </c>
      <c r="P859" s="19">
        <f>IF($C859="","",IF($I859="","",RANK($I859,$I$4:$I$1463)+COUNTIF($I$4:$I859,$I859)-1))</f>
        <v>353</v>
      </c>
      <c r="Q859" s="19">
        <f>IF($C859="","",COUNTIFS($B$4:$B$1463,$B859,$X$4:$X$1463,"&gt;"&amp;$X859)+COUNTIFS($B$4:$B859,$B859,$X$4:$X859,"="&amp;$X859))</f>
        <v>41</v>
      </c>
      <c r="R859" s="75">
        <f>IF($C859="","",IF($I859="","",ROUND(COUNTIF($I$4:$I$1463,"&lt;"&amp;$I859)/COUNT($I$4:$I$1463),3)))</f>
        <v>0.73399999999999999</v>
      </c>
      <c r="S859" s="19" t="str">
        <f>IF($C859="","",IF($G859="","Name only",IF(OR($I859="",$L859=""),"Partial","Complete")))</f>
        <v>Complete</v>
      </c>
      <c r="T859" s="1" t="str">
        <f>IF($C859="","",TRIM(IF(COUNTIF($C$4:$C$1463,$C859)&gt;1,"Dup name; ","")&amp;IF(AND($G859&lt;&gt;"",$G859&lt;55000),"Low CR - verify; ","")&amp;IF(AND($L859&lt;&gt;"",$L859&gt;15),"Secondary - verify; ","")&amp;IF($E859="","No class; ","")))</f>
        <v/>
      </c>
      <c r="U859" s="68"/>
      <c r="V859" s="68"/>
      <c r="W859" s="68"/>
      <c r="X859" s="76">
        <f t="shared" si="67"/>
        <v>5353</v>
      </c>
      <c r="Y859" s="1" t="str">
        <f t="shared" si="68"/>
        <v>LEGENDS|41</v>
      </c>
      <c r="Z859" s="19">
        <f>IF($C859="","",IF($G859="","",RANK($G859,$G$4:$G$1463)+COUNTIF($G$4:$G859,$G859)-1))</f>
        <v>236</v>
      </c>
      <c r="AA859" s="19">
        <f>IF($C859="","",IF($N859="","",RANK($N859,$N$4:$N$1463)+COUNTIF($N$4:$N859,$N859)-1))</f>
        <v>334</v>
      </c>
      <c r="AB859" s="1" t="str">
        <f>IF($C859="","",IF($E859="","",$E859&amp;"#"&amp;(COUNTIFS($E$4:$E$1463,$E859,$X$4:$X$1463,"&gt;"&amp;$X859)+COUNTIFS($E$4:$E859,$E859,$X$4:$X859,"="&amp;$X859))))</f>
        <v>BARBARIAN#71</v>
      </c>
      <c r="AC859" s="1" t="str">
        <f>IF($C859="","",$B859&amp;"@"&amp;(COUNTIFS($B$4:$B$1463,$B859,$C$4:$C$1463,"&lt;"&amp;$C859)+COUNTIFS($B$4:$B859,$B859,$C$4:$C859,$C859)))</f>
        <v>LEGENDS@69</v>
      </c>
      <c r="AD859" s="1">
        <f t="shared" si="69"/>
        <v>856</v>
      </c>
      <c r="AE859" s="1" t="s">
        <v>2000</v>
      </c>
      <c r="AF859" s="76">
        <f t="shared" si="70"/>
        <v>63360</v>
      </c>
      <c r="AG859" s="77">
        <f t="shared" si="71"/>
        <v>5.33</v>
      </c>
      <c r="AH859" s="1" t="str">
        <f>IF($C859="","",$B859&amp;"|"&amp;(COUNTIFS($B$4:$B$1463,$B859,$AF$4:$AF$1463,"&gt;"&amp;$AF859)+COUNTIFS($B$4:$B859,$B859,$AF$4:$AF859,"="&amp;$AF859)))</f>
        <v>LEGENDS|31</v>
      </c>
      <c r="AI859" s="1" t="str">
        <f>IF($C859="","",$B859&amp;"|"&amp;(COUNTIFS($B$4:$B$1463,$B859,$AG$4:$AG$1463,"&gt;"&amp;$AG859)+COUNTIFS($B$4:$B859,$B859,$AG$4:$AG859,"="&amp;$AG859)))</f>
        <v>LEGENDS|48</v>
      </c>
    </row>
    <row r="860" spans="1:35" hidden="1">
      <c r="A860" s="69" t="s">
        <v>109</v>
      </c>
      <c r="B860" s="69" t="s">
        <v>110</v>
      </c>
      <c r="C860" s="63" t="s">
        <v>2001</v>
      </c>
      <c r="D860" s="69"/>
      <c r="E860" s="68" t="s">
        <v>79</v>
      </c>
      <c r="F860" s="15" t="str">
        <f>IF($C860="","",IF($E860="","-",IFERROR(INDEX(SETUP!$B$55:$B$64,MATCH($E860,SETUP!$A$55:$A$64,0)),"Other")))</f>
        <v>Control</v>
      </c>
      <c r="G860" s="70">
        <v>63099</v>
      </c>
      <c r="H860" s="15" t="str">
        <f>IF($C860="","",IF($G860="","-",INDEX(SETUP!$B$26:$B$32,MATCH($G860,SETUP!$A$26:$A$32,1))))</f>
        <v>63,000 - 63,999</v>
      </c>
      <c r="I860" s="70">
        <v>5563</v>
      </c>
      <c r="J860" s="15" t="str">
        <f>IF($C860="","",IF($I860="","-",INDEX(SETUP!$B$16:$B$22,MATCH($I860,SETUP!$A$16:$A$22,1))))</f>
        <v>CORE</v>
      </c>
      <c r="K860" s="15" t="str">
        <f>IF($C860="","",IF($I860="","-",TEXT(INT($I860/1000)*1000,"#,##0")&amp;" - "&amp;TEXT(INT($I860/1000)*1000+999,"#,##0")))</f>
        <v>5,000 - 5,999</v>
      </c>
      <c r="L860" s="71">
        <v>4.8</v>
      </c>
      <c r="M860" s="15" t="str">
        <f>IF($C860="","",IF($L860="","-",INDEX(SETUP!$B$36:$B$42,MATCH($L860,SETUP!$A$36:$A$42,1))))</f>
        <v>4k - 5k</v>
      </c>
      <c r="N860" s="17">
        <f>IF($C860="","",IF(OR($G860="",$I860=""),"",ROUND(100*(SETUP!$B$4*MIN(1,$I860/SETUP!$B$9)+SETUP!$B$5*MAX(0,MIN(1,($G860-SETUP!$B$10)/(SETUP!$B$11-SETUP!$B$10)))+SETUP!$B$6*MIN(1,IF($L860="",0,$L860)/SETUP!$B$12)),1)))</f>
        <v>53.6</v>
      </c>
      <c r="O860" s="15" t="str">
        <f>IF($C860="","",IF($N860="","-",INDEX(SETUP!$B$46:$B$51,MATCH($N860,SETUP!$A$46:$A$51,1))))</f>
        <v>A</v>
      </c>
      <c r="P860" s="15">
        <f>IF($C860="","",IF($I860="","",RANK($I860,$I$4:$I$1463)+COUNTIF($I$4:$I860,$I860)-1))</f>
        <v>329</v>
      </c>
      <c r="Q860" s="15">
        <f>IF($C860="","",COUNTIFS($B$4:$B$1463,$B860,$X$4:$X$1463,"&gt;"&amp;$X860)+COUNTIFS($B$4:$B860,$B860,$X$4:$X860,"="&amp;$X860))</f>
        <v>42</v>
      </c>
      <c r="R860" s="72">
        <f>IF($C860="","",IF($I860="","",ROUND(COUNTIF($I$4:$I$1463,"&lt;"&amp;$I860)/COUNT($I$4:$I$1463),3)))</f>
        <v>0.752</v>
      </c>
      <c r="S860" s="15" t="str">
        <f>IF($C860="","",IF($G860="","Name only",IF(OR($I860="",$L860=""),"Partial","Complete")))</f>
        <v>Complete</v>
      </c>
      <c r="T860" s="41" t="str">
        <f>IF($C860="","",TRIM(IF(COUNTIF($C$4:$C$1463,$C860)&gt;1,"Dup name; ","")&amp;IF(AND($G860&lt;&gt;"",$G860&lt;55000),"Low CR - verify; ","")&amp;IF(AND($L860&lt;&gt;"",$L860&gt;15),"Secondary - verify; ","")&amp;IF($E860="","No class; ","")))</f>
        <v/>
      </c>
      <c r="U860" s="68"/>
      <c r="V860" s="68"/>
      <c r="W860" s="68"/>
      <c r="X860" s="73">
        <f t="shared" si="67"/>
        <v>5563</v>
      </c>
      <c r="Y860" s="41" t="str">
        <f t="shared" si="68"/>
        <v>AZUKI|42</v>
      </c>
      <c r="Z860" s="15">
        <f>IF($C860="","",IF($G860="","",RANK($G860,$G$4:$G$1463)+COUNTIF($G$4:$G860,$G860)-1))</f>
        <v>379</v>
      </c>
      <c r="AA860" s="15">
        <f>IF($C860="","",IF($N860="","",RANK($N860,$N$4:$N$1463)+COUNTIF($N$4:$N860,$N860)-1))</f>
        <v>348</v>
      </c>
      <c r="AB860" s="41" t="str">
        <f>IF($C860="","",IF($E860="","",$E860&amp;"#"&amp;(COUNTIFS($E$4:$E$1463,$E860,$X$4:$X$1463,"&gt;"&amp;$X860)+COUNTIFS($E$4:$E860,$E860,$X$4:$X860,"="&amp;$X860))))</f>
        <v>WARLOCK#72</v>
      </c>
      <c r="AC860" s="41" t="str">
        <f>IF($C860="","",$B860&amp;"@"&amp;(COUNTIFS($B$4:$B$1463,$B860,$C$4:$C$1463,"&lt;"&amp;$C860)+COUNTIFS($B$4:$B860,$B860,$C$4:$C860,$C860)))</f>
        <v>AZUKI@67</v>
      </c>
      <c r="AD860" s="41">
        <f t="shared" si="69"/>
        <v>857</v>
      </c>
      <c r="AE860" s="41" t="s">
        <v>2002</v>
      </c>
      <c r="AF860" s="73">
        <f t="shared" si="70"/>
        <v>63099</v>
      </c>
      <c r="AG860" s="74">
        <f t="shared" si="71"/>
        <v>4.8</v>
      </c>
      <c r="AH860" s="41" t="str">
        <f>IF($C860="","",$B860&amp;"|"&amp;(COUNTIFS($B$4:$B$1463,$B860,$AF$4:$AF$1463,"&gt;"&amp;$AF860)+COUNTIFS($B$4:$B860,$B860,$AF$4:$AF860,"="&amp;$AF860)))</f>
        <v>AZUKI|37</v>
      </c>
      <c r="AI860" s="41" t="str">
        <f>IF($C860="","",$B860&amp;"|"&amp;(COUNTIFS($B$4:$B$1463,$B860,$AG$4:$AG$1463,"&gt;"&amp;$AG860)+COUNTIFS($B$4:$B860,$B860,$AG$4:$AG860,"="&amp;$AG860)))</f>
        <v>AZUKI|73</v>
      </c>
    </row>
    <row r="861" spans="1:35" hidden="1">
      <c r="A861" s="69" t="s">
        <v>106</v>
      </c>
      <c r="B861" s="69" t="s">
        <v>107</v>
      </c>
      <c r="C861" s="63" t="s">
        <v>2003</v>
      </c>
      <c r="D861" s="69"/>
      <c r="E861" s="68" t="s">
        <v>71</v>
      </c>
      <c r="F861" s="19" t="str">
        <f>IF($C861="","",IF($E861="","-",IFERROR(INDEX(SETUP!$B$55:$B$64,MATCH($E861,SETUP!$A$55:$A$64,0)),"Other")))</f>
        <v>Frontline</v>
      </c>
      <c r="G861" s="70">
        <v>63610</v>
      </c>
      <c r="H861" s="19" t="str">
        <f>IF($C861="","",IF($G861="","-",INDEX(SETUP!$B$26:$B$32,MATCH($G861,SETUP!$A$26:$A$32,1))))</f>
        <v>63,000 - 63,999</v>
      </c>
      <c r="I861" s="70">
        <v>6048</v>
      </c>
      <c r="J861" s="19" t="str">
        <f>IF($C861="","",IF($I861="","-",INDEX(SETUP!$B$16:$B$22,MATCH($I861,SETUP!$A$16:$A$22,1))))</f>
        <v>VETERAN</v>
      </c>
      <c r="K861" s="19" t="str">
        <f>IF($C861="","",IF($I861="","-",TEXT(INT($I861/1000)*1000,"#,##0")&amp;" - "&amp;TEXT(INT($I861/1000)*1000+999,"#,##0")))</f>
        <v>6,000 - 6,999</v>
      </c>
      <c r="L861" s="71">
        <v>3.5</v>
      </c>
      <c r="M861" s="19" t="str">
        <f>IF($C861="","",IF($L861="","-",INDEX(SETUP!$B$36:$B$42,MATCH($L861,SETUP!$A$36:$A$42,1))))</f>
        <v>3k - 4k</v>
      </c>
      <c r="N861" s="21">
        <f>IF($C861="","",IF(OR($G861="",$I861=""),"",ROUND(100*(SETUP!$B$4*MIN(1,$I861/SETUP!$B$9)+SETUP!$B$5*MAX(0,MIN(1,($G861-SETUP!$B$10)/(SETUP!$B$11-SETUP!$B$10)))+SETUP!$B$6*MIN(1,IF($L861="",0,$L861)/SETUP!$B$12)),1)))</f>
        <v>54.9</v>
      </c>
      <c r="O861" s="19" t="str">
        <f>IF($C861="","",IF($N861="","-",INDEX(SETUP!$B$46:$B$51,MATCH($N861,SETUP!$A$46:$A$51,1))))</f>
        <v>A</v>
      </c>
      <c r="P861" s="19">
        <f>IF($C861="","",IF($I861="","",RANK($I861,$I$4:$I$1463)+COUNTIF($I$4:$I861,$I861)-1))</f>
        <v>283</v>
      </c>
      <c r="Q861" s="19">
        <f>IF($C861="","",COUNTIFS($B$4:$B$1463,$B861,$X$4:$X$1463,"&gt;"&amp;$X861)+COUNTIFS($B$4:$B861,$B861,$X$4:$X861,"="&amp;$X861))</f>
        <v>20</v>
      </c>
      <c r="R861" s="75">
        <f>IF($C861="","",IF($I861="","",ROUND(COUNTIF($I$4:$I$1463,"&lt;"&amp;$I861)/COUNT($I$4:$I$1463),3)))</f>
        <v>0.78600000000000003</v>
      </c>
      <c r="S861" s="19" t="str">
        <f>IF($C861="","",IF($G861="","Name only",IF(OR($I861="",$L861=""),"Partial","Complete")))</f>
        <v>Complete</v>
      </c>
      <c r="T861" s="1" t="str">
        <f>IF($C861="","",TRIM(IF(COUNTIF($C$4:$C$1463,$C861)&gt;1,"Dup name; ","")&amp;IF(AND($G861&lt;&gt;"",$G861&lt;55000),"Low CR - verify; ","")&amp;IF(AND($L861&lt;&gt;"",$L861&gt;15),"Secondary - verify; ","")&amp;IF($E861="","No class; ","")))</f>
        <v/>
      </c>
      <c r="U861" s="68"/>
      <c r="V861" s="68"/>
      <c r="W861" s="68"/>
      <c r="X861" s="76">
        <f t="shared" si="67"/>
        <v>6048</v>
      </c>
      <c r="Y861" s="1" t="str">
        <f t="shared" si="68"/>
        <v>UNDYING|20</v>
      </c>
      <c r="Z861" s="19">
        <f>IF($C861="","",IF($G861="","",RANK($G861,$G$4:$G$1463)+COUNTIF($G$4:$G861,$G861)-1))</f>
        <v>166</v>
      </c>
      <c r="AA861" s="19">
        <f>IF($C861="","",IF($N861="","",RANK($N861,$N$4:$N$1463)+COUNTIF($N$4:$N861,$N861)-1))</f>
        <v>317</v>
      </c>
      <c r="AB861" s="1" t="str">
        <f>IF($C861="","",IF($E861="","",$E861&amp;"#"&amp;(COUNTIFS($E$4:$E$1463,$E861,$X$4:$X$1463,"&gt;"&amp;$X861)+COUNTIFS($E$4:$E861,$E861,$X$4:$X861,"="&amp;$X861))))</f>
        <v>BARBARIAN#57</v>
      </c>
      <c r="AC861" s="1" t="str">
        <f>IF($C861="","",$B861&amp;"@"&amp;(COUNTIFS($B$4:$B$1463,$B861,$C$4:$C$1463,"&lt;"&amp;$C861)+COUNTIFS($B$4:$B861,$B861,$C$4:$C861,$C861)))</f>
        <v>UNDYING@74</v>
      </c>
      <c r="AD861" s="1">
        <f t="shared" si="69"/>
        <v>858</v>
      </c>
      <c r="AE861" s="1" t="s">
        <v>1057</v>
      </c>
      <c r="AF861" s="76">
        <f t="shared" si="70"/>
        <v>63610</v>
      </c>
      <c r="AG861" s="77">
        <f t="shared" si="71"/>
        <v>3.5</v>
      </c>
      <c r="AH861" s="1" t="str">
        <f>IF($C861="","",$B861&amp;"|"&amp;(COUNTIFS($B$4:$B$1463,$B861,$AF$4:$AF$1463,"&gt;"&amp;$AF861)+COUNTIFS($B$4:$B861,$B861,$AF$4:$AF861,"="&amp;$AF861)))</f>
        <v>UNDYING|7</v>
      </c>
      <c r="AI861" s="1" t="str">
        <f>IF($C861="","",$B861&amp;"|"&amp;(COUNTIFS($B$4:$B$1463,$B861,$AG$4:$AG$1463,"&gt;"&amp;$AG861)+COUNTIFS($B$4:$B861,$B861,$AG$4:$AG861,"="&amp;$AG861)))</f>
        <v>UNDYING|92</v>
      </c>
    </row>
    <row r="862" spans="1:35" hidden="1">
      <c r="A862" s="69" t="s">
        <v>109</v>
      </c>
      <c r="B862" s="69" t="s">
        <v>113</v>
      </c>
      <c r="C862" s="63" t="s">
        <v>2004</v>
      </c>
      <c r="D862" s="69" t="s">
        <v>548</v>
      </c>
      <c r="E862" s="68" t="s">
        <v>74</v>
      </c>
      <c r="F862" s="15" t="str">
        <f>IF($C862="","",IF($E862="","-",IFERROR(INDEX(SETUP!$B$55:$B$64,MATCH($E862,SETUP!$A$55:$A$64,0)),"Other")))</f>
        <v>Ranged DPS</v>
      </c>
      <c r="G862" s="70">
        <v>62191</v>
      </c>
      <c r="H862" s="15" t="str">
        <f>IF($C862="","",IF($G862="","-",INDEX(SETUP!$B$26:$B$32,MATCH($G862,SETUP!$A$26:$A$32,1))))</f>
        <v>62,000 - 62,999</v>
      </c>
      <c r="I862" s="70">
        <v>3176</v>
      </c>
      <c r="J862" s="15" t="str">
        <f>IF($C862="","",IF($I862="","-",INDEX(SETUP!$B$16:$B$22,MATCH($I862,SETUP!$A$16:$A$22,1))))</f>
        <v>DEVELOPING</v>
      </c>
      <c r="K862" s="15" t="str">
        <f>IF($C862="","",IF($I862="","-",TEXT(INT($I862/1000)*1000,"#,##0")&amp;" - "&amp;TEXT(INT($I862/1000)*1000+999,"#,##0")))</f>
        <v>3,000 - 3,999</v>
      </c>
      <c r="L862" s="71">
        <v>4.5999999999999996</v>
      </c>
      <c r="M862" s="15" t="str">
        <f>IF($C862="","",IF($L862="","-",INDEX(SETUP!$B$36:$B$42,MATCH($L862,SETUP!$A$36:$A$42,1))))</f>
        <v>4k - 5k</v>
      </c>
      <c r="N862" s="17">
        <f>IF($C862="","",IF(OR($G862="",$I862=""),"",ROUND(100*(SETUP!$B$4*MIN(1,$I862/SETUP!$B$9)+SETUP!$B$5*MAX(0,MIN(1,($G862-SETUP!$B$10)/(SETUP!$B$11-SETUP!$B$10)))+SETUP!$B$6*MIN(1,IF($L862="",0,$L862)/SETUP!$B$12)),1)))</f>
        <v>40.5</v>
      </c>
      <c r="O862" s="15" t="str">
        <f>IF($C862="","",IF($N862="","-",INDEX(SETUP!$B$46:$B$51,MATCH($N862,SETUP!$A$46:$A$51,1))))</f>
        <v>B</v>
      </c>
      <c r="P862" s="15">
        <f>IF($C862="","",IF($I862="","",RANK($I862,$I$4:$I$1463)+COUNTIF($I$4:$I862,$I862)-1))</f>
        <v>827</v>
      </c>
      <c r="Q862" s="15">
        <f>IF($C862="","",COUNTIFS($B$4:$B$1463,$B862,$X$4:$X$1463,"&gt;"&amp;$X862)+COUNTIFS($B$4:$B862,$B862,$X$4:$X862,"="&amp;$X862))</f>
        <v>46</v>
      </c>
      <c r="R862" s="72">
        <f>IF($C862="","",IF($I862="","",ROUND(COUNTIF($I$4:$I$1463,"&lt;"&amp;$I862)/COUNT($I$4:$I$1463),3)))</f>
        <v>0.376</v>
      </c>
      <c r="S862" s="15" t="str">
        <f>IF($C862="","",IF($G862="","Name only",IF(OR($I862="",$L862=""),"Partial","Complete")))</f>
        <v>Complete</v>
      </c>
      <c r="T862" s="41" t="str">
        <f>IF($C862="","",TRIM(IF(COUNTIF($C$4:$C$1463,$C862)&gt;1,"Dup name; ","")&amp;IF(AND($G862&lt;&gt;"",$G862&lt;55000),"Low CR - verify; ","")&amp;IF(AND($L862&lt;&gt;"",$L862&gt;15),"Secondary - verify; ","")&amp;IF($E862="","No class; ","")))</f>
        <v/>
      </c>
      <c r="U862" s="68"/>
      <c r="V862" s="68"/>
      <c r="W862" s="68"/>
      <c r="X862" s="73">
        <f t="shared" si="67"/>
        <v>3176</v>
      </c>
      <c r="Y862" s="41" t="str">
        <f t="shared" si="68"/>
        <v>INVICTUS|46</v>
      </c>
      <c r="Z862" s="15">
        <f>IF($C862="","",IF($G862="","",RANK($G862,$G$4:$G$1463)+COUNTIF($G$4:$G862,$G862)-1))</f>
        <v>763</v>
      </c>
      <c r="AA862" s="15">
        <f>IF($C862="","",IF($N862="","",RANK($N862,$N$4:$N$1463)+COUNTIF($N$4:$N862,$N862)-1))</f>
        <v>804</v>
      </c>
      <c r="AB862" s="41" t="str">
        <f>IF($C862="","",IF($E862="","",$E862&amp;"#"&amp;(COUNTIFS($E$4:$E$1463,$E862,$X$4:$X$1463,"&gt;"&amp;$X862)+COUNTIFS($E$4:$E862,$E862,$X$4:$X862,"="&amp;$X862))))</f>
        <v>DEMON HUNTER#133</v>
      </c>
      <c r="AC862" s="41" t="str">
        <f>IF($C862="","",$B862&amp;"@"&amp;(COUNTIFS($B$4:$B$1463,$B862,$C$4:$C$1463,"&lt;"&amp;$C862)+COUNTIFS($B$4:$B862,$B862,$C$4:$C862,$C862)))</f>
        <v>INVICTUS@65</v>
      </c>
      <c r="AD862" s="41">
        <f t="shared" si="69"/>
        <v>859</v>
      </c>
      <c r="AE862" s="41" t="s">
        <v>2005</v>
      </c>
      <c r="AF862" s="73">
        <f t="shared" si="70"/>
        <v>62191</v>
      </c>
      <c r="AG862" s="74">
        <f t="shared" si="71"/>
        <v>4.5999999999999996</v>
      </c>
      <c r="AH862" s="41" t="str">
        <f>IF($C862="","",$B862&amp;"|"&amp;(COUNTIFS($B$4:$B$1463,$B862,$AF$4:$AF$1463,"&gt;"&amp;$AF862)+COUNTIFS($B$4:$B862,$B862,$AF$4:$AF862,"="&amp;$AF862)))</f>
        <v>INVICTUS|48</v>
      </c>
      <c r="AI862" s="41" t="str">
        <f>IF($C862="","",$B862&amp;"|"&amp;(COUNTIFS($B$4:$B$1463,$B862,$AG$4:$AG$1463,"&gt;"&amp;$AG862)+COUNTIFS($B$4:$B862,$B862,$AG$4:$AG862,"="&amp;$AG862)))</f>
        <v>INVICTUS|44</v>
      </c>
    </row>
    <row r="863" spans="1:35" hidden="1">
      <c r="A863" s="69" t="s">
        <v>106</v>
      </c>
      <c r="B863" s="69" t="s">
        <v>107</v>
      </c>
      <c r="C863" s="63" t="s">
        <v>2006</v>
      </c>
      <c r="D863" s="69"/>
      <c r="E863" s="68" t="s">
        <v>71</v>
      </c>
      <c r="F863" s="19" t="str">
        <f>IF($C863="","",IF($E863="","-",IFERROR(INDEX(SETUP!$B$55:$B$64,MATCH($E863,SETUP!$A$55:$A$64,0)),"Other")))</f>
        <v>Frontline</v>
      </c>
      <c r="G863" s="70">
        <v>63082</v>
      </c>
      <c r="H863" s="19" t="str">
        <f>IF($C863="","",IF($G863="","-",INDEX(SETUP!$B$26:$B$32,MATCH($G863,SETUP!$A$26:$A$32,1))))</f>
        <v>63,000 - 63,999</v>
      </c>
      <c r="I863" s="70">
        <v>3401</v>
      </c>
      <c r="J863" s="19" t="str">
        <f>IF($C863="","",IF($I863="","-",INDEX(SETUP!$B$16:$B$22,MATCH($I863,SETUP!$A$16:$A$22,1))))</f>
        <v>DEVELOPING</v>
      </c>
      <c r="K863" s="19" t="str">
        <f>IF($C863="","",IF($I863="","-",TEXT(INT($I863/1000)*1000,"#,##0")&amp;" - "&amp;TEXT(INT($I863/1000)*1000+999,"#,##0")))</f>
        <v>3,000 - 3,999</v>
      </c>
      <c r="L863" s="71">
        <v>4.0999999999999996</v>
      </c>
      <c r="M863" s="19" t="str">
        <f>IF($C863="","",IF($L863="","-",INDEX(SETUP!$B$36:$B$42,MATCH($L863,SETUP!$A$36:$A$42,1))))</f>
        <v>4k - 5k</v>
      </c>
      <c r="N863" s="21">
        <f>IF($C863="","",IF(OR($G863="",$I863=""),"",ROUND(100*(SETUP!$B$4*MIN(1,$I863/SETUP!$B$9)+SETUP!$B$5*MAX(0,MIN(1,($G863-SETUP!$B$10)/(SETUP!$B$11-SETUP!$B$10)))+SETUP!$B$6*MIN(1,IF($L863="",0,$L863)/SETUP!$B$12)),1)))</f>
        <v>42.9</v>
      </c>
      <c r="O863" s="19" t="str">
        <f>IF($C863="","",IF($N863="","-",INDEX(SETUP!$B$46:$B$51,MATCH($N863,SETUP!$A$46:$A$51,1))))</f>
        <v>B</v>
      </c>
      <c r="P863" s="19">
        <f>IF($C863="","",IF($I863="","",RANK($I863,$I$4:$I$1463)+COUNTIF($I$4:$I863,$I863)-1))</f>
        <v>757</v>
      </c>
      <c r="Q863" s="19">
        <f>IF($C863="","",COUNTIFS($B$4:$B$1463,$B863,$X$4:$X$1463,"&gt;"&amp;$X863)+COUNTIFS($B$4:$B863,$B863,$X$4:$X863,"="&amp;$X863))</f>
        <v>72</v>
      </c>
      <c r="R863" s="75">
        <f>IF($C863="","",IF($I863="","",ROUND(COUNTIF($I$4:$I$1463,"&lt;"&amp;$I863)/COUNT($I$4:$I$1463),3)))</f>
        <v>0.42899999999999999</v>
      </c>
      <c r="S863" s="19" t="str">
        <f>IF($C863="","",IF($G863="","Name only",IF(OR($I863="",$L863=""),"Partial","Complete")))</f>
        <v>Complete</v>
      </c>
      <c r="T863" s="1" t="str">
        <f>IF($C863="","",TRIM(IF(COUNTIF($C$4:$C$1463,$C863)&gt;1,"Dup name; ","")&amp;IF(AND($G863&lt;&gt;"",$G863&lt;55000),"Low CR - verify; ","")&amp;IF(AND($L863&lt;&gt;"",$L863&gt;15),"Secondary - verify; ","")&amp;IF($E863="","No class; ","")))</f>
        <v/>
      </c>
      <c r="U863" s="68"/>
      <c r="V863" s="68"/>
      <c r="W863" s="68"/>
      <c r="X863" s="76">
        <f t="shared" si="67"/>
        <v>3401</v>
      </c>
      <c r="Y863" s="1" t="str">
        <f t="shared" si="68"/>
        <v>UNDYING|72</v>
      </c>
      <c r="Z863" s="19">
        <f>IF($C863="","",IF($G863="","",RANK($G863,$G$4:$G$1463)+COUNTIF($G$4:$G863,$G863)-1))</f>
        <v>389</v>
      </c>
      <c r="AA863" s="19">
        <f>IF($C863="","",IF($N863="","",RANK($N863,$N$4:$N$1463)+COUNTIF($N$4:$N863,$N863)-1))</f>
        <v>710</v>
      </c>
      <c r="AB863" s="1" t="str">
        <f>IF($C863="","",IF($E863="","",$E863&amp;"#"&amp;(COUNTIFS($E$4:$E$1463,$E863,$X$4:$X$1463,"&gt;"&amp;$X863)+COUNTIFS($E$4:$E863,$E863,$X$4:$X863,"="&amp;$X863))))</f>
        <v>BARBARIAN#133</v>
      </c>
      <c r="AC863" s="1" t="str">
        <f>IF($C863="","",$B863&amp;"@"&amp;(COUNTIFS($B$4:$B$1463,$B863,$C$4:$C$1463,"&lt;"&amp;$C863)+COUNTIFS($B$4:$B863,$B863,$C$4:$C863,$C863)))</f>
        <v>UNDYING@75</v>
      </c>
      <c r="AD863" s="1">
        <f t="shared" si="69"/>
        <v>860</v>
      </c>
      <c r="AE863" s="1" t="s">
        <v>1361</v>
      </c>
      <c r="AF863" s="76">
        <f t="shared" si="70"/>
        <v>63082</v>
      </c>
      <c r="AG863" s="77">
        <f t="shared" si="71"/>
        <v>4.0999999999999996</v>
      </c>
      <c r="AH863" s="1" t="str">
        <f>IF($C863="","",$B863&amp;"|"&amp;(COUNTIFS($B$4:$B$1463,$B863,$AF$4:$AF$1463,"&gt;"&amp;$AF863)+COUNTIFS($B$4:$B863,$B863,$AF$4:$AF863,"="&amp;$AF863)))</f>
        <v>UNDYING|40</v>
      </c>
      <c r="AI863" s="1" t="str">
        <f>IF($C863="","",$B863&amp;"|"&amp;(COUNTIFS($B$4:$B$1463,$B863,$AG$4:$AG$1463,"&gt;"&amp;$AG863)+COUNTIFS($B$4:$B863,$B863,$AG$4:$AG863,"="&amp;$AG863)))</f>
        <v>UNDYING|78</v>
      </c>
    </row>
    <row r="864" spans="1:35" hidden="1">
      <c r="A864" s="69" t="s">
        <v>109</v>
      </c>
      <c r="B864" s="69" t="s">
        <v>117</v>
      </c>
      <c r="C864" s="63" t="s">
        <v>2007</v>
      </c>
      <c r="D864" s="69"/>
      <c r="E864" s="68" t="s">
        <v>72</v>
      </c>
      <c r="F864" s="15" t="str">
        <f>IF($C864="","",IF($E864="","-",IFERROR(INDEX(SETUP!$B$55:$B$64,MATCH($E864,SETUP!$A$55:$A$64,0)),"Other")))</f>
        <v>Frontline</v>
      </c>
      <c r="G864" s="70">
        <v>62273</v>
      </c>
      <c r="H864" s="15" t="str">
        <f>IF($C864="","",IF($G864="","-",INDEX(SETUP!$B$26:$B$32,MATCH($G864,SETUP!$A$26:$A$32,1))))</f>
        <v>62,000 - 62,999</v>
      </c>
      <c r="I864" s="70">
        <v>1422</v>
      </c>
      <c r="J864" s="15" t="str">
        <f>IF($C864="","",IF($I864="","-",INDEX(SETUP!$B$16:$B$22,MATCH($I864,SETUP!$A$16:$A$22,1))))</f>
        <v>ROOKIE</v>
      </c>
      <c r="K864" s="15" t="str">
        <f>IF($C864="","",IF($I864="","-",TEXT(INT($I864/1000)*1000,"#,##0")&amp;" - "&amp;TEXT(INT($I864/1000)*1000+999,"#,##0")))</f>
        <v>1,000 - 1,999</v>
      </c>
      <c r="L864" s="71">
        <v>3.73</v>
      </c>
      <c r="M864" s="15" t="str">
        <f>IF($C864="","",IF($L864="","-",INDEX(SETUP!$B$36:$B$42,MATCH($L864,SETUP!$A$36:$A$42,1))))</f>
        <v>3k - 4k</v>
      </c>
      <c r="N864" s="17">
        <f>IF($C864="","",IF(OR($G864="",$I864=""),"",ROUND(100*(SETUP!$B$4*MIN(1,$I864/SETUP!$B$9)+SETUP!$B$5*MAX(0,MIN(1,($G864-SETUP!$B$10)/(SETUP!$B$11-SETUP!$B$10)))+SETUP!$B$6*MIN(1,IF($L864="",0,$L864)/SETUP!$B$12)),1)))</f>
        <v>31.6</v>
      </c>
      <c r="O864" s="15" t="str">
        <f>IF($C864="","",IF($N864="","-",INDEX(SETUP!$B$46:$B$51,MATCH($N864,SETUP!$A$46:$A$51,1))))</f>
        <v>C</v>
      </c>
      <c r="P864" s="15">
        <f>IF($C864="","",IF($I864="","",RANK($I864,$I$4:$I$1463)+COUNTIF($I$4:$I864,$I864)-1))</f>
        <v>1207</v>
      </c>
      <c r="Q864" s="15">
        <f>IF($C864="","",COUNTIFS($B$4:$B$1463,$B864,$X$4:$X$1463,"&gt;"&amp;$X864)+COUNTIFS($B$4:$B864,$B864,$X$4:$X864,"="&amp;$X864))</f>
        <v>70</v>
      </c>
      <c r="R864" s="72">
        <f>IF($C864="","",IF($I864="","",ROUND(COUNTIF($I$4:$I$1463,"&lt;"&amp;$I864)/COUNT($I$4:$I$1463),3)))</f>
        <v>8.8999999999999996E-2</v>
      </c>
      <c r="S864" s="15" t="str">
        <f>IF($C864="","",IF($G864="","Name only",IF(OR($I864="",$L864=""),"Partial","Complete")))</f>
        <v>Complete</v>
      </c>
      <c r="T864" s="41" t="str">
        <f>IF($C864="","",TRIM(IF(COUNTIF($C$4:$C$1463,$C864)&gt;1,"Dup name; ","")&amp;IF(AND($G864&lt;&gt;"",$G864&lt;55000),"Low CR - verify; ","")&amp;IF(AND($L864&lt;&gt;"",$L864&gt;15),"Secondary - verify; ","")&amp;IF($E864="","No class; ","")))</f>
        <v/>
      </c>
      <c r="U864" s="68"/>
      <c r="V864" s="68"/>
      <c r="W864" s="68"/>
      <c r="X864" s="73">
        <f t="shared" si="67"/>
        <v>1422</v>
      </c>
      <c r="Y864" s="41" t="str">
        <f t="shared" si="68"/>
        <v>VENDETTA|70</v>
      </c>
      <c r="Z864" s="15">
        <f>IF($C864="","",IF($G864="","",RANK($G864,$G$4:$G$1463)+COUNTIF($G$4:$G864,$G864)-1))</f>
        <v>731</v>
      </c>
      <c r="AA864" s="15">
        <f>IF($C864="","",IF($N864="","",RANK($N864,$N$4:$N$1463)+COUNTIF($N$4:$N864,$N864)-1))</f>
        <v>1107</v>
      </c>
      <c r="AB864" s="41" t="str">
        <f>IF($C864="","",IF($E864="","",$E864&amp;"#"&amp;(COUNTIFS($E$4:$E$1463,$E864,$X$4:$X$1463,"&gt;"&amp;$X864)+COUNTIFS($E$4:$E864,$E864,$X$4:$X864,"="&amp;$X864))))</f>
        <v>BLOOD KNIGHT#83</v>
      </c>
      <c r="AC864" s="41" t="str">
        <f>IF($C864="","",$B864&amp;"@"&amp;(COUNTIFS($B$4:$B$1463,$B864,$C$4:$C$1463,"&lt;"&amp;$C864)+COUNTIFS($B$4:$B864,$B864,$C$4:$C864,$C864)))</f>
        <v>VENDETTA@66</v>
      </c>
      <c r="AD864" s="41">
        <f t="shared" si="69"/>
        <v>861</v>
      </c>
      <c r="AE864" s="41" t="s">
        <v>2008</v>
      </c>
      <c r="AF864" s="73">
        <f t="shared" si="70"/>
        <v>62273</v>
      </c>
      <c r="AG864" s="74">
        <f t="shared" si="71"/>
        <v>3.73</v>
      </c>
      <c r="AH864" s="41" t="str">
        <f>IF($C864="","",$B864&amp;"|"&amp;(COUNTIFS($B$4:$B$1463,$B864,$AF$4:$AF$1463,"&gt;"&amp;$AF864)+COUNTIFS($B$4:$B864,$B864,$AF$4:$AF864,"="&amp;$AF864)))</f>
        <v>VENDETTA|28</v>
      </c>
      <c r="AI864" s="41" t="str">
        <f>IF($C864="","",$B864&amp;"|"&amp;(COUNTIFS($B$4:$B$1463,$B864,$AG$4:$AG$1463,"&gt;"&amp;$AG864)+COUNTIFS($B$4:$B864,$B864,$AG$4:$AG864,"="&amp;$AG864)))</f>
        <v>VENDETTA|46</v>
      </c>
    </row>
    <row r="865" spans="1:35">
      <c r="A865" s="69" t="s">
        <v>104</v>
      </c>
      <c r="B865" s="69" t="s">
        <v>66</v>
      </c>
      <c r="C865" s="63" t="s">
        <v>1875</v>
      </c>
      <c r="D865" s="69"/>
      <c r="E865" s="68" t="s">
        <v>76</v>
      </c>
      <c r="F865" s="19" t="str">
        <f>IF($C865="","",IF($E865="","-",IFERROR(INDEX(SETUP!$B$55:$B$64,MATCH($E865,SETUP!$A$55:$A$64,0)),"Other")))</f>
        <v>Support</v>
      </c>
      <c r="G865" s="70">
        <v>62814</v>
      </c>
      <c r="H865" s="19" t="str">
        <f>IF($C865="","",IF($G865="","-",INDEX(SETUP!$B$26:$B$32,MATCH($G865,SETUP!$A$26:$A$32,1))))</f>
        <v>62,000 - 62,999</v>
      </c>
      <c r="I865" s="70">
        <v>4609</v>
      </c>
      <c r="J865" s="19" t="str">
        <f>IF($C865="","",IF($I865="","-",INDEX(SETUP!$B$16:$B$22,MATCH($I865,SETUP!$A$16:$A$22,1))))</f>
        <v>CORE</v>
      </c>
      <c r="K865" s="19" t="str">
        <f>IF($C865="","",IF($I865="","-",TEXT(INT($I865/1000)*1000,"#,##0")&amp;" - "&amp;TEXT(INT($I865/1000)*1000+999,"#,##0")))</f>
        <v>4,000 - 4,999</v>
      </c>
      <c r="L865" s="71">
        <v>5.78</v>
      </c>
      <c r="M865" s="19" t="str">
        <f>IF($C865="","",IF($L865="","-",INDEX(SETUP!$B$36:$B$42,MATCH($L865,SETUP!$A$36:$A$42,1))))</f>
        <v>5k - 6k</v>
      </c>
      <c r="N865" s="21">
        <f>IF($C865="","",IF(OR($G865="",$I865=""),"",ROUND(100*(SETUP!$B$4*MIN(1,$I865/SETUP!$B$9)+SETUP!$B$5*MAX(0,MIN(1,($G865-SETUP!$B$10)/(SETUP!$B$11-SETUP!$B$10)))+SETUP!$B$6*MIN(1,IF($L865="",0,$L865)/SETUP!$B$12)),1)))</f>
        <v>50.3</v>
      </c>
      <c r="O865" s="19" t="str">
        <f>IF($C865="","",IF($N865="","-",INDEX(SETUP!$B$46:$B$51,MATCH($N865,SETUP!$A$46:$A$51,1))))</f>
        <v>A</v>
      </c>
      <c r="P865" s="19">
        <f>IF($C865="","",IF($I865="","",RANK($I865,$I$4:$I$1463)+COUNTIF($I$4:$I865,$I865)-1))</f>
        <v>471</v>
      </c>
      <c r="Q865" s="19">
        <f>IF($C865="","",COUNTIFS($B$4:$B$1463,$B865,$X$4:$X$1463,"&gt;"&amp;$X865)+COUNTIFS($B$4:$B865,$B865,$X$4:$X865,"="&amp;$X865))</f>
        <v>47</v>
      </c>
      <c r="R865" s="75">
        <f>IF($C865="","",IF($I865="","",ROUND(COUNTIF($I$4:$I$1463,"&lt;"&amp;$I865)/COUNT($I$4:$I$1463),3)))</f>
        <v>0.64500000000000002</v>
      </c>
      <c r="S865" s="19" t="str">
        <f>IF($C865="","",IF($G865="","Name only",IF(OR($I865="",$L865=""),"Partial","Complete")))</f>
        <v>Complete</v>
      </c>
      <c r="T865" s="1" t="str">
        <f>IF($C865="","",TRIM(IF(COUNTIF($C$4:$C$1463,$C865)&gt;1,"Dup name; ","")&amp;IF(AND($G865&lt;&gt;"",$G865&lt;55000),"Low CR - verify; ","")&amp;IF(AND($L865&lt;&gt;"",$L865&gt;15),"Secondary - verify; ","")&amp;IF($E865="","No class; ","")))</f>
        <v/>
      </c>
      <c r="U865" s="68"/>
      <c r="V865" s="68"/>
      <c r="W865" s="68"/>
      <c r="X865" s="76">
        <f t="shared" si="67"/>
        <v>4609</v>
      </c>
      <c r="Y865" s="1" t="str">
        <f t="shared" si="68"/>
        <v>FUCT|47</v>
      </c>
      <c r="Z865" s="19">
        <f>IF($C865="","",IF($G865="","",RANK($G865,$G$4:$G$1463)+COUNTIF($G$4:$G865,$G865)-1))</f>
        <v>513</v>
      </c>
      <c r="AA865" s="19">
        <f>IF($C865="","",IF($N865="","",RANK($N865,$N$4:$N$1463)+COUNTIF($N$4:$N865,$N865)-1))</f>
        <v>451</v>
      </c>
      <c r="AB865" s="1" t="str">
        <f>IF($C865="","",IF($E865="","",$E865&amp;"#"&amp;(COUNTIFS($E$4:$E$1463,$E865,$X$4:$X$1463,"&gt;"&amp;$X865)+COUNTIFS($E$4:$E865,$E865,$X$4:$X865,"="&amp;$X865))))</f>
        <v>MONK#17</v>
      </c>
      <c r="AC865" s="1" t="str">
        <f>IF($C865="","",$B865&amp;"@"&amp;(COUNTIFS($B$4:$B$1463,$B865,$C$4:$C$1463,"&lt;"&amp;$C865)+COUNTIFS($B$4:$B865,$B865,$C$4:$C865,$C865)))</f>
        <v>FUCT@63</v>
      </c>
      <c r="AD865" s="1">
        <f t="shared" si="69"/>
        <v>862</v>
      </c>
      <c r="AE865" s="1" t="s">
        <v>2010</v>
      </c>
      <c r="AF865" s="76">
        <f t="shared" si="70"/>
        <v>62814</v>
      </c>
      <c r="AG865" s="77">
        <f t="shared" si="71"/>
        <v>5.78</v>
      </c>
      <c r="AH865" s="1" t="str">
        <f>IF($C865="","",$B865&amp;"|"&amp;(COUNTIFS($B$4:$B$1463,$B865,$AF$4:$AF$1463,"&gt;"&amp;$AF865)+COUNTIFS($B$4:$B865,$B865,$AF$4:$AF865,"="&amp;$AF865)))</f>
        <v>FUCT|54</v>
      </c>
      <c r="AI865" s="1" t="str">
        <f>IF($C865="","",$B865&amp;"|"&amp;(COUNTIFS($B$4:$B$1463,$B865,$AG$4:$AG$1463,"&gt;"&amp;$AG865)+COUNTIFS($B$4:$B865,$B865,$AG$4:$AG865,"="&amp;$AG865)))</f>
        <v>FUCT|23</v>
      </c>
    </row>
    <row r="866" spans="1:35" hidden="1">
      <c r="A866" s="69" t="s">
        <v>106</v>
      </c>
      <c r="B866" s="69" t="s">
        <v>86</v>
      </c>
      <c r="C866" s="63" t="s">
        <v>2011</v>
      </c>
      <c r="D866" s="69"/>
      <c r="E866" s="68" t="s">
        <v>73</v>
      </c>
      <c r="F866" s="15" t="str">
        <f>IF($C866="","",IF($E866="","-",IFERROR(INDEX(SETUP!$B$55:$B$64,MATCH($E866,SETUP!$A$55:$A$64,0)),"Other")))</f>
        <v>Frontline</v>
      </c>
      <c r="G866" s="70">
        <v>64224</v>
      </c>
      <c r="H866" s="15" t="str">
        <f>IF($C866="","",IF($G866="","-",INDEX(SETUP!$B$26:$B$32,MATCH($G866,SETUP!$A$26:$A$32,1))))</f>
        <v>64,000 +</v>
      </c>
      <c r="I866" s="70">
        <v>10905</v>
      </c>
      <c r="J866" s="15" t="str">
        <f>IF($C866="","",IF($I866="","-",INDEX(SETUP!$B$16:$B$22,MATCH($I866,SETUP!$A$16:$A$22,1))))</f>
        <v>APEX</v>
      </c>
      <c r="K866" s="15" t="str">
        <f>IF($C866="","",IF($I866="","-",TEXT(INT($I866/1000)*1000,"#,##0")&amp;" - "&amp;TEXT(INT($I866/1000)*1000+999,"#,##0")))</f>
        <v>10,000 - 10,999</v>
      </c>
      <c r="L866" s="71">
        <v>6.71</v>
      </c>
      <c r="M866" s="15" t="str">
        <f>IF($C866="","",IF($L866="","-",INDEX(SETUP!$B$36:$B$42,MATCH($L866,SETUP!$A$36:$A$42,1))))</f>
        <v>6k - 8k</v>
      </c>
      <c r="N866" s="17">
        <f>IF($C866="","",IF(OR($G866="",$I866=""),"",ROUND(100*(SETUP!$B$4*MIN(1,$I866/SETUP!$B$9)+SETUP!$B$5*MAX(0,MIN(1,($G866-SETUP!$B$10)/(SETUP!$B$11-SETUP!$B$10)))+SETUP!$B$6*MIN(1,IF($L866="",0,$L866)/SETUP!$B$12)),1)))</f>
        <v>83.1</v>
      </c>
      <c r="O866" s="15" t="str">
        <f>IF($C866="","",IF($N866="","-",INDEX(SETUP!$B$46:$B$51,MATCH($N866,SETUP!$A$46:$A$51,1))))</f>
        <v>S+</v>
      </c>
      <c r="P866" s="15">
        <f>IF($C866="","",IF($I866="","",RANK($I866,$I$4:$I$1463)+COUNTIF($I$4:$I866,$I866)-1))</f>
        <v>18</v>
      </c>
      <c r="Q866" s="15">
        <f>IF($C866="","",COUNTIFS($B$4:$B$1463,$B866,$X$4:$X$1463,"&gt;"&amp;$X866)+COUNTIFS($B$4:$B866,$B866,$X$4:$X866,"="&amp;$X866))</f>
        <v>1</v>
      </c>
      <c r="R866" s="72">
        <f>IF($C866="","",IF($I866="","",ROUND(COUNTIF($I$4:$I$1463,"&lt;"&amp;$I866)/COUNT($I$4:$I$1463),3)))</f>
        <v>0.98599999999999999</v>
      </c>
      <c r="S866" s="15" t="str">
        <f>IF($C866="","",IF($G866="","Name only",IF(OR($I866="",$L866=""),"Partial","Complete")))</f>
        <v>Complete</v>
      </c>
      <c r="T866" s="41" t="str">
        <f>IF($C866="","",TRIM(IF(COUNTIF($C$4:$C$1463,$C866)&gt;1,"Dup name; ","")&amp;IF(AND($G866&lt;&gt;"",$G866&lt;55000),"Low CR - verify; ","")&amp;IF(AND($L866&lt;&gt;"",$L866&gt;15),"Secondary - verify; ","")&amp;IF($E866="","No class; ","")))</f>
        <v/>
      </c>
      <c r="U866" s="68"/>
      <c r="V866" s="68"/>
      <c r="W866" s="68"/>
      <c r="X866" s="73">
        <f t="shared" si="67"/>
        <v>10905</v>
      </c>
      <c r="Y866" s="41" t="str">
        <f t="shared" si="68"/>
        <v>VANGUARD|1</v>
      </c>
      <c r="Z866" s="15">
        <f>IF($C866="","",IF($G866="","",RANK($G866,$G$4:$G$1463)+COUNTIF($G$4:$G866,$G866)-1))</f>
        <v>36</v>
      </c>
      <c r="AA866" s="15">
        <f>IF($C866="","",IF($N866="","",RANK($N866,$N$4:$N$1463)+COUNTIF($N$4:$N866,$N866)-1))</f>
        <v>31</v>
      </c>
      <c r="AB866" s="41" t="str">
        <f>IF($C866="","",IF($E866="","",$E866&amp;"#"&amp;(COUNTIFS($E$4:$E$1463,$E866,$X$4:$X$1463,"&gt;"&amp;$X866)+COUNTIFS($E$4:$E866,$E866,$X$4:$X866,"="&amp;$X866))))</f>
        <v>CRUSADER#6</v>
      </c>
      <c r="AC866" s="41" t="str">
        <f>IF($C866="","",$B866&amp;"@"&amp;(COUNTIFS($B$4:$B$1463,$B866,$C$4:$C$1463,"&lt;"&amp;$C866)+COUNTIFS($B$4:$B866,$B866,$C$4:$C866,$C866)))</f>
        <v>VANGUARD@68</v>
      </c>
      <c r="AD866" s="41">
        <f t="shared" si="69"/>
        <v>863</v>
      </c>
      <c r="AE866" s="41" t="s">
        <v>2012</v>
      </c>
      <c r="AF866" s="73">
        <f t="shared" si="70"/>
        <v>64224</v>
      </c>
      <c r="AG866" s="74">
        <f t="shared" si="71"/>
        <v>6.71</v>
      </c>
      <c r="AH866" s="41" t="str">
        <f>IF($C866="","",$B866&amp;"|"&amp;(COUNTIFS($B$4:$B$1463,$B866,$AF$4:$AF$1463,"&gt;"&amp;$AF866)+COUNTIFS($B$4:$B866,$B866,$AF$4:$AF866,"="&amp;$AF866)))</f>
        <v>VANGUARD|8</v>
      </c>
      <c r="AI866" s="41" t="str">
        <f>IF($C866="","",$B866&amp;"|"&amp;(COUNTIFS($B$4:$B$1463,$B866,$AG$4:$AG$1463,"&gt;"&amp;$AG866)+COUNTIFS($B$4:$B866,$B866,$AG$4:$AG866,"="&amp;$AG866)))</f>
        <v>VANGUARD|24</v>
      </c>
    </row>
    <row r="867" spans="1:35" hidden="1">
      <c r="A867" s="69" t="s">
        <v>109</v>
      </c>
      <c r="B867" s="69" t="s">
        <v>111</v>
      </c>
      <c r="C867" s="63" t="s">
        <v>2013</v>
      </c>
      <c r="D867" s="69" t="s">
        <v>527</v>
      </c>
      <c r="E867" s="68" t="s">
        <v>77</v>
      </c>
      <c r="F867" s="19" t="str">
        <f>IF($C867="","",IF($E867="","-",IFERROR(INDEX(SETUP!$B$55:$B$64,MATCH($E867,SETUP!$A$55:$A$64,0)),"Other")))</f>
        <v>Control</v>
      </c>
      <c r="G867" s="70">
        <v>62956</v>
      </c>
      <c r="H867" s="19" t="str">
        <f>IF($C867="","",IF($G867="","-",INDEX(SETUP!$B$26:$B$32,MATCH($G867,SETUP!$A$26:$A$32,1))))</f>
        <v>62,000 - 62,999</v>
      </c>
      <c r="I867" s="70">
        <v>3796</v>
      </c>
      <c r="J867" s="19" t="str">
        <f>IF($C867="","",IF($I867="","-",INDEX(SETUP!$B$16:$B$22,MATCH($I867,SETUP!$A$16:$A$22,1))))</f>
        <v>DEVELOPING</v>
      </c>
      <c r="K867" s="19" t="str">
        <f>IF($C867="","",IF($I867="","-",TEXT(INT($I867/1000)*1000,"#,##0")&amp;" - "&amp;TEXT(INT($I867/1000)*1000+999,"#,##0")))</f>
        <v>3,000 - 3,999</v>
      </c>
      <c r="L867" s="71">
        <v>6.15</v>
      </c>
      <c r="M867" s="19" t="str">
        <f>IF($C867="","",IF($L867="","-",INDEX(SETUP!$B$36:$B$42,MATCH($L867,SETUP!$A$36:$A$42,1))))</f>
        <v>6k - 8k</v>
      </c>
      <c r="N867" s="21">
        <f>IF($C867="","",IF(OR($G867="",$I867=""),"",ROUND(100*(SETUP!$B$4*MIN(1,$I867/SETUP!$B$9)+SETUP!$B$5*MAX(0,MIN(1,($G867-SETUP!$B$10)/(SETUP!$B$11-SETUP!$B$10)))+SETUP!$B$6*MIN(1,IF($L867="",0,$L867)/SETUP!$B$12)),1)))</f>
        <v>47.8</v>
      </c>
      <c r="O867" s="19" t="str">
        <f>IF($C867="","",IF($N867="","-",INDEX(SETUP!$B$46:$B$51,MATCH($N867,SETUP!$A$46:$A$51,1))))</f>
        <v>B</v>
      </c>
      <c r="P867" s="19">
        <f>IF($C867="","",IF($I867="","",RANK($I867,$I$4:$I$1463)+COUNTIF($I$4:$I867,$I867)-1))</f>
        <v>649</v>
      </c>
      <c r="Q867" s="19">
        <f>IF($C867="","",COUNTIFS($B$4:$B$1463,$B867,$X$4:$X$1463,"&gt;"&amp;$X867)+COUNTIFS($B$4:$B867,$B867,$X$4:$X867,"="&amp;$X867))</f>
        <v>70</v>
      </c>
      <c r="R867" s="75">
        <f>IF($C867="","",IF($I867="","",ROUND(COUNTIF($I$4:$I$1463,"&lt;"&amp;$I867)/COUNT($I$4:$I$1463),3)))</f>
        <v>0.51</v>
      </c>
      <c r="S867" s="19" t="str">
        <f>IF($C867="","",IF($G867="","Name only",IF(OR($I867="",$L867=""),"Partial","Complete")))</f>
        <v>Complete</v>
      </c>
      <c r="T867" s="1" t="str">
        <f>IF($C867="","",TRIM(IF(COUNTIF($C$4:$C$1463,$C867)&gt;1,"Dup name; ","")&amp;IF(AND($G867&lt;&gt;"",$G867&lt;55000),"Low CR - verify; ","")&amp;IF(AND($L867&lt;&gt;"",$L867&gt;15),"Secondary - verify; ","")&amp;IF($E867="","No class; ","")))</f>
        <v/>
      </c>
      <c r="U867" s="68"/>
      <c r="V867" s="68"/>
      <c r="W867" s="68"/>
      <c r="X867" s="76">
        <f t="shared" si="67"/>
        <v>3796</v>
      </c>
      <c r="Y867" s="1" t="str">
        <f t="shared" si="68"/>
        <v>RECKONING|70</v>
      </c>
      <c r="Z867" s="19">
        <f>IF($C867="","",IF($G867="","",RANK($G867,$G$4:$G$1463)+COUNTIF($G$4:$G867,$G867)-1))</f>
        <v>447</v>
      </c>
      <c r="AA867" s="19">
        <f>IF($C867="","",IF($N867="","",RANK($N867,$N$4:$N$1463)+COUNTIF($N$4:$N867,$N867)-1))</f>
        <v>525</v>
      </c>
      <c r="AB867" s="1" t="str">
        <f>IF($C867="","",IF($E867="","",$E867&amp;"#"&amp;(COUNTIFS($E$4:$E$1463,$E867,$X$4:$X$1463,"&gt;"&amp;$X867)+COUNTIFS($E$4:$E867,$E867,$X$4:$X867,"="&amp;$X867))))</f>
        <v>NECROMANCER#32</v>
      </c>
      <c r="AC867" s="1" t="str">
        <f>IF($C867="","",$B867&amp;"@"&amp;(COUNTIFS($B$4:$B$1463,$B867,$C$4:$C$1463,"&lt;"&amp;$C867)+COUNTIFS($B$4:$B867,$B867,$C$4:$C867,$C867)))</f>
        <v>RECKONING@63</v>
      </c>
      <c r="AD867" s="1">
        <f t="shared" si="69"/>
        <v>864</v>
      </c>
      <c r="AE867" s="1" t="s">
        <v>2014</v>
      </c>
      <c r="AF867" s="76">
        <f t="shared" si="70"/>
        <v>62956</v>
      </c>
      <c r="AG867" s="77">
        <f t="shared" si="71"/>
        <v>6.15</v>
      </c>
      <c r="AH867" s="1" t="str">
        <f>IF($C867="","",$B867&amp;"|"&amp;(COUNTIFS($B$4:$B$1463,$B867,$AF$4:$AF$1463,"&gt;"&amp;$AF867)+COUNTIFS($B$4:$B867,$B867,$AF$4:$AF867,"="&amp;$AF867)))</f>
        <v>RECKONING|44</v>
      </c>
      <c r="AI867" s="1" t="str">
        <f>IF($C867="","",$B867&amp;"|"&amp;(COUNTIFS($B$4:$B$1463,$B867,$AG$4:$AG$1463,"&gt;"&amp;$AG867)+COUNTIFS($B$4:$B867,$B867,$AG$4:$AG867,"="&amp;$AG867)))</f>
        <v>RECKONING|37</v>
      </c>
    </row>
    <row r="868" spans="1:35" hidden="1">
      <c r="A868" s="69" t="s">
        <v>109</v>
      </c>
      <c r="B868" s="69" t="s">
        <v>118</v>
      </c>
      <c r="C868" s="63" t="s">
        <v>2015</v>
      </c>
      <c r="D868" s="69"/>
      <c r="E868" s="68" t="s">
        <v>74</v>
      </c>
      <c r="F868" s="15" t="str">
        <f>IF($C868="","",IF($E868="","-",IFERROR(INDEX(SETUP!$B$55:$B$64,MATCH($E868,SETUP!$A$55:$A$64,0)),"Other")))</f>
        <v>Ranged DPS</v>
      </c>
      <c r="G868" s="70">
        <v>61671</v>
      </c>
      <c r="H868" s="15" t="str">
        <f>IF($C868="","",IF($G868="","-",INDEX(SETUP!$B$26:$B$32,MATCH($G868,SETUP!$A$26:$A$32,1))))</f>
        <v>61,000 - 61,999</v>
      </c>
      <c r="I868" s="70">
        <v>1416</v>
      </c>
      <c r="J868" s="15" t="str">
        <f>IF($C868="","",IF($I868="","-",INDEX(SETUP!$B$16:$B$22,MATCH($I868,SETUP!$A$16:$A$22,1))))</f>
        <v>ROOKIE</v>
      </c>
      <c r="K868" s="15" t="str">
        <f>IF($C868="","",IF($I868="","-",TEXT(INT($I868/1000)*1000,"#,##0")&amp;" - "&amp;TEXT(INT($I868/1000)*1000+999,"#,##0")))</f>
        <v>1,000 - 1,999</v>
      </c>
      <c r="L868" s="71">
        <v>4.45</v>
      </c>
      <c r="M868" s="15" t="str">
        <f>IF($C868="","",IF($L868="","-",INDEX(SETUP!$B$36:$B$42,MATCH($L868,SETUP!$A$36:$A$42,1))))</f>
        <v>4k - 5k</v>
      </c>
      <c r="N868" s="17">
        <f>IF($C868="","",IF(OR($G868="",$I868=""),"",ROUND(100*(SETUP!$B$4*MIN(1,$I868/SETUP!$B$9)+SETUP!$B$5*MAX(0,MIN(1,($G868-SETUP!$B$10)/(SETUP!$B$11-SETUP!$B$10)))+SETUP!$B$6*MIN(1,IF($L868="",0,$L868)/SETUP!$B$12)),1)))</f>
        <v>31.2</v>
      </c>
      <c r="O868" s="15" t="str">
        <f>IF($C868="","",IF($N868="","-",INDEX(SETUP!$B$46:$B$51,MATCH($N868,SETUP!$A$46:$A$51,1))))</f>
        <v>C</v>
      </c>
      <c r="P868" s="15">
        <f>IF($C868="","",IF($I868="","",RANK($I868,$I$4:$I$1463)+COUNTIF($I$4:$I868,$I868)-1))</f>
        <v>1209</v>
      </c>
      <c r="Q868" s="15">
        <f>IF($C868="","",COUNTIFS($B$4:$B$1463,$B868,$X$4:$X$1463,"&gt;"&amp;$X868)+COUNTIFS($B$4:$B868,$B868,$X$4:$X868,"="&amp;$X868))</f>
        <v>63</v>
      </c>
      <c r="R868" s="72">
        <f>IF($C868="","",IF($I868="","",ROUND(COUNTIF($I$4:$I$1463,"&lt;"&amp;$I868)/COUNT($I$4:$I$1463),3)))</f>
        <v>8.7999999999999995E-2</v>
      </c>
      <c r="S868" s="15" t="str">
        <f>IF($C868="","",IF($G868="","Name only",IF(OR($I868="",$L868=""),"Partial","Complete")))</f>
        <v>Complete</v>
      </c>
      <c r="T868" s="41" t="str">
        <f>IF($C868="","",TRIM(IF(COUNTIF($C$4:$C$1463,$C868)&gt;1,"Dup name; ","")&amp;IF(AND($G868&lt;&gt;"",$G868&lt;55000),"Low CR - verify; ","")&amp;IF(AND($L868&lt;&gt;"",$L868&gt;15),"Secondary - verify; ","")&amp;IF($E868="","No class; ","")))</f>
        <v/>
      </c>
      <c r="U868" s="68"/>
      <c r="V868" s="68"/>
      <c r="W868" s="68"/>
      <c r="X868" s="73">
        <f t="shared" si="67"/>
        <v>1416</v>
      </c>
      <c r="Y868" s="41" t="str">
        <f t="shared" si="68"/>
        <v>ZOMBIES|63</v>
      </c>
      <c r="Z868" s="15">
        <f>IF($C868="","",IF($G868="","",RANK($G868,$G$4:$G$1463)+COUNTIF($G$4:$G868,$G868)-1))</f>
        <v>953</v>
      </c>
      <c r="AA868" s="15">
        <f>IF($C868="","",IF($N868="","",RANK($N868,$N$4:$N$1463)+COUNTIF($N$4:$N868,$N868)-1))</f>
        <v>1116</v>
      </c>
      <c r="AB868" s="41" t="str">
        <f>IF($C868="","",IF($E868="","",$E868&amp;"#"&amp;(COUNTIFS($E$4:$E$1463,$E868,$X$4:$X$1463,"&gt;"&amp;$X868)+COUNTIFS($E$4:$E868,$E868,$X$4:$X868,"="&amp;$X868))))</f>
        <v>DEMON HUNTER#180</v>
      </c>
      <c r="AC868" s="41" t="str">
        <f>IF($C868="","",$B868&amp;"@"&amp;(COUNTIFS($B$4:$B$1463,$B868,$C$4:$C$1463,"&lt;"&amp;$C868)+COUNTIFS($B$4:$B868,$B868,$C$4:$C868,$C868)))</f>
        <v>ZOMBIES@61</v>
      </c>
      <c r="AD868" s="41">
        <f t="shared" si="69"/>
        <v>865</v>
      </c>
      <c r="AE868" s="41" t="s">
        <v>2016</v>
      </c>
      <c r="AF868" s="73">
        <f t="shared" si="70"/>
        <v>61671</v>
      </c>
      <c r="AG868" s="74">
        <f t="shared" si="71"/>
        <v>4.45</v>
      </c>
      <c r="AH868" s="41" t="str">
        <f>IF($C868="","",$B868&amp;"|"&amp;(COUNTIFS($B$4:$B$1463,$B868,$AF$4:$AF$1463,"&gt;"&amp;$AF868)+COUNTIFS($B$4:$B868,$B868,$AF$4:$AF868,"="&amp;$AF868)))</f>
        <v>ZOMBIES|36</v>
      </c>
      <c r="AI868" s="41" t="str">
        <f>IF($C868="","",$B868&amp;"|"&amp;(COUNTIFS($B$4:$B$1463,$B868,$AG$4:$AG$1463,"&gt;"&amp;$AG868)+COUNTIFS($B$4:$B868,$B868,$AG$4:$AG868,"="&amp;$AG868)))</f>
        <v>ZOMBIES|21</v>
      </c>
    </row>
    <row r="869" spans="1:35">
      <c r="A869" s="69" t="s">
        <v>104</v>
      </c>
      <c r="B869" s="69" t="s">
        <v>66</v>
      </c>
      <c r="C869" s="63" t="s">
        <v>351</v>
      </c>
      <c r="D869" s="69"/>
      <c r="E869" s="68" t="s">
        <v>80</v>
      </c>
      <c r="F869" s="19" t="str">
        <f>IF($C869="","",IF($E869="","-",IFERROR(INDEX(SETUP!$B$55:$B$64,MATCH($E869,SETUP!$A$55:$A$64,0)),"Other")))</f>
        <v>Ranged DPS</v>
      </c>
      <c r="G869" s="70">
        <v>61317</v>
      </c>
      <c r="H869" s="19" t="str">
        <f>IF($C869="","",IF($G869="","-",INDEX(SETUP!$B$26:$B$32,MATCH($G869,SETUP!$A$26:$A$32,1))))</f>
        <v>61,000 - 61,999</v>
      </c>
      <c r="I869" s="70">
        <v>3665</v>
      </c>
      <c r="J869" s="19" t="str">
        <f>IF($C869="","",IF($I869="","-",INDEX(SETUP!$B$16:$B$22,MATCH($I869,SETUP!$A$16:$A$22,1))))</f>
        <v>DEVELOPING</v>
      </c>
      <c r="K869" s="19" t="str">
        <f>IF($C869="","",IF($I869="","-",TEXT(INT($I869/1000)*1000,"#,##0")&amp;" - "&amp;TEXT(INT($I869/1000)*1000+999,"#,##0")))</f>
        <v>3,000 - 3,999</v>
      </c>
      <c r="L869" s="71">
        <v>3.61</v>
      </c>
      <c r="M869" s="19" t="str">
        <f>IF($C869="","",IF($L869="","-",INDEX(SETUP!$B$36:$B$42,MATCH($L869,SETUP!$A$36:$A$42,1))))</f>
        <v>3k - 4k</v>
      </c>
      <c r="N869" s="21">
        <f>IF($C869="","",IF(OR($G869="",$I869=""),"",ROUND(100*(SETUP!$B$4*MIN(1,$I869/SETUP!$B$9)+SETUP!$B$5*MAX(0,MIN(1,($G869-SETUP!$B$10)/(SETUP!$B$11-SETUP!$B$10)))+SETUP!$B$6*MIN(1,IF($L869="",0,$L869)/SETUP!$B$12)),1)))</f>
        <v>38.6</v>
      </c>
      <c r="O869" s="19" t="str">
        <f>IF($C869="","",IF($N869="","-",INDEX(SETUP!$B$46:$B$51,MATCH($N869,SETUP!$A$46:$A$51,1))))</f>
        <v>B</v>
      </c>
      <c r="P869" s="19">
        <f>IF($C869="","",IF($I869="","",RANK($I869,$I$4:$I$1463)+COUNTIF($I$4:$I869,$I869)-1))</f>
        <v>686</v>
      </c>
      <c r="Q869" s="19">
        <f>IF($C869="","",COUNTIFS($B$4:$B$1463,$B869,$X$4:$X$1463,"&gt;"&amp;$X869)+COUNTIFS($B$4:$B869,$B869,$X$4:$X869,"="&amp;$X869))</f>
        <v>72</v>
      </c>
      <c r="R869" s="75">
        <f>IF($C869="","",IF($I869="","",ROUND(COUNTIF($I$4:$I$1463,"&lt;"&amp;$I869)/COUNT($I$4:$I$1463),3)))</f>
        <v>0.48199999999999998</v>
      </c>
      <c r="S869" s="19" t="str">
        <f>IF($C869="","",IF($G869="","Name only",IF(OR($I869="",$L869=""),"Partial","Complete")))</f>
        <v>Complete</v>
      </c>
      <c r="T869" s="1" t="str">
        <f>IF($C869="","",TRIM(IF(COUNTIF($C$4:$C$1463,$C869)&gt;1,"Dup name; ","")&amp;IF(AND($G869&lt;&gt;"",$G869&lt;55000),"Low CR - verify; ","")&amp;IF(AND($L869&lt;&gt;"",$L869&gt;15),"Secondary - verify; ","")&amp;IF($E869="","No class; ","")))</f>
        <v/>
      </c>
      <c r="U869" s="68" t="s">
        <v>271</v>
      </c>
      <c r="V869" s="68" t="s">
        <v>66</v>
      </c>
      <c r="W869" s="68" t="s">
        <v>285</v>
      </c>
      <c r="X869" s="76">
        <f t="shared" si="67"/>
        <v>3665</v>
      </c>
      <c r="Y869" s="1" t="str">
        <f t="shared" si="68"/>
        <v>FUCT|72</v>
      </c>
      <c r="Z869" s="19">
        <f>IF($C869="","",IF($G869="","",RANK($G869,$G$4:$G$1463)+COUNTIF($G$4:$G869,$G869)-1))</f>
        <v>1058</v>
      </c>
      <c r="AA869" s="19">
        <f>IF($C869="","",IF($N869="","",RANK($N869,$N$4:$N$1463)+COUNTIF($N$4:$N869,$N869)-1))</f>
        <v>878</v>
      </c>
      <c r="AB869" s="1" t="str">
        <f>IF($C869="","",IF($E869="","",$E869&amp;"#"&amp;(COUNTIFS($E$4:$E$1463,$E869,$X$4:$X$1463,"&gt;"&amp;$X869)+COUNTIFS($E$4:$E869,$E869,$X$4:$X869,"="&amp;$X869))))</f>
        <v>WIZARD#50</v>
      </c>
      <c r="AC869" s="1" t="str">
        <f>IF($C869="","",$B869&amp;"@"&amp;(COUNTIFS($B$4:$B$1463,$B869,$C$4:$C$1463,"&lt;"&amp;$C869)+COUNTIFS($B$4:$B869,$B869,$C$4:$C869,$C869)))</f>
        <v>FUCT@64</v>
      </c>
      <c r="AD869" s="1">
        <f t="shared" si="69"/>
        <v>866</v>
      </c>
      <c r="AE869" s="1" t="s">
        <v>2017</v>
      </c>
      <c r="AF869" s="76">
        <f t="shared" si="70"/>
        <v>61317</v>
      </c>
      <c r="AG869" s="77">
        <f t="shared" si="71"/>
        <v>3.61</v>
      </c>
      <c r="AH869" s="1" t="str">
        <f>IF($C869="","",$B869&amp;"|"&amp;(COUNTIFS($B$4:$B$1463,$B869,$AF$4:$AF$1463,"&gt;"&amp;$AF869)+COUNTIFS($B$4:$B869,$B869,$AF$4:$AF869,"="&amp;$AF869)))</f>
        <v>FUCT|95</v>
      </c>
      <c r="AI869" s="1" t="str">
        <f>IF($C869="","",$B869&amp;"|"&amp;(COUNTIFS($B$4:$B$1463,$B869,$AG$4:$AG$1463,"&gt;"&amp;$AG869)+COUNTIFS($B$4:$B869,$B869,$AG$4:$AG869,"="&amp;$AG869)))</f>
        <v>FUCT|94</v>
      </c>
    </row>
    <row r="870" spans="1:35">
      <c r="A870" s="69" t="s">
        <v>106</v>
      </c>
      <c r="B870" s="69" t="s">
        <v>66</v>
      </c>
      <c r="C870" s="63" t="s">
        <v>1978</v>
      </c>
      <c r="D870" s="69"/>
      <c r="E870" s="68" t="s">
        <v>74</v>
      </c>
      <c r="F870" s="19" t="str">
        <f>IF($C870="","",IF($E870="","-",IFERROR(INDEX(SETUP!$B$55:$B$64,MATCH($E870,SETUP!$A$55:$A$64,0)),"Other")))</f>
        <v>Ranged DPS</v>
      </c>
      <c r="G870" s="70">
        <v>63274</v>
      </c>
      <c r="H870" s="19" t="str">
        <f>IF($C870="","",IF($G870="","-",INDEX(SETUP!$B$26:$B$32,MATCH($G870,SETUP!$A$26:$A$32,1))))</f>
        <v>63,000 - 63,999</v>
      </c>
      <c r="I870" s="70">
        <v>4733</v>
      </c>
      <c r="J870" s="19" t="str">
        <f>IF($C870="","",IF($I870="","-",INDEX(SETUP!$B$16:$B$22,MATCH($I870,SETUP!$A$16:$A$22,1))))</f>
        <v>CORE</v>
      </c>
      <c r="K870" s="19" t="str">
        <f>IF($C870="","",IF($I870="","-",TEXT(INT($I870/1000)*1000,"#,##0")&amp;" - "&amp;TEXT(INT($I870/1000)*1000+999,"#,##0")))</f>
        <v>4,000 - 4,999</v>
      </c>
      <c r="L870" s="71">
        <v>6</v>
      </c>
      <c r="M870" s="19" t="str">
        <f>IF($C870="","",IF($L870="","-",INDEX(SETUP!$B$36:$B$42,MATCH($L870,SETUP!$A$36:$A$42,1))))</f>
        <v>6k - 8k</v>
      </c>
      <c r="N870" s="21">
        <f>IF($C870="","",IF(OR($G870="",$I870=""),"",ROUND(100*(SETUP!$B$4*MIN(1,$I870/SETUP!$B$9)+SETUP!$B$5*MAX(0,MIN(1,($G870-SETUP!$B$10)/(SETUP!$B$11-SETUP!$B$10)))+SETUP!$B$6*MIN(1,IF($L870="",0,$L870)/SETUP!$B$12)),1)))</f>
        <v>52.4</v>
      </c>
      <c r="O870" s="19" t="str">
        <f>IF($C870="","",IF($N870="","-",INDEX(SETUP!$B$46:$B$51,MATCH($N870,SETUP!$A$46:$A$51,1))))</f>
        <v>A</v>
      </c>
      <c r="P870" s="19">
        <f>IF($C870="","",IF($I870="","",RANK($I870,$I$4:$I$1463)+COUNTIF($I$4:$I870,$I870)-1))</f>
        <v>451</v>
      </c>
      <c r="Q870" s="19">
        <f>IF($C870="","",COUNTIFS($B$4:$B$1463,$B870,$X$4:$X$1463,"&gt;"&amp;$X870)+COUNTIFS($B$4:$B870,$B870,$X$4:$X870,"="&amp;$X870))</f>
        <v>45</v>
      </c>
      <c r="R870" s="75">
        <f>IF($C870="","",IF($I870="","",ROUND(COUNTIF($I$4:$I$1463,"&lt;"&amp;$I870)/COUNT($I$4:$I$1463),3)))</f>
        <v>0.66</v>
      </c>
      <c r="S870" s="19" t="str">
        <f>IF($C870="","",IF($G870="","Name only",IF(OR($I870="",$L870=""),"Partial","Complete")))</f>
        <v>Complete</v>
      </c>
      <c r="T870" s="1" t="str">
        <f>IF($C870="","",TRIM(IF(COUNTIF($C$4:$C$1463,$C870)&gt;1,"Dup name; ","")&amp;IF(AND($G870&lt;&gt;"",$G870&lt;55000),"Low CR - verify; ","")&amp;IF(AND($L870&lt;&gt;"",$L870&gt;15),"Secondary - verify; ","")&amp;IF($E870="","No class; ","")))</f>
        <v/>
      </c>
      <c r="U870" s="68"/>
      <c r="V870" s="68"/>
      <c r="W870" s="68"/>
      <c r="X870" s="73">
        <f t="shared" si="67"/>
        <v>4733</v>
      </c>
      <c r="Y870" s="41" t="str">
        <f t="shared" si="68"/>
        <v>FUCT|45</v>
      </c>
      <c r="Z870" s="15">
        <f>IF($C870="","",IF($G870="","",RANK($G870,$G$4:$G$1463)+COUNTIF($G$4:$G870,$G870)-1))</f>
        <v>275</v>
      </c>
      <c r="AA870" s="15">
        <f>IF($C870="","",IF($N870="","",RANK($N870,$N$4:$N$1463)+COUNTIF($N$4:$N870,$N870)-1))</f>
        <v>375</v>
      </c>
      <c r="AB870" s="41" t="str">
        <f>IF($C870="","",IF($E870="","",$E870&amp;"#"&amp;(COUNTIFS($E$4:$E$1463,$E870,$X$4:$X$1463,"&gt;"&amp;$X870)+COUNTIFS($E$4:$E870,$E870,$X$4:$X870,"="&amp;$X870))))</f>
        <v>DEMON HUNTER#73</v>
      </c>
      <c r="AC870" s="41" t="str">
        <f>IF($C870="","",$B870&amp;"@"&amp;(COUNTIFS($B$4:$B$1463,$B870,$C$4:$C$1463,"&lt;"&amp;$C870)+COUNTIFS($B$4:$B870,$B870,$C$4:$C870,$C870)))</f>
        <v>FUCT@65</v>
      </c>
      <c r="AD870" s="41">
        <f t="shared" si="69"/>
        <v>867</v>
      </c>
      <c r="AE870" s="41" t="s">
        <v>2019</v>
      </c>
      <c r="AF870" s="73">
        <f t="shared" si="70"/>
        <v>63274</v>
      </c>
      <c r="AG870" s="74">
        <f t="shared" si="71"/>
        <v>6</v>
      </c>
      <c r="AH870" s="41" t="str">
        <f>IF($C870="","",$B870&amp;"|"&amp;(COUNTIFS($B$4:$B$1463,$B870,$AF$4:$AF$1463,"&gt;"&amp;$AF870)+COUNTIFS($B$4:$B870,$B870,$AF$4:$AF870,"="&amp;$AF870)))</f>
        <v>FUCT|26</v>
      </c>
      <c r="AI870" s="41" t="str">
        <f>IF($C870="","",$B870&amp;"|"&amp;(COUNTIFS($B$4:$B$1463,$B870,$AG$4:$AG$1463,"&gt;"&amp;$AG870)+COUNTIFS($B$4:$B870,$B870,$AG$4:$AG870,"="&amp;$AG870)))</f>
        <v>FUCT|21</v>
      </c>
    </row>
    <row r="871" spans="1:35" hidden="1">
      <c r="A871" s="69" t="s">
        <v>109</v>
      </c>
      <c r="B871" s="69" t="s">
        <v>114</v>
      </c>
      <c r="C871" s="63" t="s">
        <v>2020</v>
      </c>
      <c r="D871" s="69"/>
      <c r="E871" s="68" t="s">
        <v>71</v>
      </c>
      <c r="F871" s="19" t="str">
        <f>IF($C871="","",IF($E871="","-",IFERROR(INDEX(SETUP!$B$55:$B$64,MATCH($E871,SETUP!$A$55:$A$64,0)),"Other")))</f>
        <v>Frontline</v>
      </c>
      <c r="G871" s="70">
        <v>62934</v>
      </c>
      <c r="H871" s="19" t="str">
        <f>IF($C871="","",IF($G871="","-",INDEX(SETUP!$B$26:$B$32,MATCH($G871,SETUP!$A$26:$A$32,1))))</f>
        <v>62,000 - 62,999</v>
      </c>
      <c r="I871" s="70">
        <v>2560</v>
      </c>
      <c r="J871" s="19" t="str">
        <f>IF($C871="","",IF($I871="","-",INDEX(SETUP!$B$16:$B$22,MATCH($I871,SETUP!$A$16:$A$22,1))))</f>
        <v>DEVELOPING</v>
      </c>
      <c r="K871" s="19" t="str">
        <f>IF($C871="","",IF($I871="","-",TEXT(INT($I871/1000)*1000,"#,##0")&amp;" - "&amp;TEXT(INT($I871/1000)*1000+999,"#,##0")))</f>
        <v>2,000 - 2,999</v>
      </c>
      <c r="L871" s="71">
        <v>3.85</v>
      </c>
      <c r="M871" s="19" t="str">
        <f>IF($C871="","",IF($L871="","-",INDEX(SETUP!$B$36:$B$42,MATCH($L871,SETUP!$A$36:$A$42,1))))</f>
        <v>3k - 4k</v>
      </c>
      <c r="N871" s="21">
        <f>IF($C871="","",IF(OR($G871="",$I871=""),"",ROUND(100*(SETUP!$B$4*MIN(1,$I871/SETUP!$B$9)+SETUP!$B$5*MAX(0,MIN(1,($G871-SETUP!$B$10)/(SETUP!$B$11-SETUP!$B$10)))+SETUP!$B$6*MIN(1,IF($L871="",0,$L871)/SETUP!$B$12)),1)))</f>
        <v>38.5</v>
      </c>
      <c r="O871" s="19" t="str">
        <f>IF($C871="","",IF($N871="","-",INDEX(SETUP!$B$46:$B$51,MATCH($N871,SETUP!$A$46:$A$51,1))))</f>
        <v>B</v>
      </c>
      <c r="P871" s="19">
        <f>IF($C871="","",IF($I871="","",RANK($I871,$I$4:$I$1463)+COUNTIF($I$4:$I871,$I871)-1))</f>
        <v>992</v>
      </c>
      <c r="Q871" s="19">
        <f>IF($C871="","",COUNTIFS($B$4:$B$1463,$B871,$X$4:$X$1463,"&gt;"&amp;$X871)+COUNTIFS($B$4:$B871,$B871,$X$4:$X871,"="&amp;$X871))</f>
        <v>39</v>
      </c>
      <c r="R871" s="75">
        <f>IF($C871="","",IF($I871="","",ROUND(COUNTIF($I$4:$I$1463,"&lt;"&amp;$I871)/COUNT($I$4:$I$1463),3)))</f>
        <v>0.251</v>
      </c>
      <c r="S871" s="19" t="str">
        <f>IF($C871="","",IF($G871="","Name only",IF(OR($I871="",$L871=""),"Partial","Complete")))</f>
        <v>Complete</v>
      </c>
      <c r="T871" s="1" t="str">
        <f>IF($C871="","",TRIM(IF(COUNTIF($C$4:$C$1463,$C871)&gt;1,"Dup name; ","")&amp;IF(AND($G871&lt;&gt;"",$G871&lt;55000),"Low CR - verify; ","")&amp;IF(AND($L871&lt;&gt;"",$L871&gt;15),"Secondary - verify; ","")&amp;IF($E871="","No class; ","")))</f>
        <v/>
      </c>
      <c r="U871" s="68"/>
      <c r="V871" s="68"/>
      <c r="W871" s="68"/>
      <c r="X871" s="76">
        <f t="shared" si="67"/>
        <v>2560</v>
      </c>
      <c r="Y871" s="1" t="str">
        <f t="shared" si="68"/>
        <v>EMERALD LEAF TRIBE|39</v>
      </c>
      <c r="Z871" s="19">
        <f>IF($C871="","",IF($G871="","",RANK($G871,$G$4:$G$1463)+COUNTIF($G$4:$G871,$G871)-1))</f>
        <v>460</v>
      </c>
      <c r="AA871" s="19">
        <f>IF($C871="","",IF($N871="","",RANK($N871,$N$4:$N$1463)+COUNTIF($N$4:$N871,$N871)-1))</f>
        <v>884</v>
      </c>
      <c r="AB871" s="1" t="str">
        <f>IF($C871="","",IF($E871="","",$E871&amp;"#"&amp;(COUNTIFS($E$4:$E$1463,$E871,$X$4:$X$1463,"&gt;"&amp;$X871)+COUNTIFS($E$4:$E871,$E871,$X$4:$X871,"="&amp;$X871))))</f>
        <v>BARBARIAN#168</v>
      </c>
      <c r="AC871" s="1" t="str">
        <f>IF($C871="","",$B871&amp;"@"&amp;(COUNTIFS($B$4:$B$1463,$B871,$C$4:$C$1463,"&lt;"&amp;$C871)+COUNTIFS($B$4:$B871,$B871,$C$4:$C871,$C871)))</f>
        <v>EMERALD LEAF TRIBE@66</v>
      </c>
      <c r="AD871" s="1">
        <f t="shared" si="69"/>
        <v>868</v>
      </c>
      <c r="AE871" s="1" t="s">
        <v>1744</v>
      </c>
      <c r="AF871" s="76">
        <f t="shared" si="70"/>
        <v>62934</v>
      </c>
      <c r="AG871" s="77">
        <f t="shared" si="71"/>
        <v>3.85</v>
      </c>
      <c r="AH871" s="1" t="str">
        <f>IF($C871="","",$B871&amp;"|"&amp;(COUNTIFS($B$4:$B$1463,$B871,$AF$4:$AF$1463,"&gt;"&amp;$AF871)+COUNTIFS($B$4:$B871,$B871,$AF$4:$AF871,"="&amp;$AF871)))</f>
        <v>EMERALD LEAF TRIBE|7</v>
      </c>
      <c r="AI871" s="1" t="str">
        <f>IF($C871="","",$B871&amp;"|"&amp;(COUNTIFS($B$4:$B$1463,$B871,$AG$4:$AG$1463,"&gt;"&amp;$AG871)+COUNTIFS($B$4:$B871,$B871,$AG$4:$AG871,"="&amp;$AG871)))</f>
        <v>EMERALD LEAF TRIBE|37</v>
      </c>
    </row>
    <row r="872" spans="1:35" hidden="1">
      <c r="A872" s="69" t="s">
        <v>106</v>
      </c>
      <c r="B872" s="69" t="s">
        <v>86</v>
      </c>
      <c r="C872" s="63" t="s">
        <v>2021</v>
      </c>
      <c r="D872" s="69"/>
      <c r="E872" s="68" t="s">
        <v>71</v>
      </c>
      <c r="F872" s="15" t="str">
        <f>IF($C872="","",IF($E872="","-",IFERROR(INDEX(SETUP!$B$55:$B$64,MATCH($E872,SETUP!$A$55:$A$64,0)),"Other")))</f>
        <v>Frontline</v>
      </c>
      <c r="G872" s="70">
        <v>63935</v>
      </c>
      <c r="H872" s="15" t="str">
        <f>IF($C872="","",IF($G872="","-",INDEX(SETUP!$B$26:$B$32,MATCH($G872,SETUP!$A$26:$A$32,1))))</f>
        <v>63,000 - 63,999</v>
      </c>
      <c r="I872" s="70">
        <v>9093</v>
      </c>
      <c r="J872" s="15" t="str">
        <f>IF($C872="","",IF($I872="","-",INDEX(SETUP!$B$16:$B$22,MATCH($I872,SETUP!$A$16:$A$22,1))))</f>
        <v>ELITE</v>
      </c>
      <c r="K872" s="15" t="str">
        <f>IF($C872="","",IF($I872="","-",TEXT(INT($I872/1000)*1000,"#,##0")&amp;" - "&amp;TEXT(INT($I872/1000)*1000+999,"#,##0")))</f>
        <v>9,000 - 9,999</v>
      </c>
      <c r="L872" s="71">
        <v>6.3</v>
      </c>
      <c r="M872" s="15" t="str">
        <f>IF($C872="","",IF($L872="","-",INDEX(SETUP!$B$36:$B$42,MATCH($L872,SETUP!$A$36:$A$42,1))))</f>
        <v>6k - 8k</v>
      </c>
      <c r="N872" s="17">
        <f>IF($C872="","",IF(OR($G872="",$I872=""),"",ROUND(100*(SETUP!$B$4*MIN(1,$I872/SETUP!$B$9)+SETUP!$B$5*MAX(0,MIN(1,($G872-SETUP!$B$10)/(SETUP!$B$11-SETUP!$B$10)))+SETUP!$B$6*MIN(1,IF($L872="",0,$L872)/SETUP!$B$12)),1)))</f>
        <v>73.7</v>
      </c>
      <c r="O872" s="15" t="str">
        <f>IF($C872="","",IF($N872="","-",INDEX(SETUP!$B$46:$B$51,MATCH($N872,SETUP!$A$46:$A$51,1))))</f>
        <v>S</v>
      </c>
      <c r="P872" s="15">
        <f>IF($C872="","",IF($I872="","",RANK($I872,$I$4:$I$1463)+COUNTIF($I$4:$I872,$I872)-1))</f>
        <v>90</v>
      </c>
      <c r="Q872" s="15">
        <f>IF($C872="","",COUNTIFS($B$4:$B$1463,$B872,$X$4:$X$1463,"&gt;"&amp;$X872)+COUNTIFS($B$4:$B872,$B872,$X$4:$X872,"="&amp;$X872))</f>
        <v>22</v>
      </c>
      <c r="R872" s="72">
        <f>IF($C872="","",IF($I872="","",ROUND(COUNTIF($I$4:$I$1463,"&lt;"&amp;$I872)/COUNT($I$4:$I$1463),3)))</f>
        <v>0.93200000000000005</v>
      </c>
      <c r="S872" s="15" t="str">
        <f>IF($C872="","",IF($G872="","Name only",IF(OR($I872="",$L872=""),"Partial","Complete")))</f>
        <v>Complete</v>
      </c>
      <c r="T872" s="41" t="str">
        <f>IF($C872="","",TRIM(IF(COUNTIF($C$4:$C$1463,$C872)&gt;1,"Dup name; ","")&amp;IF(AND($G872&lt;&gt;"",$G872&lt;55000),"Low CR - verify; ","")&amp;IF(AND($L872&lt;&gt;"",$L872&gt;15),"Secondary - verify; ","")&amp;IF($E872="","No class; ","")))</f>
        <v/>
      </c>
      <c r="U872" s="68"/>
      <c r="V872" s="68"/>
      <c r="W872" s="68"/>
      <c r="X872" s="73">
        <f t="shared" si="67"/>
        <v>9093</v>
      </c>
      <c r="Y872" s="41" t="str">
        <f t="shared" si="68"/>
        <v>VANGUARD|22</v>
      </c>
      <c r="Z872" s="15">
        <f>IF($C872="","",IF($G872="","",RANK($G872,$G$4:$G$1463)+COUNTIF($G$4:$G872,$G872)-1))</f>
        <v>87</v>
      </c>
      <c r="AA872" s="15">
        <f>IF($C872="","",IF($N872="","",RANK($N872,$N$4:$N$1463)+COUNTIF($N$4:$N872,$N872)-1))</f>
        <v>97</v>
      </c>
      <c r="AB872" s="41" t="str">
        <f>IF($C872="","",IF($E872="","",$E872&amp;"#"&amp;(COUNTIFS($E$4:$E$1463,$E872,$X$4:$X$1463,"&gt;"&amp;$X872)+COUNTIFS($E$4:$E872,$E872,$X$4:$X872,"="&amp;$X872))))</f>
        <v>BARBARIAN#21</v>
      </c>
      <c r="AC872" s="41" t="str">
        <f>IF($C872="","",$B872&amp;"@"&amp;(COUNTIFS($B$4:$B$1463,$B872,$C$4:$C$1463,"&lt;"&amp;$C872)+COUNTIFS($B$4:$B872,$B872,$C$4:$C872,$C872)))</f>
        <v>VANGUARD@67</v>
      </c>
      <c r="AD872" s="41">
        <f t="shared" si="69"/>
        <v>869</v>
      </c>
      <c r="AE872" s="41" t="s">
        <v>815</v>
      </c>
      <c r="AF872" s="73">
        <f t="shared" si="70"/>
        <v>63935</v>
      </c>
      <c r="AG872" s="74">
        <f t="shared" si="71"/>
        <v>6.3</v>
      </c>
      <c r="AH872" s="41" t="str">
        <f>IF($C872="","",$B872&amp;"|"&amp;(COUNTIFS($B$4:$B$1463,$B872,$AF$4:$AF$1463,"&gt;"&amp;$AF872)+COUNTIFS($B$4:$B872,$B872,$AF$4:$AF872,"="&amp;$AF872)))</f>
        <v>VANGUARD|22</v>
      </c>
      <c r="AI872" s="41" t="str">
        <f>IF($C872="","",$B872&amp;"|"&amp;(COUNTIFS($B$4:$B$1463,$B872,$AG$4:$AG$1463,"&gt;"&amp;$AG872)+COUNTIFS($B$4:$B872,$B872,$AG$4:$AG872,"="&amp;$AG872)))</f>
        <v>VANGUARD|37</v>
      </c>
    </row>
    <row r="873" spans="1:35" hidden="1">
      <c r="A873" s="69" t="s">
        <v>109</v>
      </c>
      <c r="B873" s="69" t="s">
        <v>113</v>
      </c>
      <c r="C873" s="63" t="s">
        <v>2022</v>
      </c>
      <c r="D873" s="69" t="s">
        <v>548</v>
      </c>
      <c r="E873" s="68" t="s">
        <v>76</v>
      </c>
      <c r="F873" s="19" t="str">
        <f>IF($C873="","",IF($E873="","-",IFERROR(INDEX(SETUP!$B$55:$B$64,MATCH($E873,SETUP!$A$55:$A$64,0)),"Other")))</f>
        <v>Support</v>
      </c>
      <c r="G873" s="70">
        <v>60575</v>
      </c>
      <c r="H873" s="19" t="str">
        <f>IF($C873="","",IF($G873="","-",INDEX(SETUP!$B$26:$B$32,MATCH($G873,SETUP!$A$26:$A$32,1))))</f>
        <v>60,000 - 60,999</v>
      </c>
      <c r="I873" s="70">
        <v>2882</v>
      </c>
      <c r="J873" s="19" t="str">
        <f>IF($C873="","",IF($I873="","-",INDEX(SETUP!$B$16:$B$22,MATCH($I873,SETUP!$A$16:$A$22,1))))</f>
        <v>DEVELOPING</v>
      </c>
      <c r="K873" s="19" t="str">
        <f>IF($C873="","",IF($I873="","-",TEXT(INT($I873/1000)*1000,"#,##0")&amp;" - "&amp;TEXT(INT($I873/1000)*1000+999,"#,##0")))</f>
        <v>2,000 - 2,999</v>
      </c>
      <c r="L873" s="71">
        <v>4.45</v>
      </c>
      <c r="M873" s="19" t="str">
        <f>IF($C873="","",IF($L873="","-",INDEX(SETUP!$B$36:$B$42,MATCH($L873,SETUP!$A$36:$A$42,1))))</f>
        <v>4k - 5k</v>
      </c>
      <c r="N873" s="21">
        <f>IF($C873="","",IF(OR($G873="",$I873=""),"",ROUND(100*(SETUP!$B$4*MIN(1,$I873/SETUP!$B$9)+SETUP!$B$5*MAX(0,MIN(1,($G873-SETUP!$B$10)/(SETUP!$B$11-SETUP!$B$10)))+SETUP!$B$6*MIN(1,IF($L873="",0,$L873)/SETUP!$B$12)),1)))</f>
        <v>34.700000000000003</v>
      </c>
      <c r="O873" s="19" t="str">
        <f>IF($C873="","",IF($N873="","-",INDEX(SETUP!$B$46:$B$51,MATCH($N873,SETUP!$A$46:$A$51,1))))</f>
        <v>C</v>
      </c>
      <c r="P873" s="19">
        <f>IF($C873="","",IF($I873="","",RANK($I873,$I$4:$I$1463)+COUNTIF($I$4:$I873,$I873)-1))</f>
        <v>911</v>
      </c>
      <c r="Q873" s="19">
        <f>IF($C873="","",COUNTIFS($B$4:$B$1463,$B873,$X$4:$X$1463,"&gt;"&amp;$X873)+COUNTIFS($B$4:$B873,$B873,$X$4:$X873,"="&amp;$X873))</f>
        <v>56</v>
      </c>
      <c r="R873" s="75">
        <f>IF($C873="","",IF($I873="","",ROUND(COUNTIF($I$4:$I$1463,"&lt;"&amp;$I873)/COUNT($I$4:$I$1463),3)))</f>
        <v>0.312</v>
      </c>
      <c r="S873" s="19" t="str">
        <f>IF($C873="","",IF($G873="","Name only",IF(OR($I873="",$L873=""),"Partial","Complete")))</f>
        <v>Complete</v>
      </c>
      <c r="T873" s="1" t="str">
        <f>IF($C873="","",TRIM(IF(COUNTIF($C$4:$C$1463,$C873)&gt;1,"Dup name; ","")&amp;IF(AND($G873&lt;&gt;"",$G873&lt;55000),"Low CR - verify; ","")&amp;IF(AND($L873&lt;&gt;"",$L873&gt;15),"Secondary - verify; ","")&amp;IF($E873="","No class; ","")))</f>
        <v/>
      </c>
      <c r="U873" s="68"/>
      <c r="V873" s="68"/>
      <c r="W873" s="68"/>
      <c r="X873" s="76">
        <f t="shared" si="67"/>
        <v>2882</v>
      </c>
      <c r="Y873" s="1" t="str">
        <f t="shared" si="68"/>
        <v>INVICTUS|56</v>
      </c>
      <c r="Z873" s="19">
        <f>IF($C873="","",IF($G873="","",RANK($G873,$G$4:$G$1463)+COUNTIF($G$4:$G873,$G873)-1))</f>
        <v>1198</v>
      </c>
      <c r="AA873" s="19">
        <f>IF($C873="","",IF($N873="","",RANK($N873,$N$4:$N$1463)+COUNTIF($N$4:$N873,$N873)-1))</f>
        <v>1015</v>
      </c>
      <c r="AB873" s="1" t="str">
        <f>IF($C873="","",IF($E873="","",$E873&amp;"#"&amp;(COUNTIFS($E$4:$E$1463,$E873,$X$4:$X$1463,"&gt;"&amp;$X873)+COUNTIFS($E$4:$E873,$E873,$X$4:$X873,"="&amp;$X873))))</f>
        <v>MONK#32</v>
      </c>
      <c r="AC873" s="1" t="str">
        <f>IF($C873="","",$B873&amp;"@"&amp;(COUNTIFS($B$4:$B$1463,$B873,$C$4:$C$1463,"&lt;"&amp;$C873)+COUNTIFS($B$4:$B873,$B873,$C$4:$C873,$C873)))</f>
        <v>INVICTUS@66</v>
      </c>
      <c r="AD873" s="1">
        <f t="shared" si="69"/>
        <v>870</v>
      </c>
      <c r="AE873" s="1" t="s">
        <v>2023</v>
      </c>
      <c r="AF873" s="76">
        <f t="shared" si="70"/>
        <v>60575</v>
      </c>
      <c r="AG873" s="77">
        <f t="shared" si="71"/>
        <v>4.45</v>
      </c>
      <c r="AH873" s="1" t="str">
        <f>IF($C873="","",$B873&amp;"|"&amp;(COUNTIFS($B$4:$B$1463,$B873,$AF$4:$AF$1463,"&gt;"&amp;$AF873)+COUNTIFS($B$4:$B873,$B873,$AF$4:$AF873,"="&amp;$AF873)))</f>
        <v>INVICTUS|91</v>
      </c>
      <c r="AI873" s="1" t="str">
        <f>IF($C873="","",$B873&amp;"|"&amp;(COUNTIFS($B$4:$B$1463,$B873,$AG$4:$AG$1463,"&gt;"&amp;$AG873)+COUNTIFS($B$4:$B873,$B873,$AG$4:$AG873,"="&amp;$AG873)))</f>
        <v>INVICTUS|48</v>
      </c>
    </row>
    <row r="874" spans="1:35" hidden="1">
      <c r="A874" s="69" t="s">
        <v>109</v>
      </c>
      <c r="B874" s="69" t="s">
        <v>111</v>
      </c>
      <c r="C874" s="63" t="s">
        <v>2024</v>
      </c>
      <c r="D874" s="69" t="s">
        <v>527</v>
      </c>
      <c r="E874" s="68" t="s">
        <v>71</v>
      </c>
      <c r="F874" s="15" t="str">
        <f>IF($C874="","",IF($E874="","-",IFERROR(INDEX(SETUP!$B$55:$B$64,MATCH($E874,SETUP!$A$55:$A$64,0)),"Other")))</f>
        <v>Frontline</v>
      </c>
      <c r="G874" s="70">
        <v>58651</v>
      </c>
      <c r="H874" s="15" t="str">
        <f>IF($C874="","",IF($G874="","-",INDEX(SETUP!$B$26:$B$32,MATCH($G874,SETUP!$A$26:$A$32,1))))</f>
        <v>58,000 - 59,999</v>
      </c>
      <c r="I874" s="70">
        <v>5482</v>
      </c>
      <c r="J874" s="15" t="str">
        <f>IF($C874="","",IF($I874="","-",INDEX(SETUP!$B$16:$B$22,MATCH($I874,SETUP!$A$16:$A$22,1))))</f>
        <v>CORE</v>
      </c>
      <c r="K874" s="15" t="str">
        <f>IF($C874="","",IF($I874="","-",TEXT(INT($I874/1000)*1000,"#,##0")&amp;" - "&amp;TEXT(INT($I874/1000)*1000+999,"#,##0")))</f>
        <v>5,000 - 5,999</v>
      </c>
      <c r="L874" s="71">
        <v>5.05</v>
      </c>
      <c r="M874" s="15" t="str">
        <f>IF($C874="","",IF($L874="","-",INDEX(SETUP!$B$36:$B$42,MATCH($L874,SETUP!$A$36:$A$42,1))))</f>
        <v>5k - 6k</v>
      </c>
      <c r="N874" s="17">
        <f>IF($C874="","",IF(OR($G874="",$I874=""),"",ROUND(100*(SETUP!$B$4*MIN(1,$I874/SETUP!$B$9)+SETUP!$B$5*MAX(0,MIN(1,($G874-SETUP!$B$10)/(SETUP!$B$11-SETUP!$B$10)))+SETUP!$B$6*MIN(1,IF($L874="",0,$L874)/SETUP!$B$12)),1)))</f>
        <v>42</v>
      </c>
      <c r="O874" s="15" t="str">
        <f>IF($C874="","",IF($N874="","-",INDEX(SETUP!$B$46:$B$51,MATCH($N874,SETUP!$A$46:$A$51,1))))</f>
        <v>B</v>
      </c>
      <c r="P874" s="15">
        <f>IF($C874="","",IF($I874="","",RANK($I874,$I$4:$I$1463)+COUNTIF($I$4:$I874,$I874)-1))</f>
        <v>339</v>
      </c>
      <c r="Q874" s="15">
        <f>IF($C874="","",COUNTIFS($B$4:$B$1463,$B874,$X$4:$X$1463,"&gt;"&amp;$X874)+COUNTIFS($B$4:$B874,$B874,$X$4:$X874,"="&amp;$X874))</f>
        <v>38</v>
      </c>
      <c r="R874" s="72">
        <f>IF($C874="","",IF($I874="","",ROUND(COUNTIF($I$4:$I$1463,"&lt;"&amp;$I874)/COUNT($I$4:$I$1463),3)))</f>
        <v>0.74399999999999999</v>
      </c>
      <c r="S874" s="15" t="str">
        <f>IF($C874="","",IF($G874="","Name only",IF(OR($I874="",$L874=""),"Partial","Complete")))</f>
        <v>Complete</v>
      </c>
      <c r="T874" s="41" t="str">
        <f>IF($C874="","",TRIM(IF(COUNTIF($C$4:$C$1463,$C874)&gt;1,"Dup name; ","")&amp;IF(AND($G874&lt;&gt;"",$G874&lt;55000),"Low CR - verify; ","")&amp;IF(AND($L874&lt;&gt;"",$L874&gt;15),"Secondary - verify; ","")&amp;IF($E874="","No class; ","")))</f>
        <v/>
      </c>
      <c r="U874" s="68"/>
      <c r="V874" s="68"/>
      <c r="W874" s="68"/>
      <c r="X874" s="73">
        <f t="shared" si="67"/>
        <v>5482</v>
      </c>
      <c r="Y874" s="41" t="str">
        <f t="shared" si="68"/>
        <v>RECKONING|38</v>
      </c>
      <c r="Z874" s="15">
        <f>IF($C874="","",IF($G874="","",RANK($G874,$G$4:$G$1463)+COUNTIF($G$4:$G874,$G874)-1))</f>
        <v>1283</v>
      </c>
      <c r="AA874" s="15">
        <f>IF($C874="","",IF($N874="","",RANK($N874,$N$4:$N$1463)+COUNTIF($N$4:$N874,$N874)-1))</f>
        <v>741</v>
      </c>
      <c r="AB874" s="41" t="str">
        <f>IF($C874="","",IF($E874="","",$E874&amp;"#"&amp;(COUNTIFS($E$4:$E$1463,$E874,$X$4:$X$1463,"&gt;"&amp;$X874)+COUNTIFS($E$4:$E874,$E874,$X$4:$X874,"="&amp;$X874))))</f>
        <v>BARBARIAN#67</v>
      </c>
      <c r="AC874" s="41" t="str">
        <f>IF($C874="","",$B874&amp;"@"&amp;(COUNTIFS($B$4:$B$1463,$B874,$C$4:$C$1463,"&lt;"&amp;$C874)+COUNTIFS($B$4:$B874,$B874,$C$4:$C874,$C874)))</f>
        <v>RECKONING@65</v>
      </c>
      <c r="AD874" s="41">
        <f t="shared" si="69"/>
        <v>871</v>
      </c>
      <c r="AE874" s="41" t="s">
        <v>2025</v>
      </c>
      <c r="AF874" s="73">
        <f t="shared" si="70"/>
        <v>58651</v>
      </c>
      <c r="AG874" s="74">
        <f t="shared" si="71"/>
        <v>5.05</v>
      </c>
      <c r="AH874" s="41" t="str">
        <f>IF($C874="","",$B874&amp;"|"&amp;(COUNTIFS($B$4:$B$1463,$B874,$AF$4:$AF$1463,"&gt;"&amp;$AF874)+COUNTIFS($B$4:$B874,$B874,$AF$4:$AF874,"="&amp;$AF874)))</f>
        <v>RECKONING|97</v>
      </c>
      <c r="AI874" s="41" t="str">
        <f>IF($C874="","",$B874&amp;"|"&amp;(COUNTIFS($B$4:$B$1463,$B874,$AG$4:$AG$1463,"&gt;"&amp;$AG874)+COUNTIFS($B$4:$B874,$B874,$AG$4:$AG874,"="&amp;$AG874)))</f>
        <v>RECKONING|62</v>
      </c>
    </row>
    <row r="875" spans="1:35" hidden="1">
      <c r="A875" s="69" t="s">
        <v>109</v>
      </c>
      <c r="B875" s="69" t="s">
        <v>112</v>
      </c>
      <c r="C875" s="63" t="s">
        <v>2026</v>
      </c>
      <c r="D875" s="69" t="s">
        <v>567</v>
      </c>
      <c r="E875" s="68" t="s">
        <v>74</v>
      </c>
      <c r="F875" s="19" t="str">
        <f>IF($C875="","",IF($E875="","-",IFERROR(INDEX(SETUP!$B$55:$B$64,MATCH($E875,SETUP!$A$55:$A$64,0)),"Other")))</f>
        <v>Ranged DPS</v>
      </c>
      <c r="G875" s="70">
        <v>62251</v>
      </c>
      <c r="H875" s="19" t="str">
        <f>IF($C875="","",IF($G875="","-",INDEX(SETUP!$B$26:$B$32,MATCH($G875,SETUP!$A$26:$A$32,1))))</f>
        <v>62,000 - 62,999</v>
      </c>
      <c r="I875" s="70">
        <v>4533</v>
      </c>
      <c r="J875" s="19" t="str">
        <f>IF($C875="","",IF($I875="","-",INDEX(SETUP!$B$16:$B$22,MATCH($I875,SETUP!$A$16:$A$22,1))))</f>
        <v>CORE</v>
      </c>
      <c r="K875" s="19" t="str">
        <f>IF($C875="","",IF($I875="","-",TEXT(INT($I875/1000)*1000,"#,##0")&amp;" - "&amp;TEXT(INT($I875/1000)*1000+999,"#,##0")))</f>
        <v>4,000 - 4,999</v>
      </c>
      <c r="L875" s="71">
        <v>6.65</v>
      </c>
      <c r="M875" s="19" t="str">
        <f>IF($C875="","",IF($L875="","-",INDEX(SETUP!$B$36:$B$42,MATCH($L875,SETUP!$A$36:$A$42,1))))</f>
        <v>6k - 8k</v>
      </c>
      <c r="N875" s="21">
        <f>IF($C875="","",IF(OR($G875="",$I875=""),"",ROUND(100*(SETUP!$B$4*MIN(1,$I875/SETUP!$B$9)+SETUP!$B$5*MAX(0,MIN(1,($G875-SETUP!$B$10)/(SETUP!$B$11-SETUP!$B$10)))+SETUP!$B$6*MIN(1,IF($L875="",0,$L875)/SETUP!$B$12)),1)))</f>
        <v>50</v>
      </c>
      <c r="O875" s="19" t="str">
        <f>IF($C875="","",IF($N875="","-",INDEX(SETUP!$B$46:$B$51,MATCH($N875,SETUP!$A$46:$A$51,1))))</f>
        <v>A</v>
      </c>
      <c r="P875" s="19">
        <f>IF($C875="","",IF($I875="","",RANK($I875,$I$4:$I$1463)+COUNTIF($I$4:$I875,$I875)-1))</f>
        <v>487</v>
      </c>
      <c r="Q875" s="19">
        <f>IF($C875="","",COUNTIFS($B$4:$B$1463,$B875,$X$4:$X$1463,"&gt;"&amp;$X875)+COUNTIFS($B$4:$B875,$B875,$X$4:$X875,"="&amp;$X875))</f>
        <v>35</v>
      </c>
      <c r="R875" s="75">
        <f>IF($C875="","",IF($I875="","",ROUND(COUNTIF($I$4:$I$1463,"&lt;"&amp;$I875)/COUNT($I$4:$I$1463),3)))</f>
        <v>0.63200000000000001</v>
      </c>
      <c r="S875" s="19" t="str">
        <f>IF($C875="","",IF($G875="","Name only",IF(OR($I875="",$L875=""),"Partial","Complete")))</f>
        <v>Complete</v>
      </c>
      <c r="T875" s="1" t="str">
        <f>IF($C875="","",TRIM(IF(COUNTIF($C$4:$C$1463,$C875)&gt;1,"Dup name; ","")&amp;IF(AND($G875&lt;&gt;"",$G875&lt;55000),"Low CR - verify; ","")&amp;IF(AND($L875&lt;&gt;"",$L875&gt;15),"Secondary - verify; ","")&amp;IF($E875="","No class; ","")))</f>
        <v/>
      </c>
      <c r="U875" s="68"/>
      <c r="V875" s="68"/>
      <c r="W875" s="68"/>
      <c r="X875" s="76">
        <f t="shared" si="67"/>
        <v>4533</v>
      </c>
      <c r="Y875" s="1" t="str">
        <f t="shared" si="68"/>
        <v>ACHERON|35</v>
      </c>
      <c r="Z875" s="19">
        <f>IF($C875="","",IF($G875="","",RANK($G875,$G$4:$G$1463)+COUNTIF($G$4:$G875,$G875)-1))</f>
        <v>742</v>
      </c>
      <c r="AA875" s="19">
        <f>IF($C875="","",IF($N875="","",RANK($N875,$N$4:$N$1463)+COUNTIF($N$4:$N875,$N875)-1))</f>
        <v>460</v>
      </c>
      <c r="AB875" s="1" t="str">
        <f>IF($C875="","",IF($E875="","",$E875&amp;"#"&amp;(COUNTIFS($E$4:$E$1463,$E875,$X$4:$X$1463,"&gt;"&amp;$X875)+COUNTIFS($E$4:$E875,$E875,$X$4:$X875,"="&amp;$X875))))</f>
        <v>DEMON HUNTER#81</v>
      </c>
      <c r="AC875" s="1" t="str">
        <f>IF($C875="","",$B875&amp;"@"&amp;(COUNTIFS($B$4:$B$1463,$B875,$C$4:$C$1463,"&lt;"&amp;$C875)+COUNTIFS($B$4:$B875,$B875,$C$4:$C875,$C875)))</f>
        <v>ACHERON@55</v>
      </c>
      <c r="AD875" s="1">
        <f t="shared" si="69"/>
        <v>872</v>
      </c>
      <c r="AE875" s="1" t="s">
        <v>2027</v>
      </c>
      <c r="AF875" s="76">
        <f t="shared" si="70"/>
        <v>62251</v>
      </c>
      <c r="AG875" s="77">
        <f t="shared" si="71"/>
        <v>6.65</v>
      </c>
      <c r="AH875" s="1" t="str">
        <f>IF($C875="","",$B875&amp;"|"&amp;(COUNTIFS($B$4:$B$1463,$B875,$AF$4:$AF$1463,"&gt;"&amp;$AF875)+COUNTIFS($B$4:$B875,$B875,$AF$4:$AF875,"="&amp;$AF875)))</f>
        <v>ACHERON|59</v>
      </c>
      <c r="AI875" s="1" t="str">
        <f>IF($C875="","",$B875&amp;"|"&amp;(COUNTIFS($B$4:$B$1463,$B875,$AG$4:$AG$1463,"&gt;"&amp;$AG875)+COUNTIFS($B$4:$B875,$B875,$AG$4:$AG875,"="&amp;$AG875)))</f>
        <v>ACHERON|13</v>
      </c>
    </row>
    <row r="876" spans="1:35" hidden="1">
      <c r="A876" s="69" t="s">
        <v>109</v>
      </c>
      <c r="B876" s="69" t="s">
        <v>110</v>
      </c>
      <c r="C876" s="63" t="s">
        <v>2028</v>
      </c>
      <c r="D876" s="69"/>
      <c r="E876" s="68" t="s">
        <v>75</v>
      </c>
      <c r="F876" s="15" t="str">
        <f>IF($C876="","",IF($E876="","-",IFERROR(INDEX(SETUP!$B$55:$B$64,MATCH($E876,SETUP!$A$55:$A$64,0)),"Other")))</f>
        <v>Support</v>
      </c>
      <c r="G876" s="70">
        <v>63913</v>
      </c>
      <c r="H876" s="15" t="str">
        <f>IF($C876="","",IF($G876="","-",INDEX(SETUP!$B$26:$B$32,MATCH($G876,SETUP!$A$26:$A$32,1))))</f>
        <v>63,000 - 63,999</v>
      </c>
      <c r="I876" s="70">
        <v>6057</v>
      </c>
      <c r="J876" s="15" t="str">
        <f>IF($C876="","",IF($I876="","-",INDEX(SETUP!$B$16:$B$22,MATCH($I876,SETUP!$A$16:$A$22,1))))</f>
        <v>VETERAN</v>
      </c>
      <c r="K876" s="15" t="str">
        <f>IF($C876="","",IF($I876="","-",TEXT(INT($I876/1000)*1000,"#,##0")&amp;" - "&amp;TEXT(INT($I876/1000)*1000+999,"#,##0")))</f>
        <v>6,000 - 6,999</v>
      </c>
      <c r="L876" s="71">
        <v>5.7</v>
      </c>
      <c r="M876" s="15" t="str">
        <f>IF($C876="","",IF($L876="","-",INDEX(SETUP!$B$36:$B$42,MATCH($L876,SETUP!$A$36:$A$42,1))))</f>
        <v>5k - 6k</v>
      </c>
      <c r="N876" s="17">
        <f>IF($C876="","",IF(OR($G876="",$I876=""),"",ROUND(100*(SETUP!$B$4*MIN(1,$I876/SETUP!$B$9)+SETUP!$B$5*MAX(0,MIN(1,($G876-SETUP!$B$10)/(SETUP!$B$11-SETUP!$B$10)))+SETUP!$B$6*MIN(1,IF($L876="",0,$L876)/SETUP!$B$12)),1)))</f>
        <v>59.4</v>
      </c>
      <c r="O876" s="15" t="str">
        <f>IF($C876="","",IF($N876="","-",INDEX(SETUP!$B$46:$B$51,MATCH($N876,SETUP!$A$46:$A$51,1))))</f>
        <v>A</v>
      </c>
      <c r="P876" s="15">
        <f>IF($C876="","",IF($I876="","",RANK($I876,$I$4:$I$1463)+COUNTIF($I$4:$I876,$I876)-1))</f>
        <v>282</v>
      </c>
      <c r="Q876" s="15">
        <f>IF($C876="","",COUNTIFS($B$4:$B$1463,$B876,$X$4:$X$1463,"&gt;"&amp;$X876)+COUNTIFS($B$4:$B876,$B876,$X$4:$X876,"="&amp;$X876))</f>
        <v>36</v>
      </c>
      <c r="R876" s="72">
        <f>IF($C876="","",IF($I876="","",ROUND(COUNTIF($I$4:$I$1463,"&lt;"&amp;$I876)/COUNT($I$4:$I$1463),3)))</f>
        <v>0.78700000000000003</v>
      </c>
      <c r="S876" s="15" t="str">
        <f>IF($C876="","",IF($G876="","Name only",IF(OR($I876="",$L876=""),"Partial","Complete")))</f>
        <v>Complete</v>
      </c>
      <c r="T876" s="41" t="str">
        <f>IF($C876="","",TRIM(IF(COUNTIF($C$4:$C$1463,$C876)&gt;1,"Dup name; ","")&amp;IF(AND($G876&lt;&gt;"",$G876&lt;55000),"Low CR - verify; ","")&amp;IF(AND($L876&lt;&gt;"",$L876&gt;15),"Secondary - verify; ","")&amp;IF($E876="","No class; ","")))</f>
        <v/>
      </c>
      <c r="U876" s="68"/>
      <c r="V876" s="68"/>
      <c r="W876" s="68"/>
      <c r="X876" s="73">
        <f t="shared" si="67"/>
        <v>6057</v>
      </c>
      <c r="Y876" s="41" t="str">
        <f t="shared" si="68"/>
        <v>AZUKI|36</v>
      </c>
      <c r="Z876" s="15">
        <f>IF($C876="","",IF($G876="","",RANK($G876,$G$4:$G$1463)+COUNTIF($G$4:$G876,$G876)-1))</f>
        <v>93</v>
      </c>
      <c r="AA876" s="15">
        <f>IF($C876="","",IF($N876="","",RANK($N876,$N$4:$N$1463)+COUNTIF($N$4:$N876,$N876)-1))</f>
        <v>246</v>
      </c>
      <c r="AB876" s="41" t="str">
        <f>IF($C876="","",IF($E876="","",$E876&amp;"#"&amp;(COUNTIFS($E$4:$E$1463,$E876,$X$4:$X$1463,"&gt;"&amp;$X876)+COUNTIFS($E$4:$E876,$E876,$X$4:$X876,"="&amp;$X876))))</f>
        <v>DRUID#14</v>
      </c>
      <c r="AC876" s="41" t="str">
        <f>IF($C876="","",$B876&amp;"@"&amp;(COUNTIFS($B$4:$B$1463,$B876,$C$4:$C$1463,"&lt;"&amp;$C876)+COUNTIFS($B$4:$B876,$B876,$C$4:$C876,$C876)))</f>
        <v>AZUKI@68</v>
      </c>
      <c r="AD876" s="41">
        <f t="shared" si="69"/>
        <v>873</v>
      </c>
      <c r="AE876" s="41" t="s">
        <v>2029</v>
      </c>
      <c r="AF876" s="73">
        <f t="shared" si="70"/>
        <v>63913</v>
      </c>
      <c r="AG876" s="74">
        <f t="shared" si="71"/>
        <v>5.7</v>
      </c>
      <c r="AH876" s="41" t="str">
        <f>IF($C876="","",$B876&amp;"|"&amp;(COUNTIFS($B$4:$B$1463,$B876,$AF$4:$AF$1463,"&gt;"&amp;$AF876)+COUNTIFS($B$4:$B876,$B876,$AF$4:$AF876,"="&amp;$AF876)))</f>
        <v>AZUKI|18</v>
      </c>
      <c r="AI876" s="41" t="str">
        <f>IF($C876="","",$B876&amp;"|"&amp;(COUNTIFS($B$4:$B$1463,$B876,$AG$4:$AG$1463,"&gt;"&amp;$AG876)+COUNTIFS($B$4:$B876,$B876,$AG$4:$AG876,"="&amp;$AG876)))</f>
        <v>AZUKI|53</v>
      </c>
    </row>
    <row r="877" spans="1:35" hidden="1">
      <c r="A877" s="69" t="s">
        <v>109</v>
      </c>
      <c r="B877" s="69" t="s">
        <v>111</v>
      </c>
      <c r="C877" s="63" t="s">
        <v>2030</v>
      </c>
      <c r="D877" s="69" t="s">
        <v>527</v>
      </c>
      <c r="E877" s="68" t="s">
        <v>79</v>
      </c>
      <c r="F877" s="19" t="str">
        <f>IF($C877="","",IF($E877="","-",IFERROR(INDEX(SETUP!$B$55:$B$64,MATCH($E877,SETUP!$A$55:$A$64,0)),"Other")))</f>
        <v>Control</v>
      </c>
      <c r="G877" s="70">
        <v>62203</v>
      </c>
      <c r="H877" s="19" t="str">
        <f>IF($C877="","",IF($G877="","-",INDEX(SETUP!$B$26:$B$32,MATCH($G877,SETUP!$A$26:$A$32,1))))</f>
        <v>62,000 - 62,999</v>
      </c>
      <c r="I877" s="70">
        <v>5362</v>
      </c>
      <c r="J877" s="19" t="str">
        <f>IF($C877="","",IF($I877="","-",INDEX(SETUP!$B$16:$B$22,MATCH($I877,SETUP!$A$16:$A$22,1))))</f>
        <v>CORE</v>
      </c>
      <c r="K877" s="19" t="str">
        <f>IF($C877="","",IF($I877="","-",TEXT(INT($I877/1000)*1000,"#,##0")&amp;" - "&amp;TEXT(INT($I877/1000)*1000+999,"#,##0")))</f>
        <v>5,000 - 5,999</v>
      </c>
      <c r="L877" s="71">
        <v>6.5</v>
      </c>
      <c r="M877" s="19" t="str">
        <f>IF($C877="","",IF($L877="","-",INDEX(SETUP!$B$36:$B$42,MATCH($L877,SETUP!$A$36:$A$42,1))))</f>
        <v>6k - 8k</v>
      </c>
      <c r="N877" s="21">
        <f>IF($C877="","",IF(OR($G877="",$I877=""),"",ROUND(100*(SETUP!$B$4*MIN(1,$I877/SETUP!$B$9)+SETUP!$B$5*MAX(0,MIN(1,($G877-SETUP!$B$10)/(SETUP!$B$11-SETUP!$B$10)))+SETUP!$B$6*MIN(1,IF($L877="",0,$L877)/SETUP!$B$12)),1)))</f>
        <v>53.2</v>
      </c>
      <c r="O877" s="19" t="str">
        <f>IF($C877="","",IF($N877="","-",INDEX(SETUP!$B$46:$B$51,MATCH($N877,SETUP!$A$46:$A$51,1))))</f>
        <v>A</v>
      </c>
      <c r="P877" s="19">
        <f>IF($C877="","",IF($I877="","",RANK($I877,$I$4:$I$1463)+COUNTIF($I$4:$I877,$I877)-1))</f>
        <v>351</v>
      </c>
      <c r="Q877" s="19">
        <f>IF($C877="","",COUNTIFS($B$4:$B$1463,$B877,$X$4:$X$1463,"&gt;"&amp;$X877)+COUNTIFS($B$4:$B877,$B877,$X$4:$X877,"="&amp;$X877))</f>
        <v>41</v>
      </c>
      <c r="R877" s="75">
        <f>IF($C877="","",IF($I877="","",ROUND(COUNTIF($I$4:$I$1463,"&lt;"&amp;$I877)/COUNT($I$4:$I$1463),3)))</f>
        <v>0.73499999999999999</v>
      </c>
      <c r="S877" s="19" t="str">
        <f>IF($C877="","",IF($G877="","Name only",IF(OR($I877="",$L877=""),"Partial","Complete")))</f>
        <v>Complete</v>
      </c>
      <c r="T877" s="1" t="str">
        <f>IF($C877="","",TRIM(IF(COUNTIF($C$4:$C$1463,$C877)&gt;1,"Dup name; ","")&amp;IF(AND($G877&lt;&gt;"",$G877&lt;55000),"Low CR - verify; ","")&amp;IF(AND($L877&lt;&gt;"",$L877&gt;15),"Secondary - verify; ","")&amp;IF($E877="","No class; ","")))</f>
        <v/>
      </c>
      <c r="U877" s="68"/>
      <c r="V877" s="68"/>
      <c r="W877" s="68"/>
      <c r="X877" s="76">
        <f t="shared" si="67"/>
        <v>5362</v>
      </c>
      <c r="Y877" s="1" t="str">
        <f t="shared" si="68"/>
        <v>RECKONING|41</v>
      </c>
      <c r="Z877" s="19">
        <f>IF($C877="","",IF($G877="","",RANK($G877,$G$4:$G$1463)+COUNTIF($G$4:$G877,$G877)-1))</f>
        <v>757</v>
      </c>
      <c r="AA877" s="19">
        <f>IF($C877="","",IF($N877="","",RANK($N877,$N$4:$N$1463)+COUNTIF($N$4:$N877,$N877)-1))</f>
        <v>363</v>
      </c>
      <c r="AB877" s="1" t="str">
        <f>IF($C877="","",IF($E877="","",$E877&amp;"#"&amp;(COUNTIFS($E$4:$E$1463,$E877,$X$4:$X$1463,"&gt;"&amp;$X877)+COUNTIFS($E$4:$E877,$E877,$X$4:$X877,"="&amp;$X877))))</f>
        <v>WARLOCK#81</v>
      </c>
      <c r="AC877" s="1" t="str">
        <f>IF($C877="","",$B877&amp;"@"&amp;(COUNTIFS($B$4:$B$1463,$B877,$C$4:$C$1463,"&lt;"&amp;$C877)+COUNTIFS($B$4:$B877,$B877,$C$4:$C877,$C877)))</f>
        <v>RECKONING@66</v>
      </c>
      <c r="AD877" s="1">
        <f t="shared" si="69"/>
        <v>874</v>
      </c>
      <c r="AE877" s="1" t="s">
        <v>2031</v>
      </c>
      <c r="AF877" s="76">
        <f t="shared" si="70"/>
        <v>62203</v>
      </c>
      <c r="AG877" s="77">
        <f t="shared" si="71"/>
        <v>6.5</v>
      </c>
      <c r="AH877" s="1" t="str">
        <f>IF($C877="","",$B877&amp;"|"&amp;(COUNTIFS($B$4:$B$1463,$B877,$AF$4:$AF$1463,"&gt;"&amp;$AF877)+COUNTIFS($B$4:$B877,$B877,$AF$4:$AF877,"="&amp;$AF877)))</f>
        <v>RECKONING|69</v>
      </c>
      <c r="AI877" s="1" t="str">
        <f>IF($C877="","",$B877&amp;"|"&amp;(COUNTIFS($B$4:$B$1463,$B877,$AG$4:$AG$1463,"&gt;"&amp;$AG877)+COUNTIFS($B$4:$B877,$B877,$AG$4:$AG877,"="&amp;$AG877)))</f>
        <v>RECKONING|30</v>
      </c>
    </row>
    <row r="878" spans="1:35" hidden="1">
      <c r="A878" s="69" t="s">
        <v>106</v>
      </c>
      <c r="B878" s="69" t="s">
        <v>105</v>
      </c>
      <c r="C878" s="63" t="s">
        <v>2032</v>
      </c>
      <c r="D878" s="69" t="s">
        <v>691</v>
      </c>
      <c r="E878" s="68" t="s">
        <v>79</v>
      </c>
      <c r="F878" s="15" t="str">
        <f>IF($C878="","",IF($E878="","-",IFERROR(INDEX(SETUP!$B$55:$B$64,MATCH($E878,SETUP!$A$55:$A$64,0)),"Other")))</f>
        <v>Control</v>
      </c>
      <c r="G878" s="70">
        <v>63106</v>
      </c>
      <c r="H878" s="15" t="str">
        <f>IF($C878="","",IF($G878="","-",INDEX(SETUP!$B$26:$B$32,MATCH($G878,SETUP!$A$26:$A$32,1))))</f>
        <v>63,000 - 63,999</v>
      </c>
      <c r="I878" s="70">
        <v>3751</v>
      </c>
      <c r="J878" s="15" t="str">
        <f>IF($C878="","",IF($I878="","-",INDEX(SETUP!$B$16:$B$22,MATCH($I878,SETUP!$A$16:$A$22,1))))</f>
        <v>DEVELOPING</v>
      </c>
      <c r="K878" s="15" t="str">
        <f>IF($C878="","",IF($I878="","-",TEXT(INT($I878/1000)*1000,"#,##0")&amp;" - "&amp;TEXT(INT($I878/1000)*1000+999,"#,##0")))</f>
        <v>3,000 - 3,999</v>
      </c>
      <c r="L878" s="71">
        <v>5.17</v>
      </c>
      <c r="M878" s="15" t="str">
        <f>IF($C878="","",IF($L878="","-",INDEX(SETUP!$B$36:$B$42,MATCH($L878,SETUP!$A$36:$A$42,1))))</f>
        <v>5k - 6k</v>
      </c>
      <c r="N878" s="17">
        <f>IF($C878="","",IF(OR($G878="",$I878=""),"",ROUND(100*(SETUP!$B$4*MIN(1,$I878/SETUP!$B$9)+SETUP!$B$5*MAX(0,MIN(1,($G878-SETUP!$B$10)/(SETUP!$B$11-SETUP!$B$10)))+SETUP!$B$6*MIN(1,IF($L878="",0,$L878)/SETUP!$B$12)),1)))</f>
        <v>46.3</v>
      </c>
      <c r="O878" s="15" t="str">
        <f>IF($C878="","",IF($N878="","-",INDEX(SETUP!$B$46:$B$51,MATCH($N878,SETUP!$A$46:$A$51,1))))</f>
        <v>B</v>
      </c>
      <c r="P878" s="15">
        <f>IF($C878="","",IF($I878="","",RANK($I878,$I$4:$I$1463)+COUNTIF($I$4:$I878,$I878)-1))</f>
        <v>666</v>
      </c>
      <c r="Q878" s="15">
        <f>IF($C878="","",COUNTIFS($B$4:$B$1463,$B878,$X$4:$X$1463,"&gt;"&amp;$X878)+COUNTIFS($B$4:$B878,$B878,$X$4:$X878,"="&amp;$X878))</f>
        <v>79</v>
      </c>
      <c r="R878" s="72">
        <f>IF($C878="","",IF($I878="","",ROUND(COUNTIF($I$4:$I$1463,"&lt;"&amp;$I878)/COUNT($I$4:$I$1463),3)))</f>
        <v>0.497</v>
      </c>
      <c r="S878" s="15" t="str">
        <f>IF($C878="","",IF($G878="","Name only",IF(OR($I878="",$L878=""),"Partial","Complete")))</f>
        <v>Complete</v>
      </c>
      <c r="T878" s="41" t="str">
        <f>IF($C878="","",TRIM(IF(COUNTIF($C$4:$C$1463,$C878)&gt;1,"Dup name; ","")&amp;IF(AND($G878&lt;&gt;"",$G878&lt;55000),"Low CR - verify; ","")&amp;IF(AND($L878&lt;&gt;"",$L878&gt;15),"Secondary - verify; ","")&amp;IF($E878="","No class; ","")))</f>
        <v/>
      </c>
      <c r="U878" s="68"/>
      <c r="V878" s="68"/>
      <c r="W878" s="68"/>
      <c r="X878" s="73">
        <f t="shared" si="67"/>
        <v>3751</v>
      </c>
      <c r="Y878" s="41" t="str">
        <f t="shared" si="68"/>
        <v>LEGENDS|79</v>
      </c>
      <c r="Z878" s="15">
        <f>IF($C878="","",IF($G878="","",RANK($G878,$G$4:$G$1463)+COUNTIF($G$4:$G878,$G878)-1))</f>
        <v>375</v>
      </c>
      <c r="AA878" s="15">
        <f>IF($C878="","",IF($N878="","",RANK($N878,$N$4:$N$1463)+COUNTIF($N$4:$N878,$N878)-1))</f>
        <v>578</v>
      </c>
      <c r="AB878" s="41" t="str">
        <f>IF($C878="","",IF($E878="","",$E878&amp;"#"&amp;(COUNTIFS($E$4:$E$1463,$E878,$X$4:$X$1463,"&gt;"&amp;$X878)+COUNTIFS($E$4:$E878,$E878,$X$4:$X878,"="&amp;$X878))))</f>
        <v>WARLOCK#160</v>
      </c>
      <c r="AC878" s="41" t="str">
        <f>IF($C878="","",$B878&amp;"@"&amp;(COUNTIFS($B$4:$B$1463,$B878,$C$4:$C$1463,"&lt;"&amp;$C878)+COUNTIFS($B$4:$B878,$B878,$C$4:$C878,$C878)))</f>
        <v>LEGENDS@70</v>
      </c>
      <c r="AD878" s="41">
        <f t="shared" si="69"/>
        <v>875</v>
      </c>
      <c r="AE878" s="41" t="s">
        <v>2033</v>
      </c>
      <c r="AF878" s="73">
        <f t="shared" si="70"/>
        <v>63106</v>
      </c>
      <c r="AG878" s="74">
        <f t="shared" si="71"/>
        <v>5.17</v>
      </c>
      <c r="AH878" s="41" t="str">
        <f>IF($C878="","",$B878&amp;"|"&amp;(COUNTIFS($B$4:$B$1463,$B878,$AF$4:$AF$1463,"&gt;"&amp;$AF878)+COUNTIFS($B$4:$B878,$B878,$AF$4:$AF878,"="&amp;$AF878)))</f>
        <v>LEGENDS|44</v>
      </c>
      <c r="AI878" s="41" t="str">
        <f>IF($C878="","",$B878&amp;"|"&amp;(COUNTIFS($B$4:$B$1463,$B878,$AG$4:$AG$1463,"&gt;"&amp;$AG878)+COUNTIFS($B$4:$B878,$B878,$AG$4:$AG878,"="&amp;$AG878)))</f>
        <v>LEGENDS|58</v>
      </c>
    </row>
    <row r="879" spans="1:35" hidden="1">
      <c r="A879" s="69" t="s">
        <v>109</v>
      </c>
      <c r="B879" s="69" t="s">
        <v>111</v>
      </c>
      <c r="C879" s="63" t="s">
        <v>2034</v>
      </c>
      <c r="D879" s="69" t="s">
        <v>527</v>
      </c>
      <c r="E879" s="68" t="s">
        <v>79</v>
      </c>
      <c r="F879" s="19" t="str">
        <f>IF($C879="","",IF($E879="","-",IFERROR(INDEX(SETUP!$B$55:$B$64,MATCH($E879,SETUP!$A$55:$A$64,0)),"Other")))</f>
        <v>Control</v>
      </c>
      <c r="G879" s="70">
        <v>61909</v>
      </c>
      <c r="H879" s="19" t="str">
        <f>IF($C879="","",IF($G879="","-",INDEX(SETUP!$B$26:$B$32,MATCH($G879,SETUP!$A$26:$A$32,1))))</f>
        <v>61,000 - 61,999</v>
      </c>
      <c r="I879" s="70">
        <v>3591</v>
      </c>
      <c r="J879" s="19" t="str">
        <f>IF($C879="","",IF($I879="","-",INDEX(SETUP!$B$16:$B$22,MATCH($I879,SETUP!$A$16:$A$22,1))))</f>
        <v>DEVELOPING</v>
      </c>
      <c r="K879" s="19" t="str">
        <f>IF($C879="","",IF($I879="","-",TEXT(INT($I879/1000)*1000,"#,##0")&amp;" - "&amp;TEXT(INT($I879/1000)*1000+999,"#,##0")))</f>
        <v>3,000 - 3,999</v>
      </c>
      <c r="L879" s="71">
        <v>6.3</v>
      </c>
      <c r="M879" s="19" t="str">
        <f>IF($C879="","",IF($L879="","-",INDEX(SETUP!$B$36:$B$42,MATCH($L879,SETUP!$A$36:$A$42,1))))</f>
        <v>6k - 8k</v>
      </c>
      <c r="N879" s="21">
        <f>IF($C879="","",IF(OR($G879="",$I879=""),"",ROUND(100*(SETUP!$B$4*MIN(1,$I879/SETUP!$B$9)+SETUP!$B$5*MAX(0,MIN(1,($G879-SETUP!$B$10)/(SETUP!$B$11-SETUP!$B$10)))+SETUP!$B$6*MIN(1,IF($L879="",0,$L879)/SETUP!$B$12)),1)))</f>
        <v>44.4</v>
      </c>
      <c r="O879" s="19" t="str">
        <f>IF($C879="","",IF($N879="","-",INDEX(SETUP!$B$46:$B$51,MATCH($N879,SETUP!$A$46:$A$51,1))))</f>
        <v>B</v>
      </c>
      <c r="P879" s="19">
        <f>IF($C879="","",IF($I879="","",RANK($I879,$I$4:$I$1463)+COUNTIF($I$4:$I879,$I879)-1))</f>
        <v>703</v>
      </c>
      <c r="Q879" s="19">
        <f>IF($C879="","",COUNTIFS($B$4:$B$1463,$B879,$X$4:$X$1463,"&gt;"&amp;$X879)+COUNTIFS($B$4:$B879,$B879,$X$4:$X879,"="&amp;$X879))</f>
        <v>78</v>
      </c>
      <c r="R879" s="75">
        <f>IF($C879="","",IF($I879="","",ROUND(COUNTIF($I$4:$I$1463,"&lt;"&amp;$I879)/COUNT($I$4:$I$1463),3)))</f>
        <v>0.46899999999999997</v>
      </c>
      <c r="S879" s="19" t="str">
        <f>IF($C879="","",IF($G879="","Name only",IF(OR($I879="",$L879=""),"Partial","Complete")))</f>
        <v>Complete</v>
      </c>
      <c r="T879" s="1" t="str">
        <f>IF($C879="","",TRIM(IF(COUNTIF($C$4:$C$1463,$C879)&gt;1,"Dup name; ","")&amp;IF(AND($G879&lt;&gt;"",$G879&lt;55000),"Low CR - verify; ","")&amp;IF(AND($L879&lt;&gt;"",$L879&gt;15),"Secondary - verify; ","")&amp;IF($E879="","No class; ","")))</f>
        <v/>
      </c>
      <c r="U879" s="68"/>
      <c r="V879" s="68"/>
      <c r="W879" s="68"/>
      <c r="X879" s="76">
        <f t="shared" si="67"/>
        <v>3591</v>
      </c>
      <c r="Y879" s="1" t="str">
        <f t="shared" si="68"/>
        <v>RECKONING|78</v>
      </c>
      <c r="Z879" s="19">
        <f>IF($C879="","",IF($G879="","",RANK($G879,$G$4:$G$1463)+COUNTIF($G$4:$G879,$G879)-1))</f>
        <v>871</v>
      </c>
      <c r="AA879" s="19">
        <f>IF($C879="","",IF($N879="","",RANK($N879,$N$4:$N$1463)+COUNTIF($N$4:$N879,$N879)-1))</f>
        <v>648</v>
      </c>
      <c r="AB879" s="1" t="str">
        <f>IF($C879="","",IF($E879="","",$E879&amp;"#"&amp;(COUNTIFS($E$4:$E$1463,$E879,$X$4:$X$1463,"&gt;"&amp;$X879)+COUNTIFS($E$4:$E879,$E879,$X$4:$X879,"="&amp;$X879))))</f>
        <v>WARLOCK#174</v>
      </c>
      <c r="AC879" s="1" t="str">
        <f>IF($C879="","",$B879&amp;"@"&amp;(COUNTIFS($B$4:$B$1463,$B879,$C$4:$C$1463,"&lt;"&amp;$C879)+COUNTIFS($B$4:$B879,$B879,$C$4:$C879,$C879)))</f>
        <v>RECKONING@67</v>
      </c>
      <c r="AD879" s="1">
        <f t="shared" si="69"/>
        <v>876</v>
      </c>
      <c r="AE879" s="1" t="s">
        <v>2035</v>
      </c>
      <c r="AF879" s="76">
        <f t="shared" si="70"/>
        <v>61909</v>
      </c>
      <c r="AG879" s="77">
        <f t="shared" si="71"/>
        <v>6.3</v>
      </c>
      <c r="AH879" s="1" t="str">
        <f>IF($C879="","",$B879&amp;"|"&amp;(COUNTIFS($B$4:$B$1463,$B879,$AF$4:$AF$1463,"&gt;"&amp;$AF879)+COUNTIFS($B$4:$B879,$B879,$AF$4:$AF879,"="&amp;$AF879)))</f>
        <v>RECKONING|75</v>
      </c>
      <c r="AI879" s="1" t="str">
        <f>IF($C879="","",$B879&amp;"|"&amp;(COUNTIFS($B$4:$B$1463,$B879,$AG$4:$AG$1463,"&gt;"&amp;$AG879)+COUNTIFS($B$4:$B879,$B879,$AG$4:$AG879,"="&amp;$AG879)))</f>
        <v>RECKONING|34</v>
      </c>
    </row>
    <row r="880" spans="1:35" hidden="1">
      <c r="A880" s="69" t="s">
        <v>109</v>
      </c>
      <c r="B880" s="69" t="s">
        <v>118</v>
      </c>
      <c r="C880" s="63" t="s">
        <v>2036</v>
      </c>
      <c r="D880" s="69"/>
      <c r="E880" s="68" t="s">
        <v>80</v>
      </c>
      <c r="F880" s="15" t="str">
        <f>IF($C880="","",IF($E880="","-",IFERROR(INDEX(SETUP!$B$55:$B$64,MATCH($E880,SETUP!$A$55:$A$64,0)),"Other")))</f>
        <v>Ranged DPS</v>
      </c>
      <c r="G880" s="70">
        <v>60805</v>
      </c>
      <c r="H880" s="15" t="str">
        <f>IF($C880="","",IF($G880="","-",INDEX(SETUP!$B$26:$B$32,MATCH($G880,SETUP!$A$26:$A$32,1))))</f>
        <v>60,000 - 60,999</v>
      </c>
      <c r="I880" s="70">
        <v>2830</v>
      </c>
      <c r="J880" s="15" t="str">
        <f>IF($C880="","",IF($I880="","-",INDEX(SETUP!$B$16:$B$22,MATCH($I880,SETUP!$A$16:$A$22,1))))</f>
        <v>DEVELOPING</v>
      </c>
      <c r="K880" s="15" t="str">
        <f>IF($C880="","",IF($I880="","-",TEXT(INT($I880/1000)*1000,"#,##0")&amp;" - "&amp;TEXT(INT($I880/1000)*1000+999,"#,##0")))</f>
        <v>2,000 - 2,999</v>
      </c>
      <c r="L880" s="71">
        <v>3.8</v>
      </c>
      <c r="M880" s="15" t="str">
        <f>IF($C880="","",IF($L880="","-",INDEX(SETUP!$B$36:$B$42,MATCH($L880,SETUP!$A$36:$A$42,1))))</f>
        <v>3k - 4k</v>
      </c>
      <c r="N880" s="17">
        <f>IF($C880="","",IF(OR($G880="",$I880=""),"",ROUND(100*(SETUP!$B$4*MIN(1,$I880/SETUP!$B$9)+SETUP!$B$5*MAX(0,MIN(1,($G880-SETUP!$B$10)/(SETUP!$B$11-SETUP!$B$10)))+SETUP!$B$6*MIN(1,IF($L880="",0,$L880)/SETUP!$B$12)),1)))</f>
        <v>34</v>
      </c>
      <c r="O880" s="15" t="str">
        <f>IF($C880="","",IF($N880="","-",INDEX(SETUP!$B$46:$B$51,MATCH($N880,SETUP!$A$46:$A$51,1))))</f>
        <v>C</v>
      </c>
      <c r="P880" s="15">
        <f>IF($C880="","",IF($I880="","",RANK($I880,$I$4:$I$1463)+COUNTIF($I$4:$I880,$I880)-1))</f>
        <v>928</v>
      </c>
      <c r="Q880" s="15">
        <f>IF($C880="","",COUNTIFS($B$4:$B$1463,$B880,$X$4:$X$1463,"&gt;"&amp;$X880)+COUNTIFS($B$4:$B880,$B880,$X$4:$X880,"="&amp;$X880))</f>
        <v>18</v>
      </c>
      <c r="R880" s="72">
        <f>IF($C880="","",IF($I880="","",ROUND(COUNTIF($I$4:$I$1463,"&lt;"&amp;$I880)/COUNT($I$4:$I$1463),3)))</f>
        <v>0.3</v>
      </c>
      <c r="S880" s="15" t="str">
        <f>IF($C880="","",IF($G880="","Name only",IF(OR($I880="",$L880=""),"Partial","Complete")))</f>
        <v>Complete</v>
      </c>
      <c r="T880" s="41" t="str">
        <f>IF($C880="","",TRIM(IF(COUNTIF($C$4:$C$1463,$C880)&gt;1,"Dup name; ","")&amp;IF(AND($G880&lt;&gt;"",$G880&lt;55000),"Low CR - verify; ","")&amp;IF(AND($L880&lt;&gt;"",$L880&gt;15),"Secondary - verify; ","")&amp;IF($E880="","No class; ","")))</f>
        <v/>
      </c>
      <c r="U880" s="68"/>
      <c r="V880" s="68"/>
      <c r="W880" s="68"/>
      <c r="X880" s="73">
        <f t="shared" si="67"/>
        <v>2830</v>
      </c>
      <c r="Y880" s="41" t="str">
        <f t="shared" si="68"/>
        <v>ZOMBIES|18</v>
      </c>
      <c r="Z880" s="15">
        <f>IF($C880="","",IF($G880="","",RANK($G880,$G$4:$G$1463)+COUNTIF($G$4:$G880,$G880)-1))</f>
        <v>1171</v>
      </c>
      <c r="AA880" s="15">
        <f>IF($C880="","",IF($N880="","",RANK($N880,$N$4:$N$1463)+COUNTIF($N$4:$N880,$N880)-1))</f>
        <v>1044</v>
      </c>
      <c r="AB880" s="41" t="str">
        <f>IF($C880="","",IF($E880="","",$E880&amp;"#"&amp;(COUNTIFS($E$4:$E$1463,$E880,$X$4:$X$1463,"&gt;"&amp;$X880)+COUNTIFS($E$4:$E880,$E880,$X$4:$X880,"="&amp;$X880))))</f>
        <v>WIZARD#65</v>
      </c>
      <c r="AC880" s="41" t="str">
        <f>IF($C880="","",$B880&amp;"@"&amp;(COUNTIFS($B$4:$B$1463,$B880,$C$4:$C$1463,"&lt;"&amp;$C880)+COUNTIFS($B$4:$B880,$B880,$C$4:$C880,$C880)))</f>
        <v>ZOMBIES@62</v>
      </c>
      <c r="AD880" s="41">
        <f t="shared" si="69"/>
        <v>877</v>
      </c>
      <c r="AE880" s="41" t="s">
        <v>1399</v>
      </c>
      <c r="AF880" s="73">
        <f t="shared" si="70"/>
        <v>60805</v>
      </c>
      <c r="AG880" s="74">
        <f t="shared" si="71"/>
        <v>3.8</v>
      </c>
      <c r="AH880" s="41" t="str">
        <f>IF($C880="","",$B880&amp;"|"&amp;(COUNTIFS($B$4:$B$1463,$B880,$AF$4:$AF$1463,"&gt;"&amp;$AF880)+COUNTIFS($B$4:$B880,$B880,$AF$4:$AF880,"="&amp;$AF880)))</f>
        <v>ZOMBIES|64</v>
      </c>
      <c r="AI880" s="41" t="str">
        <f>IF($C880="","",$B880&amp;"|"&amp;(COUNTIFS($B$4:$B$1463,$B880,$AG$4:$AG$1463,"&gt;"&amp;$AG880)+COUNTIFS($B$4:$B880,$B880,$AG$4:$AG880,"="&amp;$AG880)))</f>
        <v>ZOMBIES|40</v>
      </c>
    </row>
    <row r="881" spans="1:35" hidden="1">
      <c r="A881" s="69" t="s">
        <v>106</v>
      </c>
      <c r="B881" s="69" t="s">
        <v>107</v>
      </c>
      <c r="C881" s="63" t="s">
        <v>2037</v>
      </c>
      <c r="D881" s="69" t="s">
        <v>2038</v>
      </c>
      <c r="E881" s="68" t="s">
        <v>79</v>
      </c>
      <c r="F881" s="19" t="str">
        <f>IF($C881="","",IF($E881="","-",IFERROR(INDEX(SETUP!$B$55:$B$64,MATCH($E881,SETUP!$A$55:$A$64,0)),"Other")))</f>
        <v>Control</v>
      </c>
      <c r="G881" s="70">
        <v>61460</v>
      </c>
      <c r="H881" s="19" t="str">
        <f>IF($C881="","",IF($G881="","-",INDEX(SETUP!$B$26:$B$32,MATCH($G881,SETUP!$A$26:$A$32,1))))</f>
        <v>61,000 - 61,999</v>
      </c>
      <c r="I881" s="70">
        <v>3723</v>
      </c>
      <c r="J881" s="19" t="str">
        <f>IF($C881="","",IF($I881="","-",INDEX(SETUP!$B$16:$B$22,MATCH($I881,SETUP!$A$16:$A$22,1))))</f>
        <v>DEVELOPING</v>
      </c>
      <c r="K881" s="19" t="str">
        <f>IF($C881="","",IF($I881="","-",TEXT(INT($I881/1000)*1000,"#,##0")&amp;" - "&amp;TEXT(INT($I881/1000)*1000+999,"#,##0")))</f>
        <v>3,000 - 3,999</v>
      </c>
      <c r="L881" s="71">
        <v>4.4000000000000004</v>
      </c>
      <c r="M881" s="19" t="str">
        <f>IF($C881="","",IF($L881="","-",INDEX(SETUP!$B$36:$B$42,MATCH($L881,SETUP!$A$36:$A$42,1))))</f>
        <v>4k - 5k</v>
      </c>
      <c r="N881" s="21">
        <f>IF($C881="","",IF(OR($G881="",$I881=""),"",ROUND(100*(SETUP!$B$4*MIN(1,$I881/SETUP!$B$9)+SETUP!$B$5*MAX(0,MIN(1,($G881-SETUP!$B$10)/(SETUP!$B$11-SETUP!$B$10)))+SETUP!$B$6*MIN(1,IF($L881="",0,$L881)/SETUP!$B$12)),1)))</f>
        <v>40.6</v>
      </c>
      <c r="O881" s="19" t="str">
        <f>IF($C881="","",IF($N881="","-",INDEX(SETUP!$B$46:$B$51,MATCH($N881,SETUP!$A$46:$A$51,1))))</f>
        <v>B</v>
      </c>
      <c r="P881" s="19">
        <f>IF($C881="","",IF($I881="","",RANK($I881,$I$4:$I$1463)+COUNTIF($I$4:$I881,$I881)-1))</f>
        <v>673</v>
      </c>
      <c r="Q881" s="19">
        <f>IF($C881="","",COUNTIFS($B$4:$B$1463,$B881,$X$4:$X$1463,"&gt;"&amp;$X881)+COUNTIFS($B$4:$B881,$B881,$X$4:$X881,"="&amp;$X881))</f>
        <v>59</v>
      </c>
      <c r="R881" s="75">
        <f>IF($C881="","",IF($I881="","",ROUND(COUNTIF($I$4:$I$1463,"&lt;"&amp;$I881)/COUNT($I$4:$I$1463),3)))</f>
        <v>0.49199999999999999</v>
      </c>
      <c r="S881" s="19" t="str">
        <f>IF($C881="","",IF($G881="","Name only",IF(OR($I881="",$L881=""),"Partial","Complete")))</f>
        <v>Complete</v>
      </c>
      <c r="T881" s="1" t="str">
        <f>IF($C881="","",TRIM(IF(COUNTIF($C$4:$C$1463,$C881)&gt;1,"Dup name; ","")&amp;IF(AND($G881&lt;&gt;"",$G881&lt;55000),"Low CR - verify; ","")&amp;IF(AND($L881&lt;&gt;"",$L881&gt;15),"Secondary - verify; ","")&amp;IF($E881="","No class; ","")))</f>
        <v/>
      </c>
      <c r="U881" s="68"/>
      <c r="V881" s="68"/>
      <c r="W881" s="68"/>
      <c r="X881" s="76">
        <f t="shared" si="67"/>
        <v>3723</v>
      </c>
      <c r="Y881" s="1" t="str">
        <f t="shared" si="68"/>
        <v>UNDYING|59</v>
      </c>
      <c r="Z881" s="19">
        <f>IF($C881="","",IF($G881="","",RANK($G881,$G$4:$G$1463)+COUNTIF($G$4:$G881,$G881)-1))</f>
        <v>1012</v>
      </c>
      <c r="AA881" s="19">
        <f>IF($C881="","",IF($N881="","",RANK($N881,$N$4:$N$1463)+COUNTIF($N$4:$N881,$N881)-1))</f>
        <v>799</v>
      </c>
      <c r="AB881" s="1" t="str">
        <f>IF($C881="","",IF($E881="","",$E881&amp;"#"&amp;(COUNTIFS($E$4:$E$1463,$E881,$X$4:$X$1463,"&gt;"&amp;$X881)+COUNTIFS($E$4:$E881,$E881,$X$4:$X881,"="&amp;$X881))))</f>
        <v>WARLOCK#164</v>
      </c>
      <c r="AC881" s="1" t="str">
        <f>IF($C881="","",$B881&amp;"@"&amp;(COUNTIFS($B$4:$B$1463,$B881,$C$4:$C$1463,"&lt;"&amp;$C881)+COUNTIFS($B$4:$B881,$B881,$C$4:$C881,$C881)))</f>
        <v>UNDYING@76</v>
      </c>
      <c r="AD881" s="1">
        <f t="shared" si="69"/>
        <v>878</v>
      </c>
      <c r="AE881" s="1" t="s">
        <v>592</v>
      </c>
      <c r="AF881" s="76">
        <f t="shared" si="70"/>
        <v>61460</v>
      </c>
      <c r="AG881" s="77">
        <f t="shared" si="71"/>
        <v>4.4000000000000004</v>
      </c>
      <c r="AH881" s="1" t="str">
        <f>IF($C881="","",$B881&amp;"|"&amp;(COUNTIFS($B$4:$B$1463,$B881,$AF$4:$AF$1463,"&gt;"&amp;$AF881)+COUNTIFS($B$4:$B881,$B881,$AF$4:$AF881,"="&amp;$AF881)))</f>
        <v>UNDYING|90</v>
      </c>
      <c r="AI881" s="1" t="str">
        <f>IF($C881="","",$B881&amp;"|"&amp;(COUNTIFS($B$4:$B$1463,$B881,$AG$4:$AG$1463,"&gt;"&amp;$AG881)+COUNTIFS($B$4:$B881,$B881,$AG$4:$AG881,"="&amp;$AG881)))</f>
        <v>UNDYING|73</v>
      </c>
    </row>
    <row r="882" spans="1:35" hidden="1">
      <c r="A882" s="69" t="s">
        <v>106</v>
      </c>
      <c r="B882" s="69" t="s">
        <v>105</v>
      </c>
      <c r="C882" s="63" t="s">
        <v>2039</v>
      </c>
      <c r="D882" s="69"/>
      <c r="E882" s="68" t="s">
        <v>77</v>
      </c>
      <c r="F882" s="15" t="str">
        <f>IF($C882="","",IF($E882="","-",IFERROR(INDEX(SETUP!$B$55:$B$64,MATCH($E882,SETUP!$A$55:$A$64,0)),"Other")))</f>
        <v>Control</v>
      </c>
      <c r="G882" s="70">
        <v>63485</v>
      </c>
      <c r="H882" s="15" t="str">
        <f>IF($C882="","",IF($G882="","-",INDEX(SETUP!$B$26:$B$32,MATCH($G882,SETUP!$A$26:$A$32,1))))</f>
        <v>63,000 - 63,999</v>
      </c>
      <c r="I882" s="70">
        <v>5871</v>
      </c>
      <c r="J882" s="15" t="str">
        <f>IF($C882="","",IF($I882="","-",INDEX(SETUP!$B$16:$B$22,MATCH($I882,SETUP!$A$16:$A$22,1))))</f>
        <v>CORE</v>
      </c>
      <c r="K882" s="15" t="str">
        <f>IF($C882="","",IF($I882="","-",TEXT(INT($I882/1000)*1000,"#,##0")&amp;" - "&amp;TEXT(INT($I882/1000)*1000+999,"#,##0")))</f>
        <v>5,000 - 5,999</v>
      </c>
      <c r="L882" s="71">
        <v>4.6399999999999997</v>
      </c>
      <c r="M882" s="15" t="str">
        <f>IF($C882="","",IF($L882="","-",INDEX(SETUP!$B$36:$B$42,MATCH($L882,SETUP!$A$36:$A$42,1))))</f>
        <v>4k - 5k</v>
      </c>
      <c r="N882" s="17">
        <f>IF($C882="","",IF(OR($G882="",$I882=""),"",ROUND(100*(SETUP!$B$4*MIN(1,$I882/SETUP!$B$9)+SETUP!$B$5*MAX(0,MIN(1,($G882-SETUP!$B$10)/(SETUP!$B$11-SETUP!$B$10)))+SETUP!$B$6*MIN(1,IF($L882="",0,$L882)/SETUP!$B$12)),1)))</f>
        <v>55.7</v>
      </c>
      <c r="O882" s="15" t="str">
        <f>IF($C882="","",IF($N882="","-",INDEX(SETUP!$B$46:$B$51,MATCH($N882,SETUP!$A$46:$A$51,1))))</f>
        <v>A</v>
      </c>
      <c r="P882" s="15">
        <f>IF($C882="","",IF($I882="","",RANK($I882,$I$4:$I$1463)+COUNTIF($I$4:$I882,$I882)-1))</f>
        <v>301</v>
      </c>
      <c r="Q882" s="15">
        <f>IF($C882="","",COUNTIFS($B$4:$B$1463,$B882,$X$4:$X$1463,"&gt;"&amp;$X882)+COUNTIFS($B$4:$B882,$B882,$X$4:$X882,"="&amp;$X882))</f>
        <v>33</v>
      </c>
      <c r="R882" s="72">
        <f>IF($C882="","",IF($I882="","",ROUND(COUNTIF($I$4:$I$1463,"&lt;"&amp;$I882)/COUNT($I$4:$I$1463),3)))</f>
        <v>0.77300000000000002</v>
      </c>
      <c r="S882" s="15" t="str">
        <f>IF($C882="","",IF($G882="","Name only",IF(OR($I882="",$L882=""),"Partial","Complete")))</f>
        <v>Complete</v>
      </c>
      <c r="T882" s="41" t="str">
        <f>IF($C882="","",TRIM(IF(COUNTIF($C$4:$C$1463,$C882)&gt;1,"Dup name; ","")&amp;IF(AND($G882&lt;&gt;"",$G882&lt;55000),"Low CR - verify; ","")&amp;IF(AND($L882&lt;&gt;"",$L882&gt;15),"Secondary - verify; ","")&amp;IF($E882="","No class; ","")))</f>
        <v/>
      </c>
      <c r="U882" s="68"/>
      <c r="V882" s="68"/>
      <c r="W882" s="68"/>
      <c r="X882" s="73">
        <f t="shared" si="67"/>
        <v>5871</v>
      </c>
      <c r="Y882" s="41" t="str">
        <f t="shared" si="68"/>
        <v>LEGENDS|33</v>
      </c>
      <c r="Z882" s="15">
        <f>IF($C882="","",IF($G882="","",RANK($G882,$G$4:$G$1463)+COUNTIF($G$4:$G882,$G882)-1))</f>
        <v>195</v>
      </c>
      <c r="AA882" s="15">
        <f>IF($C882="","",IF($N882="","",RANK($N882,$N$4:$N$1463)+COUNTIF($N$4:$N882,$N882)-1))</f>
        <v>302</v>
      </c>
      <c r="AB882" s="41" t="str">
        <f>IF($C882="","",IF($E882="","",$E882&amp;"#"&amp;(COUNTIFS($E$4:$E$1463,$E882,$X$4:$X$1463,"&gt;"&amp;$X882)+COUNTIFS($E$4:$E882,$E882,$X$4:$X882,"="&amp;$X882))))</f>
        <v>NECROMANCER#13</v>
      </c>
      <c r="AC882" s="41" t="str">
        <f>IF($C882="","",$B882&amp;"@"&amp;(COUNTIFS($B$4:$B$1463,$B882,$C$4:$C$1463,"&lt;"&amp;$C882)+COUNTIFS($B$4:$B882,$B882,$C$4:$C882,$C882)))</f>
        <v>LEGENDS@71</v>
      </c>
      <c r="AD882" s="41">
        <f t="shared" si="69"/>
        <v>879</v>
      </c>
      <c r="AE882" s="41" t="s">
        <v>2040</v>
      </c>
      <c r="AF882" s="73">
        <f t="shared" si="70"/>
        <v>63485</v>
      </c>
      <c r="AG882" s="74">
        <f t="shared" si="71"/>
        <v>4.6399999999999997</v>
      </c>
      <c r="AH882" s="41" t="str">
        <f>IF($C882="","",$B882&amp;"|"&amp;(COUNTIFS($B$4:$B$1463,$B882,$AF$4:$AF$1463,"&gt;"&amp;$AF882)+COUNTIFS($B$4:$B882,$B882,$AF$4:$AF882,"="&amp;$AF882)))</f>
        <v>LEGENDS|25</v>
      </c>
      <c r="AI882" s="41" t="str">
        <f>IF($C882="","",$B882&amp;"|"&amp;(COUNTIFS($B$4:$B$1463,$B882,$AG$4:$AG$1463,"&gt;"&amp;$AG882)+COUNTIFS($B$4:$B882,$B882,$AG$4:$AG882,"="&amp;$AG882)))</f>
        <v>LEGENDS|73</v>
      </c>
    </row>
    <row r="883" spans="1:35" hidden="1">
      <c r="A883" s="69" t="s">
        <v>106</v>
      </c>
      <c r="B883" s="69" t="s">
        <v>107</v>
      </c>
      <c r="C883" s="63" t="s">
        <v>2041</v>
      </c>
      <c r="D883" s="69"/>
      <c r="E883" s="68" t="s">
        <v>77</v>
      </c>
      <c r="F883" s="19" t="str">
        <f>IF($C883="","",IF($E883="","-",IFERROR(INDEX(SETUP!$B$55:$B$64,MATCH($E883,SETUP!$A$55:$A$64,0)),"Other")))</f>
        <v>Control</v>
      </c>
      <c r="G883" s="70">
        <v>63931</v>
      </c>
      <c r="H883" s="19" t="str">
        <f>IF($C883="","",IF($G883="","-",INDEX(SETUP!$B$26:$B$32,MATCH($G883,SETUP!$A$26:$A$32,1))))</f>
        <v>63,000 - 63,999</v>
      </c>
      <c r="I883" s="70">
        <v>7258</v>
      </c>
      <c r="J883" s="19" t="str">
        <f>IF($C883="","",IF($I883="","-",INDEX(SETUP!$B$16:$B$22,MATCH($I883,SETUP!$A$16:$A$22,1))))</f>
        <v>VETERAN</v>
      </c>
      <c r="K883" s="19" t="str">
        <f>IF($C883="","",IF($I883="","-",TEXT(INT($I883/1000)*1000,"#,##0")&amp;" - "&amp;TEXT(INT($I883/1000)*1000+999,"#,##0")))</f>
        <v>7,000 - 7,999</v>
      </c>
      <c r="L883" s="71">
        <v>5.15</v>
      </c>
      <c r="M883" s="19" t="str">
        <f>IF($C883="","",IF($L883="","-",INDEX(SETUP!$B$36:$B$42,MATCH($L883,SETUP!$A$36:$A$42,1))))</f>
        <v>5k - 6k</v>
      </c>
      <c r="N883" s="21">
        <f>IF($C883="","",IF(OR($G883="",$I883=""),"",ROUND(100*(SETUP!$B$4*MIN(1,$I883/SETUP!$B$9)+SETUP!$B$5*MAX(0,MIN(1,($G883-SETUP!$B$10)/(SETUP!$B$11-SETUP!$B$10)))+SETUP!$B$6*MIN(1,IF($L883="",0,$L883)/SETUP!$B$12)),1)))</f>
        <v>63.8</v>
      </c>
      <c r="O883" s="19" t="str">
        <f>IF($C883="","",IF($N883="","-",INDEX(SETUP!$B$46:$B$51,MATCH($N883,SETUP!$A$46:$A$51,1))))</f>
        <v>A</v>
      </c>
      <c r="P883" s="19">
        <f>IF($C883="","",IF($I883="","",RANK($I883,$I$4:$I$1463)+COUNTIF($I$4:$I883,$I883)-1))</f>
        <v>198</v>
      </c>
      <c r="Q883" s="19">
        <f>IF($C883="","",COUNTIFS($B$4:$B$1463,$B883,$X$4:$X$1463,"&gt;"&amp;$X883)+COUNTIFS($B$4:$B883,$B883,$X$4:$X883,"="&amp;$X883))</f>
        <v>11</v>
      </c>
      <c r="R883" s="75">
        <f>IF($C883="","",IF($I883="","",ROUND(COUNTIF($I$4:$I$1463,"&lt;"&amp;$I883)/COUNT($I$4:$I$1463),3)))</f>
        <v>0.85099999999999998</v>
      </c>
      <c r="S883" s="19" t="str">
        <f>IF($C883="","",IF($G883="","Name only",IF(OR($I883="",$L883=""),"Partial","Complete")))</f>
        <v>Complete</v>
      </c>
      <c r="T883" s="1" t="str">
        <f>IF($C883="","",TRIM(IF(COUNTIF($C$4:$C$1463,$C883)&gt;1,"Dup name; ","")&amp;IF(AND($G883&lt;&gt;"",$G883&lt;55000),"Low CR - verify; ","")&amp;IF(AND($L883&lt;&gt;"",$L883&gt;15),"Secondary - verify; ","")&amp;IF($E883="","No class; ","")))</f>
        <v/>
      </c>
      <c r="U883" s="68"/>
      <c r="V883" s="68"/>
      <c r="W883" s="68"/>
      <c r="X883" s="76">
        <f t="shared" si="67"/>
        <v>7258</v>
      </c>
      <c r="Y883" s="1" t="str">
        <f t="shared" si="68"/>
        <v>UNDYING|11</v>
      </c>
      <c r="Z883" s="19">
        <f>IF($C883="","",IF($G883="","",RANK($G883,$G$4:$G$1463)+COUNTIF($G$4:$G883,$G883)-1))</f>
        <v>89</v>
      </c>
      <c r="AA883" s="19">
        <f>IF($C883="","",IF($N883="","",RANK($N883,$N$4:$N$1463)+COUNTIF($N$4:$N883,$N883)-1))</f>
        <v>192</v>
      </c>
      <c r="AB883" s="1" t="str">
        <f>IF($C883="","",IF($E883="","",$E883&amp;"#"&amp;(COUNTIFS($E$4:$E$1463,$E883,$X$4:$X$1463,"&gt;"&amp;$X883)+COUNTIFS($E$4:$E883,$E883,$X$4:$X883,"="&amp;$X883))))</f>
        <v>NECROMANCER#6</v>
      </c>
      <c r="AC883" s="1" t="str">
        <f>IF($C883="","",$B883&amp;"@"&amp;(COUNTIFS($B$4:$B$1463,$B883,$C$4:$C$1463,"&lt;"&amp;$C883)+COUNTIFS($B$4:$B883,$B883,$C$4:$C883,$C883)))</f>
        <v>UNDYING@77</v>
      </c>
      <c r="AD883" s="1">
        <f t="shared" si="69"/>
        <v>880</v>
      </c>
      <c r="AE883" s="1" t="s">
        <v>2042</v>
      </c>
      <c r="AF883" s="76">
        <f t="shared" si="70"/>
        <v>63931</v>
      </c>
      <c r="AG883" s="77">
        <f t="shared" si="71"/>
        <v>5.15</v>
      </c>
      <c r="AH883" s="1" t="str">
        <f>IF($C883="","",$B883&amp;"|"&amp;(COUNTIFS($B$4:$B$1463,$B883,$AF$4:$AF$1463,"&gt;"&amp;$AF883)+COUNTIFS($B$4:$B883,$B883,$AF$4:$AF883,"="&amp;$AF883)))</f>
        <v>UNDYING|3</v>
      </c>
      <c r="AI883" s="1" t="str">
        <f>IF($C883="","",$B883&amp;"|"&amp;(COUNTIFS($B$4:$B$1463,$B883,$AG$4:$AG$1463,"&gt;"&amp;$AG883)+COUNTIFS($B$4:$B883,$B883,$AG$4:$AG883,"="&amp;$AG883)))</f>
        <v>UNDYING|47</v>
      </c>
    </row>
    <row r="884" spans="1:35" hidden="1">
      <c r="A884" s="69" t="s">
        <v>109</v>
      </c>
      <c r="B884" s="69" t="s">
        <v>117</v>
      </c>
      <c r="C884" s="63" t="s">
        <v>2043</v>
      </c>
      <c r="D884" s="69"/>
      <c r="E884" s="68" t="s">
        <v>73</v>
      </c>
      <c r="F884" s="15" t="str">
        <f>IF($C884="","",IF($E884="","-",IFERROR(INDEX(SETUP!$B$55:$B$64,MATCH($E884,SETUP!$A$55:$A$64,0)),"Other")))</f>
        <v>Frontline</v>
      </c>
      <c r="G884" s="70">
        <v>59407</v>
      </c>
      <c r="H884" s="15" t="str">
        <f>IF($C884="","",IF($G884="","-",INDEX(SETUP!$B$26:$B$32,MATCH($G884,SETUP!$A$26:$A$32,1))))</f>
        <v>58,000 - 59,999</v>
      </c>
      <c r="I884" s="70">
        <v>3473</v>
      </c>
      <c r="J884" s="15" t="str">
        <f>IF($C884="","",IF($I884="","-",INDEX(SETUP!$B$16:$B$22,MATCH($I884,SETUP!$A$16:$A$22,1))))</f>
        <v>DEVELOPING</v>
      </c>
      <c r="K884" s="15" t="str">
        <f>IF($C884="","",IF($I884="","-",TEXT(INT($I884/1000)*1000,"#,##0")&amp;" - "&amp;TEXT(INT($I884/1000)*1000+999,"#,##0")))</f>
        <v>3,000 - 3,999</v>
      </c>
      <c r="L884" s="71">
        <v>5</v>
      </c>
      <c r="M884" s="15" t="str">
        <f>IF($C884="","",IF($L884="","-",INDEX(SETUP!$B$36:$B$42,MATCH($L884,SETUP!$A$36:$A$42,1))))</f>
        <v>5k - 6k</v>
      </c>
      <c r="N884" s="17">
        <f>IF($C884="","",IF(OR($G884="",$I884=""),"",ROUND(100*(SETUP!$B$4*MIN(1,$I884/SETUP!$B$9)+SETUP!$B$5*MAX(0,MIN(1,($G884-SETUP!$B$10)/(SETUP!$B$11-SETUP!$B$10)))+SETUP!$B$6*MIN(1,IF($L884="",0,$L884)/SETUP!$B$12)),1)))</f>
        <v>35.1</v>
      </c>
      <c r="O884" s="15" t="str">
        <f>IF($C884="","",IF($N884="","-",INDEX(SETUP!$B$46:$B$51,MATCH($N884,SETUP!$A$46:$A$51,1))))</f>
        <v>B</v>
      </c>
      <c r="P884" s="15">
        <f>IF($C884="","",IF($I884="","",RANK($I884,$I$4:$I$1463)+COUNTIF($I$4:$I884,$I884)-1))</f>
        <v>739</v>
      </c>
      <c r="Q884" s="15">
        <f>IF($C884="","",COUNTIFS($B$4:$B$1463,$B884,$X$4:$X$1463,"&gt;"&amp;$X884)+COUNTIFS($B$4:$B884,$B884,$X$4:$X884,"="&amp;$X884))</f>
        <v>8</v>
      </c>
      <c r="R884" s="72">
        <f>IF($C884="","",IF($I884="","",ROUND(COUNTIF($I$4:$I$1463,"&lt;"&amp;$I884)/COUNT($I$4:$I$1463),3)))</f>
        <v>0.442</v>
      </c>
      <c r="S884" s="15" t="str">
        <f>IF($C884="","",IF($G884="","Name only",IF(OR($I884="",$L884=""),"Partial","Complete")))</f>
        <v>Complete</v>
      </c>
      <c r="T884" s="41" t="str">
        <f>IF($C884="","",TRIM(IF(COUNTIF($C$4:$C$1463,$C884)&gt;1,"Dup name; ","")&amp;IF(AND($G884&lt;&gt;"",$G884&lt;55000),"Low CR - verify; ","")&amp;IF(AND($L884&lt;&gt;"",$L884&gt;15),"Secondary - verify; ","")&amp;IF($E884="","No class; ","")))</f>
        <v/>
      </c>
      <c r="U884" s="68"/>
      <c r="V884" s="68"/>
      <c r="W884" s="68"/>
      <c r="X884" s="73">
        <f t="shared" si="67"/>
        <v>3473</v>
      </c>
      <c r="Y884" s="41" t="str">
        <f t="shared" si="68"/>
        <v>VENDETTA|8</v>
      </c>
      <c r="Z884" s="15">
        <f>IF($C884="","",IF($G884="","",RANK($G884,$G$4:$G$1463)+COUNTIF($G$4:$G884,$G884)-1))</f>
        <v>1266</v>
      </c>
      <c r="AA884" s="15">
        <f>IF($C884="","",IF($N884="","",RANK($N884,$N$4:$N$1463)+COUNTIF($N$4:$N884,$N884)-1))</f>
        <v>1007</v>
      </c>
      <c r="AB884" s="41" t="str">
        <f>IF($C884="","",IF($E884="","",$E884&amp;"#"&amp;(COUNTIFS($E$4:$E$1463,$E884,$X$4:$X$1463,"&gt;"&amp;$X884)+COUNTIFS($E$4:$E884,$E884,$X$4:$X884,"="&amp;$X884))))</f>
        <v>CRUSADER#84</v>
      </c>
      <c r="AC884" s="41" t="str">
        <f>IF($C884="","",$B884&amp;"@"&amp;(COUNTIFS($B$4:$B$1463,$B884,$C$4:$C$1463,"&lt;"&amp;$C884)+COUNTIFS($B$4:$B884,$B884,$C$4:$C884,$C884)))</f>
        <v>VENDETTA@67</v>
      </c>
      <c r="AD884" s="41">
        <f t="shared" si="69"/>
        <v>881</v>
      </c>
      <c r="AE884" s="41" t="s">
        <v>790</v>
      </c>
      <c r="AF884" s="73">
        <f t="shared" si="70"/>
        <v>59407</v>
      </c>
      <c r="AG884" s="74">
        <f t="shared" si="71"/>
        <v>5</v>
      </c>
      <c r="AH884" s="41" t="str">
        <f>IF($C884="","",$B884&amp;"|"&amp;(COUNTIFS($B$4:$B$1463,$B884,$AF$4:$AF$1463,"&gt;"&amp;$AF884)+COUNTIFS($B$4:$B884,$B884,$AF$4:$AF884,"="&amp;$AF884)))</f>
        <v>VENDETTA|86</v>
      </c>
      <c r="AI884" s="41" t="str">
        <f>IF($C884="","",$B884&amp;"|"&amp;(COUNTIFS($B$4:$B$1463,$B884,$AG$4:$AG$1463,"&gt;"&amp;$AG884)+COUNTIFS($B$4:$B884,$B884,$AG$4:$AG884,"="&amp;$AG884)))</f>
        <v>VENDETTA|9</v>
      </c>
    </row>
    <row r="885" spans="1:35" hidden="1">
      <c r="A885" s="69" t="s">
        <v>109</v>
      </c>
      <c r="B885" s="69" t="s">
        <v>111</v>
      </c>
      <c r="C885" s="63" t="s">
        <v>2044</v>
      </c>
      <c r="D885" s="69" t="s">
        <v>527</v>
      </c>
      <c r="E885" s="68" t="s">
        <v>79</v>
      </c>
      <c r="F885" s="19" t="str">
        <f>IF($C885="","",IF($E885="","-",IFERROR(INDEX(SETUP!$B$55:$B$64,MATCH($E885,SETUP!$A$55:$A$64,0)),"Other")))</f>
        <v>Control</v>
      </c>
      <c r="G885" s="70">
        <v>63392</v>
      </c>
      <c r="H885" s="19" t="str">
        <f>IF($C885="","",IF($G885="","-",INDEX(SETUP!$B$26:$B$32,MATCH($G885,SETUP!$A$26:$A$32,1))))</f>
        <v>63,000 - 63,999</v>
      </c>
      <c r="I885" s="70">
        <v>4850</v>
      </c>
      <c r="J885" s="19" t="str">
        <f>IF($C885="","",IF($I885="","-",INDEX(SETUP!$B$16:$B$22,MATCH($I885,SETUP!$A$16:$A$22,1))))</f>
        <v>CORE</v>
      </c>
      <c r="K885" s="19" t="str">
        <f>IF($C885="","",IF($I885="","-",TEXT(INT($I885/1000)*1000,"#,##0")&amp;" - "&amp;TEXT(INT($I885/1000)*1000+999,"#,##0")))</f>
        <v>4,000 - 4,999</v>
      </c>
      <c r="L885" s="71">
        <v>6.25</v>
      </c>
      <c r="M885" s="19" t="str">
        <f>IF($C885="","",IF($L885="","-",INDEX(SETUP!$B$36:$B$42,MATCH($L885,SETUP!$A$36:$A$42,1))))</f>
        <v>6k - 8k</v>
      </c>
      <c r="N885" s="21">
        <f>IF($C885="","",IF(OR($G885="",$I885=""),"",ROUND(100*(SETUP!$B$4*MIN(1,$I885/SETUP!$B$9)+SETUP!$B$5*MAX(0,MIN(1,($G885-SETUP!$B$10)/(SETUP!$B$11-SETUP!$B$10)))+SETUP!$B$6*MIN(1,IF($L885="",0,$L885)/SETUP!$B$12)),1)))</f>
        <v>53.7</v>
      </c>
      <c r="O885" s="19" t="str">
        <f>IF($C885="","",IF($N885="","-",INDEX(SETUP!$B$46:$B$51,MATCH($N885,SETUP!$A$46:$A$51,1))))</f>
        <v>A</v>
      </c>
      <c r="P885" s="19">
        <f>IF($C885="","",IF($I885="","",RANK($I885,$I$4:$I$1463)+COUNTIF($I$4:$I885,$I885)-1))</f>
        <v>435</v>
      </c>
      <c r="Q885" s="19">
        <f>IF($C885="","",COUNTIFS($B$4:$B$1463,$B885,$X$4:$X$1463,"&gt;"&amp;$X885)+COUNTIFS($B$4:$B885,$B885,$X$4:$X885,"="&amp;$X885))</f>
        <v>49</v>
      </c>
      <c r="R885" s="75">
        <f>IF($C885="","",IF($I885="","",ROUND(COUNTIF($I$4:$I$1463,"&lt;"&amp;$I885)/COUNT($I$4:$I$1463),3)))</f>
        <v>0.67200000000000004</v>
      </c>
      <c r="S885" s="19" t="str">
        <f>IF($C885="","",IF($G885="","Name only",IF(OR($I885="",$L885=""),"Partial","Complete")))</f>
        <v>Complete</v>
      </c>
      <c r="T885" s="1" t="str">
        <f>IF($C885="","",TRIM(IF(COUNTIF($C$4:$C$1463,$C885)&gt;1,"Dup name; ","")&amp;IF(AND($G885&lt;&gt;"",$G885&lt;55000),"Low CR - verify; ","")&amp;IF(AND($L885&lt;&gt;"",$L885&gt;15),"Secondary - verify; ","")&amp;IF($E885="","No class; ","")))</f>
        <v/>
      </c>
      <c r="U885" s="68"/>
      <c r="V885" s="68"/>
      <c r="W885" s="68"/>
      <c r="X885" s="76">
        <f t="shared" si="67"/>
        <v>4850</v>
      </c>
      <c r="Y885" s="1" t="str">
        <f t="shared" si="68"/>
        <v>RECKONING|49</v>
      </c>
      <c r="Z885" s="19">
        <f>IF($C885="","",IF($G885="","",RANK($G885,$G$4:$G$1463)+COUNTIF($G$4:$G885,$G885)-1))</f>
        <v>225</v>
      </c>
      <c r="AA885" s="19">
        <f>IF($C885="","",IF($N885="","",RANK($N885,$N$4:$N$1463)+COUNTIF($N$4:$N885,$N885)-1))</f>
        <v>344</v>
      </c>
      <c r="AB885" s="1" t="str">
        <f>IF($C885="","",IF($E885="","",$E885&amp;"#"&amp;(COUNTIFS($E$4:$E$1463,$E885,$X$4:$X$1463,"&gt;"&amp;$X885)+COUNTIFS($E$4:$E885,$E885,$X$4:$X885,"="&amp;$X885))))</f>
        <v>WARLOCK#101</v>
      </c>
      <c r="AC885" s="1" t="str">
        <f>IF($C885="","",$B885&amp;"@"&amp;(COUNTIFS($B$4:$B$1463,$B885,$C$4:$C$1463,"&lt;"&amp;$C885)+COUNTIFS($B$4:$B885,$B885,$C$4:$C885,$C885)))</f>
        <v>RECKONING@68</v>
      </c>
      <c r="AD885" s="1">
        <f t="shared" si="69"/>
        <v>882</v>
      </c>
      <c r="AE885" s="1" t="s">
        <v>2045</v>
      </c>
      <c r="AF885" s="76">
        <f t="shared" si="70"/>
        <v>63392</v>
      </c>
      <c r="AG885" s="77">
        <f t="shared" si="71"/>
        <v>6.25</v>
      </c>
      <c r="AH885" s="1" t="str">
        <f>IF($C885="","",$B885&amp;"|"&amp;(COUNTIFS($B$4:$B$1463,$B885,$AF$4:$AF$1463,"&gt;"&amp;$AF885)+COUNTIFS($B$4:$B885,$B885,$AF$4:$AF885,"="&amp;$AF885)))</f>
        <v>RECKONING|24</v>
      </c>
      <c r="AI885" s="1" t="str">
        <f>IF($C885="","",$B885&amp;"|"&amp;(COUNTIFS($B$4:$B$1463,$B885,$AG$4:$AG$1463,"&gt;"&amp;$AG885)+COUNTIFS($B$4:$B885,$B885,$AG$4:$AG885,"="&amp;$AG885)))</f>
        <v>RECKONING|35</v>
      </c>
    </row>
    <row r="886" spans="1:35" hidden="1">
      <c r="A886" s="69" t="s">
        <v>109</v>
      </c>
      <c r="B886" s="69" t="s">
        <v>110</v>
      </c>
      <c r="C886" s="63" t="s">
        <v>2046</v>
      </c>
      <c r="D886" s="69"/>
      <c r="E886" s="68" t="s">
        <v>74</v>
      </c>
      <c r="F886" s="15" t="str">
        <f>IF($C886="","",IF($E886="","-",IFERROR(INDEX(SETUP!$B$55:$B$64,MATCH($E886,SETUP!$A$55:$A$64,0)),"Other")))</f>
        <v>Ranged DPS</v>
      </c>
      <c r="G886" s="70">
        <v>61806</v>
      </c>
      <c r="H886" s="15" t="str">
        <f>IF($C886="","",IF($G886="","-",INDEX(SETUP!$B$26:$B$32,MATCH($G886,SETUP!$A$26:$A$32,1))))</f>
        <v>61,000 - 61,999</v>
      </c>
      <c r="I886" s="70">
        <v>3758</v>
      </c>
      <c r="J886" s="15" t="str">
        <f>IF($C886="","",IF($I886="","-",INDEX(SETUP!$B$16:$B$22,MATCH($I886,SETUP!$A$16:$A$22,1))))</f>
        <v>DEVELOPING</v>
      </c>
      <c r="K886" s="15" t="str">
        <f>IF($C886="","",IF($I886="","-",TEXT(INT($I886/1000)*1000,"#,##0")&amp;" - "&amp;TEXT(INT($I886/1000)*1000+999,"#,##0")))</f>
        <v>3,000 - 3,999</v>
      </c>
      <c r="L886" s="71">
        <v>6.2</v>
      </c>
      <c r="M886" s="15" t="str">
        <f>IF($C886="","",IF($L886="","-",INDEX(SETUP!$B$36:$B$42,MATCH($L886,SETUP!$A$36:$A$42,1))))</f>
        <v>6k - 8k</v>
      </c>
      <c r="N886" s="17">
        <f>IF($C886="","",IF(OR($G886="",$I886=""),"",ROUND(100*(SETUP!$B$4*MIN(1,$I886/SETUP!$B$9)+SETUP!$B$5*MAX(0,MIN(1,($G886-SETUP!$B$10)/(SETUP!$B$11-SETUP!$B$10)))+SETUP!$B$6*MIN(1,IF($L886="",0,$L886)/SETUP!$B$12)),1)))</f>
        <v>44.6</v>
      </c>
      <c r="O886" s="15" t="str">
        <f>IF($C886="","",IF($N886="","-",INDEX(SETUP!$B$46:$B$51,MATCH($N886,SETUP!$A$46:$A$51,1))))</f>
        <v>B</v>
      </c>
      <c r="P886" s="15">
        <f>IF($C886="","",IF($I886="","",RANK($I886,$I$4:$I$1463)+COUNTIF($I$4:$I886,$I886)-1))</f>
        <v>664</v>
      </c>
      <c r="Q886" s="15">
        <f>IF($C886="","",COUNTIFS($B$4:$B$1463,$B886,$X$4:$X$1463,"&gt;"&amp;$X886)+COUNTIFS($B$4:$B886,$B886,$X$4:$X886,"="&amp;$X886))</f>
        <v>67</v>
      </c>
      <c r="R886" s="72">
        <f>IF($C886="","",IF($I886="","",ROUND(COUNTIF($I$4:$I$1463,"&lt;"&amp;$I886)/COUNT($I$4:$I$1463),3)))</f>
        <v>0.499</v>
      </c>
      <c r="S886" s="15" t="str">
        <f>IF($C886="","",IF($G886="","Name only",IF(OR($I886="",$L886=""),"Partial","Complete")))</f>
        <v>Complete</v>
      </c>
      <c r="T886" s="41" t="str">
        <f>IF($C886="","",TRIM(IF(COUNTIF($C$4:$C$1463,$C886)&gt;1,"Dup name; ","")&amp;IF(AND($G886&lt;&gt;"",$G886&lt;55000),"Low CR - verify; ","")&amp;IF(AND($L886&lt;&gt;"",$L886&gt;15),"Secondary - verify; ","")&amp;IF($E886="","No class; ","")))</f>
        <v/>
      </c>
      <c r="U886" s="68"/>
      <c r="V886" s="68"/>
      <c r="W886" s="68"/>
      <c r="X886" s="73">
        <f t="shared" si="67"/>
        <v>3758</v>
      </c>
      <c r="Y886" s="41" t="str">
        <f t="shared" si="68"/>
        <v>AZUKI|67</v>
      </c>
      <c r="Z886" s="15">
        <f>IF($C886="","",IF($G886="","",RANK($G886,$G$4:$G$1463)+COUNTIF($G$4:$G886,$G886)-1))</f>
        <v>910</v>
      </c>
      <c r="AA886" s="15">
        <f>IF($C886="","",IF($N886="","",RANK($N886,$N$4:$N$1463)+COUNTIF($N$4:$N886,$N886)-1))</f>
        <v>637</v>
      </c>
      <c r="AB886" s="41" t="str">
        <f>IF($C886="","",IF($E886="","",$E886&amp;"#"&amp;(COUNTIFS($E$4:$E$1463,$E886,$X$4:$X$1463,"&gt;"&amp;$X886)+COUNTIFS($E$4:$E886,$E886,$X$4:$X886,"="&amp;$X886))))</f>
        <v>DEMON HUNTER#108</v>
      </c>
      <c r="AC886" s="41" t="str">
        <f>IF($C886="","",$B886&amp;"@"&amp;(COUNTIFS($B$4:$B$1463,$B886,$C$4:$C$1463,"&lt;"&amp;$C886)+COUNTIFS($B$4:$B886,$B886,$C$4:$C886,$C886)))</f>
        <v>AZUKI@69</v>
      </c>
      <c r="AD886" s="41">
        <f t="shared" si="69"/>
        <v>883</v>
      </c>
      <c r="AE886" s="41" t="s">
        <v>2047</v>
      </c>
      <c r="AF886" s="73">
        <f t="shared" si="70"/>
        <v>61806</v>
      </c>
      <c r="AG886" s="74">
        <f t="shared" si="71"/>
        <v>6.2</v>
      </c>
      <c r="AH886" s="41" t="str">
        <f>IF($C886="","",$B886&amp;"|"&amp;(COUNTIFS($B$4:$B$1463,$B886,$AF$4:$AF$1463,"&gt;"&amp;$AF886)+COUNTIFS($B$4:$B886,$B886,$AF$4:$AF886,"="&amp;$AF886)))</f>
        <v>AZUKI|84</v>
      </c>
      <c r="AI886" s="41" t="str">
        <f>IF($C886="","",$B886&amp;"|"&amp;(COUNTIFS($B$4:$B$1463,$B886,$AG$4:$AG$1463,"&gt;"&amp;$AG886)+COUNTIFS($B$4:$B886,$B886,$AG$4:$AG886,"="&amp;$AG886)))</f>
        <v>AZUKI|40</v>
      </c>
    </row>
    <row r="887" spans="1:35" hidden="1">
      <c r="A887" s="69" t="s">
        <v>109</v>
      </c>
      <c r="B887" s="69" t="s">
        <v>112</v>
      </c>
      <c r="C887" s="63" t="s">
        <v>2048</v>
      </c>
      <c r="D887" s="69" t="s">
        <v>567</v>
      </c>
      <c r="E887" s="68" t="s">
        <v>72</v>
      </c>
      <c r="F887" s="19" t="str">
        <f>IF($C887="","",IF($E887="","-",IFERROR(INDEX(SETUP!$B$55:$B$64,MATCH($E887,SETUP!$A$55:$A$64,0)),"Other")))</f>
        <v>Frontline</v>
      </c>
      <c r="G887" s="70">
        <v>62134</v>
      </c>
      <c r="H887" s="19" t="str">
        <f>IF($C887="","",IF($G887="","-",INDEX(SETUP!$B$26:$B$32,MATCH($G887,SETUP!$A$26:$A$32,1))))</f>
        <v>62,000 - 62,999</v>
      </c>
      <c r="I887" s="70">
        <v>4023</v>
      </c>
      <c r="J887" s="19" t="str">
        <f>IF($C887="","",IF($I887="","-",INDEX(SETUP!$B$16:$B$22,MATCH($I887,SETUP!$A$16:$A$22,1))))</f>
        <v>CORE</v>
      </c>
      <c r="K887" s="19" t="str">
        <f>IF($C887="","",IF($I887="","-",TEXT(INT($I887/1000)*1000,"#,##0")&amp;" - "&amp;TEXT(INT($I887/1000)*1000+999,"#,##0")))</f>
        <v>4,000 - 4,999</v>
      </c>
      <c r="L887" s="71">
        <v>5.4</v>
      </c>
      <c r="M887" s="19" t="str">
        <f>IF($C887="","",IF($L887="","-",INDEX(SETUP!$B$36:$B$42,MATCH($L887,SETUP!$A$36:$A$42,1))))</f>
        <v>5k - 6k</v>
      </c>
      <c r="N887" s="21">
        <f>IF($C887="","",IF(OR($G887="",$I887=""),"",ROUND(100*(SETUP!$B$4*MIN(1,$I887/SETUP!$B$9)+SETUP!$B$5*MAX(0,MIN(1,($G887-SETUP!$B$10)/(SETUP!$B$11-SETUP!$B$10)))+SETUP!$B$6*MIN(1,IF($L887="",0,$L887)/SETUP!$B$12)),1)))</f>
        <v>45.3</v>
      </c>
      <c r="O887" s="19" t="str">
        <f>IF($C887="","",IF($N887="","-",INDEX(SETUP!$B$46:$B$51,MATCH($N887,SETUP!$A$46:$A$51,1))))</f>
        <v>B</v>
      </c>
      <c r="P887" s="19">
        <f>IF($C887="","",IF($I887="","",RANK($I887,$I$4:$I$1463)+COUNTIF($I$4:$I887,$I887)-1))</f>
        <v>598</v>
      </c>
      <c r="Q887" s="19">
        <f>IF($C887="","",COUNTIFS($B$4:$B$1463,$B887,$X$4:$X$1463,"&gt;"&amp;$X887)+COUNTIFS($B$4:$B887,$B887,$X$4:$X887,"="&amp;$X887))</f>
        <v>43</v>
      </c>
      <c r="R887" s="75">
        <f>IF($C887="","",IF($I887="","",ROUND(COUNTIF($I$4:$I$1463,"&lt;"&amp;$I887)/COUNT($I$4:$I$1463),3)))</f>
        <v>0.54900000000000004</v>
      </c>
      <c r="S887" s="19" t="str">
        <f>IF($C887="","",IF($G887="","Name only",IF(OR($I887="",$L887=""),"Partial","Complete")))</f>
        <v>Complete</v>
      </c>
      <c r="T887" s="1" t="str">
        <f>IF($C887="","",TRIM(IF(COUNTIF($C$4:$C$1463,$C887)&gt;1,"Dup name; ","")&amp;IF(AND($G887&lt;&gt;"",$G887&lt;55000),"Low CR - verify; ","")&amp;IF(AND($L887&lt;&gt;"",$L887&gt;15),"Secondary - verify; ","")&amp;IF($E887="","No class; ","")))</f>
        <v/>
      </c>
      <c r="U887" s="68"/>
      <c r="V887" s="68"/>
      <c r="W887" s="68"/>
      <c r="X887" s="76">
        <f t="shared" si="67"/>
        <v>4023</v>
      </c>
      <c r="Y887" s="1" t="str">
        <f t="shared" si="68"/>
        <v>ACHERON|43</v>
      </c>
      <c r="Z887" s="19">
        <f>IF($C887="","",IF($G887="","",RANK($G887,$G$4:$G$1463)+COUNTIF($G$4:$G887,$G887)-1))</f>
        <v>785</v>
      </c>
      <c r="AA887" s="19">
        <f>IF($C887="","",IF($N887="","",RANK($N887,$N$4:$N$1463)+COUNTIF($N$4:$N887,$N887)-1))</f>
        <v>612</v>
      </c>
      <c r="AB887" s="1" t="str">
        <f>IF($C887="","",IF($E887="","",$E887&amp;"#"&amp;(COUNTIFS($E$4:$E$1463,$E887,$X$4:$X$1463,"&gt;"&amp;$X887)+COUNTIFS($E$4:$E887,$E887,$X$4:$X887,"="&amp;$X887))))</f>
        <v>BLOOD KNIGHT#38</v>
      </c>
      <c r="AC887" s="1" t="str">
        <f>IF($C887="","",$B887&amp;"@"&amp;(COUNTIFS($B$4:$B$1463,$B887,$C$4:$C$1463,"&lt;"&amp;$C887)+COUNTIFS($B$4:$B887,$B887,$C$4:$C887,$C887)))</f>
        <v>ACHERON@56</v>
      </c>
      <c r="AD887" s="1">
        <f t="shared" si="69"/>
        <v>884</v>
      </c>
      <c r="AE887" s="1" t="s">
        <v>2049</v>
      </c>
      <c r="AF887" s="76">
        <f t="shared" si="70"/>
        <v>62134</v>
      </c>
      <c r="AG887" s="77">
        <f t="shared" si="71"/>
        <v>5.4</v>
      </c>
      <c r="AH887" s="1" t="str">
        <f>IF($C887="","",$B887&amp;"|"&amp;(COUNTIFS($B$4:$B$1463,$B887,$AF$4:$AF$1463,"&gt;"&amp;$AF887)+COUNTIFS($B$4:$B887,$B887,$AF$4:$AF887,"="&amp;$AF887)))</f>
        <v>ACHERON|65</v>
      </c>
      <c r="AI887" s="1" t="str">
        <f>IF($C887="","",$B887&amp;"|"&amp;(COUNTIFS($B$4:$B$1463,$B887,$AG$4:$AG$1463,"&gt;"&amp;$AG887)+COUNTIFS($B$4:$B887,$B887,$AG$4:$AG887,"="&amp;$AG887)))</f>
        <v>ACHERON|34</v>
      </c>
    </row>
    <row r="888" spans="1:35" hidden="1">
      <c r="A888" s="69" t="s">
        <v>109</v>
      </c>
      <c r="B888" s="69" t="s">
        <v>118</v>
      </c>
      <c r="C888" s="63" t="s">
        <v>2050</v>
      </c>
      <c r="D888" s="69"/>
      <c r="E888" s="68" t="s">
        <v>74</v>
      </c>
      <c r="F888" s="15" t="str">
        <f>IF($C888="","",IF($E888="","-",IFERROR(INDEX(SETUP!$B$55:$B$64,MATCH($E888,SETUP!$A$55:$A$64,0)),"Other")))</f>
        <v>Ranged DPS</v>
      </c>
      <c r="G888" s="70">
        <v>60914</v>
      </c>
      <c r="H888" s="15" t="str">
        <f>IF($C888="","",IF($G888="","-",INDEX(SETUP!$B$26:$B$32,MATCH($G888,SETUP!$A$26:$A$32,1))))</f>
        <v>60,000 - 60,999</v>
      </c>
      <c r="I888" s="70">
        <v>752</v>
      </c>
      <c r="J888" s="15" t="str">
        <f>IF($C888="","",IF($I888="","-",INDEX(SETUP!$B$16:$B$22,MATCH($I888,SETUP!$A$16:$A$22,1))))</f>
        <v>ROOKIE</v>
      </c>
      <c r="K888" s="15" t="str">
        <f>IF($C888="","",IF($I888="","-",TEXT(INT($I888/1000)*1000,"#,##0")&amp;" - "&amp;TEXT(INT($I888/1000)*1000+999,"#,##0")))</f>
        <v>0 - 999</v>
      </c>
      <c r="L888" s="71">
        <v>2.8</v>
      </c>
      <c r="M888" s="15" t="str">
        <f>IF($C888="","",IF($L888="","-",INDEX(SETUP!$B$36:$B$42,MATCH($L888,SETUP!$A$36:$A$42,1))))</f>
        <v>Under 3k</v>
      </c>
      <c r="N888" s="17">
        <f>IF($C888="","",IF(OR($G888="",$I888=""),"",ROUND(100*(SETUP!$B$4*MIN(1,$I888/SETUP!$B$9)+SETUP!$B$5*MAX(0,MIN(1,($G888-SETUP!$B$10)/(SETUP!$B$11-SETUP!$B$10)))+SETUP!$B$6*MIN(1,IF($L888="",0,$L888)/SETUP!$B$12)),1)))</f>
        <v>23.5</v>
      </c>
      <c r="O888" s="15" t="str">
        <f>IF($C888="","",IF($N888="","-",INDEX(SETUP!$B$46:$B$51,MATCH($N888,SETUP!$A$46:$A$51,1))))</f>
        <v>C</v>
      </c>
      <c r="P888" s="15">
        <f>IF($C888="","",IF($I888="","",RANK($I888,$I$4:$I$1463)+COUNTIF($I$4:$I888,$I888)-1))</f>
        <v>1300</v>
      </c>
      <c r="Q888" s="15">
        <f>IF($C888="","",COUNTIFS($B$4:$B$1463,$B888,$X$4:$X$1463,"&gt;"&amp;$X888)+COUNTIFS($B$4:$B888,$B888,$X$4:$X888,"="&amp;$X888))</f>
        <v>91</v>
      </c>
      <c r="R888" s="72">
        <f>IF($C888="","",IF($I888="","",ROUND(COUNTIF($I$4:$I$1463,"&lt;"&amp;$I888)/COUNT($I$4:$I$1463),3)))</f>
        <v>1.9E-2</v>
      </c>
      <c r="S888" s="15" t="str">
        <f>IF($C888="","",IF($G888="","Name only",IF(OR($I888="",$L888=""),"Partial","Complete")))</f>
        <v>Complete</v>
      </c>
      <c r="T888" s="41" t="str">
        <f>IF($C888="","",TRIM(IF(COUNTIF($C$4:$C$1463,$C888)&gt;1,"Dup name; ","")&amp;IF(AND($G888&lt;&gt;"",$G888&lt;55000),"Low CR - verify; ","")&amp;IF(AND($L888&lt;&gt;"",$L888&gt;15),"Secondary - verify; ","")&amp;IF($E888="","No class; ","")))</f>
        <v/>
      </c>
      <c r="U888" s="68"/>
      <c r="V888" s="68"/>
      <c r="W888" s="68"/>
      <c r="X888" s="73">
        <f t="shared" si="67"/>
        <v>752</v>
      </c>
      <c r="Y888" s="41" t="str">
        <f t="shared" si="68"/>
        <v>ZOMBIES|91</v>
      </c>
      <c r="Z888" s="15">
        <f>IF($C888="","",IF($G888="","",RANK($G888,$G$4:$G$1463)+COUNTIF($G$4:$G888,$G888)-1))</f>
        <v>1151</v>
      </c>
      <c r="AA888" s="15">
        <f>IF($C888="","",IF($N888="","",RANK($N888,$N$4:$N$1463)+COUNTIF($N$4:$N888,$N888)-1))</f>
        <v>1263</v>
      </c>
      <c r="AB888" s="41" t="str">
        <f>IF($C888="","",IF($E888="","",$E888&amp;"#"&amp;(COUNTIFS($E$4:$E$1463,$E888,$X$4:$X$1463,"&gt;"&amp;$X888)+COUNTIFS($E$4:$E888,$E888,$X$4:$X888,"="&amp;$X888))))</f>
        <v>DEMON HUNTER#188</v>
      </c>
      <c r="AC888" s="41" t="str">
        <f>IF($C888="","",$B888&amp;"@"&amp;(COUNTIFS($B$4:$B$1463,$B888,$C$4:$C$1463,"&lt;"&amp;$C888)+COUNTIFS($B$4:$B888,$B888,$C$4:$C888,$C888)))</f>
        <v>ZOMBIES@63</v>
      </c>
      <c r="AD888" s="41">
        <f t="shared" si="69"/>
        <v>885</v>
      </c>
      <c r="AE888" s="41" t="s">
        <v>1458</v>
      </c>
      <c r="AF888" s="73">
        <f t="shared" si="70"/>
        <v>60914</v>
      </c>
      <c r="AG888" s="74">
        <f t="shared" si="71"/>
        <v>2.8</v>
      </c>
      <c r="AH888" s="41" t="str">
        <f>IF($C888="","",$B888&amp;"|"&amp;(COUNTIFS($B$4:$B$1463,$B888,$AF$4:$AF$1463,"&gt;"&amp;$AF888)+COUNTIFS($B$4:$B888,$B888,$AF$4:$AF888,"="&amp;$AF888)))</f>
        <v>ZOMBIES|58</v>
      </c>
      <c r="AI888" s="41" t="str">
        <f>IF($C888="","",$B888&amp;"|"&amp;(COUNTIFS($B$4:$B$1463,$B888,$AG$4:$AG$1463,"&gt;"&amp;$AG888)+COUNTIFS($B$4:$B888,$B888,$AG$4:$AG888,"="&amp;$AG888)))</f>
        <v>ZOMBIES|79</v>
      </c>
    </row>
    <row r="889" spans="1:35" hidden="1">
      <c r="A889" s="69" t="s">
        <v>109</v>
      </c>
      <c r="B889" s="69" t="s">
        <v>115</v>
      </c>
      <c r="C889" s="63" t="s">
        <v>2051</v>
      </c>
      <c r="D889" s="69"/>
      <c r="E889" s="68" t="s">
        <v>71</v>
      </c>
      <c r="F889" s="19" t="str">
        <f>IF($C889="","",IF($E889="","-",IFERROR(INDEX(SETUP!$B$55:$B$64,MATCH($E889,SETUP!$A$55:$A$64,0)),"Other")))</f>
        <v>Frontline</v>
      </c>
      <c r="G889" s="70">
        <v>61921</v>
      </c>
      <c r="H889" s="19" t="str">
        <f>IF($C889="","",IF($G889="","-",INDEX(SETUP!$B$26:$B$32,MATCH($G889,SETUP!$A$26:$A$32,1))))</f>
        <v>61,000 - 61,999</v>
      </c>
      <c r="I889" s="70">
        <v>6165</v>
      </c>
      <c r="J889" s="19" t="str">
        <f>IF($C889="","",IF($I889="","-",INDEX(SETUP!$B$16:$B$22,MATCH($I889,SETUP!$A$16:$A$22,1))))</f>
        <v>VETERAN</v>
      </c>
      <c r="K889" s="19" t="str">
        <f>IF($C889="","",IF($I889="","-",TEXT(INT($I889/1000)*1000,"#,##0")&amp;" - "&amp;TEXT(INT($I889/1000)*1000+999,"#,##0")))</f>
        <v>6,000 - 6,999</v>
      </c>
      <c r="L889" s="71">
        <v>5</v>
      </c>
      <c r="M889" s="19" t="str">
        <f>IF($C889="","",IF($L889="","-",INDEX(SETUP!$B$36:$B$42,MATCH($L889,SETUP!$A$36:$A$42,1))))</f>
        <v>5k - 6k</v>
      </c>
      <c r="N889" s="21">
        <f>IF($C889="","",IF(OR($G889="",$I889=""),"",ROUND(100*(SETUP!$B$4*MIN(1,$I889/SETUP!$B$9)+SETUP!$B$5*MAX(0,MIN(1,($G889-SETUP!$B$10)/(SETUP!$B$11-SETUP!$B$10)))+SETUP!$B$6*MIN(1,IF($L889="",0,$L889)/SETUP!$B$12)),1)))</f>
        <v>53.5</v>
      </c>
      <c r="O889" s="19" t="str">
        <f>IF($C889="","",IF($N889="","-",INDEX(SETUP!$B$46:$B$51,MATCH($N889,SETUP!$A$46:$A$51,1))))</f>
        <v>A</v>
      </c>
      <c r="P889" s="19">
        <f>IF($C889="","",IF($I889="","",RANK($I889,$I$4:$I$1463)+COUNTIF($I$4:$I889,$I889)-1))</f>
        <v>271</v>
      </c>
      <c r="Q889" s="19">
        <f>IF($C889="","",COUNTIFS($B$4:$B$1463,$B889,$X$4:$X$1463,"&gt;"&amp;$X889)+COUNTIFS($B$4:$B889,$B889,$X$4:$X889,"="&amp;$X889))</f>
        <v>7</v>
      </c>
      <c r="R889" s="75">
        <f>IF($C889="","",IF($I889="","",ROUND(COUNTIF($I$4:$I$1463,"&lt;"&amp;$I889)/COUNT($I$4:$I$1463),3)))</f>
        <v>0.79500000000000004</v>
      </c>
      <c r="S889" s="19" t="str">
        <f>IF($C889="","",IF($G889="","Name only",IF(OR($I889="",$L889=""),"Partial","Complete")))</f>
        <v>Complete</v>
      </c>
      <c r="T889" s="1" t="str">
        <f>IF($C889="","",TRIM(IF(COUNTIF($C$4:$C$1463,$C889)&gt;1,"Dup name; ","")&amp;IF(AND($G889&lt;&gt;"",$G889&lt;55000),"Low CR - verify; ","")&amp;IF(AND($L889&lt;&gt;"",$L889&gt;15),"Secondary - verify; ","")&amp;IF($E889="","No class; ","")))</f>
        <v/>
      </c>
      <c r="U889" s="68"/>
      <c r="V889" s="68"/>
      <c r="W889" s="68"/>
      <c r="X889" s="76">
        <f t="shared" si="67"/>
        <v>6165</v>
      </c>
      <c r="Y889" s="1" t="str">
        <f t="shared" si="68"/>
        <v>SUB ROSA|7</v>
      </c>
      <c r="Z889" s="19">
        <f>IF($C889="","",IF($G889="","",RANK($G889,$G$4:$G$1463)+COUNTIF($G$4:$G889,$G889)-1))</f>
        <v>864</v>
      </c>
      <c r="AA889" s="19">
        <f>IF($C889="","",IF($N889="","",RANK($N889,$N$4:$N$1463)+COUNTIF($N$4:$N889,$N889)-1))</f>
        <v>352</v>
      </c>
      <c r="AB889" s="1" t="str">
        <f>IF($C889="","",IF($E889="","",$E889&amp;"#"&amp;(COUNTIFS($E$4:$E$1463,$E889,$X$4:$X$1463,"&gt;"&amp;$X889)+COUNTIFS($E$4:$E889,$E889,$X$4:$X889,"="&amp;$X889))))</f>
        <v>BARBARIAN#55</v>
      </c>
      <c r="AC889" s="1" t="str">
        <f>IF($C889="","",$B889&amp;"@"&amp;(COUNTIFS($B$4:$B$1463,$B889,$C$4:$C$1463,"&lt;"&amp;$C889)+COUNTIFS($B$4:$B889,$B889,$C$4:$C889,$C889)))</f>
        <v>SUB ROSA@56</v>
      </c>
      <c r="AD889" s="1">
        <f t="shared" si="69"/>
        <v>886</v>
      </c>
      <c r="AE889" s="1" t="s">
        <v>541</v>
      </c>
      <c r="AF889" s="76">
        <f t="shared" si="70"/>
        <v>61921</v>
      </c>
      <c r="AG889" s="77">
        <f t="shared" si="71"/>
        <v>5</v>
      </c>
      <c r="AH889" s="1" t="str">
        <f>IF($C889="","",$B889&amp;"|"&amp;(COUNTIFS($B$4:$B$1463,$B889,$AF$4:$AF$1463,"&gt;"&amp;$AF889)+COUNTIFS($B$4:$B889,$B889,$AF$4:$AF889,"="&amp;$AF889)))</f>
        <v>SUB ROSA|33</v>
      </c>
      <c r="AI889" s="1" t="str">
        <f>IF($C889="","",$B889&amp;"|"&amp;(COUNTIFS($B$4:$B$1463,$B889,$AG$4:$AG$1463,"&gt;"&amp;$AG889)+COUNTIFS($B$4:$B889,$B889,$AG$4:$AG889,"="&amp;$AG889)))</f>
        <v>SUB ROSA|12</v>
      </c>
    </row>
    <row r="890" spans="1:35" hidden="1">
      <c r="A890" s="69" t="s">
        <v>109</v>
      </c>
      <c r="B890" s="69" t="s">
        <v>118</v>
      </c>
      <c r="C890" s="63" t="s">
        <v>2052</v>
      </c>
      <c r="D890" s="69"/>
      <c r="E890" s="68" t="s">
        <v>79</v>
      </c>
      <c r="F890" s="15" t="str">
        <f>IF($C890="","",IF($E890="","-",IFERROR(INDEX(SETUP!$B$55:$B$64,MATCH($E890,SETUP!$A$55:$A$64,0)),"Other")))</f>
        <v>Control</v>
      </c>
      <c r="G890" s="70">
        <v>60254</v>
      </c>
      <c r="H890" s="15" t="str">
        <f>IF($C890="","",IF($G890="","-",INDEX(SETUP!$B$26:$B$32,MATCH($G890,SETUP!$A$26:$A$32,1))))</f>
        <v>60,000 - 60,999</v>
      </c>
      <c r="I890" s="70">
        <v>1028</v>
      </c>
      <c r="J890" s="15" t="str">
        <f>IF($C890="","",IF($I890="","-",INDEX(SETUP!$B$16:$B$22,MATCH($I890,SETUP!$A$16:$A$22,1))))</f>
        <v>ROOKIE</v>
      </c>
      <c r="K890" s="15" t="str">
        <f>IF($C890="","",IF($I890="","-",TEXT(INT($I890/1000)*1000,"#,##0")&amp;" - "&amp;TEXT(INT($I890/1000)*1000+999,"#,##0")))</f>
        <v>1,000 - 1,999</v>
      </c>
      <c r="L890" s="71">
        <v>2.8</v>
      </c>
      <c r="M890" s="15" t="str">
        <f>IF($C890="","",IF($L890="","-",INDEX(SETUP!$B$36:$B$42,MATCH($L890,SETUP!$A$36:$A$42,1))))</f>
        <v>Under 3k</v>
      </c>
      <c r="N890" s="17">
        <f>IF($C890="","",IF(OR($G890="",$I890=""),"",ROUND(100*(SETUP!$B$4*MIN(1,$I890/SETUP!$B$9)+SETUP!$B$5*MAX(0,MIN(1,($G890-SETUP!$B$10)/(SETUP!$B$11-SETUP!$B$10)))+SETUP!$B$6*MIN(1,IF($L890="",0,$L890)/SETUP!$B$12)),1)))</f>
        <v>23</v>
      </c>
      <c r="O890" s="15" t="str">
        <f>IF($C890="","",IF($N890="","-",INDEX(SETUP!$B$46:$B$51,MATCH($N890,SETUP!$A$46:$A$51,1))))</f>
        <v>C</v>
      </c>
      <c r="P890" s="15">
        <f>IF($C890="","",IF($I890="","",RANK($I890,$I$4:$I$1463)+COUNTIF($I$4:$I890,$I890)-1))</f>
        <v>1270</v>
      </c>
      <c r="Q890" s="15">
        <f>IF($C890="","",COUNTIFS($B$4:$B$1463,$B890,$X$4:$X$1463,"&gt;"&amp;$X890)+COUNTIFS($B$4:$B890,$B890,$X$4:$X890,"="&amp;$X890))</f>
        <v>84</v>
      </c>
      <c r="R890" s="72">
        <f>IF($C890="","",IF($I890="","",ROUND(COUNTIF($I$4:$I$1463,"&lt;"&amp;$I890)/COUNT($I$4:$I$1463),3)))</f>
        <v>4.2000000000000003E-2</v>
      </c>
      <c r="S890" s="15" t="str">
        <f>IF($C890="","",IF($G890="","Name only",IF(OR($I890="",$L890=""),"Partial","Complete")))</f>
        <v>Complete</v>
      </c>
      <c r="T890" s="41" t="str">
        <f>IF($C890="","",TRIM(IF(COUNTIF($C$4:$C$1463,$C890)&gt;1,"Dup name; ","")&amp;IF(AND($G890&lt;&gt;"",$G890&lt;55000),"Low CR - verify; ","")&amp;IF(AND($L890&lt;&gt;"",$L890&gt;15),"Secondary - verify; ","")&amp;IF($E890="","No class; ","")))</f>
        <v/>
      </c>
      <c r="U890" s="68"/>
      <c r="V890" s="68"/>
      <c r="W890" s="68"/>
      <c r="X890" s="73">
        <f t="shared" si="67"/>
        <v>1028</v>
      </c>
      <c r="Y890" s="41" t="str">
        <f t="shared" si="68"/>
        <v>ZOMBIES|84</v>
      </c>
      <c r="Z890" s="15">
        <f>IF($C890="","",IF($G890="","",RANK($G890,$G$4:$G$1463)+COUNTIF($G$4:$G890,$G890)-1))</f>
        <v>1223</v>
      </c>
      <c r="AA890" s="15">
        <f>IF($C890="","",IF($N890="","",RANK($N890,$N$4:$N$1463)+COUNTIF($N$4:$N890,$N890)-1))</f>
        <v>1269</v>
      </c>
      <c r="AB890" s="41" t="str">
        <f>IF($C890="","",IF($E890="","",$E890&amp;"#"&amp;(COUNTIFS($E$4:$E$1463,$E890,$X$4:$X$1463,"&gt;"&amp;$X890)+COUNTIFS($E$4:$E890,$E890,$X$4:$X890,"="&amp;$X890))))</f>
        <v>WARLOCK#314</v>
      </c>
      <c r="AC890" s="41" t="str">
        <f>IF($C890="","",$B890&amp;"@"&amp;(COUNTIFS($B$4:$B$1463,$B890,$C$4:$C$1463,"&lt;"&amp;$C890)+COUNTIFS($B$4:$B890,$B890,$C$4:$C890,$C890)))</f>
        <v>ZOMBIES@64</v>
      </c>
      <c r="AD890" s="41">
        <f t="shared" si="69"/>
        <v>887</v>
      </c>
      <c r="AE890" s="41" t="s">
        <v>1458</v>
      </c>
      <c r="AF890" s="73">
        <f t="shared" si="70"/>
        <v>60254</v>
      </c>
      <c r="AG890" s="74">
        <f t="shared" si="71"/>
        <v>2.8</v>
      </c>
      <c r="AH890" s="41" t="str">
        <f>IF($C890="","",$B890&amp;"|"&amp;(COUNTIFS($B$4:$B$1463,$B890,$AF$4:$AF$1463,"&gt;"&amp;$AF890)+COUNTIFS($B$4:$B890,$B890,$AF$4:$AF890,"="&amp;$AF890)))</f>
        <v>ZOMBIES|74</v>
      </c>
      <c r="AI890" s="41" t="str">
        <f>IF($C890="","",$B890&amp;"|"&amp;(COUNTIFS($B$4:$B$1463,$B890,$AG$4:$AG$1463,"&gt;"&amp;$AG890)+COUNTIFS($B$4:$B890,$B890,$AG$4:$AG890,"="&amp;$AG890)))</f>
        <v>ZOMBIES|80</v>
      </c>
    </row>
    <row r="891" spans="1:35" hidden="1">
      <c r="A891" s="69" t="s">
        <v>109</v>
      </c>
      <c r="B891" s="69" t="s">
        <v>115</v>
      </c>
      <c r="C891" s="63" t="s">
        <v>2053</v>
      </c>
      <c r="D891" s="69"/>
      <c r="E891" s="68"/>
      <c r="F891" s="19" t="str">
        <f>IF($C891="","",IF($E891="","-",IFERROR(INDEX(SETUP!$B$55:$B$64,MATCH($E891,SETUP!$A$55:$A$64,0)),"Other")))</f>
        <v>-</v>
      </c>
      <c r="G891" s="70"/>
      <c r="H891" s="19" t="str">
        <f>IF($C891="","",IF($G891="","-",INDEX(SETUP!$B$26:$B$32,MATCH($G891,SETUP!$A$26:$A$32,1))))</f>
        <v>-</v>
      </c>
      <c r="I891" s="70"/>
      <c r="J891" s="19" t="str">
        <f>IF($C891="","",IF($I891="","-",INDEX(SETUP!$B$16:$B$22,MATCH($I891,SETUP!$A$16:$A$22,1))))</f>
        <v>-</v>
      </c>
      <c r="K891" s="19" t="str">
        <f>IF($C891="","",IF($I891="","-",TEXT(INT($I891/1000)*1000,"#,##0")&amp;" - "&amp;TEXT(INT($I891/1000)*1000+999,"#,##0")))</f>
        <v>-</v>
      </c>
      <c r="L891" s="71"/>
      <c r="M891" s="19" t="str">
        <f>IF($C891="","",IF($L891="","-",INDEX(SETUP!$B$36:$B$42,MATCH($L891,SETUP!$A$36:$A$42,1))))</f>
        <v>-</v>
      </c>
      <c r="N891" s="21" t="str">
        <f>IF($C891="","",IF(OR($G891="",$I891=""),"",ROUND(100*(SETUP!$B$4*MIN(1,$I891/SETUP!$B$9)+SETUP!$B$5*MAX(0,MIN(1,($G891-SETUP!$B$10)/(SETUP!$B$11-SETUP!$B$10)))+SETUP!$B$6*MIN(1,IF($L891="",0,$L891)/SETUP!$B$12)),1)))</f>
        <v/>
      </c>
      <c r="O891" s="19" t="str">
        <f>IF($C891="","",IF($N891="","-",INDEX(SETUP!$B$46:$B$51,MATCH($N891,SETUP!$A$46:$A$51,1))))</f>
        <v>-</v>
      </c>
      <c r="P891" s="19" t="str">
        <f>IF($C891="","",IF($I891="","",RANK($I891,$I$4:$I$1463)+COUNTIF($I$4:$I891,$I891)-1))</f>
        <v/>
      </c>
      <c r="Q891" s="19">
        <f>IF($C891="","",COUNTIFS($B$4:$B$1463,$B891,$X$4:$X$1463,"&gt;"&amp;$X891)+COUNTIFS($B$4:$B891,$B891,$X$4:$X891,"="&amp;$X891))</f>
        <v>73</v>
      </c>
      <c r="R891" s="75" t="str">
        <f>IF($C891="","",IF($I891="","",ROUND(COUNTIF($I$4:$I$1463,"&lt;"&amp;$I891)/COUNT($I$4:$I$1463),3)))</f>
        <v/>
      </c>
      <c r="S891" s="19" t="str">
        <f>IF($C891="","",IF($G891="","Name only",IF(OR($I891="",$L891=""),"Partial","Complete")))</f>
        <v>Name only</v>
      </c>
      <c r="T891" s="1" t="str">
        <f>IF($C891="","",TRIM(IF(COUNTIF($C$4:$C$1463,$C891)&gt;1,"Dup name; ","")&amp;IF(AND($G891&lt;&gt;"",$G891&lt;55000),"Low CR - verify; ","")&amp;IF(AND($L891&lt;&gt;"",$L891&gt;15),"Secondary - verify; ","")&amp;IF($E891="","No class; ","")))</f>
        <v>No class;</v>
      </c>
      <c r="U891" s="68"/>
      <c r="V891" s="68"/>
      <c r="W891" s="68"/>
      <c r="X891" s="1">
        <f t="shared" si="67"/>
        <v>-1</v>
      </c>
      <c r="Y891" s="1" t="str">
        <f t="shared" si="68"/>
        <v>SUB ROSA|73</v>
      </c>
      <c r="Z891" s="19" t="str">
        <f>IF($C891="","",IF($G891="","",RANK($G891,$G$4:$G$1463)+COUNTIF($G$4:$G891,$G891)-1))</f>
        <v/>
      </c>
      <c r="AA891" s="19" t="str">
        <f>IF($C891="","",IF($N891="","",RANK($N891,$N$4:$N$1463)+COUNTIF($N$4:$N891,$N891)-1))</f>
        <v/>
      </c>
      <c r="AB891" s="1" t="str">
        <f>IF($C891="","",IF($E891="","",$E891&amp;"#"&amp;(COUNTIFS($E$4:$E$1463,$E891,$X$4:$X$1463,"&gt;"&amp;$X891)+COUNTIFS($E$4:$E891,$E891,$X$4:$X891,"="&amp;$X891))))</f>
        <v/>
      </c>
      <c r="AC891" s="1" t="str">
        <f>IF($C891="","",$B891&amp;"@"&amp;(COUNTIFS($B$4:$B$1463,$B891,$C$4:$C$1463,"&lt;"&amp;$C891)+COUNTIFS($B$4:$B891,$B891,$C$4:$C891,$C891)))</f>
        <v>SUB ROSA@57</v>
      </c>
      <c r="AD891" s="1">
        <f t="shared" si="69"/>
        <v>888</v>
      </c>
      <c r="AE891" s="1"/>
      <c r="AF891" s="1">
        <f t="shared" si="70"/>
        <v>-1</v>
      </c>
      <c r="AG891" s="1">
        <f t="shared" si="71"/>
        <v>-1</v>
      </c>
      <c r="AH891" s="1" t="str">
        <f>IF($C891="","",$B891&amp;"|"&amp;(COUNTIFS($B$4:$B$1463,$B891,$AF$4:$AF$1463,"&gt;"&amp;$AF891)+COUNTIFS($B$4:$B891,$B891,$AF$4:$AF891,"="&amp;$AF891)))</f>
        <v>SUB ROSA|73</v>
      </c>
      <c r="AI891" s="1" t="str">
        <f>IF($C891="","",$B891&amp;"|"&amp;(COUNTIFS($B$4:$B$1463,$B891,$AG$4:$AG$1463,"&gt;"&amp;$AG891)+COUNTIFS($B$4:$B891,$B891,$AG$4:$AG891,"="&amp;$AG891)))</f>
        <v>SUB ROSA|73</v>
      </c>
    </row>
    <row r="892" spans="1:35" hidden="1">
      <c r="A892" s="69" t="s">
        <v>109</v>
      </c>
      <c r="B892" s="69" t="s">
        <v>112</v>
      </c>
      <c r="C892" s="63" t="s">
        <v>2054</v>
      </c>
      <c r="D892" s="69" t="s">
        <v>567</v>
      </c>
      <c r="E892" s="68" t="s">
        <v>80</v>
      </c>
      <c r="F892" s="15" t="str">
        <f>IF($C892="","",IF($E892="","-",IFERROR(INDEX(SETUP!$B$55:$B$64,MATCH($E892,SETUP!$A$55:$A$64,0)),"Other")))</f>
        <v>Ranged DPS</v>
      </c>
      <c r="G892" s="70">
        <v>62974</v>
      </c>
      <c r="H892" s="15" t="str">
        <f>IF($C892="","",IF($G892="","-",INDEX(SETUP!$B$26:$B$32,MATCH($G892,SETUP!$A$26:$A$32,1))))</f>
        <v>62,000 - 62,999</v>
      </c>
      <c r="I892" s="70">
        <v>3172</v>
      </c>
      <c r="J892" s="15" t="str">
        <f>IF($C892="","",IF($I892="","-",INDEX(SETUP!$B$16:$B$22,MATCH($I892,SETUP!$A$16:$A$22,1))))</f>
        <v>DEVELOPING</v>
      </c>
      <c r="K892" s="15" t="str">
        <f>IF($C892="","",IF($I892="","-",TEXT(INT($I892/1000)*1000,"#,##0")&amp;" - "&amp;TEXT(INT($I892/1000)*1000+999,"#,##0")))</f>
        <v>3,000 - 3,999</v>
      </c>
      <c r="L892" s="71">
        <v>4.5999999999999996</v>
      </c>
      <c r="M892" s="15" t="str">
        <f>IF($C892="","",IF($L892="","-",INDEX(SETUP!$B$36:$B$42,MATCH($L892,SETUP!$A$36:$A$42,1))))</f>
        <v>4k - 5k</v>
      </c>
      <c r="N892" s="17">
        <f>IF($C892="","",IF(OR($G892="",$I892=""),"",ROUND(100*(SETUP!$B$4*MIN(1,$I892/SETUP!$B$9)+SETUP!$B$5*MAX(0,MIN(1,($G892-SETUP!$B$10)/(SETUP!$B$11-SETUP!$B$10)))+SETUP!$B$6*MIN(1,IF($L892="",0,$L892)/SETUP!$B$12)),1)))</f>
        <v>42.5</v>
      </c>
      <c r="O892" s="15" t="str">
        <f>IF($C892="","",IF($N892="","-",INDEX(SETUP!$B$46:$B$51,MATCH($N892,SETUP!$A$46:$A$51,1))))</f>
        <v>B</v>
      </c>
      <c r="P892" s="15">
        <f>IF($C892="","",IF($I892="","",RANK($I892,$I$4:$I$1463)+COUNTIF($I$4:$I892,$I892)-1))</f>
        <v>830</v>
      </c>
      <c r="Q892" s="15">
        <f>IF($C892="","",COUNTIFS($B$4:$B$1463,$B892,$X$4:$X$1463,"&gt;"&amp;$X892)+COUNTIFS($B$4:$B892,$B892,$X$4:$X892,"="&amp;$X892))</f>
        <v>62</v>
      </c>
      <c r="R892" s="72">
        <f>IF($C892="","",IF($I892="","",ROUND(COUNTIF($I$4:$I$1463,"&lt;"&amp;$I892)/COUNT($I$4:$I$1463),3)))</f>
        <v>0.373</v>
      </c>
      <c r="S892" s="15" t="str">
        <f>IF($C892="","",IF($G892="","Name only",IF(OR($I892="",$L892=""),"Partial","Complete")))</f>
        <v>Complete</v>
      </c>
      <c r="T892" s="41" t="str">
        <f>IF($C892="","",TRIM(IF(COUNTIF($C$4:$C$1463,$C892)&gt;1,"Dup name; ","")&amp;IF(AND($G892&lt;&gt;"",$G892&lt;55000),"Low CR - verify; ","")&amp;IF(AND($L892&lt;&gt;"",$L892&gt;15),"Secondary - verify; ","")&amp;IF($E892="","No class; ","")))</f>
        <v/>
      </c>
      <c r="U892" s="68"/>
      <c r="V892" s="68"/>
      <c r="W892" s="68"/>
      <c r="X892" s="73">
        <f t="shared" si="67"/>
        <v>3172</v>
      </c>
      <c r="Y892" s="41" t="str">
        <f t="shared" si="68"/>
        <v>ACHERON|62</v>
      </c>
      <c r="Z892" s="15">
        <f>IF($C892="","",IF($G892="","",RANK($G892,$G$4:$G$1463)+COUNTIF($G$4:$G892,$G892)-1))</f>
        <v>437</v>
      </c>
      <c r="AA892" s="15">
        <f>IF($C892="","",IF($N892="","",RANK($N892,$N$4:$N$1463)+COUNTIF($N$4:$N892,$N892)-1))</f>
        <v>729</v>
      </c>
      <c r="AB892" s="41" t="str">
        <f>IF($C892="","",IF($E892="","",$E892&amp;"#"&amp;(COUNTIFS($E$4:$E$1463,$E892,$X$4:$X$1463,"&gt;"&amp;$X892)+COUNTIFS($E$4:$E892,$E892,$X$4:$X892,"="&amp;$X892))))</f>
        <v>WIZARD#62</v>
      </c>
      <c r="AC892" s="41" t="str">
        <f>IF($C892="","",$B892&amp;"@"&amp;(COUNTIFS($B$4:$B$1463,$B892,$C$4:$C$1463,"&lt;"&amp;$C892)+COUNTIFS($B$4:$B892,$B892,$C$4:$C892,$C892)))</f>
        <v>ACHERON@57</v>
      </c>
      <c r="AD892" s="41">
        <f t="shared" si="69"/>
        <v>889</v>
      </c>
      <c r="AE892" s="41" t="s">
        <v>2055</v>
      </c>
      <c r="AF892" s="73">
        <f t="shared" si="70"/>
        <v>62974</v>
      </c>
      <c r="AG892" s="74">
        <f t="shared" si="71"/>
        <v>4.5999999999999996</v>
      </c>
      <c r="AH892" s="41" t="str">
        <f>IF($C892="","",$B892&amp;"|"&amp;(COUNTIFS($B$4:$B$1463,$B892,$AF$4:$AF$1463,"&gt;"&amp;$AF892)+COUNTIFS($B$4:$B892,$B892,$AF$4:$AF892,"="&amp;$AF892)))</f>
        <v>ACHERON|34</v>
      </c>
      <c r="AI892" s="41" t="str">
        <f>IF($C892="","",$B892&amp;"|"&amp;(COUNTIFS($B$4:$B$1463,$B892,$AG$4:$AG$1463,"&gt;"&amp;$AG892)+COUNTIFS($B$4:$B892,$B892,$AG$4:$AG892,"="&amp;$AG892)))</f>
        <v>ACHERON|59</v>
      </c>
    </row>
    <row r="893" spans="1:35" hidden="1">
      <c r="A893" s="69" t="s">
        <v>109</v>
      </c>
      <c r="B893" s="69" t="s">
        <v>115</v>
      </c>
      <c r="C893" s="63" t="s">
        <v>2056</v>
      </c>
      <c r="D893" s="69"/>
      <c r="E893" s="68" t="s">
        <v>79</v>
      </c>
      <c r="F893" s="19" t="str">
        <f>IF($C893="","",IF($E893="","-",IFERROR(INDEX(SETUP!$B$55:$B$64,MATCH($E893,SETUP!$A$55:$A$64,0)),"Other")))</f>
        <v>Control</v>
      </c>
      <c r="G893" s="70">
        <v>63032</v>
      </c>
      <c r="H893" s="19" t="str">
        <f>IF($C893="","",IF($G893="","-",INDEX(SETUP!$B$26:$B$32,MATCH($G893,SETUP!$A$26:$A$32,1))))</f>
        <v>63,000 - 63,999</v>
      </c>
      <c r="I893" s="70">
        <v>3924</v>
      </c>
      <c r="J893" s="19" t="str">
        <f>IF($C893="","",IF($I893="","-",INDEX(SETUP!$B$16:$B$22,MATCH($I893,SETUP!$A$16:$A$22,1))))</f>
        <v>DEVELOPING</v>
      </c>
      <c r="K893" s="19" t="str">
        <f>IF($C893="","",IF($I893="","-",TEXT(INT($I893/1000)*1000,"#,##0")&amp;" - "&amp;TEXT(INT($I893/1000)*1000+999,"#,##0")))</f>
        <v>3,000 - 3,999</v>
      </c>
      <c r="L893" s="71">
        <v>4.2</v>
      </c>
      <c r="M893" s="19" t="str">
        <f>IF($C893="","",IF($L893="","-",INDEX(SETUP!$B$36:$B$42,MATCH($L893,SETUP!$A$36:$A$42,1))))</f>
        <v>4k - 5k</v>
      </c>
      <c r="N893" s="21">
        <f>IF($C893="","",IF(OR($G893="",$I893=""),"",ROUND(100*(SETUP!$B$4*MIN(1,$I893/SETUP!$B$9)+SETUP!$B$5*MAX(0,MIN(1,($G893-SETUP!$B$10)/(SETUP!$B$11-SETUP!$B$10)))+SETUP!$B$6*MIN(1,IF($L893="",0,$L893)/SETUP!$B$12)),1)))</f>
        <v>45.3</v>
      </c>
      <c r="O893" s="19" t="str">
        <f>IF($C893="","",IF($N893="","-",INDEX(SETUP!$B$46:$B$51,MATCH($N893,SETUP!$A$46:$A$51,1))))</f>
        <v>B</v>
      </c>
      <c r="P893" s="19">
        <f>IF($C893="","",IF($I893="","",RANK($I893,$I$4:$I$1463)+COUNTIF($I$4:$I893,$I893)-1))</f>
        <v>618</v>
      </c>
      <c r="Q893" s="19">
        <f>IF($C893="","",COUNTIFS($B$4:$B$1463,$B893,$X$4:$X$1463,"&gt;"&amp;$X893)+COUNTIFS($B$4:$B893,$B893,$X$4:$X893,"="&amp;$X893))</f>
        <v>17</v>
      </c>
      <c r="R893" s="75">
        <f>IF($C893="","",IF($I893="","",ROUND(COUNTIF($I$4:$I$1463,"&lt;"&amp;$I893)/COUNT($I$4:$I$1463),3)))</f>
        <v>0.53400000000000003</v>
      </c>
      <c r="S893" s="19" t="str">
        <f>IF($C893="","",IF($G893="","Name only",IF(OR($I893="",$L893=""),"Partial","Complete")))</f>
        <v>Complete</v>
      </c>
      <c r="T893" s="1" t="str">
        <f>IF($C893="","",TRIM(IF(COUNTIF($C$4:$C$1463,$C893)&gt;1,"Dup name; ","")&amp;IF(AND($G893&lt;&gt;"",$G893&lt;55000),"Low CR - verify; ","")&amp;IF(AND($L893&lt;&gt;"",$L893&gt;15),"Secondary - verify; ","")&amp;IF($E893="","No class; ","")))</f>
        <v/>
      </c>
      <c r="U893" s="68"/>
      <c r="V893" s="68"/>
      <c r="W893" s="68"/>
      <c r="X893" s="76">
        <f t="shared" si="67"/>
        <v>3924</v>
      </c>
      <c r="Y893" s="1" t="str">
        <f t="shared" si="68"/>
        <v>SUB ROSA|17</v>
      </c>
      <c r="Z893" s="19">
        <f>IF($C893="","",IF($G893="","",RANK($G893,$G$4:$G$1463)+COUNTIF($G$4:$G893,$G893)-1))</f>
        <v>413</v>
      </c>
      <c r="AA893" s="19">
        <f>IF($C893="","",IF($N893="","",RANK($N893,$N$4:$N$1463)+COUNTIF($N$4:$N893,$N893)-1))</f>
        <v>613</v>
      </c>
      <c r="AB893" s="1" t="str">
        <f>IF($C893="","",IF($E893="","",$E893&amp;"#"&amp;(COUNTIFS($E$4:$E$1463,$E893,$X$4:$X$1463,"&gt;"&amp;$X893)+COUNTIFS($E$4:$E893,$E893,$X$4:$X893,"="&amp;$X893))))</f>
        <v>WARLOCK#145</v>
      </c>
      <c r="AC893" s="1" t="str">
        <f>IF($C893="","",$B893&amp;"@"&amp;(COUNTIFS($B$4:$B$1463,$B893,$C$4:$C$1463,"&lt;"&amp;$C893)+COUNTIFS($B$4:$B893,$B893,$C$4:$C893,$C893)))</f>
        <v>SUB ROSA@58</v>
      </c>
      <c r="AD893" s="1">
        <f t="shared" si="69"/>
        <v>890</v>
      </c>
      <c r="AE893" s="1" t="s">
        <v>646</v>
      </c>
      <c r="AF893" s="76">
        <f t="shared" si="70"/>
        <v>63032</v>
      </c>
      <c r="AG893" s="77">
        <f t="shared" si="71"/>
        <v>4.2</v>
      </c>
      <c r="AH893" s="1" t="str">
        <f>IF($C893="","",$B893&amp;"|"&amp;(COUNTIFS($B$4:$B$1463,$B893,$AF$4:$AF$1463,"&gt;"&amp;$AF893)+COUNTIFS($B$4:$B893,$B893,$AF$4:$AF893,"="&amp;$AF893)))</f>
        <v>SUB ROSA|10</v>
      </c>
      <c r="AI893" s="1" t="str">
        <f>IF($C893="","",$B893&amp;"|"&amp;(COUNTIFS($B$4:$B$1463,$B893,$AG$4:$AG$1463,"&gt;"&amp;$AG893)+COUNTIFS($B$4:$B893,$B893,$AG$4:$AG893,"="&amp;$AG893)))</f>
        <v>SUB ROSA|26</v>
      </c>
    </row>
    <row r="894" spans="1:35" hidden="1">
      <c r="A894" s="69" t="s">
        <v>109</v>
      </c>
      <c r="B894" s="69" t="s">
        <v>113</v>
      </c>
      <c r="C894" s="63" t="s">
        <v>2057</v>
      </c>
      <c r="D894" s="69" t="s">
        <v>548</v>
      </c>
      <c r="E894" s="68" t="s">
        <v>79</v>
      </c>
      <c r="F894" s="15" t="str">
        <f>IF($C894="","",IF($E894="","-",IFERROR(INDEX(SETUP!$B$55:$B$64,MATCH($E894,SETUP!$A$55:$A$64,0)),"Other")))</f>
        <v>Control</v>
      </c>
      <c r="G894" s="70">
        <v>62362</v>
      </c>
      <c r="H894" s="15" t="str">
        <f>IF($C894="","",IF($G894="","-",INDEX(SETUP!$B$26:$B$32,MATCH($G894,SETUP!$A$26:$A$32,1))))</f>
        <v>62,000 - 62,999</v>
      </c>
      <c r="I894" s="70">
        <v>2132</v>
      </c>
      <c r="J894" s="15" t="str">
        <f>IF($C894="","",IF($I894="","-",INDEX(SETUP!$B$16:$B$22,MATCH($I894,SETUP!$A$16:$A$22,1))))</f>
        <v>DEVELOPING</v>
      </c>
      <c r="K894" s="15" t="str">
        <f>IF($C894="","",IF($I894="","-",TEXT(INT($I894/1000)*1000,"#,##0")&amp;" - "&amp;TEXT(INT($I894/1000)*1000+999,"#,##0")))</f>
        <v>2,000 - 2,999</v>
      </c>
      <c r="L894" s="71">
        <v>3.4</v>
      </c>
      <c r="M894" s="15" t="str">
        <f>IF($C894="","",IF($L894="","-",INDEX(SETUP!$B$36:$B$42,MATCH($L894,SETUP!$A$36:$A$42,1))))</f>
        <v>3k - 4k</v>
      </c>
      <c r="N894" s="17">
        <f>IF($C894="","",IF(OR($G894="",$I894=""),"",ROUND(100*(SETUP!$B$4*MIN(1,$I894/SETUP!$B$9)+SETUP!$B$5*MAX(0,MIN(1,($G894-SETUP!$B$10)/(SETUP!$B$11-SETUP!$B$10)))+SETUP!$B$6*MIN(1,IF($L894="",0,$L894)/SETUP!$B$12)),1)))</f>
        <v>34.299999999999997</v>
      </c>
      <c r="O894" s="15" t="str">
        <f>IF($C894="","",IF($N894="","-",INDEX(SETUP!$B$46:$B$51,MATCH($N894,SETUP!$A$46:$A$51,1))))</f>
        <v>C</v>
      </c>
      <c r="P894" s="15">
        <f>IF($C894="","",IF($I894="","",RANK($I894,$I$4:$I$1463)+COUNTIF($I$4:$I894,$I894)-1))</f>
        <v>1080</v>
      </c>
      <c r="Q894" s="15">
        <f>IF($C894="","",COUNTIFS($B$4:$B$1463,$B894,$X$4:$X$1463,"&gt;"&amp;$X894)+COUNTIFS($B$4:$B894,$B894,$X$4:$X894,"="&amp;$X894))</f>
        <v>76</v>
      </c>
      <c r="R894" s="72">
        <f>IF($C894="","",IF($I894="","",ROUND(COUNTIF($I$4:$I$1463,"&lt;"&amp;$I894)/COUNT($I$4:$I$1463),3)))</f>
        <v>0.185</v>
      </c>
      <c r="S894" s="15" t="str">
        <f>IF($C894="","",IF($G894="","Name only",IF(OR($I894="",$L894=""),"Partial","Complete")))</f>
        <v>Complete</v>
      </c>
      <c r="T894" s="41" t="str">
        <f>IF($C894="","",TRIM(IF(COUNTIF($C$4:$C$1463,$C894)&gt;1,"Dup name; ","")&amp;IF(AND($G894&lt;&gt;"",$G894&lt;55000),"Low CR - verify; ","")&amp;IF(AND($L894&lt;&gt;"",$L894&gt;15),"Secondary - verify; ","")&amp;IF($E894="","No class; ","")))</f>
        <v/>
      </c>
      <c r="U894" s="68"/>
      <c r="V894" s="68"/>
      <c r="W894" s="68"/>
      <c r="X894" s="73">
        <f t="shared" si="67"/>
        <v>2132</v>
      </c>
      <c r="Y894" s="41" t="str">
        <f t="shared" si="68"/>
        <v>INVICTUS|76</v>
      </c>
      <c r="Z894" s="15">
        <f>IF($C894="","",IF($G894="","",RANK($G894,$G$4:$G$1463)+COUNTIF($G$4:$G894,$G894)-1))</f>
        <v>707</v>
      </c>
      <c r="AA894" s="15">
        <f>IF($C894="","",IF($N894="","",RANK($N894,$N$4:$N$1463)+COUNTIF($N$4:$N894,$N894)-1))</f>
        <v>1036</v>
      </c>
      <c r="AB894" s="41" t="str">
        <f>IF($C894="","",IF($E894="","",$E894&amp;"#"&amp;(COUNTIFS($E$4:$E$1463,$E894,$X$4:$X$1463,"&gt;"&amp;$X894)+COUNTIFS($E$4:$E894,$E894,$X$4:$X894,"="&amp;$X894))))</f>
        <v>WARLOCK#269</v>
      </c>
      <c r="AC894" s="41" t="str">
        <f>IF($C894="","",$B894&amp;"@"&amp;(COUNTIFS($B$4:$B$1463,$B894,$C$4:$C$1463,"&lt;"&amp;$C894)+COUNTIFS($B$4:$B894,$B894,$C$4:$C894,$C894)))</f>
        <v>INVICTUS@67</v>
      </c>
      <c r="AD894" s="41">
        <f t="shared" si="69"/>
        <v>891</v>
      </c>
      <c r="AE894" s="41" t="s">
        <v>2058</v>
      </c>
      <c r="AF894" s="73">
        <f t="shared" si="70"/>
        <v>62362</v>
      </c>
      <c r="AG894" s="74">
        <f t="shared" si="71"/>
        <v>3.4</v>
      </c>
      <c r="AH894" s="41" t="str">
        <f>IF($C894="","",$B894&amp;"|"&amp;(COUNTIFS($B$4:$B$1463,$B894,$AF$4:$AF$1463,"&gt;"&amp;$AF894)+COUNTIFS($B$4:$B894,$B894,$AF$4:$AF894,"="&amp;$AF894)))</f>
        <v>INVICTUS|44</v>
      </c>
      <c r="AI894" s="41" t="str">
        <f>IF($C894="","",$B894&amp;"|"&amp;(COUNTIFS($B$4:$B$1463,$B894,$AG$4:$AG$1463,"&gt;"&amp;$AG894)+COUNTIFS($B$4:$B894,$B894,$AG$4:$AG894,"="&amp;$AG894)))</f>
        <v>INVICTUS|82</v>
      </c>
    </row>
    <row r="895" spans="1:35" hidden="1">
      <c r="A895" s="69" t="s">
        <v>109</v>
      </c>
      <c r="B895" s="69" t="s">
        <v>112</v>
      </c>
      <c r="C895" s="63" t="s">
        <v>2059</v>
      </c>
      <c r="D895" s="69" t="s">
        <v>567</v>
      </c>
      <c r="E895" s="68" t="s">
        <v>79</v>
      </c>
      <c r="F895" s="19" t="str">
        <f>IF($C895="","",IF($E895="","-",IFERROR(INDEX(SETUP!$B$55:$B$64,MATCH($E895,SETUP!$A$55:$A$64,0)),"Other")))</f>
        <v>Control</v>
      </c>
      <c r="G895" s="70">
        <v>63292</v>
      </c>
      <c r="H895" s="19" t="str">
        <f>IF($C895="","",IF($G895="","-",INDEX(SETUP!$B$26:$B$32,MATCH($G895,SETUP!$A$26:$A$32,1))))</f>
        <v>63,000 - 63,999</v>
      </c>
      <c r="I895" s="70">
        <v>4883</v>
      </c>
      <c r="J895" s="19" t="str">
        <f>IF($C895="","",IF($I895="","-",INDEX(SETUP!$B$16:$B$22,MATCH($I895,SETUP!$A$16:$A$22,1))))</f>
        <v>CORE</v>
      </c>
      <c r="K895" s="19" t="str">
        <f>IF($C895="","",IF($I895="","-",TEXT(INT($I895/1000)*1000,"#,##0")&amp;" - "&amp;TEXT(INT($I895/1000)*1000+999,"#,##0")))</f>
        <v>4,000 - 4,999</v>
      </c>
      <c r="L895" s="71">
        <v>5.5</v>
      </c>
      <c r="M895" s="19" t="str">
        <f>IF($C895="","",IF($L895="","-",INDEX(SETUP!$B$36:$B$42,MATCH($L895,SETUP!$A$36:$A$42,1))))</f>
        <v>5k - 6k</v>
      </c>
      <c r="N895" s="21">
        <f>IF($C895="","",IF(OR($G895="",$I895=""),"",ROUND(100*(SETUP!$B$4*MIN(1,$I895/SETUP!$B$9)+SETUP!$B$5*MAX(0,MIN(1,($G895-SETUP!$B$10)/(SETUP!$B$11-SETUP!$B$10)))+SETUP!$B$6*MIN(1,IF($L895="",0,$L895)/SETUP!$B$12)),1)))</f>
        <v>52.3</v>
      </c>
      <c r="O895" s="19" t="str">
        <f>IF($C895="","",IF($N895="","-",INDEX(SETUP!$B$46:$B$51,MATCH($N895,SETUP!$A$46:$A$51,1))))</f>
        <v>A</v>
      </c>
      <c r="P895" s="19">
        <f>IF($C895="","",IF($I895="","",RANK($I895,$I$4:$I$1463)+COUNTIF($I$4:$I895,$I895)-1))</f>
        <v>431</v>
      </c>
      <c r="Q895" s="19">
        <f>IF($C895="","",COUNTIFS($B$4:$B$1463,$B895,$X$4:$X$1463,"&gt;"&amp;$X895)+COUNTIFS($B$4:$B895,$B895,$X$4:$X895,"="&amp;$X895))</f>
        <v>29</v>
      </c>
      <c r="R895" s="75">
        <f>IF($C895="","",IF($I895="","",ROUND(COUNTIF($I$4:$I$1463,"&lt;"&amp;$I895)/COUNT($I$4:$I$1463),3)))</f>
        <v>0.67500000000000004</v>
      </c>
      <c r="S895" s="19" t="str">
        <f>IF($C895="","",IF($G895="","Name only",IF(OR($I895="",$L895=""),"Partial","Complete")))</f>
        <v>Complete</v>
      </c>
      <c r="T895" s="1" t="str">
        <f>IF($C895="","",TRIM(IF(COUNTIF($C$4:$C$1463,$C895)&gt;1,"Dup name; ","")&amp;IF(AND($G895&lt;&gt;"",$G895&lt;55000),"Low CR - verify; ","")&amp;IF(AND($L895&lt;&gt;"",$L895&gt;15),"Secondary - verify; ","")&amp;IF($E895="","No class; ","")))</f>
        <v/>
      </c>
      <c r="U895" s="68"/>
      <c r="V895" s="68"/>
      <c r="W895" s="68"/>
      <c r="X895" s="76">
        <f t="shared" si="67"/>
        <v>4883</v>
      </c>
      <c r="Y895" s="1" t="str">
        <f t="shared" si="68"/>
        <v>ACHERON|29</v>
      </c>
      <c r="Z895" s="19">
        <f>IF($C895="","",IF($G895="","",RANK($G895,$G$4:$G$1463)+COUNTIF($G$4:$G895,$G895)-1))</f>
        <v>264</v>
      </c>
      <c r="AA895" s="19">
        <f>IF($C895="","",IF($N895="","",RANK($N895,$N$4:$N$1463)+COUNTIF($N$4:$N895,$N895)-1))</f>
        <v>379</v>
      </c>
      <c r="AB895" s="1" t="str">
        <f>IF($C895="","",IF($E895="","",$E895&amp;"#"&amp;(COUNTIFS($E$4:$E$1463,$E895,$X$4:$X$1463,"&gt;"&amp;$X895)+COUNTIFS($E$4:$E895,$E895,$X$4:$X895,"="&amp;$X895))))</f>
        <v>WARLOCK#98</v>
      </c>
      <c r="AC895" s="1" t="str">
        <f>IF($C895="","",$B895&amp;"@"&amp;(COUNTIFS($B$4:$B$1463,$B895,$C$4:$C$1463,"&lt;"&amp;$C895)+COUNTIFS($B$4:$B895,$B895,$C$4:$C895,$C895)))</f>
        <v>ACHERON@58</v>
      </c>
      <c r="AD895" s="1">
        <f t="shared" si="69"/>
        <v>892</v>
      </c>
      <c r="AE895" s="1" t="s">
        <v>2060</v>
      </c>
      <c r="AF895" s="76">
        <f t="shared" si="70"/>
        <v>63292</v>
      </c>
      <c r="AG895" s="77">
        <f t="shared" si="71"/>
        <v>5.5</v>
      </c>
      <c r="AH895" s="1" t="str">
        <f>IF($C895="","",$B895&amp;"|"&amp;(COUNTIFS($B$4:$B$1463,$B895,$AF$4:$AF$1463,"&gt;"&amp;$AF895)+COUNTIFS($B$4:$B895,$B895,$AF$4:$AF895,"="&amp;$AF895)))</f>
        <v>ACHERON|21</v>
      </c>
      <c r="AI895" s="1" t="str">
        <f>IF($C895="","",$B895&amp;"|"&amp;(COUNTIFS($B$4:$B$1463,$B895,$AG$4:$AG$1463,"&gt;"&amp;$AG895)+COUNTIFS($B$4:$B895,$B895,$AG$4:$AG895,"="&amp;$AG895)))</f>
        <v>ACHERON|31</v>
      </c>
    </row>
    <row r="896" spans="1:35" hidden="1">
      <c r="A896" s="69" t="s">
        <v>109</v>
      </c>
      <c r="B896" s="69" t="s">
        <v>113</v>
      </c>
      <c r="C896" s="63" t="s">
        <v>2061</v>
      </c>
      <c r="D896" s="69" t="s">
        <v>548</v>
      </c>
      <c r="E896" s="68" t="s">
        <v>73</v>
      </c>
      <c r="F896" s="15" t="str">
        <f>IF($C896="","",IF($E896="","-",IFERROR(INDEX(SETUP!$B$55:$B$64,MATCH($E896,SETUP!$A$55:$A$64,0)),"Other")))</f>
        <v>Frontline</v>
      </c>
      <c r="G896" s="70">
        <v>62064</v>
      </c>
      <c r="H896" s="15" t="str">
        <f>IF($C896="","",IF($G896="","-",INDEX(SETUP!$B$26:$B$32,MATCH($G896,SETUP!$A$26:$A$32,1))))</f>
        <v>62,000 - 62,999</v>
      </c>
      <c r="I896" s="70">
        <v>3270</v>
      </c>
      <c r="J896" s="15" t="str">
        <f>IF($C896="","",IF($I896="","-",INDEX(SETUP!$B$16:$B$22,MATCH($I896,SETUP!$A$16:$A$22,1))))</f>
        <v>DEVELOPING</v>
      </c>
      <c r="K896" s="15" t="str">
        <f>IF($C896="","",IF($I896="","-",TEXT(INT($I896/1000)*1000,"#,##0")&amp;" - "&amp;TEXT(INT($I896/1000)*1000+999,"#,##0")))</f>
        <v>3,000 - 3,999</v>
      </c>
      <c r="L896" s="71">
        <v>4.55</v>
      </c>
      <c r="M896" s="15" t="str">
        <f>IF($C896="","",IF($L896="","-",INDEX(SETUP!$B$36:$B$42,MATCH($L896,SETUP!$A$36:$A$42,1))))</f>
        <v>4k - 5k</v>
      </c>
      <c r="N896" s="17">
        <f>IF($C896="","",IF(OR($G896="",$I896=""),"",ROUND(100*(SETUP!$B$4*MIN(1,$I896/SETUP!$B$9)+SETUP!$B$5*MAX(0,MIN(1,($G896-SETUP!$B$10)/(SETUP!$B$11-SETUP!$B$10)))+SETUP!$B$6*MIN(1,IF($L896="",0,$L896)/SETUP!$B$12)),1)))</f>
        <v>40.4</v>
      </c>
      <c r="O896" s="15" t="str">
        <f>IF($C896="","",IF($N896="","-",INDEX(SETUP!$B$46:$B$51,MATCH($N896,SETUP!$A$46:$A$51,1))))</f>
        <v>B</v>
      </c>
      <c r="P896" s="15">
        <f>IF($C896="","",IF($I896="","",RANK($I896,$I$4:$I$1463)+COUNTIF($I$4:$I896,$I896)-1))</f>
        <v>803</v>
      </c>
      <c r="Q896" s="15">
        <f>IF($C896="","",COUNTIFS($B$4:$B$1463,$B896,$X$4:$X$1463,"&gt;"&amp;$X896)+COUNTIFS($B$4:$B896,$B896,$X$4:$X896,"="&amp;$X896))</f>
        <v>45</v>
      </c>
      <c r="R896" s="72">
        <f>IF($C896="","",IF($I896="","",ROUND(COUNTIF($I$4:$I$1463,"&lt;"&amp;$I896)/COUNT($I$4:$I$1463),3)))</f>
        <v>0.39400000000000002</v>
      </c>
      <c r="S896" s="15" t="str">
        <f>IF($C896="","",IF($G896="","Name only",IF(OR($I896="",$L896=""),"Partial","Complete")))</f>
        <v>Complete</v>
      </c>
      <c r="T896" s="41" t="str">
        <f>IF($C896="","",TRIM(IF(COUNTIF($C$4:$C$1463,$C896)&gt;1,"Dup name; ","")&amp;IF(AND($G896&lt;&gt;"",$G896&lt;55000),"Low CR - verify; ","")&amp;IF(AND($L896&lt;&gt;"",$L896&gt;15),"Secondary - verify; ","")&amp;IF($E896="","No class; ","")))</f>
        <v/>
      </c>
      <c r="U896" s="68"/>
      <c r="V896" s="68"/>
      <c r="W896" s="68"/>
      <c r="X896" s="73">
        <f t="shared" si="67"/>
        <v>3270</v>
      </c>
      <c r="Y896" s="41" t="str">
        <f t="shared" si="68"/>
        <v>INVICTUS|45</v>
      </c>
      <c r="Z896" s="15">
        <f>IF($C896="","",IF($G896="","",RANK($G896,$G$4:$G$1463)+COUNTIF($G$4:$G896,$G896)-1))</f>
        <v>810</v>
      </c>
      <c r="AA896" s="15">
        <f>IF($C896="","",IF($N896="","",RANK($N896,$N$4:$N$1463)+COUNTIF($N$4:$N896,$N896)-1))</f>
        <v>809</v>
      </c>
      <c r="AB896" s="41" t="str">
        <f>IF($C896="","",IF($E896="","",$E896&amp;"#"&amp;(COUNTIFS($E$4:$E$1463,$E896,$X$4:$X$1463,"&gt;"&amp;$X896)+COUNTIFS($E$4:$E896,$E896,$X$4:$X896,"="&amp;$X896))))</f>
        <v>CRUSADER#88</v>
      </c>
      <c r="AC896" s="41" t="str">
        <f>IF($C896="","",$B896&amp;"@"&amp;(COUNTIFS($B$4:$B$1463,$B896,$C$4:$C$1463,"&lt;"&amp;$C896)+COUNTIFS($B$4:$B896,$B896,$C$4:$C896,$C896)))</f>
        <v>INVICTUS@68</v>
      </c>
      <c r="AD896" s="41">
        <f t="shared" si="69"/>
        <v>893</v>
      </c>
      <c r="AE896" s="41" t="s">
        <v>2062</v>
      </c>
      <c r="AF896" s="73">
        <f t="shared" si="70"/>
        <v>62064</v>
      </c>
      <c r="AG896" s="74">
        <f t="shared" si="71"/>
        <v>4.55</v>
      </c>
      <c r="AH896" s="41" t="str">
        <f>IF($C896="","",$B896&amp;"|"&amp;(COUNTIFS($B$4:$B$1463,$B896,$AF$4:$AF$1463,"&gt;"&amp;$AF896)+COUNTIFS($B$4:$B896,$B896,$AF$4:$AF896,"="&amp;$AF896)))</f>
        <v>INVICTUS|52</v>
      </c>
      <c r="AI896" s="41" t="str">
        <f>IF($C896="","",$B896&amp;"|"&amp;(COUNTIFS($B$4:$B$1463,$B896,$AG$4:$AG$1463,"&gt;"&amp;$AG896)+COUNTIFS($B$4:$B896,$B896,$AG$4:$AG896,"="&amp;$AG896)))</f>
        <v>INVICTUS|45</v>
      </c>
    </row>
    <row r="897" spans="1:35" hidden="1">
      <c r="A897" s="69" t="s">
        <v>109</v>
      </c>
      <c r="B897" s="69" t="s">
        <v>115</v>
      </c>
      <c r="C897" s="63" t="s">
        <v>2063</v>
      </c>
      <c r="D897" s="69"/>
      <c r="E897" s="68" t="s">
        <v>77</v>
      </c>
      <c r="F897" s="19" t="str">
        <f>IF($C897="","",IF($E897="","-",IFERROR(INDEX(SETUP!$B$55:$B$64,MATCH($E897,SETUP!$A$55:$A$64,0)),"Other")))</f>
        <v>Control</v>
      </c>
      <c r="G897" s="70">
        <v>61205</v>
      </c>
      <c r="H897" s="19" t="str">
        <f>IF($C897="","",IF($G897="","-",INDEX(SETUP!$B$26:$B$32,MATCH($G897,SETUP!$A$26:$A$32,1))))</f>
        <v>61,000 - 61,999</v>
      </c>
      <c r="I897" s="70">
        <v>1920</v>
      </c>
      <c r="J897" s="19" t="str">
        <f>IF($C897="","",IF($I897="","-",INDEX(SETUP!$B$16:$B$22,MATCH($I897,SETUP!$A$16:$A$22,1))))</f>
        <v>ROOKIE</v>
      </c>
      <c r="K897" s="19" t="str">
        <f>IF($C897="","",IF($I897="","-",TEXT(INT($I897/1000)*1000,"#,##0")&amp;" - "&amp;TEXT(INT($I897/1000)*1000+999,"#,##0")))</f>
        <v>1,000 - 1,999</v>
      </c>
      <c r="L897" s="71">
        <v>3.5</v>
      </c>
      <c r="M897" s="19" t="str">
        <f>IF($C897="","",IF($L897="","-",INDEX(SETUP!$B$36:$B$42,MATCH($L897,SETUP!$A$36:$A$42,1))))</f>
        <v>3k - 4k</v>
      </c>
      <c r="N897" s="21">
        <f>IF($C897="","",IF(OR($G897="",$I897=""),"",ROUND(100*(SETUP!$B$4*MIN(1,$I897/SETUP!$B$9)+SETUP!$B$5*MAX(0,MIN(1,($G897-SETUP!$B$10)/(SETUP!$B$11-SETUP!$B$10)))+SETUP!$B$6*MIN(1,IF($L897="",0,$L897)/SETUP!$B$12)),1)))</f>
        <v>30.5</v>
      </c>
      <c r="O897" s="19" t="str">
        <f>IF($C897="","",IF($N897="","-",INDEX(SETUP!$B$46:$B$51,MATCH($N897,SETUP!$A$46:$A$51,1))))</f>
        <v>C</v>
      </c>
      <c r="P897" s="19">
        <f>IF($C897="","",IF($I897="","",RANK($I897,$I$4:$I$1463)+COUNTIF($I$4:$I897,$I897)-1))</f>
        <v>1128</v>
      </c>
      <c r="Q897" s="19">
        <f>IF($C897="","",COUNTIFS($B$4:$B$1463,$B897,$X$4:$X$1463,"&gt;"&amp;$X897)+COUNTIFS($B$4:$B897,$B897,$X$4:$X897,"="&amp;$X897))</f>
        <v>46</v>
      </c>
      <c r="R897" s="75">
        <f>IF($C897="","",IF($I897="","",ROUND(COUNTIF($I$4:$I$1463,"&lt;"&amp;$I897)/COUNT($I$4:$I$1463),3)))</f>
        <v>0.14899999999999999</v>
      </c>
      <c r="S897" s="19" t="str">
        <f>IF($C897="","",IF($G897="","Name only",IF(OR($I897="",$L897=""),"Partial","Complete")))</f>
        <v>Complete</v>
      </c>
      <c r="T897" s="1" t="str">
        <f>IF($C897="","",TRIM(IF(COUNTIF($C$4:$C$1463,$C897)&gt;1,"Dup name; ","")&amp;IF(AND($G897&lt;&gt;"",$G897&lt;55000),"Low CR - verify; ","")&amp;IF(AND($L897&lt;&gt;"",$L897&gt;15),"Secondary - verify; ","")&amp;IF($E897="","No class; ","")))</f>
        <v/>
      </c>
      <c r="U897" s="68"/>
      <c r="V897" s="68"/>
      <c r="W897" s="68"/>
      <c r="X897" s="76">
        <f t="shared" si="67"/>
        <v>1920</v>
      </c>
      <c r="Y897" s="1" t="str">
        <f t="shared" si="68"/>
        <v>SUB ROSA|46</v>
      </c>
      <c r="Z897" s="19">
        <f>IF($C897="","",IF($G897="","",RANK($G897,$G$4:$G$1463)+COUNTIF($G$4:$G897,$G897)-1))</f>
        <v>1087</v>
      </c>
      <c r="AA897" s="19">
        <f>IF($C897="","",IF($N897="","",RANK($N897,$N$4:$N$1463)+COUNTIF($N$4:$N897,$N897)-1))</f>
        <v>1136</v>
      </c>
      <c r="AB897" s="1" t="str">
        <f>IF($C897="","",IF($E897="","",$E897&amp;"#"&amp;(COUNTIFS($E$4:$E$1463,$E897,$X$4:$X$1463,"&gt;"&amp;$X897)+COUNTIFS($E$4:$E897,$E897,$X$4:$X897,"="&amp;$X897))))</f>
        <v>NECROMANCER#78</v>
      </c>
      <c r="AC897" s="1" t="str">
        <f>IF($C897="","",$B897&amp;"@"&amp;(COUNTIFS($B$4:$B$1463,$B897,$C$4:$C$1463,"&lt;"&amp;$C897)+COUNTIFS($B$4:$B897,$B897,$C$4:$C897,$C897)))</f>
        <v>SUB ROSA@59</v>
      </c>
      <c r="AD897" s="1">
        <f t="shared" si="69"/>
        <v>894</v>
      </c>
      <c r="AE897" s="1" t="s">
        <v>1057</v>
      </c>
      <c r="AF897" s="76">
        <f t="shared" si="70"/>
        <v>61205</v>
      </c>
      <c r="AG897" s="77">
        <f t="shared" si="71"/>
        <v>3.5</v>
      </c>
      <c r="AH897" s="1" t="str">
        <f>IF($C897="","",$B897&amp;"|"&amp;(COUNTIFS($B$4:$B$1463,$B897,$AF$4:$AF$1463,"&gt;"&amp;$AF897)+COUNTIFS($B$4:$B897,$B897,$AF$4:$AF897,"="&amp;$AF897)))</f>
        <v>SUB ROSA|51</v>
      </c>
      <c r="AI897" s="1" t="str">
        <f>IF($C897="","",$B897&amp;"|"&amp;(COUNTIFS($B$4:$B$1463,$B897,$AG$4:$AG$1463,"&gt;"&amp;$AG897)+COUNTIFS($B$4:$B897,$B897,$AG$4:$AG897,"="&amp;$AG897)))</f>
        <v>SUB ROSA|38</v>
      </c>
    </row>
    <row r="898" spans="1:35" hidden="1">
      <c r="A898" s="69" t="s">
        <v>109</v>
      </c>
      <c r="B898" s="69" t="s">
        <v>115</v>
      </c>
      <c r="C898" s="63" t="s">
        <v>2064</v>
      </c>
      <c r="D898" s="69"/>
      <c r="E898" s="68" t="s">
        <v>79</v>
      </c>
      <c r="F898" s="15" t="str">
        <f>IF($C898="","",IF($E898="","-",IFERROR(INDEX(SETUP!$B$55:$B$64,MATCH($E898,SETUP!$A$55:$A$64,0)),"Other")))</f>
        <v>Control</v>
      </c>
      <c r="G898" s="70">
        <v>63934</v>
      </c>
      <c r="H898" s="15" t="str">
        <f>IF($C898="","",IF($G898="","-",INDEX(SETUP!$B$26:$B$32,MATCH($G898,SETUP!$A$26:$A$32,1))))</f>
        <v>63,000 - 63,999</v>
      </c>
      <c r="I898" s="70">
        <v>6013</v>
      </c>
      <c r="J898" s="15" t="str">
        <f>IF($C898="","",IF($I898="","-",INDEX(SETUP!$B$16:$B$22,MATCH($I898,SETUP!$A$16:$A$22,1))))</f>
        <v>VETERAN</v>
      </c>
      <c r="K898" s="15" t="str">
        <f>IF($C898="","",IF($I898="","-",TEXT(INT($I898/1000)*1000,"#,##0")&amp;" - "&amp;TEXT(INT($I898/1000)*1000+999,"#,##0")))</f>
        <v>6,000 - 6,999</v>
      </c>
      <c r="L898" s="71">
        <v>3.5</v>
      </c>
      <c r="M898" s="15" t="str">
        <f>IF($C898="","",IF($L898="","-",INDEX(SETUP!$B$36:$B$42,MATCH($L898,SETUP!$A$36:$A$42,1))))</f>
        <v>3k - 4k</v>
      </c>
      <c r="N898" s="17">
        <f>IF($C898="","",IF(OR($G898="",$I898=""),"",ROUND(100*(SETUP!$B$4*MIN(1,$I898/SETUP!$B$9)+SETUP!$B$5*MAX(0,MIN(1,($G898-SETUP!$B$10)/(SETUP!$B$11-SETUP!$B$10)))+SETUP!$B$6*MIN(1,IF($L898="",0,$L898)/SETUP!$B$12)),1)))</f>
        <v>55.6</v>
      </c>
      <c r="O898" s="15" t="str">
        <f>IF($C898="","",IF($N898="","-",INDEX(SETUP!$B$46:$B$51,MATCH($N898,SETUP!$A$46:$A$51,1))))</f>
        <v>A</v>
      </c>
      <c r="P898" s="15">
        <f>IF($C898="","",IF($I898="","",RANK($I898,$I$4:$I$1463)+COUNTIF($I$4:$I898,$I898)-1))</f>
        <v>286</v>
      </c>
      <c r="Q898" s="15">
        <f>IF($C898="","",COUNTIFS($B$4:$B$1463,$B898,$X$4:$X$1463,"&gt;"&amp;$X898)+COUNTIFS($B$4:$B898,$B898,$X$4:$X898,"="&amp;$X898))</f>
        <v>8</v>
      </c>
      <c r="R898" s="72">
        <f>IF($C898="","",IF($I898="","",ROUND(COUNTIF($I$4:$I$1463,"&lt;"&amp;$I898)/COUNT($I$4:$I$1463),3)))</f>
        <v>0.78400000000000003</v>
      </c>
      <c r="S898" s="15" t="str">
        <f>IF($C898="","",IF($G898="","Name only",IF(OR($I898="",$L898=""),"Partial","Complete")))</f>
        <v>Complete</v>
      </c>
      <c r="T898" s="41" t="str">
        <f>IF($C898="","",TRIM(IF(COUNTIF($C$4:$C$1463,$C898)&gt;1,"Dup name; ","")&amp;IF(AND($G898&lt;&gt;"",$G898&lt;55000),"Low CR - verify; ","")&amp;IF(AND($L898&lt;&gt;"",$L898&gt;15),"Secondary - verify; ","")&amp;IF($E898="","No class; ","")))</f>
        <v/>
      </c>
      <c r="U898" s="68"/>
      <c r="V898" s="68"/>
      <c r="W898" s="68"/>
      <c r="X898" s="73">
        <f t="shared" si="67"/>
        <v>6013</v>
      </c>
      <c r="Y898" s="41" t="str">
        <f t="shared" si="68"/>
        <v>SUB ROSA|8</v>
      </c>
      <c r="Z898" s="15">
        <f>IF($C898="","",IF($G898="","",RANK($G898,$G$4:$G$1463)+COUNTIF($G$4:$G898,$G898)-1))</f>
        <v>88</v>
      </c>
      <c r="AA898" s="15">
        <f>IF($C898="","",IF($N898="","",RANK($N898,$N$4:$N$1463)+COUNTIF($N$4:$N898,$N898)-1))</f>
        <v>305</v>
      </c>
      <c r="AB898" s="41" t="str">
        <f>IF($C898="","",IF($E898="","",$E898&amp;"#"&amp;(COUNTIFS($E$4:$E$1463,$E898,$X$4:$X$1463,"&gt;"&amp;$X898)+COUNTIFS($E$4:$E898,$E898,$X$4:$X898,"="&amp;$X898))))</f>
        <v>WARLOCK#61</v>
      </c>
      <c r="AC898" s="41" t="str">
        <f>IF($C898="","",$B898&amp;"@"&amp;(COUNTIFS($B$4:$B$1463,$B898,$C$4:$C$1463,"&lt;"&amp;$C898)+COUNTIFS($B$4:$B898,$B898,$C$4:$C898,$C898)))</f>
        <v>SUB ROSA@60</v>
      </c>
      <c r="AD898" s="41">
        <f t="shared" si="69"/>
        <v>895</v>
      </c>
      <c r="AE898" s="41" t="s">
        <v>1057</v>
      </c>
      <c r="AF898" s="73">
        <f t="shared" si="70"/>
        <v>63934</v>
      </c>
      <c r="AG898" s="74">
        <f t="shared" si="71"/>
        <v>3.5</v>
      </c>
      <c r="AH898" s="41" t="str">
        <f>IF($C898="","",$B898&amp;"|"&amp;(COUNTIFS($B$4:$B$1463,$B898,$AF$4:$AF$1463,"&gt;"&amp;$AF898)+COUNTIFS($B$4:$B898,$B898,$AF$4:$AF898,"="&amp;$AF898)))</f>
        <v>SUB ROSA|3</v>
      </c>
      <c r="AI898" s="41" t="str">
        <f>IF($C898="","",$B898&amp;"|"&amp;(COUNTIFS($B$4:$B$1463,$B898,$AG$4:$AG$1463,"&gt;"&amp;$AG898)+COUNTIFS($B$4:$B898,$B898,$AG$4:$AG898,"="&amp;$AG898)))</f>
        <v>SUB ROSA|39</v>
      </c>
    </row>
    <row r="899" spans="1:35">
      <c r="A899" s="69" t="s">
        <v>104</v>
      </c>
      <c r="B899" s="69" t="s">
        <v>66</v>
      </c>
      <c r="C899" s="63" t="s">
        <v>353</v>
      </c>
      <c r="D899" s="69"/>
      <c r="E899" s="68" t="s">
        <v>74</v>
      </c>
      <c r="F899" s="15" t="str">
        <f>IF($C899="","",IF($E899="","-",IFERROR(INDEX(SETUP!$B$55:$B$64,MATCH($E899,SETUP!$A$55:$A$64,0)),"Other")))</f>
        <v>Ranged DPS</v>
      </c>
      <c r="G899" s="70">
        <v>61385</v>
      </c>
      <c r="H899" s="15" t="str">
        <f>IF($C899="","",IF($G899="","-",INDEX(SETUP!$B$26:$B$32,MATCH($G899,SETUP!$A$26:$A$32,1))))</f>
        <v>61,000 - 61,999</v>
      </c>
      <c r="I899" s="70">
        <v>3958</v>
      </c>
      <c r="J899" s="15" t="str">
        <f>IF($C899="","",IF($I899="","-",INDEX(SETUP!$B$16:$B$22,MATCH($I899,SETUP!$A$16:$A$22,1))))</f>
        <v>DEVELOPING</v>
      </c>
      <c r="K899" s="15" t="str">
        <f>IF($C899="","",IF($I899="","-",TEXT(INT($I899/1000)*1000,"#,##0")&amp;" - "&amp;TEXT(INT($I899/1000)*1000+999,"#,##0")))</f>
        <v>3,000 - 3,999</v>
      </c>
      <c r="L899" s="71">
        <v>4.07</v>
      </c>
      <c r="M899" s="15" t="str">
        <f>IF($C899="","",IF($L899="","-",INDEX(SETUP!$B$36:$B$42,MATCH($L899,SETUP!$A$36:$A$42,1))))</f>
        <v>4k - 5k</v>
      </c>
      <c r="N899" s="17">
        <f>IF($C899="","",IF(OR($G899="",$I899=""),"",ROUND(100*(SETUP!$B$4*MIN(1,$I899/SETUP!$B$9)+SETUP!$B$5*MAX(0,MIN(1,($G899-SETUP!$B$10)/(SETUP!$B$11-SETUP!$B$10)))+SETUP!$B$6*MIN(1,IF($L899="",0,$L899)/SETUP!$B$12)),1)))</f>
        <v>40.9</v>
      </c>
      <c r="O899" s="15" t="str">
        <f>IF($C899="","",IF($N899="","-",INDEX(SETUP!$B$46:$B$51,MATCH($N899,SETUP!$A$46:$A$51,1))))</f>
        <v>B</v>
      </c>
      <c r="P899" s="15">
        <f>IF($C899="","",IF($I899="","",RANK($I899,$I$4:$I$1463)+COUNTIF($I$4:$I899,$I899)-1))</f>
        <v>608</v>
      </c>
      <c r="Q899" s="15">
        <f>IF($C899="","",COUNTIFS($B$4:$B$1463,$B899,$X$4:$X$1463,"&gt;"&amp;$X899)+COUNTIFS($B$4:$B899,$B899,$X$4:$X899,"="&amp;$X899))</f>
        <v>62</v>
      </c>
      <c r="R899" s="72">
        <f>IF($C899="","",IF($I899="","",ROUND(COUNTIF($I$4:$I$1463,"&lt;"&amp;$I899)/COUNT($I$4:$I$1463),3)))</f>
        <v>0.54100000000000004</v>
      </c>
      <c r="S899" s="15" t="str">
        <f>IF($C899="","",IF($G899="","Name only",IF(OR($I899="",$L899=""),"Partial","Complete")))</f>
        <v>Complete</v>
      </c>
      <c r="T899" s="41" t="str">
        <f>IF($C899="","",TRIM(IF(COUNTIF($C$4:$C$1463,$C899)&gt;1,"Dup name; ","")&amp;IF(AND($G899&lt;&gt;"",$G899&lt;55000),"Low CR - verify; ","")&amp;IF(AND($L899&lt;&gt;"",$L899&gt;15),"Secondary - verify; ","")&amp;IF($E899="","No class; ","")))</f>
        <v/>
      </c>
      <c r="U899" s="68"/>
      <c r="V899" s="68"/>
      <c r="W899" s="68"/>
      <c r="X899" s="76">
        <f t="shared" si="67"/>
        <v>3958</v>
      </c>
      <c r="Y899" s="1" t="str">
        <f t="shared" si="68"/>
        <v>FUCT|62</v>
      </c>
      <c r="Z899" s="19">
        <f>IF($C899="","",IF($G899="","",RANK($G899,$G$4:$G$1463)+COUNTIF($G$4:$G899,$G899)-1))</f>
        <v>1038</v>
      </c>
      <c r="AA899" s="19">
        <f>IF($C899="","",IF($N899="","",RANK($N899,$N$4:$N$1463)+COUNTIF($N$4:$N899,$N899)-1))</f>
        <v>783</v>
      </c>
      <c r="AB899" s="1" t="str">
        <f>IF($C899="","",IF($E899="","",$E899&amp;"#"&amp;(COUNTIFS($E$4:$E$1463,$E899,$X$4:$X$1463,"&gt;"&amp;$X899)+COUNTIFS($E$4:$E899,$E899,$X$4:$X899,"="&amp;$X899))))</f>
        <v>DEMON HUNTER#98</v>
      </c>
      <c r="AC899" s="1" t="str">
        <f>IF($C899="","",$B899&amp;"@"&amp;(COUNTIFS($B$4:$B$1463,$B899,$C$4:$C$1463,"&lt;"&amp;$C899)+COUNTIFS($B$4:$B899,$B899,$C$4:$C899,$C899)))</f>
        <v>FUCT@66</v>
      </c>
      <c r="AD899" s="1">
        <f t="shared" si="69"/>
        <v>896</v>
      </c>
      <c r="AE899" s="1" t="s">
        <v>2066</v>
      </c>
      <c r="AF899" s="76">
        <f t="shared" si="70"/>
        <v>61385</v>
      </c>
      <c r="AG899" s="77">
        <f t="shared" si="71"/>
        <v>4.07</v>
      </c>
      <c r="AH899" s="1" t="str">
        <f>IF($C899="","",$B899&amp;"|"&amp;(COUNTIFS($B$4:$B$1463,$B899,$AF$4:$AF$1463,"&gt;"&amp;$AF899)+COUNTIFS($B$4:$B899,$B899,$AF$4:$AF899,"="&amp;$AF899)))</f>
        <v>FUCT|92</v>
      </c>
      <c r="AI899" s="1" t="str">
        <f>IF($C899="","",$B899&amp;"|"&amp;(COUNTIFS($B$4:$B$1463,$B899,$AG$4:$AG$1463,"&gt;"&amp;$AG899)+COUNTIFS($B$4:$B899,$B899,$AG$4:$AG899,"="&amp;$AG899)))</f>
        <v>FUCT|76</v>
      </c>
    </row>
    <row r="900" spans="1:35" hidden="1">
      <c r="A900" s="69" t="s">
        <v>106</v>
      </c>
      <c r="B900" s="69" t="s">
        <v>105</v>
      </c>
      <c r="C900" s="63" t="s">
        <v>2067</v>
      </c>
      <c r="D900" s="69"/>
      <c r="E900" s="68" t="s">
        <v>73</v>
      </c>
      <c r="F900" s="15" t="str">
        <f>IF($C900="","",IF($E900="","-",IFERROR(INDEX(SETUP!$B$55:$B$64,MATCH($E900,SETUP!$A$55:$A$64,0)),"Other")))</f>
        <v>Frontline</v>
      </c>
      <c r="G900" s="70">
        <v>62996</v>
      </c>
      <c r="H900" s="15" t="str">
        <f>IF($C900="","",IF($G900="","-",INDEX(SETUP!$B$26:$B$32,MATCH($G900,SETUP!$A$26:$A$32,1))))</f>
        <v>62,000 - 62,999</v>
      </c>
      <c r="I900" s="70">
        <v>2940</v>
      </c>
      <c r="J900" s="15" t="str">
        <f>IF($C900="","",IF($I900="","-",INDEX(SETUP!$B$16:$B$22,MATCH($I900,SETUP!$A$16:$A$22,1))))</f>
        <v>DEVELOPING</v>
      </c>
      <c r="K900" s="15" t="str">
        <f>IF($C900="","",IF($I900="","-",TEXT(INT($I900/1000)*1000,"#,##0")&amp;" - "&amp;TEXT(INT($I900/1000)*1000+999,"#,##0")))</f>
        <v>2,000 - 2,999</v>
      </c>
      <c r="L900" s="71">
        <v>4.6900000000000004</v>
      </c>
      <c r="M900" s="15" t="str">
        <f>IF($C900="","",IF($L900="","-",INDEX(SETUP!$B$36:$B$42,MATCH($L900,SETUP!$A$36:$A$42,1))))</f>
        <v>4k - 5k</v>
      </c>
      <c r="N900" s="17">
        <f>IF($C900="","",IF(OR($G900="",$I900=""),"",ROUND(100*(SETUP!$B$4*MIN(1,$I900/SETUP!$B$9)+SETUP!$B$5*MAX(0,MIN(1,($G900-SETUP!$B$10)/(SETUP!$B$11-SETUP!$B$10)))+SETUP!$B$6*MIN(1,IF($L900="",0,$L900)/SETUP!$B$12)),1)))</f>
        <v>41.7</v>
      </c>
      <c r="O900" s="15" t="str">
        <f>IF($C900="","",IF($N900="","-",INDEX(SETUP!$B$46:$B$51,MATCH($N900,SETUP!$A$46:$A$51,1))))</f>
        <v>B</v>
      </c>
      <c r="P900" s="15">
        <f>IF($C900="","",IF($I900="","",RANK($I900,$I$4:$I$1463)+COUNTIF($I$4:$I900,$I900)-1))</f>
        <v>898</v>
      </c>
      <c r="Q900" s="15">
        <f>IF($C900="","",COUNTIFS($B$4:$B$1463,$B900,$X$4:$X$1463,"&gt;"&amp;$X900)+COUNTIFS($B$4:$B900,$B900,$X$4:$X900,"="&amp;$X900))</f>
        <v>95</v>
      </c>
      <c r="R900" s="72">
        <f>IF($C900="","",IF($I900="","",ROUND(COUNTIF($I$4:$I$1463,"&lt;"&amp;$I900)/COUNT($I$4:$I$1463),3)))</f>
        <v>0.32200000000000001</v>
      </c>
      <c r="S900" s="15" t="str">
        <f>IF($C900="","",IF($G900="","Name only",IF(OR($I900="",$L900=""),"Partial","Complete")))</f>
        <v>Complete</v>
      </c>
      <c r="T900" s="41" t="str">
        <f>IF($C900="","",TRIM(IF(COUNTIF($C$4:$C$1463,$C900)&gt;1,"Dup name; ","")&amp;IF(AND($G900&lt;&gt;"",$G900&lt;55000),"Low CR - verify; ","")&amp;IF(AND($L900&lt;&gt;"",$L900&gt;15),"Secondary - verify; ","")&amp;IF($E900="","No class; ","")))</f>
        <v/>
      </c>
      <c r="U900" s="68"/>
      <c r="V900" s="68"/>
      <c r="W900" s="68"/>
      <c r="X900" s="73">
        <f t="shared" ref="X900:X963" si="72">IF($C900="","",IF($I900="",-1,$I900))</f>
        <v>2940</v>
      </c>
      <c r="Y900" s="41" t="str">
        <f t="shared" ref="Y900:Y963" si="73">IF($C900="","",$B900&amp;"|"&amp;$Q900)</f>
        <v>LEGENDS|95</v>
      </c>
      <c r="Z900" s="15">
        <f>IF($C900="","",IF($G900="","",RANK($G900,$G$4:$G$1463)+COUNTIF($G$4:$G900,$G900)-1))</f>
        <v>430</v>
      </c>
      <c r="AA900" s="15">
        <f>IF($C900="","",IF($N900="","",RANK($N900,$N$4:$N$1463)+COUNTIF($N$4:$N900,$N900)-1))</f>
        <v>751</v>
      </c>
      <c r="AB900" s="41" t="str">
        <f>IF($C900="","",IF($E900="","",$E900&amp;"#"&amp;(COUNTIFS($E$4:$E$1463,$E900,$X$4:$X$1463,"&gt;"&amp;$X900)+COUNTIFS($E$4:$E900,$E900,$X$4:$X900,"="&amp;$X900))))</f>
        <v>CRUSADER#91</v>
      </c>
      <c r="AC900" s="41" t="str">
        <f>IF($C900="","",$B900&amp;"@"&amp;(COUNTIFS($B$4:$B$1463,$B900,$C$4:$C$1463,"&lt;"&amp;$C900)+COUNTIFS($B$4:$B900,$B900,$C$4:$C900,$C900)))</f>
        <v>LEGENDS@72</v>
      </c>
      <c r="AD900" s="41">
        <f t="shared" ref="AD900:AD963" si="74">IF($C900="","",ROW()-4+1)</f>
        <v>897</v>
      </c>
      <c r="AE900" s="41" t="s">
        <v>2068</v>
      </c>
      <c r="AF900" s="73">
        <f t="shared" ref="AF900:AF963" si="75">IF($C900="","",IF($G900="",-1,$G900))</f>
        <v>62996</v>
      </c>
      <c r="AG900" s="74">
        <f t="shared" ref="AG900:AG963" si="76">IF($C900="","",IF($L900="",-1,$L900))</f>
        <v>4.6900000000000004</v>
      </c>
      <c r="AH900" s="41" t="str">
        <f>IF($C900="","",$B900&amp;"|"&amp;(COUNTIFS($B$4:$B$1463,$B900,$AF$4:$AF$1463,"&gt;"&amp;$AF900)+COUNTIFS($B$4:$B900,$B900,$AF$4:$AF900,"="&amp;$AF900)))</f>
        <v>LEGENDS|52</v>
      </c>
      <c r="AI900" s="41" t="str">
        <f>IF($C900="","",$B900&amp;"|"&amp;(COUNTIFS($B$4:$B$1463,$B900,$AG$4:$AG$1463,"&gt;"&amp;$AG900)+COUNTIFS($B$4:$B900,$B900,$AG$4:$AG900,"="&amp;$AG900)))</f>
        <v>LEGENDS|71</v>
      </c>
    </row>
    <row r="901" spans="1:35" hidden="1">
      <c r="A901" s="69" t="s">
        <v>106</v>
      </c>
      <c r="B901" s="69" t="s">
        <v>107</v>
      </c>
      <c r="C901" s="63" t="s">
        <v>2069</v>
      </c>
      <c r="D901" s="69"/>
      <c r="E901" s="68" t="s">
        <v>74</v>
      </c>
      <c r="F901" s="19" t="str">
        <f>IF($C901="","",IF($E901="","-",IFERROR(INDEX(SETUP!$B$55:$B$64,MATCH($E901,SETUP!$A$55:$A$64,0)),"Other")))</f>
        <v>Ranged DPS</v>
      </c>
      <c r="G901" s="70">
        <v>62509</v>
      </c>
      <c r="H901" s="19" t="str">
        <f>IF($C901="","",IF($G901="","-",INDEX(SETUP!$B$26:$B$32,MATCH($G901,SETUP!$A$26:$A$32,1))))</f>
        <v>62,000 - 62,999</v>
      </c>
      <c r="I901" s="70">
        <v>3314</v>
      </c>
      <c r="J901" s="19" t="str">
        <f>IF($C901="","",IF($I901="","-",INDEX(SETUP!$B$16:$B$22,MATCH($I901,SETUP!$A$16:$A$22,1))))</f>
        <v>DEVELOPING</v>
      </c>
      <c r="K901" s="19" t="str">
        <f>IF($C901="","",IF($I901="","-",TEXT(INT($I901/1000)*1000,"#,##0")&amp;" - "&amp;TEXT(INT($I901/1000)*1000+999,"#,##0")))</f>
        <v>3,000 - 3,999</v>
      </c>
      <c r="L901" s="71">
        <v>5</v>
      </c>
      <c r="M901" s="19" t="str">
        <f>IF($C901="","",IF($L901="","-",INDEX(SETUP!$B$36:$B$42,MATCH($L901,SETUP!$A$36:$A$42,1))))</f>
        <v>5k - 6k</v>
      </c>
      <c r="N901" s="21">
        <f>IF($C901="","",IF(OR($G901="",$I901=""),"",ROUND(100*(SETUP!$B$4*MIN(1,$I901/SETUP!$B$9)+SETUP!$B$5*MAX(0,MIN(1,($G901-SETUP!$B$10)/(SETUP!$B$11-SETUP!$B$10)))+SETUP!$B$6*MIN(1,IF($L901="",0,$L901)/SETUP!$B$12)),1)))</f>
        <v>42.6</v>
      </c>
      <c r="O901" s="19" t="str">
        <f>IF($C901="","",IF($N901="","-",INDEX(SETUP!$B$46:$B$51,MATCH($N901,SETUP!$A$46:$A$51,1))))</f>
        <v>B</v>
      </c>
      <c r="P901" s="19">
        <f>IF($C901="","",IF($I901="","",RANK($I901,$I$4:$I$1463)+COUNTIF($I$4:$I901,$I901)-1))</f>
        <v>783</v>
      </c>
      <c r="Q901" s="19">
        <f>IF($C901="","",COUNTIFS($B$4:$B$1463,$B901,$X$4:$X$1463,"&gt;"&amp;$X901)+COUNTIFS($B$4:$B901,$B901,$X$4:$X901,"="&amp;$X901))</f>
        <v>74</v>
      </c>
      <c r="R901" s="75">
        <f>IF($C901="","",IF($I901="","",ROUND(COUNTIF($I$4:$I$1463,"&lt;"&amp;$I901)/COUNT($I$4:$I$1463),3)))</f>
        <v>0.40899999999999997</v>
      </c>
      <c r="S901" s="19" t="str">
        <f>IF($C901="","",IF($G901="","Name only",IF(OR($I901="",$L901=""),"Partial","Complete")))</f>
        <v>Complete</v>
      </c>
      <c r="T901" s="1" t="str">
        <f>IF($C901="","",TRIM(IF(COUNTIF($C$4:$C$1463,$C901)&gt;1,"Dup name; ","")&amp;IF(AND($G901&lt;&gt;"",$G901&lt;55000),"Low CR - verify; ","")&amp;IF(AND($L901&lt;&gt;"",$L901&gt;15),"Secondary - verify; ","")&amp;IF($E901="","No class; ","")))</f>
        <v/>
      </c>
      <c r="U901" s="68"/>
      <c r="V901" s="68"/>
      <c r="W901" s="68"/>
      <c r="X901" s="76">
        <f t="shared" si="72"/>
        <v>3314</v>
      </c>
      <c r="Y901" s="1" t="str">
        <f t="shared" si="73"/>
        <v>UNDYING|74</v>
      </c>
      <c r="Z901" s="19">
        <f>IF($C901="","",IF($G901="","",RANK($G901,$G$4:$G$1463)+COUNTIF($G$4:$G901,$G901)-1))</f>
        <v>650</v>
      </c>
      <c r="AA901" s="19">
        <f>IF($C901="","",IF($N901="","",RANK($N901,$N$4:$N$1463)+COUNTIF($N$4:$N901,$N901)-1))</f>
        <v>721</v>
      </c>
      <c r="AB901" s="1" t="str">
        <f>IF($C901="","",IF($E901="","",$E901&amp;"#"&amp;(COUNTIFS($E$4:$E$1463,$E901,$X$4:$X$1463,"&gt;"&amp;$X901)+COUNTIFS($E$4:$E901,$E901,$X$4:$X901,"="&amp;$X901))))</f>
        <v>DEMON HUNTER#125</v>
      </c>
      <c r="AC901" s="1" t="str">
        <f>IF($C901="","",$B901&amp;"@"&amp;(COUNTIFS($B$4:$B$1463,$B901,$C$4:$C$1463,"&lt;"&amp;$C901)+COUNTIFS($B$4:$B901,$B901,$C$4:$C901,$C901)))</f>
        <v>UNDYING@78</v>
      </c>
      <c r="AD901" s="1">
        <f t="shared" si="74"/>
        <v>898</v>
      </c>
      <c r="AE901" s="1" t="s">
        <v>541</v>
      </c>
      <c r="AF901" s="76">
        <f t="shared" si="75"/>
        <v>62509</v>
      </c>
      <c r="AG901" s="77">
        <f t="shared" si="76"/>
        <v>5</v>
      </c>
      <c r="AH901" s="1" t="str">
        <f>IF($C901="","",$B901&amp;"|"&amp;(COUNTIFS($B$4:$B$1463,$B901,$AF$4:$AF$1463,"&gt;"&amp;$AF901)+COUNTIFS($B$4:$B901,$B901,$AF$4:$AF901,"="&amp;$AF901)))</f>
        <v>UNDYING|64</v>
      </c>
      <c r="AI901" s="1" t="str">
        <f>IF($C901="","",$B901&amp;"|"&amp;(COUNTIFS($B$4:$B$1463,$B901,$AG$4:$AG$1463,"&gt;"&amp;$AG901)+COUNTIFS($B$4:$B901,$B901,$AG$4:$AG901,"="&amp;$AG901)))</f>
        <v>UNDYING|53</v>
      </c>
    </row>
    <row r="902" spans="1:35" hidden="1">
      <c r="A902" s="69" t="s">
        <v>109</v>
      </c>
      <c r="B902" s="69" t="s">
        <v>117</v>
      </c>
      <c r="C902" s="63" t="s">
        <v>2070</v>
      </c>
      <c r="D902" s="69"/>
      <c r="E902" s="68" t="s">
        <v>77</v>
      </c>
      <c r="F902" s="15" t="str">
        <f>IF($C902="","",IF($E902="","-",IFERROR(INDEX(SETUP!$B$55:$B$64,MATCH($E902,SETUP!$A$55:$A$64,0)),"Other")))</f>
        <v>Control</v>
      </c>
      <c r="G902" s="70">
        <v>62280</v>
      </c>
      <c r="H902" s="15" t="str">
        <f>IF($C902="","",IF($G902="","-",INDEX(SETUP!$B$26:$B$32,MATCH($G902,SETUP!$A$26:$A$32,1))))</f>
        <v>62,000 - 62,999</v>
      </c>
      <c r="I902" s="70">
        <v>685</v>
      </c>
      <c r="J902" s="15" t="str">
        <f>IF($C902="","",IF($I902="","-",INDEX(SETUP!$B$16:$B$22,MATCH($I902,SETUP!$A$16:$A$22,1))))</f>
        <v>ROOKIE</v>
      </c>
      <c r="K902" s="15" t="str">
        <f>IF($C902="","",IF($I902="","-",TEXT(INT($I902/1000)*1000,"#,##0")&amp;" - "&amp;TEXT(INT($I902/1000)*1000+999,"#,##0")))</f>
        <v>0 - 999</v>
      </c>
      <c r="L902" s="71">
        <v>3.2</v>
      </c>
      <c r="M902" s="15" t="str">
        <f>IF($C902="","",IF($L902="","-",INDEX(SETUP!$B$36:$B$42,MATCH($L902,SETUP!$A$36:$A$42,1))))</f>
        <v>3k - 4k</v>
      </c>
      <c r="N902" s="17">
        <f>IF($C902="","",IF(OR($G902="",$I902=""),"",ROUND(100*(SETUP!$B$4*MIN(1,$I902/SETUP!$B$9)+SETUP!$B$5*MAX(0,MIN(1,($G902-SETUP!$B$10)/(SETUP!$B$11-SETUP!$B$10)))+SETUP!$B$6*MIN(1,IF($L902="",0,$L902)/SETUP!$B$12)),1)))</f>
        <v>27.5</v>
      </c>
      <c r="O902" s="15" t="str">
        <f>IF($C902="","",IF($N902="","-",INDEX(SETUP!$B$46:$B$51,MATCH($N902,SETUP!$A$46:$A$51,1))))</f>
        <v>C</v>
      </c>
      <c r="P902" s="15">
        <f>IF($C902="","",IF($I902="","",RANK($I902,$I$4:$I$1463)+COUNTIF($I$4:$I902,$I902)-1))</f>
        <v>1308</v>
      </c>
      <c r="Q902" s="15">
        <f>IF($C902="","",COUNTIFS($B$4:$B$1463,$B902,$X$4:$X$1463,"&gt;"&amp;$X902)+COUNTIFS($B$4:$B902,$B902,$X$4:$X902,"="&amp;$X902))</f>
        <v>92</v>
      </c>
      <c r="R902" s="72">
        <f>IF($C902="","",IF($I902="","",ROUND(COUNTIF($I$4:$I$1463,"&lt;"&amp;$I902)/COUNT($I$4:$I$1463),3)))</f>
        <v>1.2999999999999999E-2</v>
      </c>
      <c r="S902" s="15" t="str">
        <f>IF($C902="","",IF($G902="","Name only",IF(OR($I902="",$L902=""),"Partial","Complete")))</f>
        <v>Complete</v>
      </c>
      <c r="T902" s="41" t="str">
        <f>IF($C902="","",TRIM(IF(COUNTIF($C$4:$C$1463,$C902)&gt;1,"Dup name; ","")&amp;IF(AND($G902&lt;&gt;"",$G902&lt;55000),"Low CR - verify; ","")&amp;IF(AND($L902&lt;&gt;"",$L902&gt;15),"Secondary - verify; ","")&amp;IF($E902="","No class; ","")))</f>
        <v/>
      </c>
      <c r="U902" s="68"/>
      <c r="V902" s="68"/>
      <c r="W902" s="68"/>
      <c r="X902" s="73">
        <f t="shared" si="72"/>
        <v>685</v>
      </c>
      <c r="Y902" s="41" t="str">
        <f t="shared" si="73"/>
        <v>VENDETTA|92</v>
      </c>
      <c r="Z902" s="15">
        <f>IF($C902="","",IF($G902="","",RANK($G902,$G$4:$G$1463)+COUNTIF($G$4:$G902,$G902)-1))</f>
        <v>726</v>
      </c>
      <c r="AA902" s="15">
        <f>IF($C902="","",IF($N902="","",RANK($N902,$N$4:$N$1463)+COUNTIF($N$4:$N902,$N902)-1))</f>
        <v>1202</v>
      </c>
      <c r="AB902" s="41" t="str">
        <f>IF($C902="","",IF($E902="","",$E902&amp;"#"&amp;(COUNTIFS($E$4:$E$1463,$E902,$X$4:$X$1463,"&gt;"&amp;$X902)+COUNTIFS($E$4:$E902,$E902,$X$4:$X902,"="&amp;$X902))))</f>
        <v>NECROMANCER#105</v>
      </c>
      <c r="AC902" s="41" t="str">
        <f>IF($C902="","",$B902&amp;"@"&amp;(COUNTIFS($B$4:$B$1463,$B902,$C$4:$C$1463,"&lt;"&amp;$C902)+COUNTIFS($B$4:$B902,$B902,$C$4:$C902,$C902)))</f>
        <v>VENDETTA@68</v>
      </c>
      <c r="AD902" s="41">
        <f t="shared" si="74"/>
        <v>899</v>
      </c>
      <c r="AE902" s="41" t="s">
        <v>2071</v>
      </c>
      <c r="AF902" s="73">
        <f t="shared" si="75"/>
        <v>62280</v>
      </c>
      <c r="AG902" s="74">
        <f t="shared" si="76"/>
        <v>3.2</v>
      </c>
      <c r="AH902" s="41" t="str">
        <f>IF($C902="","",$B902&amp;"|"&amp;(COUNTIFS($B$4:$B$1463,$B902,$AF$4:$AF$1463,"&gt;"&amp;$AF902)+COUNTIFS($B$4:$B902,$B902,$AF$4:$AF902,"="&amp;$AF902)))</f>
        <v>VENDETTA|26</v>
      </c>
      <c r="AI902" s="41" t="str">
        <f>IF($C902="","",$B902&amp;"|"&amp;(COUNTIFS($B$4:$B$1463,$B902,$AG$4:$AG$1463,"&gt;"&amp;$AG902)+COUNTIFS($B$4:$B902,$B902,$AG$4:$AG902,"="&amp;$AG902)))</f>
        <v>VENDETTA|68</v>
      </c>
    </row>
    <row r="903" spans="1:35" hidden="1">
      <c r="A903" s="69" t="s">
        <v>106</v>
      </c>
      <c r="B903" s="69" t="s">
        <v>105</v>
      </c>
      <c r="C903" s="63" t="s">
        <v>2072</v>
      </c>
      <c r="D903" s="69" t="s">
        <v>691</v>
      </c>
      <c r="E903" s="68" t="s">
        <v>79</v>
      </c>
      <c r="F903" s="19" t="str">
        <f>IF($C903="","",IF($E903="","-",IFERROR(INDEX(SETUP!$B$55:$B$64,MATCH($E903,SETUP!$A$55:$A$64,0)),"Other")))</f>
        <v>Control</v>
      </c>
      <c r="G903" s="70">
        <v>63426</v>
      </c>
      <c r="H903" s="19" t="str">
        <f>IF($C903="","",IF($G903="","-",INDEX(SETUP!$B$26:$B$32,MATCH($G903,SETUP!$A$26:$A$32,1))))</f>
        <v>63,000 - 63,999</v>
      </c>
      <c r="I903" s="70">
        <v>5057</v>
      </c>
      <c r="J903" s="19" t="str">
        <f>IF($C903="","",IF($I903="","-",INDEX(SETUP!$B$16:$B$22,MATCH($I903,SETUP!$A$16:$A$22,1))))</f>
        <v>CORE</v>
      </c>
      <c r="K903" s="19" t="str">
        <f>IF($C903="","",IF($I903="","-",TEXT(INT($I903/1000)*1000,"#,##0")&amp;" - "&amp;TEXT(INT($I903/1000)*1000+999,"#,##0")))</f>
        <v>5,000 - 5,999</v>
      </c>
      <c r="L903" s="71">
        <v>4.8499999999999996</v>
      </c>
      <c r="M903" s="19" t="str">
        <f>IF($C903="","",IF($L903="","-",INDEX(SETUP!$B$36:$B$42,MATCH($L903,SETUP!$A$36:$A$42,1))))</f>
        <v>4k - 5k</v>
      </c>
      <c r="N903" s="21">
        <f>IF($C903="","",IF(OR($G903="",$I903=""),"",ROUND(100*(SETUP!$B$4*MIN(1,$I903/SETUP!$B$9)+SETUP!$B$5*MAX(0,MIN(1,($G903-SETUP!$B$10)/(SETUP!$B$11-SETUP!$B$10)))+SETUP!$B$6*MIN(1,IF($L903="",0,$L903)/SETUP!$B$12)),1)))</f>
        <v>52.3</v>
      </c>
      <c r="O903" s="19" t="str">
        <f>IF($C903="","",IF($N903="","-",INDEX(SETUP!$B$46:$B$51,MATCH($N903,SETUP!$A$46:$A$51,1))))</f>
        <v>A</v>
      </c>
      <c r="P903" s="19">
        <f>IF($C903="","",IF($I903="","",RANK($I903,$I$4:$I$1463)+COUNTIF($I$4:$I903,$I903)-1))</f>
        <v>406</v>
      </c>
      <c r="Q903" s="19">
        <f>IF($C903="","",COUNTIFS($B$4:$B$1463,$B903,$X$4:$X$1463,"&gt;"&amp;$X903)+COUNTIFS($B$4:$B903,$B903,$X$4:$X903,"="&amp;$X903))</f>
        <v>51</v>
      </c>
      <c r="R903" s="75">
        <f>IF($C903="","",IF($I903="","",ROUND(COUNTIF($I$4:$I$1463,"&lt;"&amp;$I903)/COUNT($I$4:$I$1463),3)))</f>
        <v>0.69399999999999995</v>
      </c>
      <c r="S903" s="19" t="str">
        <f>IF($C903="","",IF($G903="","Name only",IF(OR($I903="",$L903=""),"Partial","Complete")))</f>
        <v>Complete</v>
      </c>
      <c r="T903" s="1" t="str">
        <f>IF($C903="","",TRIM(IF(COUNTIF($C$4:$C$1463,$C903)&gt;1,"Dup name; ","")&amp;IF(AND($G903&lt;&gt;"",$G903&lt;55000),"Low CR - verify; ","")&amp;IF(AND($L903&lt;&gt;"",$L903&gt;15),"Secondary - verify; ","")&amp;IF($E903="","No class; ","")))</f>
        <v/>
      </c>
      <c r="U903" s="68"/>
      <c r="V903" s="68"/>
      <c r="W903" s="68"/>
      <c r="X903" s="76">
        <f t="shared" si="72"/>
        <v>5057</v>
      </c>
      <c r="Y903" s="1" t="str">
        <f t="shared" si="73"/>
        <v>LEGENDS|51</v>
      </c>
      <c r="Z903" s="19">
        <f>IF($C903="","",IF($G903="","",RANK($G903,$G$4:$G$1463)+COUNTIF($G$4:$G903,$G903)-1))</f>
        <v>213</v>
      </c>
      <c r="AA903" s="19">
        <f>IF($C903="","",IF($N903="","",RANK($N903,$N$4:$N$1463)+COUNTIF($N$4:$N903,$N903)-1))</f>
        <v>380</v>
      </c>
      <c r="AB903" s="1" t="str">
        <f>IF($C903="","",IF($E903="","",$E903&amp;"#"&amp;(COUNTIFS($E$4:$E$1463,$E903,$X$4:$X$1463,"&gt;"&amp;$X903)+COUNTIFS($E$4:$E903,$E903,$X$4:$X903,"="&amp;$X903))))</f>
        <v>WARLOCK#93</v>
      </c>
      <c r="AC903" s="1" t="str">
        <f>IF($C903="","",$B903&amp;"@"&amp;(COUNTIFS($B$4:$B$1463,$B903,$C$4:$C$1463,"&lt;"&amp;$C903)+COUNTIFS($B$4:$B903,$B903,$C$4:$C903,$C903)))</f>
        <v>LEGENDS@73</v>
      </c>
      <c r="AD903" s="1">
        <f t="shared" si="74"/>
        <v>900</v>
      </c>
      <c r="AE903" s="1" t="s">
        <v>2073</v>
      </c>
      <c r="AF903" s="76">
        <f t="shared" si="75"/>
        <v>63426</v>
      </c>
      <c r="AG903" s="77">
        <f t="shared" si="76"/>
        <v>4.8499999999999996</v>
      </c>
      <c r="AH903" s="1" t="str">
        <f>IF($C903="","",$B903&amp;"|"&amp;(COUNTIFS($B$4:$B$1463,$B903,$AF$4:$AF$1463,"&gt;"&amp;$AF903)+COUNTIFS($B$4:$B903,$B903,$AF$4:$AF903,"="&amp;$AF903)))</f>
        <v>LEGENDS|27</v>
      </c>
      <c r="AI903" s="1" t="str">
        <f>IF($C903="","",$B903&amp;"|"&amp;(COUNTIFS($B$4:$B$1463,$B903,$AG$4:$AG$1463,"&gt;"&amp;$AG903)+COUNTIFS($B$4:$B903,$B903,$AG$4:$AG903,"="&amp;$AG903)))</f>
        <v>LEGENDS|69</v>
      </c>
    </row>
    <row r="904" spans="1:35" hidden="1">
      <c r="A904" s="69" t="s">
        <v>106</v>
      </c>
      <c r="B904" s="69" t="s">
        <v>105</v>
      </c>
      <c r="C904" s="63" t="s">
        <v>2074</v>
      </c>
      <c r="D904" s="69"/>
      <c r="E904" s="68" t="s">
        <v>72</v>
      </c>
      <c r="F904" s="15" t="str">
        <f>IF($C904="","",IF($E904="","-",IFERROR(INDEX(SETUP!$B$55:$B$64,MATCH($E904,SETUP!$A$55:$A$64,0)),"Other")))</f>
        <v>Frontline</v>
      </c>
      <c r="G904" s="70">
        <v>62875</v>
      </c>
      <c r="H904" s="15" t="str">
        <f>IF($C904="","",IF($G904="","-",INDEX(SETUP!$B$26:$B$32,MATCH($G904,SETUP!$A$26:$A$32,1))))</f>
        <v>62,000 - 62,999</v>
      </c>
      <c r="I904" s="70">
        <v>6730</v>
      </c>
      <c r="J904" s="15" t="str">
        <f>IF($C904="","",IF($I904="","-",INDEX(SETUP!$B$16:$B$22,MATCH($I904,SETUP!$A$16:$A$22,1))))</f>
        <v>VETERAN</v>
      </c>
      <c r="K904" s="15" t="str">
        <f>IF($C904="","",IF($I904="","-",TEXT(INT($I904/1000)*1000,"#,##0")&amp;" - "&amp;TEXT(INT($I904/1000)*1000+999,"#,##0")))</f>
        <v>6,000 - 6,999</v>
      </c>
      <c r="L904" s="71">
        <v>6.04</v>
      </c>
      <c r="M904" s="15" t="str">
        <f>IF($C904="","",IF($L904="","-",INDEX(SETUP!$B$36:$B$42,MATCH($L904,SETUP!$A$36:$A$42,1))))</f>
        <v>6k - 8k</v>
      </c>
      <c r="N904" s="17">
        <f>IF($C904="","",IF(OR($G904="",$I904=""),"",ROUND(100*(SETUP!$B$4*MIN(1,$I904/SETUP!$B$9)+SETUP!$B$5*MAX(0,MIN(1,($G904-SETUP!$B$10)/(SETUP!$B$11-SETUP!$B$10)))+SETUP!$B$6*MIN(1,IF($L904="",0,$L904)/SETUP!$B$12)),1)))</f>
        <v>60.2</v>
      </c>
      <c r="O904" s="15" t="str">
        <f>IF($C904="","",IF($N904="","-",INDEX(SETUP!$B$46:$B$51,MATCH($N904,SETUP!$A$46:$A$51,1))))</f>
        <v>A</v>
      </c>
      <c r="P904" s="15">
        <f>IF($C904="","",IF($I904="","",RANK($I904,$I$4:$I$1463)+COUNTIF($I$4:$I904,$I904)-1))</f>
        <v>240</v>
      </c>
      <c r="Q904" s="15">
        <f>IF($C904="","",COUNTIFS($B$4:$B$1463,$B904,$X$4:$X$1463,"&gt;"&amp;$X904)+COUNTIFS($B$4:$B904,$B904,$X$4:$X904,"="&amp;$X904))</f>
        <v>25</v>
      </c>
      <c r="R904" s="72">
        <f>IF($C904="","",IF($I904="","",ROUND(COUNTIF($I$4:$I$1463,"&lt;"&amp;$I904)/COUNT($I$4:$I$1463),3)))</f>
        <v>0.81899999999999995</v>
      </c>
      <c r="S904" s="15" t="str">
        <f>IF($C904="","",IF($G904="","Name only",IF(OR($I904="",$L904=""),"Partial","Complete")))</f>
        <v>Complete</v>
      </c>
      <c r="T904" s="41" t="str">
        <f>IF($C904="","",TRIM(IF(COUNTIF($C$4:$C$1463,$C904)&gt;1,"Dup name; ","")&amp;IF(AND($G904&lt;&gt;"",$G904&lt;55000),"Low CR - verify; ","")&amp;IF(AND($L904&lt;&gt;"",$L904&gt;15),"Secondary - verify; ","")&amp;IF($E904="","No class; ","")))</f>
        <v/>
      </c>
      <c r="U904" s="68"/>
      <c r="V904" s="68"/>
      <c r="W904" s="68"/>
      <c r="X904" s="73">
        <f t="shared" si="72"/>
        <v>6730</v>
      </c>
      <c r="Y904" s="41" t="str">
        <f t="shared" si="73"/>
        <v>LEGENDS|25</v>
      </c>
      <c r="Z904" s="15">
        <f>IF($C904="","",IF($G904="","",RANK($G904,$G$4:$G$1463)+COUNTIF($G$4:$G904,$G904)-1))</f>
        <v>483</v>
      </c>
      <c r="AA904" s="15">
        <f>IF($C904="","",IF($N904="","",RANK($N904,$N$4:$N$1463)+COUNTIF($N$4:$N904,$N904)-1))</f>
        <v>233</v>
      </c>
      <c r="AB904" s="41" t="str">
        <f>IF($C904="","",IF($E904="","",$E904&amp;"#"&amp;(COUNTIFS($E$4:$E$1463,$E904,$X$4:$X$1463,"&gt;"&amp;$X904)+COUNTIFS($E$4:$E904,$E904,$X$4:$X904,"="&amp;$X904))))</f>
        <v>BLOOD KNIGHT#13</v>
      </c>
      <c r="AC904" s="41" t="str">
        <f>IF($C904="","",$B904&amp;"@"&amp;(COUNTIFS($B$4:$B$1463,$B904,$C$4:$C$1463,"&lt;"&amp;$C904)+COUNTIFS($B$4:$B904,$B904,$C$4:$C904,$C904)))</f>
        <v>LEGENDS@74</v>
      </c>
      <c r="AD904" s="41">
        <f t="shared" si="74"/>
        <v>901</v>
      </c>
      <c r="AE904" s="41" t="s">
        <v>2075</v>
      </c>
      <c r="AF904" s="73">
        <f t="shared" si="75"/>
        <v>62875</v>
      </c>
      <c r="AG904" s="74">
        <f t="shared" si="76"/>
        <v>6.04</v>
      </c>
      <c r="AH904" s="41" t="str">
        <f>IF($C904="","",$B904&amp;"|"&amp;(COUNTIFS($B$4:$B$1463,$B904,$AF$4:$AF$1463,"&gt;"&amp;$AF904)+COUNTIFS($B$4:$B904,$B904,$AF$4:$AF904,"="&amp;$AF904)))</f>
        <v>LEGENDS|57</v>
      </c>
      <c r="AI904" s="41" t="str">
        <f>IF($C904="","",$B904&amp;"|"&amp;(COUNTIFS($B$4:$B$1463,$B904,$AG$4:$AG$1463,"&gt;"&amp;$AG904)+COUNTIFS($B$4:$B904,$B904,$AG$4:$AG904,"="&amp;$AG904)))</f>
        <v>LEGENDS|20</v>
      </c>
    </row>
    <row r="905" spans="1:35" hidden="1">
      <c r="A905" s="69" t="s">
        <v>109</v>
      </c>
      <c r="B905" s="69" t="s">
        <v>118</v>
      </c>
      <c r="C905" s="63" t="s">
        <v>2076</v>
      </c>
      <c r="D905" s="69"/>
      <c r="E905" s="68" t="s">
        <v>79</v>
      </c>
      <c r="F905" s="19" t="str">
        <f>IF($C905="","",IF($E905="","-",IFERROR(INDEX(SETUP!$B$55:$B$64,MATCH($E905,SETUP!$A$55:$A$64,0)),"Other")))</f>
        <v>Control</v>
      </c>
      <c r="G905" s="70">
        <v>61374</v>
      </c>
      <c r="H905" s="19" t="str">
        <f>IF($C905="","",IF($G905="","-",INDEX(SETUP!$B$26:$B$32,MATCH($G905,SETUP!$A$26:$A$32,1))))</f>
        <v>61,000 - 61,999</v>
      </c>
      <c r="I905" s="70">
        <v>1528</v>
      </c>
      <c r="J905" s="19" t="str">
        <f>IF($C905="","",IF($I905="","-",INDEX(SETUP!$B$16:$B$22,MATCH($I905,SETUP!$A$16:$A$22,1))))</f>
        <v>ROOKIE</v>
      </c>
      <c r="K905" s="19" t="str">
        <f>IF($C905="","",IF($I905="","-",TEXT(INT($I905/1000)*1000,"#,##0")&amp;" - "&amp;TEXT(INT($I905/1000)*1000+999,"#,##0")))</f>
        <v>1,000 - 1,999</v>
      </c>
      <c r="L905" s="71">
        <v>3.2</v>
      </c>
      <c r="M905" s="19" t="str">
        <f>IF($C905="","",IF($L905="","-",INDEX(SETUP!$B$36:$B$42,MATCH($L905,SETUP!$A$36:$A$42,1))))</f>
        <v>3k - 4k</v>
      </c>
      <c r="N905" s="21">
        <f>IF($C905="","",IF(OR($G905="",$I905=""),"",ROUND(100*(SETUP!$B$4*MIN(1,$I905/SETUP!$B$9)+SETUP!$B$5*MAX(0,MIN(1,($G905-SETUP!$B$10)/(SETUP!$B$11-SETUP!$B$10)))+SETUP!$B$6*MIN(1,IF($L905="",0,$L905)/SETUP!$B$12)),1)))</f>
        <v>28.8</v>
      </c>
      <c r="O905" s="19" t="str">
        <f>IF($C905="","",IF($N905="","-",INDEX(SETUP!$B$46:$B$51,MATCH($N905,SETUP!$A$46:$A$51,1))))</f>
        <v>C</v>
      </c>
      <c r="P905" s="19">
        <f>IF($C905="","",IF($I905="","",RANK($I905,$I$4:$I$1463)+COUNTIF($I$4:$I905,$I905)-1))</f>
        <v>1183</v>
      </c>
      <c r="Q905" s="19">
        <f>IF($C905="","",COUNTIFS($B$4:$B$1463,$B905,$X$4:$X$1463,"&gt;"&amp;$X905)+COUNTIFS($B$4:$B905,$B905,$X$4:$X905,"="&amp;$X905))</f>
        <v>57</v>
      </c>
      <c r="R905" s="75">
        <f>IF($C905="","",IF($I905="","",ROUND(COUNTIF($I$4:$I$1463,"&lt;"&amp;$I905)/COUNT($I$4:$I$1463),3)))</f>
        <v>0.107</v>
      </c>
      <c r="S905" s="19" t="str">
        <f>IF($C905="","",IF($G905="","Name only",IF(OR($I905="",$L905=""),"Partial","Complete")))</f>
        <v>Complete</v>
      </c>
      <c r="T905" s="1" t="str">
        <f>IF($C905="","",TRIM(IF(COUNTIF($C$4:$C$1463,$C905)&gt;1,"Dup name; ","")&amp;IF(AND($G905&lt;&gt;"",$G905&lt;55000),"Low CR - verify; ","")&amp;IF(AND($L905&lt;&gt;"",$L905&gt;15),"Secondary - verify; ","")&amp;IF($E905="","No class; ","")))</f>
        <v/>
      </c>
      <c r="U905" s="68"/>
      <c r="V905" s="68"/>
      <c r="W905" s="68"/>
      <c r="X905" s="76">
        <f t="shared" si="72"/>
        <v>1528</v>
      </c>
      <c r="Y905" s="1" t="str">
        <f t="shared" si="73"/>
        <v>ZOMBIES|57</v>
      </c>
      <c r="Z905" s="19">
        <f>IF($C905="","",IF($G905="","",RANK($G905,$G$4:$G$1463)+COUNTIF($G$4:$G905,$G905)-1))</f>
        <v>1043</v>
      </c>
      <c r="AA905" s="19">
        <f>IF($C905="","",IF($N905="","",RANK($N905,$N$4:$N$1463)+COUNTIF($N$4:$N905,$N905)-1))</f>
        <v>1176</v>
      </c>
      <c r="AB905" s="1" t="str">
        <f>IF($C905="","",IF($E905="","",$E905&amp;"#"&amp;(COUNTIFS($E$4:$E$1463,$E905,$X$4:$X$1463,"&gt;"&amp;$X905)+COUNTIFS($E$4:$E905,$E905,$X$4:$X905,"="&amp;$X905))))</f>
        <v>WARLOCK#292</v>
      </c>
      <c r="AC905" s="1" t="str">
        <f>IF($C905="","",$B905&amp;"@"&amp;(COUNTIFS($B$4:$B$1463,$B905,$C$4:$C$1463,"&lt;"&amp;$C905)+COUNTIFS($B$4:$B905,$B905,$C$4:$C905,$C905)))</f>
        <v>ZOMBIES@65</v>
      </c>
      <c r="AD905" s="1">
        <f t="shared" si="74"/>
        <v>902</v>
      </c>
      <c r="AE905" s="1" t="s">
        <v>1160</v>
      </c>
      <c r="AF905" s="76">
        <f t="shared" si="75"/>
        <v>61374</v>
      </c>
      <c r="AG905" s="77">
        <f t="shared" si="76"/>
        <v>3.2</v>
      </c>
      <c r="AH905" s="1" t="str">
        <f>IF($C905="","",$B905&amp;"|"&amp;(COUNTIFS($B$4:$B$1463,$B905,$AF$4:$AF$1463,"&gt;"&amp;$AF905)+COUNTIFS($B$4:$B905,$B905,$AF$4:$AF905,"="&amp;$AF905)))</f>
        <v>ZOMBIES|42</v>
      </c>
      <c r="AI905" s="1" t="str">
        <f>IF($C905="","",$B905&amp;"|"&amp;(COUNTIFS($B$4:$B$1463,$B905,$AG$4:$AG$1463,"&gt;"&amp;$AG905)+COUNTIFS($B$4:$B905,$B905,$AG$4:$AG905,"="&amp;$AG905)))</f>
        <v>ZOMBIES|62</v>
      </c>
    </row>
    <row r="906" spans="1:35" hidden="1">
      <c r="A906" s="69" t="s">
        <v>109</v>
      </c>
      <c r="B906" s="69" t="s">
        <v>113</v>
      </c>
      <c r="C906" s="63" t="s">
        <v>2077</v>
      </c>
      <c r="D906" s="69" t="s">
        <v>548</v>
      </c>
      <c r="E906" s="68" t="s">
        <v>71</v>
      </c>
      <c r="F906" s="15" t="str">
        <f>IF($C906="","",IF($E906="","-",IFERROR(INDEX(SETUP!$B$55:$B$64,MATCH($E906,SETUP!$A$55:$A$64,0)),"Other")))</f>
        <v>Frontline</v>
      </c>
      <c r="G906" s="70">
        <v>63942</v>
      </c>
      <c r="H906" s="15" t="str">
        <f>IF($C906="","",IF($G906="","-",INDEX(SETUP!$B$26:$B$32,MATCH($G906,SETUP!$A$26:$A$32,1))))</f>
        <v>63,000 - 63,999</v>
      </c>
      <c r="I906" s="70">
        <v>7342</v>
      </c>
      <c r="J906" s="15" t="str">
        <f>IF($C906="","",IF($I906="","-",INDEX(SETUP!$B$16:$B$22,MATCH($I906,SETUP!$A$16:$A$22,1))))</f>
        <v>VETERAN</v>
      </c>
      <c r="K906" s="15" t="str">
        <f>IF($C906="","",IF($I906="","-",TEXT(INT($I906/1000)*1000,"#,##0")&amp;" - "&amp;TEXT(INT($I906/1000)*1000+999,"#,##0")))</f>
        <v>7,000 - 7,999</v>
      </c>
      <c r="L906" s="71">
        <v>6.27</v>
      </c>
      <c r="M906" s="15" t="str">
        <f>IF($C906="","",IF($L906="","-",INDEX(SETUP!$B$36:$B$42,MATCH($L906,SETUP!$A$36:$A$42,1))))</f>
        <v>6k - 8k</v>
      </c>
      <c r="N906" s="17">
        <f>IF($C906="","",IF(OR($G906="",$I906=""),"",ROUND(100*(SETUP!$B$4*MIN(1,$I906/SETUP!$B$9)+SETUP!$B$5*MAX(0,MIN(1,($G906-SETUP!$B$10)/(SETUP!$B$11-SETUP!$B$10)))+SETUP!$B$6*MIN(1,IF($L906="",0,$L906)/SETUP!$B$12)),1)))</f>
        <v>66</v>
      </c>
      <c r="O906" s="15" t="str">
        <f>IF($C906="","",IF($N906="","-",INDEX(SETUP!$B$46:$B$51,MATCH($N906,SETUP!$A$46:$A$51,1))))</f>
        <v>S</v>
      </c>
      <c r="P906" s="15">
        <f>IF($C906="","",IF($I906="","",RANK($I906,$I$4:$I$1463)+COUNTIF($I$4:$I906,$I906)-1))</f>
        <v>190</v>
      </c>
      <c r="Q906" s="15">
        <f>IF($C906="","",COUNTIFS($B$4:$B$1463,$B906,$X$4:$X$1463,"&gt;"&amp;$X906)+COUNTIFS($B$4:$B906,$B906,$X$4:$X906,"="&amp;$X906))</f>
        <v>4</v>
      </c>
      <c r="R906" s="72">
        <f>IF($C906="","",IF($I906="","",ROUND(COUNTIF($I$4:$I$1463,"&lt;"&amp;$I906)/COUNT($I$4:$I$1463),3)))</f>
        <v>0.85699999999999998</v>
      </c>
      <c r="S906" s="15" t="str">
        <f>IF($C906="","",IF($G906="","Name only",IF(OR($I906="",$L906=""),"Partial","Complete")))</f>
        <v>Complete</v>
      </c>
      <c r="T906" s="41" t="str">
        <f>IF($C906="","",TRIM(IF(COUNTIF($C$4:$C$1463,$C906)&gt;1,"Dup name; ","")&amp;IF(AND($G906&lt;&gt;"",$G906&lt;55000),"Low CR - verify; ","")&amp;IF(AND($L906&lt;&gt;"",$L906&gt;15),"Secondary - verify; ","")&amp;IF($E906="","No class; ","")))</f>
        <v/>
      </c>
      <c r="U906" s="68"/>
      <c r="V906" s="68"/>
      <c r="W906" s="68"/>
      <c r="X906" s="73">
        <f t="shared" si="72"/>
        <v>7342</v>
      </c>
      <c r="Y906" s="41" t="str">
        <f t="shared" si="73"/>
        <v>INVICTUS|4</v>
      </c>
      <c r="Z906" s="15">
        <f>IF($C906="","",IF($G906="","",RANK($G906,$G$4:$G$1463)+COUNTIF($G$4:$G906,$G906)-1))</f>
        <v>85</v>
      </c>
      <c r="AA906" s="15">
        <f>IF($C906="","",IF($N906="","",RANK($N906,$N$4:$N$1463)+COUNTIF($N$4:$N906,$N906)-1))</f>
        <v>165</v>
      </c>
      <c r="AB906" s="41" t="str">
        <f>IF($C906="","",IF($E906="","",$E906&amp;"#"&amp;(COUNTIFS($E$4:$E$1463,$E906,$X$4:$X$1463,"&gt;"&amp;$X906)+COUNTIFS($E$4:$E906,$E906,$X$4:$X906,"="&amp;$X906))))</f>
        <v>BARBARIAN#42</v>
      </c>
      <c r="AC906" s="41" t="str">
        <f>IF($C906="","",$B906&amp;"@"&amp;(COUNTIFS($B$4:$B$1463,$B906,$C$4:$C$1463,"&lt;"&amp;$C906)+COUNTIFS($B$4:$B906,$B906,$C$4:$C906,$C906)))</f>
        <v>INVICTUS@69</v>
      </c>
      <c r="AD906" s="41">
        <f t="shared" si="74"/>
        <v>903</v>
      </c>
      <c r="AE906" s="41" t="s">
        <v>2078</v>
      </c>
      <c r="AF906" s="73">
        <f t="shared" si="75"/>
        <v>63942</v>
      </c>
      <c r="AG906" s="74">
        <f t="shared" si="76"/>
        <v>6.27</v>
      </c>
      <c r="AH906" s="41" t="str">
        <f>IF($C906="","",$B906&amp;"|"&amp;(COUNTIFS($B$4:$B$1463,$B906,$AF$4:$AF$1463,"&gt;"&amp;$AF906)+COUNTIFS($B$4:$B906,$B906,$AF$4:$AF906,"="&amp;$AF906)))</f>
        <v>INVICTUS|2</v>
      </c>
      <c r="AI906" s="41" t="str">
        <f>IF($C906="","",$B906&amp;"|"&amp;(COUNTIFS($B$4:$B$1463,$B906,$AG$4:$AG$1463,"&gt;"&amp;$AG906)+COUNTIFS($B$4:$B906,$B906,$AG$4:$AG906,"="&amp;$AG906)))</f>
        <v>INVICTUS|8</v>
      </c>
    </row>
    <row r="907" spans="1:35" hidden="1">
      <c r="A907" s="69" t="s">
        <v>109</v>
      </c>
      <c r="B907" s="69" t="s">
        <v>116</v>
      </c>
      <c r="C907" s="63" t="s">
        <v>2079</v>
      </c>
      <c r="D907" s="69" t="s">
        <v>530</v>
      </c>
      <c r="E907" s="68" t="s">
        <v>74</v>
      </c>
      <c r="F907" s="19" t="str">
        <f>IF($C907="","",IF($E907="","-",IFERROR(INDEX(SETUP!$B$55:$B$64,MATCH($E907,SETUP!$A$55:$A$64,0)),"Other")))</f>
        <v>Ranged DPS</v>
      </c>
      <c r="G907" s="70">
        <v>61010</v>
      </c>
      <c r="H907" s="19" t="str">
        <f>IF($C907="","",IF($G907="","-",INDEX(SETUP!$B$26:$B$32,MATCH($G907,SETUP!$A$26:$A$32,1))))</f>
        <v>61,000 - 61,999</v>
      </c>
      <c r="I907" s="70">
        <v>2806</v>
      </c>
      <c r="J907" s="19" t="str">
        <f>IF($C907="","",IF($I907="","-",INDEX(SETUP!$B$16:$B$22,MATCH($I907,SETUP!$A$16:$A$22,1))))</f>
        <v>DEVELOPING</v>
      </c>
      <c r="K907" s="19" t="str">
        <f>IF($C907="","",IF($I907="","-",TEXT(INT($I907/1000)*1000,"#,##0")&amp;" - "&amp;TEXT(INT($I907/1000)*1000+999,"#,##0")))</f>
        <v>2,000 - 2,999</v>
      </c>
      <c r="L907" s="71">
        <v>5.37</v>
      </c>
      <c r="M907" s="19" t="str">
        <f>IF($C907="","",IF($L907="","-",INDEX(SETUP!$B$36:$B$42,MATCH($L907,SETUP!$A$36:$A$42,1))))</f>
        <v>5k - 6k</v>
      </c>
      <c r="N907" s="21">
        <f>IF($C907="","",IF(OR($G907="",$I907=""),"",ROUND(100*(SETUP!$B$4*MIN(1,$I907/SETUP!$B$9)+SETUP!$B$5*MAX(0,MIN(1,($G907-SETUP!$B$10)/(SETUP!$B$11-SETUP!$B$10)))+SETUP!$B$6*MIN(1,IF($L907="",0,$L907)/SETUP!$B$12)),1)))</f>
        <v>37</v>
      </c>
      <c r="O907" s="19" t="str">
        <f>IF($C907="","",IF($N907="","-",INDEX(SETUP!$B$46:$B$51,MATCH($N907,SETUP!$A$46:$A$51,1))))</f>
        <v>B</v>
      </c>
      <c r="P907" s="19">
        <f>IF($C907="","",IF($I907="","",RANK($I907,$I$4:$I$1463)+COUNTIF($I$4:$I907,$I907)-1))</f>
        <v>932</v>
      </c>
      <c r="Q907" s="19">
        <f>IF($C907="","",COUNTIFS($B$4:$B$1463,$B907,$X$4:$X$1463,"&gt;"&amp;$X907)+COUNTIFS($B$4:$B907,$B907,$X$4:$X907,"="&amp;$X907))</f>
        <v>61</v>
      </c>
      <c r="R907" s="75">
        <f>IF($C907="","",IF($I907="","",ROUND(COUNTIF($I$4:$I$1463,"&lt;"&amp;$I907)/COUNT($I$4:$I$1463),3)))</f>
        <v>0.29699999999999999</v>
      </c>
      <c r="S907" s="19" t="str">
        <f>IF($C907="","",IF($G907="","Name only",IF(OR($I907="",$L907=""),"Partial","Complete")))</f>
        <v>Complete</v>
      </c>
      <c r="T907" s="1" t="str">
        <f>IF($C907="","",TRIM(IF(COUNTIF($C$4:$C$1463,$C907)&gt;1,"Dup name; ","")&amp;IF(AND($G907&lt;&gt;"",$G907&lt;55000),"Low CR - verify; ","")&amp;IF(AND($L907&lt;&gt;"",$L907&gt;15),"Secondary - verify; ","")&amp;IF($E907="","No class; ","")))</f>
        <v/>
      </c>
      <c r="U907" s="68"/>
      <c r="V907" s="68"/>
      <c r="W907" s="68"/>
      <c r="X907" s="76">
        <f t="shared" si="72"/>
        <v>2806</v>
      </c>
      <c r="Y907" s="1" t="str">
        <f t="shared" si="73"/>
        <v>VENGEANCE|61</v>
      </c>
      <c r="Z907" s="19">
        <f>IF($C907="","",IF($G907="","",RANK($G907,$G$4:$G$1463)+COUNTIF($G$4:$G907,$G907)-1))</f>
        <v>1129</v>
      </c>
      <c r="AA907" s="19">
        <f>IF($C907="","",IF($N907="","",RANK($N907,$N$4:$N$1463)+COUNTIF($N$4:$N907,$N907)-1))</f>
        <v>930</v>
      </c>
      <c r="AB907" s="1" t="str">
        <f>IF($C907="","",IF($E907="","",$E907&amp;"#"&amp;(COUNTIFS($E$4:$E$1463,$E907,$X$4:$X$1463,"&gt;"&amp;$X907)+COUNTIFS($E$4:$E907,$E907,$X$4:$X907,"="&amp;$X907))))</f>
        <v>DEMON HUNTER#148</v>
      </c>
      <c r="AC907" s="1" t="str">
        <f>IF($C907="","",$B907&amp;"@"&amp;(COUNTIFS($B$4:$B$1463,$B907,$C$4:$C$1463,"&lt;"&amp;$C907)+COUNTIFS($B$4:$B907,$B907,$C$4:$C907,$C907)))</f>
        <v>VENGEANCE@57</v>
      </c>
      <c r="AD907" s="1">
        <f t="shared" si="74"/>
        <v>904</v>
      </c>
      <c r="AE907" s="1" t="s">
        <v>2080</v>
      </c>
      <c r="AF907" s="76">
        <f t="shared" si="75"/>
        <v>61010</v>
      </c>
      <c r="AG907" s="77">
        <f t="shared" si="76"/>
        <v>5.37</v>
      </c>
      <c r="AH907" s="1" t="str">
        <f>IF($C907="","",$B907&amp;"|"&amp;(COUNTIFS($B$4:$B$1463,$B907,$AF$4:$AF$1463,"&gt;"&amp;$AF907)+COUNTIFS($B$4:$B907,$B907,$AF$4:$AF907,"="&amp;$AF907)))</f>
        <v>VENGEANCE|76</v>
      </c>
      <c r="AI907" s="1" t="str">
        <f>IF($C907="","",$B907&amp;"|"&amp;(COUNTIFS($B$4:$B$1463,$B907,$AG$4:$AG$1463,"&gt;"&amp;$AG907)+COUNTIFS($B$4:$B907,$B907,$AG$4:$AG907,"="&amp;$AG907)))</f>
        <v>VENGEANCE|22</v>
      </c>
    </row>
    <row r="908" spans="1:35" hidden="1">
      <c r="A908" s="69" t="s">
        <v>109</v>
      </c>
      <c r="B908" s="69" t="s">
        <v>108</v>
      </c>
      <c r="C908" s="63" t="s">
        <v>2081</v>
      </c>
      <c r="D908" s="69"/>
      <c r="E908" s="68" t="s">
        <v>74</v>
      </c>
      <c r="F908" s="15" t="str">
        <f>IF($C908="","",IF($E908="","-",IFERROR(INDEX(SETUP!$B$55:$B$64,MATCH($E908,SETUP!$A$55:$A$64,0)),"Other")))</f>
        <v>Ranged DPS</v>
      </c>
      <c r="G908" s="70">
        <v>63873</v>
      </c>
      <c r="H908" s="15" t="str">
        <f>IF($C908="","",IF($G908="","-",INDEX(SETUP!$B$26:$B$32,MATCH($G908,SETUP!$A$26:$A$32,1))))</f>
        <v>63,000 - 63,999</v>
      </c>
      <c r="I908" s="70">
        <v>8652</v>
      </c>
      <c r="J908" s="15" t="str">
        <f>IF($C908="","",IF($I908="","-",INDEX(SETUP!$B$16:$B$22,MATCH($I908,SETUP!$A$16:$A$22,1))))</f>
        <v>ELITE</v>
      </c>
      <c r="K908" s="15" t="str">
        <f>IF($C908="","",IF($I908="","-",TEXT(INT($I908/1000)*1000,"#,##0")&amp;" - "&amp;TEXT(INT($I908/1000)*1000+999,"#,##0")))</f>
        <v>8,000 - 8,999</v>
      </c>
      <c r="L908" s="71">
        <v>6.65</v>
      </c>
      <c r="M908" s="15" t="str">
        <f>IF($C908="","",IF($L908="","-",INDEX(SETUP!$B$36:$B$42,MATCH($L908,SETUP!$A$36:$A$42,1))))</f>
        <v>6k - 8k</v>
      </c>
      <c r="N908" s="17">
        <f>IF($C908="","",IF(OR($G908="",$I908=""),"",ROUND(100*(SETUP!$B$4*MIN(1,$I908/SETUP!$B$9)+SETUP!$B$5*MAX(0,MIN(1,($G908-SETUP!$B$10)/(SETUP!$B$11-SETUP!$B$10)))+SETUP!$B$6*MIN(1,IF($L908="",0,$L908)/SETUP!$B$12)),1)))</f>
        <v>72.2</v>
      </c>
      <c r="O908" s="15" t="str">
        <f>IF($C908="","",IF($N908="","-",INDEX(SETUP!$B$46:$B$51,MATCH($N908,SETUP!$A$46:$A$51,1))))</f>
        <v>S</v>
      </c>
      <c r="P908" s="15">
        <f>IF($C908="","",IF($I908="","",RANK($I908,$I$4:$I$1463)+COUNTIF($I$4:$I908,$I908)-1))</f>
        <v>111</v>
      </c>
      <c r="Q908" s="15">
        <f>IF($C908="","",COUNTIFS($B$4:$B$1463,$B908,$X$4:$X$1463,"&gt;"&amp;$X908)+COUNTIFS($B$4:$B908,$B908,$X$4:$X908,"="&amp;$X908))</f>
        <v>17</v>
      </c>
      <c r="R908" s="72">
        <f>IF($C908="","",IF($I908="","",ROUND(COUNTIF($I$4:$I$1463,"&lt;"&amp;$I908)/COUNT($I$4:$I$1463),3)))</f>
        <v>0.91500000000000004</v>
      </c>
      <c r="S908" s="15" t="str">
        <f>IF($C908="","",IF($G908="","Name only",IF(OR($I908="",$L908=""),"Partial","Complete")))</f>
        <v>Complete</v>
      </c>
      <c r="T908" s="41" t="str">
        <f>IF($C908="","",TRIM(IF(COUNTIF($C$4:$C$1463,$C908)&gt;1,"Dup name; ","")&amp;IF(AND($G908&lt;&gt;"",$G908&lt;55000),"Low CR - verify; ","")&amp;IF(AND($L908&lt;&gt;"",$L908&gt;15),"Secondary - verify; ","")&amp;IF($E908="","No class; ","")))</f>
        <v/>
      </c>
      <c r="U908" s="68"/>
      <c r="V908" s="68"/>
      <c r="W908" s="68"/>
      <c r="X908" s="73">
        <f t="shared" si="72"/>
        <v>8652</v>
      </c>
      <c r="Y908" s="41" t="str">
        <f t="shared" si="73"/>
        <v>SBG|17</v>
      </c>
      <c r="Z908" s="15">
        <f>IF($C908="","",IF($G908="","",RANK($G908,$G$4:$G$1463)+COUNTIF($G$4:$G908,$G908)-1))</f>
        <v>105</v>
      </c>
      <c r="AA908" s="15">
        <f>IF($C908="","",IF($N908="","",RANK($N908,$N$4:$N$1463)+COUNTIF($N$4:$N908,$N908)-1))</f>
        <v>111</v>
      </c>
      <c r="AB908" s="41" t="str">
        <f>IF($C908="","",IF($E908="","",$E908&amp;"#"&amp;(COUNTIFS($E$4:$E$1463,$E908,$X$4:$X$1463,"&gt;"&amp;$X908)+COUNTIFS($E$4:$E908,$E908,$X$4:$X908,"="&amp;$X908))))</f>
        <v>DEMON HUNTER#21</v>
      </c>
      <c r="AC908" s="41" t="str">
        <f>IF($C908="","",$B908&amp;"@"&amp;(COUNTIFS($B$4:$B$1463,$B908,$C$4:$C$1463,"&lt;"&amp;$C908)+COUNTIFS($B$4:$B908,$B908,$C$4:$C908,$C908)))</f>
        <v>SBG@53</v>
      </c>
      <c r="AD908" s="41">
        <f t="shared" si="74"/>
        <v>905</v>
      </c>
      <c r="AE908" s="41" t="s">
        <v>2082</v>
      </c>
      <c r="AF908" s="73">
        <f t="shared" si="75"/>
        <v>63873</v>
      </c>
      <c r="AG908" s="74">
        <f t="shared" si="76"/>
        <v>6.65</v>
      </c>
      <c r="AH908" s="41" t="str">
        <f>IF($C908="","",$B908&amp;"|"&amp;(COUNTIFS($B$4:$B$1463,$B908,$AF$4:$AF$1463,"&gt;"&amp;$AF908)+COUNTIFS($B$4:$B908,$B908,$AF$4:$AF908,"="&amp;$AF908)))</f>
        <v>SBG|18</v>
      </c>
      <c r="AI908" s="41" t="str">
        <f>IF($C908="","",$B908&amp;"|"&amp;(COUNTIFS($B$4:$B$1463,$B908,$AG$4:$AG$1463,"&gt;"&amp;$AG908)+COUNTIFS($B$4:$B908,$B908,$AG$4:$AG908,"="&amp;$AG908)))</f>
        <v>SBG|27</v>
      </c>
    </row>
    <row r="909" spans="1:35" hidden="1">
      <c r="A909" s="69" t="s">
        <v>109</v>
      </c>
      <c r="B909" s="69" t="s">
        <v>114</v>
      </c>
      <c r="C909" s="63" t="s">
        <v>2083</v>
      </c>
      <c r="D909" s="69"/>
      <c r="E909" s="68" t="s">
        <v>78</v>
      </c>
      <c r="F909" s="19" t="str">
        <f>IF($C909="","",IF($E909="","-",IFERROR(INDEX(SETUP!$B$55:$B$64,MATCH($E909,SETUP!$A$55:$A$64,0)),"Other")))</f>
        <v>Melee DPS</v>
      </c>
      <c r="G909" s="70">
        <v>57745</v>
      </c>
      <c r="H909" s="19" t="str">
        <f>IF($C909="","",IF($G909="","-",INDEX(SETUP!$B$26:$B$32,MATCH($G909,SETUP!$A$26:$A$32,1))))</f>
        <v>Under 58,000</v>
      </c>
      <c r="I909" s="70">
        <v>1890</v>
      </c>
      <c r="J909" s="19" t="str">
        <f>IF($C909="","",IF($I909="","-",INDEX(SETUP!$B$16:$B$22,MATCH($I909,SETUP!$A$16:$A$22,1))))</f>
        <v>ROOKIE</v>
      </c>
      <c r="K909" s="19" t="str">
        <f>IF($C909="","",IF($I909="","-",TEXT(INT($I909/1000)*1000,"#,##0")&amp;" - "&amp;TEXT(INT($I909/1000)*1000+999,"#,##0")))</f>
        <v>1,000 - 1,999</v>
      </c>
      <c r="L909" s="71">
        <v>3.2</v>
      </c>
      <c r="M909" s="19" t="str">
        <f>IF($C909="","",IF($L909="","-",INDEX(SETUP!$B$36:$B$42,MATCH($L909,SETUP!$A$36:$A$42,1))))</f>
        <v>3k - 4k</v>
      </c>
      <c r="N909" s="21">
        <f>IF($C909="","",IF(OR($G909="",$I909=""),"",ROUND(100*(SETUP!$B$4*MIN(1,$I909/SETUP!$B$9)+SETUP!$B$5*MAX(0,MIN(1,($G909-SETUP!$B$10)/(SETUP!$B$11-SETUP!$B$10)))+SETUP!$B$6*MIN(1,IF($L909="",0,$L909)/SETUP!$B$12)),1)))</f>
        <v>20.8</v>
      </c>
      <c r="O909" s="19" t="str">
        <f>IF($C909="","",IF($N909="","-",INDEX(SETUP!$B$46:$B$51,MATCH($N909,SETUP!$A$46:$A$51,1))))</f>
        <v>C</v>
      </c>
      <c r="P909" s="19">
        <f>IF($C909="","",IF($I909="","",RANK($I909,$I$4:$I$1463)+COUNTIF($I$4:$I909,$I909)-1))</f>
        <v>1134</v>
      </c>
      <c r="Q909" s="19">
        <f>IF($C909="","",COUNTIFS($B$4:$B$1463,$B909,$X$4:$X$1463,"&gt;"&amp;$X909)+COUNTIFS($B$4:$B909,$B909,$X$4:$X909,"="&amp;$X909))</f>
        <v>58</v>
      </c>
      <c r="R909" s="75">
        <f>IF($C909="","",IF($I909="","",ROUND(COUNTIF($I$4:$I$1463,"&lt;"&amp;$I909)/COUNT($I$4:$I$1463),3)))</f>
        <v>0.14399999999999999</v>
      </c>
      <c r="S909" s="19" t="str">
        <f>IF($C909="","",IF($G909="","Name only",IF(OR($I909="",$L909=""),"Partial","Complete")))</f>
        <v>Complete</v>
      </c>
      <c r="T909" s="1" t="str">
        <f>IF($C909="","",TRIM(IF(COUNTIF($C$4:$C$1463,$C909)&gt;1,"Dup name; ","")&amp;IF(AND($G909&lt;&gt;"",$G909&lt;55000),"Low CR - verify; ","")&amp;IF(AND($L909&lt;&gt;"",$L909&gt;15),"Secondary - verify; ","")&amp;IF($E909="","No class; ","")))</f>
        <v/>
      </c>
      <c r="U909" s="68"/>
      <c r="V909" s="68"/>
      <c r="W909" s="68"/>
      <c r="X909" s="76">
        <f t="shared" si="72"/>
        <v>1890</v>
      </c>
      <c r="Y909" s="1" t="str">
        <f t="shared" si="73"/>
        <v>EMERALD LEAF TRIBE|58</v>
      </c>
      <c r="Z909" s="19">
        <f>IF($C909="","",IF($G909="","",RANK($G909,$G$4:$G$1463)+COUNTIF($G$4:$G909,$G909)-1))</f>
        <v>1301</v>
      </c>
      <c r="AA909" s="19">
        <f>IF($C909="","",IF($N909="","",RANK($N909,$N$4:$N$1463)+COUNTIF($N$4:$N909,$N909)-1))</f>
        <v>1289</v>
      </c>
      <c r="AB909" s="1" t="str">
        <f>IF($C909="","",IF($E909="","",$E909&amp;"#"&amp;(COUNTIFS($E$4:$E$1463,$E909,$X$4:$X$1463,"&gt;"&amp;$X909)+COUNTIFS($E$4:$E909,$E909,$X$4:$X909,"="&amp;$X909))))</f>
        <v>TEMPEST#53</v>
      </c>
      <c r="AC909" s="1" t="str">
        <f>IF($C909="","",$B909&amp;"@"&amp;(COUNTIFS($B$4:$B$1463,$B909,$C$4:$C$1463,"&lt;"&amp;$C909)+COUNTIFS($B$4:$B909,$B909,$C$4:$C909,$C909)))</f>
        <v>EMERALD LEAF TRIBE@67</v>
      </c>
      <c r="AD909" s="1">
        <f t="shared" si="74"/>
        <v>906</v>
      </c>
      <c r="AE909" s="1" t="s">
        <v>2084</v>
      </c>
      <c r="AF909" s="76">
        <f t="shared" si="75"/>
        <v>57745</v>
      </c>
      <c r="AG909" s="77">
        <f t="shared" si="76"/>
        <v>3.2</v>
      </c>
      <c r="AH909" s="1" t="str">
        <f>IF($C909="","",$B909&amp;"|"&amp;(COUNTIFS($B$4:$B$1463,$B909,$AF$4:$AF$1463,"&gt;"&amp;$AF909)+COUNTIFS($B$4:$B909,$B909,$AF$4:$AF909,"="&amp;$AF909)))</f>
        <v>EMERALD LEAF TRIBE|90</v>
      </c>
      <c r="AI909" s="1" t="str">
        <f>IF($C909="","",$B909&amp;"|"&amp;(COUNTIFS($B$4:$B$1463,$B909,$AG$4:$AG$1463,"&gt;"&amp;$AG909)+COUNTIFS($B$4:$B909,$B909,$AG$4:$AG909,"="&amp;$AG909)))</f>
        <v>EMERALD LEAF TRIBE|71</v>
      </c>
    </row>
    <row r="910" spans="1:35" hidden="1">
      <c r="A910" s="69" t="s">
        <v>109</v>
      </c>
      <c r="B910" s="69" t="s">
        <v>110</v>
      </c>
      <c r="C910" s="63" t="s">
        <v>2085</v>
      </c>
      <c r="D910" s="69"/>
      <c r="E910" s="68" t="s">
        <v>79</v>
      </c>
      <c r="F910" s="15" t="str">
        <f>IF($C910="","",IF($E910="","-",IFERROR(INDEX(SETUP!$B$55:$B$64,MATCH($E910,SETUP!$A$55:$A$64,0)),"Other")))</f>
        <v>Control</v>
      </c>
      <c r="G910" s="70">
        <v>63312</v>
      </c>
      <c r="H910" s="15" t="str">
        <f>IF($C910="","",IF($G910="","-",INDEX(SETUP!$B$26:$B$32,MATCH($G910,SETUP!$A$26:$A$32,1))))</f>
        <v>63,000 - 63,999</v>
      </c>
      <c r="I910" s="70">
        <v>4577</v>
      </c>
      <c r="J910" s="15" t="str">
        <f>IF($C910="","",IF($I910="","-",INDEX(SETUP!$B$16:$B$22,MATCH($I910,SETUP!$A$16:$A$22,1))))</f>
        <v>CORE</v>
      </c>
      <c r="K910" s="15" t="str">
        <f>IF($C910="","",IF($I910="","-",TEXT(INT($I910/1000)*1000,"#,##0")&amp;" - "&amp;TEXT(INT($I910/1000)*1000+999,"#,##0")))</f>
        <v>4,000 - 4,999</v>
      </c>
      <c r="L910" s="71">
        <v>4.75</v>
      </c>
      <c r="M910" s="15" t="str">
        <f>IF($C910="","",IF($L910="","-",INDEX(SETUP!$B$36:$B$42,MATCH($L910,SETUP!$A$36:$A$42,1))))</f>
        <v>4k - 5k</v>
      </c>
      <c r="N910" s="17">
        <f>IF($C910="","",IF(OR($G910="",$I910=""),"",ROUND(100*(SETUP!$B$4*MIN(1,$I910/SETUP!$B$9)+SETUP!$B$5*MAX(0,MIN(1,($G910-SETUP!$B$10)/(SETUP!$B$11-SETUP!$B$10)))+SETUP!$B$6*MIN(1,IF($L910="",0,$L910)/SETUP!$B$12)),1)))</f>
        <v>49.8</v>
      </c>
      <c r="O910" s="15" t="str">
        <f>IF($C910="","",IF($N910="","-",INDEX(SETUP!$B$46:$B$51,MATCH($N910,SETUP!$A$46:$A$51,1))))</f>
        <v>B</v>
      </c>
      <c r="P910" s="15">
        <f>IF($C910="","",IF($I910="","",RANK($I910,$I$4:$I$1463)+COUNTIF($I$4:$I910,$I910)-1))</f>
        <v>480</v>
      </c>
      <c r="Q910" s="15">
        <f>IF($C910="","",COUNTIFS($B$4:$B$1463,$B910,$X$4:$X$1463,"&gt;"&amp;$X910)+COUNTIFS($B$4:$B910,$B910,$X$4:$X910,"="&amp;$X910))</f>
        <v>56</v>
      </c>
      <c r="R910" s="72">
        <f>IF($C910="","",IF($I910="","",ROUND(COUNTIF($I$4:$I$1463,"&lt;"&amp;$I910)/COUNT($I$4:$I$1463),3)))</f>
        <v>0.63800000000000001</v>
      </c>
      <c r="S910" s="15" t="str">
        <f>IF($C910="","",IF($G910="","Name only",IF(OR($I910="",$L910=""),"Partial","Complete")))</f>
        <v>Complete</v>
      </c>
      <c r="T910" s="41" t="str">
        <f>IF($C910="","",TRIM(IF(COUNTIF($C$4:$C$1463,$C910)&gt;1,"Dup name; ","")&amp;IF(AND($G910&lt;&gt;"",$G910&lt;55000),"Low CR - verify; ","")&amp;IF(AND($L910&lt;&gt;"",$L910&gt;15),"Secondary - verify; ","")&amp;IF($E910="","No class; ","")))</f>
        <v/>
      </c>
      <c r="U910" s="68"/>
      <c r="V910" s="68"/>
      <c r="W910" s="68"/>
      <c r="X910" s="73">
        <f t="shared" si="72"/>
        <v>4577</v>
      </c>
      <c r="Y910" s="41" t="str">
        <f t="shared" si="73"/>
        <v>AZUKI|56</v>
      </c>
      <c r="Z910" s="15">
        <f>IF($C910="","",IF($G910="","",RANK($G910,$G$4:$G$1463)+COUNTIF($G$4:$G910,$G910)-1))</f>
        <v>254</v>
      </c>
      <c r="AA910" s="15">
        <f>IF($C910="","",IF($N910="","",RANK($N910,$N$4:$N$1463)+COUNTIF($N$4:$N910,$N910)-1))</f>
        <v>465</v>
      </c>
      <c r="AB910" s="41" t="str">
        <f>IF($C910="","",IF($E910="","",$E910&amp;"#"&amp;(COUNTIFS($E$4:$E$1463,$E910,$X$4:$X$1463,"&gt;"&amp;$X910)+COUNTIFS($E$4:$E910,$E910,$X$4:$X910,"="&amp;$X910))))</f>
        <v>WARLOCK#112</v>
      </c>
      <c r="AC910" s="41" t="str">
        <f>IF($C910="","",$B910&amp;"@"&amp;(COUNTIFS($B$4:$B$1463,$B910,$C$4:$C$1463,"&lt;"&amp;$C910)+COUNTIFS($B$4:$B910,$B910,$C$4:$C910,$C910)))</f>
        <v>AZUKI@70</v>
      </c>
      <c r="AD910" s="41">
        <f t="shared" si="74"/>
        <v>907</v>
      </c>
      <c r="AE910" s="41" t="s">
        <v>2086</v>
      </c>
      <c r="AF910" s="73">
        <f t="shared" si="75"/>
        <v>63312</v>
      </c>
      <c r="AG910" s="74">
        <f t="shared" si="76"/>
        <v>4.75</v>
      </c>
      <c r="AH910" s="41" t="str">
        <f>IF($C910="","",$B910&amp;"|"&amp;(COUNTIFS($B$4:$B$1463,$B910,$AF$4:$AF$1463,"&gt;"&amp;$AF910)+COUNTIFS($B$4:$B910,$B910,$AF$4:$AF910,"="&amp;$AF910)))</f>
        <v>AZUKI|30</v>
      </c>
      <c r="AI910" s="41" t="str">
        <f>IF($C910="","",$B910&amp;"|"&amp;(COUNTIFS($B$4:$B$1463,$B910,$AG$4:$AG$1463,"&gt;"&amp;$AG910)+COUNTIFS($B$4:$B910,$B910,$AG$4:$AG910,"="&amp;$AG910)))</f>
        <v>AZUKI|75</v>
      </c>
    </row>
    <row r="911" spans="1:35" hidden="1">
      <c r="A911" s="69" t="s">
        <v>109</v>
      </c>
      <c r="B911" s="69" t="s">
        <v>108</v>
      </c>
      <c r="C911" s="63" t="s">
        <v>2087</v>
      </c>
      <c r="D911" s="69"/>
      <c r="E911" s="68" t="s">
        <v>71</v>
      </c>
      <c r="F911" s="19" t="str">
        <f>IF($C911="","",IF($E911="","-",IFERROR(INDEX(SETUP!$B$55:$B$64,MATCH($E911,SETUP!$A$55:$A$64,0)),"Other")))</f>
        <v>Frontline</v>
      </c>
      <c r="G911" s="70">
        <v>62596</v>
      </c>
      <c r="H911" s="19" t="str">
        <f>IF($C911="","",IF($G911="","-",INDEX(SETUP!$B$26:$B$32,MATCH($G911,SETUP!$A$26:$A$32,1))))</f>
        <v>62,000 - 62,999</v>
      </c>
      <c r="I911" s="70">
        <v>2831</v>
      </c>
      <c r="J911" s="19" t="str">
        <f>IF($C911="","",IF($I911="","-",INDEX(SETUP!$B$16:$B$22,MATCH($I911,SETUP!$A$16:$A$22,1))))</f>
        <v>DEVELOPING</v>
      </c>
      <c r="K911" s="19" t="str">
        <f>IF($C911="","",IF($I911="","-",TEXT(INT($I911/1000)*1000,"#,##0")&amp;" - "&amp;TEXT(INT($I911/1000)*1000+999,"#,##0")))</f>
        <v>2,000 - 2,999</v>
      </c>
      <c r="L911" s="71">
        <v>5</v>
      </c>
      <c r="M911" s="19" t="str">
        <f>IF($C911="","",IF($L911="","-",INDEX(SETUP!$B$36:$B$42,MATCH($L911,SETUP!$A$36:$A$42,1))))</f>
        <v>5k - 6k</v>
      </c>
      <c r="N911" s="21">
        <f>IF($C911="","",IF(OR($G911="",$I911=""),"",ROUND(100*(SETUP!$B$4*MIN(1,$I911/SETUP!$B$9)+SETUP!$B$5*MAX(0,MIN(1,($G911-SETUP!$B$10)/(SETUP!$B$11-SETUP!$B$10)))+SETUP!$B$6*MIN(1,IF($L911="",0,$L911)/SETUP!$B$12)),1)))</f>
        <v>40.700000000000003</v>
      </c>
      <c r="O911" s="19" t="str">
        <f>IF($C911="","",IF($N911="","-",INDEX(SETUP!$B$46:$B$51,MATCH($N911,SETUP!$A$46:$A$51,1))))</f>
        <v>B</v>
      </c>
      <c r="P911" s="19">
        <f>IF($C911="","",IF($I911="","",RANK($I911,$I$4:$I$1463)+COUNTIF($I$4:$I911,$I911)-1))</f>
        <v>925</v>
      </c>
      <c r="Q911" s="19">
        <f>IF($C911="","",COUNTIFS($B$4:$B$1463,$B911,$X$4:$X$1463,"&gt;"&amp;$X911)+COUNTIFS($B$4:$B911,$B911,$X$4:$X911,"="&amp;$X911))</f>
        <v>94</v>
      </c>
      <c r="R911" s="75">
        <f>IF($C911="","",IF($I911="","",ROUND(COUNTIF($I$4:$I$1463,"&lt;"&amp;$I911)/COUNT($I$4:$I$1463),3)))</f>
        <v>0.30199999999999999</v>
      </c>
      <c r="S911" s="19" t="str">
        <f>IF($C911="","",IF($G911="","Name only",IF(OR($I911="",$L911=""),"Partial","Complete")))</f>
        <v>Complete</v>
      </c>
      <c r="T911" s="1" t="str">
        <f>IF($C911="","",TRIM(IF(COUNTIF($C$4:$C$1463,$C911)&gt;1,"Dup name; ","")&amp;IF(AND($G911&lt;&gt;"",$G911&lt;55000),"Low CR - verify; ","")&amp;IF(AND($L911&lt;&gt;"",$L911&gt;15),"Secondary - verify; ","")&amp;IF($E911="","No class; ","")))</f>
        <v/>
      </c>
      <c r="U911" s="68"/>
      <c r="V911" s="68"/>
      <c r="W911" s="68"/>
      <c r="X911" s="76">
        <f t="shared" si="72"/>
        <v>2831</v>
      </c>
      <c r="Y911" s="1" t="str">
        <f t="shared" si="73"/>
        <v>SBG|94</v>
      </c>
      <c r="Z911" s="19">
        <f>IF($C911="","",IF($G911="","",RANK($G911,$G$4:$G$1463)+COUNTIF($G$4:$G911,$G911)-1))</f>
        <v>614</v>
      </c>
      <c r="AA911" s="19">
        <f>IF($C911="","",IF($N911="","",RANK($N911,$N$4:$N$1463)+COUNTIF($N$4:$N911,$N911)-1))</f>
        <v>792</v>
      </c>
      <c r="AB911" s="1" t="str">
        <f>IF($C911="","",IF($E911="","",$E911&amp;"#"&amp;(COUNTIFS($E$4:$E$1463,$E911,$X$4:$X$1463,"&gt;"&amp;$X911)+COUNTIFS($E$4:$E911,$E911,$X$4:$X911,"="&amp;$X911))))</f>
        <v>BARBARIAN#162</v>
      </c>
      <c r="AC911" s="1" t="str">
        <f>IF($C911="","",$B911&amp;"@"&amp;(COUNTIFS($B$4:$B$1463,$B911,$C$4:$C$1463,"&lt;"&amp;$C911)+COUNTIFS($B$4:$B911,$B911,$C$4:$C911,$C911)))</f>
        <v>SBG@54</v>
      </c>
      <c r="AD911" s="1">
        <f t="shared" si="74"/>
        <v>908</v>
      </c>
      <c r="AE911" s="1" t="s">
        <v>541</v>
      </c>
      <c r="AF911" s="76">
        <f t="shared" si="75"/>
        <v>62596</v>
      </c>
      <c r="AG911" s="77">
        <f t="shared" si="76"/>
        <v>5</v>
      </c>
      <c r="AH911" s="1" t="str">
        <f>IF($C911="","",$B911&amp;"|"&amp;(COUNTIFS($B$4:$B$1463,$B911,$AF$4:$AF$1463,"&gt;"&amp;$AF911)+COUNTIFS($B$4:$B911,$B911,$AF$4:$AF911,"="&amp;$AF911)))</f>
        <v>SBG|57</v>
      </c>
      <c r="AI911" s="1" t="str">
        <f>IF($C911="","",$B911&amp;"|"&amp;(COUNTIFS($B$4:$B$1463,$B911,$AG$4:$AG$1463,"&gt;"&amp;$AG911)+COUNTIFS($B$4:$B911,$B911,$AG$4:$AG911,"="&amp;$AG911)))</f>
        <v>SBG|74</v>
      </c>
    </row>
    <row r="912" spans="1:35" hidden="1">
      <c r="A912" s="69" t="s">
        <v>109</v>
      </c>
      <c r="B912" s="69" t="s">
        <v>110</v>
      </c>
      <c r="C912" s="63" t="s">
        <v>2088</v>
      </c>
      <c r="D912" s="69"/>
      <c r="E912" s="68" t="s">
        <v>72</v>
      </c>
      <c r="F912" s="15" t="str">
        <f>IF($C912="","",IF($E912="","-",IFERROR(INDEX(SETUP!$B$55:$B$64,MATCH($E912,SETUP!$A$55:$A$64,0)),"Other")))</f>
        <v>Frontline</v>
      </c>
      <c r="G912" s="70">
        <v>62501</v>
      </c>
      <c r="H912" s="15" t="str">
        <f>IF($C912="","",IF($G912="","-",INDEX(SETUP!$B$26:$B$32,MATCH($G912,SETUP!$A$26:$A$32,1))))</f>
        <v>62,000 - 62,999</v>
      </c>
      <c r="I912" s="70">
        <v>2908</v>
      </c>
      <c r="J912" s="15" t="str">
        <f>IF($C912="","",IF($I912="","-",INDEX(SETUP!$B$16:$B$22,MATCH($I912,SETUP!$A$16:$A$22,1))))</f>
        <v>DEVELOPING</v>
      </c>
      <c r="K912" s="15" t="str">
        <f>IF($C912="","",IF($I912="","-",TEXT(INT($I912/1000)*1000,"#,##0")&amp;" - "&amp;TEXT(INT($I912/1000)*1000+999,"#,##0")))</f>
        <v>2,000 - 2,999</v>
      </c>
      <c r="L912" s="71">
        <v>3.85</v>
      </c>
      <c r="M912" s="15" t="str">
        <f>IF($C912="","",IF($L912="","-",INDEX(SETUP!$B$36:$B$42,MATCH($L912,SETUP!$A$36:$A$42,1))))</f>
        <v>3k - 4k</v>
      </c>
      <c r="N912" s="17">
        <f>IF($C912="","",IF(OR($G912="",$I912=""),"",ROUND(100*(SETUP!$B$4*MIN(1,$I912/SETUP!$B$9)+SETUP!$B$5*MAX(0,MIN(1,($G912-SETUP!$B$10)/(SETUP!$B$11-SETUP!$B$10)))+SETUP!$B$6*MIN(1,IF($L912="",0,$L912)/SETUP!$B$12)),1)))</f>
        <v>38.799999999999997</v>
      </c>
      <c r="O912" s="15" t="str">
        <f>IF($C912="","",IF($N912="","-",INDEX(SETUP!$B$46:$B$51,MATCH($N912,SETUP!$A$46:$A$51,1))))</f>
        <v>B</v>
      </c>
      <c r="P912" s="15">
        <f>IF($C912="","",IF($I912="","",RANK($I912,$I$4:$I$1463)+COUNTIF($I$4:$I912,$I912)-1))</f>
        <v>904</v>
      </c>
      <c r="Q912" s="15">
        <f>IF($C912="","",COUNTIFS($B$4:$B$1463,$B912,$X$4:$X$1463,"&gt;"&amp;$X912)+COUNTIFS($B$4:$B912,$B912,$X$4:$X912,"="&amp;$X912))</f>
        <v>97</v>
      </c>
      <c r="R912" s="72">
        <f>IF($C912="","",IF($I912="","",ROUND(COUNTIF($I$4:$I$1463,"&lt;"&amp;$I912)/COUNT($I$4:$I$1463),3)))</f>
        <v>0.318</v>
      </c>
      <c r="S912" s="15" t="str">
        <f>IF($C912="","",IF($G912="","Name only",IF(OR($I912="",$L912=""),"Partial","Complete")))</f>
        <v>Complete</v>
      </c>
      <c r="T912" s="41" t="str">
        <f>IF($C912="","",TRIM(IF(COUNTIF($C$4:$C$1463,$C912)&gt;1,"Dup name; ","")&amp;IF(AND($G912&lt;&gt;"",$G912&lt;55000),"Low CR - verify; ","")&amp;IF(AND($L912&lt;&gt;"",$L912&gt;15),"Secondary - verify; ","")&amp;IF($E912="","No class; ","")))</f>
        <v/>
      </c>
      <c r="U912" s="68"/>
      <c r="V912" s="68"/>
      <c r="W912" s="68"/>
      <c r="X912" s="73">
        <f t="shared" si="72"/>
        <v>2908</v>
      </c>
      <c r="Y912" s="41" t="str">
        <f t="shared" si="73"/>
        <v>AZUKI|97</v>
      </c>
      <c r="Z912" s="15">
        <f>IF($C912="","",IF($G912="","",RANK($G912,$G$4:$G$1463)+COUNTIF($G$4:$G912,$G912)-1))</f>
        <v>655</v>
      </c>
      <c r="AA912" s="15">
        <f>IF($C912="","",IF($N912="","",RANK($N912,$N$4:$N$1463)+COUNTIF($N$4:$N912,$N912)-1))</f>
        <v>866</v>
      </c>
      <c r="AB912" s="41" t="str">
        <f>IF($C912="","",IF($E912="","",$E912&amp;"#"&amp;(COUNTIFS($E$4:$E$1463,$E912,$X$4:$X$1463,"&gt;"&amp;$X912)+COUNTIFS($E$4:$E912,$E912,$X$4:$X912,"="&amp;$X912))))</f>
        <v>BLOOD KNIGHT#65</v>
      </c>
      <c r="AC912" s="41" t="str">
        <f>IF($C912="","",$B912&amp;"@"&amp;(COUNTIFS($B$4:$B$1463,$B912,$C$4:$C$1463,"&lt;"&amp;$C912)+COUNTIFS($B$4:$B912,$B912,$C$4:$C912,$C912)))</f>
        <v>AZUKI@71</v>
      </c>
      <c r="AD912" s="41">
        <f t="shared" si="74"/>
        <v>909</v>
      </c>
      <c r="AE912" s="41" t="s">
        <v>2089</v>
      </c>
      <c r="AF912" s="73">
        <f t="shared" si="75"/>
        <v>62501</v>
      </c>
      <c r="AG912" s="74">
        <f t="shared" si="76"/>
        <v>3.85</v>
      </c>
      <c r="AH912" s="41" t="str">
        <f>IF($C912="","",$B912&amp;"|"&amp;(COUNTIFS($B$4:$B$1463,$B912,$AF$4:$AF$1463,"&gt;"&amp;$AF912)+COUNTIFS($B$4:$B912,$B912,$AF$4:$AF912,"="&amp;$AF912)))</f>
        <v>AZUKI|57</v>
      </c>
      <c r="AI912" s="41" t="str">
        <f>IF($C912="","",$B912&amp;"|"&amp;(COUNTIFS($B$4:$B$1463,$B912,$AG$4:$AG$1463,"&gt;"&amp;$AG912)+COUNTIFS($B$4:$B912,$B912,$AG$4:$AG912,"="&amp;$AG912)))</f>
        <v>AZUKI|98</v>
      </c>
    </row>
    <row r="913" spans="1:35" hidden="1">
      <c r="A913" s="69" t="s">
        <v>109</v>
      </c>
      <c r="B913" s="69" t="s">
        <v>112</v>
      </c>
      <c r="C913" s="63" t="s">
        <v>2090</v>
      </c>
      <c r="D913" s="69" t="s">
        <v>567</v>
      </c>
      <c r="E913" s="68" t="s">
        <v>72</v>
      </c>
      <c r="F913" s="19" t="str">
        <f>IF($C913="","",IF($E913="","-",IFERROR(INDEX(SETUP!$B$55:$B$64,MATCH($E913,SETUP!$A$55:$A$64,0)),"Other")))</f>
        <v>Frontline</v>
      </c>
      <c r="G913" s="70">
        <v>63083</v>
      </c>
      <c r="H913" s="19" t="str">
        <f>IF($C913="","",IF($G913="","-",INDEX(SETUP!$B$26:$B$32,MATCH($G913,SETUP!$A$26:$A$32,1))))</f>
        <v>63,000 - 63,999</v>
      </c>
      <c r="I913" s="70">
        <v>3933</v>
      </c>
      <c r="J913" s="19" t="str">
        <f>IF($C913="","",IF($I913="","-",INDEX(SETUP!$B$16:$B$22,MATCH($I913,SETUP!$A$16:$A$22,1))))</f>
        <v>DEVELOPING</v>
      </c>
      <c r="K913" s="19" t="str">
        <f>IF($C913="","",IF($I913="","-",TEXT(INT($I913/1000)*1000,"#,##0")&amp;" - "&amp;TEXT(INT($I913/1000)*1000+999,"#,##0")))</f>
        <v>3,000 - 3,999</v>
      </c>
      <c r="L913" s="71">
        <v>5.85</v>
      </c>
      <c r="M913" s="19" t="str">
        <f>IF($C913="","",IF($L913="","-",INDEX(SETUP!$B$36:$B$42,MATCH($L913,SETUP!$A$36:$A$42,1))))</f>
        <v>5k - 6k</v>
      </c>
      <c r="N913" s="21">
        <f>IF($C913="","",IF(OR($G913="",$I913=""),"",ROUND(100*(SETUP!$B$4*MIN(1,$I913/SETUP!$B$9)+SETUP!$B$5*MAX(0,MIN(1,($G913-SETUP!$B$10)/(SETUP!$B$11-SETUP!$B$10)))+SETUP!$B$6*MIN(1,IF($L913="",0,$L913)/SETUP!$B$12)),1)))</f>
        <v>48.2</v>
      </c>
      <c r="O913" s="19" t="str">
        <f>IF($C913="","",IF($N913="","-",INDEX(SETUP!$B$46:$B$51,MATCH($N913,SETUP!$A$46:$A$51,1))))</f>
        <v>B</v>
      </c>
      <c r="P913" s="19">
        <f>IF($C913="","",IF($I913="","",RANK($I913,$I$4:$I$1463)+COUNTIF($I$4:$I913,$I913)-1))</f>
        <v>614</v>
      </c>
      <c r="Q913" s="19">
        <f>IF($C913="","",COUNTIFS($B$4:$B$1463,$B913,$X$4:$X$1463,"&gt;"&amp;$X913)+COUNTIFS($B$4:$B913,$B913,$X$4:$X913,"="&amp;$X913))</f>
        <v>46</v>
      </c>
      <c r="R913" s="75">
        <f>IF($C913="","",IF($I913="","",ROUND(COUNTIF($I$4:$I$1463,"&lt;"&amp;$I913)/COUNT($I$4:$I$1463),3)))</f>
        <v>0.53700000000000003</v>
      </c>
      <c r="S913" s="19" t="str">
        <f>IF($C913="","",IF($G913="","Name only",IF(OR($I913="",$L913=""),"Partial","Complete")))</f>
        <v>Complete</v>
      </c>
      <c r="T913" s="1" t="str">
        <f>IF($C913="","",TRIM(IF(COUNTIF($C$4:$C$1463,$C913)&gt;1,"Dup name; ","")&amp;IF(AND($G913&lt;&gt;"",$G913&lt;55000),"Low CR - verify; ","")&amp;IF(AND($L913&lt;&gt;"",$L913&gt;15),"Secondary - verify; ","")&amp;IF($E913="","No class; ","")))</f>
        <v/>
      </c>
      <c r="U913" s="68"/>
      <c r="V913" s="68"/>
      <c r="W913" s="68"/>
      <c r="X913" s="76">
        <f t="shared" si="72"/>
        <v>3933</v>
      </c>
      <c r="Y913" s="1" t="str">
        <f t="shared" si="73"/>
        <v>ACHERON|46</v>
      </c>
      <c r="Z913" s="19">
        <f>IF($C913="","",IF($G913="","",RANK($G913,$G$4:$G$1463)+COUNTIF($G$4:$G913,$G913)-1))</f>
        <v>387</v>
      </c>
      <c r="AA913" s="19">
        <f>IF($C913="","",IF($N913="","",RANK($N913,$N$4:$N$1463)+COUNTIF($N$4:$N913,$N913)-1))</f>
        <v>513</v>
      </c>
      <c r="AB913" s="1" t="str">
        <f>IF($C913="","",IF($E913="","",$E913&amp;"#"&amp;(COUNTIFS($E$4:$E$1463,$E913,$X$4:$X$1463,"&gt;"&amp;$X913)+COUNTIFS($E$4:$E913,$E913,$X$4:$X913,"="&amp;$X913))))</f>
        <v>BLOOD KNIGHT#39</v>
      </c>
      <c r="AC913" s="1" t="str">
        <f>IF($C913="","",$B913&amp;"@"&amp;(COUNTIFS($B$4:$B$1463,$B913,$C$4:$C$1463,"&lt;"&amp;$C913)+COUNTIFS($B$4:$B913,$B913,$C$4:$C913,$C913)))</f>
        <v>ACHERON@59</v>
      </c>
      <c r="AD913" s="1">
        <f t="shared" si="74"/>
        <v>910</v>
      </c>
      <c r="AE913" s="1" t="s">
        <v>2091</v>
      </c>
      <c r="AF913" s="76">
        <f t="shared" si="75"/>
        <v>63083</v>
      </c>
      <c r="AG913" s="77">
        <f t="shared" si="76"/>
        <v>5.85</v>
      </c>
      <c r="AH913" s="1" t="str">
        <f>IF($C913="","",$B913&amp;"|"&amp;(COUNTIFS($B$4:$B$1463,$B913,$AF$4:$AF$1463,"&gt;"&amp;$AF913)+COUNTIFS($B$4:$B913,$B913,$AF$4:$AF913,"="&amp;$AF913)))</f>
        <v>ACHERON|27</v>
      </c>
      <c r="AI913" s="1" t="str">
        <f>IF($C913="","",$B913&amp;"|"&amp;(COUNTIFS($B$4:$B$1463,$B913,$AG$4:$AG$1463,"&gt;"&amp;$AG913)+COUNTIFS($B$4:$B913,$B913,$AG$4:$AG913,"="&amp;$AG913)))</f>
        <v>ACHERON|20</v>
      </c>
    </row>
    <row r="914" spans="1:35">
      <c r="A914" s="69" t="s">
        <v>104</v>
      </c>
      <c r="B914" s="69" t="s">
        <v>66</v>
      </c>
      <c r="C914" s="63" t="s">
        <v>2009</v>
      </c>
      <c r="D914" s="69"/>
      <c r="E914" s="68" t="s">
        <v>79</v>
      </c>
      <c r="F914" s="19" t="str">
        <f>IF($C914="","",IF($E914="","-",IFERROR(INDEX(SETUP!$B$55:$B$64,MATCH($E914,SETUP!$A$55:$A$64,0)),"Other")))</f>
        <v>Control</v>
      </c>
      <c r="G914" s="70">
        <v>62037</v>
      </c>
      <c r="H914" s="19" t="str">
        <f>IF($C914="","",IF($G914="","-",INDEX(SETUP!$B$26:$B$32,MATCH($G914,SETUP!$A$26:$A$32,1))))</f>
        <v>62,000 - 62,999</v>
      </c>
      <c r="I914" s="70">
        <v>7355</v>
      </c>
      <c r="J914" s="19" t="str">
        <f>IF($C914="","",IF($I914="","-",INDEX(SETUP!$B$16:$B$22,MATCH($I914,SETUP!$A$16:$A$22,1))))</f>
        <v>VETERAN</v>
      </c>
      <c r="K914" s="19" t="str">
        <f>IF($C914="","",IF($I914="","-",TEXT(INT($I914/1000)*1000,"#,##0")&amp;" - "&amp;TEXT(INT($I914/1000)*1000+999,"#,##0")))</f>
        <v>7,000 - 7,999</v>
      </c>
      <c r="L914" s="71">
        <v>5.28</v>
      </c>
      <c r="M914" s="19" t="str">
        <f>IF($C914="","",IF($L914="","-",INDEX(SETUP!$B$36:$B$42,MATCH($L914,SETUP!$A$36:$A$42,1))))</f>
        <v>5k - 6k</v>
      </c>
      <c r="N914" s="21">
        <f>IF($C914="","",IF(OR($G914="",$I914=""),"",ROUND(100*(SETUP!$B$4*MIN(1,$I914/SETUP!$B$9)+SETUP!$B$5*MAX(0,MIN(1,($G914-SETUP!$B$10)/(SETUP!$B$11-SETUP!$B$10)))+SETUP!$B$6*MIN(1,IF($L914="",0,$L914)/SETUP!$B$12)),1)))</f>
        <v>59.4</v>
      </c>
      <c r="O914" s="19" t="str">
        <f>IF($C914="","",IF($N914="","-",INDEX(SETUP!$B$46:$B$51,MATCH($N914,SETUP!$A$46:$A$51,1))))</f>
        <v>A</v>
      </c>
      <c r="P914" s="19">
        <f>IF($C914="","",IF($I914="","",RANK($I914,$I$4:$I$1463)+COUNTIF($I$4:$I914,$I914)-1))</f>
        <v>187</v>
      </c>
      <c r="Q914" s="19">
        <f>IF($C914="","",COUNTIFS($B$4:$B$1463,$B914,$X$4:$X$1463,"&gt;"&amp;$X914)+COUNTIFS($B$4:$B914,$B914,$X$4:$X914,"="&amp;$X914))</f>
        <v>21</v>
      </c>
      <c r="R914" s="75">
        <f>IF($C914="","",IF($I914="","",ROUND(COUNTIF($I$4:$I$1463,"&lt;"&amp;$I914)/COUNT($I$4:$I$1463),3)))</f>
        <v>0.85899999999999999</v>
      </c>
      <c r="S914" s="19" t="str">
        <f>IF($C914="","",IF($G914="","Name only",IF(OR($I914="",$L914=""),"Partial","Complete")))</f>
        <v>Complete</v>
      </c>
      <c r="T914" s="1" t="str">
        <f>IF($C914="","",TRIM(IF(COUNTIF($C$4:$C$1463,$C914)&gt;1,"Dup name; ","")&amp;IF(AND($G914&lt;&gt;"",$G914&lt;55000),"Low CR - verify; ","")&amp;IF(AND($L914&lt;&gt;"",$L914&gt;15),"Secondary - verify; ","")&amp;IF($E914="","No class; ","")))</f>
        <v/>
      </c>
      <c r="U914" s="68"/>
      <c r="V914" s="68" t="s">
        <v>66</v>
      </c>
      <c r="W914" s="68"/>
      <c r="X914" s="73">
        <f t="shared" si="72"/>
        <v>7355</v>
      </c>
      <c r="Y914" s="41" t="str">
        <f t="shared" si="73"/>
        <v>FUCT|21</v>
      </c>
      <c r="Z914" s="15">
        <f>IF($C914="","",IF($G914="","",RANK($G914,$G$4:$G$1463)+COUNTIF($G$4:$G914,$G914)-1))</f>
        <v>823</v>
      </c>
      <c r="AA914" s="15">
        <f>IF($C914="","",IF($N914="","",RANK($N914,$N$4:$N$1463)+COUNTIF($N$4:$N914,$N914)-1))</f>
        <v>247</v>
      </c>
      <c r="AB914" s="41" t="str">
        <f>IF($C914="","",IF($E914="","",$E914&amp;"#"&amp;(COUNTIFS($E$4:$E$1463,$E914,$X$4:$X$1463,"&gt;"&amp;$X914)+COUNTIFS($E$4:$E914,$E914,$X$4:$X914,"="&amp;$X914))))</f>
        <v>WARLOCK#39</v>
      </c>
      <c r="AC914" s="41" t="str">
        <f>IF($C914="","",$B914&amp;"@"&amp;(COUNTIFS($B$4:$B$1463,$B914,$C$4:$C$1463,"&lt;"&amp;$C914)+COUNTIFS($B$4:$B914,$B914,$C$4:$C914,$C914)))</f>
        <v>FUCT@67</v>
      </c>
      <c r="AD914" s="41">
        <f t="shared" si="74"/>
        <v>911</v>
      </c>
      <c r="AE914" s="41" t="s">
        <v>2092</v>
      </c>
      <c r="AF914" s="73">
        <f t="shared" si="75"/>
        <v>62037</v>
      </c>
      <c r="AG914" s="74">
        <f t="shared" si="76"/>
        <v>5.28</v>
      </c>
      <c r="AH914" s="41" t="str">
        <f>IF($C914="","",$B914&amp;"|"&amp;(COUNTIFS($B$4:$B$1463,$B914,$AF$4:$AF$1463,"&gt;"&amp;$AF914)+COUNTIFS($B$4:$B914,$B914,$AF$4:$AF914,"="&amp;$AF914)))</f>
        <v>FUCT|78</v>
      </c>
      <c r="AI914" s="41" t="str">
        <f>IF($C914="","",$B914&amp;"|"&amp;(COUNTIFS($B$4:$B$1463,$B914,$AG$4:$AG$1463,"&gt;"&amp;$AG914)+COUNTIFS($B$4:$B914,$B914,$AG$4:$AG914,"="&amp;$AG914)))</f>
        <v>FUCT|37</v>
      </c>
    </row>
    <row r="915" spans="1:35" hidden="1">
      <c r="A915" s="69" t="s">
        <v>109</v>
      </c>
      <c r="B915" s="69" t="s">
        <v>116</v>
      </c>
      <c r="C915" s="63" t="s">
        <v>2093</v>
      </c>
      <c r="D915" s="69" t="s">
        <v>530</v>
      </c>
      <c r="E915" s="68" t="s">
        <v>79</v>
      </c>
      <c r="F915" s="19" t="str">
        <f>IF($C915="","",IF($E915="","-",IFERROR(INDEX(SETUP!$B$55:$B$64,MATCH($E915,SETUP!$A$55:$A$64,0)),"Other")))</f>
        <v>Control</v>
      </c>
      <c r="G915" s="70">
        <v>62191</v>
      </c>
      <c r="H915" s="19" t="str">
        <f>IF($C915="","",IF($G915="","-",INDEX(SETUP!$B$26:$B$32,MATCH($G915,SETUP!$A$26:$A$32,1))))</f>
        <v>62,000 - 62,999</v>
      </c>
      <c r="I915" s="70">
        <v>4332</v>
      </c>
      <c r="J915" s="19" t="str">
        <f>IF($C915="","",IF($I915="","-",INDEX(SETUP!$B$16:$B$22,MATCH($I915,SETUP!$A$16:$A$22,1))))</f>
        <v>CORE</v>
      </c>
      <c r="K915" s="19" t="str">
        <f>IF($C915="","",IF($I915="","-",TEXT(INT($I915/1000)*1000,"#,##0")&amp;" - "&amp;TEXT(INT($I915/1000)*1000+999,"#,##0")))</f>
        <v>4,000 - 4,999</v>
      </c>
      <c r="L915" s="71">
        <v>4.87</v>
      </c>
      <c r="M915" s="19" t="str">
        <f>IF($C915="","",IF($L915="","-",INDEX(SETUP!$B$36:$B$42,MATCH($L915,SETUP!$A$36:$A$42,1))))</f>
        <v>4k - 5k</v>
      </c>
      <c r="N915" s="21">
        <f>IF($C915="","",IF(OR($G915="",$I915=""),"",ROUND(100*(SETUP!$B$4*MIN(1,$I915/SETUP!$B$9)+SETUP!$B$5*MAX(0,MIN(1,($G915-SETUP!$B$10)/(SETUP!$B$11-SETUP!$B$10)))+SETUP!$B$6*MIN(1,IF($L915="",0,$L915)/SETUP!$B$12)),1)))</f>
        <v>45.9</v>
      </c>
      <c r="O915" s="19" t="str">
        <f>IF($C915="","",IF($N915="","-",INDEX(SETUP!$B$46:$B$51,MATCH($N915,SETUP!$A$46:$A$51,1))))</f>
        <v>B</v>
      </c>
      <c r="P915" s="19">
        <f>IF($C915="","",IF($I915="","",RANK($I915,$I$4:$I$1463)+COUNTIF($I$4:$I915,$I915)-1))</f>
        <v>523</v>
      </c>
      <c r="Q915" s="19">
        <f>IF($C915="","",COUNTIFS($B$4:$B$1463,$B915,$X$4:$X$1463,"&gt;"&amp;$X915)+COUNTIFS($B$4:$B915,$B915,$X$4:$X915,"="&amp;$X915))</f>
        <v>26</v>
      </c>
      <c r="R915" s="75">
        <f>IF($C915="","",IF($I915="","",ROUND(COUNTIF($I$4:$I$1463,"&lt;"&amp;$I915)/COUNT($I$4:$I$1463),3)))</f>
        <v>0.60499999999999998</v>
      </c>
      <c r="S915" s="19" t="str">
        <f>IF($C915="","",IF($G915="","Name only",IF(OR($I915="",$L915=""),"Partial","Complete")))</f>
        <v>Complete</v>
      </c>
      <c r="T915" s="1" t="str">
        <f>IF($C915="","",TRIM(IF(COUNTIF($C$4:$C$1463,$C915)&gt;1,"Dup name; ","")&amp;IF(AND($G915&lt;&gt;"",$G915&lt;55000),"Low CR - verify; ","")&amp;IF(AND($L915&lt;&gt;"",$L915&gt;15),"Secondary - verify; ","")&amp;IF($E915="","No class; ","")))</f>
        <v/>
      </c>
      <c r="U915" s="68"/>
      <c r="V915" s="68"/>
      <c r="W915" s="68"/>
      <c r="X915" s="76">
        <f t="shared" si="72"/>
        <v>4332</v>
      </c>
      <c r="Y915" s="1" t="str">
        <f t="shared" si="73"/>
        <v>VENGEANCE|26</v>
      </c>
      <c r="Z915" s="19">
        <f>IF($C915="","",IF($G915="","",RANK($G915,$G$4:$G$1463)+COUNTIF($G$4:$G915,$G915)-1))</f>
        <v>764</v>
      </c>
      <c r="AA915" s="19">
        <f>IF($C915="","",IF($N915="","",RANK($N915,$N$4:$N$1463)+COUNTIF($N$4:$N915,$N915)-1))</f>
        <v>593</v>
      </c>
      <c r="AB915" s="1" t="str">
        <f>IF($C915="","",IF($E915="","",$E915&amp;"#"&amp;(COUNTIFS($E$4:$E$1463,$E915,$X$4:$X$1463,"&gt;"&amp;$X915)+COUNTIFS($E$4:$E915,$E915,$X$4:$X915,"="&amp;$X915))))</f>
        <v>WARLOCK#120</v>
      </c>
      <c r="AC915" s="1" t="str">
        <f>IF($C915="","",$B915&amp;"@"&amp;(COUNTIFS($B$4:$B$1463,$B915,$C$4:$C$1463,"&lt;"&amp;$C915)+COUNTIFS($B$4:$B915,$B915,$C$4:$C915,$C915)))</f>
        <v>VENGEANCE@58</v>
      </c>
      <c r="AD915" s="1">
        <f t="shared" si="74"/>
        <v>912</v>
      </c>
      <c r="AE915" s="1" t="s">
        <v>2094</v>
      </c>
      <c r="AF915" s="76">
        <f t="shared" si="75"/>
        <v>62191</v>
      </c>
      <c r="AG915" s="77">
        <f t="shared" si="76"/>
        <v>4.87</v>
      </c>
      <c r="AH915" s="1" t="str">
        <f>IF($C915="","",$B915&amp;"|"&amp;(COUNTIFS($B$4:$B$1463,$B915,$AF$4:$AF$1463,"&gt;"&amp;$AF915)+COUNTIFS($B$4:$B915,$B915,$AF$4:$AF915,"="&amp;$AF915)))</f>
        <v>VENGEANCE|46</v>
      </c>
      <c r="AI915" s="1" t="str">
        <f>IF($C915="","",$B915&amp;"|"&amp;(COUNTIFS($B$4:$B$1463,$B915,$AG$4:$AG$1463,"&gt;"&amp;$AG915)+COUNTIFS($B$4:$B915,$B915,$AG$4:$AG915,"="&amp;$AG915)))</f>
        <v>VENGEANCE|38</v>
      </c>
    </row>
    <row r="916" spans="1:35" hidden="1">
      <c r="A916" s="69" t="s">
        <v>109</v>
      </c>
      <c r="B916" s="69" t="s">
        <v>113</v>
      </c>
      <c r="C916" s="63" t="s">
        <v>2095</v>
      </c>
      <c r="D916" s="69" t="s">
        <v>548</v>
      </c>
      <c r="E916" s="68" t="s">
        <v>75</v>
      </c>
      <c r="F916" s="15" t="str">
        <f>IF($C916="","",IF($E916="","-",IFERROR(INDEX(SETUP!$B$55:$B$64,MATCH($E916,SETUP!$A$55:$A$64,0)),"Other")))</f>
        <v>Support</v>
      </c>
      <c r="G916" s="70">
        <v>62855</v>
      </c>
      <c r="H916" s="15" t="str">
        <f>IF($C916="","",IF($G916="","-",INDEX(SETUP!$B$26:$B$32,MATCH($G916,SETUP!$A$26:$A$32,1))))</f>
        <v>62,000 - 62,999</v>
      </c>
      <c r="I916" s="70">
        <v>5866</v>
      </c>
      <c r="J916" s="15" t="str">
        <f>IF($C916="","",IF($I916="","-",INDEX(SETUP!$B$16:$B$22,MATCH($I916,SETUP!$A$16:$A$22,1))))</f>
        <v>CORE</v>
      </c>
      <c r="K916" s="15" t="str">
        <f>IF($C916="","",IF($I916="","-",TEXT(INT($I916/1000)*1000,"#,##0")&amp;" - "&amp;TEXT(INT($I916/1000)*1000+999,"#,##0")))</f>
        <v>5,000 - 5,999</v>
      </c>
      <c r="L916" s="71">
        <v>4.5</v>
      </c>
      <c r="M916" s="15" t="str">
        <f>IF($C916="","",IF($L916="","-",INDEX(SETUP!$B$36:$B$42,MATCH($L916,SETUP!$A$36:$A$42,1))))</f>
        <v>4k - 5k</v>
      </c>
      <c r="N916" s="17">
        <f>IF($C916="","",IF(OR($G916="",$I916=""),"",ROUND(100*(SETUP!$B$4*MIN(1,$I916/SETUP!$B$9)+SETUP!$B$5*MAX(0,MIN(1,($G916-SETUP!$B$10)/(SETUP!$B$11-SETUP!$B$10)))+SETUP!$B$6*MIN(1,IF($L916="",0,$L916)/SETUP!$B$12)),1)))</f>
        <v>53.8</v>
      </c>
      <c r="O916" s="15" t="str">
        <f>IF($C916="","",IF($N916="","-",INDEX(SETUP!$B$46:$B$51,MATCH($N916,SETUP!$A$46:$A$51,1))))</f>
        <v>A</v>
      </c>
      <c r="P916" s="15">
        <f>IF($C916="","",IF($I916="","",RANK($I916,$I$4:$I$1463)+COUNTIF($I$4:$I916,$I916)-1))</f>
        <v>302</v>
      </c>
      <c r="Q916" s="15">
        <f>IF($C916="","",COUNTIFS($B$4:$B$1463,$B916,$X$4:$X$1463,"&gt;"&amp;$X916)+COUNTIFS($B$4:$B916,$B916,$X$4:$X916,"="&amp;$X916))</f>
        <v>9</v>
      </c>
      <c r="R916" s="72">
        <f>IF($C916="","",IF($I916="","",ROUND(COUNTIF($I$4:$I$1463,"&lt;"&amp;$I916)/COUNT($I$4:$I$1463),3)))</f>
        <v>0.77200000000000002</v>
      </c>
      <c r="S916" s="15" t="str">
        <f>IF($C916="","",IF($G916="","Name only",IF(OR($I916="",$L916=""),"Partial","Complete")))</f>
        <v>Complete</v>
      </c>
      <c r="T916" s="41" t="str">
        <f>IF($C916="","",TRIM(IF(COUNTIF($C$4:$C$1463,$C916)&gt;1,"Dup name; ","")&amp;IF(AND($G916&lt;&gt;"",$G916&lt;55000),"Low CR - verify; ","")&amp;IF(AND($L916&lt;&gt;"",$L916&gt;15),"Secondary - verify; ","")&amp;IF($E916="","No class; ","")))</f>
        <v/>
      </c>
      <c r="U916" s="68"/>
      <c r="V916" s="68"/>
      <c r="W916" s="68"/>
      <c r="X916" s="73">
        <f t="shared" si="72"/>
        <v>5866</v>
      </c>
      <c r="Y916" s="41" t="str">
        <f t="shared" si="73"/>
        <v>INVICTUS|9</v>
      </c>
      <c r="Z916" s="15">
        <f>IF($C916="","",IF($G916="","",RANK($G916,$G$4:$G$1463)+COUNTIF($G$4:$G916,$G916)-1))</f>
        <v>495</v>
      </c>
      <c r="AA916" s="15">
        <f>IF($C916="","",IF($N916="","",RANK($N916,$N$4:$N$1463)+COUNTIF($N$4:$N916,$N916)-1))</f>
        <v>342</v>
      </c>
      <c r="AB916" s="41" t="str">
        <f>IF($C916="","",IF($E916="","",$E916&amp;"#"&amp;(COUNTIFS($E$4:$E$1463,$E916,$X$4:$X$1463,"&gt;"&amp;$X916)+COUNTIFS($E$4:$E916,$E916,$X$4:$X916,"="&amp;$X916))))</f>
        <v>DRUID#15</v>
      </c>
      <c r="AC916" s="41" t="str">
        <f>IF($C916="","",$B916&amp;"@"&amp;(COUNTIFS($B$4:$B$1463,$B916,$C$4:$C$1463,"&lt;"&amp;$C916)+COUNTIFS($B$4:$B916,$B916,$C$4:$C916,$C916)))</f>
        <v>INVICTUS@70</v>
      </c>
      <c r="AD916" s="41">
        <f t="shared" si="74"/>
        <v>913</v>
      </c>
      <c r="AE916" s="41" t="s">
        <v>2096</v>
      </c>
      <c r="AF916" s="73">
        <f t="shared" si="75"/>
        <v>62855</v>
      </c>
      <c r="AG916" s="74">
        <f t="shared" si="76"/>
        <v>4.5</v>
      </c>
      <c r="AH916" s="41" t="str">
        <f>IF($C916="","",$B916&amp;"|"&amp;(COUNTIFS($B$4:$B$1463,$B916,$AF$4:$AF$1463,"&gt;"&amp;$AF916)+COUNTIFS($B$4:$B916,$B916,$AF$4:$AF916,"="&amp;$AF916)))</f>
        <v>INVICTUS|26</v>
      </c>
      <c r="AI916" s="41" t="str">
        <f>IF($C916="","",$B916&amp;"|"&amp;(COUNTIFS($B$4:$B$1463,$B916,$AG$4:$AG$1463,"&gt;"&amp;$AG916)+COUNTIFS($B$4:$B916,$B916,$AG$4:$AG916,"="&amp;$AG916)))</f>
        <v>INVICTUS|46</v>
      </c>
    </row>
    <row r="917" spans="1:35" hidden="1">
      <c r="A917" s="69" t="s">
        <v>106</v>
      </c>
      <c r="B917" s="69" t="s">
        <v>86</v>
      </c>
      <c r="C917" s="63" t="s">
        <v>2097</v>
      </c>
      <c r="D917" s="69"/>
      <c r="E917" s="68" t="s">
        <v>79</v>
      </c>
      <c r="F917" s="19" t="str">
        <f>IF($C917="","",IF($E917="","-",IFERROR(INDEX(SETUP!$B$55:$B$64,MATCH($E917,SETUP!$A$55:$A$64,0)),"Other")))</f>
        <v>Control</v>
      </c>
      <c r="G917" s="70">
        <v>62416</v>
      </c>
      <c r="H917" s="19" t="str">
        <f>IF($C917="","",IF($G917="","-",INDEX(SETUP!$B$26:$B$32,MATCH($G917,SETUP!$A$26:$A$32,1))))</f>
        <v>62,000 - 62,999</v>
      </c>
      <c r="I917" s="70">
        <v>3801</v>
      </c>
      <c r="J917" s="19" t="str">
        <f>IF($C917="","",IF($I917="","-",INDEX(SETUP!$B$16:$B$22,MATCH($I917,SETUP!$A$16:$A$22,1))))</f>
        <v>DEVELOPING</v>
      </c>
      <c r="K917" s="19" t="str">
        <f>IF($C917="","",IF($I917="","-",TEXT(INT($I917/1000)*1000,"#,##0")&amp;" - "&amp;TEXT(INT($I917/1000)*1000+999,"#,##0")))</f>
        <v>3,000 - 3,999</v>
      </c>
      <c r="L917" s="71">
        <v>4.95</v>
      </c>
      <c r="M917" s="19" t="str">
        <f>IF($C917="","",IF($L917="","-",INDEX(SETUP!$B$36:$B$42,MATCH($L917,SETUP!$A$36:$A$42,1))))</f>
        <v>4k - 5k</v>
      </c>
      <c r="N917" s="21">
        <f>IF($C917="","",IF(OR($G917="",$I917=""),"",ROUND(100*(SETUP!$B$4*MIN(1,$I917/SETUP!$B$9)+SETUP!$B$5*MAX(0,MIN(1,($G917-SETUP!$B$10)/(SETUP!$B$11-SETUP!$B$10)))+SETUP!$B$6*MIN(1,IF($L917="",0,$L917)/SETUP!$B$12)),1)))</f>
        <v>44.4</v>
      </c>
      <c r="O917" s="19" t="str">
        <f>IF($C917="","",IF($N917="","-",INDEX(SETUP!$B$46:$B$51,MATCH($N917,SETUP!$A$46:$A$51,1))))</f>
        <v>B</v>
      </c>
      <c r="P917" s="19">
        <f>IF($C917="","",IF($I917="","",RANK($I917,$I$4:$I$1463)+COUNTIF($I$4:$I917,$I917)-1))</f>
        <v>648</v>
      </c>
      <c r="Q917" s="19">
        <f>IF($C917="","",COUNTIFS($B$4:$B$1463,$B917,$X$4:$X$1463,"&gt;"&amp;$X917)+COUNTIFS($B$4:$B917,$B917,$X$4:$X917,"="&amp;$X917))</f>
        <v>82</v>
      </c>
      <c r="R917" s="75">
        <f>IF($C917="","",IF($I917="","",ROUND(COUNTIF($I$4:$I$1463,"&lt;"&amp;$I917)/COUNT($I$4:$I$1463),3)))</f>
        <v>0.51100000000000001</v>
      </c>
      <c r="S917" s="19" t="str">
        <f>IF($C917="","",IF($G917="","Name only",IF(OR($I917="",$L917=""),"Partial","Complete")))</f>
        <v>Complete</v>
      </c>
      <c r="T917" s="1" t="str">
        <f>IF($C917="","",TRIM(IF(COUNTIF($C$4:$C$1463,$C917)&gt;1,"Dup name; ","")&amp;IF(AND($G917&lt;&gt;"",$G917&lt;55000),"Low CR - verify; ","")&amp;IF(AND($L917&lt;&gt;"",$L917&gt;15),"Secondary - verify; ","")&amp;IF($E917="","No class; ","")))</f>
        <v/>
      </c>
      <c r="U917" s="68"/>
      <c r="V917" s="68"/>
      <c r="W917" s="68"/>
      <c r="X917" s="76">
        <f t="shared" si="72"/>
        <v>3801</v>
      </c>
      <c r="Y917" s="1" t="str">
        <f t="shared" si="73"/>
        <v>VANGUARD|82</v>
      </c>
      <c r="Z917" s="19">
        <f>IF($C917="","",IF($G917="","",RANK($G917,$G$4:$G$1463)+COUNTIF($G$4:$G917,$G917)-1))</f>
        <v>681</v>
      </c>
      <c r="AA917" s="19">
        <f>IF($C917="","",IF($N917="","",RANK($N917,$N$4:$N$1463)+COUNTIF($N$4:$N917,$N917)-1))</f>
        <v>649</v>
      </c>
      <c r="AB917" s="1" t="str">
        <f>IF($C917="","",IF($E917="","",$E917&amp;"#"&amp;(COUNTIFS($E$4:$E$1463,$E917,$X$4:$X$1463,"&gt;"&amp;$X917)+COUNTIFS($E$4:$E917,$E917,$X$4:$X917,"="&amp;$X917))))</f>
        <v>WARLOCK#154</v>
      </c>
      <c r="AC917" s="1" t="str">
        <f>IF($C917="","",$B917&amp;"@"&amp;(COUNTIFS($B$4:$B$1463,$B917,$C$4:$C$1463,"&lt;"&amp;$C917)+COUNTIFS($B$4:$B917,$B917,$C$4:$C917,$C917)))</f>
        <v>VANGUARD@69</v>
      </c>
      <c r="AD917" s="1">
        <f t="shared" si="74"/>
        <v>914</v>
      </c>
      <c r="AE917" s="1" t="s">
        <v>2098</v>
      </c>
      <c r="AF917" s="76">
        <f t="shared" si="75"/>
        <v>62416</v>
      </c>
      <c r="AG917" s="77">
        <f t="shared" si="76"/>
        <v>4.95</v>
      </c>
      <c r="AH917" s="1" t="str">
        <f>IF($C917="","",$B917&amp;"|"&amp;(COUNTIFS($B$4:$B$1463,$B917,$AF$4:$AF$1463,"&gt;"&amp;$AF917)+COUNTIFS($B$4:$B917,$B917,$AF$4:$AF917,"="&amp;$AF917)))</f>
        <v>VANGUARD|79</v>
      </c>
      <c r="AI917" s="1" t="str">
        <f>IF($C917="","",$B917&amp;"|"&amp;(COUNTIFS($B$4:$B$1463,$B917,$AG$4:$AG$1463,"&gt;"&amp;$AG917)+COUNTIFS($B$4:$B917,$B917,$AG$4:$AG917,"="&amp;$AG917)))</f>
        <v>VANGUARD|68</v>
      </c>
    </row>
    <row r="918" spans="1:35" hidden="1">
      <c r="A918" s="69" t="s">
        <v>109</v>
      </c>
      <c r="B918" s="69" t="s">
        <v>112</v>
      </c>
      <c r="C918" s="63" t="s">
        <v>2099</v>
      </c>
      <c r="D918" s="69" t="s">
        <v>567</v>
      </c>
      <c r="E918" s="68" t="s">
        <v>73</v>
      </c>
      <c r="F918" s="15" t="str">
        <f>IF($C918="","",IF($E918="","-",IFERROR(INDEX(SETUP!$B$55:$B$64,MATCH($E918,SETUP!$A$55:$A$64,0)),"Other")))</f>
        <v>Frontline</v>
      </c>
      <c r="G918" s="70">
        <v>62164</v>
      </c>
      <c r="H918" s="15" t="str">
        <f>IF($C918="","",IF($G918="","-",INDEX(SETUP!$B$26:$B$32,MATCH($G918,SETUP!$A$26:$A$32,1))))</f>
        <v>62,000 - 62,999</v>
      </c>
      <c r="I918" s="70">
        <v>4217</v>
      </c>
      <c r="J918" s="15" t="str">
        <f>IF($C918="","",IF($I918="","-",INDEX(SETUP!$B$16:$B$22,MATCH($I918,SETUP!$A$16:$A$22,1))))</f>
        <v>CORE</v>
      </c>
      <c r="K918" s="15" t="str">
        <f>IF($C918="","",IF($I918="","-",TEXT(INT($I918/1000)*1000,"#,##0")&amp;" - "&amp;TEXT(INT($I918/1000)*1000+999,"#,##0")))</f>
        <v>4,000 - 4,999</v>
      </c>
      <c r="L918" s="71">
        <v>4.93</v>
      </c>
      <c r="M918" s="15" t="str">
        <f>IF($C918="","",IF($L918="","-",INDEX(SETUP!$B$36:$B$42,MATCH($L918,SETUP!$A$36:$A$42,1))))</f>
        <v>4k - 5k</v>
      </c>
      <c r="N918" s="17">
        <f>IF($C918="","",IF(OR($G918="",$I918=""),"",ROUND(100*(SETUP!$B$4*MIN(1,$I918/SETUP!$B$9)+SETUP!$B$5*MAX(0,MIN(1,($G918-SETUP!$B$10)/(SETUP!$B$11-SETUP!$B$10)))+SETUP!$B$6*MIN(1,IF($L918="",0,$L918)/SETUP!$B$12)),1)))</f>
        <v>45.5</v>
      </c>
      <c r="O918" s="15" t="str">
        <f>IF($C918="","",IF($N918="","-",INDEX(SETUP!$B$46:$B$51,MATCH($N918,SETUP!$A$46:$A$51,1))))</f>
        <v>B</v>
      </c>
      <c r="P918" s="15">
        <f>IF($C918="","",IF($I918="","",RANK($I918,$I$4:$I$1463)+COUNTIF($I$4:$I918,$I918)-1))</f>
        <v>553</v>
      </c>
      <c r="Q918" s="15">
        <f>IF($C918="","",COUNTIFS($B$4:$B$1463,$B918,$X$4:$X$1463,"&gt;"&amp;$X918)+COUNTIFS($B$4:$B918,$B918,$X$4:$X918,"="&amp;$X918))</f>
        <v>41</v>
      </c>
      <c r="R918" s="72">
        <f>IF($C918="","",IF($I918="","",ROUND(COUNTIF($I$4:$I$1463,"&lt;"&amp;$I918)/COUNT($I$4:$I$1463),3)))</f>
        <v>0.58299999999999996</v>
      </c>
      <c r="S918" s="15" t="str">
        <f>IF($C918="","",IF($G918="","Name only",IF(OR($I918="",$L918=""),"Partial","Complete")))</f>
        <v>Complete</v>
      </c>
      <c r="T918" s="41" t="str">
        <f>IF($C918="","",TRIM(IF(COUNTIF($C$4:$C$1463,$C918)&gt;1,"Dup name; ","")&amp;IF(AND($G918&lt;&gt;"",$G918&lt;55000),"Low CR - verify; ","")&amp;IF(AND($L918&lt;&gt;"",$L918&gt;15),"Secondary - verify; ","")&amp;IF($E918="","No class; ","")))</f>
        <v/>
      </c>
      <c r="U918" s="68"/>
      <c r="V918" s="68"/>
      <c r="W918" s="68"/>
      <c r="X918" s="73">
        <f t="shared" si="72"/>
        <v>4217</v>
      </c>
      <c r="Y918" s="41" t="str">
        <f t="shared" si="73"/>
        <v>ACHERON|41</v>
      </c>
      <c r="Z918" s="15">
        <f>IF($C918="","",IF($G918="","",RANK($G918,$G$4:$G$1463)+COUNTIF($G$4:$G918,$G918)-1))</f>
        <v>770</v>
      </c>
      <c r="AA918" s="15">
        <f>IF($C918="","",IF($N918="","",RANK($N918,$N$4:$N$1463)+COUNTIF($N$4:$N918,$N918)-1))</f>
        <v>607</v>
      </c>
      <c r="AB918" s="41" t="str">
        <f>IF($C918="","",IF($E918="","",$E918&amp;"#"&amp;(COUNTIFS($E$4:$E$1463,$E918,$X$4:$X$1463,"&gt;"&amp;$X918)+COUNTIFS($E$4:$E918,$E918,$X$4:$X918,"="&amp;$X918))))</f>
        <v>CRUSADER#65</v>
      </c>
      <c r="AC918" s="41" t="str">
        <f>IF($C918="","",$B918&amp;"@"&amp;(COUNTIFS($B$4:$B$1463,$B918,$C$4:$C$1463,"&lt;"&amp;$C918)+COUNTIFS($B$4:$B918,$B918,$C$4:$C918,$C918)))</f>
        <v>ACHERON@60</v>
      </c>
      <c r="AD918" s="41">
        <f t="shared" si="74"/>
        <v>915</v>
      </c>
      <c r="AE918" s="41" t="s">
        <v>2100</v>
      </c>
      <c r="AF918" s="73">
        <f t="shared" si="75"/>
        <v>62164</v>
      </c>
      <c r="AG918" s="74">
        <f t="shared" si="76"/>
        <v>4.93</v>
      </c>
      <c r="AH918" s="41" t="str">
        <f>IF($C918="","",$B918&amp;"|"&amp;(COUNTIFS($B$4:$B$1463,$B918,$AF$4:$AF$1463,"&gt;"&amp;$AF918)+COUNTIFS($B$4:$B918,$B918,$AF$4:$AF918,"="&amp;$AF918)))</f>
        <v>ACHERON|62</v>
      </c>
      <c r="AI918" s="41" t="str">
        <f>IF($C918="","",$B918&amp;"|"&amp;(COUNTIFS($B$4:$B$1463,$B918,$AG$4:$AG$1463,"&gt;"&amp;$AG918)+COUNTIFS($B$4:$B918,$B918,$AG$4:$AG918,"="&amp;$AG918)))</f>
        <v>ACHERON|47</v>
      </c>
    </row>
    <row r="919" spans="1:35" hidden="1">
      <c r="A919" s="69" t="s">
        <v>109</v>
      </c>
      <c r="B919" s="69" t="s">
        <v>110</v>
      </c>
      <c r="C919" s="63" t="s">
        <v>2101</v>
      </c>
      <c r="D919" s="69"/>
      <c r="E919" s="68" t="s">
        <v>79</v>
      </c>
      <c r="F919" s="19" t="str">
        <f>IF($C919="","",IF($E919="","-",IFERROR(INDEX(SETUP!$B$55:$B$64,MATCH($E919,SETUP!$A$55:$A$64,0)),"Other")))</f>
        <v>Control</v>
      </c>
      <c r="G919" s="70">
        <v>62426</v>
      </c>
      <c r="H919" s="19" t="str">
        <f>IF($C919="","",IF($G919="","-",INDEX(SETUP!$B$26:$B$32,MATCH($G919,SETUP!$A$26:$A$32,1))))</f>
        <v>62,000 - 62,999</v>
      </c>
      <c r="I919" s="70">
        <v>4881</v>
      </c>
      <c r="J919" s="19" t="str">
        <f>IF($C919="","",IF($I919="","-",INDEX(SETUP!$B$16:$B$22,MATCH($I919,SETUP!$A$16:$A$22,1))))</f>
        <v>CORE</v>
      </c>
      <c r="K919" s="19" t="str">
        <f>IF($C919="","",IF($I919="","-",TEXT(INT($I919/1000)*1000,"#,##0")&amp;" - "&amp;TEXT(INT($I919/1000)*1000+999,"#,##0")))</f>
        <v>4,000 - 4,999</v>
      </c>
      <c r="L919" s="71">
        <v>5.9</v>
      </c>
      <c r="M919" s="19" t="str">
        <f>IF($C919="","",IF($L919="","-",INDEX(SETUP!$B$36:$B$42,MATCH($L919,SETUP!$A$36:$A$42,1))))</f>
        <v>5k - 6k</v>
      </c>
      <c r="N919" s="21">
        <f>IF($C919="","",IF(OR($G919="",$I919=""),"",ROUND(100*(SETUP!$B$4*MIN(1,$I919/SETUP!$B$9)+SETUP!$B$5*MAX(0,MIN(1,($G919-SETUP!$B$10)/(SETUP!$B$11-SETUP!$B$10)))+SETUP!$B$6*MIN(1,IF($L919="",0,$L919)/SETUP!$B$12)),1)))</f>
        <v>50.7</v>
      </c>
      <c r="O919" s="19" t="str">
        <f>IF($C919="","",IF($N919="","-",INDEX(SETUP!$B$46:$B$51,MATCH($N919,SETUP!$A$46:$A$51,1))))</f>
        <v>A</v>
      </c>
      <c r="P919" s="19">
        <f>IF($C919="","",IF($I919="","",RANK($I919,$I$4:$I$1463)+COUNTIF($I$4:$I919,$I919)-1))</f>
        <v>432</v>
      </c>
      <c r="Q919" s="19">
        <f>IF($C919="","",COUNTIFS($B$4:$B$1463,$B919,$X$4:$X$1463,"&gt;"&amp;$X919)+COUNTIFS($B$4:$B919,$B919,$X$4:$X919,"="&amp;$X919))</f>
        <v>53</v>
      </c>
      <c r="R919" s="75">
        <f>IF($C919="","",IF($I919="","",ROUND(COUNTIF($I$4:$I$1463,"&lt;"&amp;$I919)/COUNT($I$4:$I$1463),3)))</f>
        <v>0.67400000000000004</v>
      </c>
      <c r="S919" s="19" t="str">
        <f>IF($C919="","",IF($G919="","Name only",IF(OR($I919="",$L919=""),"Partial","Complete")))</f>
        <v>Complete</v>
      </c>
      <c r="T919" s="1" t="str">
        <f>IF($C919="","",TRIM(IF(COUNTIF($C$4:$C$1463,$C919)&gt;1,"Dup name; ","")&amp;IF(AND($G919&lt;&gt;"",$G919&lt;55000),"Low CR - verify; ","")&amp;IF(AND($L919&lt;&gt;"",$L919&gt;15),"Secondary - verify; ","")&amp;IF($E919="","No class; ","")))</f>
        <v/>
      </c>
      <c r="U919" s="68"/>
      <c r="V919" s="68"/>
      <c r="W919" s="68"/>
      <c r="X919" s="76">
        <f t="shared" si="72"/>
        <v>4881</v>
      </c>
      <c r="Y919" s="1" t="str">
        <f t="shared" si="73"/>
        <v>AZUKI|53</v>
      </c>
      <c r="Z919" s="19">
        <f>IF($C919="","",IF($G919="","",RANK($G919,$G$4:$G$1463)+COUNTIF($G$4:$G919,$G919)-1))</f>
        <v>678</v>
      </c>
      <c r="AA919" s="19">
        <f>IF($C919="","",IF($N919="","",RANK($N919,$N$4:$N$1463)+COUNTIF($N$4:$N919,$N919)-1))</f>
        <v>437</v>
      </c>
      <c r="AB919" s="1" t="str">
        <f>IF($C919="","",IF($E919="","",$E919&amp;"#"&amp;(COUNTIFS($E$4:$E$1463,$E919,$X$4:$X$1463,"&gt;"&amp;$X919)+COUNTIFS($E$4:$E919,$E919,$X$4:$X919,"="&amp;$X919))))</f>
        <v>WARLOCK#99</v>
      </c>
      <c r="AC919" s="1" t="str">
        <f>IF($C919="","",$B919&amp;"@"&amp;(COUNTIFS($B$4:$B$1463,$B919,$C$4:$C$1463,"&lt;"&amp;$C919)+COUNTIFS($B$4:$B919,$B919,$C$4:$C919,$C919)))</f>
        <v>AZUKI@72</v>
      </c>
      <c r="AD919" s="1">
        <f t="shared" si="74"/>
        <v>916</v>
      </c>
      <c r="AE919" s="1" t="s">
        <v>2102</v>
      </c>
      <c r="AF919" s="76">
        <f t="shared" si="75"/>
        <v>62426</v>
      </c>
      <c r="AG919" s="77">
        <f t="shared" si="76"/>
        <v>5.9</v>
      </c>
      <c r="AH919" s="1" t="str">
        <f>IF($C919="","",$B919&amp;"|"&amp;(COUNTIFS($B$4:$B$1463,$B919,$AF$4:$AF$1463,"&gt;"&amp;$AF919)+COUNTIFS($B$4:$B919,$B919,$AF$4:$AF919,"="&amp;$AF919)))</f>
        <v>AZUKI|60</v>
      </c>
      <c r="AI919" s="1" t="str">
        <f>IF($C919="","",$B919&amp;"|"&amp;(COUNTIFS($B$4:$B$1463,$B919,$AG$4:$AG$1463,"&gt;"&amp;$AG919)+COUNTIFS($B$4:$B919,$B919,$AG$4:$AG919,"="&amp;$AG919)))</f>
        <v>AZUKI|48</v>
      </c>
    </row>
    <row r="920" spans="1:35" hidden="1">
      <c r="A920" s="69" t="s">
        <v>109</v>
      </c>
      <c r="B920" s="69" t="s">
        <v>112</v>
      </c>
      <c r="C920" s="63" t="s">
        <v>2103</v>
      </c>
      <c r="D920" s="69" t="s">
        <v>567</v>
      </c>
      <c r="E920" s="68" t="s">
        <v>74</v>
      </c>
      <c r="F920" s="15" t="str">
        <f>IF($C920="","",IF($E920="","-",IFERROR(INDEX(SETUP!$B$55:$B$64,MATCH($E920,SETUP!$A$55:$A$64,0)),"Other")))</f>
        <v>Ranged DPS</v>
      </c>
      <c r="G920" s="70">
        <v>63183</v>
      </c>
      <c r="H920" s="15" t="str">
        <f>IF($C920="","",IF($G920="","-",INDEX(SETUP!$B$26:$B$32,MATCH($G920,SETUP!$A$26:$A$32,1))))</f>
        <v>63,000 - 63,999</v>
      </c>
      <c r="I920" s="70">
        <v>3368</v>
      </c>
      <c r="J920" s="15" t="str">
        <f>IF($C920="","",IF($I920="","-",INDEX(SETUP!$B$16:$B$22,MATCH($I920,SETUP!$A$16:$A$22,1))))</f>
        <v>DEVELOPING</v>
      </c>
      <c r="K920" s="15" t="str">
        <f>IF($C920="","",IF($I920="","-",TEXT(INT($I920/1000)*1000,"#,##0")&amp;" - "&amp;TEXT(INT($I920/1000)*1000+999,"#,##0")))</f>
        <v>3,000 - 3,999</v>
      </c>
      <c r="L920" s="71">
        <v>4.55</v>
      </c>
      <c r="M920" s="15" t="str">
        <f>IF($C920="","",IF($L920="","-",INDEX(SETUP!$B$36:$B$42,MATCH($L920,SETUP!$A$36:$A$42,1))))</f>
        <v>4k - 5k</v>
      </c>
      <c r="N920" s="17">
        <f>IF($C920="","",IF(OR($G920="",$I920=""),"",ROUND(100*(SETUP!$B$4*MIN(1,$I920/SETUP!$B$9)+SETUP!$B$5*MAX(0,MIN(1,($G920-SETUP!$B$10)/(SETUP!$B$11-SETUP!$B$10)))+SETUP!$B$6*MIN(1,IF($L920="",0,$L920)/SETUP!$B$12)),1)))</f>
        <v>43.8</v>
      </c>
      <c r="O920" s="15" t="str">
        <f>IF($C920="","",IF($N920="","-",INDEX(SETUP!$B$46:$B$51,MATCH($N920,SETUP!$A$46:$A$51,1))))</f>
        <v>B</v>
      </c>
      <c r="P920" s="15">
        <f>IF($C920="","",IF($I920="","",RANK($I920,$I$4:$I$1463)+COUNTIF($I$4:$I920,$I920)-1))</f>
        <v>767</v>
      </c>
      <c r="Q920" s="15">
        <f>IF($C920="","",COUNTIFS($B$4:$B$1463,$B920,$X$4:$X$1463,"&gt;"&amp;$X920)+COUNTIFS($B$4:$B920,$B920,$X$4:$X920,"="&amp;$X920))</f>
        <v>56</v>
      </c>
      <c r="R920" s="72">
        <f>IF($C920="","",IF($I920="","",ROUND(COUNTIF($I$4:$I$1463,"&lt;"&amp;$I920)/COUNT($I$4:$I$1463),3)))</f>
        <v>0.42099999999999999</v>
      </c>
      <c r="S920" s="15" t="str">
        <f>IF($C920="","",IF($G920="","Name only",IF(OR($I920="",$L920=""),"Partial","Complete")))</f>
        <v>Complete</v>
      </c>
      <c r="T920" s="41" t="str">
        <f>IF($C920="","",TRIM(IF(COUNTIF($C$4:$C$1463,$C920)&gt;1,"Dup name; ","")&amp;IF(AND($G920&lt;&gt;"",$G920&lt;55000),"Low CR - verify; ","")&amp;IF(AND($L920&lt;&gt;"",$L920&gt;15),"Secondary - verify; ","")&amp;IF($E920="","No class; ","")))</f>
        <v/>
      </c>
      <c r="U920" s="68"/>
      <c r="V920" s="68"/>
      <c r="W920" s="68"/>
      <c r="X920" s="73">
        <f t="shared" si="72"/>
        <v>3368</v>
      </c>
      <c r="Y920" s="41" t="str">
        <f t="shared" si="73"/>
        <v>ACHERON|56</v>
      </c>
      <c r="Z920" s="15">
        <f>IF($C920="","",IF($G920="","",RANK($G920,$G$4:$G$1463)+COUNTIF($G$4:$G920,$G920)-1))</f>
        <v>326</v>
      </c>
      <c r="AA920" s="15">
        <f>IF($C920="","",IF($N920="","",RANK($N920,$N$4:$N$1463)+COUNTIF($N$4:$N920,$N920)-1))</f>
        <v>675</v>
      </c>
      <c r="AB920" s="41" t="str">
        <f>IF($C920="","",IF($E920="","",$E920&amp;"#"&amp;(COUNTIFS($E$4:$E$1463,$E920,$X$4:$X$1463,"&gt;"&amp;$X920)+COUNTIFS($E$4:$E920,$E920,$X$4:$X920,"="&amp;$X920))))</f>
        <v>DEMON HUNTER#122</v>
      </c>
      <c r="AC920" s="41" t="str">
        <f>IF($C920="","",$B920&amp;"@"&amp;(COUNTIFS($B$4:$B$1463,$B920,$C$4:$C$1463,"&lt;"&amp;$C920)+COUNTIFS($B$4:$B920,$B920,$C$4:$C920,$C920)))</f>
        <v>ACHERON@61</v>
      </c>
      <c r="AD920" s="41">
        <f t="shared" si="74"/>
        <v>917</v>
      </c>
      <c r="AE920" s="41" t="s">
        <v>2104</v>
      </c>
      <c r="AF920" s="73">
        <f t="shared" si="75"/>
        <v>63183</v>
      </c>
      <c r="AG920" s="74">
        <f t="shared" si="76"/>
        <v>4.55</v>
      </c>
      <c r="AH920" s="41" t="str">
        <f>IF($C920="","",$B920&amp;"|"&amp;(COUNTIFS($B$4:$B$1463,$B920,$AF$4:$AF$1463,"&gt;"&amp;$AF920)+COUNTIFS($B$4:$B920,$B920,$AF$4:$AF920,"="&amp;$AF920)))</f>
        <v>ACHERON|24</v>
      </c>
      <c r="AI920" s="41" t="str">
        <f>IF($C920="","",$B920&amp;"|"&amp;(COUNTIFS($B$4:$B$1463,$B920,$AG$4:$AG$1463,"&gt;"&amp;$AG920)+COUNTIFS($B$4:$B920,$B920,$AG$4:$AG920,"="&amp;$AG920)))</f>
        <v>ACHERON|62</v>
      </c>
    </row>
    <row r="921" spans="1:35" hidden="1">
      <c r="A921" s="69" t="s">
        <v>109</v>
      </c>
      <c r="B921" s="69" t="s">
        <v>110</v>
      </c>
      <c r="C921" s="63" t="s">
        <v>2105</v>
      </c>
      <c r="D921" s="69"/>
      <c r="E921" s="68" t="s">
        <v>71</v>
      </c>
      <c r="F921" s="19" t="str">
        <f>IF($C921="","",IF($E921="","-",IFERROR(INDEX(SETUP!$B$55:$B$64,MATCH($E921,SETUP!$A$55:$A$64,0)),"Other")))</f>
        <v>Frontline</v>
      </c>
      <c r="G921" s="70">
        <v>63329</v>
      </c>
      <c r="H921" s="19" t="str">
        <f>IF($C921="","",IF($G921="","-",INDEX(SETUP!$B$26:$B$32,MATCH($G921,SETUP!$A$26:$A$32,1))))</f>
        <v>63,000 - 63,999</v>
      </c>
      <c r="I921" s="70">
        <v>5759</v>
      </c>
      <c r="J921" s="19" t="str">
        <f>IF($C921="","",IF($I921="","-",INDEX(SETUP!$B$16:$B$22,MATCH($I921,SETUP!$A$16:$A$22,1))))</f>
        <v>CORE</v>
      </c>
      <c r="K921" s="19" t="str">
        <f>IF($C921="","",IF($I921="","-",TEXT(INT($I921/1000)*1000,"#,##0")&amp;" - "&amp;TEXT(INT($I921/1000)*1000+999,"#,##0")))</f>
        <v>5,000 - 5,999</v>
      </c>
      <c r="L921" s="71">
        <v>6.15</v>
      </c>
      <c r="M921" s="19" t="str">
        <f>IF($C921="","",IF($L921="","-",INDEX(SETUP!$B$36:$B$42,MATCH($L921,SETUP!$A$36:$A$42,1))))</f>
        <v>6k - 8k</v>
      </c>
      <c r="N921" s="21">
        <f>IF($C921="","",IF(OR($G921="",$I921=""),"",ROUND(100*(SETUP!$B$4*MIN(1,$I921/SETUP!$B$9)+SETUP!$B$5*MAX(0,MIN(1,($G921-SETUP!$B$10)/(SETUP!$B$11-SETUP!$B$10)))+SETUP!$B$6*MIN(1,IF($L921="",0,$L921)/SETUP!$B$12)),1)))</f>
        <v>57.3</v>
      </c>
      <c r="O921" s="19" t="str">
        <f>IF($C921="","",IF($N921="","-",INDEX(SETUP!$B$46:$B$51,MATCH($N921,SETUP!$A$46:$A$51,1))))</f>
        <v>A</v>
      </c>
      <c r="P921" s="19">
        <f>IF($C921="","",IF($I921="","",RANK($I921,$I$4:$I$1463)+COUNTIF($I$4:$I921,$I921)-1))</f>
        <v>307</v>
      </c>
      <c r="Q921" s="19">
        <f>IF($C921="","",COUNTIFS($B$4:$B$1463,$B921,$X$4:$X$1463,"&gt;"&amp;$X921)+COUNTIFS($B$4:$B921,$B921,$X$4:$X921,"="&amp;$X921))</f>
        <v>39</v>
      </c>
      <c r="R921" s="75">
        <f>IF($C921="","",IF($I921="","",ROUND(COUNTIF($I$4:$I$1463,"&lt;"&amp;$I921)/COUNT($I$4:$I$1463),3)))</f>
        <v>0.76800000000000002</v>
      </c>
      <c r="S921" s="19" t="str">
        <f>IF($C921="","",IF($G921="","Name only",IF(OR($I921="",$L921=""),"Partial","Complete")))</f>
        <v>Complete</v>
      </c>
      <c r="T921" s="1" t="str">
        <f>IF($C921="","",TRIM(IF(COUNTIF($C$4:$C$1463,$C921)&gt;1,"Dup name; ","")&amp;IF(AND($G921&lt;&gt;"",$G921&lt;55000),"Low CR - verify; ","")&amp;IF(AND($L921&lt;&gt;"",$L921&gt;15),"Secondary - verify; ","")&amp;IF($E921="","No class; ","")))</f>
        <v/>
      </c>
      <c r="U921" s="68"/>
      <c r="V921" s="68"/>
      <c r="W921" s="68"/>
      <c r="X921" s="76">
        <f t="shared" si="72"/>
        <v>5759</v>
      </c>
      <c r="Y921" s="1" t="str">
        <f t="shared" si="73"/>
        <v>AZUKI|39</v>
      </c>
      <c r="Z921" s="19">
        <f>IF($C921="","",IF($G921="","",RANK($G921,$G$4:$G$1463)+COUNTIF($G$4:$G921,$G921)-1))</f>
        <v>247</v>
      </c>
      <c r="AA921" s="19">
        <f>IF($C921="","",IF($N921="","",RANK($N921,$N$4:$N$1463)+COUNTIF($N$4:$N921,$N921)-1))</f>
        <v>275</v>
      </c>
      <c r="AB921" s="1" t="str">
        <f>IF($C921="","",IF($E921="","",$E921&amp;"#"&amp;(COUNTIFS($E$4:$E$1463,$E921,$X$4:$X$1463,"&gt;"&amp;$X921)+COUNTIFS($E$4:$E921,$E921,$X$4:$X921,"="&amp;$X921))))</f>
        <v>BARBARIAN#61</v>
      </c>
      <c r="AC921" s="1" t="str">
        <f>IF($C921="","",$B921&amp;"@"&amp;(COUNTIFS($B$4:$B$1463,$B921,$C$4:$C$1463,"&lt;"&amp;$C921)+COUNTIFS($B$4:$B921,$B921,$C$4:$C921,$C921)))</f>
        <v>AZUKI@73</v>
      </c>
      <c r="AD921" s="1">
        <f t="shared" si="74"/>
        <v>918</v>
      </c>
      <c r="AE921" s="1" t="s">
        <v>2106</v>
      </c>
      <c r="AF921" s="76">
        <f t="shared" si="75"/>
        <v>63329</v>
      </c>
      <c r="AG921" s="77">
        <f t="shared" si="76"/>
        <v>6.15</v>
      </c>
      <c r="AH921" s="1" t="str">
        <f>IF($C921="","",$B921&amp;"|"&amp;(COUNTIFS($B$4:$B$1463,$B921,$AF$4:$AF$1463,"&gt;"&amp;$AF921)+COUNTIFS($B$4:$B921,$B921,$AF$4:$AF921,"="&amp;$AF921)))</f>
        <v>AZUKI|29</v>
      </c>
      <c r="AI921" s="1" t="str">
        <f>IF($C921="","",$B921&amp;"|"&amp;(COUNTIFS($B$4:$B$1463,$B921,$AG$4:$AG$1463,"&gt;"&amp;$AG921)+COUNTIFS($B$4:$B921,$B921,$AG$4:$AG921,"="&amp;$AG921)))</f>
        <v>AZUKI|43</v>
      </c>
    </row>
    <row r="922" spans="1:35" hidden="1">
      <c r="A922" s="69" t="s">
        <v>109</v>
      </c>
      <c r="B922" s="69" t="s">
        <v>117</v>
      </c>
      <c r="C922" s="63" t="s">
        <v>2107</v>
      </c>
      <c r="D922" s="69"/>
      <c r="E922" s="68" t="s">
        <v>79</v>
      </c>
      <c r="F922" s="15" t="str">
        <f>IF($C922="","",IF($E922="","-",IFERROR(INDEX(SETUP!$B$55:$B$64,MATCH($E922,SETUP!$A$55:$A$64,0)),"Other")))</f>
        <v>Control</v>
      </c>
      <c r="G922" s="70">
        <v>61165</v>
      </c>
      <c r="H922" s="15" t="str">
        <f>IF($C922="","",IF($G922="","-",INDEX(SETUP!$B$26:$B$32,MATCH($G922,SETUP!$A$26:$A$32,1))))</f>
        <v>61,000 - 61,999</v>
      </c>
      <c r="I922" s="70">
        <v>1744</v>
      </c>
      <c r="J922" s="15" t="str">
        <f>IF($C922="","",IF($I922="","-",INDEX(SETUP!$B$16:$B$22,MATCH($I922,SETUP!$A$16:$A$22,1))))</f>
        <v>ROOKIE</v>
      </c>
      <c r="K922" s="15" t="str">
        <f>IF($C922="","",IF($I922="","-",TEXT(INT($I922/1000)*1000,"#,##0")&amp;" - "&amp;TEXT(INT($I922/1000)*1000+999,"#,##0")))</f>
        <v>1,000 - 1,999</v>
      </c>
      <c r="L922" s="71">
        <v>2.4500000000000002</v>
      </c>
      <c r="M922" s="15" t="str">
        <f>IF($C922="","",IF($L922="","-",INDEX(SETUP!$B$36:$B$42,MATCH($L922,SETUP!$A$36:$A$42,1))))</f>
        <v>Under 3k</v>
      </c>
      <c r="N922" s="17">
        <f>IF($C922="","",IF(OR($G922="",$I922=""),"",ROUND(100*(SETUP!$B$4*MIN(1,$I922/SETUP!$B$9)+SETUP!$B$5*MAX(0,MIN(1,($G922-SETUP!$B$10)/(SETUP!$B$11-SETUP!$B$10)))+SETUP!$B$6*MIN(1,IF($L922="",0,$L922)/SETUP!$B$12)),1)))</f>
        <v>27.9</v>
      </c>
      <c r="O922" s="15" t="str">
        <f>IF($C922="","",IF($N922="","-",INDEX(SETUP!$B$46:$B$51,MATCH($N922,SETUP!$A$46:$A$51,1))))</f>
        <v>C</v>
      </c>
      <c r="P922" s="15">
        <f>IF($C922="","",IF($I922="","",RANK($I922,$I$4:$I$1463)+COUNTIF($I$4:$I922,$I922)-1))</f>
        <v>1154</v>
      </c>
      <c r="Q922" s="15">
        <f>IF($C922="","",COUNTIFS($B$4:$B$1463,$B922,$X$4:$X$1463,"&gt;"&amp;$X922)+COUNTIFS($B$4:$B922,$B922,$X$4:$X922,"="&amp;$X922))</f>
        <v>58</v>
      </c>
      <c r="R922" s="72">
        <f>IF($C922="","",IF($I922="","",ROUND(COUNTIF($I$4:$I$1463,"&lt;"&amp;$I922)/COUNT($I$4:$I$1463),3)))</f>
        <v>0.129</v>
      </c>
      <c r="S922" s="15" t="str">
        <f>IF($C922="","",IF($G922="","Name only",IF(OR($I922="",$L922=""),"Partial","Complete")))</f>
        <v>Complete</v>
      </c>
      <c r="T922" s="41" t="str">
        <f>IF($C922="","",TRIM(IF(COUNTIF($C$4:$C$1463,$C922)&gt;1,"Dup name; ","")&amp;IF(AND($G922&lt;&gt;"",$G922&lt;55000),"Low CR - verify; ","")&amp;IF(AND($L922&lt;&gt;"",$L922&gt;15),"Secondary - verify; ","")&amp;IF($E922="","No class; ","")))</f>
        <v/>
      </c>
      <c r="U922" s="68"/>
      <c r="V922" s="68"/>
      <c r="W922" s="68"/>
      <c r="X922" s="73">
        <f t="shared" si="72"/>
        <v>1744</v>
      </c>
      <c r="Y922" s="41" t="str">
        <f t="shared" si="73"/>
        <v>VENDETTA|58</v>
      </c>
      <c r="Z922" s="15">
        <f>IF($C922="","",IF($G922="","",RANK($G922,$G$4:$G$1463)+COUNTIF($G$4:$G922,$G922)-1))</f>
        <v>1104</v>
      </c>
      <c r="AA922" s="15">
        <f>IF($C922="","",IF($N922="","",RANK($N922,$N$4:$N$1463)+COUNTIF($N$4:$N922,$N922)-1))</f>
        <v>1196</v>
      </c>
      <c r="AB922" s="41" t="str">
        <f>IF($C922="","",IF($E922="","",$E922&amp;"#"&amp;(COUNTIFS($E$4:$E$1463,$E922,$X$4:$X$1463,"&gt;"&amp;$X922)+COUNTIFS($E$4:$E922,$E922,$X$4:$X922,"="&amp;$X922))))</f>
        <v>WARLOCK#285</v>
      </c>
      <c r="AC922" s="41" t="str">
        <f>IF($C922="","",$B922&amp;"@"&amp;(COUNTIFS($B$4:$B$1463,$B922,$C$4:$C$1463,"&lt;"&amp;$C922)+COUNTIFS($B$4:$B922,$B922,$C$4:$C922,$C922)))</f>
        <v>VENDETTA@69</v>
      </c>
      <c r="AD922" s="41">
        <f t="shared" si="74"/>
        <v>919</v>
      </c>
      <c r="AE922" s="41" t="s">
        <v>2108</v>
      </c>
      <c r="AF922" s="73">
        <f t="shared" si="75"/>
        <v>61165</v>
      </c>
      <c r="AG922" s="74">
        <f t="shared" si="76"/>
        <v>2.4500000000000002</v>
      </c>
      <c r="AH922" s="41" t="str">
        <f>IF($C922="","",$B922&amp;"|"&amp;(COUNTIFS($B$4:$B$1463,$B922,$AF$4:$AF$1463,"&gt;"&amp;$AF922)+COUNTIFS($B$4:$B922,$B922,$AF$4:$AF922,"="&amp;$AF922)))</f>
        <v>VENDETTA|60</v>
      </c>
      <c r="AI922" s="41" t="str">
        <f>IF($C922="","",$B922&amp;"|"&amp;(COUNTIFS($B$4:$B$1463,$B922,$AG$4:$AG$1463,"&gt;"&amp;$AG922)+COUNTIFS($B$4:$B922,$B922,$AG$4:$AG922,"="&amp;$AG922)))</f>
        <v>VENDETTA|92</v>
      </c>
    </row>
    <row r="923" spans="1:35" hidden="1">
      <c r="A923" s="69" t="s">
        <v>109</v>
      </c>
      <c r="B923" s="69" t="s">
        <v>116</v>
      </c>
      <c r="C923" s="63" t="s">
        <v>2109</v>
      </c>
      <c r="D923" s="69" t="s">
        <v>530</v>
      </c>
      <c r="E923" s="68" t="s">
        <v>74</v>
      </c>
      <c r="F923" s="19" t="str">
        <f>IF($C923="","",IF($E923="","-",IFERROR(INDEX(SETUP!$B$55:$B$64,MATCH($E923,SETUP!$A$55:$A$64,0)),"Other")))</f>
        <v>Ranged DPS</v>
      </c>
      <c r="G923" s="70">
        <v>61167</v>
      </c>
      <c r="H923" s="19" t="str">
        <f>IF($C923="","",IF($G923="","-",INDEX(SETUP!$B$26:$B$32,MATCH($G923,SETUP!$A$26:$A$32,1))))</f>
        <v>61,000 - 61,999</v>
      </c>
      <c r="I923" s="70">
        <v>2044</v>
      </c>
      <c r="J923" s="19" t="str">
        <f>IF($C923="","",IF($I923="","-",INDEX(SETUP!$B$16:$B$22,MATCH($I923,SETUP!$A$16:$A$22,1))))</f>
        <v>DEVELOPING</v>
      </c>
      <c r="K923" s="19" t="str">
        <f>IF($C923="","",IF($I923="","-",TEXT(INT($I923/1000)*1000,"#,##0")&amp;" - "&amp;TEXT(INT($I923/1000)*1000+999,"#,##0")))</f>
        <v>2,000 - 2,999</v>
      </c>
      <c r="L923" s="71">
        <v>4.8</v>
      </c>
      <c r="M923" s="19" t="str">
        <f>IF($C923="","",IF($L923="","-",INDEX(SETUP!$B$36:$B$42,MATCH($L923,SETUP!$A$36:$A$42,1))))</f>
        <v>4k - 5k</v>
      </c>
      <c r="N923" s="21">
        <f>IF($C923="","",IF(OR($G923="",$I923=""),"",ROUND(100*(SETUP!$B$4*MIN(1,$I923/SETUP!$B$9)+SETUP!$B$5*MAX(0,MIN(1,($G923-SETUP!$B$10)/(SETUP!$B$11-SETUP!$B$10)))+SETUP!$B$6*MIN(1,IF($L923="",0,$L923)/SETUP!$B$12)),1)))</f>
        <v>33.200000000000003</v>
      </c>
      <c r="O923" s="19" t="str">
        <f>IF($C923="","",IF($N923="","-",INDEX(SETUP!$B$46:$B$51,MATCH($N923,SETUP!$A$46:$A$51,1))))</f>
        <v>C</v>
      </c>
      <c r="P923" s="19">
        <f>IF($C923="","",IF($I923="","",RANK($I923,$I$4:$I$1463)+COUNTIF($I$4:$I923,$I923)-1))</f>
        <v>1101</v>
      </c>
      <c r="Q923" s="19">
        <f>IF($C923="","",COUNTIFS($B$4:$B$1463,$B923,$X$4:$X$1463,"&gt;"&amp;$X923)+COUNTIFS($B$4:$B923,$B923,$X$4:$X923,"="&amp;$X923))</f>
        <v>83</v>
      </c>
      <c r="R923" s="75">
        <f>IF($C923="","",IF($I923="","",ROUND(COUNTIF($I$4:$I$1463,"&lt;"&amp;$I923)/COUNT($I$4:$I$1463),3)))</f>
        <v>0.16900000000000001</v>
      </c>
      <c r="S923" s="19" t="str">
        <f>IF($C923="","",IF($G923="","Name only",IF(OR($I923="",$L923=""),"Partial","Complete")))</f>
        <v>Complete</v>
      </c>
      <c r="T923" s="1" t="str">
        <f>IF($C923="","",TRIM(IF(COUNTIF($C$4:$C$1463,$C923)&gt;1,"Dup name; ","")&amp;IF(AND($G923&lt;&gt;"",$G923&lt;55000),"Low CR - verify; ","")&amp;IF(AND($L923&lt;&gt;"",$L923&gt;15),"Secondary - verify; ","")&amp;IF($E923="","No class; ","")))</f>
        <v/>
      </c>
      <c r="U923" s="68"/>
      <c r="V923" s="68"/>
      <c r="W923" s="68"/>
      <c r="X923" s="76">
        <f t="shared" si="72"/>
        <v>2044</v>
      </c>
      <c r="Y923" s="1" t="str">
        <f t="shared" si="73"/>
        <v>VENGEANCE|83</v>
      </c>
      <c r="Z923" s="19">
        <f>IF($C923="","",IF($G923="","",RANK($G923,$G$4:$G$1463)+COUNTIF($G$4:$G923,$G923)-1))</f>
        <v>1103</v>
      </c>
      <c r="AA923" s="19">
        <f>IF($C923="","",IF($N923="","",RANK($N923,$N$4:$N$1463)+COUNTIF($N$4:$N923,$N923)-1))</f>
        <v>1062</v>
      </c>
      <c r="AB923" s="1" t="str">
        <f>IF($C923="","",IF($E923="","",$E923&amp;"#"&amp;(COUNTIFS($E$4:$E$1463,$E923,$X$4:$X$1463,"&gt;"&amp;$X923)+COUNTIFS($E$4:$E923,$E923,$X$4:$X923,"="&amp;$X923))))</f>
        <v>DEMON HUNTER#168</v>
      </c>
      <c r="AC923" s="1" t="str">
        <f>IF($C923="","",$B923&amp;"@"&amp;(COUNTIFS($B$4:$B$1463,$B923,$C$4:$C$1463,"&lt;"&amp;$C923)+COUNTIFS($B$4:$B923,$B923,$C$4:$C923,$C923)))</f>
        <v>VENGEANCE@59</v>
      </c>
      <c r="AD923" s="1">
        <f t="shared" si="74"/>
        <v>920</v>
      </c>
      <c r="AE923" s="1" t="s">
        <v>986</v>
      </c>
      <c r="AF923" s="76">
        <f t="shared" si="75"/>
        <v>61167</v>
      </c>
      <c r="AG923" s="77">
        <f t="shared" si="76"/>
        <v>4.8</v>
      </c>
      <c r="AH923" s="1" t="str">
        <f>IF($C923="","",$B923&amp;"|"&amp;(COUNTIFS($B$4:$B$1463,$B923,$AF$4:$AF$1463,"&gt;"&amp;$AF923)+COUNTIFS($B$4:$B923,$B923,$AF$4:$AF923,"="&amp;$AF923)))</f>
        <v>VENGEANCE|73</v>
      </c>
      <c r="AI923" s="1" t="str">
        <f>IF($C923="","",$B923&amp;"|"&amp;(COUNTIFS($B$4:$B$1463,$B923,$AG$4:$AG$1463,"&gt;"&amp;$AG923)+COUNTIFS($B$4:$B923,$B923,$AG$4:$AG923,"="&amp;$AG923)))</f>
        <v>VENGEANCE|40</v>
      </c>
    </row>
    <row r="924" spans="1:35" hidden="1">
      <c r="A924" s="69" t="s">
        <v>109</v>
      </c>
      <c r="B924" s="69" t="s">
        <v>108</v>
      </c>
      <c r="C924" s="63" t="s">
        <v>2110</v>
      </c>
      <c r="D924" s="69"/>
      <c r="E924" s="68" t="s">
        <v>79</v>
      </c>
      <c r="F924" s="15" t="str">
        <f>IF($C924="","",IF($E924="","-",IFERROR(INDEX(SETUP!$B$55:$B$64,MATCH($E924,SETUP!$A$55:$A$64,0)),"Other")))</f>
        <v>Control</v>
      </c>
      <c r="G924" s="70">
        <v>64068</v>
      </c>
      <c r="H924" s="15" t="str">
        <f>IF($C924="","",IF($G924="","-",INDEX(SETUP!$B$26:$B$32,MATCH($G924,SETUP!$A$26:$A$32,1))))</f>
        <v>64,000 +</v>
      </c>
      <c r="I924" s="70">
        <v>7663</v>
      </c>
      <c r="J924" s="15" t="str">
        <f>IF($C924="","",IF($I924="","-",INDEX(SETUP!$B$16:$B$22,MATCH($I924,SETUP!$A$16:$A$22,1))))</f>
        <v>VETERAN</v>
      </c>
      <c r="K924" s="15" t="str">
        <f>IF($C924="","",IF($I924="","-",TEXT(INT($I924/1000)*1000,"#,##0")&amp;" - "&amp;TEXT(INT($I924/1000)*1000+999,"#,##0")))</f>
        <v>7,000 - 7,999</v>
      </c>
      <c r="L924" s="71">
        <v>8.6999999999999993</v>
      </c>
      <c r="M924" s="15" t="str">
        <f>IF($C924="","",IF($L924="","-",INDEX(SETUP!$B$36:$B$42,MATCH($L924,SETUP!$A$36:$A$42,1))))</f>
        <v>8k - 10k</v>
      </c>
      <c r="N924" s="17">
        <f>IF($C924="","",IF(OR($G924="",$I924=""),"",ROUND(100*(SETUP!$B$4*MIN(1,$I924/SETUP!$B$9)+SETUP!$B$5*MAX(0,MIN(1,($G924-SETUP!$B$10)/(SETUP!$B$11-SETUP!$B$10)))+SETUP!$B$6*MIN(1,IF($L924="",0,$L924)/SETUP!$B$12)),1)))</f>
        <v>71.8</v>
      </c>
      <c r="O924" s="15" t="str">
        <f>IF($C924="","",IF($N924="","-",INDEX(SETUP!$B$46:$B$51,MATCH($N924,SETUP!$A$46:$A$51,1))))</f>
        <v>S</v>
      </c>
      <c r="P924" s="15">
        <f>IF($C924="","",IF($I924="","",RANK($I924,$I$4:$I$1463)+COUNTIF($I$4:$I924,$I924)-1))</f>
        <v>161</v>
      </c>
      <c r="Q924" s="15">
        <f>IF($C924="","",COUNTIFS($B$4:$B$1463,$B924,$X$4:$X$1463,"&gt;"&amp;$X924)+COUNTIFS($B$4:$B924,$B924,$X$4:$X924,"="&amp;$X924))</f>
        <v>25</v>
      </c>
      <c r="R924" s="72">
        <f>IF($C924="","",IF($I924="","",ROUND(COUNTIF($I$4:$I$1463,"&lt;"&amp;$I924)/COUNT($I$4:$I$1463),3)))</f>
        <v>0.878</v>
      </c>
      <c r="S924" s="15" t="str">
        <f>IF($C924="","",IF($G924="","Name only",IF(OR($I924="",$L924=""),"Partial","Complete")))</f>
        <v>Complete</v>
      </c>
      <c r="T924" s="41" t="str">
        <f>IF($C924="","",TRIM(IF(COUNTIF($C$4:$C$1463,$C924)&gt;1,"Dup name; ","")&amp;IF(AND($G924&lt;&gt;"",$G924&lt;55000),"Low CR - verify; ","")&amp;IF(AND($L924&lt;&gt;"",$L924&gt;15),"Secondary - verify; ","")&amp;IF($E924="","No class; ","")))</f>
        <v/>
      </c>
      <c r="U924" s="68"/>
      <c r="V924" s="68"/>
      <c r="W924" s="68"/>
      <c r="X924" s="73">
        <f t="shared" si="72"/>
        <v>7663</v>
      </c>
      <c r="Y924" s="41" t="str">
        <f t="shared" si="73"/>
        <v>SBG|25</v>
      </c>
      <c r="Z924" s="15">
        <f>IF($C924="","",IF($G924="","",RANK($G924,$G$4:$G$1463)+COUNTIF($G$4:$G924,$G924)-1))</f>
        <v>62</v>
      </c>
      <c r="AA924" s="15">
        <f>IF($C924="","",IF($N924="","",RANK($N924,$N$4:$N$1463)+COUNTIF($N$4:$N924,$N924)-1))</f>
        <v>115</v>
      </c>
      <c r="AB924" s="41" t="str">
        <f>IF($C924="","",IF($E924="","",$E924&amp;"#"&amp;(COUNTIFS($E$4:$E$1463,$E924,$X$4:$X$1463,"&gt;"&amp;$X924)+COUNTIFS($E$4:$E924,$E924,$X$4:$X924,"="&amp;$X924))))</f>
        <v>WARLOCK#33</v>
      </c>
      <c r="AC924" s="41" t="str">
        <f>IF($C924="","",$B924&amp;"@"&amp;(COUNTIFS($B$4:$B$1463,$B924,$C$4:$C$1463,"&lt;"&amp;$C924)+COUNTIFS($B$4:$B924,$B924,$C$4:$C924,$C924)))</f>
        <v>SBG@55</v>
      </c>
      <c r="AD924" s="41">
        <f t="shared" si="74"/>
        <v>921</v>
      </c>
      <c r="AE924" s="41" t="s">
        <v>2111</v>
      </c>
      <c r="AF924" s="73">
        <f t="shared" si="75"/>
        <v>64068</v>
      </c>
      <c r="AG924" s="74">
        <f t="shared" si="76"/>
        <v>8.6999999999999993</v>
      </c>
      <c r="AH924" s="41" t="str">
        <f>IF($C924="","",$B924&amp;"|"&amp;(COUNTIFS($B$4:$B$1463,$B924,$AF$4:$AF$1463,"&gt;"&amp;$AF924)+COUNTIFS($B$4:$B924,$B924,$AF$4:$AF924,"="&amp;$AF924)))</f>
        <v>SBG|11</v>
      </c>
      <c r="AI924" s="41" t="str">
        <f>IF($C924="","",$B924&amp;"|"&amp;(COUNTIFS($B$4:$B$1463,$B924,$AG$4:$AG$1463,"&gt;"&amp;$AG924)+COUNTIFS($B$4:$B924,$B924,$AG$4:$AG924,"="&amp;$AG924)))</f>
        <v>SBG|6</v>
      </c>
    </row>
    <row r="925" spans="1:35" hidden="1">
      <c r="A925" s="69" t="s">
        <v>109</v>
      </c>
      <c r="B925" s="69" t="s">
        <v>111</v>
      </c>
      <c r="C925" s="63" t="s">
        <v>2112</v>
      </c>
      <c r="D925" s="69" t="s">
        <v>527</v>
      </c>
      <c r="E925" s="68" t="s">
        <v>77</v>
      </c>
      <c r="F925" s="19" t="str">
        <f>IF($C925="","",IF($E925="","-",IFERROR(INDEX(SETUP!$B$55:$B$64,MATCH($E925,SETUP!$A$55:$A$64,0)),"Other")))</f>
        <v>Control</v>
      </c>
      <c r="G925" s="70">
        <v>61247</v>
      </c>
      <c r="H925" s="19" t="str">
        <f>IF($C925="","",IF($G925="","-",INDEX(SETUP!$B$26:$B$32,MATCH($G925,SETUP!$A$26:$A$32,1))))</f>
        <v>61,000 - 61,999</v>
      </c>
      <c r="I925" s="70">
        <v>3558</v>
      </c>
      <c r="J925" s="19" t="str">
        <f>IF($C925="","",IF($I925="","-",INDEX(SETUP!$B$16:$B$22,MATCH($I925,SETUP!$A$16:$A$22,1))))</f>
        <v>DEVELOPING</v>
      </c>
      <c r="K925" s="19" t="str">
        <f>IF($C925="","",IF($I925="","-",TEXT(INT($I925/1000)*1000,"#,##0")&amp;" - "&amp;TEXT(INT($I925/1000)*1000+999,"#,##0")))</f>
        <v>3,000 - 3,999</v>
      </c>
      <c r="L925" s="71">
        <v>4.5999999999999996</v>
      </c>
      <c r="M925" s="19" t="str">
        <f>IF($C925="","",IF($L925="","-",INDEX(SETUP!$B$36:$B$42,MATCH($L925,SETUP!$A$36:$A$42,1))))</f>
        <v>4k - 5k</v>
      </c>
      <c r="N925" s="21">
        <f>IF($C925="","",IF(OR($G925="",$I925=""),"",ROUND(100*(SETUP!$B$4*MIN(1,$I925/SETUP!$B$9)+SETUP!$B$5*MAX(0,MIN(1,($G925-SETUP!$B$10)/(SETUP!$B$11-SETUP!$B$10)))+SETUP!$B$6*MIN(1,IF($L925="",0,$L925)/SETUP!$B$12)),1)))</f>
        <v>39.6</v>
      </c>
      <c r="O925" s="19" t="str">
        <f>IF($C925="","",IF($N925="","-",INDEX(SETUP!$B$46:$B$51,MATCH($N925,SETUP!$A$46:$A$51,1))))</f>
        <v>B</v>
      </c>
      <c r="P925" s="19">
        <f>IF($C925="","",IF($I925="","",RANK($I925,$I$4:$I$1463)+COUNTIF($I$4:$I925,$I925)-1))</f>
        <v>712</v>
      </c>
      <c r="Q925" s="19">
        <f>IF($C925="","",COUNTIFS($B$4:$B$1463,$B925,$X$4:$X$1463,"&gt;"&amp;$X925)+COUNTIFS($B$4:$B925,$B925,$X$4:$X925,"="&amp;$X925))</f>
        <v>80</v>
      </c>
      <c r="R925" s="75">
        <f>IF($C925="","",IF($I925="","",ROUND(COUNTIF($I$4:$I$1463,"&lt;"&amp;$I925)/COUNT($I$4:$I$1463),3)))</f>
        <v>0.46300000000000002</v>
      </c>
      <c r="S925" s="19" t="str">
        <f>IF($C925="","",IF($G925="","Name only",IF(OR($I925="",$L925=""),"Partial","Complete")))</f>
        <v>Complete</v>
      </c>
      <c r="T925" s="1" t="str">
        <f>IF($C925="","",TRIM(IF(COUNTIF($C$4:$C$1463,$C925)&gt;1,"Dup name; ","")&amp;IF(AND($G925&lt;&gt;"",$G925&lt;55000),"Low CR - verify; ","")&amp;IF(AND($L925&lt;&gt;"",$L925&gt;15),"Secondary - verify; ","")&amp;IF($E925="","No class; ","")))</f>
        <v/>
      </c>
      <c r="U925" s="68"/>
      <c r="V925" s="68"/>
      <c r="W925" s="68"/>
      <c r="X925" s="76">
        <f t="shared" si="72"/>
        <v>3558</v>
      </c>
      <c r="Y925" s="1" t="str">
        <f t="shared" si="73"/>
        <v>RECKONING|80</v>
      </c>
      <c r="Z925" s="19">
        <f>IF($C925="","",IF($G925="","",RANK($G925,$G$4:$G$1463)+COUNTIF($G$4:$G925,$G925)-1))</f>
        <v>1073</v>
      </c>
      <c r="AA925" s="19">
        <f>IF($C925="","",IF($N925="","",RANK($N925,$N$4:$N$1463)+COUNTIF($N$4:$N925,$N925)-1))</f>
        <v>837</v>
      </c>
      <c r="AB925" s="1" t="str">
        <f>IF($C925="","",IF($E925="","",$E925&amp;"#"&amp;(COUNTIFS($E$4:$E$1463,$E925,$X$4:$X$1463,"&gt;"&amp;$X925)+COUNTIFS($E$4:$E925,$E925,$X$4:$X925,"="&amp;$X925))))</f>
        <v>NECROMANCER#36</v>
      </c>
      <c r="AC925" s="1" t="str">
        <f>IF($C925="","",$B925&amp;"@"&amp;(COUNTIFS($B$4:$B$1463,$B925,$C$4:$C$1463,"&lt;"&amp;$C925)+COUNTIFS($B$4:$B925,$B925,$C$4:$C925,$C925)))</f>
        <v>RECKONING@69</v>
      </c>
      <c r="AD925" s="1">
        <f t="shared" si="74"/>
        <v>922</v>
      </c>
      <c r="AE925" s="1" t="s">
        <v>2113</v>
      </c>
      <c r="AF925" s="76">
        <f t="shared" si="75"/>
        <v>61247</v>
      </c>
      <c r="AG925" s="77">
        <f t="shared" si="76"/>
        <v>4.5999999999999996</v>
      </c>
      <c r="AH925" s="1" t="str">
        <f>IF($C925="","",$B925&amp;"|"&amp;(COUNTIFS($B$4:$B$1463,$B925,$AF$4:$AF$1463,"&gt;"&amp;$AF925)+COUNTIFS($B$4:$B925,$B925,$AF$4:$AF925,"="&amp;$AF925)))</f>
        <v>RECKONING|90</v>
      </c>
      <c r="AI925" s="1" t="str">
        <f>IF($C925="","",$B925&amp;"|"&amp;(COUNTIFS($B$4:$B$1463,$B925,$AG$4:$AG$1463,"&gt;"&amp;$AG925)+COUNTIFS($B$4:$B925,$B925,$AG$4:$AG925,"="&amp;$AG925)))</f>
        <v>RECKONING|80</v>
      </c>
    </row>
    <row r="926" spans="1:35" hidden="1">
      <c r="A926" s="69" t="s">
        <v>109</v>
      </c>
      <c r="B926" s="69" t="s">
        <v>117</v>
      </c>
      <c r="C926" s="63" t="s">
        <v>2114</v>
      </c>
      <c r="D926" s="69"/>
      <c r="E926" s="68" t="s">
        <v>75</v>
      </c>
      <c r="F926" s="15" t="str">
        <f>IF($C926="","",IF($E926="","-",IFERROR(INDEX(SETUP!$B$55:$B$64,MATCH($E926,SETUP!$A$55:$A$64,0)),"Other")))</f>
        <v>Support</v>
      </c>
      <c r="G926" s="70">
        <v>58519</v>
      </c>
      <c r="H926" s="15" t="str">
        <f>IF($C926="","",IF($G926="","-",INDEX(SETUP!$B$26:$B$32,MATCH($G926,SETUP!$A$26:$A$32,1))))</f>
        <v>58,000 - 59,999</v>
      </c>
      <c r="I926" s="70">
        <v>995</v>
      </c>
      <c r="J926" s="15" t="str">
        <f>IF($C926="","",IF($I926="","-",INDEX(SETUP!$B$16:$B$22,MATCH($I926,SETUP!$A$16:$A$22,1))))</f>
        <v>ROOKIE</v>
      </c>
      <c r="K926" s="15" t="str">
        <f>IF($C926="","",IF($I926="","-",TEXT(INT($I926/1000)*1000,"#,##0")&amp;" - "&amp;TEXT(INT($I926/1000)*1000+999,"#,##0")))</f>
        <v>0 - 999</v>
      </c>
      <c r="L926" s="71">
        <v>3.1</v>
      </c>
      <c r="M926" s="15" t="str">
        <f>IF($C926="","",IF($L926="","-",INDEX(SETUP!$B$36:$B$42,MATCH($L926,SETUP!$A$36:$A$42,1))))</f>
        <v>3k - 4k</v>
      </c>
      <c r="N926" s="17">
        <f>IF($C926="","",IF(OR($G926="",$I926=""),"",ROUND(100*(SETUP!$B$4*MIN(1,$I926/SETUP!$B$9)+SETUP!$B$5*MAX(0,MIN(1,($G926-SETUP!$B$10)/(SETUP!$B$11-SETUP!$B$10)))+SETUP!$B$6*MIN(1,IF($L926="",0,$L926)/SETUP!$B$12)),1)))</f>
        <v>18.8</v>
      </c>
      <c r="O926" s="15" t="str">
        <f>IF($C926="","",IF($N926="","-",INDEX(SETUP!$B$46:$B$51,MATCH($N926,SETUP!$A$46:$A$51,1))))</f>
        <v>D</v>
      </c>
      <c r="P926" s="15">
        <f>IF($C926="","",IF($I926="","",RANK($I926,$I$4:$I$1463)+COUNTIF($I$4:$I926,$I926)-1))</f>
        <v>1274</v>
      </c>
      <c r="Q926" s="15">
        <f>IF($C926="","",COUNTIFS($B$4:$B$1463,$B926,$X$4:$X$1463,"&gt;"&amp;$X926)+COUNTIFS($B$4:$B926,$B926,$X$4:$X926,"="&amp;$X926))</f>
        <v>83</v>
      </c>
      <c r="R926" s="72">
        <f>IF($C926="","",IF($I926="","",ROUND(COUNTIF($I$4:$I$1463,"&lt;"&amp;$I926)/COUNT($I$4:$I$1463),3)))</f>
        <v>3.7999999999999999E-2</v>
      </c>
      <c r="S926" s="15" t="str">
        <f>IF($C926="","",IF($G926="","Name only",IF(OR($I926="",$L926=""),"Partial","Complete")))</f>
        <v>Complete</v>
      </c>
      <c r="T926" s="41" t="str">
        <f>IF($C926="","",TRIM(IF(COUNTIF($C$4:$C$1463,$C926)&gt;1,"Dup name; ","")&amp;IF(AND($G926&lt;&gt;"",$G926&lt;55000),"Low CR - verify; ","")&amp;IF(AND($L926&lt;&gt;"",$L926&gt;15),"Secondary - verify; ","")&amp;IF($E926="","No class; ","")))</f>
        <v/>
      </c>
      <c r="U926" s="68"/>
      <c r="V926" s="68"/>
      <c r="W926" s="68"/>
      <c r="X926" s="73">
        <f t="shared" si="72"/>
        <v>995</v>
      </c>
      <c r="Y926" s="41" t="str">
        <f t="shared" si="73"/>
        <v>VENDETTA|83</v>
      </c>
      <c r="Z926" s="15">
        <f>IF($C926="","",IF($G926="","",RANK($G926,$G$4:$G$1463)+COUNTIF($G$4:$G926,$G926)-1))</f>
        <v>1287</v>
      </c>
      <c r="AA926" s="15">
        <f>IF($C926="","",IF($N926="","",RANK($N926,$N$4:$N$1463)+COUNTIF($N$4:$N926,$N926)-1))</f>
        <v>1297</v>
      </c>
      <c r="AB926" s="41" t="str">
        <f>IF($C926="","",IF($E926="","",$E926&amp;"#"&amp;(COUNTIFS($E$4:$E$1463,$E926,$X$4:$X$1463,"&gt;"&amp;$X926)+COUNTIFS($E$4:$E926,$E926,$X$4:$X926,"="&amp;$X926))))</f>
        <v>DRUID#68</v>
      </c>
      <c r="AC926" s="41" t="str">
        <f>IF($C926="","",$B926&amp;"@"&amp;(COUNTIFS($B$4:$B$1463,$B926,$C$4:$C$1463,"&lt;"&amp;$C926)+COUNTIFS($B$4:$B926,$B926,$C$4:$C926,$C926)))</f>
        <v>VENDETTA@70</v>
      </c>
      <c r="AD926" s="41">
        <f t="shared" si="74"/>
        <v>923</v>
      </c>
      <c r="AE926" s="41" t="s">
        <v>2115</v>
      </c>
      <c r="AF926" s="73">
        <f t="shared" si="75"/>
        <v>58519</v>
      </c>
      <c r="AG926" s="74">
        <f t="shared" si="76"/>
        <v>3.1</v>
      </c>
      <c r="AH926" s="41" t="str">
        <f>IF($C926="","",$B926&amp;"|"&amp;(COUNTIFS($B$4:$B$1463,$B926,$AF$4:$AF$1463,"&gt;"&amp;$AF926)+COUNTIFS($B$4:$B926,$B926,$AF$4:$AF926,"="&amp;$AF926)))</f>
        <v>VENDETTA|89</v>
      </c>
      <c r="AI926" s="41" t="str">
        <f>IF($C926="","",$B926&amp;"|"&amp;(COUNTIFS($B$4:$B$1463,$B926,$AG$4:$AG$1463,"&gt;"&amp;$AG926)+COUNTIFS($B$4:$B926,$B926,$AG$4:$AG926,"="&amp;$AG926)))</f>
        <v>VENDETTA|75</v>
      </c>
    </row>
    <row r="927" spans="1:35" hidden="1">
      <c r="A927" s="69" t="s">
        <v>109</v>
      </c>
      <c r="B927" s="69" t="s">
        <v>111</v>
      </c>
      <c r="C927" s="63" t="s">
        <v>2116</v>
      </c>
      <c r="D927" s="69" t="s">
        <v>527</v>
      </c>
      <c r="E927" s="68" t="s">
        <v>71</v>
      </c>
      <c r="F927" s="19" t="str">
        <f>IF($C927="","",IF($E927="","-",IFERROR(INDEX(SETUP!$B$55:$B$64,MATCH($E927,SETUP!$A$55:$A$64,0)),"Other")))</f>
        <v>Frontline</v>
      </c>
      <c r="G927" s="70">
        <v>62471</v>
      </c>
      <c r="H927" s="19" t="str">
        <f>IF($C927="","",IF($G927="","-",INDEX(SETUP!$B$26:$B$32,MATCH($G927,SETUP!$A$26:$A$32,1))))</f>
        <v>62,000 - 62,999</v>
      </c>
      <c r="I927" s="70">
        <v>3408</v>
      </c>
      <c r="J927" s="19" t="str">
        <f>IF($C927="","",IF($I927="","-",INDEX(SETUP!$B$16:$B$22,MATCH($I927,SETUP!$A$16:$A$22,1))))</f>
        <v>DEVELOPING</v>
      </c>
      <c r="K927" s="19" t="str">
        <f>IF($C927="","",IF($I927="","-",TEXT(INT($I927/1000)*1000,"#,##0")&amp;" - "&amp;TEXT(INT($I927/1000)*1000+999,"#,##0")))</f>
        <v>3,000 - 3,999</v>
      </c>
      <c r="L927" s="71">
        <v>4.4000000000000004</v>
      </c>
      <c r="M927" s="19" t="str">
        <f>IF($C927="","",IF($L927="","-",INDEX(SETUP!$B$36:$B$42,MATCH($L927,SETUP!$A$36:$A$42,1))))</f>
        <v>4k - 5k</v>
      </c>
      <c r="N927" s="21">
        <f>IF($C927="","",IF(OR($G927="",$I927=""),"",ROUND(100*(SETUP!$B$4*MIN(1,$I927/SETUP!$B$9)+SETUP!$B$5*MAX(0,MIN(1,($G927-SETUP!$B$10)/(SETUP!$B$11-SETUP!$B$10)))+SETUP!$B$6*MIN(1,IF($L927="",0,$L927)/SETUP!$B$12)),1)))</f>
        <v>41.9</v>
      </c>
      <c r="O927" s="19" t="str">
        <f>IF($C927="","",IF($N927="","-",INDEX(SETUP!$B$46:$B$51,MATCH($N927,SETUP!$A$46:$A$51,1))))</f>
        <v>B</v>
      </c>
      <c r="P927" s="19">
        <f>IF($C927="","",IF($I927="","",RANK($I927,$I$4:$I$1463)+COUNTIF($I$4:$I927,$I927)-1))</f>
        <v>756</v>
      </c>
      <c r="Q927" s="19">
        <f>IF($C927="","",COUNTIFS($B$4:$B$1463,$B927,$X$4:$X$1463,"&gt;"&amp;$X927)+COUNTIFS($B$4:$B927,$B927,$X$4:$X927,"="&amp;$X927))</f>
        <v>81</v>
      </c>
      <c r="R927" s="75">
        <f>IF($C927="","",IF($I927="","",ROUND(COUNTIF($I$4:$I$1463,"&lt;"&amp;$I927)/COUNT($I$4:$I$1463),3)))</f>
        <v>0.42899999999999999</v>
      </c>
      <c r="S927" s="19" t="str">
        <f>IF($C927="","",IF($G927="","Name only",IF(OR($I927="",$L927=""),"Partial","Complete")))</f>
        <v>Complete</v>
      </c>
      <c r="T927" s="1" t="str">
        <f>IF($C927="","",TRIM(IF(COUNTIF($C$4:$C$1463,$C927)&gt;1,"Dup name; ","")&amp;IF(AND($G927&lt;&gt;"",$G927&lt;55000),"Low CR - verify; ","")&amp;IF(AND($L927&lt;&gt;"",$L927&gt;15),"Secondary - verify; ","")&amp;IF($E927="","No class; ","")))</f>
        <v/>
      </c>
      <c r="U927" s="68"/>
      <c r="V927" s="68"/>
      <c r="W927" s="68"/>
      <c r="X927" s="76">
        <f t="shared" si="72"/>
        <v>3408</v>
      </c>
      <c r="Y927" s="1" t="str">
        <f t="shared" si="73"/>
        <v>RECKONING|81</v>
      </c>
      <c r="Z927" s="19">
        <f>IF($C927="","",IF($G927="","",RANK($G927,$G$4:$G$1463)+COUNTIF($G$4:$G927,$G927)-1))</f>
        <v>662</v>
      </c>
      <c r="AA927" s="19">
        <f>IF($C927="","",IF($N927="","",RANK($N927,$N$4:$N$1463)+COUNTIF($N$4:$N927,$N927)-1))</f>
        <v>743</v>
      </c>
      <c r="AB927" s="1" t="str">
        <f>IF($C927="","",IF($E927="","",$E927&amp;"#"&amp;(COUNTIFS($E$4:$E$1463,$E927,$X$4:$X$1463,"&gt;"&amp;$X927)+COUNTIFS($E$4:$E927,$E927,$X$4:$X927,"="&amp;$X927))))</f>
        <v>BARBARIAN#132</v>
      </c>
      <c r="AC927" s="1" t="str">
        <f>IF($C927="","",$B927&amp;"@"&amp;(COUNTIFS($B$4:$B$1463,$B927,$C$4:$C$1463,"&lt;"&amp;$C927)+COUNTIFS($B$4:$B927,$B927,$C$4:$C927,$C927)))</f>
        <v>RECKONING@70</v>
      </c>
      <c r="AD927" s="1">
        <f t="shared" si="74"/>
        <v>924</v>
      </c>
      <c r="AE927" s="1" t="s">
        <v>2117</v>
      </c>
      <c r="AF927" s="76">
        <f t="shared" si="75"/>
        <v>62471</v>
      </c>
      <c r="AG927" s="77">
        <f t="shared" si="76"/>
        <v>4.4000000000000004</v>
      </c>
      <c r="AH927" s="1" t="str">
        <f>IF($C927="","",$B927&amp;"|"&amp;(COUNTIFS($B$4:$B$1463,$B927,$AF$4:$AF$1463,"&gt;"&amp;$AF927)+COUNTIFS($B$4:$B927,$B927,$AF$4:$AF927,"="&amp;$AF927)))</f>
        <v>RECKONING|61</v>
      </c>
      <c r="AI927" s="1" t="str">
        <f>IF($C927="","",$B927&amp;"|"&amp;(COUNTIFS($B$4:$B$1463,$B927,$AG$4:$AG$1463,"&gt;"&amp;$AG927)+COUNTIFS($B$4:$B927,$B927,$AG$4:$AG927,"="&amp;$AG927)))</f>
        <v>RECKONING|86</v>
      </c>
    </row>
    <row r="928" spans="1:35" hidden="1">
      <c r="A928" s="69" t="s">
        <v>109</v>
      </c>
      <c r="B928" s="69" t="s">
        <v>115</v>
      </c>
      <c r="C928" s="63" t="s">
        <v>2118</v>
      </c>
      <c r="D928" s="69"/>
      <c r="E928" s="68"/>
      <c r="F928" s="15" t="str">
        <f>IF($C928="","",IF($E928="","-",IFERROR(INDEX(SETUP!$B$55:$B$64,MATCH($E928,SETUP!$A$55:$A$64,0)),"Other")))</f>
        <v>-</v>
      </c>
      <c r="G928" s="70"/>
      <c r="H928" s="15" t="str">
        <f>IF($C928="","",IF($G928="","-",INDEX(SETUP!$B$26:$B$32,MATCH($G928,SETUP!$A$26:$A$32,1))))</f>
        <v>-</v>
      </c>
      <c r="I928" s="70"/>
      <c r="J928" s="15" t="str">
        <f>IF($C928="","",IF($I928="","-",INDEX(SETUP!$B$16:$B$22,MATCH($I928,SETUP!$A$16:$A$22,1))))</f>
        <v>-</v>
      </c>
      <c r="K928" s="15" t="str">
        <f>IF($C928="","",IF($I928="","-",TEXT(INT($I928/1000)*1000,"#,##0")&amp;" - "&amp;TEXT(INT($I928/1000)*1000+999,"#,##0")))</f>
        <v>-</v>
      </c>
      <c r="L928" s="71"/>
      <c r="M928" s="15" t="str">
        <f>IF($C928="","",IF($L928="","-",INDEX(SETUP!$B$36:$B$42,MATCH($L928,SETUP!$A$36:$A$42,1))))</f>
        <v>-</v>
      </c>
      <c r="N928" s="17" t="str">
        <f>IF($C928="","",IF(OR($G928="",$I928=""),"",ROUND(100*(SETUP!$B$4*MIN(1,$I928/SETUP!$B$9)+SETUP!$B$5*MAX(0,MIN(1,($G928-SETUP!$B$10)/(SETUP!$B$11-SETUP!$B$10)))+SETUP!$B$6*MIN(1,IF($L928="",0,$L928)/SETUP!$B$12)),1)))</f>
        <v/>
      </c>
      <c r="O928" s="15" t="str">
        <f>IF($C928="","",IF($N928="","-",INDEX(SETUP!$B$46:$B$51,MATCH($N928,SETUP!$A$46:$A$51,1))))</f>
        <v>-</v>
      </c>
      <c r="P928" s="15" t="str">
        <f>IF($C928="","",IF($I928="","",RANK($I928,$I$4:$I$1463)+COUNTIF($I$4:$I928,$I928)-1))</f>
        <v/>
      </c>
      <c r="Q928" s="15">
        <f>IF($C928="","",COUNTIFS($B$4:$B$1463,$B928,$X$4:$X$1463,"&gt;"&amp;$X928)+COUNTIFS($B$4:$B928,$B928,$X$4:$X928,"="&amp;$X928))</f>
        <v>74</v>
      </c>
      <c r="R928" s="72" t="str">
        <f>IF($C928="","",IF($I928="","",ROUND(COUNTIF($I$4:$I$1463,"&lt;"&amp;$I928)/COUNT($I$4:$I$1463),3)))</f>
        <v/>
      </c>
      <c r="S928" s="15" t="str">
        <f>IF($C928="","",IF($G928="","Name only",IF(OR($I928="",$L928=""),"Partial","Complete")))</f>
        <v>Name only</v>
      </c>
      <c r="T928" s="41" t="str">
        <f>IF($C928="","",TRIM(IF(COUNTIF($C$4:$C$1463,$C928)&gt;1,"Dup name; ","")&amp;IF(AND($G928&lt;&gt;"",$G928&lt;55000),"Low CR - verify; ","")&amp;IF(AND($L928&lt;&gt;"",$L928&gt;15),"Secondary - verify; ","")&amp;IF($E928="","No class; ","")))</f>
        <v>No class;</v>
      </c>
      <c r="U928" s="68"/>
      <c r="V928" s="68"/>
      <c r="W928" s="68"/>
      <c r="X928" s="41">
        <f t="shared" si="72"/>
        <v>-1</v>
      </c>
      <c r="Y928" s="41" t="str">
        <f t="shared" si="73"/>
        <v>SUB ROSA|74</v>
      </c>
      <c r="Z928" s="15" t="str">
        <f>IF($C928="","",IF($G928="","",RANK($G928,$G$4:$G$1463)+COUNTIF($G$4:$G928,$G928)-1))</f>
        <v/>
      </c>
      <c r="AA928" s="15" t="str">
        <f>IF($C928="","",IF($N928="","",RANK($N928,$N$4:$N$1463)+COUNTIF($N$4:$N928,$N928)-1))</f>
        <v/>
      </c>
      <c r="AB928" s="41" t="str">
        <f>IF($C928="","",IF($E928="","",$E928&amp;"#"&amp;(COUNTIFS($E$4:$E$1463,$E928,$X$4:$X$1463,"&gt;"&amp;$X928)+COUNTIFS($E$4:$E928,$E928,$X$4:$X928,"="&amp;$X928))))</f>
        <v/>
      </c>
      <c r="AC928" s="41" t="str">
        <f>IF($C928="","",$B928&amp;"@"&amp;(COUNTIFS($B$4:$B$1463,$B928,$C$4:$C$1463,"&lt;"&amp;$C928)+COUNTIFS($B$4:$B928,$B928,$C$4:$C928,$C928)))</f>
        <v>SUB ROSA@61</v>
      </c>
      <c r="AD928" s="41">
        <f t="shared" si="74"/>
        <v>925</v>
      </c>
      <c r="AE928" s="41"/>
      <c r="AF928" s="41">
        <f t="shared" si="75"/>
        <v>-1</v>
      </c>
      <c r="AG928" s="41">
        <f t="shared" si="76"/>
        <v>-1</v>
      </c>
      <c r="AH928" s="41" t="str">
        <f>IF($C928="","",$B928&amp;"|"&amp;(COUNTIFS($B$4:$B$1463,$B928,$AF$4:$AF$1463,"&gt;"&amp;$AF928)+COUNTIFS($B$4:$B928,$B928,$AF$4:$AF928,"="&amp;$AF928)))</f>
        <v>SUB ROSA|74</v>
      </c>
      <c r="AI928" s="41" t="str">
        <f>IF($C928="","",$B928&amp;"|"&amp;(COUNTIFS($B$4:$B$1463,$B928,$AG$4:$AG$1463,"&gt;"&amp;$AG928)+COUNTIFS($B$4:$B928,$B928,$AG$4:$AG928,"="&amp;$AG928)))</f>
        <v>SUB ROSA|74</v>
      </c>
    </row>
    <row r="929" spans="1:35" hidden="1">
      <c r="A929" s="69" t="s">
        <v>109</v>
      </c>
      <c r="B929" s="69" t="s">
        <v>116</v>
      </c>
      <c r="C929" s="63" t="s">
        <v>2119</v>
      </c>
      <c r="D929" s="69" t="s">
        <v>530</v>
      </c>
      <c r="E929" s="68" t="s">
        <v>73</v>
      </c>
      <c r="F929" s="19" t="str">
        <f>IF($C929="","",IF($E929="","-",IFERROR(INDEX(SETUP!$B$55:$B$64,MATCH($E929,SETUP!$A$55:$A$64,0)),"Other")))</f>
        <v>Frontline</v>
      </c>
      <c r="G929" s="70">
        <v>61110</v>
      </c>
      <c r="H929" s="19" t="str">
        <f>IF($C929="","",IF($G929="","-",INDEX(SETUP!$B$26:$B$32,MATCH($G929,SETUP!$A$26:$A$32,1))))</f>
        <v>61,000 - 61,999</v>
      </c>
      <c r="I929" s="70">
        <v>2688</v>
      </c>
      <c r="J929" s="19" t="str">
        <f>IF($C929="","",IF($I929="","-",INDEX(SETUP!$B$16:$B$22,MATCH($I929,SETUP!$A$16:$A$22,1))))</f>
        <v>DEVELOPING</v>
      </c>
      <c r="K929" s="19" t="str">
        <f>IF($C929="","",IF($I929="","-",TEXT(INT($I929/1000)*1000,"#,##0")&amp;" - "&amp;TEXT(INT($I929/1000)*1000+999,"#,##0")))</f>
        <v>2,000 - 2,999</v>
      </c>
      <c r="L929" s="71">
        <v>4.83</v>
      </c>
      <c r="M929" s="19" t="str">
        <f>IF($C929="","",IF($L929="","-",INDEX(SETUP!$B$36:$B$42,MATCH($L929,SETUP!$A$36:$A$42,1))))</f>
        <v>4k - 5k</v>
      </c>
      <c r="N929" s="21">
        <f>IF($C929="","",IF(OR($G929="",$I929=""),"",ROUND(100*(SETUP!$B$4*MIN(1,$I929/SETUP!$B$9)+SETUP!$B$5*MAX(0,MIN(1,($G929-SETUP!$B$10)/(SETUP!$B$11-SETUP!$B$10)))+SETUP!$B$6*MIN(1,IF($L929="",0,$L929)/SETUP!$B$12)),1)))</f>
        <v>35.9</v>
      </c>
      <c r="O929" s="19" t="str">
        <f>IF($C929="","",IF($N929="","-",INDEX(SETUP!$B$46:$B$51,MATCH($N929,SETUP!$A$46:$A$51,1))))</f>
        <v>B</v>
      </c>
      <c r="P929" s="19">
        <f>IF($C929="","",IF($I929="","",RANK($I929,$I$4:$I$1463)+COUNTIF($I$4:$I929,$I929)-1))</f>
        <v>955</v>
      </c>
      <c r="Q929" s="19">
        <f>IF($C929="","",COUNTIFS($B$4:$B$1463,$B929,$X$4:$X$1463,"&gt;"&amp;$X929)+COUNTIFS($B$4:$B929,$B929,$X$4:$X929,"="&amp;$X929))</f>
        <v>64</v>
      </c>
      <c r="R929" s="75">
        <f>IF($C929="","",IF($I929="","",ROUND(COUNTIF($I$4:$I$1463,"&lt;"&amp;$I929)/COUNT($I$4:$I$1463),3)))</f>
        <v>0.27900000000000003</v>
      </c>
      <c r="S929" s="19" t="str">
        <f>IF($C929="","",IF($G929="","Name only",IF(OR($I929="",$L929=""),"Partial","Complete")))</f>
        <v>Complete</v>
      </c>
      <c r="T929" s="1" t="str">
        <f>IF($C929="","",TRIM(IF(COUNTIF($C$4:$C$1463,$C929)&gt;1,"Dup name; ","")&amp;IF(AND($G929&lt;&gt;"",$G929&lt;55000),"Low CR - verify; ","")&amp;IF(AND($L929&lt;&gt;"",$L929&gt;15),"Secondary - verify; ","")&amp;IF($E929="","No class; ","")))</f>
        <v/>
      </c>
      <c r="U929" s="68"/>
      <c r="V929" s="68"/>
      <c r="W929" s="68"/>
      <c r="X929" s="76">
        <f t="shared" si="72"/>
        <v>2688</v>
      </c>
      <c r="Y929" s="1" t="str">
        <f t="shared" si="73"/>
        <v>VENGEANCE|64</v>
      </c>
      <c r="Z929" s="19">
        <f>IF($C929="","",IF($G929="","",RANK($G929,$G$4:$G$1463)+COUNTIF($G$4:$G929,$G929)-1))</f>
        <v>1114</v>
      </c>
      <c r="AA929" s="19">
        <f>IF($C929="","",IF($N929="","",RANK($N929,$N$4:$N$1463)+COUNTIF($N$4:$N929,$N929)-1))</f>
        <v>974</v>
      </c>
      <c r="AB929" s="1" t="str">
        <f>IF($C929="","",IF($E929="","",$E929&amp;"#"&amp;(COUNTIFS($E$4:$E$1463,$E929,$X$4:$X$1463,"&gt;"&amp;$X929)+COUNTIFS($E$4:$E929,$E929,$X$4:$X929,"="&amp;$X929))))</f>
        <v>CRUSADER#94</v>
      </c>
      <c r="AC929" s="1" t="str">
        <f>IF($C929="","",$B929&amp;"@"&amp;(COUNTIFS($B$4:$B$1463,$B929,$C$4:$C$1463,"&lt;"&amp;$C929)+COUNTIFS($B$4:$B929,$B929,$C$4:$C929,$C929)))</f>
        <v>VENGEANCE@60</v>
      </c>
      <c r="AD929" s="1">
        <f t="shared" si="74"/>
        <v>926</v>
      </c>
      <c r="AE929" s="1" t="s">
        <v>2120</v>
      </c>
      <c r="AF929" s="76">
        <f t="shared" si="75"/>
        <v>61110</v>
      </c>
      <c r="AG929" s="77">
        <f t="shared" si="76"/>
        <v>4.83</v>
      </c>
      <c r="AH929" s="1" t="str">
        <f>IF($C929="","",$B929&amp;"|"&amp;(COUNTIFS($B$4:$B$1463,$B929,$AF$4:$AF$1463,"&gt;"&amp;$AF929)+COUNTIFS($B$4:$B929,$B929,$AF$4:$AF929,"="&amp;$AF929)))</f>
        <v>VENGEANCE|74</v>
      </c>
      <c r="AI929" s="1" t="str">
        <f>IF($C929="","",$B929&amp;"|"&amp;(COUNTIFS($B$4:$B$1463,$B929,$AG$4:$AG$1463,"&gt;"&amp;$AG929)+COUNTIFS($B$4:$B929,$B929,$AG$4:$AG929,"="&amp;$AG929)))</f>
        <v>VENGEANCE|39</v>
      </c>
    </row>
    <row r="930" spans="1:35" hidden="1">
      <c r="A930" s="69" t="s">
        <v>109</v>
      </c>
      <c r="B930" s="69" t="s">
        <v>110</v>
      </c>
      <c r="C930" s="63" t="s">
        <v>2121</v>
      </c>
      <c r="D930" s="69"/>
      <c r="E930" s="68" t="s">
        <v>75</v>
      </c>
      <c r="F930" s="15" t="str">
        <f>IF($C930="","",IF($E930="","-",IFERROR(INDEX(SETUP!$B$55:$B$64,MATCH($E930,SETUP!$A$55:$A$64,0)),"Other")))</f>
        <v>Support</v>
      </c>
      <c r="G930" s="70">
        <v>64417</v>
      </c>
      <c r="H930" s="15" t="str">
        <f>IF($C930="","",IF($G930="","-",INDEX(SETUP!$B$26:$B$32,MATCH($G930,SETUP!$A$26:$A$32,1))))</f>
        <v>64,000 +</v>
      </c>
      <c r="I930" s="70">
        <v>10522</v>
      </c>
      <c r="J930" s="15" t="str">
        <f>IF($C930="","",IF($I930="","-",INDEX(SETUP!$B$16:$B$22,MATCH($I930,SETUP!$A$16:$A$22,1))))</f>
        <v>APEX</v>
      </c>
      <c r="K930" s="15" t="str">
        <f>IF($C930="","",IF($I930="","-",TEXT(INT($I930/1000)*1000,"#,##0")&amp;" - "&amp;TEXT(INT($I930/1000)*1000+999,"#,##0")))</f>
        <v>10,000 - 10,999</v>
      </c>
      <c r="L930" s="71">
        <v>9.8000000000000007</v>
      </c>
      <c r="M930" s="15" t="str">
        <f>IF($C930="","",IF($L930="","-",INDEX(SETUP!$B$36:$B$42,MATCH($L930,SETUP!$A$36:$A$42,1))))</f>
        <v>8k - 10k</v>
      </c>
      <c r="N930" s="17">
        <f>IF($C930="","",IF(OR($G930="",$I930=""),"",ROUND(100*(SETUP!$B$4*MIN(1,$I930/SETUP!$B$9)+SETUP!$B$5*MAX(0,MIN(1,($G930-SETUP!$B$10)/(SETUP!$B$11-SETUP!$B$10)))+SETUP!$B$6*MIN(1,IF($L930="",0,$L930)/SETUP!$B$12)),1)))</f>
        <v>87</v>
      </c>
      <c r="O930" s="15" t="str">
        <f>IF($C930="","",IF($N930="","-",INDEX(SETUP!$B$46:$B$51,MATCH($N930,SETUP!$A$46:$A$51,1))))</f>
        <v>S+</v>
      </c>
      <c r="P930" s="15">
        <f>IF($C930="","",IF($I930="","",RANK($I930,$I$4:$I$1463)+COUNTIF($I$4:$I930,$I930)-1))</f>
        <v>22</v>
      </c>
      <c r="Q930" s="15">
        <f>IF($C930="","",COUNTIFS($B$4:$B$1463,$B930,$X$4:$X$1463,"&gt;"&amp;$X930)+COUNTIFS($B$4:$B930,$B930,$X$4:$X930,"="&amp;$X930))</f>
        <v>8</v>
      </c>
      <c r="R930" s="72">
        <f>IF($C930="","",IF($I930="","",ROUND(COUNTIF($I$4:$I$1463,"&lt;"&amp;$I930)/COUNT($I$4:$I$1463),3)))</f>
        <v>0.98299999999999998</v>
      </c>
      <c r="S930" s="15" t="str">
        <f>IF($C930="","",IF($G930="","Name only",IF(OR($I930="",$L930=""),"Partial","Complete")))</f>
        <v>Complete</v>
      </c>
      <c r="T930" s="41" t="str">
        <f>IF($C930="","",TRIM(IF(COUNTIF($C$4:$C$1463,$C930)&gt;1,"Dup name; ","")&amp;IF(AND($G930&lt;&gt;"",$G930&lt;55000),"Low CR - verify; ","")&amp;IF(AND($L930&lt;&gt;"",$L930&gt;15),"Secondary - verify; ","")&amp;IF($E930="","No class; ","")))</f>
        <v/>
      </c>
      <c r="U930" s="68"/>
      <c r="V930" s="68"/>
      <c r="W930" s="68"/>
      <c r="X930" s="73">
        <f t="shared" si="72"/>
        <v>10522</v>
      </c>
      <c r="Y930" s="41" t="str">
        <f t="shared" si="73"/>
        <v>AZUKI|8</v>
      </c>
      <c r="Z930" s="15">
        <f>IF($C930="","",IF($G930="","",RANK($G930,$G$4:$G$1463)+COUNTIF($G$4:$G930,$G930)-1))</f>
        <v>6</v>
      </c>
      <c r="AA930" s="15">
        <f>IF($C930="","",IF($N930="","",RANK($N930,$N$4:$N$1463)+COUNTIF($N$4:$N930,$N930)-1))</f>
        <v>13</v>
      </c>
      <c r="AB930" s="41" t="str">
        <f>IF($C930="","",IF($E930="","",$E930&amp;"#"&amp;(COUNTIFS($E$4:$E$1463,$E930,$X$4:$X$1463,"&gt;"&amp;$X930)+COUNTIFS($E$4:$E930,$E930,$X$4:$X930,"="&amp;$X930))))</f>
        <v>DRUID#1</v>
      </c>
      <c r="AC930" s="41" t="str">
        <f>IF($C930="","",$B930&amp;"@"&amp;(COUNTIFS($B$4:$B$1463,$B930,$C$4:$C$1463,"&lt;"&amp;$C930)+COUNTIFS($B$4:$B930,$B930,$C$4:$C930,$C930)))</f>
        <v>AZUKI@74</v>
      </c>
      <c r="AD930" s="41">
        <f t="shared" si="74"/>
        <v>927</v>
      </c>
      <c r="AE930" s="41" t="s">
        <v>2122</v>
      </c>
      <c r="AF930" s="73">
        <f t="shared" si="75"/>
        <v>64417</v>
      </c>
      <c r="AG930" s="74">
        <f t="shared" si="76"/>
        <v>9.8000000000000007</v>
      </c>
      <c r="AH930" s="41" t="str">
        <f>IF($C930="","",$B930&amp;"|"&amp;(COUNTIFS($B$4:$B$1463,$B930,$AF$4:$AF$1463,"&gt;"&amp;$AF930)+COUNTIFS($B$4:$B930,$B930,$AF$4:$AF930,"="&amp;$AF930)))</f>
        <v>AZUKI|3</v>
      </c>
      <c r="AI930" s="41" t="str">
        <f>IF($C930="","",$B930&amp;"|"&amp;(COUNTIFS($B$4:$B$1463,$B930,$AG$4:$AG$1463,"&gt;"&amp;$AG930)+COUNTIFS($B$4:$B930,$B930,$AG$4:$AG930,"="&amp;$AG930)))</f>
        <v>AZUKI|5</v>
      </c>
    </row>
    <row r="931" spans="1:35" hidden="1">
      <c r="A931" s="69" t="s">
        <v>109</v>
      </c>
      <c r="B931" s="69" t="s">
        <v>117</v>
      </c>
      <c r="C931" s="63" t="s">
        <v>2123</v>
      </c>
      <c r="D931" s="69"/>
      <c r="E931" s="68" t="s">
        <v>75</v>
      </c>
      <c r="F931" s="19" t="str">
        <f>IF($C931="","",IF($E931="","-",IFERROR(INDEX(SETUP!$B$55:$B$64,MATCH($E931,SETUP!$A$55:$A$64,0)),"Other")))</f>
        <v>Support</v>
      </c>
      <c r="G931" s="70">
        <v>62452</v>
      </c>
      <c r="H931" s="19" t="str">
        <f>IF($C931="","",IF($G931="","-",INDEX(SETUP!$B$26:$B$32,MATCH($G931,SETUP!$A$26:$A$32,1))))</f>
        <v>62,000 - 62,999</v>
      </c>
      <c r="I931" s="70">
        <v>1749</v>
      </c>
      <c r="J931" s="19" t="str">
        <f>IF($C931="","",IF($I931="","-",INDEX(SETUP!$B$16:$B$22,MATCH($I931,SETUP!$A$16:$A$22,1))))</f>
        <v>ROOKIE</v>
      </c>
      <c r="K931" s="19" t="str">
        <f>IF($C931="","",IF($I931="","-",TEXT(INT($I931/1000)*1000,"#,##0")&amp;" - "&amp;TEXT(INT($I931/1000)*1000+999,"#,##0")))</f>
        <v>1,000 - 1,999</v>
      </c>
      <c r="L931" s="71">
        <v>3.1</v>
      </c>
      <c r="M931" s="19" t="str">
        <f>IF($C931="","",IF($L931="","-",INDEX(SETUP!$B$36:$B$42,MATCH($L931,SETUP!$A$36:$A$42,1))))</f>
        <v>3k - 4k</v>
      </c>
      <c r="N931" s="21">
        <f>IF($C931="","",IF(OR($G931="",$I931=""),"",ROUND(100*(SETUP!$B$4*MIN(1,$I931/SETUP!$B$9)+SETUP!$B$5*MAX(0,MIN(1,($G931-SETUP!$B$10)/(SETUP!$B$11-SETUP!$B$10)))+SETUP!$B$6*MIN(1,IF($L931="",0,$L931)/SETUP!$B$12)),1)))</f>
        <v>32.4</v>
      </c>
      <c r="O931" s="19" t="str">
        <f>IF($C931="","",IF($N931="","-",INDEX(SETUP!$B$46:$B$51,MATCH($N931,SETUP!$A$46:$A$51,1))))</f>
        <v>C</v>
      </c>
      <c r="P931" s="19">
        <f>IF($C931="","",IF($I931="","",RANK($I931,$I$4:$I$1463)+COUNTIF($I$4:$I931,$I931)-1))</f>
        <v>1153</v>
      </c>
      <c r="Q931" s="19">
        <f>IF($C931="","",COUNTIFS($B$4:$B$1463,$B931,$X$4:$X$1463,"&gt;"&amp;$X931)+COUNTIFS($B$4:$B931,$B931,$X$4:$X931,"="&amp;$X931))</f>
        <v>57</v>
      </c>
      <c r="R931" s="75">
        <f>IF($C931="","",IF($I931="","",ROUND(COUNTIF($I$4:$I$1463,"&lt;"&amp;$I931)/COUNT($I$4:$I$1463),3)))</f>
        <v>0.13</v>
      </c>
      <c r="S931" s="19" t="str">
        <f>IF($C931="","",IF($G931="","Name only",IF(OR($I931="",$L931=""),"Partial","Complete")))</f>
        <v>Complete</v>
      </c>
      <c r="T931" s="1" t="str">
        <f>IF($C931="","",TRIM(IF(COUNTIF($C$4:$C$1463,$C931)&gt;1,"Dup name; ","")&amp;IF(AND($G931&lt;&gt;"",$G931&lt;55000),"Low CR - verify; ","")&amp;IF(AND($L931&lt;&gt;"",$L931&gt;15),"Secondary - verify; ","")&amp;IF($E931="","No class; ","")))</f>
        <v/>
      </c>
      <c r="U931" s="68"/>
      <c r="V931" s="68"/>
      <c r="W931" s="68"/>
      <c r="X931" s="76">
        <f t="shared" si="72"/>
        <v>1749</v>
      </c>
      <c r="Y931" s="1" t="str">
        <f t="shared" si="73"/>
        <v>VENDETTA|57</v>
      </c>
      <c r="Z931" s="19">
        <f>IF($C931="","",IF($G931="","",RANK($G931,$G$4:$G$1463)+COUNTIF($G$4:$G931,$G931)-1))</f>
        <v>672</v>
      </c>
      <c r="AA931" s="19">
        <f>IF($C931="","",IF($N931="","",RANK($N931,$N$4:$N$1463)+COUNTIF($N$4:$N931,$N931)-1))</f>
        <v>1087</v>
      </c>
      <c r="AB931" s="1" t="str">
        <f>IF($C931="","",IF($E931="","",$E931&amp;"#"&amp;(COUNTIFS($E$4:$E$1463,$E931,$X$4:$X$1463,"&gt;"&amp;$X931)+COUNTIFS($E$4:$E931,$E931,$X$4:$X931,"="&amp;$X931))))</f>
        <v>DRUID#53</v>
      </c>
      <c r="AC931" s="1" t="str">
        <f>IF($C931="","",$B931&amp;"@"&amp;(COUNTIFS($B$4:$B$1463,$B931,$C$4:$C$1463,"&lt;"&amp;$C931)+COUNTIFS($B$4:$B931,$B931,$C$4:$C931,$C931)))</f>
        <v>VENDETTA@71</v>
      </c>
      <c r="AD931" s="1">
        <f t="shared" si="74"/>
        <v>928</v>
      </c>
      <c r="AE931" s="1" t="s">
        <v>1006</v>
      </c>
      <c r="AF931" s="76">
        <f t="shared" si="75"/>
        <v>62452</v>
      </c>
      <c r="AG931" s="77">
        <f t="shared" si="76"/>
        <v>3.1</v>
      </c>
      <c r="AH931" s="1" t="str">
        <f>IF($C931="","",$B931&amp;"|"&amp;(COUNTIFS($B$4:$B$1463,$B931,$AF$4:$AF$1463,"&gt;"&amp;$AF931)+COUNTIFS($B$4:$B931,$B931,$AF$4:$AF931,"="&amp;$AF931)))</f>
        <v>VENDETTA|22</v>
      </c>
      <c r="AI931" s="1" t="str">
        <f>IF($C931="","",$B931&amp;"|"&amp;(COUNTIFS($B$4:$B$1463,$B931,$AG$4:$AG$1463,"&gt;"&amp;$AG931)+COUNTIFS($B$4:$B931,$B931,$AG$4:$AG931,"="&amp;$AG931)))</f>
        <v>VENDETTA|76</v>
      </c>
    </row>
    <row r="932" spans="1:35" hidden="1">
      <c r="A932" s="69" t="s">
        <v>109</v>
      </c>
      <c r="B932" s="69" t="s">
        <v>114</v>
      </c>
      <c r="C932" s="63" t="s">
        <v>2124</v>
      </c>
      <c r="D932" s="69"/>
      <c r="E932" s="68" t="s">
        <v>78</v>
      </c>
      <c r="F932" s="15" t="str">
        <f>IF($C932="","",IF($E932="","-",IFERROR(INDEX(SETUP!$B$55:$B$64,MATCH($E932,SETUP!$A$55:$A$64,0)),"Other")))</f>
        <v>Melee DPS</v>
      </c>
      <c r="G932" s="70">
        <v>61630</v>
      </c>
      <c r="H932" s="15" t="str">
        <f>IF($C932="","",IF($G932="","-",INDEX(SETUP!$B$26:$B$32,MATCH($G932,SETUP!$A$26:$A$32,1))))</f>
        <v>61,000 - 61,999</v>
      </c>
      <c r="I932" s="70">
        <v>1400</v>
      </c>
      <c r="J932" s="15" t="str">
        <f>IF($C932="","",IF($I932="","-",INDEX(SETUP!$B$16:$B$22,MATCH($I932,SETUP!$A$16:$A$22,1))))</f>
        <v>ROOKIE</v>
      </c>
      <c r="K932" s="15" t="str">
        <f>IF($C932="","",IF($I932="","-",TEXT(INT($I932/1000)*1000,"#,##0")&amp;" - "&amp;TEXT(INT($I932/1000)*1000+999,"#,##0")))</f>
        <v>1,000 - 1,999</v>
      </c>
      <c r="L932" s="71">
        <v>4.5999999999999996</v>
      </c>
      <c r="M932" s="15" t="str">
        <f>IF($C932="","",IF($L932="","-",INDEX(SETUP!$B$36:$B$42,MATCH($L932,SETUP!$A$36:$A$42,1))))</f>
        <v>4k - 5k</v>
      </c>
      <c r="N932" s="17">
        <f>IF($C932="","",IF(OR($G932="",$I932=""),"",ROUND(100*(SETUP!$B$4*MIN(1,$I932/SETUP!$B$9)+SETUP!$B$5*MAX(0,MIN(1,($G932-SETUP!$B$10)/(SETUP!$B$11-SETUP!$B$10)))+SETUP!$B$6*MIN(1,IF($L932="",0,$L932)/SETUP!$B$12)),1)))</f>
        <v>31.2</v>
      </c>
      <c r="O932" s="15" t="str">
        <f>IF($C932="","",IF($N932="","-",INDEX(SETUP!$B$46:$B$51,MATCH($N932,SETUP!$A$46:$A$51,1))))</f>
        <v>C</v>
      </c>
      <c r="P932" s="15">
        <f>IF($C932="","",IF($I932="","",RANK($I932,$I$4:$I$1463)+COUNTIF($I$4:$I932,$I932)-1))</f>
        <v>1214</v>
      </c>
      <c r="Q932" s="15">
        <f>IF($C932="","",COUNTIFS($B$4:$B$1463,$B932,$X$4:$X$1463,"&gt;"&amp;$X932)+COUNTIFS($B$4:$B932,$B932,$X$4:$X932,"="&amp;$X932))</f>
        <v>74</v>
      </c>
      <c r="R932" s="72">
        <f>IF($C932="","",IF($I932="","",ROUND(COUNTIF($I$4:$I$1463,"&lt;"&amp;$I932)/COUNT($I$4:$I$1463),3)))</f>
        <v>8.4000000000000005E-2</v>
      </c>
      <c r="S932" s="15" t="str">
        <f>IF($C932="","",IF($G932="","Name only",IF(OR($I932="",$L932=""),"Partial","Complete")))</f>
        <v>Complete</v>
      </c>
      <c r="T932" s="41" t="str">
        <f>IF($C932="","",TRIM(IF(COUNTIF($C$4:$C$1463,$C932)&gt;1,"Dup name; ","")&amp;IF(AND($G932&lt;&gt;"",$G932&lt;55000),"Low CR - verify; ","")&amp;IF(AND($L932&lt;&gt;"",$L932&gt;15),"Secondary - verify; ","")&amp;IF($E932="","No class; ","")))</f>
        <v/>
      </c>
      <c r="U932" s="68"/>
      <c r="V932" s="68"/>
      <c r="W932" s="68"/>
      <c r="X932" s="73">
        <f t="shared" si="72"/>
        <v>1400</v>
      </c>
      <c r="Y932" s="41" t="str">
        <f t="shared" si="73"/>
        <v>EMERALD LEAF TRIBE|74</v>
      </c>
      <c r="Z932" s="15">
        <f>IF($C932="","",IF($G932="","",RANK($G932,$G$4:$G$1463)+COUNTIF($G$4:$G932,$G932)-1))</f>
        <v>967</v>
      </c>
      <c r="AA932" s="15">
        <f>IF($C932="","",IF($N932="","",RANK($N932,$N$4:$N$1463)+COUNTIF($N$4:$N932,$N932)-1))</f>
        <v>1117</v>
      </c>
      <c r="AB932" s="41" t="str">
        <f>IF($C932="","",IF($E932="","",$E932&amp;"#"&amp;(COUNTIFS($E$4:$E$1463,$E932,$X$4:$X$1463,"&gt;"&amp;$X932)+COUNTIFS($E$4:$E932,$E932,$X$4:$X932,"="&amp;$X932))))</f>
        <v>TEMPEST#57</v>
      </c>
      <c r="AC932" s="41" t="str">
        <f>IF($C932="","",$B932&amp;"@"&amp;(COUNTIFS($B$4:$B$1463,$B932,$C$4:$C$1463,"&lt;"&amp;$C932)+COUNTIFS($B$4:$B932,$B932,$C$4:$C932,$C932)))</f>
        <v>EMERALD LEAF TRIBE@68</v>
      </c>
      <c r="AD932" s="41">
        <f t="shared" si="74"/>
        <v>929</v>
      </c>
      <c r="AE932" s="41" t="s">
        <v>2125</v>
      </c>
      <c r="AF932" s="73">
        <f t="shared" si="75"/>
        <v>61630</v>
      </c>
      <c r="AG932" s="74">
        <f t="shared" si="76"/>
        <v>4.5999999999999996</v>
      </c>
      <c r="AH932" s="41" t="str">
        <f>IF($C932="","",$B932&amp;"|"&amp;(COUNTIFS($B$4:$B$1463,$B932,$AF$4:$AF$1463,"&gt;"&amp;$AF932)+COUNTIFS($B$4:$B932,$B932,$AF$4:$AF932,"="&amp;$AF932)))</f>
        <v>EMERALD LEAF TRIBE|38</v>
      </c>
      <c r="AI932" s="41" t="str">
        <f>IF($C932="","",$B932&amp;"|"&amp;(COUNTIFS($B$4:$B$1463,$B932,$AG$4:$AG$1463,"&gt;"&amp;$AG932)+COUNTIFS($B$4:$B932,$B932,$AG$4:$AG932,"="&amp;$AG932)))</f>
        <v>EMERALD LEAF TRIBE|17</v>
      </c>
    </row>
    <row r="933" spans="1:35" hidden="1">
      <c r="A933" s="69" t="s">
        <v>109</v>
      </c>
      <c r="B933" s="69" t="s">
        <v>110</v>
      </c>
      <c r="C933" s="63" t="s">
        <v>2126</v>
      </c>
      <c r="D933" s="69"/>
      <c r="E933" s="68" t="s">
        <v>73</v>
      </c>
      <c r="F933" s="19" t="str">
        <f>IF($C933="","",IF($E933="","-",IFERROR(INDEX(SETUP!$B$55:$B$64,MATCH($E933,SETUP!$A$55:$A$64,0)),"Other")))</f>
        <v>Frontline</v>
      </c>
      <c r="G933" s="70">
        <v>61372</v>
      </c>
      <c r="H933" s="19" t="str">
        <f>IF($C933="","",IF($G933="","-",INDEX(SETUP!$B$26:$B$32,MATCH($G933,SETUP!$A$26:$A$32,1))))</f>
        <v>61,000 - 61,999</v>
      </c>
      <c r="I933" s="70">
        <v>9912</v>
      </c>
      <c r="J933" s="19" t="str">
        <f>IF($C933="","",IF($I933="","-",INDEX(SETUP!$B$16:$B$22,MATCH($I933,SETUP!$A$16:$A$22,1))))</f>
        <v>ELITE</v>
      </c>
      <c r="K933" s="19" t="str">
        <f>IF($C933="","",IF($I933="","-",TEXT(INT($I933/1000)*1000,"#,##0")&amp;" - "&amp;TEXT(INT($I933/1000)*1000+999,"#,##0")))</f>
        <v>9,000 - 9,999</v>
      </c>
      <c r="L933" s="71">
        <v>7.5</v>
      </c>
      <c r="M933" s="19" t="str">
        <f>IF($C933="","",IF($L933="","-",INDEX(SETUP!$B$36:$B$42,MATCH($L933,SETUP!$A$36:$A$42,1))))</f>
        <v>6k - 8k</v>
      </c>
      <c r="N933" s="21">
        <f>IF($C933="","",IF(OR($G933="",$I933=""),"",ROUND(100*(SETUP!$B$4*MIN(1,$I933/SETUP!$B$9)+SETUP!$B$5*MAX(0,MIN(1,($G933-SETUP!$B$10)/(SETUP!$B$11-SETUP!$B$10)))+SETUP!$B$6*MIN(1,IF($L933="",0,$L933)/SETUP!$B$12)),1)))</f>
        <v>72.5</v>
      </c>
      <c r="O933" s="19" t="str">
        <f>IF($C933="","",IF($N933="","-",INDEX(SETUP!$B$46:$B$51,MATCH($N933,SETUP!$A$46:$A$51,1))))</f>
        <v>S</v>
      </c>
      <c r="P933" s="19">
        <f>IF($C933="","",IF($I933="","",RANK($I933,$I$4:$I$1463)+COUNTIF($I$4:$I933,$I933)-1))</f>
        <v>57</v>
      </c>
      <c r="Q933" s="19">
        <f>IF($C933="","",COUNTIFS($B$4:$B$1463,$B933,$X$4:$X$1463,"&gt;"&amp;$X933)+COUNTIFS($B$4:$B933,$B933,$X$4:$X933,"="&amp;$X933))</f>
        <v>13</v>
      </c>
      <c r="R933" s="75">
        <f>IF($C933="","",IF($I933="","",ROUND(COUNTIF($I$4:$I$1463,"&lt;"&amp;$I933)/COUNT($I$4:$I$1463),3)))</f>
        <v>0.95699999999999996</v>
      </c>
      <c r="S933" s="19" t="str">
        <f>IF($C933="","",IF($G933="","Name only",IF(OR($I933="",$L933=""),"Partial","Complete")))</f>
        <v>Complete</v>
      </c>
      <c r="T933" s="1" t="str">
        <f>IF($C933="","",TRIM(IF(COUNTIF($C$4:$C$1463,$C933)&gt;1,"Dup name; ","")&amp;IF(AND($G933&lt;&gt;"",$G933&lt;55000),"Low CR - verify; ","")&amp;IF(AND($L933&lt;&gt;"",$L933&gt;15),"Secondary - verify; ","")&amp;IF($E933="","No class; ","")))</f>
        <v/>
      </c>
      <c r="U933" s="68"/>
      <c r="V933" s="68"/>
      <c r="W933" s="68"/>
      <c r="X933" s="76">
        <f t="shared" si="72"/>
        <v>9912</v>
      </c>
      <c r="Y933" s="1" t="str">
        <f t="shared" si="73"/>
        <v>AZUKI|13</v>
      </c>
      <c r="Z933" s="19">
        <f>IF($C933="","",IF($G933="","",RANK($G933,$G$4:$G$1463)+COUNTIF($G$4:$G933,$G933)-1))</f>
        <v>1044</v>
      </c>
      <c r="AA933" s="19">
        <f>IF($C933="","",IF($N933="","",RANK($N933,$N$4:$N$1463)+COUNTIF($N$4:$N933,$N933)-1))</f>
        <v>109</v>
      </c>
      <c r="AB933" s="1" t="str">
        <f>IF($C933="","",IF($E933="","",$E933&amp;"#"&amp;(COUNTIFS($E$4:$E$1463,$E933,$X$4:$X$1463,"&gt;"&amp;$X933)+COUNTIFS($E$4:$E933,$E933,$X$4:$X933,"="&amp;$X933))))</f>
        <v>CRUSADER#11</v>
      </c>
      <c r="AC933" s="1" t="str">
        <f>IF($C933="","",$B933&amp;"@"&amp;(COUNTIFS($B$4:$B$1463,$B933,$C$4:$C$1463,"&lt;"&amp;$C933)+COUNTIFS($B$4:$B933,$B933,$C$4:$C933,$C933)))</f>
        <v>AZUKI@75</v>
      </c>
      <c r="AD933" s="1">
        <f t="shared" si="74"/>
        <v>930</v>
      </c>
      <c r="AE933" s="1" t="s">
        <v>2127</v>
      </c>
      <c r="AF933" s="76">
        <f t="shared" si="75"/>
        <v>61372</v>
      </c>
      <c r="AG933" s="77">
        <f t="shared" si="76"/>
        <v>7.5</v>
      </c>
      <c r="AH933" s="1" t="str">
        <f>IF($C933="","",$B933&amp;"|"&amp;(COUNTIFS($B$4:$B$1463,$B933,$AF$4:$AF$1463,"&gt;"&amp;$AF933)+COUNTIFS($B$4:$B933,$B933,$AF$4:$AF933,"="&amp;$AF933)))</f>
        <v>AZUKI|95</v>
      </c>
      <c r="AI933" s="1" t="str">
        <f>IF($C933="","",$B933&amp;"|"&amp;(COUNTIFS($B$4:$B$1463,$B933,$AG$4:$AG$1463,"&gt;"&amp;$AG933)+COUNTIFS($B$4:$B933,$B933,$AG$4:$AG933,"="&amp;$AG933)))</f>
        <v>AZUKI|21</v>
      </c>
    </row>
    <row r="934" spans="1:35" hidden="1">
      <c r="A934" s="69" t="s">
        <v>109</v>
      </c>
      <c r="B934" s="69" t="s">
        <v>108</v>
      </c>
      <c r="C934" s="63" t="s">
        <v>2128</v>
      </c>
      <c r="D934" s="69"/>
      <c r="E934" s="68" t="s">
        <v>79</v>
      </c>
      <c r="F934" s="15" t="str">
        <f>IF($C934="","",IF($E934="","-",IFERROR(INDEX(SETUP!$B$55:$B$64,MATCH($E934,SETUP!$A$55:$A$64,0)),"Other")))</f>
        <v>Control</v>
      </c>
      <c r="G934" s="70">
        <v>64291</v>
      </c>
      <c r="H934" s="15" t="str">
        <f>IF($C934="","",IF($G934="","-",INDEX(SETUP!$B$26:$B$32,MATCH($G934,SETUP!$A$26:$A$32,1))))</f>
        <v>64,000 +</v>
      </c>
      <c r="I934" s="70">
        <v>9770</v>
      </c>
      <c r="J934" s="15" t="str">
        <f>IF($C934="","",IF($I934="","-",INDEX(SETUP!$B$16:$B$22,MATCH($I934,SETUP!$A$16:$A$22,1))))</f>
        <v>ELITE</v>
      </c>
      <c r="K934" s="15" t="str">
        <f>IF($C934="","",IF($I934="","-",TEXT(INT($I934/1000)*1000,"#,##0")&amp;" - "&amp;TEXT(INT($I934/1000)*1000+999,"#,##0")))</f>
        <v>9,000 - 9,999</v>
      </c>
      <c r="L934" s="71">
        <v>7.75</v>
      </c>
      <c r="M934" s="15" t="str">
        <f>IF($C934="","",IF($L934="","-",INDEX(SETUP!$B$36:$B$42,MATCH($L934,SETUP!$A$36:$A$42,1))))</f>
        <v>6k - 8k</v>
      </c>
      <c r="N934" s="17">
        <f>IF($C934="","",IF(OR($G934="",$I934=""),"",ROUND(100*(SETUP!$B$4*MIN(1,$I934/SETUP!$B$9)+SETUP!$B$5*MAX(0,MIN(1,($G934-SETUP!$B$10)/(SETUP!$B$11-SETUP!$B$10)))+SETUP!$B$6*MIN(1,IF($L934="",0,$L934)/SETUP!$B$12)),1)))</f>
        <v>80</v>
      </c>
      <c r="O934" s="15" t="str">
        <f>IF($C934="","",IF($N934="","-",INDEX(SETUP!$B$46:$B$51,MATCH($N934,SETUP!$A$46:$A$51,1))))</f>
        <v>S+</v>
      </c>
      <c r="P934" s="15">
        <f>IF($C934="","",IF($I934="","",RANK($I934,$I$4:$I$1463)+COUNTIF($I$4:$I934,$I934)-1))</f>
        <v>64</v>
      </c>
      <c r="Q934" s="15">
        <f>IF($C934="","",COUNTIFS($B$4:$B$1463,$B934,$X$4:$X$1463,"&gt;"&amp;$X934)+COUNTIFS($B$4:$B934,$B934,$X$4:$X934,"="&amp;$X934))</f>
        <v>10</v>
      </c>
      <c r="R934" s="72">
        <f>IF($C934="","",IF($I934="","",ROUND(COUNTIF($I$4:$I$1463,"&lt;"&amp;$I934)/COUNT($I$4:$I$1463),3)))</f>
        <v>0.95199999999999996</v>
      </c>
      <c r="S934" s="15" t="str">
        <f>IF($C934="","",IF($G934="","Name only",IF(OR($I934="",$L934=""),"Partial","Complete")))</f>
        <v>Complete</v>
      </c>
      <c r="T934" s="41" t="str">
        <f>IF($C934="","",TRIM(IF(COUNTIF($C$4:$C$1463,$C934)&gt;1,"Dup name; ","")&amp;IF(AND($G934&lt;&gt;"",$G934&lt;55000),"Low CR - verify; ","")&amp;IF(AND($L934&lt;&gt;"",$L934&gt;15),"Secondary - verify; ","")&amp;IF($E934="","No class; ","")))</f>
        <v/>
      </c>
      <c r="U934" s="68"/>
      <c r="V934" s="68"/>
      <c r="W934" s="68"/>
      <c r="X934" s="73">
        <f t="shared" si="72"/>
        <v>9770</v>
      </c>
      <c r="Y934" s="41" t="str">
        <f t="shared" si="73"/>
        <v>SBG|10</v>
      </c>
      <c r="Z934" s="15">
        <f>IF($C934="","",IF($G934="","",RANK($G934,$G$4:$G$1463)+COUNTIF($G$4:$G934,$G934)-1))</f>
        <v>23</v>
      </c>
      <c r="AA934" s="15">
        <f>IF($C934="","",IF($N934="","",RANK($N934,$N$4:$N$1463)+COUNTIF($N$4:$N934,$N934)-1))</f>
        <v>51</v>
      </c>
      <c r="AB934" s="41" t="str">
        <f>IF($C934="","",IF($E934="","",$E934&amp;"#"&amp;(COUNTIFS($E$4:$E$1463,$E934,$X$4:$X$1463,"&gt;"&amp;$X934)+COUNTIFS($E$4:$E934,$E934,$X$4:$X934,"="&amp;$X934))))</f>
        <v>WARLOCK#14</v>
      </c>
      <c r="AC934" s="41" t="str">
        <f>IF($C934="","",$B934&amp;"@"&amp;(COUNTIFS($B$4:$B$1463,$B934,$C$4:$C$1463,"&lt;"&amp;$C934)+COUNTIFS($B$4:$B934,$B934,$C$4:$C934,$C934)))</f>
        <v>SBG@56</v>
      </c>
      <c r="AD934" s="41">
        <f t="shared" si="74"/>
        <v>931</v>
      </c>
      <c r="AE934" s="41" t="s">
        <v>2129</v>
      </c>
      <c r="AF934" s="73">
        <f t="shared" si="75"/>
        <v>64291</v>
      </c>
      <c r="AG934" s="74">
        <f t="shared" si="76"/>
        <v>7.75</v>
      </c>
      <c r="AH934" s="41" t="str">
        <f>IF($C934="","",$B934&amp;"|"&amp;(COUNTIFS($B$4:$B$1463,$B934,$AF$4:$AF$1463,"&gt;"&amp;$AF934)+COUNTIFS($B$4:$B934,$B934,$AF$4:$AF934,"="&amp;$AF934)))</f>
        <v>SBG|6</v>
      </c>
      <c r="AI934" s="41" t="str">
        <f>IF($C934="","",$B934&amp;"|"&amp;(COUNTIFS($B$4:$B$1463,$B934,$AG$4:$AG$1463,"&gt;"&amp;$AG934)+COUNTIFS($B$4:$B934,$B934,$AG$4:$AG934,"="&amp;$AG934)))</f>
        <v>SBG|18</v>
      </c>
    </row>
    <row r="935" spans="1:35" hidden="1">
      <c r="A935" s="69" t="s">
        <v>109</v>
      </c>
      <c r="B935" s="69" t="s">
        <v>111</v>
      </c>
      <c r="C935" s="63" t="s">
        <v>2130</v>
      </c>
      <c r="D935" s="69" t="s">
        <v>527</v>
      </c>
      <c r="E935" s="68" t="s">
        <v>74</v>
      </c>
      <c r="F935" s="19" t="str">
        <f>IF($C935="","",IF($E935="","-",IFERROR(INDEX(SETUP!$B$55:$B$64,MATCH($E935,SETUP!$A$55:$A$64,0)),"Other")))</f>
        <v>Ranged DPS</v>
      </c>
      <c r="G935" s="70">
        <v>63875</v>
      </c>
      <c r="H935" s="19" t="str">
        <f>IF($C935="","",IF($G935="","-",INDEX(SETUP!$B$26:$B$32,MATCH($G935,SETUP!$A$26:$A$32,1))))</f>
        <v>63,000 - 63,999</v>
      </c>
      <c r="I935" s="70">
        <v>6704</v>
      </c>
      <c r="J935" s="19" t="str">
        <f>IF($C935="","",IF($I935="","-",INDEX(SETUP!$B$16:$B$22,MATCH($I935,SETUP!$A$16:$A$22,1))))</f>
        <v>VETERAN</v>
      </c>
      <c r="K935" s="19" t="str">
        <f>IF($C935="","",IF($I935="","-",TEXT(INT($I935/1000)*1000,"#,##0")&amp;" - "&amp;TEXT(INT($I935/1000)*1000+999,"#,##0")))</f>
        <v>6,000 - 6,999</v>
      </c>
      <c r="L935" s="71">
        <v>6.8</v>
      </c>
      <c r="M935" s="19" t="str">
        <f>IF($C935="","",IF($L935="","-",INDEX(SETUP!$B$36:$B$42,MATCH($L935,SETUP!$A$36:$A$42,1))))</f>
        <v>6k - 8k</v>
      </c>
      <c r="N935" s="21">
        <f>IF($C935="","",IF(OR($G935="",$I935=""),"",ROUND(100*(SETUP!$B$4*MIN(1,$I935/SETUP!$B$9)+SETUP!$B$5*MAX(0,MIN(1,($G935-SETUP!$B$10)/(SETUP!$B$11-SETUP!$B$10)))+SETUP!$B$6*MIN(1,IF($L935="",0,$L935)/SETUP!$B$12)),1)))</f>
        <v>64</v>
      </c>
      <c r="O935" s="19" t="str">
        <f>IF($C935="","",IF($N935="","-",INDEX(SETUP!$B$46:$B$51,MATCH($N935,SETUP!$A$46:$A$51,1))))</f>
        <v>A</v>
      </c>
      <c r="P935" s="19">
        <f>IF($C935="","",IF($I935="","",RANK($I935,$I$4:$I$1463)+COUNTIF($I$4:$I935,$I935)-1))</f>
        <v>241</v>
      </c>
      <c r="Q935" s="19">
        <f>IF($C935="","",COUNTIFS($B$4:$B$1463,$B935,$X$4:$X$1463,"&gt;"&amp;$X935)+COUNTIFS($B$4:$B935,$B935,$X$4:$X935,"="&amp;$X935))</f>
        <v>28</v>
      </c>
      <c r="R935" s="75">
        <f>IF($C935="","",IF($I935="","",ROUND(COUNTIF($I$4:$I$1463,"&lt;"&amp;$I935)/COUNT($I$4:$I$1463),3)))</f>
        <v>0.81799999999999995</v>
      </c>
      <c r="S935" s="19" t="str">
        <f>IF($C935="","",IF($G935="","Name only",IF(OR($I935="",$L935=""),"Partial","Complete")))</f>
        <v>Complete</v>
      </c>
      <c r="T935" s="1" t="str">
        <f>IF($C935="","",TRIM(IF(COUNTIF($C$4:$C$1463,$C935)&gt;1,"Dup name; ","")&amp;IF(AND($G935&lt;&gt;"",$G935&lt;55000),"Low CR - verify; ","")&amp;IF(AND($L935&lt;&gt;"",$L935&gt;15),"Secondary - verify; ","")&amp;IF($E935="","No class; ","")))</f>
        <v/>
      </c>
      <c r="U935" s="68"/>
      <c r="V935" s="68"/>
      <c r="W935" s="68"/>
      <c r="X935" s="76">
        <f t="shared" si="72"/>
        <v>6704</v>
      </c>
      <c r="Y935" s="1" t="str">
        <f t="shared" si="73"/>
        <v>RECKONING|28</v>
      </c>
      <c r="Z935" s="19">
        <f>IF($C935="","",IF($G935="","",RANK($G935,$G$4:$G$1463)+COUNTIF($G$4:$G935,$G935)-1))</f>
        <v>104</v>
      </c>
      <c r="AA935" s="19">
        <f>IF($C935="","",IF($N935="","",RANK($N935,$N$4:$N$1463)+COUNTIF($N$4:$N935,$N935)-1))</f>
        <v>189</v>
      </c>
      <c r="AB935" s="1" t="str">
        <f>IF($C935="","",IF($E935="","",$E935&amp;"#"&amp;(COUNTIFS($E$4:$E$1463,$E935,$X$4:$X$1463,"&gt;"&amp;$X935)+COUNTIFS($E$4:$E935,$E935,$X$4:$X935,"="&amp;$X935))))</f>
        <v>DEMON HUNTER#42</v>
      </c>
      <c r="AC935" s="1" t="str">
        <f>IF($C935="","",$B935&amp;"@"&amp;(COUNTIFS($B$4:$B$1463,$B935,$C$4:$C$1463,"&lt;"&amp;$C935)+COUNTIFS($B$4:$B935,$B935,$C$4:$C935,$C935)))</f>
        <v>RECKONING@71</v>
      </c>
      <c r="AD935" s="1">
        <f t="shared" si="74"/>
        <v>932</v>
      </c>
      <c r="AE935" s="1" t="s">
        <v>2131</v>
      </c>
      <c r="AF935" s="76">
        <f t="shared" si="75"/>
        <v>63875</v>
      </c>
      <c r="AG935" s="77">
        <f t="shared" si="76"/>
        <v>6.8</v>
      </c>
      <c r="AH935" s="1" t="str">
        <f>IF($C935="","",$B935&amp;"|"&amp;(COUNTIFS($B$4:$B$1463,$B935,$AF$4:$AF$1463,"&gt;"&amp;$AF935)+COUNTIFS($B$4:$B935,$B935,$AF$4:$AF935,"="&amp;$AF935)))</f>
        <v>RECKONING|13</v>
      </c>
      <c r="AI935" s="1" t="str">
        <f>IF($C935="","",$B935&amp;"|"&amp;(COUNTIFS($B$4:$B$1463,$B935,$AG$4:$AG$1463,"&gt;"&amp;$AG935)+COUNTIFS($B$4:$B935,$B935,$AG$4:$AG935,"="&amp;$AG935)))</f>
        <v>RECKONING|25</v>
      </c>
    </row>
    <row r="936" spans="1:35" hidden="1">
      <c r="A936" s="69" t="s">
        <v>109</v>
      </c>
      <c r="B936" s="69" t="s">
        <v>108</v>
      </c>
      <c r="C936" s="63" t="s">
        <v>2132</v>
      </c>
      <c r="D936" s="69"/>
      <c r="E936" s="68" t="s">
        <v>71</v>
      </c>
      <c r="F936" s="15" t="str">
        <f>IF($C936="","",IF($E936="","-",IFERROR(INDEX(SETUP!$B$55:$B$64,MATCH($E936,SETUP!$A$55:$A$64,0)),"Other")))</f>
        <v>Frontline</v>
      </c>
      <c r="G936" s="70">
        <v>64349</v>
      </c>
      <c r="H936" s="15" t="str">
        <f>IF($C936="","",IF($G936="","-",INDEX(SETUP!$B$26:$B$32,MATCH($G936,SETUP!$A$26:$A$32,1))))</f>
        <v>64,000 +</v>
      </c>
      <c r="I936" s="70">
        <v>10277</v>
      </c>
      <c r="J936" s="15" t="str">
        <f>IF($C936="","",IF($I936="","-",INDEX(SETUP!$B$16:$B$22,MATCH($I936,SETUP!$A$16:$A$22,1))))</f>
        <v>APEX</v>
      </c>
      <c r="K936" s="15" t="str">
        <f>IF($C936="","",IF($I936="","-",TEXT(INT($I936/1000)*1000,"#,##0")&amp;" - "&amp;TEXT(INT($I936/1000)*1000+999,"#,##0")))</f>
        <v>10,000 - 10,999</v>
      </c>
      <c r="L936" s="71">
        <v>6.35</v>
      </c>
      <c r="M936" s="15" t="str">
        <f>IF($C936="","",IF($L936="","-",INDEX(SETUP!$B$36:$B$42,MATCH($L936,SETUP!$A$36:$A$42,1))))</f>
        <v>6k - 8k</v>
      </c>
      <c r="N936" s="17">
        <f>IF($C936="","",IF(OR($G936="",$I936=""),"",ROUND(100*(SETUP!$B$4*MIN(1,$I936/SETUP!$B$9)+SETUP!$B$5*MAX(0,MIN(1,($G936-SETUP!$B$10)/(SETUP!$B$11-SETUP!$B$10)))+SETUP!$B$6*MIN(1,IF($L936="",0,$L936)/SETUP!$B$12)),1)))</f>
        <v>80</v>
      </c>
      <c r="O936" s="15" t="str">
        <f>IF($C936="","",IF($N936="","-",INDEX(SETUP!$B$46:$B$51,MATCH($N936,SETUP!$A$46:$A$51,1))))</f>
        <v>S+</v>
      </c>
      <c r="P936" s="15">
        <f>IF($C936="","",IF($I936="","",RANK($I936,$I$4:$I$1463)+COUNTIF($I$4:$I936,$I936)-1))</f>
        <v>35</v>
      </c>
      <c r="Q936" s="15">
        <f>IF($C936="","",COUNTIFS($B$4:$B$1463,$B936,$X$4:$X$1463,"&gt;"&amp;$X936)+COUNTIFS($B$4:$B936,$B936,$X$4:$X936,"="&amp;$X936))</f>
        <v>7</v>
      </c>
      <c r="R936" s="72">
        <f>IF($C936="","",IF($I936="","",ROUND(COUNTIF($I$4:$I$1463,"&lt;"&amp;$I936)/COUNT($I$4:$I$1463),3)))</f>
        <v>0.97399999999999998</v>
      </c>
      <c r="S936" s="15" t="str">
        <f>IF($C936="","",IF($G936="","Name only",IF(OR($I936="",$L936=""),"Partial","Complete")))</f>
        <v>Complete</v>
      </c>
      <c r="T936" s="41" t="str">
        <f>IF($C936="","",TRIM(IF(COUNTIF($C$4:$C$1463,$C936)&gt;1,"Dup name; ","")&amp;IF(AND($G936&lt;&gt;"",$G936&lt;55000),"Low CR - verify; ","")&amp;IF(AND($L936&lt;&gt;"",$L936&gt;15),"Secondary - verify; ","")&amp;IF($E936="","No class; ","")))</f>
        <v/>
      </c>
      <c r="U936" s="68"/>
      <c r="V936" s="68"/>
      <c r="W936" s="68"/>
      <c r="X936" s="73">
        <f t="shared" si="72"/>
        <v>10277</v>
      </c>
      <c r="Y936" s="41" t="str">
        <f t="shared" si="73"/>
        <v>SBG|7</v>
      </c>
      <c r="Z936" s="15">
        <f>IF($C936="","",IF($G936="","",RANK($G936,$G$4:$G$1463)+COUNTIF($G$4:$G936,$G936)-1))</f>
        <v>16</v>
      </c>
      <c r="AA936" s="15">
        <f>IF($C936="","",IF($N936="","",RANK($N936,$N$4:$N$1463)+COUNTIF($N$4:$N936,$N936)-1))</f>
        <v>52</v>
      </c>
      <c r="AB936" s="41" t="str">
        <f>IF($C936="","",IF($E936="","",$E936&amp;"#"&amp;(COUNTIFS($E$4:$E$1463,$E936,$X$4:$X$1463,"&gt;"&amp;$X936)+COUNTIFS($E$4:$E936,$E936,$X$4:$X936,"="&amp;$X936))))</f>
        <v>BARBARIAN#8</v>
      </c>
      <c r="AC936" s="41" t="str">
        <f>IF($C936="","",$B936&amp;"@"&amp;(COUNTIFS($B$4:$B$1463,$B936,$C$4:$C$1463,"&lt;"&amp;$C936)+COUNTIFS($B$4:$B936,$B936,$C$4:$C936,$C936)))</f>
        <v>SBG@57</v>
      </c>
      <c r="AD936" s="41">
        <f t="shared" si="74"/>
        <v>933</v>
      </c>
      <c r="AE936" s="41" t="s">
        <v>2133</v>
      </c>
      <c r="AF936" s="73">
        <f t="shared" si="75"/>
        <v>64349</v>
      </c>
      <c r="AG936" s="74">
        <f t="shared" si="76"/>
        <v>6.35</v>
      </c>
      <c r="AH936" s="41" t="str">
        <f>IF($C936="","",$B936&amp;"|"&amp;(COUNTIFS($B$4:$B$1463,$B936,$AF$4:$AF$1463,"&gt;"&amp;$AF936)+COUNTIFS($B$4:$B936,$B936,$AF$4:$AF936,"="&amp;$AF936)))</f>
        <v>SBG|2</v>
      </c>
      <c r="AI936" s="41" t="str">
        <f>IF($C936="","",$B936&amp;"|"&amp;(COUNTIFS($B$4:$B$1463,$B936,$AG$4:$AG$1463,"&gt;"&amp;$AG936)+COUNTIFS($B$4:$B936,$B936,$AG$4:$AG936,"="&amp;$AG936)))</f>
        <v>SBG|30</v>
      </c>
    </row>
    <row r="937" spans="1:35" hidden="1">
      <c r="A937" s="69" t="s">
        <v>109</v>
      </c>
      <c r="B937" s="69" t="s">
        <v>108</v>
      </c>
      <c r="C937" s="63" t="s">
        <v>2134</v>
      </c>
      <c r="D937" s="69"/>
      <c r="E937" s="68" t="s">
        <v>79</v>
      </c>
      <c r="F937" s="19" t="str">
        <f>IF($C937="","",IF($E937="","-",IFERROR(INDEX(SETUP!$B$55:$B$64,MATCH($E937,SETUP!$A$55:$A$64,0)),"Other")))</f>
        <v>Control</v>
      </c>
      <c r="G937" s="70">
        <v>61928</v>
      </c>
      <c r="H937" s="19" t="str">
        <f>IF($C937="","",IF($G937="","-",INDEX(SETUP!$B$26:$B$32,MATCH($G937,SETUP!$A$26:$A$32,1))))</f>
        <v>61,000 - 61,999</v>
      </c>
      <c r="I937" s="70">
        <v>2483</v>
      </c>
      <c r="J937" s="19" t="str">
        <f>IF($C937="","",IF($I937="","-",INDEX(SETUP!$B$16:$B$22,MATCH($I937,SETUP!$A$16:$A$22,1))))</f>
        <v>DEVELOPING</v>
      </c>
      <c r="K937" s="19" t="str">
        <f>IF($C937="","",IF($I937="","-",TEXT(INT($I937/1000)*1000,"#,##0")&amp;" - "&amp;TEXT(INT($I937/1000)*1000+999,"#,##0")))</f>
        <v>2,000 - 2,999</v>
      </c>
      <c r="L937" s="71">
        <v>3.3</v>
      </c>
      <c r="M937" s="19" t="str">
        <f>IF($C937="","",IF($L937="","-",INDEX(SETUP!$B$36:$B$42,MATCH($L937,SETUP!$A$36:$A$42,1))))</f>
        <v>3k - 4k</v>
      </c>
      <c r="N937" s="21">
        <f>IF($C937="","",IF(OR($G937="",$I937=""),"",ROUND(100*(SETUP!$B$4*MIN(1,$I937/SETUP!$B$9)+SETUP!$B$5*MAX(0,MIN(1,($G937-SETUP!$B$10)/(SETUP!$B$11-SETUP!$B$10)))+SETUP!$B$6*MIN(1,IF($L937="",0,$L937)/SETUP!$B$12)),1)))</f>
        <v>34.6</v>
      </c>
      <c r="O937" s="19" t="str">
        <f>IF($C937="","",IF($N937="","-",INDEX(SETUP!$B$46:$B$51,MATCH($N937,SETUP!$A$46:$A$51,1))))</f>
        <v>C</v>
      </c>
      <c r="P937" s="19">
        <f>IF($C937="","",IF($I937="","",RANK($I937,$I$4:$I$1463)+COUNTIF($I$4:$I937,$I937)-1))</f>
        <v>1011</v>
      </c>
      <c r="Q937" s="19">
        <f>IF($C937="","",COUNTIFS($B$4:$B$1463,$B937,$X$4:$X$1463,"&gt;"&amp;$X937)+COUNTIFS($B$4:$B937,$B937,$X$4:$X937,"="&amp;$X937))</f>
        <v>95</v>
      </c>
      <c r="R937" s="75">
        <f>IF($C937="","",IF($I937="","",ROUND(COUNTIF($I$4:$I$1463,"&lt;"&amp;$I937)/COUNT($I$4:$I$1463),3)))</f>
        <v>0.23699999999999999</v>
      </c>
      <c r="S937" s="19" t="str">
        <f>IF($C937="","",IF($G937="","Name only",IF(OR($I937="",$L937=""),"Partial","Complete")))</f>
        <v>Complete</v>
      </c>
      <c r="T937" s="1" t="str">
        <f>IF($C937="","",TRIM(IF(COUNTIF($C$4:$C$1463,$C937)&gt;1,"Dup name; ","")&amp;IF(AND($G937&lt;&gt;"",$G937&lt;55000),"Low CR - verify; ","")&amp;IF(AND($L937&lt;&gt;"",$L937&gt;15),"Secondary - verify; ","")&amp;IF($E937="","No class; ","")))</f>
        <v/>
      </c>
      <c r="U937" s="68"/>
      <c r="V937" s="68"/>
      <c r="W937" s="68"/>
      <c r="X937" s="76">
        <f t="shared" si="72"/>
        <v>2483</v>
      </c>
      <c r="Y937" s="1" t="str">
        <f t="shared" si="73"/>
        <v>SBG|95</v>
      </c>
      <c r="Z937" s="19">
        <f>IF($C937="","",IF($G937="","",RANK($G937,$G$4:$G$1463)+COUNTIF($G$4:$G937,$G937)-1))</f>
        <v>861</v>
      </c>
      <c r="AA937" s="19">
        <f>IF($C937="","",IF($N937="","",RANK($N937,$N$4:$N$1463)+COUNTIF($N$4:$N937,$N937)-1))</f>
        <v>1019</v>
      </c>
      <c r="AB937" s="1" t="str">
        <f>IF($C937="","",IF($E937="","",$E937&amp;"#"&amp;(COUNTIFS($E$4:$E$1463,$E937,$X$4:$X$1463,"&gt;"&amp;$X937)+COUNTIFS($E$4:$E937,$E937,$X$4:$X937,"="&amp;$X937))))</f>
        <v>WARLOCK#251</v>
      </c>
      <c r="AC937" s="1" t="str">
        <f>IF($C937="","",$B937&amp;"@"&amp;(COUNTIFS($B$4:$B$1463,$B937,$C$4:$C$1463,"&lt;"&amp;$C937)+COUNTIFS($B$4:$B937,$B937,$C$4:$C937,$C937)))</f>
        <v>SBG@58</v>
      </c>
      <c r="AD937" s="1">
        <f t="shared" si="74"/>
        <v>934</v>
      </c>
      <c r="AE937" s="1" t="s">
        <v>858</v>
      </c>
      <c r="AF937" s="76">
        <f t="shared" si="75"/>
        <v>61928</v>
      </c>
      <c r="AG937" s="77">
        <f t="shared" si="76"/>
        <v>3.3</v>
      </c>
      <c r="AH937" s="1" t="str">
        <f>IF($C937="","",$B937&amp;"|"&amp;(COUNTIFS($B$4:$B$1463,$B937,$AF$4:$AF$1463,"&gt;"&amp;$AF937)+COUNTIFS($B$4:$B937,$B937,$AF$4:$AF937,"="&amp;$AF937)))</f>
        <v>SBG|73</v>
      </c>
      <c r="AI937" s="1" t="str">
        <f>IF($C937="","",$B937&amp;"|"&amp;(COUNTIFS($B$4:$B$1463,$B937,$AG$4:$AG$1463,"&gt;"&amp;$AG937)+COUNTIFS($B$4:$B937,$B937,$AG$4:$AG937,"="&amp;$AG937)))</f>
        <v>SBG|96</v>
      </c>
    </row>
    <row r="938" spans="1:35">
      <c r="A938" s="69" t="s">
        <v>104</v>
      </c>
      <c r="B938" s="69" t="s">
        <v>66</v>
      </c>
      <c r="C938" s="63" t="s">
        <v>355</v>
      </c>
      <c r="D938" s="69"/>
      <c r="E938" s="68" t="s">
        <v>77</v>
      </c>
      <c r="F938" s="19" t="str">
        <f>IF($C938="","",IF($E938="","-",IFERROR(INDEX(SETUP!$B$55:$B$64,MATCH($E938,SETUP!$A$55:$A$64,0)),"Other")))</f>
        <v>Control</v>
      </c>
      <c r="G938" s="70">
        <v>63408</v>
      </c>
      <c r="H938" s="19" t="str">
        <f>IF($C938="","",IF($G938="","-",INDEX(SETUP!$B$26:$B$32,MATCH($G938,SETUP!$A$26:$A$32,1))))</f>
        <v>63,000 - 63,999</v>
      </c>
      <c r="I938" s="70">
        <v>6573</v>
      </c>
      <c r="J938" s="19" t="str">
        <f>IF($C938="","",IF($I938="","-",INDEX(SETUP!$B$16:$B$22,MATCH($I938,SETUP!$A$16:$A$22,1))))</f>
        <v>VETERAN</v>
      </c>
      <c r="K938" s="19" t="str">
        <f>IF($C938="","",IF($I938="","-",TEXT(INT($I938/1000)*1000,"#,##0")&amp;" - "&amp;TEXT(INT($I938/1000)*1000+999,"#,##0")))</f>
        <v>6,000 - 6,999</v>
      </c>
      <c r="L938" s="71">
        <v>5.73</v>
      </c>
      <c r="M938" s="19" t="str">
        <f>IF($C938="","",IF($L938="","-",INDEX(SETUP!$B$36:$B$42,MATCH($L938,SETUP!$A$36:$A$42,1))))</f>
        <v>5k - 6k</v>
      </c>
      <c r="N938" s="21">
        <f>IF($C938="","",IF(OR($G938="",$I938=""),"",ROUND(100*(SETUP!$B$4*MIN(1,$I938/SETUP!$B$9)+SETUP!$B$5*MAX(0,MIN(1,($G938-SETUP!$B$10)/(SETUP!$B$11-SETUP!$B$10)))+SETUP!$B$6*MIN(1,IF($L938="",0,$L938)/SETUP!$B$12)),1)))</f>
        <v>60.4</v>
      </c>
      <c r="O938" s="19" t="str">
        <f>IF($C938="","",IF($N938="","-",INDEX(SETUP!$B$46:$B$51,MATCH($N938,SETUP!$A$46:$A$51,1))))</f>
        <v>A</v>
      </c>
      <c r="P938" s="19">
        <f>IF($C938="","",IF($I938="","",RANK($I938,$I$4:$I$1463)+COUNTIF($I$4:$I938,$I938)-1))</f>
        <v>244</v>
      </c>
      <c r="Q938" s="19">
        <f>IF($C938="","",COUNTIFS($B$4:$B$1463,$B938,$X$4:$X$1463,"&gt;"&amp;$X938)+COUNTIFS($B$4:$B938,$B938,$X$4:$X938,"="&amp;$X938))</f>
        <v>25</v>
      </c>
      <c r="R938" s="75">
        <f>IF($C938="","",IF($I938="","",ROUND(COUNTIF($I$4:$I$1463,"&lt;"&amp;$I938)/COUNT($I$4:$I$1463),3)))</f>
        <v>0.81599999999999995</v>
      </c>
      <c r="S938" s="19" t="str">
        <f>IF($C938="","",IF($G938="","Name only",IF(OR($I938="",$L938=""),"Partial","Complete")))</f>
        <v>Complete</v>
      </c>
      <c r="T938" s="1" t="str">
        <f>IF($C938="","",TRIM(IF(COUNTIF($C$4:$C$1463,$C938)&gt;1,"Dup name; ","")&amp;IF(AND($G938&lt;&gt;"",$G938&lt;55000),"Low CR - verify; ","")&amp;IF(AND($L938&lt;&gt;"",$L938&gt;15),"Secondary - verify; ","")&amp;IF($E938="","No class; ","")))</f>
        <v/>
      </c>
      <c r="U938" s="68" t="s">
        <v>268</v>
      </c>
      <c r="V938" s="68" t="s">
        <v>66</v>
      </c>
      <c r="W938" s="68" t="s">
        <v>285</v>
      </c>
      <c r="X938" s="73">
        <f t="shared" si="72"/>
        <v>6573</v>
      </c>
      <c r="Y938" s="41" t="str">
        <f t="shared" si="73"/>
        <v>FUCT|25</v>
      </c>
      <c r="Z938" s="15">
        <f>IF($C938="","",IF($G938="","",RANK($G938,$G$4:$G$1463)+COUNTIF($G$4:$G938,$G938)-1))</f>
        <v>218</v>
      </c>
      <c r="AA938" s="15">
        <f>IF($C938="","",IF($N938="","",RANK($N938,$N$4:$N$1463)+COUNTIF($N$4:$N938,$N938)-1))</f>
        <v>231</v>
      </c>
      <c r="AB938" s="41" t="str">
        <f>IF($C938="","",IF($E938="","",$E938&amp;"#"&amp;(COUNTIFS($E$4:$E$1463,$E938,$X$4:$X$1463,"&gt;"&amp;$X938)+COUNTIFS($E$4:$E938,$E938,$X$4:$X938,"="&amp;$X938))))</f>
        <v>NECROMANCER#10</v>
      </c>
      <c r="AC938" s="41" t="str">
        <f>IF($C938="","",$B938&amp;"@"&amp;(COUNTIFS($B$4:$B$1463,$B938,$C$4:$C$1463,"&lt;"&amp;$C938)+COUNTIFS($B$4:$B938,$B938,$C$4:$C938,$C938)))</f>
        <v>FUCT@68</v>
      </c>
      <c r="AD938" s="41">
        <f t="shared" si="74"/>
        <v>935</v>
      </c>
      <c r="AE938" s="41" t="s">
        <v>2135</v>
      </c>
      <c r="AF938" s="73">
        <f t="shared" si="75"/>
        <v>63408</v>
      </c>
      <c r="AG938" s="74">
        <f t="shared" si="76"/>
        <v>5.73</v>
      </c>
      <c r="AH938" s="41" t="str">
        <f>IF($C938="","",$B938&amp;"|"&amp;(COUNTIFS($B$4:$B$1463,$B938,$AF$4:$AF$1463,"&gt;"&amp;$AF938)+COUNTIFS($B$4:$B938,$B938,$AF$4:$AF938,"="&amp;$AF938)))</f>
        <v>FUCT|22</v>
      </c>
      <c r="AI938" s="41" t="str">
        <f>IF($C938="","",$B938&amp;"|"&amp;(COUNTIFS($B$4:$B$1463,$B938,$AG$4:$AG$1463,"&gt;"&amp;$AG938)+COUNTIFS($B$4:$B938,$B938,$AG$4:$AG938,"="&amp;$AG938)))</f>
        <v>FUCT|25</v>
      </c>
    </row>
    <row r="939" spans="1:35" hidden="1">
      <c r="A939" s="69" t="s">
        <v>106</v>
      </c>
      <c r="B939" s="69" t="s">
        <v>107</v>
      </c>
      <c r="C939" s="63" t="s">
        <v>2136</v>
      </c>
      <c r="D939" s="69"/>
      <c r="E939" s="68" t="s">
        <v>77</v>
      </c>
      <c r="F939" s="19" t="str">
        <f>IF($C939="","",IF($E939="","-",IFERROR(INDEX(SETUP!$B$55:$B$64,MATCH($E939,SETUP!$A$55:$A$64,0)),"Other")))</f>
        <v>Control</v>
      </c>
      <c r="G939" s="70">
        <v>61923</v>
      </c>
      <c r="H939" s="19" t="str">
        <f>IF($C939="","",IF($G939="","-",INDEX(SETUP!$B$26:$B$32,MATCH($G939,SETUP!$A$26:$A$32,1))))</f>
        <v>61,000 - 61,999</v>
      </c>
      <c r="I939" s="70">
        <v>2950</v>
      </c>
      <c r="J939" s="19" t="str">
        <f>IF($C939="","",IF($I939="","-",INDEX(SETUP!$B$16:$B$22,MATCH($I939,SETUP!$A$16:$A$22,1))))</f>
        <v>DEVELOPING</v>
      </c>
      <c r="K939" s="19" t="str">
        <f>IF($C939="","",IF($I939="","-",TEXT(INT($I939/1000)*1000,"#,##0")&amp;" - "&amp;TEXT(INT($I939/1000)*1000+999,"#,##0")))</f>
        <v>2,000 - 2,999</v>
      </c>
      <c r="L939" s="71">
        <v>5.0999999999999996</v>
      </c>
      <c r="M939" s="19" t="str">
        <f>IF($C939="","",IF($L939="","-",INDEX(SETUP!$B$36:$B$42,MATCH($L939,SETUP!$A$36:$A$42,1))))</f>
        <v>5k - 6k</v>
      </c>
      <c r="N939" s="21">
        <f>IF($C939="","",IF(OR($G939="",$I939=""),"",ROUND(100*(SETUP!$B$4*MIN(1,$I939/SETUP!$B$9)+SETUP!$B$5*MAX(0,MIN(1,($G939-SETUP!$B$10)/(SETUP!$B$11-SETUP!$B$10)))+SETUP!$B$6*MIN(1,IF($L939="",0,$L939)/SETUP!$B$12)),1)))</f>
        <v>39.6</v>
      </c>
      <c r="O939" s="19" t="str">
        <f>IF($C939="","",IF($N939="","-",INDEX(SETUP!$B$46:$B$51,MATCH($N939,SETUP!$A$46:$A$51,1))))</f>
        <v>B</v>
      </c>
      <c r="P939" s="19">
        <f>IF($C939="","",IF($I939="","",RANK($I939,$I$4:$I$1463)+COUNTIF($I$4:$I939,$I939)-1))</f>
        <v>897</v>
      </c>
      <c r="Q939" s="19">
        <f>IF($C939="","",COUNTIFS($B$4:$B$1463,$B939,$X$4:$X$1463,"&gt;"&amp;$X939)+COUNTIFS($B$4:$B939,$B939,$X$4:$X939,"="&amp;$X939))</f>
        <v>82</v>
      </c>
      <c r="R939" s="75">
        <f>IF($C939="","",IF($I939="","",ROUND(COUNTIF($I$4:$I$1463,"&lt;"&amp;$I939)/COUNT($I$4:$I$1463),3)))</f>
        <v>0.32300000000000001</v>
      </c>
      <c r="S939" s="19" t="str">
        <f>IF($C939="","",IF($G939="","Name only",IF(OR($I939="",$L939=""),"Partial","Complete")))</f>
        <v>Complete</v>
      </c>
      <c r="T939" s="1" t="str">
        <f>IF($C939="","",TRIM(IF(COUNTIF($C$4:$C$1463,$C939)&gt;1,"Dup name; ","")&amp;IF(AND($G939&lt;&gt;"",$G939&lt;55000),"Low CR - verify; ","")&amp;IF(AND($L939&lt;&gt;"",$L939&gt;15),"Secondary - verify; ","")&amp;IF($E939="","No class; ","")))</f>
        <v/>
      </c>
      <c r="U939" s="68"/>
      <c r="V939" s="68"/>
      <c r="W939" s="68"/>
      <c r="X939" s="76">
        <f t="shared" si="72"/>
        <v>2950</v>
      </c>
      <c r="Y939" s="1" t="str">
        <f t="shared" si="73"/>
        <v>UNDYING|82</v>
      </c>
      <c r="Z939" s="19">
        <f>IF($C939="","",IF($G939="","",RANK($G939,$G$4:$G$1463)+COUNTIF($G$4:$G939,$G939)-1))</f>
        <v>862</v>
      </c>
      <c r="AA939" s="19">
        <f>IF($C939="","",IF($N939="","",RANK($N939,$N$4:$N$1463)+COUNTIF($N$4:$N939,$N939)-1))</f>
        <v>838</v>
      </c>
      <c r="AB939" s="1" t="str">
        <f>IF($C939="","",IF($E939="","",$E939&amp;"#"&amp;(COUNTIFS($E$4:$E$1463,$E939,$X$4:$X$1463,"&gt;"&amp;$X939)+COUNTIFS($E$4:$E939,$E939,$X$4:$X939,"="&amp;$X939))))</f>
        <v>NECROMANCER#52</v>
      </c>
      <c r="AC939" s="1" t="str">
        <f>IF($C939="","",$B939&amp;"@"&amp;(COUNTIFS($B$4:$B$1463,$B939,$C$4:$C$1463,"&lt;"&amp;$C939)+COUNTIFS($B$4:$B939,$B939,$C$4:$C939,$C939)))</f>
        <v>UNDYING@79</v>
      </c>
      <c r="AD939" s="1">
        <f t="shared" si="74"/>
        <v>936</v>
      </c>
      <c r="AE939" s="1" t="s">
        <v>559</v>
      </c>
      <c r="AF939" s="76">
        <f t="shared" si="75"/>
        <v>61923</v>
      </c>
      <c r="AG939" s="77">
        <f t="shared" si="76"/>
        <v>5.0999999999999996</v>
      </c>
      <c r="AH939" s="1" t="str">
        <f>IF($C939="","",$B939&amp;"|"&amp;(COUNTIFS($B$4:$B$1463,$B939,$AF$4:$AF$1463,"&gt;"&amp;$AF939)+COUNTIFS($B$4:$B939,$B939,$AF$4:$AF939,"="&amp;$AF939)))</f>
        <v>UNDYING|81</v>
      </c>
      <c r="AI939" s="1" t="str">
        <f>IF($C939="","",$B939&amp;"|"&amp;(COUNTIFS($B$4:$B$1463,$B939,$AG$4:$AG$1463,"&gt;"&amp;$AG939)+COUNTIFS($B$4:$B939,$B939,$AG$4:$AG939,"="&amp;$AG939)))</f>
        <v>UNDYING|49</v>
      </c>
    </row>
    <row r="940" spans="1:35" hidden="1">
      <c r="A940" s="69" t="s">
        <v>106</v>
      </c>
      <c r="B940" s="69" t="s">
        <v>105</v>
      </c>
      <c r="C940" s="63" t="s">
        <v>2137</v>
      </c>
      <c r="D940" s="69"/>
      <c r="E940" s="68" t="s">
        <v>79</v>
      </c>
      <c r="F940" s="15" t="str">
        <f>IF($C940="","",IF($E940="","-",IFERROR(INDEX(SETUP!$B$55:$B$64,MATCH($E940,SETUP!$A$55:$A$64,0)),"Other")))</f>
        <v>Control</v>
      </c>
      <c r="G940" s="70">
        <v>63080</v>
      </c>
      <c r="H940" s="15" t="str">
        <f>IF($C940="","",IF($G940="","-",INDEX(SETUP!$B$26:$B$32,MATCH($G940,SETUP!$A$26:$A$32,1))))</f>
        <v>63,000 - 63,999</v>
      </c>
      <c r="I940" s="70">
        <v>3220</v>
      </c>
      <c r="J940" s="15" t="str">
        <f>IF($C940="","",IF($I940="","-",INDEX(SETUP!$B$16:$B$22,MATCH($I940,SETUP!$A$16:$A$22,1))))</f>
        <v>DEVELOPING</v>
      </c>
      <c r="K940" s="15" t="str">
        <f>IF($C940="","",IF($I940="","-",TEXT(INT($I940/1000)*1000,"#,##0")&amp;" - "&amp;TEXT(INT($I940/1000)*1000+999,"#,##0")))</f>
        <v>3,000 - 3,999</v>
      </c>
      <c r="L940" s="71">
        <v>4.04</v>
      </c>
      <c r="M940" s="15" t="str">
        <f>IF($C940="","",IF($L940="","-",INDEX(SETUP!$B$36:$B$42,MATCH($L940,SETUP!$A$36:$A$42,1))))</f>
        <v>4k - 5k</v>
      </c>
      <c r="N940" s="17">
        <f>IF($C940="","",IF(OR($G940="",$I940=""),"",ROUND(100*(SETUP!$B$4*MIN(1,$I940/SETUP!$B$9)+SETUP!$B$5*MAX(0,MIN(1,($G940-SETUP!$B$10)/(SETUP!$B$11-SETUP!$B$10)))+SETUP!$B$6*MIN(1,IF($L940="",0,$L940)/SETUP!$B$12)),1)))</f>
        <v>42.1</v>
      </c>
      <c r="O940" s="15" t="str">
        <f>IF($C940="","",IF($N940="","-",INDEX(SETUP!$B$46:$B$51,MATCH($N940,SETUP!$A$46:$A$51,1))))</f>
        <v>B</v>
      </c>
      <c r="P940" s="15">
        <f>IF($C940="","",IF($I940="","",RANK($I940,$I$4:$I$1463)+COUNTIF($I$4:$I940,$I940)-1))</f>
        <v>816</v>
      </c>
      <c r="Q940" s="15">
        <f>IF($C940="","",COUNTIFS($B$4:$B$1463,$B940,$X$4:$X$1463,"&gt;"&amp;$X940)+COUNTIFS($B$4:$B940,$B940,$X$4:$X940,"="&amp;$X940))</f>
        <v>91</v>
      </c>
      <c r="R940" s="72">
        <f>IF($C940="","",IF($I940="","",ROUND(COUNTIF($I$4:$I$1463,"&lt;"&amp;$I940)/COUNT($I$4:$I$1463),3)))</f>
        <v>0.38400000000000001</v>
      </c>
      <c r="S940" s="15" t="str">
        <f>IF($C940="","",IF($G940="","Name only",IF(OR($I940="",$L940=""),"Partial","Complete")))</f>
        <v>Complete</v>
      </c>
      <c r="T940" s="41" t="str">
        <f>IF($C940="","",TRIM(IF(COUNTIF($C$4:$C$1463,$C940)&gt;1,"Dup name; ","")&amp;IF(AND($G940&lt;&gt;"",$G940&lt;55000),"Low CR - verify; ","")&amp;IF(AND($L940&lt;&gt;"",$L940&gt;15),"Secondary - verify; ","")&amp;IF($E940="","No class; ","")))</f>
        <v/>
      </c>
      <c r="U940" s="68"/>
      <c r="V940" s="68"/>
      <c r="W940" s="68"/>
      <c r="X940" s="73">
        <f t="shared" si="72"/>
        <v>3220</v>
      </c>
      <c r="Y940" s="41" t="str">
        <f t="shared" si="73"/>
        <v>LEGENDS|91</v>
      </c>
      <c r="Z940" s="15">
        <f>IF($C940="","",IF($G940="","",RANK($G940,$G$4:$G$1463)+COUNTIF($G$4:$G940,$G940)-1))</f>
        <v>391</v>
      </c>
      <c r="AA940" s="15">
        <f>IF($C940="","",IF($N940="","",RANK($N940,$N$4:$N$1463)+COUNTIF($N$4:$N940,$N940)-1))</f>
        <v>739</v>
      </c>
      <c r="AB940" s="41" t="str">
        <f>IF($C940="","",IF($E940="","",$E940&amp;"#"&amp;(COUNTIFS($E$4:$E$1463,$E940,$X$4:$X$1463,"&gt;"&amp;$X940)+COUNTIFS($E$4:$E940,$E940,$X$4:$X940,"="&amp;$X940))))</f>
        <v>WARLOCK#200</v>
      </c>
      <c r="AC940" s="41" t="str">
        <f>IF($C940="","",$B940&amp;"@"&amp;(COUNTIFS($B$4:$B$1463,$B940,$C$4:$C$1463,"&lt;"&amp;$C940)+COUNTIFS($B$4:$B940,$B940,$C$4:$C940,$C940)))</f>
        <v>LEGENDS@75</v>
      </c>
      <c r="AD940" s="41">
        <f t="shared" si="74"/>
        <v>937</v>
      </c>
      <c r="AE940" s="41" t="s">
        <v>2138</v>
      </c>
      <c r="AF940" s="73">
        <f t="shared" si="75"/>
        <v>63080</v>
      </c>
      <c r="AG940" s="74">
        <f t="shared" si="76"/>
        <v>4.04</v>
      </c>
      <c r="AH940" s="41" t="str">
        <f>IF($C940="","",$B940&amp;"|"&amp;(COUNTIFS($B$4:$B$1463,$B940,$AF$4:$AF$1463,"&gt;"&amp;$AF940)+COUNTIFS($B$4:$B940,$B940,$AF$4:$AF940,"="&amp;$AF940)))</f>
        <v>LEGENDS|45</v>
      </c>
      <c r="AI940" s="41" t="str">
        <f>IF($C940="","",$B940&amp;"|"&amp;(COUNTIFS($B$4:$B$1463,$B940,$AG$4:$AG$1463,"&gt;"&amp;$AG940)+COUNTIFS($B$4:$B940,$B940,$AG$4:$AG940,"="&amp;$AG940)))</f>
        <v>LEGENDS|87</v>
      </c>
    </row>
    <row r="941" spans="1:35" hidden="1">
      <c r="A941" s="69" t="s">
        <v>109</v>
      </c>
      <c r="B941" s="69" t="s">
        <v>114</v>
      </c>
      <c r="C941" s="63" t="s">
        <v>2139</v>
      </c>
      <c r="D941" s="69"/>
      <c r="E941" s="68" t="s">
        <v>79</v>
      </c>
      <c r="F941" s="19" t="str">
        <f>IF($C941="","",IF($E941="","-",IFERROR(INDEX(SETUP!$B$55:$B$64,MATCH($E941,SETUP!$A$55:$A$64,0)),"Other")))</f>
        <v>Control</v>
      </c>
      <c r="G941" s="70">
        <v>60691</v>
      </c>
      <c r="H941" s="19" t="str">
        <f>IF($C941="","",IF($G941="","-",INDEX(SETUP!$B$26:$B$32,MATCH($G941,SETUP!$A$26:$A$32,1))))</f>
        <v>60,000 - 60,999</v>
      </c>
      <c r="I941" s="70">
        <v>622</v>
      </c>
      <c r="J941" s="19" t="str">
        <f>IF($C941="","",IF($I941="","-",INDEX(SETUP!$B$16:$B$22,MATCH($I941,SETUP!$A$16:$A$22,1))))</f>
        <v>ROOKIE</v>
      </c>
      <c r="K941" s="19" t="str">
        <f>IF($C941="","",IF($I941="","-",TEXT(INT($I941/1000)*1000,"#,##0")&amp;" - "&amp;TEXT(INT($I941/1000)*1000+999,"#,##0")))</f>
        <v>0 - 999</v>
      </c>
      <c r="L941" s="71">
        <v>2.9</v>
      </c>
      <c r="M941" s="19" t="str">
        <f>IF($C941="","",IF($L941="","-",INDEX(SETUP!$B$36:$B$42,MATCH($L941,SETUP!$A$36:$A$42,1))))</f>
        <v>Under 3k</v>
      </c>
      <c r="N941" s="21">
        <f>IF($C941="","",IF(OR($G941="",$I941=""),"",ROUND(100*(SETUP!$B$4*MIN(1,$I941/SETUP!$B$9)+SETUP!$B$5*MAX(0,MIN(1,($G941-SETUP!$B$10)/(SETUP!$B$11-SETUP!$B$10)))+SETUP!$B$6*MIN(1,IF($L941="",0,$L941)/SETUP!$B$12)),1)))</f>
        <v>22.5</v>
      </c>
      <c r="O941" s="19" t="str">
        <f>IF($C941="","",IF($N941="","-",INDEX(SETUP!$B$46:$B$51,MATCH($N941,SETUP!$A$46:$A$51,1))))</f>
        <v>C</v>
      </c>
      <c r="P941" s="19">
        <f>IF($C941="","",IF($I941="","",RANK($I941,$I$4:$I$1463)+COUNTIF($I$4:$I941,$I941)-1))</f>
        <v>1309</v>
      </c>
      <c r="Q941" s="19">
        <f>IF($C941="","",COUNTIFS($B$4:$B$1463,$B941,$X$4:$X$1463,"&gt;"&amp;$X941)+COUNTIFS($B$4:$B941,$B941,$X$4:$X941,"="&amp;$X941))</f>
        <v>93</v>
      </c>
      <c r="R941" s="75">
        <f>IF($C941="","",IF($I941="","",ROUND(COUNTIF($I$4:$I$1463,"&lt;"&amp;$I941)/COUNT($I$4:$I$1463),3)))</f>
        <v>1.2E-2</v>
      </c>
      <c r="S941" s="19" t="str">
        <f>IF($C941="","",IF($G941="","Name only",IF(OR($I941="",$L941=""),"Partial","Complete")))</f>
        <v>Complete</v>
      </c>
      <c r="T941" s="1" t="str">
        <f>IF($C941="","",TRIM(IF(COUNTIF($C$4:$C$1463,$C941)&gt;1,"Dup name; ","")&amp;IF(AND($G941&lt;&gt;"",$G941&lt;55000),"Low CR - verify; ","")&amp;IF(AND($L941&lt;&gt;"",$L941&gt;15),"Secondary - verify; ","")&amp;IF($E941="","No class; ","")))</f>
        <v/>
      </c>
      <c r="U941" s="68"/>
      <c r="V941" s="68"/>
      <c r="W941" s="68"/>
      <c r="X941" s="76">
        <f t="shared" si="72"/>
        <v>622</v>
      </c>
      <c r="Y941" s="1" t="str">
        <f t="shared" si="73"/>
        <v>EMERALD LEAF TRIBE|93</v>
      </c>
      <c r="Z941" s="19">
        <f>IF($C941="","",IF($G941="","",RANK($G941,$G$4:$G$1463)+COUNTIF($G$4:$G941,$G941)-1))</f>
        <v>1183</v>
      </c>
      <c r="AA941" s="19">
        <f>IF($C941="","",IF($N941="","",RANK($N941,$N$4:$N$1463)+COUNTIF($N$4:$N941,$N941)-1))</f>
        <v>1275</v>
      </c>
      <c r="AB941" s="1" t="str">
        <f>IF($C941="","",IF($E941="","",$E941&amp;"#"&amp;(COUNTIFS($E$4:$E$1463,$E941,$X$4:$X$1463,"&gt;"&amp;$X941)+COUNTIFS($E$4:$E941,$E941,$X$4:$X941,"="&amp;$X941))))</f>
        <v>WARLOCK#320</v>
      </c>
      <c r="AC941" s="1" t="str">
        <f>IF($C941="","",$B941&amp;"@"&amp;(COUNTIFS($B$4:$B$1463,$B941,$C$4:$C$1463,"&lt;"&amp;$C941)+COUNTIFS($B$4:$B941,$B941,$C$4:$C941,$C941)))</f>
        <v>EMERALD LEAF TRIBE@69</v>
      </c>
      <c r="AD941" s="1">
        <f t="shared" si="74"/>
        <v>938</v>
      </c>
      <c r="AE941" s="1" t="s">
        <v>2140</v>
      </c>
      <c r="AF941" s="76">
        <f t="shared" si="75"/>
        <v>60691</v>
      </c>
      <c r="AG941" s="77">
        <f t="shared" si="76"/>
        <v>2.9</v>
      </c>
      <c r="AH941" s="1" t="str">
        <f>IF($C941="","",$B941&amp;"|"&amp;(COUNTIFS($B$4:$B$1463,$B941,$AF$4:$AF$1463,"&gt;"&amp;$AF941)+COUNTIFS($B$4:$B941,$B941,$AF$4:$AF941,"="&amp;$AF941)))</f>
        <v>EMERALD LEAF TRIBE|66</v>
      </c>
      <c r="AI941" s="1" t="str">
        <f>IF($C941="","",$B941&amp;"|"&amp;(COUNTIFS($B$4:$B$1463,$B941,$AG$4:$AG$1463,"&gt;"&amp;$AG941)+COUNTIFS($B$4:$B941,$B941,$AG$4:$AG941,"="&amp;$AG941)))</f>
        <v>EMERALD LEAF TRIBE|84</v>
      </c>
    </row>
    <row r="942" spans="1:35" hidden="1">
      <c r="A942" s="69" t="s">
        <v>106</v>
      </c>
      <c r="B942" s="69" t="s">
        <v>107</v>
      </c>
      <c r="C942" s="63" t="s">
        <v>2141</v>
      </c>
      <c r="D942" s="69"/>
      <c r="E942" s="68" t="s">
        <v>74</v>
      </c>
      <c r="F942" s="15" t="str">
        <f>IF($C942="","",IF($E942="","-",IFERROR(INDEX(SETUP!$B$55:$B$64,MATCH($E942,SETUP!$A$55:$A$64,0)),"Other")))</f>
        <v>Ranged DPS</v>
      </c>
      <c r="G942" s="70">
        <v>62229</v>
      </c>
      <c r="H942" s="15" t="str">
        <f>IF($C942="","",IF($G942="","-",INDEX(SETUP!$B$26:$B$32,MATCH($G942,SETUP!$A$26:$A$32,1))))</f>
        <v>62,000 - 62,999</v>
      </c>
      <c r="I942" s="70">
        <v>3905</v>
      </c>
      <c r="J942" s="15" t="str">
        <f>IF($C942="","",IF($I942="","-",INDEX(SETUP!$B$16:$B$22,MATCH($I942,SETUP!$A$16:$A$22,1))))</f>
        <v>DEVELOPING</v>
      </c>
      <c r="K942" s="15" t="str">
        <f>IF($C942="","",IF($I942="","-",TEXT(INT($I942/1000)*1000,"#,##0")&amp;" - "&amp;TEXT(INT($I942/1000)*1000+999,"#,##0")))</f>
        <v>3,000 - 3,999</v>
      </c>
      <c r="L942" s="71">
        <v>5.5</v>
      </c>
      <c r="M942" s="15" t="str">
        <f>IF($C942="","",IF($L942="","-",INDEX(SETUP!$B$36:$B$42,MATCH($L942,SETUP!$A$36:$A$42,1))))</f>
        <v>5k - 6k</v>
      </c>
      <c r="N942" s="17">
        <f>IF($C942="","",IF(OR($G942="",$I942=""),"",ROUND(100*(SETUP!$B$4*MIN(1,$I942/SETUP!$B$9)+SETUP!$B$5*MAX(0,MIN(1,($G942-SETUP!$B$10)/(SETUP!$B$11-SETUP!$B$10)))+SETUP!$B$6*MIN(1,IF($L942="",0,$L942)/SETUP!$B$12)),1)))</f>
        <v>45.2</v>
      </c>
      <c r="O942" s="15" t="str">
        <f>IF($C942="","",IF($N942="","-",INDEX(SETUP!$B$46:$B$51,MATCH($N942,SETUP!$A$46:$A$51,1))))</f>
        <v>B</v>
      </c>
      <c r="P942" s="15">
        <f>IF($C942="","",IF($I942="","",RANK($I942,$I$4:$I$1463)+COUNTIF($I$4:$I942,$I942)-1))</f>
        <v>622</v>
      </c>
      <c r="Q942" s="15">
        <f>IF($C942="","",COUNTIFS($B$4:$B$1463,$B942,$X$4:$X$1463,"&gt;"&amp;$X942)+COUNTIFS($B$4:$B942,$B942,$X$4:$X942,"="&amp;$X942))</f>
        <v>54</v>
      </c>
      <c r="R942" s="72">
        <f>IF($C942="","",IF($I942="","",ROUND(COUNTIF($I$4:$I$1463,"&lt;"&amp;$I942)/COUNT($I$4:$I$1463),3)))</f>
        <v>0.53100000000000003</v>
      </c>
      <c r="S942" s="15" t="str">
        <f>IF($C942="","",IF($G942="","Name only",IF(OR($I942="",$L942=""),"Partial","Complete")))</f>
        <v>Complete</v>
      </c>
      <c r="T942" s="41" t="str">
        <f>IF($C942="","",TRIM(IF(COUNTIF($C$4:$C$1463,$C942)&gt;1,"Dup name; ","")&amp;IF(AND($G942&lt;&gt;"",$G942&lt;55000),"Low CR - verify; ","")&amp;IF(AND($L942&lt;&gt;"",$L942&gt;15),"Secondary - verify; ","")&amp;IF($E942="","No class; ","")))</f>
        <v/>
      </c>
      <c r="U942" s="68"/>
      <c r="V942" s="68"/>
      <c r="W942" s="68"/>
      <c r="X942" s="73">
        <f t="shared" si="72"/>
        <v>3905</v>
      </c>
      <c r="Y942" s="41" t="str">
        <f t="shared" si="73"/>
        <v>UNDYING|54</v>
      </c>
      <c r="Z942" s="15">
        <f>IF($C942="","",IF($G942="","",RANK($G942,$G$4:$G$1463)+COUNTIF($G$4:$G942,$G942)-1))</f>
        <v>750</v>
      </c>
      <c r="AA942" s="15">
        <f>IF($C942="","",IF($N942="","",RANK($N942,$N$4:$N$1463)+COUNTIF($N$4:$N942,$N942)-1))</f>
        <v>616</v>
      </c>
      <c r="AB942" s="41" t="str">
        <f>IF($C942="","",IF($E942="","",$E942&amp;"#"&amp;(COUNTIFS($E$4:$E$1463,$E942,$X$4:$X$1463,"&gt;"&amp;$X942)+COUNTIFS($E$4:$E942,$E942,$X$4:$X942,"="&amp;$X942))))</f>
        <v>DEMON HUNTER#102</v>
      </c>
      <c r="AC942" s="41" t="str">
        <f>IF($C942="","",$B942&amp;"@"&amp;(COUNTIFS($B$4:$B$1463,$B942,$C$4:$C$1463,"&lt;"&amp;$C942)+COUNTIFS($B$4:$B942,$B942,$C$4:$C942,$C942)))</f>
        <v>UNDYING@80</v>
      </c>
      <c r="AD942" s="41">
        <f t="shared" si="74"/>
        <v>939</v>
      </c>
      <c r="AE942" s="41" t="s">
        <v>602</v>
      </c>
      <c r="AF942" s="73">
        <f t="shared" si="75"/>
        <v>62229</v>
      </c>
      <c r="AG942" s="74">
        <f t="shared" si="76"/>
        <v>5.5</v>
      </c>
      <c r="AH942" s="41" t="str">
        <f>IF($C942="","",$B942&amp;"|"&amp;(COUNTIFS($B$4:$B$1463,$B942,$AF$4:$AF$1463,"&gt;"&amp;$AF942)+COUNTIFS($B$4:$B942,$B942,$AF$4:$AF942,"="&amp;$AF942)))</f>
        <v>UNDYING|72</v>
      </c>
      <c r="AI942" s="41" t="str">
        <f>IF($C942="","",$B942&amp;"|"&amp;(COUNTIFS($B$4:$B$1463,$B942,$AG$4:$AG$1463,"&gt;"&amp;$AG942)+COUNTIFS($B$4:$B942,$B942,$AG$4:$AG942,"="&amp;$AG942)))</f>
        <v>UNDYING|38</v>
      </c>
    </row>
    <row r="943" spans="1:35" hidden="1">
      <c r="A943" s="69" t="s">
        <v>109</v>
      </c>
      <c r="B943" s="69" t="s">
        <v>118</v>
      </c>
      <c r="C943" s="63" t="s">
        <v>2142</v>
      </c>
      <c r="D943" s="69"/>
      <c r="E943" s="68" t="s">
        <v>71</v>
      </c>
      <c r="F943" s="19" t="str">
        <f>IF($C943="","",IF($E943="","-",IFERROR(INDEX(SETUP!$B$55:$B$64,MATCH($E943,SETUP!$A$55:$A$64,0)),"Other")))</f>
        <v>Frontline</v>
      </c>
      <c r="G943" s="70">
        <v>59173</v>
      </c>
      <c r="H943" s="19" t="str">
        <f>IF($C943="","",IF($G943="","-",INDEX(SETUP!$B$26:$B$32,MATCH($G943,SETUP!$A$26:$A$32,1))))</f>
        <v>58,000 - 59,999</v>
      </c>
      <c r="I943" s="70">
        <v>1069</v>
      </c>
      <c r="J943" s="19" t="str">
        <f>IF($C943="","",IF($I943="","-",INDEX(SETUP!$B$16:$B$22,MATCH($I943,SETUP!$A$16:$A$22,1))))</f>
        <v>ROOKIE</v>
      </c>
      <c r="K943" s="19" t="str">
        <f>IF($C943="","",IF($I943="","-",TEXT(INT($I943/1000)*1000,"#,##0")&amp;" - "&amp;TEXT(INT($I943/1000)*1000+999,"#,##0")))</f>
        <v>1,000 - 1,999</v>
      </c>
      <c r="L943" s="71">
        <v>3.2</v>
      </c>
      <c r="M943" s="19" t="str">
        <f>IF($C943="","",IF($L943="","-",INDEX(SETUP!$B$36:$B$42,MATCH($L943,SETUP!$A$36:$A$42,1))))</f>
        <v>3k - 4k</v>
      </c>
      <c r="N943" s="21">
        <f>IF($C943="","",IF(OR($G943="",$I943=""),"",ROUND(100*(SETUP!$B$4*MIN(1,$I943/SETUP!$B$9)+SETUP!$B$5*MAX(0,MIN(1,($G943-SETUP!$B$10)/(SETUP!$B$11-SETUP!$B$10)))+SETUP!$B$6*MIN(1,IF($L943="",0,$L943)/SETUP!$B$12)),1)))</f>
        <v>21</v>
      </c>
      <c r="O943" s="19" t="str">
        <f>IF($C943="","",IF($N943="","-",INDEX(SETUP!$B$46:$B$51,MATCH($N943,SETUP!$A$46:$A$51,1))))</f>
        <v>C</v>
      </c>
      <c r="P943" s="19">
        <f>IF($C943="","",IF($I943="","",RANK($I943,$I$4:$I$1463)+COUNTIF($I$4:$I943,$I943)-1))</f>
        <v>1260</v>
      </c>
      <c r="Q943" s="19">
        <f>IF($C943="","",COUNTIFS($B$4:$B$1463,$B943,$X$4:$X$1463,"&gt;"&amp;$X943)+COUNTIFS($B$4:$B943,$B943,$X$4:$X943,"="&amp;$X943))</f>
        <v>78</v>
      </c>
      <c r="R943" s="75">
        <f>IF($C943="","",IF($I943="","",ROUND(COUNTIF($I$4:$I$1463,"&lt;"&amp;$I943)/COUNT($I$4:$I$1463),3)))</f>
        <v>4.9000000000000002E-2</v>
      </c>
      <c r="S943" s="19" t="str">
        <f>IF($C943="","",IF($G943="","Name only",IF(OR($I943="",$L943=""),"Partial","Complete")))</f>
        <v>Complete</v>
      </c>
      <c r="T943" s="1" t="str">
        <f>IF($C943="","",TRIM(IF(COUNTIF($C$4:$C$1463,$C943)&gt;1,"Dup name; ","")&amp;IF(AND($G943&lt;&gt;"",$G943&lt;55000),"Low CR - verify; ","")&amp;IF(AND($L943&lt;&gt;"",$L943&gt;15),"Secondary - verify; ","")&amp;IF($E943="","No class; ","")))</f>
        <v/>
      </c>
      <c r="U943" s="68"/>
      <c r="V943" s="68"/>
      <c r="W943" s="68"/>
      <c r="X943" s="76">
        <f t="shared" si="72"/>
        <v>1069</v>
      </c>
      <c r="Y943" s="1" t="str">
        <f t="shared" si="73"/>
        <v>ZOMBIES|78</v>
      </c>
      <c r="Z943" s="19">
        <f>IF($C943="","",IF($G943="","",RANK($G943,$G$4:$G$1463)+COUNTIF($G$4:$G943,$G943)-1))</f>
        <v>1271</v>
      </c>
      <c r="AA943" s="19">
        <f>IF($C943="","",IF($N943="","",RANK($N943,$N$4:$N$1463)+COUNTIF($N$4:$N943,$N943)-1))</f>
        <v>1286</v>
      </c>
      <c r="AB943" s="1" t="str">
        <f>IF($C943="","",IF($E943="","",$E943&amp;"#"&amp;(COUNTIFS($E$4:$E$1463,$E943,$X$4:$X$1463,"&gt;"&amp;$X943)+COUNTIFS($E$4:$E943,$E943,$X$4:$X943,"="&amp;$X943))))</f>
        <v>BARBARIAN#209</v>
      </c>
      <c r="AC943" s="1" t="str">
        <f>IF($C943="","",$B943&amp;"@"&amp;(COUNTIFS($B$4:$B$1463,$B943,$C$4:$C$1463,"&lt;"&amp;$C943)+COUNTIFS($B$4:$B943,$B943,$C$4:$C943,$C943)))</f>
        <v>ZOMBIES@66</v>
      </c>
      <c r="AD943" s="1">
        <f t="shared" si="74"/>
        <v>940</v>
      </c>
      <c r="AE943" s="1" t="s">
        <v>2143</v>
      </c>
      <c r="AF943" s="76">
        <f t="shared" si="75"/>
        <v>59173</v>
      </c>
      <c r="AG943" s="77">
        <f t="shared" si="76"/>
        <v>3.2</v>
      </c>
      <c r="AH943" s="1" t="str">
        <f>IF($C943="","",$B943&amp;"|"&amp;(COUNTIFS($B$4:$B$1463,$B943,$AF$4:$AF$1463,"&gt;"&amp;$AF943)+COUNTIFS($B$4:$B943,$B943,$AF$4:$AF943,"="&amp;$AF943)))</f>
        <v>ZOMBIES|88</v>
      </c>
      <c r="AI943" s="1" t="str">
        <f>IF($C943="","",$B943&amp;"|"&amp;(COUNTIFS($B$4:$B$1463,$B943,$AG$4:$AG$1463,"&gt;"&amp;$AG943)+COUNTIFS($B$4:$B943,$B943,$AG$4:$AG943,"="&amp;$AG943)))</f>
        <v>ZOMBIES|63</v>
      </c>
    </row>
    <row r="944" spans="1:35" hidden="1">
      <c r="A944" s="69" t="s">
        <v>109</v>
      </c>
      <c r="B944" s="69" t="s">
        <v>111</v>
      </c>
      <c r="C944" s="63" t="s">
        <v>2144</v>
      </c>
      <c r="D944" s="69" t="s">
        <v>527</v>
      </c>
      <c r="E944" s="68" t="s">
        <v>79</v>
      </c>
      <c r="F944" s="15" t="str">
        <f>IF($C944="","",IF($E944="","-",IFERROR(INDEX(SETUP!$B$55:$B$64,MATCH($E944,SETUP!$A$55:$A$64,0)),"Other")))</f>
        <v>Control</v>
      </c>
      <c r="G944" s="70">
        <v>62268</v>
      </c>
      <c r="H944" s="15" t="str">
        <f>IF($C944="","",IF($G944="","-",INDEX(SETUP!$B$26:$B$32,MATCH($G944,SETUP!$A$26:$A$32,1))))</f>
        <v>62,000 - 62,999</v>
      </c>
      <c r="I944" s="70">
        <v>3762</v>
      </c>
      <c r="J944" s="15" t="str">
        <f>IF($C944="","",IF($I944="","-",INDEX(SETUP!$B$16:$B$22,MATCH($I944,SETUP!$A$16:$A$22,1))))</f>
        <v>DEVELOPING</v>
      </c>
      <c r="K944" s="15" t="str">
        <f>IF($C944="","",IF($I944="","-",TEXT(INT($I944/1000)*1000,"#,##0")&amp;" - "&amp;TEXT(INT($I944/1000)*1000+999,"#,##0")))</f>
        <v>3,000 - 3,999</v>
      </c>
      <c r="L944" s="71">
        <v>4.25</v>
      </c>
      <c r="M944" s="15" t="str">
        <f>IF($C944="","",IF($L944="","-",INDEX(SETUP!$B$36:$B$42,MATCH($L944,SETUP!$A$36:$A$42,1))))</f>
        <v>4k - 5k</v>
      </c>
      <c r="N944" s="17">
        <f>IF($C944="","",IF(OR($G944="",$I944=""),"",ROUND(100*(SETUP!$B$4*MIN(1,$I944/SETUP!$B$9)+SETUP!$B$5*MAX(0,MIN(1,($G944-SETUP!$B$10)/(SETUP!$B$11-SETUP!$B$10)))+SETUP!$B$6*MIN(1,IF($L944="",0,$L944)/SETUP!$B$12)),1)))</f>
        <v>42.6</v>
      </c>
      <c r="O944" s="15" t="str">
        <f>IF($C944="","",IF($N944="","-",INDEX(SETUP!$B$46:$B$51,MATCH($N944,SETUP!$A$46:$A$51,1))))</f>
        <v>B</v>
      </c>
      <c r="P944" s="15">
        <f>IF($C944="","",IF($I944="","",RANK($I944,$I$4:$I$1463)+COUNTIF($I$4:$I944,$I944)-1))</f>
        <v>659</v>
      </c>
      <c r="Q944" s="15">
        <f>IF($C944="","",COUNTIFS($B$4:$B$1463,$B944,$X$4:$X$1463,"&gt;"&amp;$X944)+COUNTIFS($B$4:$B944,$B944,$X$4:$X944,"="&amp;$X944))</f>
        <v>73</v>
      </c>
      <c r="R944" s="72">
        <f>IF($C944="","",IF($I944="","",ROUND(COUNTIF($I$4:$I$1463,"&lt;"&amp;$I944)/COUNT($I$4:$I$1463),3)))</f>
        <v>0.502</v>
      </c>
      <c r="S944" s="15" t="str">
        <f>IF($C944="","",IF($G944="","Name only",IF(OR($I944="",$L944=""),"Partial","Complete")))</f>
        <v>Complete</v>
      </c>
      <c r="T944" s="41" t="str">
        <f>IF($C944="","",TRIM(IF(COUNTIF($C$4:$C$1463,$C944)&gt;1,"Dup name; ","")&amp;IF(AND($G944&lt;&gt;"",$G944&lt;55000),"Low CR - verify; ","")&amp;IF(AND($L944&lt;&gt;"",$L944&gt;15),"Secondary - verify; ","")&amp;IF($E944="","No class; ","")))</f>
        <v/>
      </c>
      <c r="U944" s="68"/>
      <c r="V944" s="68"/>
      <c r="W944" s="68"/>
      <c r="X944" s="73">
        <f t="shared" si="72"/>
        <v>3762</v>
      </c>
      <c r="Y944" s="41" t="str">
        <f t="shared" si="73"/>
        <v>RECKONING|73</v>
      </c>
      <c r="Z944" s="15">
        <f>IF($C944="","",IF($G944="","",RANK($G944,$G$4:$G$1463)+COUNTIF($G$4:$G944,$G944)-1))</f>
        <v>736</v>
      </c>
      <c r="AA944" s="15">
        <f>IF($C944="","",IF($N944="","",RANK($N944,$N$4:$N$1463)+COUNTIF($N$4:$N944,$N944)-1))</f>
        <v>722</v>
      </c>
      <c r="AB944" s="41" t="str">
        <f>IF($C944="","",IF($E944="","",$E944&amp;"#"&amp;(COUNTIFS($E$4:$E$1463,$E944,$X$4:$X$1463,"&gt;"&amp;$X944)+COUNTIFS($E$4:$E944,$E944,$X$4:$X944,"="&amp;$X944))))</f>
        <v>WARLOCK#158</v>
      </c>
      <c r="AC944" s="41" t="str">
        <f>IF($C944="","",$B944&amp;"@"&amp;(COUNTIFS($B$4:$B$1463,$B944,$C$4:$C$1463,"&lt;"&amp;$C944)+COUNTIFS($B$4:$B944,$B944,$C$4:$C944,$C944)))</f>
        <v>RECKONING@72</v>
      </c>
      <c r="AD944" s="41">
        <f t="shared" si="74"/>
        <v>941</v>
      </c>
      <c r="AE944" s="41" t="s">
        <v>2145</v>
      </c>
      <c r="AF944" s="73">
        <f t="shared" si="75"/>
        <v>62268</v>
      </c>
      <c r="AG944" s="74">
        <f t="shared" si="76"/>
        <v>4.25</v>
      </c>
      <c r="AH944" s="41" t="str">
        <f>IF($C944="","",$B944&amp;"|"&amp;(COUNTIFS($B$4:$B$1463,$B944,$AF$4:$AF$1463,"&gt;"&amp;$AF944)+COUNTIFS($B$4:$B944,$B944,$AF$4:$AF944,"="&amp;$AF944)))</f>
        <v>RECKONING|66</v>
      </c>
      <c r="AI944" s="41" t="str">
        <f>IF($C944="","",$B944&amp;"|"&amp;(COUNTIFS($B$4:$B$1463,$B944,$AG$4:$AG$1463,"&gt;"&amp;$AG944)+COUNTIFS($B$4:$B944,$B944,$AG$4:$AG944,"="&amp;$AG944)))</f>
        <v>RECKONING|88</v>
      </c>
    </row>
    <row r="945" spans="1:35" hidden="1">
      <c r="A945" s="69" t="s">
        <v>109</v>
      </c>
      <c r="B945" s="69" t="s">
        <v>117</v>
      </c>
      <c r="C945" s="63" t="s">
        <v>2146</v>
      </c>
      <c r="D945" s="69"/>
      <c r="E945" s="68" t="s">
        <v>80</v>
      </c>
      <c r="F945" s="19" t="str">
        <f>IF($C945="","",IF($E945="","-",IFERROR(INDEX(SETUP!$B$55:$B$64,MATCH($E945,SETUP!$A$55:$A$64,0)),"Other")))</f>
        <v>Ranged DPS</v>
      </c>
      <c r="G945" s="70">
        <v>62645</v>
      </c>
      <c r="H945" s="19" t="str">
        <f>IF($C945="","",IF($G945="","-",INDEX(SETUP!$B$26:$B$32,MATCH($G945,SETUP!$A$26:$A$32,1))))</f>
        <v>62,000 - 62,999</v>
      </c>
      <c r="I945" s="70">
        <v>2286</v>
      </c>
      <c r="J945" s="19" t="str">
        <f>IF($C945="","",IF($I945="","-",INDEX(SETUP!$B$16:$B$22,MATCH($I945,SETUP!$A$16:$A$22,1))))</f>
        <v>DEVELOPING</v>
      </c>
      <c r="K945" s="19" t="str">
        <f>IF($C945="","",IF($I945="","-",TEXT(INT($I945/1000)*1000,"#,##0")&amp;" - "&amp;TEXT(INT($I945/1000)*1000+999,"#,##0")))</f>
        <v>2,000 - 2,999</v>
      </c>
      <c r="L945" s="71">
        <v>4.8</v>
      </c>
      <c r="M945" s="19" t="str">
        <f>IF($C945="","",IF($L945="","-",INDEX(SETUP!$B$36:$B$42,MATCH($L945,SETUP!$A$36:$A$42,1))))</f>
        <v>4k - 5k</v>
      </c>
      <c r="N945" s="21">
        <f>IF($C945="","",IF(OR($G945="",$I945=""),"",ROUND(100*(SETUP!$B$4*MIN(1,$I945/SETUP!$B$9)+SETUP!$B$5*MAX(0,MIN(1,($G945-SETUP!$B$10)/(SETUP!$B$11-SETUP!$B$10)))+SETUP!$B$6*MIN(1,IF($L945="",0,$L945)/SETUP!$B$12)),1)))</f>
        <v>38.1</v>
      </c>
      <c r="O945" s="19" t="str">
        <f>IF($C945="","",IF($N945="","-",INDEX(SETUP!$B$46:$B$51,MATCH($N945,SETUP!$A$46:$A$51,1))))</f>
        <v>B</v>
      </c>
      <c r="P945" s="19">
        <f>IF($C945="","",IF($I945="","",RANK($I945,$I$4:$I$1463)+COUNTIF($I$4:$I945,$I945)-1))</f>
        <v>1048</v>
      </c>
      <c r="Q945" s="19">
        <f>IF($C945="","",COUNTIFS($B$4:$B$1463,$B945,$X$4:$X$1463,"&gt;"&amp;$X945)+COUNTIFS($B$4:$B945,$B945,$X$4:$X945,"="&amp;$X945))</f>
        <v>37</v>
      </c>
      <c r="R945" s="75">
        <f>IF($C945="","",IF($I945="","",ROUND(COUNTIF($I$4:$I$1463,"&lt;"&amp;$I945)/COUNT($I$4:$I$1463),3)))</f>
        <v>0.20899999999999999</v>
      </c>
      <c r="S945" s="19" t="str">
        <f>IF($C945="","",IF($G945="","Name only",IF(OR($I945="",$L945=""),"Partial","Complete")))</f>
        <v>Complete</v>
      </c>
      <c r="T945" s="1" t="str">
        <f>IF($C945="","",TRIM(IF(COUNTIF($C$4:$C$1463,$C945)&gt;1,"Dup name; ","")&amp;IF(AND($G945&lt;&gt;"",$G945&lt;55000),"Low CR - verify; ","")&amp;IF(AND($L945&lt;&gt;"",$L945&gt;15),"Secondary - verify; ","")&amp;IF($E945="","No class; ","")))</f>
        <v/>
      </c>
      <c r="U945" s="68"/>
      <c r="V945" s="68"/>
      <c r="W945" s="68"/>
      <c r="X945" s="76">
        <f t="shared" si="72"/>
        <v>2286</v>
      </c>
      <c r="Y945" s="1" t="str">
        <f t="shared" si="73"/>
        <v>VENDETTA|37</v>
      </c>
      <c r="Z945" s="19">
        <f>IF($C945="","",IF($G945="","",RANK($G945,$G$4:$G$1463)+COUNTIF($G$4:$G945,$G945)-1))</f>
        <v>590</v>
      </c>
      <c r="AA945" s="19">
        <f>IF($C945="","",IF($N945="","",RANK($N945,$N$4:$N$1463)+COUNTIF($N$4:$N945,$N945)-1))</f>
        <v>898</v>
      </c>
      <c r="AB945" s="1" t="str">
        <f>IF($C945="","",IF($E945="","",$E945&amp;"#"&amp;(COUNTIFS($E$4:$E$1463,$E945,$X$4:$X$1463,"&gt;"&amp;$X945)+COUNTIFS($E$4:$E945,$E945,$X$4:$X945,"="&amp;$X945))))</f>
        <v>WIZARD#74</v>
      </c>
      <c r="AC945" s="1" t="str">
        <f>IF($C945="","",$B945&amp;"@"&amp;(COUNTIFS($B$4:$B$1463,$B945,$C$4:$C$1463,"&lt;"&amp;$C945)+COUNTIFS($B$4:$B945,$B945,$C$4:$C945,$C945)))</f>
        <v>VENDETTA@72</v>
      </c>
      <c r="AD945" s="1">
        <f t="shared" si="74"/>
        <v>942</v>
      </c>
      <c r="AE945" s="1" t="s">
        <v>2147</v>
      </c>
      <c r="AF945" s="76">
        <f t="shared" si="75"/>
        <v>62645</v>
      </c>
      <c r="AG945" s="77">
        <f t="shared" si="76"/>
        <v>4.8</v>
      </c>
      <c r="AH945" s="1" t="str">
        <f>IF($C945="","",$B945&amp;"|"&amp;(COUNTIFS($B$4:$B$1463,$B945,$AF$4:$AF$1463,"&gt;"&amp;$AF945)+COUNTIFS($B$4:$B945,$B945,$AF$4:$AF945,"="&amp;$AF945)))</f>
        <v>VENDETTA|12</v>
      </c>
      <c r="AI945" s="1" t="str">
        <f>IF($C945="","",$B945&amp;"|"&amp;(COUNTIFS($B$4:$B$1463,$B945,$AG$4:$AG$1463,"&gt;"&amp;$AG945)+COUNTIFS($B$4:$B945,$B945,$AG$4:$AG945,"="&amp;$AG945)))</f>
        <v>VENDETTA|13</v>
      </c>
    </row>
    <row r="946" spans="1:35" hidden="1">
      <c r="A946" s="69" t="s">
        <v>106</v>
      </c>
      <c r="B946" s="69" t="s">
        <v>107</v>
      </c>
      <c r="C946" s="63" t="s">
        <v>2148</v>
      </c>
      <c r="D946" s="69"/>
      <c r="E946" s="68" t="s">
        <v>71</v>
      </c>
      <c r="F946" s="15" t="str">
        <f>IF($C946="","",IF($E946="","-",IFERROR(INDEX(SETUP!$B$55:$B$64,MATCH($E946,SETUP!$A$55:$A$64,0)),"Other")))</f>
        <v>Frontline</v>
      </c>
      <c r="G946" s="70">
        <v>63227</v>
      </c>
      <c r="H946" s="15" t="str">
        <f>IF($C946="","",IF($G946="","-",INDEX(SETUP!$B$26:$B$32,MATCH($G946,SETUP!$A$26:$A$32,1))))</f>
        <v>63,000 - 63,999</v>
      </c>
      <c r="I946" s="70">
        <v>8316</v>
      </c>
      <c r="J946" s="15" t="str">
        <f>IF($C946="","",IF($I946="","-",INDEX(SETUP!$B$16:$B$22,MATCH($I946,SETUP!$A$16:$A$22,1))))</f>
        <v>ELITE</v>
      </c>
      <c r="K946" s="15" t="str">
        <f>IF($C946="","",IF($I946="","-",TEXT(INT($I946/1000)*1000,"#,##0")&amp;" - "&amp;TEXT(INT($I946/1000)*1000+999,"#,##0")))</f>
        <v>8,000 - 8,999</v>
      </c>
      <c r="L946" s="71">
        <v>8.1</v>
      </c>
      <c r="M946" s="15" t="str">
        <f>IF($C946="","",IF($L946="","-",INDEX(SETUP!$B$36:$B$42,MATCH($L946,SETUP!$A$36:$A$42,1))))</f>
        <v>8k - 10k</v>
      </c>
      <c r="N946" s="17">
        <f>IF($C946="","",IF(OR($G946="",$I946=""),"",ROUND(100*(SETUP!$B$4*MIN(1,$I946/SETUP!$B$9)+SETUP!$B$5*MAX(0,MIN(1,($G946-SETUP!$B$10)/(SETUP!$B$11-SETUP!$B$10)))+SETUP!$B$6*MIN(1,IF($L946="",0,$L946)/SETUP!$B$12)),1)))</f>
        <v>71.5</v>
      </c>
      <c r="O946" s="15" t="str">
        <f>IF($C946="","",IF($N946="","-",INDEX(SETUP!$B$46:$B$51,MATCH($N946,SETUP!$A$46:$A$51,1))))</f>
        <v>S</v>
      </c>
      <c r="P946" s="15">
        <f>IF($C946="","",IF($I946="","",RANK($I946,$I$4:$I$1463)+COUNTIF($I$4:$I946,$I946)-1))</f>
        <v>130</v>
      </c>
      <c r="Q946" s="15">
        <f>IF($C946="","",COUNTIFS($B$4:$B$1463,$B946,$X$4:$X$1463,"&gt;"&amp;$X946)+COUNTIFS($B$4:$B946,$B946,$X$4:$X946,"="&amp;$X946))</f>
        <v>5</v>
      </c>
      <c r="R946" s="72">
        <f>IF($C946="","",IF($I946="","",ROUND(COUNTIF($I$4:$I$1463,"&lt;"&amp;$I946)/COUNT($I$4:$I$1463),3)))</f>
        <v>0.90100000000000002</v>
      </c>
      <c r="S946" s="15" t="str">
        <f>IF($C946="","",IF($G946="","Name only",IF(OR($I946="",$L946=""),"Partial","Complete")))</f>
        <v>Complete</v>
      </c>
      <c r="T946" s="41" t="str">
        <f>IF($C946="","",TRIM(IF(COUNTIF($C$4:$C$1463,$C946)&gt;1,"Dup name; ","")&amp;IF(AND($G946&lt;&gt;"",$G946&lt;55000),"Low CR - verify; ","")&amp;IF(AND($L946&lt;&gt;"",$L946&gt;15),"Secondary - verify; ","")&amp;IF($E946="","No class; ","")))</f>
        <v/>
      </c>
      <c r="U946" s="68"/>
      <c r="V946" s="68"/>
      <c r="W946" s="68"/>
      <c r="X946" s="73">
        <f t="shared" si="72"/>
        <v>8316</v>
      </c>
      <c r="Y946" s="41" t="str">
        <f t="shared" si="73"/>
        <v>UNDYING|5</v>
      </c>
      <c r="Z946" s="15">
        <f>IF($C946="","",IF($G946="","",RANK($G946,$G$4:$G$1463)+COUNTIF($G$4:$G946,$G946)-1))</f>
        <v>304</v>
      </c>
      <c r="AA946" s="15">
        <f>IF($C946="","",IF($N946="","",RANK($N946,$N$4:$N$1463)+COUNTIF($N$4:$N946,$N946)-1))</f>
        <v>117</v>
      </c>
      <c r="AB946" s="41" t="str">
        <f>IF($C946="","",IF($E946="","",$E946&amp;"#"&amp;(COUNTIFS($E$4:$E$1463,$E946,$X$4:$X$1463,"&gt;"&amp;$X946)+COUNTIFS($E$4:$E946,$E946,$X$4:$X946,"="&amp;$X946))))</f>
        <v>BARBARIAN#28</v>
      </c>
      <c r="AC946" s="41" t="str">
        <f>IF($C946="","",$B946&amp;"@"&amp;(COUNTIFS($B$4:$B$1463,$B946,$C$4:$C$1463,"&lt;"&amp;$C946)+COUNTIFS($B$4:$B946,$B946,$C$4:$C946,$C946)))</f>
        <v>UNDYING@81</v>
      </c>
      <c r="AD946" s="41">
        <f t="shared" si="74"/>
        <v>943</v>
      </c>
      <c r="AE946" s="41" t="s">
        <v>2149</v>
      </c>
      <c r="AF946" s="73">
        <f t="shared" si="75"/>
        <v>63227</v>
      </c>
      <c r="AG946" s="74">
        <f t="shared" si="76"/>
        <v>8.1</v>
      </c>
      <c r="AH946" s="41" t="str">
        <f>IF($C946="","",$B946&amp;"|"&amp;(COUNTIFS($B$4:$B$1463,$B946,$AF$4:$AF$1463,"&gt;"&amp;$AF946)+COUNTIFS($B$4:$B946,$B946,$AF$4:$AF946,"="&amp;$AF946)))</f>
        <v>UNDYING|32</v>
      </c>
      <c r="AI946" s="41" t="str">
        <f>IF($C946="","",$B946&amp;"|"&amp;(COUNTIFS($B$4:$B$1463,$B946,$AG$4:$AG$1463,"&gt;"&amp;$AG946)+COUNTIFS($B$4:$B946,$B946,$AG$4:$AG946,"="&amp;$AG946)))</f>
        <v>UNDYING|6</v>
      </c>
    </row>
    <row r="947" spans="1:35" hidden="1">
      <c r="A947" s="69" t="s">
        <v>109</v>
      </c>
      <c r="B947" s="69" t="s">
        <v>111</v>
      </c>
      <c r="C947" s="63" t="s">
        <v>2150</v>
      </c>
      <c r="D947" s="69" t="s">
        <v>527</v>
      </c>
      <c r="E947" s="68" t="s">
        <v>71</v>
      </c>
      <c r="F947" s="19" t="str">
        <f>IF($C947="","",IF($E947="","-",IFERROR(INDEX(SETUP!$B$55:$B$64,MATCH($E947,SETUP!$A$55:$A$64,0)),"Other")))</f>
        <v>Frontline</v>
      </c>
      <c r="G947" s="70">
        <v>61293</v>
      </c>
      <c r="H947" s="19" t="str">
        <f>IF($C947="","",IF($G947="","-",INDEX(SETUP!$B$26:$B$32,MATCH($G947,SETUP!$A$26:$A$32,1))))</f>
        <v>61,000 - 61,999</v>
      </c>
      <c r="I947" s="70">
        <v>3182</v>
      </c>
      <c r="J947" s="19" t="str">
        <f>IF($C947="","",IF($I947="","-",INDEX(SETUP!$B$16:$B$22,MATCH($I947,SETUP!$A$16:$A$22,1))))</f>
        <v>DEVELOPING</v>
      </c>
      <c r="K947" s="19" t="str">
        <f>IF($C947="","",IF($I947="","-",TEXT(INT($I947/1000)*1000,"#,##0")&amp;" - "&amp;TEXT(INT($I947/1000)*1000+999,"#,##0")))</f>
        <v>3,000 - 3,999</v>
      </c>
      <c r="L947" s="71">
        <v>3.9</v>
      </c>
      <c r="M947" s="19" t="str">
        <f>IF($C947="","",IF($L947="","-",INDEX(SETUP!$B$36:$B$42,MATCH($L947,SETUP!$A$36:$A$42,1))))</f>
        <v>3k - 4k</v>
      </c>
      <c r="N947" s="21">
        <f>IF($C947="","",IF(OR($G947="",$I947=""),"",ROUND(100*(SETUP!$B$4*MIN(1,$I947/SETUP!$B$9)+SETUP!$B$5*MAX(0,MIN(1,($G947-SETUP!$B$10)/(SETUP!$B$11-SETUP!$B$10)))+SETUP!$B$6*MIN(1,IF($L947="",0,$L947)/SETUP!$B$12)),1)))</f>
        <v>37</v>
      </c>
      <c r="O947" s="19" t="str">
        <f>IF($C947="","",IF($N947="","-",INDEX(SETUP!$B$46:$B$51,MATCH($N947,SETUP!$A$46:$A$51,1))))</f>
        <v>B</v>
      </c>
      <c r="P947" s="19">
        <f>IF($C947="","",IF($I947="","",RANK($I947,$I$4:$I$1463)+COUNTIF($I$4:$I947,$I947)-1))</f>
        <v>826</v>
      </c>
      <c r="Q947" s="19">
        <f>IF($C947="","",COUNTIFS($B$4:$B$1463,$B947,$X$4:$X$1463,"&gt;"&amp;$X947)+COUNTIFS($B$4:$B947,$B947,$X$4:$X947,"="&amp;$X947))</f>
        <v>84</v>
      </c>
      <c r="R947" s="75">
        <f>IF($C947="","",IF($I947="","",ROUND(COUNTIF($I$4:$I$1463,"&lt;"&amp;$I947)/COUNT($I$4:$I$1463),3)))</f>
        <v>0.377</v>
      </c>
      <c r="S947" s="19" t="str">
        <f>IF($C947="","",IF($G947="","Name only",IF(OR($I947="",$L947=""),"Partial","Complete")))</f>
        <v>Complete</v>
      </c>
      <c r="T947" s="1" t="str">
        <f>IF($C947="","",TRIM(IF(COUNTIF($C$4:$C$1463,$C947)&gt;1,"Dup name; ","")&amp;IF(AND($G947&lt;&gt;"",$G947&lt;55000),"Low CR - verify; ","")&amp;IF(AND($L947&lt;&gt;"",$L947&gt;15),"Secondary - verify; ","")&amp;IF($E947="","No class; ","")))</f>
        <v/>
      </c>
      <c r="U947" s="68"/>
      <c r="V947" s="68"/>
      <c r="W947" s="68"/>
      <c r="X947" s="76">
        <f t="shared" si="72"/>
        <v>3182</v>
      </c>
      <c r="Y947" s="1" t="str">
        <f t="shared" si="73"/>
        <v>RECKONING|84</v>
      </c>
      <c r="Z947" s="19">
        <f>IF($C947="","",IF($G947="","",RANK($G947,$G$4:$G$1463)+COUNTIF($G$4:$G947,$G947)-1))</f>
        <v>1064</v>
      </c>
      <c r="AA947" s="19">
        <f>IF($C947="","",IF($N947="","",RANK($N947,$N$4:$N$1463)+COUNTIF($N$4:$N947,$N947)-1))</f>
        <v>931</v>
      </c>
      <c r="AB947" s="1" t="str">
        <f>IF($C947="","",IF($E947="","",$E947&amp;"#"&amp;(COUNTIFS($E$4:$E$1463,$E947,$X$4:$X$1463,"&gt;"&amp;$X947)+COUNTIFS($E$4:$E947,$E947,$X$4:$X947,"="&amp;$X947))))</f>
        <v>BARBARIAN#148</v>
      </c>
      <c r="AC947" s="1" t="str">
        <f>IF($C947="","",$B947&amp;"@"&amp;(COUNTIFS($B$4:$B$1463,$B947,$C$4:$C$1463,"&lt;"&amp;$C947)+COUNTIFS($B$4:$B947,$B947,$C$4:$C947,$C947)))</f>
        <v>RECKONING@73</v>
      </c>
      <c r="AD947" s="1">
        <f t="shared" si="74"/>
        <v>944</v>
      </c>
      <c r="AE947" s="1" t="s">
        <v>2151</v>
      </c>
      <c r="AF947" s="76">
        <f t="shared" si="75"/>
        <v>61293</v>
      </c>
      <c r="AG947" s="77">
        <f t="shared" si="76"/>
        <v>3.9</v>
      </c>
      <c r="AH947" s="1" t="str">
        <f>IF($C947="","",$B947&amp;"|"&amp;(COUNTIFS($B$4:$B$1463,$B947,$AF$4:$AF$1463,"&gt;"&amp;$AF947)+COUNTIFS($B$4:$B947,$B947,$AF$4:$AF947,"="&amp;$AF947)))</f>
        <v>RECKONING|89</v>
      </c>
      <c r="AI947" s="1" t="str">
        <f>IF($C947="","",$B947&amp;"|"&amp;(COUNTIFS($B$4:$B$1463,$B947,$AG$4:$AG$1463,"&gt;"&amp;$AG947)+COUNTIFS($B$4:$B947,$B947,$AG$4:$AG947,"="&amp;$AG947)))</f>
        <v>RECKONING|92</v>
      </c>
    </row>
    <row r="948" spans="1:35" hidden="1">
      <c r="A948" s="69" t="s">
        <v>109</v>
      </c>
      <c r="B948" s="69" t="s">
        <v>110</v>
      </c>
      <c r="C948" s="63" t="s">
        <v>2152</v>
      </c>
      <c r="D948" s="69"/>
      <c r="E948" s="68" t="s">
        <v>79</v>
      </c>
      <c r="F948" s="15" t="str">
        <f>IF($C948="","",IF($E948="","-",IFERROR(INDEX(SETUP!$B$55:$B$64,MATCH($E948,SETUP!$A$55:$A$64,0)),"Other")))</f>
        <v>Control</v>
      </c>
      <c r="G948" s="70">
        <v>62390</v>
      </c>
      <c r="H948" s="15" t="str">
        <f>IF($C948="","",IF($G948="","-",INDEX(SETUP!$B$26:$B$32,MATCH($G948,SETUP!$A$26:$A$32,1))))</f>
        <v>62,000 - 62,999</v>
      </c>
      <c r="I948" s="70">
        <v>2997</v>
      </c>
      <c r="J948" s="15" t="str">
        <f>IF($C948="","",IF($I948="","-",INDEX(SETUP!$B$16:$B$22,MATCH($I948,SETUP!$A$16:$A$22,1))))</f>
        <v>DEVELOPING</v>
      </c>
      <c r="K948" s="15" t="str">
        <f>IF($C948="","",IF($I948="","-",TEXT(INT($I948/1000)*1000,"#,##0")&amp;" - "&amp;TEXT(INT($I948/1000)*1000+999,"#,##0")))</f>
        <v>2,000 - 2,999</v>
      </c>
      <c r="L948" s="71">
        <v>5.7</v>
      </c>
      <c r="M948" s="15" t="str">
        <f>IF($C948="","",IF($L948="","-",INDEX(SETUP!$B$36:$B$42,MATCH($L948,SETUP!$A$36:$A$42,1))))</f>
        <v>5k - 6k</v>
      </c>
      <c r="N948" s="17">
        <f>IF($C948="","",IF(OR($G948="",$I948=""),"",ROUND(100*(SETUP!$B$4*MIN(1,$I948/SETUP!$B$9)+SETUP!$B$5*MAX(0,MIN(1,($G948-SETUP!$B$10)/(SETUP!$B$11-SETUP!$B$10)))+SETUP!$B$6*MIN(1,IF($L948="",0,$L948)/SETUP!$B$12)),1)))</f>
        <v>42</v>
      </c>
      <c r="O948" s="15" t="str">
        <f>IF($C948="","",IF($N948="","-",INDEX(SETUP!$B$46:$B$51,MATCH($N948,SETUP!$A$46:$A$51,1))))</f>
        <v>B</v>
      </c>
      <c r="P948" s="15">
        <f>IF($C948="","",IF($I948="","",RANK($I948,$I$4:$I$1463)+COUNTIF($I$4:$I948,$I948)-1))</f>
        <v>887</v>
      </c>
      <c r="Q948" s="15">
        <f>IF($C948="","",COUNTIFS($B$4:$B$1463,$B948,$X$4:$X$1463,"&gt;"&amp;$X948)+COUNTIFS($B$4:$B948,$B948,$X$4:$X948,"="&amp;$X948))</f>
        <v>93</v>
      </c>
      <c r="R948" s="72">
        <f>IF($C948="","",IF($I948="","",ROUND(COUNTIF($I$4:$I$1463,"&lt;"&amp;$I948)/COUNT($I$4:$I$1463),3)))</f>
        <v>0.33100000000000002</v>
      </c>
      <c r="S948" s="15" t="str">
        <f>IF($C948="","",IF($G948="","Name only",IF(OR($I948="",$L948=""),"Partial","Complete")))</f>
        <v>Complete</v>
      </c>
      <c r="T948" s="41" t="str">
        <f>IF($C948="","",TRIM(IF(COUNTIF($C$4:$C$1463,$C948)&gt;1,"Dup name; ","")&amp;IF(AND($G948&lt;&gt;"",$G948&lt;55000),"Low CR - verify; ","")&amp;IF(AND($L948&lt;&gt;"",$L948&gt;15),"Secondary - verify; ","")&amp;IF($E948="","No class; ","")))</f>
        <v/>
      </c>
      <c r="U948" s="68"/>
      <c r="V948" s="68"/>
      <c r="W948" s="68"/>
      <c r="X948" s="73">
        <f t="shared" si="72"/>
        <v>2997</v>
      </c>
      <c r="Y948" s="41" t="str">
        <f t="shared" si="73"/>
        <v>AZUKI|93</v>
      </c>
      <c r="Z948" s="15">
        <f>IF($C948="","",IF($G948="","",RANK($G948,$G$4:$G$1463)+COUNTIF($G$4:$G948,$G948)-1))</f>
        <v>697</v>
      </c>
      <c r="AA948" s="15">
        <f>IF($C948="","",IF($N948="","",RANK($N948,$N$4:$N$1463)+COUNTIF($N$4:$N948,$N948)-1))</f>
        <v>742</v>
      </c>
      <c r="AB948" s="41" t="str">
        <f>IF($C948="","",IF($E948="","",$E948&amp;"#"&amp;(COUNTIFS($E$4:$E$1463,$E948,$X$4:$X$1463,"&gt;"&amp;$X948)+COUNTIFS($E$4:$E948,$E948,$X$4:$X948,"="&amp;$X948))))</f>
        <v>WARLOCK#220</v>
      </c>
      <c r="AC948" s="41" t="str">
        <f>IF($C948="","",$B948&amp;"@"&amp;(COUNTIFS($B$4:$B$1463,$B948,$C$4:$C$1463,"&lt;"&amp;$C948)+COUNTIFS($B$4:$B948,$B948,$C$4:$C948,$C948)))</f>
        <v>AZUKI@76</v>
      </c>
      <c r="AD948" s="41">
        <f t="shared" si="74"/>
        <v>945</v>
      </c>
      <c r="AE948" s="41" t="s">
        <v>2153</v>
      </c>
      <c r="AF948" s="73">
        <f t="shared" si="75"/>
        <v>62390</v>
      </c>
      <c r="AG948" s="74">
        <f t="shared" si="76"/>
        <v>5.7</v>
      </c>
      <c r="AH948" s="41" t="str">
        <f>IF($C948="","",$B948&amp;"|"&amp;(COUNTIFS($B$4:$B$1463,$B948,$AF$4:$AF$1463,"&gt;"&amp;$AF948)+COUNTIFS($B$4:$B948,$B948,$AF$4:$AF948,"="&amp;$AF948)))</f>
        <v>AZUKI|61</v>
      </c>
      <c r="AI948" s="41" t="str">
        <f>IF($C948="","",$B948&amp;"|"&amp;(COUNTIFS($B$4:$B$1463,$B948,$AG$4:$AG$1463,"&gt;"&amp;$AG948)+COUNTIFS($B$4:$B948,$B948,$AG$4:$AG948,"="&amp;$AG948)))</f>
        <v>AZUKI|54</v>
      </c>
    </row>
    <row r="949" spans="1:35" hidden="1">
      <c r="A949" s="69" t="s">
        <v>109</v>
      </c>
      <c r="B949" s="69" t="s">
        <v>115</v>
      </c>
      <c r="C949" s="63" t="s">
        <v>2154</v>
      </c>
      <c r="D949" s="69"/>
      <c r="E949" s="68" t="s">
        <v>79</v>
      </c>
      <c r="F949" s="19" t="str">
        <f>IF($C949="","",IF($E949="","-",IFERROR(INDEX(SETUP!$B$55:$B$64,MATCH($E949,SETUP!$A$55:$A$64,0)),"Other")))</f>
        <v>Control</v>
      </c>
      <c r="G949" s="70">
        <v>62208</v>
      </c>
      <c r="H949" s="19" t="str">
        <f>IF($C949="","",IF($G949="","-",INDEX(SETUP!$B$26:$B$32,MATCH($G949,SETUP!$A$26:$A$32,1))))</f>
        <v>62,000 - 62,999</v>
      </c>
      <c r="I949" s="70">
        <v>1480</v>
      </c>
      <c r="J949" s="19" t="str">
        <f>IF($C949="","",IF($I949="","-",INDEX(SETUP!$B$16:$B$22,MATCH($I949,SETUP!$A$16:$A$22,1))))</f>
        <v>ROOKIE</v>
      </c>
      <c r="K949" s="19" t="str">
        <f>IF($C949="","",IF($I949="","-",TEXT(INT($I949/1000)*1000,"#,##0")&amp;" - "&amp;TEXT(INT($I949/1000)*1000+999,"#,##0")))</f>
        <v>1,000 - 1,999</v>
      </c>
      <c r="L949" s="71">
        <v>3.3</v>
      </c>
      <c r="M949" s="19" t="str">
        <f>IF($C949="","",IF($L949="","-",INDEX(SETUP!$B$36:$B$42,MATCH($L949,SETUP!$A$36:$A$42,1))))</f>
        <v>3k - 4k</v>
      </c>
      <c r="N949" s="21">
        <f>IF($C949="","",IF(OR($G949="",$I949=""),"",ROUND(100*(SETUP!$B$4*MIN(1,$I949/SETUP!$B$9)+SETUP!$B$5*MAX(0,MIN(1,($G949-SETUP!$B$10)/(SETUP!$B$11-SETUP!$B$10)))+SETUP!$B$6*MIN(1,IF($L949="",0,$L949)/SETUP!$B$12)),1)))</f>
        <v>30.9</v>
      </c>
      <c r="O949" s="19" t="str">
        <f>IF($C949="","",IF($N949="","-",INDEX(SETUP!$B$46:$B$51,MATCH($N949,SETUP!$A$46:$A$51,1))))</f>
        <v>C</v>
      </c>
      <c r="P949" s="19">
        <f>IF($C949="","",IF($I949="","",RANK($I949,$I$4:$I$1463)+COUNTIF($I$4:$I949,$I949)-1))</f>
        <v>1196</v>
      </c>
      <c r="Q949" s="19">
        <f>IF($C949="","",COUNTIFS($B$4:$B$1463,$B949,$X$4:$X$1463,"&gt;"&amp;$X949)+COUNTIFS($B$4:$B949,$B949,$X$4:$X949,"="&amp;$X949))</f>
        <v>53</v>
      </c>
      <c r="R949" s="75">
        <f>IF($C949="","",IF($I949="","",ROUND(COUNTIF($I$4:$I$1463,"&lt;"&amp;$I949)/COUNT($I$4:$I$1463),3)))</f>
        <v>9.7000000000000003E-2</v>
      </c>
      <c r="S949" s="19" t="str">
        <f>IF($C949="","",IF($G949="","Name only",IF(OR($I949="",$L949=""),"Partial","Complete")))</f>
        <v>Complete</v>
      </c>
      <c r="T949" s="1" t="str">
        <f>IF($C949="","",TRIM(IF(COUNTIF($C$4:$C$1463,$C949)&gt;1,"Dup name; ","")&amp;IF(AND($G949&lt;&gt;"",$G949&lt;55000),"Low CR - verify; ","")&amp;IF(AND($L949&lt;&gt;"",$L949&gt;15),"Secondary - verify; ","")&amp;IF($E949="","No class; ","")))</f>
        <v/>
      </c>
      <c r="U949" s="68"/>
      <c r="V949" s="68"/>
      <c r="W949" s="68"/>
      <c r="X949" s="76">
        <f t="shared" si="72"/>
        <v>1480</v>
      </c>
      <c r="Y949" s="1" t="str">
        <f t="shared" si="73"/>
        <v>SUB ROSA|53</v>
      </c>
      <c r="Z949" s="19">
        <f>IF($C949="","",IF($G949="","",RANK($G949,$G$4:$G$1463)+COUNTIF($G$4:$G949,$G949)-1))</f>
        <v>754</v>
      </c>
      <c r="AA949" s="19">
        <f>IF($C949="","",IF($N949="","",RANK($N949,$N$4:$N$1463)+COUNTIF($N$4:$N949,$N949)-1))</f>
        <v>1125</v>
      </c>
      <c r="AB949" s="1" t="str">
        <f>IF($C949="","",IF($E949="","",$E949&amp;"#"&amp;(COUNTIFS($E$4:$E$1463,$E949,$X$4:$X$1463,"&gt;"&amp;$X949)+COUNTIFS($E$4:$E949,$E949,$X$4:$X949,"="&amp;$X949))))</f>
        <v>WARLOCK#297</v>
      </c>
      <c r="AC949" s="1" t="str">
        <f>IF($C949="","",$B949&amp;"@"&amp;(COUNTIFS($B$4:$B$1463,$B949,$C$4:$C$1463,"&lt;"&amp;$C949)+COUNTIFS($B$4:$B949,$B949,$C$4:$C949,$C949)))</f>
        <v>SUB ROSA@62</v>
      </c>
      <c r="AD949" s="1">
        <f t="shared" si="74"/>
        <v>946</v>
      </c>
      <c r="AE949" s="1" t="s">
        <v>858</v>
      </c>
      <c r="AF949" s="76">
        <f t="shared" si="75"/>
        <v>62208</v>
      </c>
      <c r="AG949" s="77">
        <f t="shared" si="76"/>
        <v>3.3</v>
      </c>
      <c r="AH949" s="1" t="str">
        <f>IF($C949="","",$B949&amp;"|"&amp;(COUNTIFS($B$4:$B$1463,$B949,$AF$4:$AF$1463,"&gt;"&amp;$AF949)+COUNTIFS($B$4:$B949,$B949,$AF$4:$AF949,"="&amp;$AF949)))</f>
        <v>SUB ROSA|27</v>
      </c>
      <c r="AI949" s="1" t="str">
        <f>IF($C949="","",$B949&amp;"|"&amp;(COUNTIFS($B$4:$B$1463,$B949,$AG$4:$AG$1463,"&gt;"&amp;$AG949)+COUNTIFS($B$4:$B949,$B949,$AG$4:$AG949,"="&amp;$AG949)))</f>
        <v>SUB ROSA|48</v>
      </c>
    </row>
    <row r="950" spans="1:35" hidden="1">
      <c r="A950" s="69" t="s">
        <v>109</v>
      </c>
      <c r="B950" s="69" t="s">
        <v>118</v>
      </c>
      <c r="C950" s="63" t="s">
        <v>2155</v>
      </c>
      <c r="D950" s="69"/>
      <c r="E950" s="68" t="s">
        <v>77</v>
      </c>
      <c r="F950" s="15" t="str">
        <f>IF($C950="","",IF($E950="","-",IFERROR(INDEX(SETUP!$B$55:$B$64,MATCH($E950,SETUP!$A$55:$A$64,0)),"Other")))</f>
        <v>Control</v>
      </c>
      <c r="G950" s="70">
        <v>61714</v>
      </c>
      <c r="H950" s="15" t="str">
        <f>IF($C950="","",IF($G950="","-",INDEX(SETUP!$B$26:$B$32,MATCH($G950,SETUP!$A$26:$A$32,1))))</f>
        <v>61,000 - 61,999</v>
      </c>
      <c r="I950" s="70">
        <v>2630</v>
      </c>
      <c r="J950" s="15" t="str">
        <f>IF($C950="","",IF($I950="","-",INDEX(SETUP!$B$16:$B$22,MATCH($I950,SETUP!$A$16:$A$22,1))))</f>
        <v>DEVELOPING</v>
      </c>
      <c r="K950" s="15" t="str">
        <f>IF($C950="","",IF($I950="","-",TEXT(INT($I950/1000)*1000,"#,##0")&amp;" - "&amp;TEXT(INT($I950/1000)*1000+999,"#,##0")))</f>
        <v>2,000 - 2,999</v>
      </c>
      <c r="L950" s="71">
        <v>3.75</v>
      </c>
      <c r="M950" s="15" t="str">
        <f>IF($C950="","",IF($L950="","-",INDEX(SETUP!$B$36:$B$42,MATCH($L950,SETUP!$A$36:$A$42,1))))</f>
        <v>3k - 4k</v>
      </c>
      <c r="N950" s="17">
        <f>IF($C950="","",IF(OR($G950="",$I950=""),"",ROUND(100*(SETUP!$B$4*MIN(1,$I950/SETUP!$B$9)+SETUP!$B$5*MAX(0,MIN(1,($G950-SETUP!$B$10)/(SETUP!$B$11-SETUP!$B$10)))+SETUP!$B$6*MIN(1,IF($L950="",0,$L950)/SETUP!$B$12)),1)))</f>
        <v>35.4</v>
      </c>
      <c r="O950" s="15" t="str">
        <f>IF($C950="","",IF($N950="","-",INDEX(SETUP!$B$46:$B$51,MATCH($N950,SETUP!$A$46:$A$51,1))))</f>
        <v>B</v>
      </c>
      <c r="P950" s="15">
        <f>IF($C950="","",IF($I950="","",RANK($I950,$I$4:$I$1463)+COUNTIF($I$4:$I950,$I950)-1))</f>
        <v>972</v>
      </c>
      <c r="Q950" s="15">
        <f>IF($C950="","",COUNTIFS($B$4:$B$1463,$B950,$X$4:$X$1463,"&gt;"&amp;$X950)+COUNTIFS($B$4:$B950,$B950,$X$4:$X950,"="&amp;$X950))</f>
        <v>21</v>
      </c>
      <c r="R950" s="72">
        <f>IF($C950="","",IF($I950="","",ROUND(COUNTIF($I$4:$I$1463,"&lt;"&amp;$I950)/COUNT($I$4:$I$1463),3)))</f>
        <v>0.26600000000000001</v>
      </c>
      <c r="S950" s="15" t="str">
        <f>IF($C950="","",IF($G950="","Name only",IF(OR($I950="",$L950=""),"Partial","Complete")))</f>
        <v>Complete</v>
      </c>
      <c r="T950" s="41" t="str">
        <f>IF($C950="","",TRIM(IF(COUNTIF($C$4:$C$1463,$C950)&gt;1,"Dup name; ","")&amp;IF(AND($G950&lt;&gt;"",$G950&lt;55000),"Low CR - verify; ","")&amp;IF(AND($L950&lt;&gt;"",$L950&gt;15),"Secondary - verify; ","")&amp;IF($E950="","No class; ","")))</f>
        <v/>
      </c>
      <c r="U950" s="68"/>
      <c r="V950" s="68"/>
      <c r="W950" s="68"/>
      <c r="X950" s="73">
        <f t="shared" si="72"/>
        <v>2630</v>
      </c>
      <c r="Y950" s="41" t="str">
        <f t="shared" si="73"/>
        <v>ZOMBIES|21</v>
      </c>
      <c r="Z950" s="15">
        <f>IF($C950="","",IF($G950="","",RANK($G950,$G$4:$G$1463)+COUNTIF($G$4:$G950,$G950)-1))</f>
        <v>937</v>
      </c>
      <c r="AA950" s="15">
        <f>IF($C950="","",IF($N950="","",RANK($N950,$N$4:$N$1463)+COUNTIF($N$4:$N950,$N950)-1))</f>
        <v>993</v>
      </c>
      <c r="AB950" s="41" t="str">
        <f>IF($C950="","",IF($E950="","",$E950&amp;"#"&amp;(COUNTIFS($E$4:$E$1463,$E950,$X$4:$X$1463,"&gt;"&amp;$X950)+COUNTIFS($E$4:$E950,$E950,$X$4:$X950,"="&amp;$X950))))</f>
        <v>NECROMANCER#61</v>
      </c>
      <c r="AC950" s="41" t="str">
        <f>IF($C950="","",$B950&amp;"@"&amp;(COUNTIFS($B$4:$B$1463,$B950,$C$4:$C$1463,"&lt;"&amp;$C950)+COUNTIFS($B$4:$B950,$B950,$C$4:$C950,$C950)))</f>
        <v>ZOMBIES@67</v>
      </c>
      <c r="AD950" s="41">
        <f t="shared" si="74"/>
        <v>947</v>
      </c>
      <c r="AE950" s="41" t="s">
        <v>2156</v>
      </c>
      <c r="AF950" s="73">
        <f t="shared" si="75"/>
        <v>61714</v>
      </c>
      <c r="AG950" s="74">
        <f t="shared" si="76"/>
        <v>3.75</v>
      </c>
      <c r="AH950" s="41" t="str">
        <f>IF($C950="","",$B950&amp;"|"&amp;(COUNTIFS($B$4:$B$1463,$B950,$AF$4:$AF$1463,"&gt;"&amp;$AF950)+COUNTIFS($B$4:$B950,$B950,$AF$4:$AF950,"="&amp;$AF950)))</f>
        <v>ZOMBIES|34</v>
      </c>
      <c r="AI950" s="41" t="str">
        <f>IF($C950="","",$B950&amp;"|"&amp;(COUNTIFS($B$4:$B$1463,$B950,$AG$4:$AG$1463,"&gt;"&amp;$AG950)+COUNTIFS($B$4:$B950,$B950,$AG$4:$AG950,"="&amp;$AG950)))</f>
        <v>ZOMBIES|43</v>
      </c>
    </row>
    <row r="951" spans="1:35" hidden="1">
      <c r="A951" s="69" t="s">
        <v>109</v>
      </c>
      <c r="B951" s="69" t="s">
        <v>117</v>
      </c>
      <c r="C951" s="63" t="s">
        <v>2157</v>
      </c>
      <c r="D951" s="69"/>
      <c r="E951" s="68" t="s">
        <v>71</v>
      </c>
      <c r="F951" s="19" t="str">
        <f>IF($C951="","",IF($E951="","-",IFERROR(INDEX(SETUP!$B$55:$B$64,MATCH($E951,SETUP!$A$55:$A$64,0)),"Other")))</f>
        <v>Frontline</v>
      </c>
      <c r="G951" s="70">
        <v>59945</v>
      </c>
      <c r="H951" s="19" t="str">
        <f>IF($C951="","",IF($G951="","-",INDEX(SETUP!$B$26:$B$32,MATCH($G951,SETUP!$A$26:$A$32,1))))</f>
        <v>58,000 - 59,999</v>
      </c>
      <c r="I951" s="70">
        <v>1095</v>
      </c>
      <c r="J951" s="19" t="str">
        <f>IF($C951="","",IF($I951="","-",INDEX(SETUP!$B$16:$B$22,MATCH($I951,SETUP!$A$16:$A$22,1))))</f>
        <v>ROOKIE</v>
      </c>
      <c r="K951" s="19" t="str">
        <f>IF($C951="","",IF($I951="","-",TEXT(INT($I951/1000)*1000,"#,##0")&amp;" - "&amp;TEXT(INT($I951/1000)*1000+999,"#,##0")))</f>
        <v>1,000 - 1,999</v>
      </c>
      <c r="L951" s="71">
        <v>3</v>
      </c>
      <c r="M951" s="19" t="str">
        <f>IF($C951="","",IF($L951="","-",INDEX(SETUP!$B$36:$B$42,MATCH($L951,SETUP!$A$36:$A$42,1))))</f>
        <v>3k - 4k</v>
      </c>
      <c r="N951" s="21">
        <f>IF($C951="","",IF(OR($G951="",$I951=""),"",ROUND(100*(SETUP!$B$4*MIN(1,$I951/SETUP!$B$9)+SETUP!$B$5*MAX(0,MIN(1,($G951-SETUP!$B$10)/(SETUP!$B$11-SETUP!$B$10)))+SETUP!$B$6*MIN(1,IF($L951="",0,$L951)/SETUP!$B$12)),1)))</f>
        <v>22.8</v>
      </c>
      <c r="O951" s="19" t="str">
        <f>IF($C951="","",IF($N951="","-",INDEX(SETUP!$B$46:$B$51,MATCH($N951,SETUP!$A$46:$A$51,1))))</f>
        <v>C</v>
      </c>
      <c r="P951" s="19">
        <f>IF($C951="","",IF($I951="","",RANK($I951,$I$4:$I$1463)+COUNTIF($I$4:$I951,$I951)-1))</f>
        <v>1257</v>
      </c>
      <c r="Q951" s="19">
        <f>IF($C951="","",COUNTIFS($B$4:$B$1463,$B951,$X$4:$X$1463,"&gt;"&amp;$X951)+COUNTIFS($B$4:$B951,$B951,$X$4:$X951,"="&amp;$X951))</f>
        <v>82</v>
      </c>
      <c r="R951" s="75">
        <f>IF($C951="","",IF($I951="","",ROUND(COUNTIF($I$4:$I$1463,"&lt;"&amp;$I951)/COUNT($I$4:$I$1463),3)))</f>
        <v>5.0999999999999997E-2</v>
      </c>
      <c r="S951" s="19" t="str">
        <f>IF($C951="","",IF($G951="","Name only",IF(OR($I951="",$L951=""),"Partial","Complete")))</f>
        <v>Complete</v>
      </c>
      <c r="T951" s="1" t="str">
        <f>IF($C951="","",TRIM(IF(COUNTIF($C$4:$C$1463,$C951)&gt;1,"Dup name; ","")&amp;IF(AND($G951&lt;&gt;"",$G951&lt;55000),"Low CR - verify; ","")&amp;IF(AND($L951&lt;&gt;"",$L951&gt;15),"Secondary - verify; ","")&amp;IF($E951="","No class; ","")))</f>
        <v/>
      </c>
      <c r="U951" s="68"/>
      <c r="V951" s="68"/>
      <c r="W951" s="68"/>
      <c r="X951" s="76">
        <f t="shared" si="72"/>
        <v>1095</v>
      </c>
      <c r="Y951" s="1" t="str">
        <f t="shared" si="73"/>
        <v>VENDETTA|82</v>
      </c>
      <c r="Z951" s="19">
        <f>IF($C951="","",IF($G951="","",RANK($G951,$G$4:$G$1463)+COUNTIF($G$4:$G951,$G951)-1))</f>
        <v>1239</v>
      </c>
      <c r="AA951" s="19">
        <f>IF($C951="","",IF($N951="","",RANK($N951,$N$4:$N$1463)+COUNTIF($N$4:$N951,$N951)-1))</f>
        <v>1271</v>
      </c>
      <c r="AB951" s="1" t="str">
        <f>IF($C951="","",IF($E951="","",$E951&amp;"#"&amp;(COUNTIFS($E$4:$E$1463,$E951,$X$4:$X$1463,"&gt;"&amp;$X951)+COUNTIFS($E$4:$E951,$E951,$X$4:$X951,"="&amp;$X951))))</f>
        <v>BARBARIAN#208</v>
      </c>
      <c r="AC951" s="1" t="str">
        <f>IF($C951="","",$B951&amp;"@"&amp;(COUNTIFS($B$4:$B$1463,$B951,$C$4:$C$1463,"&lt;"&amp;$C951)+COUNTIFS($B$4:$B951,$B951,$C$4:$C951,$C951)))</f>
        <v>VENDETTA@73</v>
      </c>
      <c r="AD951" s="1">
        <f t="shared" si="74"/>
        <v>948</v>
      </c>
      <c r="AE951" s="1" t="s">
        <v>611</v>
      </c>
      <c r="AF951" s="76">
        <f t="shared" si="75"/>
        <v>59945</v>
      </c>
      <c r="AG951" s="77">
        <f t="shared" si="76"/>
        <v>3</v>
      </c>
      <c r="AH951" s="1" t="str">
        <f>IF($C951="","",$B951&amp;"|"&amp;(COUNTIFS($B$4:$B$1463,$B951,$AF$4:$AF$1463,"&gt;"&amp;$AF951)+COUNTIFS($B$4:$B951,$B951,$AF$4:$AF951,"="&amp;$AF951)))</f>
        <v>VENDETTA|84</v>
      </c>
      <c r="AI951" s="1" t="str">
        <f>IF($C951="","",$B951&amp;"|"&amp;(COUNTIFS($B$4:$B$1463,$B951,$AG$4:$AG$1463,"&gt;"&amp;$AG951)+COUNTIFS($B$4:$B951,$B951,$AG$4:$AG951,"="&amp;$AG951)))</f>
        <v>VENDETTA|80</v>
      </c>
    </row>
    <row r="952" spans="1:35" hidden="1">
      <c r="A952" s="69" t="s">
        <v>109</v>
      </c>
      <c r="B952" s="69" t="s">
        <v>118</v>
      </c>
      <c r="C952" s="63" t="s">
        <v>2158</v>
      </c>
      <c r="D952" s="69"/>
      <c r="E952" s="68" t="s">
        <v>76</v>
      </c>
      <c r="F952" s="15" t="str">
        <f>IF($C952="","",IF($E952="","-",IFERROR(INDEX(SETUP!$B$55:$B$64,MATCH($E952,SETUP!$A$55:$A$64,0)),"Other")))</f>
        <v>Support</v>
      </c>
      <c r="G952" s="70">
        <v>61979</v>
      </c>
      <c r="H952" s="15" t="str">
        <f>IF($C952="","",IF($G952="","-",INDEX(SETUP!$B$26:$B$32,MATCH($G952,SETUP!$A$26:$A$32,1))))</f>
        <v>61,000 - 61,999</v>
      </c>
      <c r="I952" s="70">
        <v>8150</v>
      </c>
      <c r="J952" s="15" t="str">
        <f>IF($C952="","",IF($I952="","-",INDEX(SETUP!$B$16:$B$22,MATCH($I952,SETUP!$A$16:$A$22,1))))</f>
        <v>ELITE</v>
      </c>
      <c r="K952" s="15" t="str">
        <f>IF($C952="","",IF($I952="","-",TEXT(INT($I952/1000)*1000,"#,##0")&amp;" - "&amp;TEXT(INT($I952/1000)*1000+999,"#,##0")))</f>
        <v>8,000 - 8,999</v>
      </c>
      <c r="L952" s="71">
        <v>6.95</v>
      </c>
      <c r="M952" s="15" t="str">
        <f>IF($C952="","",IF($L952="","-",INDEX(SETUP!$B$36:$B$42,MATCH($L952,SETUP!$A$36:$A$42,1))))</f>
        <v>6k - 8k</v>
      </c>
      <c r="N952" s="17">
        <f>IF($C952="","",IF(OR($G952="",$I952=""),"",ROUND(100*(SETUP!$B$4*MIN(1,$I952/SETUP!$B$9)+SETUP!$B$5*MAX(0,MIN(1,($G952-SETUP!$B$10)/(SETUP!$B$11-SETUP!$B$10)))+SETUP!$B$6*MIN(1,IF($L952="",0,$L952)/SETUP!$B$12)),1)))</f>
        <v>65.5</v>
      </c>
      <c r="O952" s="15" t="str">
        <f>IF($C952="","",IF($N952="","-",INDEX(SETUP!$B$46:$B$51,MATCH($N952,SETUP!$A$46:$A$51,1))))</f>
        <v>S</v>
      </c>
      <c r="P952" s="15">
        <f>IF($C952="","",IF($I952="","",RANK($I952,$I$4:$I$1463)+COUNTIF($I$4:$I952,$I952)-1))</f>
        <v>140</v>
      </c>
      <c r="Q952" s="15">
        <f>IF($C952="","",COUNTIFS($B$4:$B$1463,$B952,$X$4:$X$1463,"&gt;"&amp;$X952)+COUNTIFS($B$4:$B952,$B952,$X$4:$X952,"="&amp;$X952))</f>
        <v>2</v>
      </c>
      <c r="R952" s="72">
        <f>IF($C952="","",IF($I952="","",ROUND(COUNTIF($I$4:$I$1463,"&lt;"&amp;$I952)/COUNT($I$4:$I$1463),3)))</f>
        <v>0.89400000000000002</v>
      </c>
      <c r="S952" s="15" t="str">
        <f>IF($C952="","",IF($G952="","Name only",IF(OR($I952="",$L952=""),"Partial","Complete")))</f>
        <v>Complete</v>
      </c>
      <c r="T952" s="41" t="str">
        <f>IF($C952="","",TRIM(IF(COUNTIF($C$4:$C$1463,$C952)&gt;1,"Dup name; ","")&amp;IF(AND($G952&lt;&gt;"",$G952&lt;55000),"Low CR - verify; ","")&amp;IF(AND($L952&lt;&gt;"",$L952&gt;15),"Secondary - verify; ","")&amp;IF($E952="","No class; ","")))</f>
        <v/>
      </c>
      <c r="U952" s="68"/>
      <c r="V952" s="68"/>
      <c r="W952" s="68"/>
      <c r="X952" s="73">
        <f t="shared" si="72"/>
        <v>8150</v>
      </c>
      <c r="Y952" s="41" t="str">
        <f t="shared" si="73"/>
        <v>ZOMBIES|2</v>
      </c>
      <c r="Z952" s="15">
        <f>IF($C952="","",IF($G952="","",RANK($G952,$G$4:$G$1463)+COUNTIF($G$4:$G952,$G952)-1))</f>
        <v>841</v>
      </c>
      <c r="AA952" s="15">
        <f>IF($C952="","",IF($N952="","",RANK($N952,$N$4:$N$1463)+COUNTIF($N$4:$N952,$N952)-1))</f>
        <v>170</v>
      </c>
      <c r="AB952" s="41" t="str">
        <f>IF($C952="","",IF($E952="","",$E952&amp;"#"&amp;(COUNTIFS($E$4:$E$1463,$E952,$X$4:$X$1463,"&gt;"&amp;$X952)+COUNTIFS($E$4:$E952,$E952,$X$4:$X952,"="&amp;$X952))))</f>
        <v>MONK#6</v>
      </c>
      <c r="AC952" s="41" t="str">
        <f>IF($C952="","",$B952&amp;"@"&amp;(COUNTIFS($B$4:$B$1463,$B952,$C$4:$C$1463,"&lt;"&amp;$C952)+COUNTIFS($B$4:$B952,$B952,$C$4:$C952,$C952)))</f>
        <v>ZOMBIES@68</v>
      </c>
      <c r="AD952" s="41">
        <f t="shared" si="74"/>
        <v>949</v>
      </c>
      <c r="AE952" s="41" t="s">
        <v>2159</v>
      </c>
      <c r="AF952" s="73">
        <f t="shared" si="75"/>
        <v>61979</v>
      </c>
      <c r="AG952" s="74">
        <f t="shared" si="76"/>
        <v>6.95</v>
      </c>
      <c r="AH952" s="41" t="str">
        <f>IF($C952="","",$B952&amp;"|"&amp;(COUNTIFS($B$4:$B$1463,$B952,$AF$4:$AF$1463,"&gt;"&amp;$AF952)+COUNTIFS($B$4:$B952,$B952,$AF$4:$AF952,"="&amp;$AF952)))</f>
        <v>ZOMBIES|27</v>
      </c>
      <c r="AI952" s="41" t="str">
        <f>IF($C952="","",$B952&amp;"|"&amp;(COUNTIFS($B$4:$B$1463,$B952,$AG$4:$AG$1463,"&gt;"&amp;$AG952)+COUNTIFS($B$4:$B952,$B952,$AG$4:$AG952,"="&amp;$AG952)))</f>
        <v>ZOMBIES|1</v>
      </c>
    </row>
    <row r="953" spans="1:35" hidden="1">
      <c r="A953" s="69" t="s">
        <v>109</v>
      </c>
      <c r="B953" s="69" t="s">
        <v>112</v>
      </c>
      <c r="C953" s="63" t="s">
        <v>2160</v>
      </c>
      <c r="D953" s="69" t="s">
        <v>567</v>
      </c>
      <c r="E953" s="68" t="s">
        <v>71</v>
      </c>
      <c r="F953" s="19" t="str">
        <f>IF($C953="","",IF($E953="","-",IFERROR(INDEX(SETUP!$B$55:$B$64,MATCH($E953,SETUP!$A$55:$A$64,0)),"Other")))</f>
        <v>Frontline</v>
      </c>
      <c r="G953" s="70">
        <v>63404</v>
      </c>
      <c r="H953" s="19" t="str">
        <f>IF($C953="","",IF($G953="","-",INDEX(SETUP!$B$26:$B$32,MATCH($G953,SETUP!$A$26:$A$32,1))))</f>
        <v>63,000 - 63,999</v>
      </c>
      <c r="I953" s="70">
        <v>5432</v>
      </c>
      <c r="J953" s="19" t="str">
        <f>IF($C953="","",IF($I953="","-",INDEX(SETUP!$B$16:$B$22,MATCH($I953,SETUP!$A$16:$A$22,1))))</f>
        <v>CORE</v>
      </c>
      <c r="K953" s="19" t="str">
        <f>IF($C953="","",IF($I953="","-",TEXT(INT($I953/1000)*1000,"#,##0")&amp;" - "&amp;TEXT(INT($I953/1000)*1000+999,"#,##0")))</f>
        <v>5,000 - 5,999</v>
      </c>
      <c r="L953" s="71">
        <v>5.53</v>
      </c>
      <c r="M953" s="19" t="str">
        <f>IF($C953="","",IF($L953="","-",INDEX(SETUP!$B$36:$B$42,MATCH($L953,SETUP!$A$36:$A$42,1))))</f>
        <v>5k - 6k</v>
      </c>
      <c r="N953" s="21">
        <f>IF($C953="","",IF(OR($G953="",$I953=""),"",ROUND(100*(SETUP!$B$4*MIN(1,$I953/SETUP!$B$9)+SETUP!$B$5*MAX(0,MIN(1,($G953-SETUP!$B$10)/(SETUP!$B$11-SETUP!$B$10)))+SETUP!$B$6*MIN(1,IF($L953="",0,$L953)/SETUP!$B$12)),1)))</f>
        <v>55</v>
      </c>
      <c r="O953" s="19" t="str">
        <f>IF($C953="","",IF($N953="","-",INDEX(SETUP!$B$46:$B$51,MATCH($N953,SETUP!$A$46:$A$51,1))))</f>
        <v>A</v>
      </c>
      <c r="P953" s="19">
        <f>IF($C953="","",IF($I953="","",RANK($I953,$I$4:$I$1463)+COUNTIF($I$4:$I953,$I953)-1))</f>
        <v>344</v>
      </c>
      <c r="Q953" s="19">
        <f>IF($C953="","",COUNTIFS($B$4:$B$1463,$B953,$X$4:$X$1463,"&gt;"&amp;$X953)+COUNTIFS($B$4:$B953,$B953,$X$4:$X953,"="&amp;$X953))</f>
        <v>20</v>
      </c>
      <c r="R953" s="75">
        <f>IF($C953="","",IF($I953="","",ROUND(COUNTIF($I$4:$I$1463,"&lt;"&amp;$I953)/COUNT($I$4:$I$1463),3)))</f>
        <v>0.74</v>
      </c>
      <c r="S953" s="19" t="str">
        <f>IF($C953="","",IF($G953="","Name only",IF(OR($I953="",$L953=""),"Partial","Complete")))</f>
        <v>Complete</v>
      </c>
      <c r="T953" s="1" t="str">
        <f>IF($C953="","",TRIM(IF(COUNTIF($C$4:$C$1463,$C953)&gt;1,"Dup name; ","")&amp;IF(AND($G953&lt;&gt;"",$G953&lt;55000),"Low CR - verify; ","")&amp;IF(AND($L953&lt;&gt;"",$L953&gt;15),"Secondary - verify; ","")&amp;IF($E953="","No class; ","")))</f>
        <v/>
      </c>
      <c r="U953" s="68"/>
      <c r="V953" s="68"/>
      <c r="W953" s="68"/>
      <c r="X953" s="76">
        <f t="shared" si="72"/>
        <v>5432</v>
      </c>
      <c r="Y953" s="1" t="str">
        <f t="shared" si="73"/>
        <v>ACHERON|20</v>
      </c>
      <c r="Z953" s="19">
        <f>IF($C953="","",IF($G953="","",RANK($G953,$G$4:$G$1463)+COUNTIF($G$4:$G953,$G953)-1))</f>
        <v>220</v>
      </c>
      <c r="AA953" s="19">
        <f>IF($C953="","",IF($N953="","",RANK($N953,$N$4:$N$1463)+COUNTIF($N$4:$N953,$N953)-1))</f>
        <v>316</v>
      </c>
      <c r="AB953" s="1" t="str">
        <f>IF($C953="","",IF($E953="","",$E953&amp;"#"&amp;(COUNTIFS($E$4:$E$1463,$E953,$X$4:$X$1463,"&gt;"&amp;$X953)+COUNTIFS($E$4:$E953,$E953,$X$4:$X953,"="&amp;$X953))))</f>
        <v>BARBARIAN#70</v>
      </c>
      <c r="AC953" s="1" t="str">
        <f>IF($C953="","",$B953&amp;"@"&amp;(COUNTIFS($B$4:$B$1463,$B953,$C$4:$C$1463,"&lt;"&amp;$C953)+COUNTIFS($B$4:$B953,$B953,$C$4:$C953,$C953)))</f>
        <v>ACHERON@62</v>
      </c>
      <c r="AD953" s="1">
        <f t="shared" si="74"/>
        <v>950</v>
      </c>
      <c r="AE953" s="1" t="s">
        <v>2161</v>
      </c>
      <c r="AF953" s="76">
        <f t="shared" si="75"/>
        <v>63404</v>
      </c>
      <c r="AG953" s="77">
        <f t="shared" si="76"/>
        <v>5.53</v>
      </c>
      <c r="AH953" s="1" t="str">
        <f>IF($C953="","",$B953&amp;"|"&amp;(COUNTIFS($B$4:$B$1463,$B953,$AF$4:$AF$1463,"&gt;"&amp;$AF953)+COUNTIFS($B$4:$B953,$B953,$AF$4:$AF953,"="&amp;$AF953)))</f>
        <v>ACHERON|11</v>
      </c>
      <c r="AI953" s="1" t="str">
        <f>IF($C953="","",$B953&amp;"|"&amp;(COUNTIFS($B$4:$B$1463,$B953,$AG$4:$AG$1463,"&gt;"&amp;$AG953)+COUNTIFS($B$4:$B953,$B953,$AG$4:$AG953,"="&amp;$AG953)))</f>
        <v>ACHERON|30</v>
      </c>
    </row>
    <row r="954" spans="1:35" hidden="1">
      <c r="A954" s="69" t="s">
        <v>109</v>
      </c>
      <c r="B954" s="69" t="s">
        <v>108</v>
      </c>
      <c r="C954" s="63" t="s">
        <v>2162</v>
      </c>
      <c r="D954" s="69"/>
      <c r="E954" s="68" t="s">
        <v>78</v>
      </c>
      <c r="F954" s="15" t="str">
        <f>IF($C954="","",IF($E954="","-",IFERROR(INDEX(SETUP!$B$55:$B$64,MATCH($E954,SETUP!$A$55:$A$64,0)),"Other")))</f>
        <v>Melee DPS</v>
      </c>
      <c r="G954" s="70">
        <v>60419</v>
      </c>
      <c r="H954" s="15" t="str">
        <f>IF($C954="","",IF($G954="","-",INDEX(SETUP!$B$26:$B$32,MATCH($G954,SETUP!$A$26:$A$32,1))))</f>
        <v>60,000 - 60,999</v>
      </c>
      <c r="I954" s="70">
        <v>5290</v>
      </c>
      <c r="J954" s="15" t="str">
        <f>IF($C954="","",IF($I954="","-",INDEX(SETUP!$B$16:$B$22,MATCH($I954,SETUP!$A$16:$A$22,1))))</f>
        <v>CORE</v>
      </c>
      <c r="K954" s="15" t="str">
        <f>IF($C954="","",IF($I954="","-",TEXT(INT($I954/1000)*1000,"#,##0")&amp;" - "&amp;TEXT(INT($I954/1000)*1000+999,"#,##0")))</f>
        <v>5,000 - 5,999</v>
      </c>
      <c r="L954" s="71">
        <v>5.65</v>
      </c>
      <c r="M954" s="15" t="str">
        <f>IF($C954="","",IF($L954="","-",INDEX(SETUP!$B$36:$B$42,MATCH($L954,SETUP!$A$36:$A$42,1))))</f>
        <v>5k - 6k</v>
      </c>
      <c r="N954" s="17">
        <f>IF($C954="","",IF(OR($G954="",$I954=""),"",ROUND(100*(SETUP!$B$4*MIN(1,$I954/SETUP!$B$9)+SETUP!$B$5*MAX(0,MIN(1,($G954-SETUP!$B$10)/(SETUP!$B$11-SETUP!$B$10)))+SETUP!$B$6*MIN(1,IF($L954="",0,$L954)/SETUP!$B$12)),1)))</f>
        <v>46.8</v>
      </c>
      <c r="O954" s="15" t="str">
        <f>IF($C954="","",IF($N954="","-",INDEX(SETUP!$B$46:$B$51,MATCH($N954,SETUP!$A$46:$A$51,1))))</f>
        <v>B</v>
      </c>
      <c r="P954" s="15">
        <f>IF($C954="","",IF($I954="","",RANK($I954,$I$4:$I$1463)+COUNTIF($I$4:$I954,$I954)-1))</f>
        <v>363</v>
      </c>
      <c r="Q954" s="15">
        <f>IF($C954="","",COUNTIFS($B$4:$B$1463,$B954,$X$4:$X$1463,"&gt;"&amp;$X954)+COUNTIFS($B$4:$B954,$B954,$X$4:$X954,"="&amp;$X954))</f>
        <v>54</v>
      </c>
      <c r="R954" s="72">
        <f>IF($C954="","",IF($I954="","",ROUND(COUNTIF($I$4:$I$1463,"&lt;"&amp;$I954)/COUNT($I$4:$I$1463),3)))</f>
        <v>0.72599999999999998</v>
      </c>
      <c r="S954" s="15" t="str">
        <f>IF($C954="","",IF($G954="","Name only",IF(OR($I954="",$L954=""),"Partial","Complete")))</f>
        <v>Complete</v>
      </c>
      <c r="T954" s="41" t="str">
        <f>IF($C954="","",TRIM(IF(COUNTIF($C$4:$C$1463,$C954)&gt;1,"Dup name; ","")&amp;IF(AND($G954&lt;&gt;"",$G954&lt;55000),"Low CR - verify; ","")&amp;IF(AND($L954&lt;&gt;"",$L954&gt;15),"Secondary - verify; ","")&amp;IF($E954="","No class; ","")))</f>
        <v/>
      </c>
      <c r="U954" s="68"/>
      <c r="V954" s="68"/>
      <c r="W954" s="68"/>
      <c r="X954" s="73">
        <f t="shared" si="72"/>
        <v>5290</v>
      </c>
      <c r="Y954" s="41" t="str">
        <f t="shared" si="73"/>
        <v>SBG|54</v>
      </c>
      <c r="Z954" s="15">
        <f>IF($C954="","",IF($G954="","",RANK($G954,$G$4:$G$1463)+COUNTIF($G$4:$G954,$G954)-1))</f>
        <v>1216</v>
      </c>
      <c r="AA954" s="15">
        <f>IF($C954="","",IF($N954="","",RANK($N954,$N$4:$N$1463)+COUNTIF($N$4:$N954,$N954)-1))</f>
        <v>556</v>
      </c>
      <c r="AB954" s="41" t="str">
        <f>IF($C954="","",IF($E954="","",$E954&amp;"#"&amp;(COUNTIFS($E$4:$E$1463,$E954,$X$4:$X$1463,"&gt;"&amp;$X954)+COUNTIFS($E$4:$E954,$E954,$X$4:$X954,"="&amp;$X954))))</f>
        <v>TEMPEST#11</v>
      </c>
      <c r="AC954" s="41" t="str">
        <f>IF($C954="","",$B954&amp;"@"&amp;(COUNTIFS($B$4:$B$1463,$B954,$C$4:$C$1463,"&lt;"&amp;$C954)+COUNTIFS($B$4:$B954,$B954,$C$4:$C954,$C954)))</f>
        <v>SBG@60</v>
      </c>
      <c r="AD954" s="41">
        <f t="shared" si="74"/>
        <v>951</v>
      </c>
      <c r="AE954" s="41" t="s">
        <v>2163</v>
      </c>
      <c r="AF954" s="73">
        <f t="shared" si="75"/>
        <v>60419</v>
      </c>
      <c r="AG954" s="74">
        <f t="shared" si="76"/>
        <v>5.65</v>
      </c>
      <c r="AH954" s="41" t="str">
        <f>IF($C954="","",$B954&amp;"|"&amp;(COUNTIFS($B$4:$B$1463,$B954,$AF$4:$AF$1463,"&gt;"&amp;$AF954)+COUNTIFS($B$4:$B954,$B954,$AF$4:$AF954,"="&amp;$AF954)))</f>
        <v>SBG|94</v>
      </c>
      <c r="AI954" s="41" t="str">
        <f>IF($C954="","",$B954&amp;"|"&amp;(COUNTIFS($B$4:$B$1463,$B954,$AG$4:$AG$1463,"&gt;"&amp;$AG954)+COUNTIFS($B$4:$B954,$B954,$AG$4:$AG954,"="&amp;$AG954)))</f>
        <v>SBG|50</v>
      </c>
    </row>
    <row r="955" spans="1:35" hidden="1">
      <c r="A955" s="69" t="s">
        <v>109</v>
      </c>
      <c r="B955" s="69" t="s">
        <v>114</v>
      </c>
      <c r="C955" s="63" t="s">
        <v>2164</v>
      </c>
      <c r="D955" s="69"/>
      <c r="E955" s="68" t="s">
        <v>79</v>
      </c>
      <c r="F955" s="19" t="str">
        <f>IF($C955="","",IF($E955="","-",IFERROR(INDEX(SETUP!$B$55:$B$64,MATCH($E955,SETUP!$A$55:$A$64,0)),"Other")))</f>
        <v>Control</v>
      </c>
      <c r="G955" s="70">
        <v>60096</v>
      </c>
      <c r="H955" s="19" t="str">
        <f>IF($C955="","",IF($G955="","-",INDEX(SETUP!$B$26:$B$32,MATCH($G955,SETUP!$A$26:$A$32,1))))</f>
        <v>60,000 - 60,999</v>
      </c>
      <c r="I955" s="70">
        <v>2572</v>
      </c>
      <c r="J955" s="19" t="str">
        <f>IF($C955="","",IF($I955="","-",INDEX(SETUP!$B$16:$B$22,MATCH($I955,SETUP!$A$16:$A$22,1))))</f>
        <v>DEVELOPING</v>
      </c>
      <c r="K955" s="19" t="str">
        <f>IF($C955="","",IF($I955="","-",TEXT(INT($I955/1000)*1000,"#,##0")&amp;" - "&amp;TEXT(INT($I955/1000)*1000+999,"#,##0")))</f>
        <v>2,000 - 2,999</v>
      </c>
      <c r="L955" s="71">
        <v>3.5</v>
      </c>
      <c r="M955" s="19" t="str">
        <f>IF($C955="","",IF($L955="","-",INDEX(SETUP!$B$36:$B$42,MATCH($L955,SETUP!$A$36:$A$42,1))))</f>
        <v>3k - 4k</v>
      </c>
      <c r="N955" s="21">
        <f>IF($C955="","",IF(OR($G955="",$I955=""),"",ROUND(100*(SETUP!$B$4*MIN(1,$I955/SETUP!$B$9)+SETUP!$B$5*MAX(0,MIN(1,($G955-SETUP!$B$10)/(SETUP!$B$11-SETUP!$B$10)))+SETUP!$B$6*MIN(1,IF($L955="",0,$L955)/SETUP!$B$12)),1)))</f>
        <v>30.5</v>
      </c>
      <c r="O955" s="19" t="str">
        <f>IF($C955="","",IF($N955="","-",INDEX(SETUP!$B$46:$B$51,MATCH($N955,SETUP!$A$46:$A$51,1))))</f>
        <v>C</v>
      </c>
      <c r="P955" s="19">
        <f>IF($C955="","",IF($I955="","",RANK($I955,$I$4:$I$1463)+COUNTIF($I$4:$I955,$I955)-1))</f>
        <v>987</v>
      </c>
      <c r="Q955" s="19">
        <f>IF($C955="","",COUNTIFS($B$4:$B$1463,$B955,$X$4:$X$1463,"&gt;"&amp;$X955)+COUNTIFS($B$4:$B955,$B955,$X$4:$X955,"="&amp;$X955))</f>
        <v>36</v>
      </c>
      <c r="R955" s="75">
        <f>IF($C955="","",IF($I955="","",ROUND(COUNTIF($I$4:$I$1463,"&lt;"&amp;$I955)/COUNT($I$4:$I$1463),3)))</f>
        <v>0.255</v>
      </c>
      <c r="S955" s="19" t="str">
        <f>IF($C955="","",IF($G955="","Name only",IF(OR($I955="",$L955=""),"Partial","Complete")))</f>
        <v>Complete</v>
      </c>
      <c r="T955" s="1" t="str">
        <f>IF($C955="","",TRIM(IF(COUNTIF($C$4:$C$1463,$C955)&gt;1,"Dup name; ","")&amp;IF(AND($G955&lt;&gt;"",$G955&lt;55000),"Low CR - verify; ","")&amp;IF(AND($L955&lt;&gt;"",$L955&gt;15),"Secondary - verify; ","")&amp;IF($E955="","No class; ","")))</f>
        <v/>
      </c>
      <c r="U955" s="68"/>
      <c r="V955" s="68"/>
      <c r="W955" s="68"/>
      <c r="X955" s="76">
        <f t="shared" si="72"/>
        <v>2572</v>
      </c>
      <c r="Y955" s="1" t="str">
        <f t="shared" si="73"/>
        <v>EMERALD LEAF TRIBE|36</v>
      </c>
      <c r="Z955" s="19">
        <f>IF($C955="","",IF($G955="","",RANK($G955,$G$4:$G$1463)+COUNTIF($G$4:$G955,$G955)-1))</f>
        <v>1231</v>
      </c>
      <c r="AA955" s="19">
        <f>IF($C955="","",IF($N955="","",RANK($N955,$N$4:$N$1463)+COUNTIF($N$4:$N955,$N955)-1))</f>
        <v>1137</v>
      </c>
      <c r="AB955" s="1" t="str">
        <f>IF($C955="","",IF($E955="","",$E955&amp;"#"&amp;(COUNTIFS($E$4:$E$1463,$E955,$X$4:$X$1463,"&gt;"&amp;$X955)+COUNTIFS($E$4:$E955,$E955,$X$4:$X955,"="&amp;$X955))))</f>
        <v>WARLOCK#242</v>
      </c>
      <c r="AC955" s="1" t="str">
        <f>IF($C955="","",$B955&amp;"@"&amp;(COUNTIFS($B$4:$B$1463,$B955,$C$4:$C$1463,"&lt;"&amp;$C955)+COUNTIFS($B$4:$B955,$B955,$C$4:$C955,$C955)))</f>
        <v>EMERALD LEAF TRIBE@70</v>
      </c>
      <c r="AD955" s="1">
        <f t="shared" si="74"/>
        <v>952</v>
      </c>
      <c r="AE955" s="1" t="s">
        <v>2165</v>
      </c>
      <c r="AF955" s="76">
        <f t="shared" si="75"/>
        <v>60096</v>
      </c>
      <c r="AG955" s="77">
        <f t="shared" si="76"/>
        <v>3.5</v>
      </c>
      <c r="AH955" s="1" t="str">
        <f>IF($C955="","",$B955&amp;"|"&amp;(COUNTIFS($B$4:$B$1463,$B955,$AF$4:$AF$1463,"&gt;"&amp;$AF955)+COUNTIFS($B$4:$B955,$B955,$AF$4:$AF955,"="&amp;$AF955)))</f>
        <v>EMERALD LEAF TRIBE|74</v>
      </c>
      <c r="AI955" s="1" t="str">
        <f>IF($C955="","",$B955&amp;"|"&amp;(COUNTIFS($B$4:$B$1463,$B955,$AG$4:$AG$1463,"&gt;"&amp;$AG955)+COUNTIFS($B$4:$B955,$B955,$AG$4:$AG955,"="&amp;$AG955)))</f>
        <v>EMERALD LEAF TRIBE|54</v>
      </c>
    </row>
    <row r="956" spans="1:35">
      <c r="A956" s="69" t="s">
        <v>104</v>
      </c>
      <c r="B956" s="69" t="s">
        <v>66</v>
      </c>
      <c r="C956" s="63" t="s">
        <v>2018</v>
      </c>
      <c r="D956" s="69"/>
      <c r="E956" s="68" t="s">
        <v>73</v>
      </c>
      <c r="F956" s="15" t="str">
        <f>IF($C956="","",IF($E956="","-",IFERROR(INDEX(SETUP!$B$55:$B$64,MATCH($E956,SETUP!$A$55:$A$64,0)),"Other")))</f>
        <v>Frontline</v>
      </c>
      <c r="G956" s="70">
        <v>63465</v>
      </c>
      <c r="H956" s="15" t="str">
        <f>IF($C956="","",IF($G956="","-",INDEX(SETUP!$B$26:$B$32,MATCH($G956,SETUP!$A$26:$A$32,1))))</f>
        <v>63,000 - 63,999</v>
      </c>
      <c r="I956" s="70">
        <v>4055</v>
      </c>
      <c r="J956" s="15" t="str">
        <f>IF($C956="","",IF($I956="","-",INDEX(SETUP!$B$16:$B$22,MATCH($I956,SETUP!$A$16:$A$22,1))))</f>
        <v>CORE</v>
      </c>
      <c r="K956" s="15" t="str">
        <f>IF($C956="","",IF($I956="","-",TEXT(INT($I956/1000)*1000,"#,##0")&amp;" - "&amp;TEXT(INT($I956/1000)*1000+999,"#,##0")))</f>
        <v>4,000 - 4,999</v>
      </c>
      <c r="L956" s="71">
        <v>5.08</v>
      </c>
      <c r="M956" s="15" t="str">
        <f>IF($C956="","",IF($L956="","-",INDEX(SETUP!$B$36:$B$42,MATCH($L956,SETUP!$A$36:$A$42,1))))</f>
        <v>5k - 6k</v>
      </c>
      <c r="N956" s="17">
        <f>IF($C956="","",IF(OR($G956="",$I956=""),"",ROUND(100*(SETUP!$B$4*MIN(1,$I956/SETUP!$B$9)+SETUP!$B$5*MAX(0,MIN(1,($G956-SETUP!$B$10)/(SETUP!$B$11-SETUP!$B$10)))+SETUP!$B$6*MIN(1,IF($L956="",0,$L956)/SETUP!$B$12)),1)))</f>
        <v>48.4</v>
      </c>
      <c r="O956" s="15" t="str">
        <f>IF($C956="","",IF($N956="","-",INDEX(SETUP!$B$46:$B$51,MATCH($N956,SETUP!$A$46:$A$51,1))))</f>
        <v>B</v>
      </c>
      <c r="P956" s="15">
        <f>IF($C956="","",IF($I956="","",RANK($I956,$I$4:$I$1463)+COUNTIF($I$4:$I956,$I956)-1))</f>
        <v>585</v>
      </c>
      <c r="Q956" s="15">
        <f>IF($C956="","",COUNTIFS($B$4:$B$1463,$B956,$X$4:$X$1463,"&gt;"&amp;$X956)+COUNTIFS($B$4:$B956,$B956,$X$4:$X956,"="&amp;$X956))</f>
        <v>59</v>
      </c>
      <c r="R956" s="72">
        <f>IF($C956="","",IF($I956="","",ROUND(COUNTIF($I$4:$I$1463,"&lt;"&amp;$I956)/COUNT($I$4:$I$1463),3)))</f>
        <v>0.55800000000000005</v>
      </c>
      <c r="S956" s="15" t="str">
        <f>IF($C956="","",IF($G956="","Name only",IF(OR($I956="",$L956=""),"Partial","Complete")))</f>
        <v>Complete</v>
      </c>
      <c r="T956" s="41" t="str">
        <f>IF($C956="","",TRIM(IF(COUNTIF($C$4:$C$1463,$C956)&gt;1,"Dup name; ","")&amp;IF(AND($G956&lt;&gt;"",$G956&lt;55000),"Low CR - verify; ","")&amp;IF(AND($L956&lt;&gt;"",$L956&gt;15),"Secondary - verify; ","")&amp;IF($E956="","No class; ","")))</f>
        <v/>
      </c>
      <c r="U956" s="68" t="s">
        <v>264</v>
      </c>
      <c r="V956" s="68" t="s">
        <v>66</v>
      </c>
      <c r="W956" s="68" t="s">
        <v>285</v>
      </c>
      <c r="X956" s="73">
        <f t="shared" si="72"/>
        <v>4055</v>
      </c>
      <c r="Y956" s="41" t="str">
        <f t="shared" si="73"/>
        <v>FUCT|59</v>
      </c>
      <c r="Z956" s="15">
        <f>IF($C956="","",IF($G956="","",RANK($G956,$G$4:$G$1463)+COUNTIF($G$4:$G956,$G956)-1))</f>
        <v>201</v>
      </c>
      <c r="AA956" s="15">
        <f>IF($C956="","",IF($N956="","",RANK($N956,$N$4:$N$1463)+COUNTIF($N$4:$N956,$N956)-1))</f>
        <v>507</v>
      </c>
      <c r="AB956" s="41" t="str">
        <f>IF($C956="","",IF($E956="","",$E956&amp;"#"&amp;(COUNTIFS($E$4:$E$1463,$E956,$X$4:$X$1463,"&gt;"&amp;$X956)+COUNTIFS($E$4:$E956,$E956,$X$4:$X956,"="&amp;$X956))))</f>
        <v>CRUSADER#71</v>
      </c>
      <c r="AC956" s="41" t="str">
        <f>IF($C956="","",$B956&amp;"@"&amp;(COUNTIFS($B$4:$B$1463,$B956,$C$4:$C$1463,"&lt;"&amp;$C956)+COUNTIFS($B$4:$B956,$B956,$C$4:$C956,$C956)))</f>
        <v>FUCT@69</v>
      </c>
      <c r="AD956" s="41">
        <f t="shared" si="74"/>
        <v>953</v>
      </c>
      <c r="AE956" s="41" t="s">
        <v>2167</v>
      </c>
      <c r="AF956" s="73">
        <f t="shared" si="75"/>
        <v>63465</v>
      </c>
      <c r="AG956" s="74">
        <f t="shared" si="76"/>
        <v>5.08</v>
      </c>
      <c r="AH956" s="41" t="str">
        <f>IF($C956="","",$B956&amp;"|"&amp;(COUNTIFS($B$4:$B$1463,$B956,$AF$4:$AF$1463,"&gt;"&amp;$AF956)+COUNTIFS($B$4:$B956,$B956,$AF$4:$AF956,"="&amp;$AF956)))</f>
        <v>FUCT|21</v>
      </c>
      <c r="AI956" s="41" t="str">
        <f>IF($C956="","",$B956&amp;"|"&amp;(COUNTIFS($B$4:$B$1463,$B956,$AG$4:$AG$1463,"&gt;"&amp;$AG956)+COUNTIFS($B$4:$B956,$B956,$AG$4:$AG956,"="&amp;$AG956)))</f>
        <v>FUCT|44</v>
      </c>
    </row>
    <row r="957" spans="1:35" hidden="1">
      <c r="A957" s="69" t="s">
        <v>109</v>
      </c>
      <c r="B957" s="69" t="s">
        <v>116</v>
      </c>
      <c r="C957" s="63" t="s">
        <v>2168</v>
      </c>
      <c r="D957" s="69" t="s">
        <v>530</v>
      </c>
      <c r="E957" s="68" t="s">
        <v>75</v>
      </c>
      <c r="F957" s="19" t="str">
        <f>IF($C957="","",IF($E957="","-",IFERROR(INDEX(SETUP!$B$55:$B$64,MATCH($E957,SETUP!$A$55:$A$64,0)),"Other")))</f>
        <v>Support</v>
      </c>
      <c r="G957" s="70">
        <v>62510</v>
      </c>
      <c r="H957" s="19" t="str">
        <f>IF($C957="","",IF($G957="","-",INDEX(SETUP!$B$26:$B$32,MATCH($G957,SETUP!$A$26:$A$32,1))))</f>
        <v>62,000 - 62,999</v>
      </c>
      <c r="I957" s="70">
        <v>3399</v>
      </c>
      <c r="J957" s="19" t="str">
        <f>IF($C957="","",IF($I957="","-",INDEX(SETUP!$B$16:$B$22,MATCH($I957,SETUP!$A$16:$A$22,1))))</f>
        <v>DEVELOPING</v>
      </c>
      <c r="K957" s="19" t="str">
        <f>IF($C957="","",IF($I957="","-",TEXT(INT($I957/1000)*1000,"#,##0")&amp;" - "&amp;TEXT(INT($I957/1000)*1000+999,"#,##0")))</f>
        <v>3,000 - 3,999</v>
      </c>
      <c r="L957" s="71">
        <v>5.5</v>
      </c>
      <c r="M957" s="19" t="str">
        <f>IF($C957="","",IF($L957="","-",INDEX(SETUP!$B$36:$B$42,MATCH($L957,SETUP!$A$36:$A$42,1))))</f>
        <v>5k - 6k</v>
      </c>
      <c r="N957" s="21">
        <f>IF($C957="","",IF(OR($G957="",$I957=""),"",ROUND(100*(SETUP!$B$4*MIN(1,$I957/SETUP!$B$9)+SETUP!$B$5*MAX(0,MIN(1,($G957-SETUP!$B$10)/(SETUP!$B$11-SETUP!$B$10)))+SETUP!$B$6*MIN(1,IF($L957="",0,$L957)/SETUP!$B$12)),1)))</f>
        <v>43.8</v>
      </c>
      <c r="O957" s="19" t="str">
        <f>IF($C957="","",IF($N957="","-",INDEX(SETUP!$B$46:$B$51,MATCH($N957,SETUP!$A$46:$A$51,1))))</f>
        <v>B</v>
      </c>
      <c r="P957" s="19">
        <f>IF($C957="","",IF($I957="","",RANK($I957,$I$4:$I$1463)+COUNTIF($I$4:$I957,$I957)-1))</f>
        <v>760</v>
      </c>
      <c r="Q957" s="19">
        <f>IF($C957="","",COUNTIFS($B$4:$B$1463,$B957,$X$4:$X$1463,"&gt;"&amp;$X957)+COUNTIFS($B$4:$B957,$B957,$X$4:$X957,"="&amp;$X957))</f>
        <v>49</v>
      </c>
      <c r="R957" s="75">
        <f>IF($C957="","",IF($I957="","",ROUND(COUNTIF($I$4:$I$1463,"&lt;"&amp;$I957)/COUNT($I$4:$I$1463),3)))</f>
        <v>0.42599999999999999</v>
      </c>
      <c r="S957" s="19" t="str">
        <f>IF($C957="","",IF($G957="","Name only",IF(OR($I957="",$L957=""),"Partial","Complete")))</f>
        <v>Complete</v>
      </c>
      <c r="T957" s="1" t="str">
        <f>IF($C957="","",TRIM(IF(COUNTIF($C$4:$C$1463,$C957)&gt;1,"Dup name; ","")&amp;IF(AND($G957&lt;&gt;"",$G957&lt;55000),"Low CR - verify; ","")&amp;IF(AND($L957&lt;&gt;"",$L957&gt;15),"Secondary - verify; ","")&amp;IF($E957="","No class; ","")))</f>
        <v/>
      </c>
      <c r="U957" s="68"/>
      <c r="V957" s="68"/>
      <c r="W957" s="68"/>
      <c r="X957" s="76">
        <f t="shared" si="72"/>
        <v>3399</v>
      </c>
      <c r="Y957" s="1" t="str">
        <f t="shared" si="73"/>
        <v>VENGEANCE|49</v>
      </c>
      <c r="Z957" s="19">
        <f>IF($C957="","",IF($G957="","",RANK($G957,$G$4:$G$1463)+COUNTIF($G$4:$G957,$G957)-1))</f>
        <v>649</v>
      </c>
      <c r="AA957" s="19">
        <f>IF($C957="","",IF($N957="","",RANK($N957,$N$4:$N$1463)+COUNTIF($N$4:$N957,$N957)-1))</f>
        <v>676</v>
      </c>
      <c r="AB957" s="1" t="str">
        <f>IF($C957="","",IF($E957="","",$E957&amp;"#"&amp;(COUNTIFS($E$4:$E$1463,$E957,$X$4:$X$1463,"&gt;"&amp;$X957)+COUNTIFS($E$4:$E957,$E957,$X$4:$X957,"="&amp;$X957))))</f>
        <v>DRUID#36</v>
      </c>
      <c r="AC957" s="1" t="str">
        <f>IF($C957="","",$B957&amp;"@"&amp;(COUNTIFS($B$4:$B$1463,$B957,$C$4:$C$1463,"&lt;"&amp;$C957)+COUNTIFS($B$4:$B957,$B957,$C$4:$C957,$C957)))</f>
        <v>VENGEANCE@61</v>
      </c>
      <c r="AD957" s="1">
        <f t="shared" si="74"/>
        <v>954</v>
      </c>
      <c r="AE957" s="1" t="s">
        <v>602</v>
      </c>
      <c r="AF957" s="76">
        <f t="shared" si="75"/>
        <v>62510</v>
      </c>
      <c r="AG957" s="77">
        <f t="shared" si="76"/>
        <v>5.5</v>
      </c>
      <c r="AH957" s="1" t="str">
        <f>IF($C957="","",$B957&amp;"|"&amp;(COUNTIFS($B$4:$B$1463,$B957,$AF$4:$AF$1463,"&gt;"&amp;$AF957)+COUNTIFS($B$4:$B957,$B957,$AF$4:$AF957,"="&amp;$AF957)))</f>
        <v>VENGEANCE|41</v>
      </c>
      <c r="AI957" s="1" t="str">
        <f>IF($C957="","",$B957&amp;"|"&amp;(COUNTIFS($B$4:$B$1463,$B957,$AG$4:$AG$1463,"&gt;"&amp;$AG957)+COUNTIFS($B$4:$B957,$B957,$AG$4:$AG957,"="&amp;$AG957)))</f>
        <v>VENGEANCE|20</v>
      </c>
    </row>
    <row r="958" spans="1:35" hidden="1">
      <c r="A958" s="69" t="s">
        <v>109</v>
      </c>
      <c r="B958" s="69" t="s">
        <v>108</v>
      </c>
      <c r="C958" s="63" t="s">
        <v>2169</v>
      </c>
      <c r="D958" s="69"/>
      <c r="E958" s="68" t="s">
        <v>79</v>
      </c>
      <c r="F958" s="15" t="str">
        <f>IF($C958="","",IF($E958="","-",IFERROR(INDEX(SETUP!$B$55:$B$64,MATCH($E958,SETUP!$A$55:$A$64,0)),"Other")))</f>
        <v>Control</v>
      </c>
      <c r="G958" s="70">
        <v>64351</v>
      </c>
      <c r="H958" s="15" t="str">
        <f>IF($C958="","",IF($G958="","-",INDEX(SETUP!$B$26:$B$32,MATCH($G958,SETUP!$A$26:$A$32,1))))</f>
        <v>64,000 +</v>
      </c>
      <c r="I958" s="70">
        <v>11448</v>
      </c>
      <c r="J958" s="15" t="str">
        <f>IF($C958="","",IF($I958="","-",INDEX(SETUP!$B$16:$B$22,MATCH($I958,SETUP!$A$16:$A$22,1))))</f>
        <v>APEX</v>
      </c>
      <c r="K958" s="15" t="str">
        <f>IF($C958="","",IF($I958="","-",TEXT(INT($I958/1000)*1000,"#,##0")&amp;" - "&amp;TEXT(INT($I958/1000)*1000+999,"#,##0")))</f>
        <v>11,000 - 11,999</v>
      </c>
      <c r="L958" s="71">
        <v>9.35</v>
      </c>
      <c r="M958" s="15" t="str">
        <f>IF($C958="","",IF($L958="","-",INDEX(SETUP!$B$36:$B$42,MATCH($L958,SETUP!$A$36:$A$42,1))))</f>
        <v>8k - 10k</v>
      </c>
      <c r="N958" s="17">
        <f>IF($C958="","",IF(OR($G958="",$I958=""),"",ROUND(100*(SETUP!$B$4*MIN(1,$I958/SETUP!$B$9)+SETUP!$B$5*MAX(0,MIN(1,($G958-SETUP!$B$10)/(SETUP!$B$11-SETUP!$B$10)))+SETUP!$B$6*MIN(1,IF($L958="",0,$L958)/SETUP!$B$12)),1)))</f>
        <v>90.2</v>
      </c>
      <c r="O958" s="15" t="str">
        <f>IF($C958="","",IF($N958="","-",INDEX(SETUP!$B$46:$B$51,MATCH($N958,SETUP!$A$46:$A$51,1))))</f>
        <v>S+</v>
      </c>
      <c r="P958" s="15">
        <f>IF($C958="","",IF($I958="","",RANK($I958,$I$4:$I$1463)+COUNTIF($I$4:$I958,$I958)-1))</f>
        <v>8</v>
      </c>
      <c r="Q958" s="15">
        <f>IF($C958="","",COUNTIFS($B$4:$B$1463,$B958,$X$4:$X$1463,"&gt;"&amp;$X958)+COUNTIFS($B$4:$B958,$B958,$X$4:$X958,"="&amp;$X958))</f>
        <v>2</v>
      </c>
      <c r="R958" s="72">
        <f>IF($C958="","",IF($I958="","",ROUND(COUNTIF($I$4:$I$1463,"&lt;"&amp;$I958)/COUNT($I$4:$I$1463),3)))</f>
        <v>0.99399999999999999</v>
      </c>
      <c r="S958" s="15" t="str">
        <f>IF($C958="","",IF($G958="","Name only",IF(OR($I958="",$L958=""),"Partial","Complete")))</f>
        <v>Complete</v>
      </c>
      <c r="T958" s="41" t="str">
        <f>IF($C958="","",TRIM(IF(COUNTIF($C$4:$C$1463,$C958)&gt;1,"Dup name; ","")&amp;IF(AND($G958&lt;&gt;"",$G958&lt;55000),"Low CR - verify; ","")&amp;IF(AND($L958&lt;&gt;"",$L958&gt;15),"Secondary - verify; ","")&amp;IF($E958="","No class; ","")))</f>
        <v/>
      </c>
      <c r="U958" s="68"/>
      <c r="V958" s="68"/>
      <c r="W958" s="68"/>
      <c r="X958" s="73">
        <f t="shared" si="72"/>
        <v>11448</v>
      </c>
      <c r="Y958" s="41" t="str">
        <f t="shared" si="73"/>
        <v>SBG|2</v>
      </c>
      <c r="Z958" s="15">
        <f>IF($C958="","",IF($G958="","",RANK($G958,$G$4:$G$1463)+COUNTIF($G$4:$G958,$G958)-1))</f>
        <v>14</v>
      </c>
      <c r="AA958" s="15">
        <f>IF($C958="","",IF($N958="","",RANK($N958,$N$4:$N$1463)+COUNTIF($N$4:$N958,$N958)-1))</f>
        <v>9</v>
      </c>
      <c r="AB958" s="41" t="str">
        <f>IF($C958="","",IF($E958="","",$E958&amp;"#"&amp;(COUNTIFS($E$4:$E$1463,$E958,$X$4:$X$1463,"&gt;"&amp;$X958)+COUNTIFS($E$4:$E958,$E958,$X$4:$X958,"="&amp;$X958))))</f>
        <v>WARLOCK#2</v>
      </c>
      <c r="AC958" s="41" t="str">
        <f>IF($C958="","",$B958&amp;"@"&amp;(COUNTIFS($B$4:$B$1463,$B958,$C$4:$C$1463,"&lt;"&amp;$C958)+COUNTIFS($B$4:$B958,$B958,$C$4:$C958,$C958)))</f>
        <v>SBG@61</v>
      </c>
      <c r="AD958" s="41">
        <f t="shared" si="74"/>
        <v>955</v>
      </c>
      <c r="AE958" s="41" t="s">
        <v>2170</v>
      </c>
      <c r="AF958" s="73">
        <f t="shared" si="75"/>
        <v>64351</v>
      </c>
      <c r="AG958" s="74">
        <f t="shared" si="76"/>
        <v>9.35</v>
      </c>
      <c r="AH958" s="41" t="str">
        <f>IF($C958="","",$B958&amp;"|"&amp;(COUNTIFS($B$4:$B$1463,$B958,$AF$4:$AF$1463,"&gt;"&amp;$AF958)+COUNTIFS($B$4:$B958,$B958,$AF$4:$AF958,"="&amp;$AF958)))</f>
        <v>SBG|1</v>
      </c>
      <c r="AI958" s="41" t="str">
        <f>IF($C958="","",$B958&amp;"|"&amp;(COUNTIFS($B$4:$B$1463,$B958,$AG$4:$AG$1463,"&gt;"&amp;$AG958)+COUNTIFS($B$4:$B958,$B958,$AG$4:$AG958,"="&amp;$AG958)))</f>
        <v>SBG|4</v>
      </c>
    </row>
    <row r="959" spans="1:35" hidden="1">
      <c r="A959" s="69" t="s">
        <v>109</v>
      </c>
      <c r="B959" s="69" t="s">
        <v>112</v>
      </c>
      <c r="C959" s="63" t="s">
        <v>2171</v>
      </c>
      <c r="D959" s="69" t="s">
        <v>567</v>
      </c>
      <c r="E959" s="68" t="s">
        <v>80</v>
      </c>
      <c r="F959" s="19" t="str">
        <f>IF($C959="","",IF($E959="","-",IFERROR(INDEX(SETUP!$B$55:$B$64,MATCH($E959,SETUP!$A$55:$A$64,0)),"Other")))</f>
        <v>Ranged DPS</v>
      </c>
      <c r="G959" s="70">
        <v>62976</v>
      </c>
      <c r="H959" s="19" t="str">
        <f>IF($C959="","",IF($G959="","-",INDEX(SETUP!$B$26:$B$32,MATCH($G959,SETUP!$A$26:$A$32,1))))</f>
        <v>62,000 - 62,999</v>
      </c>
      <c r="I959" s="70">
        <v>4019</v>
      </c>
      <c r="J959" s="19" t="str">
        <f>IF($C959="","",IF($I959="","-",INDEX(SETUP!$B$16:$B$22,MATCH($I959,SETUP!$A$16:$A$22,1))))</f>
        <v>CORE</v>
      </c>
      <c r="K959" s="19" t="str">
        <f>IF($C959="","",IF($I959="","-",TEXT(INT($I959/1000)*1000,"#,##0")&amp;" - "&amp;TEXT(INT($I959/1000)*1000+999,"#,##0")))</f>
        <v>4,000 - 4,999</v>
      </c>
      <c r="L959" s="71">
        <v>5.27</v>
      </c>
      <c r="M959" s="19" t="str">
        <f>IF($C959="","",IF($L959="","-",INDEX(SETUP!$B$36:$B$42,MATCH($L959,SETUP!$A$36:$A$42,1))))</f>
        <v>5k - 6k</v>
      </c>
      <c r="N959" s="21">
        <f>IF($C959="","",IF(OR($G959="",$I959=""),"",ROUND(100*(SETUP!$B$4*MIN(1,$I959/SETUP!$B$9)+SETUP!$B$5*MAX(0,MIN(1,($G959-SETUP!$B$10)/(SETUP!$B$11-SETUP!$B$10)))+SETUP!$B$6*MIN(1,IF($L959="",0,$L959)/SETUP!$B$12)),1)))</f>
        <v>47.3</v>
      </c>
      <c r="O959" s="19" t="str">
        <f>IF($C959="","",IF($N959="","-",INDEX(SETUP!$B$46:$B$51,MATCH($N959,SETUP!$A$46:$A$51,1))))</f>
        <v>B</v>
      </c>
      <c r="P959" s="19">
        <f>IF($C959="","",IF($I959="","",RANK($I959,$I$4:$I$1463)+COUNTIF($I$4:$I959,$I959)-1))</f>
        <v>601</v>
      </c>
      <c r="Q959" s="19">
        <f>IF($C959="","",COUNTIFS($B$4:$B$1463,$B959,$X$4:$X$1463,"&gt;"&amp;$X959)+COUNTIFS($B$4:$B959,$B959,$X$4:$X959,"="&amp;$X959))</f>
        <v>44</v>
      </c>
      <c r="R959" s="75">
        <f>IF($C959="","",IF($I959="","",ROUND(COUNTIF($I$4:$I$1463,"&lt;"&amp;$I959)/COUNT($I$4:$I$1463),3)))</f>
        <v>0.54600000000000004</v>
      </c>
      <c r="S959" s="19" t="str">
        <f>IF($C959="","",IF($G959="","Name only",IF(OR($I959="",$L959=""),"Partial","Complete")))</f>
        <v>Complete</v>
      </c>
      <c r="T959" s="1" t="str">
        <f>IF($C959="","",TRIM(IF(COUNTIF($C$4:$C$1463,$C959)&gt;1,"Dup name; ","")&amp;IF(AND($G959&lt;&gt;"",$G959&lt;55000),"Low CR - verify; ","")&amp;IF(AND($L959&lt;&gt;"",$L959&gt;15),"Secondary - verify; ","")&amp;IF($E959="","No class; ","")))</f>
        <v/>
      </c>
      <c r="U959" s="68"/>
      <c r="V959" s="68"/>
      <c r="W959" s="68"/>
      <c r="X959" s="76">
        <f t="shared" si="72"/>
        <v>4019</v>
      </c>
      <c r="Y959" s="1" t="str">
        <f t="shared" si="73"/>
        <v>ACHERON|44</v>
      </c>
      <c r="Z959" s="19">
        <f>IF($C959="","",IF($G959="","",RANK($G959,$G$4:$G$1463)+COUNTIF($G$4:$G959,$G959)-1))</f>
        <v>436</v>
      </c>
      <c r="AA959" s="19">
        <f>IF($C959="","",IF($N959="","",RANK($N959,$N$4:$N$1463)+COUNTIF($N$4:$N959,$N959)-1))</f>
        <v>541</v>
      </c>
      <c r="AB959" s="1" t="str">
        <f>IF($C959="","",IF($E959="","",$E959&amp;"#"&amp;(COUNTIFS($E$4:$E$1463,$E959,$X$4:$X$1463,"&gt;"&amp;$X959)+COUNTIFS($E$4:$E959,$E959,$X$4:$X959,"="&amp;$X959))))</f>
        <v>WIZARD#44</v>
      </c>
      <c r="AC959" s="1" t="str">
        <f>IF($C959="","",$B959&amp;"@"&amp;(COUNTIFS($B$4:$B$1463,$B959,$C$4:$C$1463,"&lt;"&amp;$C959)+COUNTIFS($B$4:$B959,$B959,$C$4:$C959,$C959)))</f>
        <v>ACHERON@63</v>
      </c>
      <c r="AD959" s="1">
        <f t="shared" si="74"/>
        <v>956</v>
      </c>
      <c r="AE959" s="1" t="s">
        <v>2172</v>
      </c>
      <c r="AF959" s="76">
        <f t="shared" si="75"/>
        <v>62976</v>
      </c>
      <c r="AG959" s="77">
        <f t="shared" si="76"/>
        <v>5.27</v>
      </c>
      <c r="AH959" s="1" t="str">
        <f>IF($C959="","",$B959&amp;"|"&amp;(COUNTIFS($B$4:$B$1463,$B959,$AF$4:$AF$1463,"&gt;"&amp;$AF959)+COUNTIFS($B$4:$B959,$B959,$AF$4:$AF959,"="&amp;$AF959)))</f>
        <v>ACHERON|33</v>
      </c>
      <c r="AI959" s="1" t="str">
        <f>IF($C959="","",$B959&amp;"|"&amp;(COUNTIFS($B$4:$B$1463,$B959,$AG$4:$AG$1463,"&gt;"&amp;$AG959)+COUNTIFS($B$4:$B959,$B959,$AG$4:$AG959,"="&amp;$AG959)))</f>
        <v>ACHERON|39</v>
      </c>
    </row>
    <row r="960" spans="1:35">
      <c r="A960" s="69" t="s">
        <v>104</v>
      </c>
      <c r="B960" s="69" t="s">
        <v>66</v>
      </c>
      <c r="C960" s="63" t="s">
        <v>2911</v>
      </c>
      <c r="D960" s="69"/>
      <c r="E960" s="68" t="s">
        <v>80</v>
      </c>
      <c r="F960" s="15" t="str">
        <f>IF($C960="","",IF($E960="","-",IFERROR(INDEX(SETUP!$B$55:$B$64,MATCH($E960,SETUP!$A$55:$A$64,0)),"Other")))</f>
        <v>Ranged DPS</v>
      </c>
      <c r="G960" s="70">
        <v>63859</v>
      </c>
      <c r="H960" s="15" t="str">
        <f>IF($C960="","",IF($G960="","-",INDEX(SETUP!$B$26:$B$32,MATCH($G960,SETUP!$A$26:$A$32,1))))</f>
        <v>63,000 - 63,999</v>
      </c>
      <c r="I960" s="70">
        <v>8277</v>
      </c>
      <c r="J960" s="15" t="str">
        <f>IF($C960="","",IF($I960="","-",INDEX(SETUP!$B$16:$B$22,MATCH($I960,SETUP!$A$16:$A$22,1))))</f>
        <v>ELITE</v>
      </c>
      <c r="K960" s="15" t="str">
        <f>IF($C960="","",IF($I960="","-",TEXT(INT($I960/1000)*1000,"#,##0")&amp;" - "&amp;TEXT(INT($I960/1000)*1000+999,"#,##0")))</f>
        <v>8,000 - 8,999</v>
      </c>
      <c r="L960" s="71">
        <v>5.66</v>
      </c>
      <c r="M960" s="15" t="str">
        <f>IF($C960="","",IF($L960="","-",INDEX(SETUP!$B$36:$B$42,MATCH($L960,SETUP!$A$36:$A$42,1))))</f>
        <v>5k - 6k</v>
      </c>
      <c r="N960" s="17">
        <f>IF($C960="","",IF(OR($G960="",$I960=""),"",ROUND(100*(SETUP!$B$4*MIN(1,$I960/SETUP!$B$9)+SETUP!$B$5*MAX(0,MIN(1,($G960-SETUP!$B$10)/(SETUP!$B$11-SETUP!$B$10)))+SETUP!$B$6*MIN(1,IF($L960="",0,$L960)/SETUP!$B$12)),1)))</f>
        <v>68.900000000000006</v>
      </c>
      <c r="O960" s="15" t="str">
        <f>IF($C960="","",IF($N960="","-",INDEX(SETUP!$B$46:$B$51,MATCH($N960,SETUP!$A$46:$A$51,1))))</f>
        <v>S</v>
      </c>
      <c r="P960" s="15">
        <f>IF($C960="","",IF($I960="","",RANK($I960,$I$4:$I$1463)+COUNTIF($I$4:$I960,$I960)-1))</f>
        <v>133</v>
      </c>
      <c r="Q960" s="15">
        <f>IF($C960="","",COUNTIFS($B$4:$B$1463,$B960,$X$4:$X$1463,"&gt;"&amp;$X960)+COUNTIFS($B$4:$B960,$B960,$X$4:$X960,"="&amp;$X960))</f>
        <v>13</v>
      </c>
      <c r="R960" s="72">
        <f>IF($C960="","",IF($I960="","",ROUND(COUNTIF($I$4:$I$1463,"&lt;"&amp;$I960)/COUNT($I$4:$I$1463),3)))</f>
        <v>0.9</v>
      </c>
      <c r="S960" s="15" t="str">
        <f>IF($C960="","",IF($G960="","Name only",IF(OR($I960="",$L960=""),"Partial","Complete")))</f>
        <v>Complete</v>
      </c>
      <c r="T960" s="41" t="str">
        <f>IF($C960="","",TRIM(IF(COUNTIF($C$4:$C$1463,$C960)&gt;1,"Dup name; ","")&amp;IF(AND($G960&lt;&gt;"",$G960&lt;55000),"Low CR - verify; ","")&amp;IF(AND($L960&lt;&gt;"",$L960&gt;15),"Secondary - verify; ","")&amp;IF($E960="","No class; ","")))</f>
        <v/>
      </c>
      <c r="U960" s="68" t="s">
        <v>265</v>
      </c>
      <c r="V960" s="68" t="s">
        <v>66</v>
      </c>
      <c r="W960" s="68" t="s">
        <v>285</v>
      </c>
      <c r="X960" s="73">
        <f t="shared" si="72"/>
        <v>8277</v>
      </c>
      <c r="Y960" s="41" t="str">
        <f t="shared" si="73"/>
        <v>FUCT|13</v>
      </c>
      <c r="Z960" s="15">
        <f>IF($C960="","",IF($G960="","",RANK($G960,$G$4:$G$1463)+COUNTIF($G$4:$G960,$G960)-1))</f>
        <v>110</v>
      </c>
      <c r="AA960" s="15">
        <f>IF($C960="","",IF($N960="","",RANK($N960,$N$4:$N$1463)+COUNTIF($N$4:$N960,$N960)-1))</f>
        <v>138</v>
      </c>
      <c r="AB960" s="41" t="str">
        <f>IF($C960="","",IF($E960="","",$E960&amp;"#"&amp;(COUNTIFS($E$4:$E$1463,$E960,$X$4:$X$1463,"&gt;"&amp;$X960)+COUNTIFS($E$4:$E960,$E960,$X$4:$X960,"="&amp;$X960))))</f>
        <v>WIZARD#9</v>
      </c>
      <c r="AC960" s="41" t="str">
        <f>IF($C960="","",$B960&amp;"@"&amp;(COUNTIFS($B$4:$B$1463,$B960,$C$4:$C$1463,"&lt;"&amp;$C960)+COUNTIFS($B$4:$B960,$B960,$C$4:$C960,$C960)))</f>
        <v>FUCT@70</v>
      </c>
      <c r="AD960" s="41">
        <f t="shared" si="74"/>
        <v>957</v>
      </c>
      <c r="AE960" s="41" t="s">
        <v>2174</v>
      </c>
      <c r="AF960" s="73">
        <f t="shared" si="75"/>
        <v>63859</v>
      </c>
      <c r="AG960" s="74">
        <f t="shared" si="76"/>
        <v>5.66</v>
      </c>
      <c r="AH960" s="41" t="str">
        <f>IF($C960="","",$B960&amp;"|"&amp;(COUNTIFS($B$4:$B$1463,$B960,$AF$4:$AF$1463,"&gt;"&amp;$AF960)+COUNTIFS($B$4:$B960,$B960,$AF$4:$AF960,"="&amp;$AF960)))</f>
        <v>FUCT|11</v>
      </c>
      <c r="AI960" s="41" t="str">
        <f>IF($C960="","",$B960&amp;"|"&amp;(COUNTIFS($B$4:$B$1463,$B960,$AG$4:$AG$1463,"&gt;"&amp;$AG960)+COUNTIFS($B$4:$B960,$B960,$AG$4:$AG960,"="&amp;$AG960)))</f>
        <v>FUCT|26</v>
      </c>
    </row>
    <row r="961" spans="1:35" hidden="1">
      <c r="A961" s="69" t="s">
        <v>109</v>
      </c>
      <c r="B961" s="69" t="s">
        <v>114</v>
      </c>
      <c r="C961" s="63" t="s">
        <v>2175</v>
      </c>
      <c r="D961" s="69"/>
      <c r="E961" s="68" t="s">
        <v>77</v>
      </c>
      <c r="F961" s="19" t="str">
        <f>IF($C961="","",IF($E961="","-",IFERROR(INDEX(SETUP!$B$55:$B$64,MATCH($E961,SETUP!$A$55:$A$64,0)),"Other")))</f>
        <v>Control</v>
      </c>
      <c r="G961" s="70">
        <v>12455</v>
      </c>
      <c r="H961" s="19" t="str">
        <f>IF($C961="","",IF($G961="","-",INDEX(SETUP!$B$26:$B$32,MATCH($G961,SETUP!$A$26:$A$32,1))))</f>
        <v>Under 58,000</v>
      </c>
      <c r="I961" s="70">
        <v>30</v>
      </c>
      <c r="J961" s="19" t="str">
        <f>IF($C961="","",IF($I961="","-",INDEX(SETUP!$B$16:$B$22,MATCH($I961,SETUP!$A$16:$A$22,1))))</f>
        <v>ROOKIE</v>
      </c>
      <c r="K961" s="19" t="str">
        <f>IF($C961="","",IF($I961="","-",TEXT(INT($I961/1000)*1000,"#,##0")&amp;" - "&amp;TEXT(INT($I961/1000)*1000+999,"#,##0")))</f>
        <v>0 - 999</v>
      </c>
      <c r="L961" s="71">
        <v>0.3</v>
      </c>
      <c r="M961" s="19" t="str">
        <f>IF($C961="","",IF($L961="","-",INDEX(SETUP!$B$36:$B$42,MATCH($L961,SETUP!$A$36:$A$42,1))))</f>
        <v>Under 3k</v>
      </c>
      <c r="N961" s="21">
        <f>IF($C961="","",IF(OR($G961="",$I961=""),"",ROUND(100*(SETUP!$B$4*MIN(1,$I961/SETUP!$B$9)+SETUP!$B$5*MAX(0,MIN(1,($G961-SETUP!$B$10)/(SETUP!$B$11-SETUP!$B$10)))+SETUP!$B$6*MIN(1,IF($L961="",0,$L961)/SETUP!$B$12)),1)))</f>
        <v>0.6</v>
      </c>
      <c r="O961" s="19" t="str">
        <f>IF($C961="","",IF($N961="","-",INDEX(SETUP!$B$46:$B$51,MATCH($N961,SETUP!$A$46:$A$51,1))))</f>
        <v>D</v>
      </c>
      <c r="P961" s="19">
        <f>IF($C961="","",IF($I961="","",RANK($I961,$I$4:$I$1463)+COUNTIF($I$4:$I961,$I961)-1))</f>
        <v>1325</v>
      </c>
      <c r="Q961" s="19">
        <f>IF($C961="","",COUNTIFS($B$4:$B$1463,$B961,$X$4:$X$1463,"&gt;"&amp;$X961)+COUNTIFS($B$4:$B961,$B961,$X$4:$X961,"="&amp;$X961))</f>
        <v>97</v>
      </c>
      <c r="R961" s="75">
        <f>IF($C961="","",IF($I961="","",ROUND(COUNTIF($I$4:$I$1463,"&lt;"&amp;$I961)/COUNT($I$4:$I$1463),3)))</f>
        <v>0</v>
      </c>
      <c r="S961" s="19" t="str">
        <f>IF($C961="","",IF($G961="","Name only",IF(OR($I961="",$L961=""),"Partial","Complete")))</f>
        <v>Complete</v>
      </c>
      <c r="T961" s="1" t="str">
        <f>IF($C961="","",TRIM(IF(COUNTIF($C$4:$C$1463,$C961)&gt;1,"Dup name; ","")&amp;IF(AND($G961&lt;&gt;"",$G961&lt;55000),"Low CR - verify; ","")&amp;IF(AND($L961&lt;&gt;"",$L961&gt;15),"Secondary - verify; ","")&amp;IF($E961="","No class; ","")))</f>
        <v>Low CR - verify;</v>
      </c>
      <c r="U961" s="68"/>
      <c r="V961" s="68"/>
      <c r="W961" s="68"/>
      <c r="X961" s="76">
        <f t="shared" si="72"/>
        <v>30</v>
      </c>
      <c r="Y961" s="1" t="str">
        <f t="shared" si="73"/>
        <v>EMERALD LEAF TRIBE|97</v>
      </c>
      <c r="Z961" s="19">
        <f>IF($C961="","",IF($G961="","",RANK($G961,$G$4:$G$1463)+COUNTIF($G$4:$G961,$G961)-1))</f>
        <v>1325</v>
      </c>
      <c r="AA961" s="19">
        <f>IF($C961="","",IF($N961="","",RANK($N961,$N$4:$N$1463)+COUNTIF($N$4:$N961,$N961)-1))</f>
        <v>1325</v>
      </c>
      <c r="AB961" s="1" t="str">
        <f>IF($C961="","",IF($E961="","",$E961&amp;"#"&amp;(COUNTIFS($E$4:$E$1463,$E961,$X$4:$X$1463,"&gt;"&amp;$X961)+COUNTIFS($E$4:$E961,$E961,$X$4:$X961,"="&amp;$X961))))</f>
        <v>NECROMANCER#108</v>
      </c>
      <c r="AC961" s="1" t="str">
        <f>IF($C961="","",$B961&amp;"@"&amp;(COUNTIFS($B$4:$B$1463,$B961,$C$4:$C$1463,"&lt;"&amp;$C961)+COUNTIFS($B$4:$B961,$B961,$C$4:$C961,$C961)))</f>
        <v>EMERALD LEAF TRIBE@71</v>
      </c>
      <c r="AD961" s="1">
        <f t="shared" si="74"/>
        <v>958</v>
      </c>
      <c r="AE961" s="1" t="s">
        <v>2176</v>
      </c>
      <c r="AF961" s="76">
        <f t="shared" si="75"/>
        <v>12455</v>
      </c>
      <c r="AG961" s="77">
        <f t="shared" si="76"/>
        <v>0.3</v>
      </c>
      <c r="AH961" s="1" t="str">
        <f>IF($C961="","",$B961&amp;"|"&amp;(COUNTIFS($B$4:$B$1463,$B961,$AF$4:$AF$1463,"&gt;"&amp;$AF961)+COUNTIFS($B$4:$B961,$B961,$AF$4:$AF961,"="&amp;$AF961)))</f>
        <v>EMERALD LEAF TRIBE|97</v>
      </c>
      <c r="AI961" s="1" t="str">
        <f>IF($C961="","",$B961&amp;"|"&amp;(COUNTIFS($B$4:$B$1463,$B961,$AG$4:$AG$1463,"&gt;"&amp;$AG961)+COUNTIFS($B$4:$B961,$B961,$AG$4:$AG961,"="&amp;$AG961)))</f>
        <v>EMERALD LEAF TRIBE|97</v>
      </c>
    </row>
    <row r="962" spans="1:35" hidden="1">
      <c r="A962" s="69" t="s">
        <v>106</v>
      </c>
      <c r="B962" s="69" t="s">
        <v>86</v>
      </c>
      <c r="C962" s="63" t="s">
        <v>2177</v>
      </c>
      <c r="D962" s="69"/>
      <c r="E962" s="68" t="s">
        <v>71</v>
      </c>
      <c r="F962" s="15" t="str">
        <f>IF($C962="","",IF($E962="","-",IFERROR(INDEX(SETUP!$B$55:$B$64,MATCH($E962,SETUP!$A$55:$A$64,0)),"Other")))</f>
        <v>Frontline</v>
      </c>
      <c r="G962" s="70">
        <v>63156</v>
      </c>
      <c r="H962" s="15" t="str">
        <f>IF($C962="","",IF($G962="","-",INDEX(SETUP!$B$26:$B$32,MATCH($G962,SETUP!$A$26:$A$32,1))))</f>
        <v>63,000 - 63,999</v>
      </c>
      <c r="I962" s="70">
        <v>9953</v>
      </c>
      <c r="J962" s="15" t="str">
        <f>IF($C962="","",IF($I962="","-",INDEX(SETUP!$B$16:$B$22,MATCH($I962,SETUP!$A$16:$A$22,1))))</f>
        <v>ELITE</v>
      </c>
      <c r="K962" s="15" t="str">
        <f>IF($C962="","",IF($I962="","-",TEXT(INT($I962/1000)*1000,"#,##0")&amp;" - "&amp;TEXT(INT($I962/1000)*1000+999,"#,##0")))</f>
        <v>9,000 - 9,999</v>
      </c>
      <c r="L962" s="71">
        <v>5.24</v>
      </c>
      <c r="M962" s="15" t="str">
        <f>IF($C962="","",IF($L962="","-",INDEX(SETUP!$B$36:$B$42,MATCH($L962,SETUP!$A$36:$A$42,1))))</f>
        <v>5k - 6k</v>
      </c>
      <c r="N962" s="17">
        <f>IF($C962="","",IF(OR($G962="",$I962=""),"",ROUND(100*(SETUP!$B$4*MIN(1,$I962/SETUP!$B$9)+SETUP!$B$5*MAX(0,MIN(1,($G962-SETUP!$B$10)/(SETUP!$B$11-SETUP!$B$10)))+SETUP!$B$6*MIN(1,IF($L962="",0,$L962)/SETUP!$B$12)),1)))</f>
        <v>73.599999999999994</v>
      </c>
      <c r="O962" s="15" t="str">
        <f>IF($C962="","",IF($N962="","-",INDEX(SETUP!$B$46:$B$51,MATCH($N962,SETUP!$A$46:$A$51,1))))</f>
        <v>S</v>
      </c>
      <c r="P962" s="15">
        <f>IF($C962="","",IF($I962="","",RANK($I962,$I$4:$I$1463)+COUNTIF($I$4:$I962,$I962)-1))</f>
        <v>56</v>
      </c>
      <c r="Q962" s="15">
        <f>IF($C962="","",COUNTIFS($B$4:$B$1463,$B962,$X$4:$X$1463,"&gt;"&amp;$X962)+COUNTIFS($B$4:$B962,$B962,$X$4:$X962,"="&amp;$X962))</f>
        <v>11</v>
      </c>
      <c r="R962" s="72">
        <f>IF($C962="","",IF($I962="","",ROUND(COUNTIF($I$4:$I$1463,"&lt;"&amp;$I962)/COUNT($I$4:$I$1463),3)))</f>
        <v>0.95799999999999996</v>
      </c>
      <c r="S962" s="15" t="str">
        <f>IF($C962="","",IF($G962="","Name only",IF(OR($I962="",$L962=""),"Partial","Complete")))</f>
        <v>Complete</v>
      </c>
      <c r="T962" s="41" t="str">
        <f>IF($C962="","",TRIM(IF(COUNTIF($C$4:$C$1463,$C962)&gt;1,"Dup name; ","")&amp;IF(AND($G962&lt;&gt;"",$G962&lt;55000),"Low CR - verify; ","")&amp;IF(AND($L962&lt;&gt;"",$L962&gt;15),"Secondary - verify; ","")&amp;IF($E962="","No class; ","")))</f>
        <v/>
      </c>
      <c r="U962" s="68"/>
      <c r="V962" s="68"/>
      <c r="W962" s="68"/>
      <c r="X962" s="73">
        <f t="shared" si="72"/>
        <v>9953</v>
      </c>
      <c r="Y962" s="41" t="str">
        <f t="shared" si="73"/>
        <v>VANGUARD|11</v>
      </c>
      <c r="Z962" s="15">
        <f>IF($C962="","",IF($G962="","",RANK($G962,$G$4:$G$1463)+COUNTIF($G$4:$G962,$G962)-1))</f>
        <v>340</v>
      </c>
      <c r="AA962" s="15">
        <f>IF($C962="","",IF($N962="","",RANK($N962,$N$4:$N$1463)+COUNTIF($N$4:$N962,$N962)-1))</f>
        <v>100</v>
      </c>
      <c r="AB962" s="41" t="str">
        <f>IF($C962="","",IF($E962="","",$E962&amp;"#"&amp;(COUNTIFS($E$4:$E$1463,$E962,$X$4:$X$1463,"&gt;"&amp;$X962)+COUNTIFS($E$4:$E962,$E962,$X$4:$X962,"="&amp;$X962))))</f>
        <v>BARBARIAN#12</v>
      </c>
      <c r="AC962" s="41" t="str">
        <f>IF($C962="","",$B962&amp;"@"&amp;(COUNTIFS($B$4:$B$1463,$B962,$C$4:$C$1463,"&lt;"&amp;$C962)+COUNTIFS($B$4:$B962,$B962,$C$4:$C962,$C962)))</f>
        <v>VANGUARD@70</v>
      </c>
      <c r="AD962" s="41">
        <f t="shared" si="74"/>
        <v>959</v>
      </c>
      <c r="AE962" s="41" t="s">
        <v>2178</v>
      </c>
      <c r="AF962" s="73">
        <f t="shared" si="75"/>
        <v>63156</v>
      </c>
      <c r="AG962" s="74">
        <f t="shared" si="76"/>
        <v>5.24</v>
      </c>
      <c r="AH962" s="41" t="str">
        <f>IF($C962="","",$B962&amp;"|"&amp;(COUNTIFS($B$4:$B$1463,$B962,$AF$4:$AF$1463,"&gt;"&amp;$AF962)+COUNTIFS($B$4:$B962,$B962,$AF$4:$AF962,"="&amp;$AF962)))</f>
        <v>VANGUARD|54</v>
      </c>
      <c r="AI962" s="41" t="str">
        <f>IF($C962="","",$B962&amp;"|"&amp;(COUNTIFS($B$4:$B$1463,$B962,$AG$4:$AG$1463,"&gt;"&amp;$AG962)+COUNTIFS($B$4:$B962,$B962,$AG$4:$AG962,"="&amp;$AG962)))</f>
        <v>VANGUARD|60</v>
      </c>
    </row>
    <row r="963" spans="1:35" hidden="1">
      <c r="A963" s="69" t="s">
        <v>109</v>
      </c>
      <c r="B963" s="69" t="s">
        <v>115</v>
      </c>
      <c r="C963" s="63" t="s">
        <v>2179</v>
      </c>
      <c r="D963" s="69"/>
      <c r="E963" s="68"/>
      <c r="F963" s="19" t="str">
        <f>IF($C963="","",IF($E963="","-",IFERROR(INDEX(SETUP!$B$55:$B$64,MATCH($E963,SETUP!$A$55:$A$64,0)),"Other")))</f>
        <v>-</v>
      </c>
      <c r="G963" s="70"/>
      <c r="H963" s="19" t="str">
        <f>IF($C963="","",IF($G963="","-",INDEX(SETUP!$B$26:$B$32,MATCH($G963,SETUP!$A$26:$A$32,1))))</f>
        <v>-</v>
      </c>
      <c r="I963" s="70"/>
      <c r="J963" s="19" t="str">
        <f>IF($C963="","",IF($I963="","-",INDEX(SETUP!$B$16:$B$22,MATCH($I963,SETUP!$A$16:$A$22,1))))</f>
        <v>-</v>
      </c>
      <c r="K963" s="19" t="str">
        <f>IF($C963="","",IF($I963="","-",TEXT(INT($I963/1000)*1000,"#,##0")&amp;" - "&amp;TEXT(INT($I963/1000)*1000+999,"#,##0")))</f>
        <v>-</v>
      </c>
      <c r="L963" s="71"/>
      <c r="M963" s="19" t="str">
        <f>IF($C963="","",IF($L963="","-",INDEX(SETUP!$B$36:$B$42,MATCH($L963,SETUP!$A$36:$A$42,1))))</f>
        <v>-</v>
      </c>
      <c r="N963" s="21" t="str">
        <f>IF($C963="","",IF(OR($G963="",$I963=""),"",ROUND(100*(SETUP!$B$4*MIN(1,$I963/SETUP!$B$9)+SETUP!$B$5*MAX(0,MIN(1,($G963-SETUP!$B$10)/(SETUP!$B$11-SETUP!$B$10)))+SETUP!$B$6*MIN(1,IF($L963="",0,$L963)/SETUP!$B$12)),1)))</f>
        <v/>
      </c>
      <c r="O963" s="19" t="str">
        <f>IF($C963="","",IF($N963="","-",INDEX(SETUP!$B$46:$B$51,MATCH($N963,SETUP!$A$46:$A$51,1))))</f>
        <v>-</v>
      </c>
      <c r="P963" s="19" t="str">
        <f>IF($C963="","",IF($I963="","",RANK($I963,$I$4:$I$1463)+COUNTIF($I$4:$I963,$I963)-1))</f>
        <v/>
      </c>
      <c r="Q963" s="19">
        <f>IF($C963="","",COUNTIFS($B$4:$B$1463,$B963,$X$4:$X$1463,"&gt;"&amp;$X963)+COUNTIFS($B$4:$B963,$B963,$X$4:$X963,"="&amp;$X963))</f>
        <v>75</v>
      </c>
      <c r="R963" s="75" t="str">
        <f>IF($C963="","",IF($I963="","",ROUND(COUNTIF($I$4:$I$1463,"&lt;"&amp;$I963)/COUNT($I$4:$I$1463),3)))</f>
        <v/>
      </c>
      <c r="S963" s="19" t="str">
        <f>IF($C963="","",IF($G963="","Name only",IF(OR($I963="",$L963=""),"Partial","Complete")))</f>
        <v>Name only</v>
      </c>
      <c r="T963" s="1" t="str">
        <f>IF($C963="","",TRIM(IF(COUNTIF($C$4:$C$1463,$C963)&gt;1,"Dup name; ","")&amp;IF(AND($G963&lt;&gt;"",$G963&lt;55000),"Low CR - verify; ","")&amp;IF(AND($L963&lt;&gt;"",$L963&gt;15),"Secondary - verify; ","")&amp;IF($E963="","No class; ","")))</f>
        <v>No class;</v>
      </c>
      <c r="U963" s="68"/>
      <c r="V963" s="68"/>
      <c r="W963" s="68"/>
      <c r="X963" s="1">
        <f t="shared" si="72"/>
        <v>-1</v>
      </c>
      <c r="Y963" s="1" t="str">
        <f t="shared" si="73"/>
        <v>SUB ROSA|75</v>
      </c>
      <c r="Z963" s="19" t="str">
        <f>IF($C963="","",IF($G963="","",RANK($G963,$G$4:$G$1463)+COUNTIF($G$4:$G963,$G963)-1))</f>
        <v/>
      </c>
      <c r="AA963" s="19" t="str">
        <f>IF($C963="","",IF($N963="","",RANK($N963,$N$4:$N$1463)+COUNTIF($N$4:$N963,$N963)-1))</f>
        <v/>
      </c>
      <c r="AB963" s="1" t="str">
        <f>IF($C963="","",IF($E963="","",$E963&amp;"#"&amp;(COUNTIFS($E$4:$E$1463,$E963,$X$4:$X$1463,"&gt;"&amp;$X963)+COUNTIFS($E$4:$E963,$E963,$X$4:$X963,"="&amp;$X963))))</f>
        <v/>
      </c>
      <c r="AC963" s="1" t="str">
        <f>IF($C963="","",$B963&amp;"@"&amp;(COUNTIFS($B$4:$B$1463,$B963,$C$4:$C$1463,"&lt;"&amp;$C963)+COUNTIFS($B$4:$B963,$B963,$C$4:$C963,$C963)))</f>
        <v>SUB ROSA@63</v>
      </c>
      <c r="AD963" s="1">
        <f t="shared" si="74"/>
        <v>960</v>
      </c>
      <c r="AE963" s="1"/>
      <c r="AF963" s="1">
        <f t="shared" si="75"/>
        <v>-1</v>
      </c>
      <c r="AG963" s="1">
        <f t="shared" si="76"/>
        <v>-1</v>
      </c>
      <c r="AH963" s="1" t="str">
        <f>IF($C963="","",$B963&amp;"|"&amp;(COUNTIFS($B$4:$B$1463,$B963,$AF$4:$AF$1463,"&gt;"&amp;$AF963)+COUNTIFS($B$4:$B963,$B963,$AF$4:$AF963,"="&amp;$AF963)))</f>
        <v>SUB ROSA|75</v>
      </c>
      <c r="AI963" s="1" t="str">
        <f>IF($C963="","",$B963&amp;"|"&amp;(COUNTIFS($B$4:$B$1463,$B963,$AG$4:$AG$1463,"&gt;"&amp;$AG963)+COUNTIFS($B$4:$B963,$B963,$AG$4:$AG963,"="&amp;$AG963)))</f>
        <v>SUB ROSA|75</v>
      </c>
    </row>
    <row r="964" spans="1:35" hidden="1">
      <c r="A964" s="69" t="s">
        <v>109</v>
      </c>
      <c r="B964" s="69" t="s">
        <v>115</v>
      </c>
      <c r="C964" s="63" t="s">
        <v>2180</v>
      </c>
      <c r="D964" s="69"/>
      <c r="E964" s="68"/>
      <c r="F964" s="15" t="str">
        <f>IF($C964="","",IF($E964="","-",IFERROR(INDEX(SETUP!$B$55:$B$64,MATCH($E964,SETUP!$A$55:$A$64,0)),"Other")))</f>
        <v>-</v>
      </c>
      <c r="G964" s="70"/>
      <c r="H964" s="15" t="str">
        <f>IF($C964="","",IF($G964="","-",INDEX(SETUP!$B$26:$B$32,MATCH($G964,SETUP!$A$26:$A$32,1))))</f>
        <v>-</v>
      </c>
      <c r="I964" s="70"/>
      <c r="J964" s="15" t="str">
        <f>IF($C964="","",IF($I964="","-",INDEX(SETUP!$B$16:$B$22,MATCH($I964,SETUP!$A$16:$A$22,1))))</f>
        <v>-</v>
      </c>
      <c r="K964" s="15" t="str">
        <f>IF($C964="","",IF($I964="","-",TEXT(INT($I964/1000)*1000,"#,##0")&amp;" - "&amp;TEXT(INT($I964/1000)*1000+999,"#,##0")))</f>
        <v>-</v>
      </c>
      <c r="L964" s="71"/>
      <c r="M964" s="15" t="str">
        <f>IF($C964="","",IF($L964="","-",INDEX(SETUP!$B$36:$B$42,MATCH($L964,SETUP!$A$36:$A$42,1))))</f>
        <v>-</v>
      </c>
      <c r="N964" s="17" t="str">
        <f>IF($C964="","",IF(OR($G964="",$I964=""),"",ROUND(100*(SETUP!$B$4*MIN(1,$I964/SETUP!$B$9)+SETUP!$B$5*MAX(0,MIN(1,($G964-SETUP!$B$10)/(SETUP!$B$11-SETUP!$B$10)))+SETUP!$B$6*MIN(1,IF($L964="",0,$L964)/SETUP!$B$12)),1)))</f>
        <v/>
      </c>
      <c r="O964" s="15" t="str">
        <f>IF($C964="","",IF($N964="","-",INDEX(SETUP!$B$46:$B$51,MATCH($N964,SETUP!$A$46:$A$51,1))))</f>
        <v>-</v>
      </c>
      <c r="P964" s="15" t="str">
        <f>IF($C964="","",IF($I964="","",RANK($I964,$I$4:$I$1463)+COUNTIF($I$4:$I964,$I964)-1))</f>
        <v/>
      </c>
      <c r="Q964" s="15">
        <f>IF($C964="","",COUNTIFS($B$4:$B$1463,$B964,$X$4:$X$1463,"&gt;"&amp;$X964)+COUNTIFS($B$4:$B964,$B964,$X$4:$X964,"="&amp;$X964))</f>
        <v>76</v>
      </c>
      <c r="R964" s="72" t="str">
        <f>IF($C964="","",IF($I964="","",ROUND(COUNTIF($I$4:$I$1463,"&lt;"&amp;$I964)/COUNT($I$4:$I$1463),3)))</f>
        <v/>
      </c>
      <c r="S964" s="15" t="str">
        <f>IF($C964="","",IF($G964="","Name only",IF(OR($I964="",$L964=""),"Partial","Complete")))</f>
        <v>Name only</v>
      </c>
      <c r="T964" s="41" t="str">
        <f>IF($C964="","",TRIM(IF(COUNTIF($C$4:$C$1463,$C964)&gt;1,"Dup name; ","")&amp;IF(AND($G964&lt;&gt;"",$G964&lt;55000),"Low CR - verify; ","")&amp;IF(AND($L964&lt;&gt;"",$L964&gt;15),"Secondary - verify; ","")&amp;IF($E964="","No class; ","")))</f>
        <v>No class;</v>
      </c>
      <c r="U964" s="68"/>
      <c r="V964" s="68"/>
      <c r="W964" s="68"/>
      <c r="X964" s="41">
        <f t="shared" ref="X964:X1027" si="77">IF($C964="","",IF($I964="",-1,$I964))</f>
        <v>-1</v>
      </c>
      <c r="Y964" s="41" t="str">
        <f t="shared" ref="Y964:Y1027" si="78">IF($C964="","",$B964&amp;"|"&amp;$Q964)</f>
        <v>SUB ROSA|76</v>
      </c>
      <c r="Z964" s="15" t="str">
        <f>IF($C964="","",IF($G964="","",RANK($G964,$G$4:$G$1463)+COUNTIF($G$4:$G964,$G964)-1))</f>
        <v/>
      </c>
      <c r="AA964" s="15" t="str">
        <f>IF($C964="","",IF($N964="","",RANK($N964,$N$4:$N$1463)+COUNTIF($N$4:$N964,$N964)-1))</f>
        <v/>
      </c>
      <c r="AB964" s="41" t="str">
        <f>IF($C964="","",IF($E964="","",$E964&amp;"#"&amp;(COUNTIFS($E$4:$E$1463,$E964,$X$4:$X$1463,"&gt;"&amp;$X964)+COUNTIFS($E$4:$E964,$E964,$X$4:$X964,"="&amp;$X964))))</f>
        <v/>
      </c>
      <c r="AC964" s="41" t="str">
        <f>IF($C964="","",$B964&amp;"@"&amp;(COUNTIFS($B$4:$B$1463,$B964,$C$4:$C$1463,"&lt;"&amp;$C964)+COUNTIFS($B$4:$B964,$B964,$C$4:$C964,$C964)))</f>
        <v>SUB ROSA@64</v>
      </c>
      <c r="AD964" s="41">
        <f t="shared" ref="AD964:AD1027" si="79">IF($C964="","",ROW()-4+1)</f>
        <v>961</v>
      </c>
      <c r="AE964" s="41"/>
      <c r="AF964" s="41">
        <f t="shared" ref="AF964:AF1027" si="80">IF($C964="","",IF($G964="",-1,$G964))</f>
        <v>-1</v>
      </c>
      <c r="AG964" s="41">
        <f t="shared" ref="AG964:AG1027" si="81">IF($C964="","",IF($L964="",-1,$L964))</f>
        <v>-1</v>
      </c>
      <c r="AH964" s="41" t="str">
        <f>IF($C964="","",$B964&amp;"|"&amp;(COUNTIFS($B$4:$B$1463,$B964,$AF$4:$AF$1463,"&gt;"&amp;$AF964)+COUNTIFS($B$4:$B964,$B964,$AF$4:$AF964,"="&amp;$AF964)))</f>
        <v>SUB ROSA|76</v>
      </c>
      <c r="AI964" s="41" t="str">
        <f>IF($C964="","",$B964&amp;"|"&amp;(COUNTIFS($B$4:$B$1463,$B964,$AG$4:$AG$1463,"&gt;"&amp;$AG964)+COUNTIFS($B$4:$B964,$B964,$AG$4:$AG964,"="&amp;$AG964)))</f>
        <v>SUB ROSA|76</v>
      </c>
    </row>
    <row r="965" spans="1:35" hidden="1">
      <c r="A965" s="69" t="s">
        <v>109</v>
      </c>
      <c r="B965" s="69" t="s">
        <v>111</v>
      </c>
      <c r="C965" s="63" t="s">
        <v>2181</v>
      </c>
      <c r="D965" s="69" t="s">
        <v>527</v>
      </c>
      <c r="E965" s="68" t="s">
        <v>73</v>
      </c>
      <c r="F965" s="19" t="str">
        <f>IF($C965="","",IF($E965="","-",IFERROR(INDEX(SETUP!$B$55:$B$64,MATCH($E965,SETUP!$A$55:$A$64,0)),"Other")))</f>
        <v>Frontline</v>
      </c>
      <c r="G965" s="70">
        <v>63950</v>
      </c>
      <c r="H965" s="19" t="str">
        <f>IF($C965="","",IF($G965="","-",INDEX(SETUP!$B$26:$B$32,MATCH($G965,SETUP!$A$26:$A$32,1))))</f>
        <v>63,000 - 63,999</v>
      </c>
      <c r="I965" s="70">
        <v>10069</v>
      </c>
      <c r="J965" s="19" t="str">
        <f>IF($C965="","",IF($I965="","-",INDEX(SETUP!$B$16:$B$22,MATCH($I965,SETUP!$A$16:$A$22,1))))</f>
        <v>APEX</v>
      </c>
      <c r="K965" s="19" t="str">
        <f>IF($C965="","",IF($I965="","-",TEXT(INT($I965/1000)*1000,"#,##0")&amp;" - "&amp;TEXT(INT($I965/1000)*1000+999,"#,##0")))</f>
        <v>10,000 - 10,999</v>
      </c>
      <c r="L965" s="71">
        <v>8.0500000000000007</v>
      </c>
      <c r="M965" s="19" t="str">
        <f>IF($C965="","",IF($L965="","-",INDEX(SETUP!$B$36:$B$42,MATCH($L965,SETUP!$A$36:$A$42,1))))</f>
        <v>8k - 10k</v>
      </c>
      <c r="N965" s="21">
        <f>IF($C965="","",IF(OR($G965="",$I965=""),"",ROUND(100*(SETUP!$B$4*MIN(1,$I965/SETUP!$B$9)+SETUP!$B$5*MAX(0,MIN(1,($G965-SETUP!$B$10)/(SETUP!$B$11-SETUP!$B$10)))+SETUP!$B$6*MIN(1,IF($L965="",0,$L965)/SETUP!$B$12)),1)))</f>
        <v>80.900000000000006</v>
      </c>
      <c r="O965" s="19" t="str">
        <f>IF($C965="","",IF($N965="","-",INDEX(SETUP!$B$46:$B$51,MATCH($N965,SETUP!$A$46:$A$51,1))))</f>
        <v>S+</v>
      </c>
      <c r="P965" s="19">
        <f>IF($C965="","",IF($I965="","",RANK($I965,$I$4:$I$1463)+COUNTIF($I$4:$I965,$I965)-1))</f>
        <v>49</v>
      </c>
      <c r="Q965" s="19">
        <f>IF($C965="","",COUNTIFS($B$4:$B$1463,$B965,$X$4:$X$1463,"&gt;"&amp;$X965)+COUNTIFS($B$4:$B965,$B965,$X$4:$X965,"="&amp;$X965))</f>
        <v>9</v>
      </c>
      <c r="R965" s="75">
        <f>IF($C965="","",IF($I965="","",ROUND(COUNTIF($I$4:$I$1463,"&lt;"&amp;$I965)/COUNT($I$4:$I$1463),3)))</f>
        <v>0.96299999999999997</v>
      </c>
      <c r="S965" s="19" t="str">
        <f>IF($C965="","",IF($G965="","Name only",IF(OR($I965="",$L965=""),"Partial","Complete")))</f>
        <v>Complete</v>
      </c>
      <c r="T965" s="1" t="str">
        <f>IF($C965="","",TRIM(IF(COUNTIF($C$4:$C$1463,$C965)&gt;1,"Dup name; ","")&amp;IF(AND($G965&lt;&gt;"",$G965&lt;55000),"Low CR - verify; ","")&amp;IF(AND($L965&lt;&gt;"",$L965&gt;15),"Secondary - verify; ","")&amp;IF($E965="","No class; ","")))</f>
        <v/>
      </c>
      <c r="U965" s="68"/>
      <c r="V965" s="68"/>
      <c r="W965" s="68"/>
      <c r="X965" s="76">
        <f t="shared" si="77"/>
        <v>10069</v>
      </c>
      <c r="Y965" s="1" t="str">
        <f t="shared" si="78"/>
        <v>RECKONING|9</v>
      </c>
      <c r="Z965" s="19">
        <f>IF($C965="","",IF($G965="","",RANK($G965,$G$4:$G$1463)+COUNTIF($G$4:$G965,$G965)-1))</f>
        <v>80</v>
      </c>
      <c r="AA965" s="19">
        <f>IF($C965="","",IF($N965="","",RANK($N965,$N$4:$N$1463)+COUNTIF($N$4:$N965,$N965)-1))</f>
        <v>42</v>
      </c>
      <c r="AB965" s="1" t="str">
        <f>IF($C965="","",IF($E965="","",$E965&amp;"#"&amp;(COUNTIFS($E$4:$E$1463,$E965,$X$4:$X$1463,"&gt;"&amp;$X965)+COUNTIFS($E$4:$E965,$E965,$X$4:$X965,"="&amp;$X965))))</f>
        <v>CRUSADER#10</v>
      </c>
      <c r="AC965" s="1" t="str">
        <f>IF($C965="","",$B965&amp;"@"&amp;(COUNTIFS($B$4:$B$1463,$B965,$C$4:$C$1463,"&lt;"&amp;$C965)+COUNTIFS($B$4:$B965,$B965,$C$4:$C965,$C965)))</f>
        <v>RECKONING@74</v>
      </c>
      <c r="AD965" s="1">
        <f t="shared" si="79"/>
        <v>962</v>
      </c>
      <c r="AE965" s="1" t="s">
        <v>2182</v>
      </c>
      <c r="AF965" s="76">
        <f t="shared" si="80"/>
        <v>63950</v>
      </c>
      <c r="AG965" s="77">
        <f t="shared" si="81"/>
        <v>8.0500000000000007</v>
      </c>
      <c r="AH965" s="1" t="str">
        <f>IF($C965="","",$B965&amp;"|"&amp;(COUNTIFS($B$4:$B$1463,$B965,$AF$4:$AF$1463,"&gt;"&amp;$AF965)+COUNTIFS($B$4:$B965,$B965,$AF$4:$AF965,"="&amp;$AF965)))</f>
        <v>RECKONING|10</v>
      </c>
      <c r="AI965" s="1" t="str">
        <f>IF($C965="","",$B965&amp;"|"&amp;(COUNTIFS($B$4:$B$1463,$B965,$AG$4:$AG$1463,"&gt;"&amp;$AG965)+COUNTIFS($B$4:$B965,$B965,$AG$4:$AG965,"="&amp;$AG965)))</f>
        <v>RECKONING|13</v>
      </c>
    </row>
    <row r="966" spans="1:35" hidden="1">
      <c r="A966" s="69" t="s">
        <v>106</v>
      </c>
      <c r="B966" s="69" t="s">
        <v>105</v>
      </c>
      <c r="C966" s="63" t="s">
        <v>2183</v>
      </c>
      <c r="D966" s="69" t="s">
        <v>619</v>
      </c>
      <c r="E966" s="68" t="s">
        <v>79</v>
      </c>
      <c r="F966" s="15" t="str">
        <f>IF($C966="","",IF($E966="","-",IFERROR(INDEX(SETUP!$B$55:$B$64,MATCH($E966,SETUP!$A$55:$A$64,0)),"Other")))</f>
        <v>Control</v>
      </c>
      <c r="G966" s="70">
        <v>64029</v>
      </c>
      <c r="H966" s="15" t="str">
        <f>IF($C966="","",IF($G966="","-",INDEX(SETUP!$B$26:$B$32,MATCH($G966,SETUP!$A$26:$A$32,1))))</f>
        <v>64,000 +</v>
      </c>
      <c r="I966" s="70">
        <v>10652</v>
      </c>
      <c r="J966" s="15" t="str">
        <f>IF($C966="","",IF($I966="","-",INDEX(SETUP!$B$16:$B$22,MATCH($I966,SETUP!$A$16:$A$22,1))))</f>
        <v>APEX</v>
      </c>
      <c r="K966" s="15" t="str">
        <f>IF($C966="","",IF($I966="","-",TEXT(INT($I966/1000)*1000,"#,##0")&amp;" - "&amp;TEXT(INT($I966/1000)*1000+999,"#,##0")))</f>
        <v>10,000 - 10,999</v>
      </c>
      <c r="L966" s="71">
        <v>7.47</v>
      </c>
      <c r="M966" s="15" t="str">
        <f>IF($C966="","",IF($L966="","-",INDEX(SETUP!$B$36:$B$42,MATCH($L966,SETUP!$A$36:$A$42,1))))</f>
        <v>6k - 8k</v>
      </c>
      <c r="N966" s="17">
        <f>IF($C966="","",IF(OR($G966="",$I966=""),"",ROUND(100*(SETUP!$B$4*MIN(1,$I966/SETUP!$B$9)+SETUP!$B$5*MAX(0,MIN(1,($G966-SETUP!$B$10)/(SETUP!$B$11-SETUP!$B$10)))+SETUP!$B$6*MIN(1,IF($L966="",0,$L966)/SETUP!$B$12)),1)))</f>
        <v>82.7</v>
      </c>
      <c r="O966" s="15" t="str">
        <f>IF($C966="","",IF($N966="","-",INDEX(SETUP!$B$46:$B$51,MATCH($N966,SETUP!$A$46:$A$51,1))))</f>
        <v>S+</v>
      </c>
      <c r="P966" s="15">
        <f>IF($C966="","",IF($I966="","",RANK($I966,$I$4:$I$1463)+COUNTIF($I$4:$I966,$I966)-1))</f>
        <v>20</v>
      </c>
      <c r="Q966" s="15">
        <f>IF($C966="","",COUNTIFS($B$4:$B$1463,$B966,$X$4:$X$1463,"&gt;"&amp;$X966)+COUNTIFS($B$4:$B966,$B966,$X$4:$X966,"="&amp;$X966))</f>
        <v>3</v>
      </c>
      <c r="R966" s="72">
        <f>IF($C966="","",IF($I966="","",ROUND(COUNTIF($I$4:$I$1463,"&lt;"&amp;$I966)/COUNT($I$4:$I$1463),3)))</f>
        <v>0.98499999999999999</v>
      </c>
      <c r="S966" s="15" t="str">
        <f>IF($C966="","",IF($G966="","Name only",IF(OR($I966="",$L966=""),"Partial","Complete")))</f>
        <v>Complete</v>
      </c>
      <c r="T966" s="41" t="str">
        <f>IF($C966="","",TRIM(IF(COUNTIF($C$4:$C$1463,$C966)&gt;1,"Dup name; ","")&amp;IF(AND($G966&lt;&gt;"",$G966&lt;55000),"Low CR - verify; ","")&amp;IF(AND($L966&lt;&gt;"",$L966&gt;15),"Secondary - verify; ","")&amp;IF($E966="","No class; ","")))</f>
        <v/>
      </c>
      <c r="U966" s="68"/>
      <c r="V966" s="68"/>
      <c r="W966" s="68"/>
      <c r="X966" s="73">
        <f t="shared" si="77"/>
        <v>10652</v>
      </c>
      <c r="Y966" s="41" t="str">
        <f t="shared" si="78"/>
        <v>LEGENDS|3</v>
      </c>
      <c r="Z966" s="15">
        <f>IF($C966="","",IF($G966="","",RANK($G966,$G$4:$G$1463)+COUNTIF($G$4:$G966,$G966)-1))</f>
        <v>66</v>
      </c>
      <c r="AA966" s="15">
        <f>IF($C966="","",IF($N966="","",RANK($N966,$N$4:$N$1463)+COUNTIF($N$4:$N966,$N966)-1))</f>
        <v>34</v>
      </c>
      <c r="AB966" s="41" t="str">
        <f>IF($C966="","",IF($E966="","",$E966&amp;"#"&amp;(COUNTIFS($E$4:$E$1463,$E966,$X$4:$X$1463,"&gt;"&amp;$X966)+COUNTIFS($E$4:$E966,$E966,$X$4:$X966,"="&amp;$X966))))</f>
        <v>WARLOCK#4</v>
      </c>
      <c r="AC966" s="41" t="str">
        <f>IF($C966="","",$B966&amp;"@"&amp;(COUNTIFS($B$4:$B$1463,$B966,$C$4:$C$1463,"&lt;"&amp;$C966)+COUNTIFS($B$4:$B966,$B966,$C$4:$C966,$C966)))</f>
        <v>LEGENDS@76</v>
      </c>
      <c r="AD966" s="41">
        <f t="shared" si="79"/>
        <v>963</v>
      </c>
      <c r="AE966" s="41" t="s">
        <v>2184</v>
      </c>
      <c r="AF966" s="73">
        <f t="shared" si="80"/>
        <v>64029</v>
      </c>
      <c r="AG966" s="74">
        <f t="shared" si="81"/>
        <v>7.47</v>
      </c>
      <c r="AH966" s="41" t="str">
        <f>IF($C966="","",$B966&amp;"|"&amp;(COUNTIFS($B$4:$B$1463,$B966,$AF$4:$AF$1463,"&gt;"&amp;$AF966)+COUNTIFS($B$4:$B966,$B966,$AF$4:$AF966,"="&amp;$AF966)))</f>
        <v>LEGENDS|5</v>
      </c>
      <c r="AI966" s="41" t="str">
        <f>IF($C966="","",$B966&amp;"|"&amp;(COUNTIFS($B$4:$B$1463,$B966,$AG$4:$AG$1463,"&gt;"&amp;$AG966)+COUNTIFS($B$4:$B966,$B966,$AG$4:$AG966,"="&amp;$AG966)))</f>
        <v>LEGENDS|4</v>
      </c>
    </row>
    <row r="967" spans="1:35" hidden="1">
      <c r="A967" s="69" t="s">
        <v>109</v>
      </c>
      <c r="B967" s="69" t="s">
        <v>114</v>
      </c>
      <c r="C967" s="63" t="s">
        <v>2185</v>
      </c>
      <c r="D967" s="69"/>
      <c r="E967" s="68" t="s">
        <v>73</v>
      </c>
      <c r="F967" s="19" t="str">
        <f>IF($C967="","",IF($E967="","-",IFERROR(INDEX(SETUP!$B$55:$B$64,MATCH($E967,SETUP!$A$55:$A$64,0)),"Other")))</f>
        <v>Frontline</v>
      </c>
      <c r="G967" s="70">
        <v>61407</v>
      </c>
      <c r="H967" s="19" t="str">
        <f>IF($C967="","",IF($G967="","-",INDEX(SETUP!$B$26:$B$32,MATCH($G967,SETUP!$A$26:$A$32,1))))</f>
        <v>61,000 - 61,999</v>
      </c>
      <c r="I967" s="70">
        <v>1740</v>
      </c>
      <c r="J967" s="19" t="str">
        <f>IF($C967="","",IF($I967="","-",INDEX(SETUP!$B$16:$B$22,MATCH($I967,SETUP!$A$16:$A$22,1))))</f>
        <v>ROOKIE</v>
      </c>
      <c r="K967" s="19" t="str">
        <f>IF($C967="","",IF($I967="","-",TEXT(INT($I967/1000)*1000,"#,##0")&amp;" - "&amp;TEXT(INT($I967/1000)*1000+999,"#,##0")))</f>
        <v>1,000 - 1,999</v>
      </c>
      <c r="L967" s="71">
        <v>2.85</v>
      </c>
      <c r="M967" s="19" t="str">
        <f>IF($C967="","",IF($L967="","-",INDEX(SETUP!$B$36:$B$42,MATCH($L967,SETUP!$A$36:$A$42,1))))</f>
        <v>Under 3k</v>
      </c>
      <c r="N967" s="21">
        <f>IF($C967="","",IF(OR($G967="",$I967=""),"",ROUND(100*(SETUP!$B$4*MIN(1,$I967/SETUP!$B$9)+SETUP!$B$5*MAX(0,MIN(1,($G967-SETUP!$B$10)/(SETUP!$B$11-SETUP!$B$10)))+SETUP!$B$6*MIN(1,IF($L967="",0,$L967)/SETUP!$B$12)),1)))</f>
        <v>29.2</v>
      </c>
      <c r="O967" s="19" t="str">
        <f>IF($C967="","",IF($N967="","-",INDEX(SETUP!$B$46:$B$51,MATCH($N967,SETUP!$A$46:$A$51,1))))</f>
        <v>C</v>
      </c>
      <c r="P967" s="19">
        <f>IF($C967="","",IF($I967="","",RANK($I967,$I$4:$I$1463)+COUNTIF($I$4:$I967,$I967)-1))</f>
        <v>1156</v>
      </c>
      <c r="Q967" s="19">
        <f>IF($C967="","",COUNTIFS($B$4:$B$1463,$B967,$X$4:$X$1463,"&gt;"&amp;$X967)+COUNTIFS($B$4:$B967,$B967,$X$4:$X967,"="&amp;$X967))</f>
        <v>61</v>
      </c>
      <c r="R967" s="75">
        <f>IF($C967="","",IF($I967="","",ROUND(COUNTIF($I$4:$I$1463,"&lt;"&amp;$I967)/COUNT($I$4:$I$1463),3)))</f>
        <v>0.128</v>
      </c>
      <c r="S967" s="19" t="str">
        <f>IF($C967="","",IF($G967="","Name only",IF(OR($I967="",$L967=""),"Partial","Complete")))</f>
        <v>Complete</v>
      </c>
      <c r="T967" s="1" t="str">
        <f>IF($C967="","",TRIM(IF(COUNTIF($C$4:$C$1463,$C967)&gt;1,"Dup name; ","")&amp;IF(AND($G967&lt;&gt;"",$G967&lt;55000),"Low CR - verify; ","")&amp;IF(AND($L967&lt;&gt;"",$L967&gt;15),"Secondary - verify; ","")&amp;IF($E967="","No class; ","")))</f>
        <v/>
      </c>
      <c r="U967" s="68"/>
      <c r="V967" s="68"/>
      <c r="W967" s="68"/>
      <c r="X967" s="76">
        <f t="shared" si="77"/>
        <v>1740</v>
      </c>
      <c r="Y967" s="1" t="str">
        <f t="shared" si="78"/>
        <v>EMERALD LEAF TRIBE|61</v>
      </c>
      <c r="Z967" s="19">
        <f>IF($C967="","",IF($G967="","",RANK($G967,$G$4:$G$1463)+COUNTIF($G$4:$G967,$G967)-1))</f>
        <v>1030</v>
      </c>
      <c r="AA967" s="19">
        <f>IF($C967="","",IF($N967="","",RANK($N967,$N$4:$N$1463)+COUNTIF($N$4:$N967,$N967)-1))</f>
        <v>1165</v>
      </c>
      <c r="AB967" s="1" t="str">
        <f>IF($C967="","",IF($E967="","",$E967&amp;"#"&amp;(COUNTIFS($E$4:$E$1463,$E967,$X$4:$X$1463,"&gt;"&amp;$X967)+COUNTIFS($E$4:$E967,$E967,$X$4:$X967,"="&amp;$X967))))</f>
        <v>CRUSADER#112</v>
      </c>
      <c r="AC967" s="1" t="str">
        <f>IF($C967="","",$B967&amp;"@"&amp;(COUNTIFS($B$4:$B$1463,$B967,$C$4:$C$1463,"&lt;"&amp;$C967)+COUNTIFS($B$4:$B967,$B967,$C$4:$C967,$C967)))</f>
        <v>EMERALD LEAF TRIBE@72</v>
      </c>
      <c r="AD967" s="1">
        <f t="shared" si="79"/>
        <v>964</v>
      </c>
      <c r="AE967" s="1" t="s">
        <v>2186</v>
      </c>
      <c r="AF967" s="76">
        <f t="shared" si="80"/>
        <v>61407</v>
      </c>
      <c r="AG967" s="77">
        <f t="shared" si="81"/>
        <v>2.85</v>
      </c>
      <c r="AH967" s="1" t="str">
        <f>IF($C967="","",$B967&amp;"|"&amp;(COUNTIFS($B$4:$B$1463,$B967,$AF$4:$AF$1463,"&gt;"&amp;$AF967)+COUNTIFS($B$4:$B967,$B967,$AF$4:$AF967,"="&amp;$AF967)))</f>
        <v>EMERALD LEAF TRIBE|44</v>
      </c>
      <c r="AI967" s="1" t="str">
        <f>IF($C967="","",$B967&amp;"|"&amp;(COUNTIFS($B$4:$B$1463,$B967,$AG$4:$AG$1463,"&gt;"&amp;$AG967)+COUNTIFS($B$4:$B967,$B967,$AG$4:$AG967,"="&amp;$AG967)))</f>
        <v>EMERALD LEAF TRIBE|86</v>
      </c>
    </row>
    <row r="968" spans="1:35" hidden="1">
      <c r="A968" s="69" t="s">
        <v>109</v>
      </c>
      <c r="B968" s="69" t="s">
        <v>116</v>
      </c>
      <c r="C968" s="63" t="s">
        <v>2187</v>
      </c>
      <c r="D968" s="69" t="s">
        <v>530</v>
      </c>
      <c r="E968" s="68" t="s">
        <v>74</v>
      </c>
      <c r="F968" s="15" t="str">
        <f>IF($C968="","",IF($E968="","-",IFERROR(INDEX(SETUP!$B$55:$B$64,MATCH($E968,SETUP!$A$55:$A$64,0)),"Other")))</f>
        <v>Ranged DPS</v>
      </c>
      <c r="G968" s="70">
        <v>61259</v>
      </c>
      <c r="H968" s="15" t="str">
        <f>IF($C968="","",IF($G968="","-",INDEX(SETUP!$B$26:$B$32,MATCH($G968,SETUP!$A$26:$A$32,1))))</f>
        <v>61,000 - 61,999</v>
      </c>
      <c r="I968" s="70">
        <v>3250</v>
      </c>
      <c r="J968" s="15" t="str">
        <f>IF($C968="","",IF($I968="","-",INDEX(SETUP!$B$16:$B$22,MATCH($I968,SETUP!$A$16:$A$22,1))))</f>
        <v>DEVELOPING</v>
      </c>
      <c r="K968" s="15" t="str">
        <f>IF($C968="","",IF($I968="","-",TEXT(INT($I968/1000)*1000,"#,##0")&amp;" - "&amp;TEXT(INT($I968/1000)*1000+999,"#,##0")))</f>
        <v>3,000 - 3,999</v>
      </c>
      <c r="L968" s="71">
        <v>4.8</v>
      </c>
      <c r="M968" s="15" t="str">
        <f>IF($C968="","",IF($L968="","-",INDEX(SETUP!$B$36:$B$42,MATCH($L968,SETUP!$A$36:$A$42,1))))</f>
        <v>4k - 5k</v>
      </c>
      <c r="N968" s="17">
        <f>IF($C968="","",IF(OR($G968="",$I968=""),"",ROUND(100*(SETUP!$B$4*MIN(1,$I968/SETUP!$B$9)+SETUP!$B$5*MAX(0,MIN(1,($G968-SETUP!$B$10)/(SETUP!$B$11-SETUP!$B$10)))+SETUP!$B$6*MIN(1,IF($L968="",0,$L968)/SETUP!$B$12)),1)))</f>
        <v>38.700000000000003</v>
      </c>
      <c r="O968" s="15" t="str">
        <f>IF($C968="","",IF($N968="","-",INDEX(SETUP!$B$46:$B$51,MATCH($N968,SETUP!$A$46:$A$51,1))))</f>
        <v>B</v>
      </c>
      <c r="P968" s="15">
        <f>IF($C968="","",IF($I968="","",RANK($I968,$I$4:$I$1463)+COUNTIF($I$4:$I968,$I968)-1))</f>
        <v>805</v>
      </c>
      <c r="Q968" s="15">
        <f>IF($C968="","",COUNTIFS($B$4:$B$1463,$B968,$X$4:$X$1463,"&gt;"&amp;$X968)+COUNTIFS($B$4:$B968,$B968,$X$4:$X968,"="&amp;$X968))</f>
        <v>52</v>
      </c>
      <c r="R968" s="72">
        <f>IF($C968="","",IF($I968="","",ROUND(COUNTIF($I$4:$I$1463,"&lt;"&amp;$I968)/COUNT($I$4:$I$1463),3)))</f>
        <v>0.39200000000000002</v>
      </c>
      <c r="S968" s="15" t="str">
        <f>IF($C968="","",IF($G968="","Name only",IF(OR($I968="",$L968=""),"Partial","Complete")))</f>
        <v>Complete</v>
      </c>
      <c r="T968" s="41" t="str">
        <f>IF($C968="","",TRIM(IF(COUNTIF($C$4:$C$1463,$C968)&gt;1,"Dup name; ","")&amp;IF(AND($G968&lt;&gt;"",$G968&lt;55000),"Low CR - verify; ","")&amp;IF(AND($L968&lt;&gt;"",$L968&gt;15),"Secondary - verify; ","")&amp;IF($E968="","No class; ","")))</f>
        <v/>
      </c>
      <c r="U968" s="68"/>
      <c r="V968" s="68"/>
      <c r="W968" s="68"/>
      <c r="X968" s="73">
        <f t="shared" si="77"/>
        <v>3250</v>
      </c>
      <c r="Y968" s="41" t="str">
        <f t="shared" si="78"/>
        <v>VENGEANCE|52</v>
      </c>
      <c r="Z968" s="15">
        <f>IF($C968="","",IF($G968="","",RANK($G968,$G$4:$G$1463)+COUNTIF($G$4:$G968,$G968)-1))</f>
        <v>1070</v>
      </c>
      <c r="AA968" s="15">
        <f>IF($C968="","",IF($N968="","",RANK($N968,$N$4:$N$1463)+COUNTIF($N$4:$N968,$N968)-1))</f>
        <v>869</v>
      </c>
      <c r="AB968" s="41" t="str">
        <f>IF($C968="","",IF($E968="","",$E968&amp;"#"&amp;(COUNTIFS($E$4:$E$1463,$E968,$X$4:$X$1463,"&gt;"&amp;$X968)+COUNTIFS($E$4:$E968,$E968,$X$4:$X968,"="&amp;$X968))))</f>
        <v>DEMON HUNTER#128</v>
      </c>
      <c r="AC968" s="41" t="str">
        <f>IF($C968="","",$B968&amp;"@"&amp;(COUNTIFS($B$4:$B$1463,$B968,$C$4:$C$1463,"&lt;"&amp;$C968)+COUNTIFS($B$4:$B968,$B968,$C$4:$C968,$C968)))</f>
        <v>VENGEANCE@62</v>
      </c>
      <c r="AD968" s="41">
        <f t="shared" si="79"/>
        <v>965</v>
      </c>
      <c r="AE968" s="41" t="s">
        <v>986</v>
      </c>
      <c r="AF968" s="73">
        <f t="shared" si="80"/>
        <v>61259</v>
      </c>
      <c r="AG968" s="74">
        <f t="shared" si="81"/>
        <v>4.8</v>
      </c>
      <c r="AH968" s="41" t="str">
        <f>IF($C968="","",$B968&amp;"|"&amp;(COUNTIFS($B$4:$B$1463,$B968,$AF$4:$AF$1463,"&gt;"&amp;$AF968)+COUNTIFS($B$4:$B968,$B968,$AF$4:$AF968,"="&amp;$AF968)))</f>
        <v>VENGEANCE|70</v>
      </c>
      <c r="AI968" s="41" t="str">
        <f>IF($C968="","",$B968&amp;"|"&amp;(COUNTIFS($B$4:$B$1463,$B968,$AG$4:$AG$1463,"&gt;"&amp;$AG968)+COUNTIFS($B$4:$B968,$B968,$AG$4:$AG968,"="&amp;$AG968)))</f>
        <v>VENGEANCE|41</v>
      </c>
    </row>
    <row r="969" spans="1:35" hidden="1">
      <c r="A969" s="69" t="s">
        <v>109</v>
      </c>
      <c r="B969" s="69" t="s">
        <v>117</v>
      </c>
      <c r="C969" s="63" t="s">
        <v>2188</v>
      </c>
      <c r="D969" s="69"/>
      <c r="E969" s="68" t="s">
        <v>75</v>
      </c>
      <c r="F969" s="19" t="str">
        <f>IF($C969="","",IF($E969="","-",IFERROR(INDEX(SETUP!$B$55:$B$64,MATCH($E969,SETUP!$A$55:$A$64,0)),"Other")))</f>
        <v>Support</v>
      </c>
      <c r="G969" s="70">
        <v>61104</v>
      </c>
      <c r="H969" s="19" t="str">
        <f>IF($C969="","",IF($G969="","-",INDEX(SETUP!$B$26:$B$32,MATCH($G969,SETUP!$A$26:$A$32,1))))</f>
        <v>61,000 - 61,999</v>
      </c>
      <c r="I969" s="70">
        <v>2920</v>
      </c>
      <c r="J969" s="19" t="str">
        <f>IF($C969="","",IF($I969="","-",INDEX(SETUP!$B$16:$B$22,MATCH($I969,SETUP!$A$16:$A$22,1))))</f>
        <v>DEVELOPING</v>
      </c>
      <c r="K969" s="19" t="str">
        <f>IF($C969="","",IF($I969="","-",TEXT(INT($I969/1000)*1000,"#,##0")&amp;" - "&amp;TEXT(INT($I969/1000)*1000+999,"#,##0")))</f>
        <v>2,000 - 2,999</v>
      </c>
      <c r="L969" s="71">
        <v>3.6</v>
      </c>
      <c r="M969" s="19" t="str">
        <f>IF($C969="","",IF($L969="","-",INDEX(SETUP!$B$36:$B$42,MATCH($L969,SETUP!$A$36:$A$42,1))))</f>
        <v>3k - 4k</v>
      </c>
      <c r="N969" s="21">
        <f>IF($C969="","",IF(OR($G969="",$I969=""),"",ROUND(100*(SETUP!$B$4*MIN(1,$I969/SETUP!$B$9)+SETUP!$B$5*MAX(0,MIN(1,($G969-SETUP!$B$10)/(SETUP!$B$11-SETUP!$B$10)))+SETUP!$B$6*MIN(1,IF($L969="",0,$L969)/SETUP!$B$12)),1)))</f>
        <v>34.799999999999997</v>
      </c>
      <c r="O969" s="19" t="str">
        <f>IF($C969="","",IF($N969="","-",INDEX(SETUP!$B$46:$B$51,MATCH($N969,SETUP!$A$46:$A$51,1))))</f>
        <v>C</v>
      </c>
      <c r="P969" s="19">
        <f>IF($C969="","",IF($I969="","",RANK($I969,$I$4:$I$1463)+COUNTIF($I$4:$I969,$I969)-1))</f>
        <v>903</v>
      </c>
      <c r="Q969" s="19">
        <f>IF($C969="","",COUNTIFS($B$4:$B$1463,$B969,$X$4:$X$1463,"&gt;"&amp;$X969)+COUNTIFS($B$4:$B969,$B969,$X$4:$X969,"="&amp;$X969))</f>
        <v>18</v>
      </c>
      <c r="R969" s="75">
        <f>IF($C969="","",IF($I969="","",ROUND(COUNTIF($I$4:$I$1463,"&lt;"&amp;$I969)/COUNT($I$4:$I$1463),3)))</f>
        <v>0.318</v>
      </c>
      <c r="S969" s="19" t="str">
        <f>IF($C969="","",IF($G969="","Name only",IF(OR($I969="",$L969=""),"Partial","Complete")))</f>
        <v>Complete</v>
      </c>
      <c r="T969" s="1" t="str">
        <f>IF($C969="","",TRIM(IF(COUNTIF($C$4:$C$1463,$C969)&gt;1,"Dup name; ","")&amp;IF(AND($G969&lt;&gt;"",$G969&lt;55000),"Low CR - verify; ","")&amp;IF(AND($L969&lt;&gt;"",$L969&gt;15),"Secondary - verify; ","")&amp;IF($E969="","No class; ","")))</f>
        <v/>
      </c>
      <c r="U969" s="68"/>
      <c r="V969" s="68"/>
      <c r="W969" s="68"/>
      <c r="X969" s="76">
        <f t="shared" si="77"/>
        <v>2920</v>
      </c>
      <c r="Y969" s="1" t="str">
        <f t="shared" si="78"/>
        <v>VENDETTA|18</v>
      </c>
      <c r="Z969" s="19">
        <f>IF($C969="","",IF($G969="","",RANK($G969,$G$4:$G$1463)+COUNTIF($G$4:$G969,$G969)-1))</f>
        <v>1117</v>
      </c>
      <c r="AA969" s="19">
        <f>IF($C969="","",IF($N969="","",RANK($N969,$N$4:$N$1463)+COUNTIF($N$4:$N969,$N969)-1))</f>
        <v>1012</v>
      </c>
      <c r="AB969" s="1" t="str">
        <f>IF($C969="","",IF($E969="","",$E969&amp;"#"&amp;(COUNTIFS($E$4:$E$1463,$E969,$X$4:$X$1463,"&gt;"&amp;$X969)+COUNTIFS($E$4:$E969,$E969,$X$4:$X969,"="&amp;$X969))))</f>
        <v>DRUID#42</v>
      </c>
      <c r="AC969" s="1" t="str">
        <f>IF($C969="","",$B969&amp;"@"&amp;(COUNTIFS($B$4:$B$1463,$B969,$C$4:$C$1463,"&lt;"&amp;$C969)+COUNTIFS($B$4:$B969,$B969,$C$4:$C969,$C969)))</f>
        <v>VENDETTA@74</v>
      </c>
      <c r="AD969" s="1">
        <f t="shared" si="79"/>
        <v>966</v>
      </c>
      <c r="AE969" s="1" t="s">
        <v>648</v>
      </c>
      <c r="AF969" s="76">
        <f t="shared" si="80"/>
        <v>61104</v>
      </c>
      <c r="AG969" s="77">
        <f t="shared" si="81"/>
        <v>3.6</v>
      </c>
      <c r="AH969" s="1" t="str">
        <f>IF($C969="","",$B969&amp;"|"&amp;(COUNTIFS($B$4:$B$1463,$B969,$AF$4:$AF$1463,"&gt;"&amp;$AF969)+COUNTIFS($B$4:$B969,$B969,$AF$4:$AF969,"="&amp;$AF969)))</f>
        <v>VENDETTA|62</v>
      </c>
      <c r="AI969" s="1" t="str">
        <f>IF($C969="","",$B969&amp;"|"&amp;(COUNTIFS($B$4:$B$1463,$B969,$AG$4:$AG$1463,"&gt;"&amp;$AG969)+COUNTIFS($B$4:$B969,$B969,$AG$4:$AG969,"="&amp;$AG969)))</f>
        <v>VENDETTA|51</v>
      </c>
    </row>
    <row r="970" spans="1:35">
      <c r="A970" s="69" t="s">
        <v>104</v>
      </c>
      <c r="B970" s="69" t="s">
        <v>66</v>
      </c>
      <c r="C970" s="63" t="s">
        <v>2065</v>
      </c>
      <c r="D970" s="69"/>
      <c r="E970" s="68" t="s">
        <v>71</v>
      </c>
      <c r="F970" s="19" t="str">
        <f>IF($C970="","",IF($E970="","-",IFERROR(INDEX(SETUP!$B$55:$B$64,MATCH($E970,SETUP!$A$55:$A$64,0)),"Other")))</f>
        <v>Frontline</v>
      </c>
      <c r="G970" s="70">
        <v>62882</v>
      </c>
      <c r="H970" s="19" t="str">
        <f>IF($C970="","",IF($G970="","-",INDEX(SETUP!$B$26:$B$32,MATCH($G970,SETUP!$A$26:$A$32,1))))</f>
        <v>62,000 - 62,999</v>
      </c>
      <c r="I970" s="70">
        <v>2768</v>
      </c>
      <c r="J970" s="19" t="str">
        <f>IF($C970="","",IF($I970="","-",INDEX(SETUP!$B$16:$B$22,MATCH($I970,SETUP!$A$16:$A$22,1))))</f>
        <v>DEVELOPING</v>
      </c>
      <c r="K970" s="19" t="str">
        <f>IF($C970="","",IF($I970="","-",TEXT(INT($I970/1000)*1000,"#,##0")&amp;" - "&amp;TEXT(INT($I970/1000)*1000+999,"#,##0")))</f>
        <v>2,000 - 2,999</v>
      </c>
      <c r="L970" s="71">
        <v>4.42</v>
      </c>
      <c r="M970" s="19" t="str">
        <f>IF($C970="","",IF($L970="","-",INDEX(SETUP!$B$36:$B$42,MATCH($L970,SETUP!$A$36:$A$42,1))))</f>
        <v>4k - 5k</v>
      </c>
      <c r="N970" s="21">
        <f>IF($C970="","",IF(OR($G970="",$I970=""),"",ROUND(100*(SETUP!$B$4*MIN(1,$I970/SETUP!$B$9)+SETUP!$B$5*MAX(0,MIN(1,($G970-SETUP!$B$10)/(SETUP!$B$11-SETUP!$B$10)))+SETUP!$B$6*MIN(1,IF($L970="",0,$L970)/SETUP!$B$12)),1)))</f>
        <v>40.200000000000003</v>
      </c>
      <c r="O970" s="19" t="str">
        <f>IF($C970="","",IF($N970="","-",INDEX(SETUP!$B$46:$B$51,MATCH($N970,SETUP!$A$46:$A$51,1))))</f>
        <v>B</v>
      </c>
      <c r="P970" s="19">
        <f>IF($C970="","",IF($I970="","",RANK($I970,$I$4:$I$1463)+COUNTIF($I$4:$I970,$I970)-1))</f>
        <v>940</v>
      </c>
      <c r="Q970" s="19">
        <f>IF($C970="","",COUNTIFS($B$4:$B$1463,$B970,$X$4:$X$1463,"&gt;"&amp;$X970)+COUNTIFS($B$4:$B970,$B970,$X$4:$X970,"="&amp;$X970))</f>
        <v>96</v>
      </c>
      <c r="R970" s="75">
        <f>IF($C970="","",IF($I970="","",ROUND(COUNTIF($I$4:$I$1463,"&lt;"&amp;$I970)/COUNT($I$4:$I$1463),3)))</f>
        <v>0.29099999999999998</v>
      </c>
      <c r="S970" s="19" t="str">
        <f>IF($C970="","",IF($G970="","Name only",IF(OR($I970="",$L970=""),"Partial","Complete")))</f>
        <v>Complete</v>
      </c>
      <c r="T970" s="1" t="str">
        <f>IF($C970="","",TRIM(IF(COUNTIF($C$4:$C$1463,$C970)&gt;1,"Dup name; ","")&amp;IF(AND($G970&lt;&gt;"",$G970&lt;55000),"Low CR - verify; ","")&amp;IF(AND($L970&lt;&gt;"",$L970&gt;15),"Secondary - verify; ","")&amp;IF($E970="","No class; ","")))</f>
        <v/>
      </c>
      <c r="U970" s="68" t="s">
        <v>264</v>
      </c>
      <c r="V970" s="68" t="s">
        <v>66</v>
      </c>
      <c r="W970" s="68" t="s">
        <v>285</v>
      </c>
      <c r="X970" s="73">
        <f t="shared" si="77"/>
        <v>2768</v>
      </c>
      <c r="Y970" s="41" t="str">
        <f t="shared" si="78"/>
        <v>FUCT|96</v>
      </c>
      <c r="Z970" s="15">
        <f>IF($C970="","",IF($G970="","",RANK($G970,$G$4:$G$1463)+COUNTIF($G$4:$G970,$G970)-1))</f>
        <v>480</v>
      </c>
      <c r="AA970" s="15">
        <f>IF($C970="","",IF($N970="","",RANK($N970,$N$4:$N$1463)+COUNTIF($N$4:$N970,$N970)-1))</f>
        <v>815</v>
      </c>
      <c r="AB970" s="41" t="str">
        <f>IF($C970="","",IF($E970="","",$E970&amp;"#"&amp;(COUNTIFS($E$4:$E$1463,$E970,$X$4:$X$1463,"&gt;"&amp;$X970)+COUNTIFS($E$4:$E970,$E970,$X$4:$X970,"="&amp;$X970))))</f>
        <v>BARBARIAN#163</v>
      </c>
      <c r="AC970" s="41" t="str">
        <f>IF($C970="","",$B970&amp;"@"&amp;(COUNTIFS($B$4:$B$1463,$B970,$C$4:$C$1463,"&lt;"&amp;$C970)+COUNTIFS($B$4:$B970,$B970,$C$4:$C970,$C970)))</f>
        <v>FUCT@71</v>
      </c>
      <c r="AD970" s="41">
        <f t="shared" si="79"/>
        <v>967</v>
      </c>
      <c r="AE970" s="41" t="s">
        <v>2189</v>
      </c>
      <c r="AF970" s="73">
        <f t="shared" si="80"/>
        <v>62882</v>
      </c>
      <c r="AG970" s="74">
        <f t="shared" si="81"/>
        <v>4.42</v>
      </c>
      <c r="AH970" s="41" t="str">
        <f>IF($C970="","",$B970&amp;"|"&amp;(COUNTIFS($B$4:$B$1463,$B970,$AF$4:$AF$1463,"&gt;"&amp;$AF970)+COUNTIFS($B$4:$B970,$B970,$AF$4:$AF970,"="&amp;$AF970)))</f>
        <v>FUCT|52</v>
      </c>
      <c r="AI970" s="41" t="str">
        <f>IF($C970="","",$B970&amp;"|"&amp;(COUNTIFS($B$4:$B$1463,$B970,$AG$4:$AG$1463,"&gt;"&amp;$AG970)+COUNTIFS($B$4:$B970,$B970,$AG$4:$AG970,"="&amp;$AG970)))</f>
        <v>FUCT|62</v>
      </c>
    </row>
    <row r="971" spans="1:35" hidden="1">
      <c r="A971" s="69" t="s">
        <v>109</v>
      </c>
      <c r="B971" s="69" t="s">
        <v>115</v>
      </c>
      <c r="C971" s="63" t="s">
        <v>2190</v>
      </c>
      <c r="D971" s="69"/>
      <c r="E971" s="68" t="s">
        <v>79</v>
      </c>
      <c r="F971" s="19" t="str">
        <f>IF($C971="","",IF($E971="","-",IFERROR(INDEX(SETUP!$B$55:$B$64,MATCH($E971,SETUP!$A$55:$A$64,0)),"Other")))</f>
        <v>Control</v>
      </c>
      <c r="G971" s="70">
        <v>62749</v>
      </c>
      <c r="H971" s="19" t="str">
        <f>IF($C971="","",IF($G971="","-",INDEX(SETUP!$B$26:$B$32,MATCH($G971,SETUP!$A$26:$A$32,1))))</f>
        <v>62,000 - 62,999</v>
      </c>
      <c r="I971" s="70">
        <v>2710</v>
      </c>
      <c r="J971" s="19" t="str">
        <f>IF($C971="","",IF($I971="","-",INDEX(SETUP!$B$16:$B$22,MATCH($I971,SETUP!$A$16:$A$22,1))))</f>
        <v>DEVELOPING</v>
      </c>
      <c r="K971" s="19" t="str">
        <f>IF($C971="","",IF($I971="","-",TEXT(INT($I971/1000)*1000,"#,##0")&amp;" - "&amp;TEXT(INT($I971/1000)*1000+999,"#,##0")))</f>
        <v>2,000 - 2,999</v>
      </c>
      <c r="L971" s="71">
        <v>5.2</v>
      </c>
      <c r="M971" s="19" t="str">
        <f>IF($C971="","",IF($L971="","-",INDEX(SETUP!$B$36:$B$42,MATCH($L971,SETUP!$A$36:$A$42,1))))</f>
        <v>5k - 6k</v>
      </c>
      <c r="N971" s="21">
        <f>IF($C971="","",IF(OR($G971="",$I971=""),"",ROUND(100*(SETUP!$B$4*MIN(1,$I971/SETUP!$B$9)+SETUP!$B$5*MAX(0,MIN(1,($G971-SETUP!$B$10)/(SETUP!$B$11-SETUP!$B$10)))+SETUP!$B$6*MIN(1,IF($L971="",0,$L971)/SETUP!$B$12)),1)))</f>
        <v>40.9</v>
      </c>
      <c r="O971" s="19" t="str">
        <f>IF($C971="","",IF($N971="","-",INDEX(SETUP!$B$46:$B$51,MATCH($N971,SETUP!$A$46:$A$51,1))))</f>
        <v>B</v>
      </c>
      <c r="P971" s="19">
        <f>IF($C971="","",IF($I971="","",RANK($I971,$I$4:$I$1463)+COUNTIF($I$4:$I971,$I971)-1))</f>
        <v>951</v>
      </c>
      <c r="Q971" s="19">
        <f>IF($C971="","",COUNTIFS($B$4:$B$1463,$B971,$X$4:$X$1463,"&gt;"&amp;$X971)+COUNTIFS($B$4:$B971,$B971,$X$4:$X971,"="&amp;$X971))</f>
        <v>30</v>
      </c>
      <c r="R971" s="75">
        <f>IF($C971="","",IF($I971="","",ROUND(COUNTIF($I$4:$I$1463,"&lt;"&amp;$I971)/COUNT($I$4:$I$1463),3)))</f>
        <v>0.28199999999999997</v>
      </c>
      <c r="S971" s="19" t="str">
        <f>IF($C971="","",IF($G971="","Name only",IF(OR($I971="",$L971=""),"Partial","Complete")))</f>
        <v>Complete</v>
      </c>
      <c r="T971" s="1" t="str">
        <f>IF($C971="","",TRIM(IF(COUNTIF($C$4:$C$1463,$C971)&gt;1,"Dup name; ","")&amp;IF(AND($G971&lt;&gt;"",$G971&lt;55000),"Low CR - verify; ","")&amp;IF(AND($L971&lt;&gt;"",$L971&gt;15),"Secondary - verify; ","")&amp;IF($E971="","No class; ","")))</f>
        <v/>
      </c>
      <c r="U971" s="68"/>
      <c r="V971" s="68"/>
      <c r="W971" s="68"/>
      <c r="X971" s="76">
        <f t="shared" si="77"/>
        <v>2710</v>
      </c>
      <c r="Y971" s="1" t="str">
        <f t="shared" si="78"/>
        <v>SUB ROSA|30</v>
      </c>
      <c r="Z971" s="19">
        <f>IF($C971="","",IF($G971="","",RANK($G971,$G$4:$G$1463)+COUNTIF($G$4:$G971,$G971)-1))</f>
        <v>545</v>
      </c>
      <c r="AA971" s="19">
        <f>IF($C971="","",IF($N971="","",RANK($N971,$N$4:$N$1463)+COUNTIF($N$4:$N971,$N971)-1))</f>
        <v>784</v>
      </c>
      <c r="AB971" s="1" t="str">
        <f>IF($C971="","",IF($E971="","",$E971&amp;"#"&amp;(COUNTIFS($E$4:$E$1463,$E971,$X$4:$X$1463,"&gt;"&amp;$X971)+COUNTIFS($E$4:$E971,$E971,$X$4:$X971,"="&amp;$X971))))</f>
        <v>WARLOCK#235</v>
      </c>
      <c r="AC971" s="1" t="str">
        <f>IF($C971="","",$B971&amp;"@"&amp;(COUNTIFS($B$4:$B$1463,$B971,$C$4:$C$1463,"&lt;"&amp;$C971)+COUNTIFS($B$4:$B971,$B971,$C$4:$C971,$C971)))</f>
        <v>SUB ROSA@65</v>
      </c>
      <c r="AD971" s="1">
        <f t="shared" si="79"/>
        <v>968</v>
      </c>
      <c r="AE971" s="1" t="s">
        <v>1060</v>
      </c>
      <c r="AF971" s="76">
        <f t="shared" si="80"/>
        <v>62749</v>
      </c>
      <c r="AG971" s="77">
        <f t="shared" si="81"/>
        <v>5.2</v>
      </c>
      <c r="AH971" s="1" t="str">
        <f>IF($C971="","",$B971&amp;"|"&amp;(COUNTIFS($B$4:$B$1463,$B971,$AF$4:$AF$1463,"&gt;"&amp;$AF971)+COUNTIFS($B$4:$B971,$B971,$AF$4:$AF971,"="&amp;$AF971)))</f>
        <v>SUB ROSA|17</v>
      </c>
      <c r="AI971" s="1" t="str">
        <f>IF($C971="","",$B971&amp;"|"&amp;(COUNTIFS($B$4:$B$1463,$B971,$AG$4:$AG$1463,"&gt;"&amp;$AG971)+COUNTIFS($B$4:$B971,$B971,$AG$4:$AG971,"="&amp;$AG971)))</f>
        <v>SUB ROSA|9</v>
      </c>
    </row>
    <row r="972" spans="1:35" hidden="1">
      <c r="A972" s="69" t="s">
        <v>106</v>
      </c>
      <c r="B972" s="69" t="s">
        <v>105</v>
      </c>
      <c r="C972" s="63" t="s">
        <v>2191</v>
      </c>
      <c r="D972" s="69"/>
      <c r="E972" s="68"/>
      <c r="F972" s="15" t="str">
        <f>IF($C972="","",IF($E972="","-",IFERROR(INDEX(SETUP!$B$55:$B$64,MATCH($E972,SETUP!$A$55:$A$64,0)),"Other")))</f>
        <v>-</v>
      </c>
      <c r="G972" s="70"/>
      <c r="H972" s="15" t="str">
        <f>IF($C972="","",IF($G972="","-",INDEX(SETUP!$B$26:$B$32,MATCH($G972,SETUP!$A$26:$A$32,1))))</f>
        <v>-</v>
      </c>
      <c r="I972" s="70"/>
      <c r="J972" s="15" t="str">
        <f>IF($C972="","",IF($I972="","-",INDEX(SETUP!$B$16:$B$22,MATCH($I972,SETUP!$A$16:$A$22,1))))</f>
        <v>-</v>
      </c>
      <c r="K972" s="15" t="str">
        <f>IF($C972="","",IF($I972="","-",TEXT(INT($I972/1000)*1000,"#,##0")&amp;" - "&amp;TEXT(INT($I972/1000)*1000+999,"#,##0")))</f>
        <v>-</v>
      </c>
      <c r="L972" s="71"/>
      <c r="M972" s="15" t="str">
        <f>IF($C972="","",IF($L972="","-",INDEX(SETUP!$B$36:$B$42,MATCH($L972,SETUP!$A$36:$A$42,1))))</f>
        <v>-</v>
      </c>
      <c r="N972" s="17" t="str">
        <f>IF($C972="","",IF(OR($G972="",$I972=""),"",ROUND(100*(SETUP!$B$4*MIN(1,$I972/SETUP!$B$9)+SETUP!$B$5*MAX(0,MIN(1,($G972-SETUP!$B$10)/(SETUP!$B$11-SETUP!$B$10)))+SETUP!$B$6*MIN(1,IF($L972="",0,$L972)/SETUP!$B$12)),1)))</f>
        <v/>
      </c>
      <c r="O972" s="15" t="str">
        <f>IF($C972="","",IF($N972="","-",INDEX(SETUP!$B$46:$B$51,MATCH($N972,SETUP!$A$46:$A$51,1))))</f>
        <v>-</v>
      </c>
      <c r="P972" s="15" t="str">
        <f>IF($C972="","",IF($I972="","",RANK($I972,$I$4:$I$1463)+COUNTIF($I$4:$I972,$I972)-1))</f>
        <v/>
      </c>
      <c r="Q972" s="15">
        <f>IF($C972="","",COUNTIFS($B$4:$B$1463,$B972,$X$4:$X$1463,"&gt;"&amp;$X972)+COUNTIFS($B$4:$B972,$B972,$X$4:$X972,"="&amp;$X972))</f>
        <v>100</v>
      </c>
      <c r="R972" s="72" t="str">
        <f>IF($C972="","",IF($I972="","",ROUND(COUNTIF($I$4:$I$1463,"&lt;"&amp;$I972)/COUNT($I$4:$I$1463),3)))</f>
        <v/>
      </c>
      <c r="S972" s="15" t="str">
        <f>IF($C972="","",IF($G972="","Name only",IF(OR($I972="",$L972=""),"Partial","Complete")))</f>
        <v>Name only</v>
      </c>
      <c r="T972" s="41" t="str">
        <f>IF($C972="","",TRIM(IF(COUNTIF($C$4:$C$1463,$C972)&gt;1,"Dup name; ","")&amp;IF(AND($G972&lt;&gt;"",$G972&lt;55000),"Low CR - verify; ","")&amp;IF(AND($L972&lt;&gt;"",$L972&gt;15),"Secondary - verify; ","")&amp;IF($E972="","No class; ","")))</f>
        <v>No class;</v>
      </c>
      <c r="U972" s="68"/>
      <c r="V972" s="68"/>
      <c r="W972" s="68"/>
      <c r="X972" s="41">
        <f t="shared" si="77"/>
        <v>-1</v>
      </c>
      <c r="Y972" s="41" t="str">
        <f t="shared" si="78"/>
        <v>LEGENDS|100</v>
      </c>
      <c r="Z972" s="15" t="str">
        <f>IF($C972="","",IF($G972="","",RANK($G972,$G$4:$G$1463)+COUNTIF($G$4:$G972,$G972)-1))</f>
        <v/>
      </c>
      <c r="AA972" s="15" t="str">
        <f>IF($C972="","",IF($N972="","",RANK($N972,$N$4:$N$1463)+COUNTIF($N$4:$N972,$N972)-1))</f>
        <v/>
      </c>
      <c r="AB972" s="41" t="str">
        <f>IF($C972="","",IF($E972="","",$E972&amp;"#"&amp;(COUNTIFS($E$4:$E$1463,$E972,$X$4:$X$1463,"&gt;"&amp;$X972)+COUNTIFS($E$4:$E972,$E972,$X$4:$X972,"="&amp;$X972))))</f>
        <v/>
      </c>
      <c r="AC972" s="41" t="str">
        <f>IF($C972="","",$B972&amp;"@"&amp;(COUNTIFS($B$4:$B$1463,$B972,$C$4:$C$1463,"&lt;"&amp;$C972)+COUNTIFS($B$4:$B972,$B972,$C$4:$C972,$C972)))</f>
        <v>LEGENDS@77</v>
      </c>
      <c r="AD972" s="41">
        <f t="shared" si="79"/>
        <v>969</v>
      </c>
      <c r="AE972" s="41"/>
      <c r="AF972" s="41">
        <f t="shared" si="80"/>
        <v>-1</v>
      </c>
      <c r="AG972" s="41">
        <f t="shared" si="81"/>
        <v>-1</v>
      </c>
      <c r="AH972" s="41" t="str">
        <f>IF($C972="","",$B972&amp;"|"&amp;(COUNTIFS($B$4:$B$1463,$B972,$AF$4:$AF$1463,"&gt;"&amp;$AF972)+COUNTIFS($B$4:$B972,$B972,$AF$4:$AF972,"="&amp;$AF972)))</f>
        <v>LEGENDS|100</v>
      </c>
      <c r="AI972" s="41" t="str">
        <f>IF($C972="","",$B972&amp;"|"&amp;(COUNTIFS($B$4:$B$1463,$B972,$AG$4:$AG$1463,"&gt;"&amp;$AG972)+COUNTIFS($B$4:$B972,$B972,$AG$4:$AG972,"="&amp;$AG972)))</f>
        <v>LEGENDS|100</v>
      </c>
    </row>
    <row r="973" spans="1:35" hidden="1">
      <c r="A973" s="69" t="s">
        <v>106</v>
      </c>
      <c r="B973" s="69" t="s">
        <v>105</v>
      </c>
      <c r="C973" s="63" t="s">
        <v>2192</v>
      </c>
      <c r="D973" s="69" t="s">
        <v>691</v>
      </c>
      <c r="E973" s="68" t="s">
        <v>73</v>
      </c>
      <c r="F973" s="19" t="str">
        <f>IF($C973="","",IF($E973="","-",IFERROR(INDEX(SETUP!$B$55:$B$64,MATCH($E973,SETUP!$A$55:$A$64,0)),"Other")))</f>
        <v>Frontline</v>
      </c>
      <c r="G973" s="70">
        <v>60426</v>
      </c>
      <c r="H973" s="19" t="str">
        <f>IF($C973="","",IF($G973="","-",INDEX(SETUP!$B$26:$B$32,MATCH($G973,SETUP!$A$26:$A$32,1))))</f>
        <v>60,000 - 60,999</v>
      </c>
      <c r="I973" s="70">
        <v>4237</v>
      </c>
      <c r="J973" s="19" t="str">
        <f>IF($C973="","",IF($I973="","-",INDEX(SETUP!$B$16:$B$22,MATCH($I973,SETUP!$A$16:$A$22,1))))</f>
        <v>CORE</v>
      </c>
      <c r="K973" s="19" t="str">
        <f>IF($C973="","",IF($I973="","-",TEXT(INT($I973/1000)*1000,"#,##0")&amp;" - "&amp;TEXT(INT($I973/1000)*1000+999,"#,##0")))</f>
        <v>4,000 - 4,999</v>
      </c>
      <c r="L973" s="71">
        <v>4.33</v>
      </c>
      <c r="M973" s="19" t="str">
        <f>IF($C973="","",IF($L973="","-",INDEX(SETUP!$B$36:$B$42,MATCH($L973,SETUP!$A$36:$A$42,1))))</f>
        <v>4k - 5k</v>
      </c>
      <c r="N973" s="21">
        <f>IF($C973="","",IF(OR($G973="",$I973=""),"",ROUND(100*(SETUP!$B$4*MIN(1,$I973/SETUP!$B$9)+SETUP!$B$5*MAX(0,MIN(1,($G973-SETUP!$B$10)/(SETUP!$B$11-SETUP!$B$10)))+SETUP!$B$6*MIN(1,IF($L973="",0,$L973)/SETUP!$B$12)),1)))</f>
        <v>40</v>
      </c>
      <c r="O973" s="19" t="str">
        <f>IF($C973="","",IF($N973="","-",INDEX(SETUP!$B$46:$B$51,MATCH($N973,SETUP!$A$46:$A$51,1))))</f>
        <v>B</v>
      </c>
      <c r="P973" s="19">
        <f>IF($C973="","",IF($I973="","",RANK($I973,$I$4:$I$1463)+COUNTIF($I$4:$I973,$I973)-1))</f>
        <v>548</v>
      </c>
      <c r="Q973" s="19">
        <f>IF($C973="","",COUNTIFS($B$4:$B$1463,$B973,$X$4:$X$1463,"&gt;"&amp;$X973)+COUNTIFS($B$4:$B973,$B973,$X$4:$X973,"="&amp;$X973))</f>
        <v>70</v>
      </c>
      <c r="R973" s="75">
        <f>IF($C973="","",IF($I973="","",ROUND(COUNTIF($I$4:$I$1463,"&lt;"&amp;$I973)/COUNT($I$4:$I$1463),3)))</f>
        <v>0.58599999999999997</v>
      </c>
      <c r="S973" s="19" t="str">
        <f>IF($C973="","",IF($G973="","Name only",IF(OR($I973="",$L973=""),"Partial","Complete")))</f>
        <v>Complete</v>
      </c>
      <c r="T973" s="1" t="str">
        <f>IF($C973="","",TRIM(IF(COUNTIF($C$4:$C$1463,$C973)&gt;1,"Dup name; ","")&amp;IF(AND($G973&lt;&gt;"",$G973&lt;55000),"Low CR - verify; ","")&amp;IF(AND($L973&lt;&gt;"",$L973&gt;15),"Secondary - verify; ","")&amp;IF($E973="","No class; ","")))</f>
        <v/>
      </c>
      <c r="U973" s="68"/>
      <c r="V973" s="68"/>
      <c r="W973" s="68"/>
      <c r="X973" s="76">
        <f t="shared" si="77"/>
        <v>4237</v>
      </c>
      <c r="Y973" s="1" t="str">
        <f t="shared" si="78"/>
        <v>LEGENDS|70</v>
      </c>
      <c r="Z973" s="19">
        <f>IF($C973="","",IF($G973="","",RANK($G973,$G$4:$G$1463)+COUNTIF($G$4:$G973,$G973)-1))</f>
        <v>1214</v>
      </c>
      <c r="AA973" s="19">
        <f>IF($C973="","",IF($N973="","",RANK($N973,$N$4:$N$1463)+COUNTIF($N$4:$N973,$N973)-1))</f>
        <v>820</v>
      </c>
      <c r="AB973" s="1" t="str">
        <f>IF($C973="","",IF($E973="","",$E973&amp;"#"&amp;(COUNTIFS($E$4:$E$1463,$E973,$X$4:$X$1463,"&gt;"&amp;$X973)+COUNTIFS($E$4:$E973,$E973,$X$4:$X973,"="&amp;$X973))))</f>
        <v>CRUSADER#64</v>
      </c>
      <c r="AC973" s="1" t="str">
        <f>IF($C973="","",$B973&amp;"@"&amp;(COUNTIFS($B$4:$B$1463,$B973,$C$4:$C$1463,"&lt;"&amp;$C973)+COUNTIFS($B$4:$B973,$B973,$C$4:$C973,$C973)))</f>
        <v>LEGENDS@78</v>
      </c>
      <c r="AD973" s="1">
        <f t="shared" si="79"/>
        <v>970</v>
      </c>
      <c r="AE973" s="1" t="s">
        <v>2193</v>
      </c>
      <c r="AF973" s="76">
        <f t="shared" si="80"/>
        <v>60426</v>
      </c>
      <c r="AG973" s="77">
        <f t="shared" si="81"/>
        <v>4.33</v>
      </c>
      <c r="AH973" s="1" t="str">
        <f>IF($C973="","",$B973&amp;"|"&amp;(COUNTIFS($B$4:$B$1463,$B973,$AF$4:$AF$1463,"&gt;"&amp;$AF973)+COUNTIFS($B$4:$B973,$B973,$AF$4:$AF973,"="&amp;$AF973)))</f>
        <v>LEGENDS|97</v>
      </c>
      <c r="AI973" s="1" t="str">
        <f>IF($C973="","",$B973&amp;"|"&amp;(COUNTIFS($B$4:$B$1463,$B973,$AG$4:$AG$1463,"&gt;"&amp;$AG973)+COUNTIFS($B$4:$B973,$B973,$AG$4:$AG973,"="&amp;$AG973)))</f>
        <v>LEGENDS|83</v>
      </c>
    </row>
    <row r="974" spans="1:35" hidden="1">
      <c r="A974" s="69" t="s">
        <v>109</v>
      </c>
      <c r="B974" s="69" t="s">
        <v>116</v>
      </c>
      <c r="C974" s="63" t="s">
        <v>2194</v>
      </c>
      <c r="D974" s="69" t="s">
        <v>530</v>
      </c>
      <c r="E974" s="68" t="s">
        <v>73</v>
      </c>
      <c r="F974" s="15" t="str">
        <f>IF($C974="","",IF($E974="","-",IFERROR(INDEX(SETUP!$B$55:$B$64,MATCH($E974,SETUP!$A$55:$A$64,0)),"Other")))</f>
        <v>Frontline</v>
      </c>
      <c r="G974" s="70">
        <v>60081</v>
      </c>
      <c r="H974" s="15" t="str">
        <f>IF($C974="","",IF($G974="","-",INDEX(SETUP!$B$26:$B$32,MATCH($G974,SETUP!$A$26:$A$32,1))))</f>
        <v>60,000 - 60,999</v>
      </c>
      <c r="I974" s="70">
        <v>440</v>
      </c>
      <c r="J974" s="15" t="str">
        <f>IF($C974="","",IF($I974="","-",INDEX(SETUP!$B$16:$B$22,MATCH($I974,SETUP!$A$16:$A$22,1))))</f>
        <v>ROOKIE</v>
      </c>
      <c r="K974" s="15" t="str">
        <f>IF($C974="","",IF($I974="","-",TEXT(INT($I974/1000)*1000,"#,##0")&amp;" - "&amp;TEXT(INT($I974/1000)*1000+999,"#,##0")))</f>
        <v>0 - 999</v>
      </c>
      <c r="L974" s="71">
        <v>2</v>
      </c>
      <c r="M974" s="15" t="str">
        <f>IF($C974="","",IF($L974="","-",INDEX(SETUP!$B$36:$B$42,MATCH($L974,SETUP!$A$36:$A$42,1))))</f>
        <v>Under 3k</v>
      </c>
      <c r="N974" s="17">
        <f>IF($C974="","",IF(OR($G974="",$I974=""),"",ROUND(100*(SETUP!$B$4*MIN(1,$I974/SETUP!$B$9)+SETUP!$B$5*MAX(0,MIN(1,($G974-SETUP!$B$10)/(SETUP!$B$11-SETUP!$B$10)))+SETUP!$B$6*MIN(1,IF($L974="",0,$L974)/SETUP!$B$12)),1)))</f>
        <v>18.600000000000001</v>
      </c>
      <c r="O974" s="15" t="str">
        <f>IF($C974="","",IF($N974="","-",INDEX(SETUP!$B$46:$B$51,MATCH($N974,SETUP!$A$46:$A$51,1))))</f>
        <v>D</v>
      </c>
      <c r="P974" s="15">
        <f>IF($C974="","",IF($I974="","",RANK($I974,$I$4:$I$1463)+COUNTIF($I$4:$I974,$I974)-1))</f>
        <v>1321</v>
      </c>
      <c r="Q974" s="15">
        <f>IF($C974="","",COUNTIFS($B$4:$B$1463,$B974,$X$4:$X$1463,"&gt;"&amp;$X974)+COUNTIFS($B$4:$B974,$B974,$X$4:$X974,"="&amp;$X974))</f>
        <v>94</v>
      </c>
      <c r="R974" s="72">
        <f>IF($C974="","",IF($I974="","",ROUND(COUNTIF($I$4:$I$1463,"&lt;"&amp;$I974)/COUNT($I$4:$I$1463),3)))</f>
        <v>3.0000000000000001E-3</v>
      </c>
      <c r="S974" s="15" t="str">
        <f>IF($C974="","",IF($G974="","Name only",IF(OR($I974="",$L974=""),"Partial","Complete")))</f>
        <v>Complete</v>
      </c>
      <c r="T974" s="41" t="str">
        <f>IF($C974="","",TRIM(IF(COUNTIF($C$4:$C$1463,$C974)&gt;1,"Dup name; ","")&amp;IF(AND($G974&lt;&gt;"",$G974&lt;55000),"Low CR - verify; ","")&amp;IF(AND($L974&lt;&gt;"",$L974&gt;15),"Secondary - verify; ","")&amp;IF($E974="","No class; ","")))</f>
        <v/>
      </c>
      <c r="U974" s="68"/>
      <c r="V974" s="68"/>
      <c r="W974" s="68"/>
      <c r="X974" s="73">
        <f t="shared" si="77"/>
        <v>440</v>
      </c>
      <c r="Y974" s="41" t="str">
        <f t="shared" si="78"/>
        <v>VENGEANCE|94</v>
      </c>
      <c r="Z974" s="15">
        <f>IF($C974="","",IF($G974="","",RANK($G974,$G$4:$G$1463)+COUNTIF($G$4:$G974,$G974)-1))</f>
        <v>1232</v>
      </c>
      <c r="AA974" s="15">
        <f>IF($C974="","",IF($N974="","",RANK($N974,$N$4:$N$1463)+COUNTIF($N$4:$N974,$N974)-1))</f>
        <v>1298</v>
      </c>
      <c r="AB974" s="41" t="str">
        <f>IF($C974="","",IF($E974="","",$E974&amp;"#"&amp;(COUNTIFS($E$4:$E$1463,$E974,$X$4:$X$1463,"&gt;"&amp;$X974)+COUNTIFS($E$4:$E974,$E974,$X$4:$X974,"="&amp;$X974))))</f>
        <v>CRUSADER#124</v>
      </c>
      <c r="AC974" s="41" t="str">
        <f>IF($C974="","",$B974&amp;"@"&amp;(COUNTIFS($B$4:$B$1463,$B974,$C$4:$C$1463,"&lt;"&amp;$C974)+COUNTIFS($B$4:$B974,$B974,$C$4:$C974,$C974)))</f>
        <v>VENGEANCE@63</v>
      </c>
      <c r="AD974" s="41">
        <f t="shared" si="79"/>
        <v>971</v>
      </c>
      <c r="AE974" s="41" t="s">
        <v>2195</v>
      </c>
      <c r="AF974" s="73">
        <f t="shared" si="80"/>
        <v>60081</v>
      </c>
      <c r="AG974" s="74">
        <f t="shared" si="81"/>
        <v>2</v>
      </c>
      <c r="AH974" s="41" t="str">
        <f>IF($C974="","",$B974&amp;"|"&amp;(COUNTIFS($B$4:$B$1463,$B974,$AF$4:$AF$1463,"&gt;"&amp;$AF974)+COUNTIFS($B$4:$B974,$B974,$AF$4:$AF974,"="&amp;$AF974)))</f>
        <v>VENGEANCE|88</v>
      </c>
      <c r="AI974" s="41" t="str">
        <f>IF($C974="","",$B974&amp;"|"&amp;(COUNTIFS($B$4:$B$1463,$B974,$AG$4:$AG$1463,"&gt;"&amp;$AG974)+COUNTIFS($B$4:$B974,$B974,$AG$4:$AG974,"="&amp;$AG974)))</f>
        <v>VENGEANCE|94</v>
      </c>
    </row>
    <row r="975" spans="1:35" hidden="1">
      <c r="A975" s="69" t="s">
        <v>109</v>
      </c>
      <c r="B975" s="69" t="s">
        <v>117</v>
      </c>
      <c r="C975" s="63" t="s">
        <v>2196</v>
      </c>
      <c r="D975" s="69"/>
      <c r="E975" s="68" t="s">
        <v>71</v>
      </c>
      <c r="F975" s="19" t="str">
        <f>IF($C975="","",IF($E975="","-",IFERROR(INDEX(SETUP!$B$55:$B$64,MATCH($E975,SETUP!$A$55:$A$64,0)),"Other")))</f>
        <v>Frontline</v>
      </c>
      <c r="G975" s="70">
        <v>61921</v>
      </c>
      <c r="H975" s="19" t="str">
        <f>IF($C975="","",IF($G975="","-",INDEX(SETUP!$B$26:$B$32,MATCH($G975,SETUP!$A$26:$A$32,1))))</f>
        <v>61,000 - 61,999</v>
      </c>
      <c r="I975" s="70">
        <v>2515</v>
      </c>
      <c r="J975" s="19" t="str">
        <f>IF($C975="","",IF($I975="","-",INDEX(SETUP!$B$16:$B$22,MATCH($I975,SETUP!$A$16:$A$22,1))))</f>
        <v>DEVELOPING</v>
      </c>
      <c r="K975" s="19" t="str">
        <f>IF($C975="","",IF($I975="","-",TEXT(INT($I975/1000)*1000,"#,##0")&amp;" - "&amp;TEXT(INT($I975/1000)*1000+999,"#,##0")))</f>
        <v>2,000 - 2,999</v>
      </c>
      <c r="L975" s="71">
        <v>4.53</v>
      </c>
      <c r="M975" s="19" t="str">
        <f>IF($C975="","",IF($L975="","-",INDEX(SETUP!$B$36:$B$42,MATCH($L975,SETUP!$A$36:$A$42,1))))</f>
        <v>4k - 5k</v>
      </c>
      <c r="N975" s="21">
        <f>IF($C975="","",IF(OR($G975="",$I975=""),"",ROUND(100*(SETUP!$B$4*MIN(1,$I975/SETUP!$B$9)+SETUP!$B$5*MAX(0,MIN(1,($G975-SETUP!$B$10)/(SETUP!$B$11-SETUP!$B$10)))+SETUP!$B$6*MIN(1,IF($L975="",0,$L975)/SETUP!$B$12)),1)))</f>
        <v>36.700000000000003</v>
      </c>
      <c r="O975" s="19" t="str">
        <f>IF($C975="","",IF($N975="","-",INDEX(SETUP!$B$46:$B$51,MATCH($N975,SETUP!$A$46:$A$51,1))))</f>
        <v>B</v>
      </c>
      <c r="P975" s="19">
        <f>IF($C975="","",IF($I975="","",RANK($I975,$I$4:$I$1463)+COUNTIF($I$4:$I975,$I975)-1))</f>
        <v>1005</v>
      </c>
      <c r="Q975" s="19">
        <f>IF($C975="","",COUNTIFS($B$4:$B$1463,$B975,$X$4:$X$1463,"&gt;"&amp;$X975)+COUNTIFS($B$4:$B975,$B975,$X$4:$X975,"="&amp;$X975))</f>
        <v>31</v>
      </c>
      <c r="R975" s="75">
        <f>IF($C975="","",IF($I975="","",ROUND(COUNTIF($I$4:$I$1463,"&lt;"&amp;$I975)/COUNT($I$4:$I$1463),3)))</f>
        <v>0.24199999999999999</v>
      </c>
      <c r="S975" s="19" t="str">
        <f>IF($C975="","",IF($G975="","Name only",IF(OR($I975="",$L975=""),"Partial","Complete")))</f>
        <v>Complete</v>
      </c>
      <c r="T975" s="1" t="str">
        <f>IF($C975="","",TRIM(IF(COUNTIF($C$4:$C$1463,$C975)&gt;1,"Dup name; ","")&amp;IF(AND($G975&lt;&gt;"",$G975&lt;55000),"Low CR - verify; ","")&amp;IF(AND($L975&lt;&gt;"",$L975&gt;15),"Secondary - verify; ","")&amp;IF($E975="","No class; ","")))</f>
        <v/>
      </c>
      <c r="U975" s="68"/>
      <c r="V975" s="68"/>
      <c r="W975" s="68"/>
      <c r="X975" s="76">
        <f t="shared" si="77"/>
        <v>2515</v>
      </c>
      <c r="Y975" s="1" t="str">
        <f t="shared" si="78"/>
        <v>VENDETTA|31</v>
      </c>
      <c r="Z975" s="19">
        <f>IF($C975="","",IF($G975="","",RANK($G975,$G$4:$G$1463)+COUNTIF($G$4:$G975,$G975)-1))</f>
        <v>865</v>
      </c>
      <c r="AA975" s="19">
        <f>IF($C975="","",IF($N975="","",RANK($N975,$N$4:$N$1463)+COUNTIF($N$4:$N975,$N975)-1))</f>
        <v>940</v>
      </c>
      <c r="AB975" s="1" t="str">
        <f>IF($C975="","",IF($E975="","",$E975&amp;"#"&amp;(COUNTIFS($E$4:$E$1463,$E975,$X$4:$X$1463,"&gt;"&amp;$X975)+COUNTIFS($E$4:$E975,$E975,$X$4:$X975,"="&amp;$X975))))</f>
        <v>BARBARIAN#170</v>
      </c>
      <c r="AC975" s="1" t="str">
        <f>IF($C975="","",$B975&amp;"@"&amp;(COUNTIFS($B$4:$B$1463,$B975,$C$4:$C$1463,"&lt;"&amp;$C975)+COUNTIFS($B$4:$B975,$B975,$C$4:$C975,$C975)))</f>
        <v>VENDETTA@75</v>
      </c>
      <c r="AD975" s="1">
        <f t="shared" si="79"/>
        <v>972</v>
      </c>
      <c r="AE975" s="1" t="s">
        <v>2197</v>
      </c>
      <c r="AF975" s="76">
        <f t="shared" si="80"/>
        <v>61921</v>
      </c>
      <c r="AG975" s="77">
        <f t="shared" si="81"/>
        <v>4.53</v>
      </c>
      <c r="AH975" s="1" t="str">
        <f>IF($C975="","",$B975&amp;"|"&amp;(COUNTIFS($B$4:$B$1463,$B975,$AF$4:$AF$1463,"&gt;"&amp;$AF975)+COUNTIFS($B$4:$B975,$B975,$AF$4:$AF975,"="&amp;$AF975)))</f>
        <v>VENDETTA|41</v>
      </c>
      <c r="AI975" s="1" t="str">
        <f>IF($C975="","",$B975&amp;"|"&amp;(COUNTIFS($B$4:$B$1463,$B975,$AG$4:$AG$1463,"&gt;"&amp;$AG975)+COUNTIFS($B$4:$B975,$B975,$AG$4:$AG975,"="&amp;$AG975)))</f>
        <v>VENDETTA|16</v>
      </c>
    </row>
    <row r="976" spans="1:35" hidden="1">
      <c r="A976" s="69" t="s">
        <v>106</v>
      </c>
      <c r="B976" s="69" t="s">
        <v>107</v>
      </c>
      <c r="C976" s="63" t="s">
        <v>2198</v>
      </c>
      <c r="D976" s="69"/>
      <c r="E976" s="68" t="s">
        <v>74</v>
      </c>
      <c r="F976" s="15" t="str">
        <f>IF($C976="","",IF($E976="","-",IFERROR(INDEX(SETUP!$B$55:$B$64,MATCH($E976,SETUP!$A$55:$A$64,0)),"Other")))</f>
        <v>Ranged DPS</v>
      </c>
      <c r="G976" s="70">
        <v>63144</v>
      </c>
      <c r="H976" s="15" t="str">
        <f>IF($C976="","",IF($G976="","-",INDEX(SETUP!$B$26:$B$32,MATCH($G976,SETUP!$A$26:$A$32,1))))</f>
        <v>63,000 - 63,999</v>
      </c>
      <c r="I976" s="70">
        <v>4297</v>
      </c>
      <c r="J976" s="15" t="str">
        <f>IF($C976="","",IF($I976="","-",INDEX(SETUP!$B$16:$B$22,MATCH($I976,SETUP!$A$16:$A$22,1))))</f>
        <v>CORE</v>
      </c>
      <c r="K976" s="15" t="str">
        <f>IF($C976="","",IF($I976="","-",TEXT(INT($I976/1000)*1000,"#,##0")&amp;" - "&amp;TEXT(INT($I976/1000)*1000+999,"#,##0")))</f>
        <v>4,000 - 4,999</v>
      </c>
      <c r="L976" s="71">
        <v>3.9</v>
      </c>
      <c r="M976" s="15" t="str">
        <f>IF($C976="","",IF($L976="","-",INDEX(SETUP!$B$36:$B$42,MATCH($L976,SETUP!$A$36:$A$42,1))))</f>
        <v>3k - 4k</v>
      </c>
      <c r="N976" s="17">
        <f>IF($C976="","",IF(OR($G976="",$I976=""),"",ROUND(100*(SETUP!$B$4*MIN(1,$I976/SETUP!$B$9)+SETUP!$B$5*MAX(0,MIN(1,($G976-SETUP!$B$10)/(SETUP!$B$11-SETUP!$B$10)))+SETUP!$B$6*MIN(1,IF($L976="",0,$L976)/SETUP!$B$12)),1)))</f>
        <v>46.7</v>
      </c>
      <c r="O976" s="15" t="str">
        <f>IF($C976="","",IF($N976="","-",INDEX(SETUP!$B$46:$B$51,MATCH($N976,SETUP!$A$46:$A$51,1))))</f>
        <v>B</v>
      </c>
      <c r="P976" s="15">
        <f>IF($C976="","",IF($I976="","",RANK($I976,$I$4:$I$1463)+COUNTIF($I$4:$I976,$I976)-1))</f>
        <v>534</v>
      </c>
      <c r="Q976" s="15">
        <f>IF($C976="","",COUNTIFS($B$4:$B$1463,$B976,$X$4:$X$1463,"&gt;"&amp;$X976)+COUNTIFS($B$4:$B976,$B976,$X$4:$X976,"="&amp;$X976))</f>
        <v>43</v>
      </c>
      <c r="R976" s="72">
        <f>IF($C976="","",IF($I976="","",ROUND(COUNTIF($I$4:$I$1463,"&lt;"&amp;$I976)/COUNT($I$4:$I$1463),3)))</f>
        <v>0.59699999999999998</v>
      </c>
      <c r="S976" s="15" t="str">
        <f>IF($C976="","",IF($G976="","Name only",IF(OR($I976="",$L976=""),"Partial","Complete")))</f>
        <v>Complete</v>
      </c>
      <c r="T976" s="41" t="str">
        <f>IF($C976="","",TRIM(IF(COUNTIF($C$4:$C$1463,$C976)&gt;1,"Dup name; ","")&amp;IF(AND($G976&lt;&gt;"",$G976&lt;55000),"Low CR - verify; ","")&amp;IF(AND($L976&lt;&gt;"",$L976&gt;15),"Secondary - verify; ","")&amp;IF($E976="","No class; ","")))</f>
        <v/>
      </c>
      <c r="U976" s="68"/>
      <c r="V976" s="68"/>
      <c r="W976" s="68"/>
      <c r="X976" s="73">
        <f t="shared" si="77"/>
        <v>4297</v>
      </c>
      <c r="Y976" s="41" t="str">
        <f t="shared" si="78"/>
        <v>UNDYING|43</v>
      </c>
      <c r="Z976" s="15">
        <f>IF($C976="","",IF($G976="","",RANK($G976,$G$4:$G$1463)+COUNTIF($G$4:$G976,$G976)-1))</f>
        <v>351</v>
      </c>
      <c r="AA976" s="15">
        <f>IF($C976="","",IF($N976="","",RANK($N976,$N$4:$N$1463)+COUNTIF($N$4:$N976,$N976)-1))</f>
        <v>562</v>
      </c>
      <c r="AB976" s="41" t="str">
        <f>IF($C976="","",IF($E976="","",$E976&amp;"#"&amp;(COUNTIFS($E$4:$E$1463,$E976,$X$4:$X$1463,"&gt;"&amp;$X976)+COUNTIFS($E$4:$E976,$E976,$X$4:$X976,"="&amp;$X976))))</f>
        <v>DEMON HUNTER#88</v>
      </c>
      <c r="AC976" s="41" t="str">
        <f>IF($C976="","",$B976&amp;"@"&amp;(COUNTIFS($B$4:$B$1463,$B976,$C$4:$C$1463,"&lt;"&amp;$C976)+COUNTIFS($B$4:$B976,$B976,$C$4:$C976,$C976)))</f>
        <v>UNDYING@82</v>
      </c>
      <c r="AD976" s="41">
        <f t="shared" si="79"/>
        <v>973</v>
      </c>
      <c r="AE976" s="41" t="s">
        <v>885</v>
      </c>
      <c r="AF976" s="73">
        <f t="shared" si="80"/>
        <v>63144</v>
      </c>
      <c r="AG976" s="74">
        <f t="shared" si="81"/>
        <v>3.9</v>
      </c>
      <c r="AH976" s="41" t="str">
        <f>IF($C976="","",$B976&amp;"|"&amp;(COUNTIFS($B$4:$B$1463,$B976,$AF$4:$AF$1463,"&gt;"&amp;$AF976)+COUNTIFS($B$4:$B976,$B976,$AF$4:$AF976,"="&amp;$AF976)))</f>
        <v>UNDYING|36</v>
      </c>
      <c r="AI976" s="41" t="str">
        <f>IF($C976="","",$B976&amp;"|"&amp;(COUNTIFS($B$4:$B$1463,$B976,$AG$4:$AG$1463,"&gt;"&amp;$AG976)+COUNTIFS($B$4:$B976,$B976,$AG$4:$AG976,"="&amp;$AG976)))</f>
        <v>UNDYING|83</v>
      </c>
    </row>
    <row r="977" spans="1:35" hidden="1">
      <c r="A977" s="69" t="s">
        <v>106</v>
      </c>
      <c r="B977" s="69" t="s">
        <v>86</v>
      </c>
      <c r="C977" s="63" t="s">
        <v>2199</v>
      </c>
      <c r="D977" s="69"/>
      <c r="E977" s="68" t="s">
        <v>73</v>
      </c>
      <c r="F977" s="19" t="str">
        <f>IF($C977="","",IF($E977="","-",IFERROR(INDEX(SETUP!$B$55:$B$64,MATCH($E977,SETUP!$A$55:$A$64,0)),"Other")))</f>
        <v>Frontline</v>
      </c>
      <c r="G977" s="70">
        <v>62943</v>
      </c>
      <c r="H977" s="19" t="str">
        <f>IF($C977="","",IF($G977="","-",INDEX(SETUP!$B$26:$B$32,MATCH($G977,SETUP!$A$26:$A$32,1))))</f>
        <v>62,000 - 62,999</v>
      </c>
      <c r="I977" s="70">
        <v>8028</v>
      </c>
      <c r="J977" s="19" t="str">
        <f>IF($C977="","",IF($I977="","-",INDEX(SETUP!$B$16:$B$22,MATCH($I977,SETUP!$A$16:$A$22,1))))</f>
        <v>ELITE</v>
      </c>
      <c r="K977" s="19" t="str">
        <f>IF($C977="","",IF($I977="","-",TEXT(INT($I977/1000)*1000,"#,##0")&amp;" - "&amp;TEXT(INT($I977/1000)*1000+999,"#,##0")))</f>
        <v>8,000 - 8,999</v>
      </c>
      <c r="L977" s="71">
        <v>6.4</v>
      </c>
      <c r="M977" s="19" t="str">
        <f>IF($C977="","",IF($L977="","-",INDEX(SETUP!$B$36:$B$42,MATCH($L977,SETUP!$A$36:$A$42,1))))</f>
        <v>6k - 8k</v>
      </c>
      <c r="N977" s="21">
        <f>IF($C977="","",IF(OR($G977="",$I977=""),"",ROUND(100*(SETUP!$B$4*MIN(1,$I977/SETUP!$B$9)+SETUP!$B$5*MAX(0,MIN(1,($G977-SETUP!$B$10)/(SETUP!$B$11-SETUP!$B$10)))+SETUP!$B$6*MIN(1,IF($L977="",0,$L977)/SETUP!$B$12)),1)))</f>
        <v>66.599999999999994</v>
      </c>
      <c r="O977" s="19" t="str">
        <f>IF($C977="","",IF($N977="","-",INDEX(SETUP!$B$46:$B$51,MATCH($N977,SETUP!$A$46:$A$51,1))))</f>
        <v>S</v>
      </c>
      <c r="P977" s="19">
        <f>IF($C977="","",IF($I977="","",RANK($I977,$I$4:$I$1463)+COUNTIF($I$4:$I977,$I977)-1))</f>
        <v>147</v>
      </c>
      <c r="Q977" s="19">
        <f>IF($C977="","",COUNTIFS($B$4:$B$1463,$B977,$X$4:$X$1463,"&gt;"&amp;$X977)+COUNTIFS($B$4:$B977,$B977,$X$4:$X977,"="&amp;$X977))</f>
        <v>33</v>
      </c>
      <c r="R977" s="75">
        <f>IF($C977="","",IF($I977="","",ROUND(COUNTIF($I$4:$I$1463,"&lt;"&amp;$I977)/COUNT($I$4:$I$1463),3)))</f>
        <v>0.88900000000000001</v>
      </c>
      <c r="S977" s="19" t="str">
        <f>IF($C977="","",IF($G977="","Name only",IF(OR($I977="",$L977=""),"Partial","Complete")))</f>
        <v>Complete</v>
      </c>
      <c r="T977" s="1" t="str">
        <f>IF($C977="","",TRIM(IF(COUNTIF($C$4:$C$1463,$C977)&gt;1,"Dup name; ","")&amp;IF(AND($G977&lt;&gt;"",$G977&lt;55000),"Low CR - verify; ","")&amp;IF(AND($L977&lt;&gt;"",$L977&gt;15),"Secondary - verify; ","")&amp;IF($E977="","No class; ","")))</f>
        <v/>
      </c>
      <c r="U977" s="68"/>
      <c r="V977" s="68"/>
      <c r="W977" s="68"/>
      <c r="X977" s="76">
        <f t="shared" si="77"/>
        <v>8028</v>
      </c>
      <c r="Y977" s="1" t="str">
        <f t="shared" si="78"/>
        <v>VANGUARD|33</v>
      </c>
      <c r="Z977" s="19">
        <f>IF($C977="","",IF($G977="","",RANK($G977,$G$4:$G$1463)+COUNTIF($G$4:$G977,$G977)-1))</f>
        <v>453</v>
      </c>
      <c r="AA977" s="19">
        <f>IF($C977="","",IF($N977="","",RANK($N977,$N$4:$N$1463)+COUNTIF($N$4:$N977,$N977)-1))</f>
        <v>160</v>
      </c>
      <c r="AB977" s="1" t="str">
        <f>IF($C977="","",IF($E977="","",$E977&amp;"#"&amp;(COUNTIFS($E$4:$E$1463,$E977,$X$4:$X$1463,"&gt;"&amp;$X977)+COUNTIFS($E$4:$E977,$E977,$X$4:$X977,"="&amp;$X977))))</f>
        <v>CRUSADER#24</v>
      </c>
      <c r="AC977" s="1" t="str">
        <f>IF($C977="","",$B977&amp;"@"&amp;(COUNTIFS($B$4:$B$1463,$B977,$C$4:$C$1463,"&lt;"&amp;$C977)+COUNTIFS($B$4:$B977,$B977,$C$4:$C977,$C977)))</f>
        <v>VANGUARD@71</v>
      </c>
      <c r="AD977" s="1">
        <f t="shared" si="79"/>
        <v>974</v>
      </c>
      <c r="AE977" s="1" t="s">
        <v>1053</v>
      </c>
      <c r="AF977" s="76">
        <f t="shared" si="80"/>
        <v>62943</v>
      </c>
      <c r="AG977" s="77">
        <f t="shared" si="81"/>
        <v>6.4</v>
      </c>
      <c r="AH977" s="1" t="str">
        <f>IF($C977="","",$B977&amp;"|"&amp;(COUNTIFS($B$4:$B$1463,$B977,$AF$4:$AF$1463,"&gt;"&amp;$AF977)+COUNTIFS($B$4:$B977,$B977,$AF$4:$AF977,"="&amp;$AF977)))</f>
        <v>VANGUARD|65</v>
      </c>
      <c r="AI977" s="1" t="str">
        <f>IF($C977="","",$B977&amp;"|"&amp;(COUNTIFS($B$4:$B$1463,$B977,$AG$4:$AG$1463,"&gt;"&amp;$AG977)+COUNTIFS($B$4:$B977,$B977,$AG$4:$AG977,"="&amp;$AG977)))</f>
        <v>VANGUARD|34</v>
      </c>
    </row>
    <row r="978" spans="1:35" hidden="1">
      <c r="A978" s="69" t="s">
        <v>109</v>
      </c>
      <c r="B978" s="69" t="s">
        <v>115</v>
      </c>
      <c r="C978" s="63" t="s">
        <v>2200</v>
      </c>
      <c r="D978" s="69"/>
      <c r="E978" s="68"/>
      <c r="F978" s="15" t="str">
        <f>IF($C978="","",IF($E978="","-",IFERROR(INDEX(SETUP!$B$55:$B$64,MATCH($E978,SETUP!$A$55:$A$64,0)),"Other")))</f>
        <v>-</v>
      </c>
      <c r="G978" s="70"/>
      <c r="H978" s="15" t="str">
        <f>IF($C978="","",IF($G978="","-",INDEX(SETUP!$B$26:$B$32,MATCH($G978,SETUP!$A$26:$A$32,1))))</f>
        <v>-</v>
      </c>
      <c r="I978" s="70"/>
      <c r="J978" s="15" t="str">
        <f>IF($C978="","",IF($I978="","-",INDEX(SETUP!$B$16:$B$22,MATCH($I978,SETUP!$A$16:$A$22,1))))</f>
        <v>-</v>
      </c>
      <c r="K978" s="15" t="str">
        <f>IF($C978="","",IF($I978="","-",TEXT(INT($I978/1000)*1000,"#,##0")&amp;" - "&amp;TEXT(INT($I978/1000)*1000+999,"#,##0")))</f>
        <v>-</v>
      </c>
      <c r="L978" s="71"/>
      <c r="M978" s="15" t="str">
        <f>IF($C978="","",IF($L978="","-",INDEX(SETUP!$B$36:$B$42,MATCH($L978,SETUP!$A$36:$A$42,1))))</f>
        <v>-</v>
      </c>
      <c r="N978" s="17" t="str">
        <f>IF($C978="","",IF(OR($G978="",$I978=""),"",ROUND(100*(SETUP!$B$4*MIN(1,$I978/SETUP!$B$9)+SETUP!$B$5*MAX(0,MIN(1,($G978-SETUP!$B$10)/(SETUP!$B$11-SETUP!$B$10)))+SETUP!$B$6*MIN(1,IF($L978="",0,$L978)/SETUP!$B$12)),1)))</f>
        <v/>
      </c>
      <c r="O978" s="15" t="str">
        <f>IF($C978="","",IF($N978="","-",INDEX(SETUP!$B$46:$B$51,MATCH($N978,SETUP!$A$46:$A$51,1))))</f>
        <v>-</v>
      </c>
      <c r="P978" s="15" t="str">
        <f>IF($C978="","",IF($I978="","",RANK($I978,$I$4:$I$1463)+COUNTIF($I$4:$I978,$I978)-1))</f>
        <v/>
      </c>
      <c r="Q978" s="15">
        <f>IF($C978="","",COUNTIFS($B$4:$B$1463,$B978,$X$4:$X$1463,"&gt;"&amp;$X978)+COUNTIFS($B$4:$B978,$B978,$X$4:$X978,"="&amp;$X978))</f>
        <v>77</v>
      </c>
      <c r="R978" s="72" t="str">
        <f>IF($C978="","",IF($I978="","",ROUND(COUNTIF($I$4:$I$1463,"&lt;"&amp;$I978)/COUNT($I$4:$I$1463),3)))</f>
        <v/>
      </c>
      <c r="S978" s="15" t="str">
        <f>IF($C978="","",IF($G978="","Name only",IF(OR($I978="",$L978=""),"Partial","Complete")))</f>
        <v>Name only</v>
      </c>
      <c r="T978" s="41" t="str">
        <f>IF($C978="","",TRIM(IF(COUNTIF($C$4:$C$1463,$C978)&gt;1,"Dup name; ","")&amp;IF(AND($G978&lt;&gt;"",$G978&lt;55000),"Low CR - verify; ","")&amp;IF(AND($L978&lt;&gt;"",$L978&gt;15),"Secondary - verify; ","")&amp;IF($E978="","No class; ","")))</f>
        <v>No class;</v>
      </c>
      <c r="U978" s="68"/>
      <c r="V978" s="68"/>
      <c r="W978" s="68"/>
      <c r="X978" s="41">
        <f t="shared" si="77"/>
        <v>-1</v>
      </c>
      <c r="Y978" s="41" t="str">
        <f t="shared" si="78"/>
        <v>SUB ROSA|77</v>
      </c>
      <c r="Z978" s="15" t="str">
        <f>IF($C978="","",IF($G978="","",RANK($G978,$G$4:$G$1463)+COUNTIF($G$4:$G978,$G978)-1))</f>
        <v/>
      </c>
      <c r="AA978" s="15" t="str">
        <f>IF($C978="","",IF($N978="","",RANK($N978,$N$4:$N$1463)+COUNTIF($N$4:$N978,$N978)-1))</f>
        <v/>
      </c>
      <c r="AB978" s="41" t="str">
        <f>IF($C978="","",IF($E978="","",$E978&amp;"#"&amp;(COUNTIFS($E$4:$E$1463,$E978,$X$4:$X$1463,"&gt;"&amp;$X978)+COUNTIFS($E$4:$E978,$E978,$X$4:$X978,"="&amp;$X978))))</f>
        <v/>
      </c>
      <c r="AC978" s="41" t="str">
        <f>IF($C978="","",$B978&amp;"@"&amp;(COUNTIFS($B$4:$B$1463,$B978,$C$4:$C$1463,"&lt;"&amp;$C978)+COUNTIFS($B$4:$B978,$B978,$C$4:$C978,$C978)))</f>
        <v>SUB ROSA@66</v>
      </c>
      <c r="AD978" s="41">
        <f t="shared" si="79"/>
        <v>975</v>
      </c>
      <c r="AE978" s="41"/>
      <c r="AF978" s="41">
        <f t="shared" si="80"/>
        <v>-1</v>
      </c>
      <c r="AG978" s="41">
        <f t="shared" si="81"/>
        <v>-1</v>
      </c>
      <c r="AH978" s="41" t="str">
        <f>IF($C978="","",$B978&amp;"|"&amp;(COUNTIFS($B$4:$B$1463,$B978,$AF$4:$AF$1463,"&gt;"&amp;$AF978)+COUNTIFS($B$4:$B978,$B978,$AF$4:$AF978,"="&amp;$AF978)))</f>
        <v>SUB ROSA|77</v>
      </c>
      <c r="AI978" s="41" t="str">
        <f>IF($C978="","",$B978&amp;"|"&amp;(COUNTIFS($B$4:$B$1463,$B978,$AG$4:$AG$1463,"&gt;"&amp;$AG978)+COUNTIFS($B$4:$B978,$B978,$AG$4:$AG978,"="&amp;$AG978)))</f>
        <v>SUB ROSA|77</v>
      </c>
    </row>
    <row r="979" spans="1:35" hidden="1">
      <c r="A979" s="69" t="s">
        <v>109</v>
      </c>
      <c r="B979" s="69" t="s">
        <v>108</v>
      </c>
      <c r="C979" s="63" t="s">
        <v>2201</v>
      </c>
      <c r="D979" s="69"/>
      <c r="E979" s="68" t="s">
        <v>80</v>
      </c>
      <c r="F979" s="19" t="str">
        <f>IF($C979="","",IF($E979="","-",IFERROR(INDEX(SETUP!$B$55:$B$64,MATCH($E979,SETUP!$A$55:$A$64,0)),"Other")))</f>
        <v>Ranged DPS</v>
      </c>
      <c r="G979" s="70">
        <v>61607</v>
      </c>
      <c r="H979" s="19" t="str">
        <f>IF($C979="","",IF($G979="","-",INDEX(SETUP!$B$26:$B$32,MATCH($G979,SETUP!$A$26:$A$32,1))))</f>
        <v>61,000 - 61,999</v>
      </c>
      <c r="I979" s="70">
        <v>5386</v>
      </c>
      <c r="J979" s="19" t="str">
        <f>IF($C979="","",IF($I979="","-",INDEX(SETUP!$B$16:$B$22,MATCH($I979,SETUP!$A$16:$A$22,1))))</f>
        <v>CORE</v>
      </c>
      <c r="K979" s="19" t="str">
        <f>IF($C979="","",IF($I979="","-",TEXT(INT($I979/1000)*1000,"#,##0")&amp;" - "&amp;TEXT(INT($I979/1000)*1000+999,"#,##0")))</f>
        <v>5,000 - 5,999</v>
      </c>
      <c r="L979" s="71">
        <v>4.6500000000000004</v>
      </c>
      <c r="M979" s="19" t="str">
        <f>IF($C979="","",IF($L979="","-",INDEX(SETUP!$B$36:$B$42,MATCH($L979,SETUP!$A$36:$A$42,1))))</f>
        <v>4k - 5k</v>
      </c>
      <c r="N979" s="21">
        <f>IF($C979="","",IF(OR($G979="",$I979=""),"",ROUND(100*(SETUP!$B$4*MIN(1,$I979/SETUP!$B$9)+SETUP!$B$5*MAX(0,MIN(1,($G979-SETUP!$B$10)/(SETUP!$B$11-SETUP!$B$10)))+SETUP!$B$6*MIN(1,IF($L979="",0,$L979)/SETUP!$B$12)),1)))</f>
        <v>48.6</v>
      </c>
      <c r="O979" s="19" t="str">
        <f>IF($C979="","",IF($N979="","-",INDEX(SETUP!$B$46:$B$51,MATCH($N979,SETUP!$A$46:$A$51,1))))</f>
        <v>B</v>
      </c>
      <c r="P979" s="19">
        <f>IF($C979="","",IF($I979="","",RANK($I979,$I$4:$I$1463)+COUNTIF($I$4:$I979,$I979)-1))</f>
        <v>348</v>
      </c>
      <c r="Q979" s="19">
        <f>IF($C979="","",COUNTIFS($B$4:$B$1463,$B979,$X$4:$X$1463,"&gt;"&amp;$X979)+COUNTIFS($B$4:$B979,$B979,$X$4:$X979,"="&amp;$X979))</f>
        <v>51</v>
      </c>
      <c r="R979" s="75">
        <f>IF($C979="","",IF($I979="","",ROUND(COUNTIF($I$4:$I$1463,"&lt;"&amp;$I979)/COUNT($I$4:$I$1463),3)))</f>
        <v>0.73699999999999999</v>
      </c>
      <c r="S979" s="19" t="str">
        <f>IF($C979="","",IF($G979="","Name only",IF(OR($I979="",$L979=""),"Partial","Complete")))</f>
        <v>Complete</v>
      </c>
      <c r="T979" s="1" t="str">
        <f>IF($C979="","",TRIM(IF(COUNTIF($C$4:$C$1463,$C979)&gt;1,"Dup name; ","")&amp;IF(AND($G979&lt;&gt;"",$G979&lt;55000),"Low CR - verify; ","")&amp;IF(AND($L979&lt;&gt;"",$L979&gt;15),"Secondary - verify; ","")&amp;IF($E979="","No class; ","")))</f>
        <v/>
      </c>
      <c r="U979" s="68"/>
      <c r="V979" s="68"/>
      <c r="W979" s="68"/>
      <c r="X979" s="76">
        <f t="shared" si="77"/>
        <v>5386</v>
      </c>
      <c r="Y979" s="1" t="str">
        <f t="shared" si="78"/>
        <v>SBG|51</v>
      </c>
      <c r="Z979" s="19">
        <f>IF($C979="","",IF($G979="","",RANK($G979,$G$4:$G$1463)+COUNTIF($G$4:$G979,$G979)-1))</f>
        <v>974</v>
      </c>
      <c r="AA979" s="19">
        <f>IF($C979="","",IF($N979="","",RANK($N979,$N$4:$N$1463)+COUNTIF($N$4:$N979,$N979)-1))</f>
        <v>497</v>
      </c>
      <c r="AB979" s="1" t="str">
        <f>IF($C979="","",IF($E979="","",$E979&amp;"#"&amp;(COUNTIFS($E$4:$E$1463,$E979,$X$4:$X$1463,"&gt;"&amp;$X979)+COUNTIFS($E$4:$E979,$E979,$X$4:$X979,"="&amp;$X979))))</f>
        <v>WIZARD#25</v>
      </c>
      <c r="AC979" s="1" t="str">
        <f>IF($C979="","",$B979&amp;"@"&amp;(COUNTIFS($B$4:$B$1463,$B979,$C$4:$C$1463,"&lt;"&amp;$C979)+COUNTIFS($B$4:$B979,$B979,$C$4:$C979,$C979)))</f>
        <v>SBG@62</v>
      </c>
      <c r="AD979" s="1">
        <f t="shared" si="79"/>
        <v>976</v>
      </c>
      <c r="AE979" s="1" t="s">
        <v>2202</v>
      </c>
      <c r="AF979" s="76">
        <f t="shared" si="80"/>
        <v>61607</v>
      </c>
      <c r="AG979" s="77">
        <f t="shared" si="81"/>
        <v>4.6500000000000004</v>
      </c>
      <c r="AH979" s="1" t="str">
        <f>IF($C979="","",$B979&amp;"|"&amp;(COUNTIFS($B$4:$B$1463,$B979,$AF$4:$AF$1463,"&gt;"&amp;$AF979)+COUNTIFS($B$4:$B979,$B979,$AF$4:$AF979,"="&amp;$AF979)))</f>
        <v>SBG|80</v>
      </c>
      <c r="AI979" s="1" t="str">
        <f>IF($C979="","",$B979&amp;"|"&amp;(COUNTIFS($B$4:$B$1463,$B979,$AG$4:$AG$1463,"&gt;"&amp;$AG979)+COUNTIFS($B$4:$B979,$B979,$AG$4:$AG979,"="&amp;$AG979)))</f>
        <v>SBG|83</v>
      </c>
    </row>
    <row r="980" spans="1:35" hidden="1">
      <c r="A980" s="69" t="s">
        <v>109</v>
      </c>
      <c r="B980" s="69" t="s">
        <v>111</v>
      </c>
      <c r="C980" s="63" t="s">
        <v>2203</v>
      </c>
      <c r="D980" s="69" t="s">
        <v>527</v>
      </c>
      <c r="E980" s="68" t="s">
        <v>74</v>
      </c>
      <c r="F980" s="15" t="str">
        <f>IF($C980="","",IF($E980="","-",IFERROR(INDEX(SETUP!$B$55:$B$64,MATCH($E980,SETUP!$A$55:$A$64,0)),"Other")))</f>
        <v>Ranged DPS</v>
      </c>
      <c r="G980" s="70">
        <v>64202</v>
      </c>
      <c r="H980" s="15" t="str">
        <f>IF($C980="","",IF($G980="","-",INDEX(SETUP!$B$26:$B$32,MATCH($G980,SETUP!$A$26:$A$32,1))))</f>
        <v>64,000 +</v>
      </c>
      <c r="I980" s="70">
        <v>11024</v>
      </c>
      <c r="J980" s="15" t="str">
        <f>IF($C980="","",IF($I980="","-",INDEX(SETUP!$B$16:$B$22,MATCH($I980,SETUP!$A$16:$A$22,1))))</f>
        <v>APEX</v>
      </c>
      <c r="K980" s="15" t="str">
        <f>IF($C980="","",IF($I980="","-",TEXT(INT($I980/1000)*1000,"#,##0")&amp;" - "&amp;TEXT(INT($I980/1000)*1000+999,"#,##0")))</f>
        <v>11,000 - 11,999</v>
      </c>
      <c r="L980" s="71">
        <v>8.1300000000000008</v>
      </c>
      <c r="M980" s="15" t="str">
        <f>IF($C980="","",IF($L980="","-",INDEX(SETUP!$B$36:$B$42,MATCH($L980,SETUP!$A$36:$A$42,1))))</f>
        <v>8k - 10k</v>
      </c>
      <c r="N980" s="17">
        <f>IF($C980="","",IF(OR($G980="",$I980=""),"",ROUND(100*(SETUP!$B$4*MIN(1,$I980/SETUP!$B$9)+SETUP!$B$5*MAX(0,MIN(1,($G980-SETUP!$B$10)/(SETUP!$B$11-SETUP!$B$10)))+SETUP!$B$6*MIN(1,IF($L980="",0,$L980)/SETUP!$B$12)),1)))</f>
        <v>85.9</v>
      </c>
      <c r="O980" s="15" t="str">
        <f>IF($C980="","",IF($N980="","-",INDEX(SETUP!$B$46:$B$51,MATCH($N980,SETUP!$A$46:$A$51,1))))</f>
        <v>S+</v>
      </c>
      <c r="P980" s="15">
        <f>IF($C980="","",IF($I980="","",RANK($I980,$I$4:$I$1463)+COUNTIF($I$4:$I980,$I980)-1))</f>
        <v>14</v>
      </c>
      <c r="Q980" s="15">
        <f>IF($C980="","",COUNTIFS($B$4:$B$1463,$B980,$X$4:$X$1463,"&gt;"&amp;$X980)+COUNTIFS($B$4:$B980,$B980,$X$4:$X980,"="&amp;$X980))</f>
        <v>1</v>
      </c>
      <c r="R980" s="72">
        <f>IF($C980="","",IF($I980="","",ROUND(COUNTIF($I$4:$I$1463,"&lt;"&amp;$I980)/COUNT($I$4:$I$1463),3)))</f>
        <v>0.98899999999999999</v>
      </c>
      <c r="S980" s="15" t="str">
        <f>IF($C980="","",IF($G980="","Name only",IF(OR($I980="",$L980=""),"Partial","Complete")))</f>
        <v>Complete</v>
      </c>
      <c r="T980" s="41" t="str">
        <f>IF($C980="","",TRIM(IF(COUNTIF($C$4:$C$1463,$C980)&gt;1,"Dup name; ","")&amp;IF(AND($G980&lt;&gt;"",$G980&lt;55000),"Low CR - verify; ","")&amp;IF(AND($L980&lt;&gt;"",$L980&gt;15),"Secondary - verify; ","")&amp;IF($E980="","No class; ","")))</f>
        <v/>
      </c>
      <c r="U980" s="68"/>
      <c r="V980" s="68"/>
      <c r="W980" s="68"/>
      <c r="X980" s="73">
        <f t="shared" si="77"/>
        <v>11024</v>
      </c>
      <c r="Y980" s="41" t="str">
        <f t="shared" si="78"/>
        <v>RECKONING|1</v>
      </c>
      <c r="Z980" s="15">
        <f>IF($C980="","",IF($G980="","",RANK($G980,$G$4:$G$1463)+COUNTIF($G$4:$G980,$G980)-1))</f>
        <v>42</v>
      </c>
      <c r="AA980" s="15">
        <f>IF($C980="","",IF($N980="","",RANK($N980,$N$4:$N$1463)+COUNTIF($N$4:$N980,$N980)-1))</f>
        <v>20</v>
      </c>
      <c r="AB980" s="41" t="str">
        <f>IF($C980="","",IF($E980="","",$E980&amp;"#"&amp;(COUNTIFS($E$4:$E$1463,$E980,$X$4:$X$1463,"&gt;"&amp;$X980)+COUNTIFS($E$4:$E980,$E980,$X$4:$X980,"="&amp;$X980))))</f>
        <v>DEMON HUNTER#2</v>
      </c>
      <c r="AC980" s="41" t="str">
        <f>IF($C980="","",$B980&amp;"@"&amp;(COUNTIFS($B$4:$B$1463,$B980,$C$4:$C$1463,"&lt;"&amp;$C980)+COUNTIFS($B$4:$B980,$B980,$C$4:$C980,$C980)))</f>
        <v>RECKONING@75</v>
      </c>
      <c r="AD980" s="41">
        <f t="shared" si="79"/>
        <v>977</v>
      </c>
      <c r="AE980" s="41" t="s">
        <v>2204</v>
      </c>
      <c r="AF980" s="73">
        <f t="shared" si="80"/>
        <v>64202</v>
      </c>
      <c r="AG980" s="74">
        <f t="shared" si="81"/>
        <v>8.1300000000000008</v>
      </c>
      <c r="AH980" s="41" t="str">
        <f>IF($C980="","",$B980&amp;"|"&amp;(COUNTIFS($B$4:$B$1463,$B980,$AF$4:$AF$1463,"&gt;"&amp;$AF980)+COUNTIFS($B$4:$B980,$B980,$AF$4:$AF980,"="&amp;$AF980)))</f>
        <v>RECKONING|3</v>
      </c>
      <c r="AI980" s="41" t="str">
        <f>IF($C980="","",$B980&amp;"|"&amp;(COUNTIFS($B$4:$B$1463,$B980,$AG$4:$AG$1463,"&gt;"&amp;$AG980)+COUNTIFS($B$4:$B980,$B980,$AG$4:$AG980,"="&amp;$AG980)))</f>
        <v>RECKONING|10</v>
      </c>
    </row>
    <row r="981" spans="1:35" hidden="1">
      <c r="A981" s="69" t="s">
        <v>109</v>
      </c>
      <c r="B981" s="69" t="s">
        <v>112</v>
      </c>
      <c r="C981" s="63" t="s">
        <v>2205</v>
      </c>
      <c r="D981" s="69" t="s">
        <v>567</v>
      </c>
      <c r="E981" s="68" t="s">
        <v>71</v>
      </c>
      <c r="F981" s="19" t="str">
        <f>IF($C981="","",IF($E981="","-",IFERROR(INDEX(SETUP!$B$55:$B$64,MATCH($E981,SETUP!$A$55:$A$64,0)),"Other")))</f>
        <v>Frontline</v>
      </c>
      <c r="G981" s="70">
        <v>62787</v>
      </c>
      <c r="H981" s="19" t="str">
        <f>IF($C981="","",IF($G981="","-",INDEX(SETUP!$B$26:$B$32,MATCH($G981,SETUP!$A$26:$A$32,1))))</f>
        <v>62,000 - 62,999</v>
      </c>
      <c r="I981" s="70">
        <v>4455</v>
      </c>
      <c r="J981" s="19" t="str">
        <f>IF($C981="","",IF($I981="","-",INDEX(SETUP!$B$16:$B$22,MATCH($I981,SETUP!$A$16:$A$22,1))))</f>
        <v>CORE</v>
      </c>
      <c r="K981" s="19" t="str">
        <f>IF($C981="","",IF($I981="","-",TEXT(INT($I981/1000)*1000,"#,##0")&amp;" - "&amp;TEXT(INT($I981/1000)*1000+999,"#,##0")))</f>
        <v>4,000 - 4,999</v>
      </c>
      <c r="L981" s="71">
        <v>5.95</v>
      </c>
      <c r="M981" s="19" t="str">
        <f>IF($C981="","",IF($L981="","-",INDEX(SETUP!$B$36:$B$42,MATCH($L981,SETUP!$A$36:$A$42,1))))</f>
        <v>5k - 6k</v>
      </c>
      <c r="N981" s="21">
        <f>IF($C981="","",IF(OR($G981="",$I981=""),"",ROUND(100*(SETUP!$B$4*MIN(1,$I981/SETUP!$B$9)+SETUP!$B$5*MAX(0,MIN(1,($G981-SETUP!$B$10)/(SETUP!$B$11-SETUP!$B$10)))+SETUP!$B$6*MIN(1,IF($L981="",0,$L981)/SETUP!$B$12)),1)))</f>
        <v>49.9</v>
      </c>
      <c r="O981" s="19" t="str">
        <f>IF($C981="","",IF($N981="","-",INDEX(SETUP!$B$46:$B$51,MATCH($N981,SETUP!$A$46:$A$51,1))))</f>
        <v>B</v>
      </c>
      <c r="P981" s="19">
        <f>IF($C981="","",IF($I981="","",RANK($I981,$I$4:$I$1463)+COUNTIF($I$4:$I981,$I981)-1))</f>
        <v>503</v>
      </c>
      <c r="Q981" s="19">
        <f>IF($C981="","",COUNTIFS($B$4:$B$1463,$B981,$X$4:$X$1463,"&gt;"&amp;$X981)+COUNTIFS($B$4:$B981,$B981,$X$4:$X981,"="&amp;$X981))</f>
        <v>37</v>
      </c>
      <c r="R981" s="75">
        <f>IF($C981="","",IF($I981="","",ROUND(COUNTIF($I$4:$I$1463,"&lt;"&amp;$I981)/COUNT($I$4:$I$1463),3)))</f>
        <v>0.62</v>
      </c>
      <c r="S981" s="19" t="str">
        <f>IF($C981="","",IF($G981="","Name only",IF(OR($I981="",$L981=""),"Partial","Complete")))</f>
        <v>Complete</v>
      </c>
      <c r="T981" s="1" t="str">
        <f>IF($C981="","",TRIM(IF(COUNTIF($C$4:$C$1463,$C981)&gt;1,"Dup name; ","")&amp;IF(AND($G981&lt;&gt;"",$G981&lt;55000),"Low CR - verify; ","")&amp;IF(AND($L981&lt;&gt;"",$L981&gt;15),"Secondary - verify; ","")&amp;IF($E981="","No class; ","")))</f>
        <v/>
      </c>
      <c r="U981" s="68"/>
      <c r="V981" s="68"/>
      <c r="W981" s="68"/>
      <c r="X981" s="76">
        <f t="shared" si="77"/>
        <v>4455</v>
      </c>
      <c r="Y981" s="1" t="str">
        <f t="shared" si="78"/>
        <v>ACHERON|37</v>
      </c>
      <c r="Z981" s="19">
        <f>IF($C981="","",IF($G981="","",RANK($G981,$G$4:$G$1463)+COUNTIF($G$4:$G981,$G981)-1))</f>
        <v>527</v>
      </c>
      <c r="AA981" s="19">
        <f>IF($C981="","",IF($N981="","",RANK($N981,$N$4:$N$1463)+COUNTIF($N$4:$N981,$N981)-1))</f>
        <v>462</v>
      </c>
      <c r="AB981" s="1" t="str">
        <f>IF($C981="","",IF($E981="","",$E981&amp;"#"&amp;(COUNTIFS($E$4:$E$1463,$E981,$X$4:$X$1463,"&gt;"&amp;$X981)+COUNTIFS($E$4:$E981,$E981,$X$4:$X981,"="&amp;$X981))))</f>
        <v>BARBARIAN#97</v>
      </c>
      <c r="AC981" s="1" t="str">
        <f>IF($C981="","",$B981&amp;"@"&amp;(COUNTIFS($B$4:$B$1463,$B981,$C$4:$C$1463,"&lt;"&amp;$C981)+COUNTIFS($B$4:$B981,$B981,$C$4:$C981,$C981)))</f>
        <v>ACHERON@64</v>
      </c>
      <c r="AD981" s="1">
        <f t="shared" si="79"/>
        <v>978</v>
      </c>
      <c r="AE981" s="1" t="s">
        <v>2206</v>
      </c>
      <c r="AF981" s="76">
        <f t="shared" si="80"/>
        <v>62787</v>
      </c>
      <c r="AG981" s="77">
        <f t="shared" si="81"/>
        <v>5.95</v>
      </c>
      <c r="AH981" s="1" t="str">
        <f>IF($C981="","",$B981&amp;"|"&amp;(COUNTIFS($B$4:$B$1463,$B981,$AF$4:$AF$1463,"&gt;"&amp;$AF981)+COUNTIFS($B$4:$B981,$B981,$AF$4:$AF981,"="&amp;$AF981)))</f>
        <v>ACHERON|39</v>
      </c>
      <c r="AI981" s="1" t="str">
        <f>IF($C981="","",$B981&amp;"|"&amp;(COUNTIFS($B$4:$B$1463,$B981,$AG$4:$AG$1463,"&gt;"&amp;$AG981)+COUNTIFS($B$4:$B981,$B981,$AG$4:$AG981,"="&amp;$AG981)))</f>
        <v>ACHERON|16</v>
      </c>
    </row>
    <row r="982" spans="1:35" hidden="1">
      <c r="A982" s="69" t="s">
        <v>109</v>
      </c>
      <c r="B982" s="69" t="s">
        <v>108</v>
      </c>
      <c r="C982" s="63" t="s">
        <v>2207</v>
      </c>
      <c r="D982" s="69"/>
      <c r="E982" s="68" t="s">
        <v>71</v>
      </c>
      <c r="F982" s="15" t="str">
        <f>IF($C982="","",IF($E982="","-",IFERROR(INDEX(SETUP!$B$55:$B$64,MATCH($E982,SETUP!$A$55:$A$64,0)),"Other")))</f>
        <v>Frontline</v>
      </c>
      <c r="G982" s="70">
        <v>61843</v>
      </c>
      <c r="H982" s="15" t="str">
        <f>IF($C982="","",IF($G982="","-",INDEX(SETUP!$B$26:$B$32,MATCH($G982,SETUP!$A$26:$A$32,1))))</f>
        <v>61,000 - 61,999</v>
      </c>
      <c r="I982" s="70">
        <v>3281</v>
      </c>
      <c r="J982" s="15" t="str">
        <f>IF($C982="","",IF($I982="","-",INDEX(SETUP!$B$16:$B$22,MATCH($I982,SETUP!$A$16:$A$22,1))))</f>
        <v>DEVELOPING</v>
      </c>
      <c r="K982" s="15" t="str">
        <f>IF($C982="","",IF($I982="","-",TEXT(INT($I982/1000)*1000,"#,##0")&amp;" - "&amp;TEXT(INT($I982/1000)*1000+999,"#,##0")))</f>
        <v>3,000 - 3,999</v>
      </c>
      <c r="L982" s="71">
        <v>6.35</v>
      </c>
      <c r="M982" s="15" t="str">
        <f>IF($C982="","",IF($L982="","-",INDEX(SETUP!$B$36:$B$42,MATCH($L982,SETUP!$A$36:$A$42,1))))</f>
        <v>6k - 8k</v>
      </c>
      <c r="N982" s="17">
        <f>IF($C982="","",IF(OR($G982="",$I982=""),"",ROUND(100*(SETUP!$B$4*MIN(1,$I982/SETUP!$B$9)+SETUP!$B$5*MAX(0,MIN(1,($G982-SETUP!$B$10)/(SETUP!$B$11-SETUP!$B$10)))+SETUP!$B$6*MIN(1,IF($L982="",0,$L982)/SETUP!$B$12)),1)))</f>
        <v>42.9</v>
      </c>
      <c r="O982" s="15" t="str">
        <f>IF($C982="","",IF($N982="","-",INDEX(SETUP!$B$46:$B$51,MATCH($N982,SETUP!$A$46:$A$51,1))))</f>
        <v>B</v>
      </c>
      <c r="P982" s="15">
        <f>IF($C982="","",IF($I982="","",RANK($I982,$I$4:$I$1463)+COUNTIF($I$4:$I982,$I982)-1))</f>
        <v>802</v>
      </c>
      <c r="Q982" s="15">
        <f>IF($C982="","",COUNTIFS($B$4:$B$1463,$B982,$X$4:$X$1463,"&gt;"&amp;$X982)+COUNTIFS($B$4:$B982,$B982,$X$4:$X982,"="&amp;$X982))</f>
        <v>87</v>
      </c>
      <c r="R982" s="72">
        <f>IF($C982="","",IF($I982="","",ROUND(COUNTIF($I$4:$I$1463,"&lt;"&amp;$I982)/COUNT($I$4:$I$1463),3)))</f>
        <v>0.39500000000000002</v>
      </c>
      <c r="S982" s="15" t="str">
        <f>IF($C982="","",IF($G982="","Name only",IF(OR($I982="",$L982=""),"Partial","Complete")))</f>
        <v>Complete</v>
      </c>
      <c r="T982" s="41" t="str">
        <f>IF($C982="","",TRIM(IF(COUNTIF($C$4:$C$1463,$C982)&gt;1,"Dup name; ","")&amp;IF(AND($G982&lt;&gt;"",$G982&lt;55000),"Low CR - verify; ","")&amp;IF(AND($L982&lt;&gt;"",$L982&gt;15),"Secondary - verify; ","")&amp;IF($E982="","No class; ","")))</f>
        <v/>
      </c>
      <c r="U982" s="68"/>
      <c r="V982" s="68"/>
      <c r="W982" s="68"/>
      <c r="X982" s="73">
        <f t="shared" si="77"/>
        <v>3281</v>
      </c>
      <c r="Y982" s="41" t="str">
        <f t="shared" si="78"/>
        <v>SBG|87</v>
      </c>
      <c r="Z982" s="15">
        <f>IF($C982="","",IF($G982="","",RANK($G982,$G$4:$G$1463)+COUNTIF($G$4:$G982,$G982)-1))</f>
        <v>901</v>
      </c>
      <c r="AA982" s="15">
        <f>IF($C982="","",IF($N982="","",RANK($N982,$N$4:$N$1463)+COUNTIF($N$4:$N982,$N982)-1))</f>
        <v>711</v>
      </c>
      <c r="AB982" s="41" t="str">
        <f>IF($C982="","",IF($E982="","",$E982&amp;"#"&amp;(COUNTIFS($E$4:$E$1463,$E982,$X$4:$X$1463,"&gt;"&amp;$X982)+COUNTIFS($E$4:$E982,$E982,$X$4:$X982,"="&amp;$X982))))</f>
        <v>BARBARIAN#142</v>
      </c>
      <c r="AC982" s="41" t="str">
        <f>IF($C982="","",$B982&amp;"@"&amp;(COUNTIFS($B$4:$B$1463,$B982,$C$4:$C$1463,"&lt;"&amp;$C982)+COUNTIFS($B$4:$B982,$B982,$C$4:$C982,$C982)))</f>
        <v>SBG@59</v>
      </c>
      <c r="AD982" s="41">
        <f t="shared" si="79"/>
        <v>979</v>
      </c>
      <c r="AE982" s="41" t="s">
        <v>2208</v>
      </c>
      <c r="AF982" s="73">
        <f t="shared" si="80"/>
        <v>61843</v>
      </c>
      <c r="AG982" s="74">
        <f t="shared" si="81"/>
        <v>6.35</v>
      </c>
      <c r="AH982" s="41" t="str">
        <f>IF($C982="","",$B982&amp;"|"&amp;(COUNTIFS($B$4:$B$1463,$B982,$AF$4:$AF$1463,"&gt;"&amp;$AF982)+COUNTIFS($B$4:$B982,$B982,$AF$4:$AF982,"="&amp;$AF982)))</f>
        <v>SBG|76</v>
      </c>
      <c r="AI982" s="41" t="str">
        <f>IF($C982="","",$B982&amp;"|"&amp;(COUNTIFS($B$4:$B$1463,$B982,$AG$4:$AG$1463,"&gt;"&amp;$AG982)+COUNTIFS($B$4:$B982,$B982,$AG$4:$AG982,"="&amp;$AG982)))</f>
        <v>SBG|31</v>
      </c>
    </row>
    <row r="983" spans="1:35" hidden="1">
      <c r="A983" s="69" t="s">
        <v>109</v>
      </c>
      <c r="B983" s="69" t="s">
        <v>112</v>
      </c>
      <c r="C983" s="63" t="s">
        <v>2209</v>
      </c>
      <c r="D983" s="69" t="s">
        <v>567</v>
      </c>
      <c r="E983" s="68" t="s">
        <v>79</v>
      </c>
      <c r="F983" s="19" t="str">
        <f>IF($C983="","",IF($E983="","-",IFERROR(INDEX(SETUP!$B$55:$B$64,MATCH($E983,SETUP!$A$55:$A$64,0)),"Other")))</f>
        <v>Control</v>
      </c>
      <c r="G983" s="70">
        <v>62195</v>
      </c>
      <c r="H983" s="19" t="str">
        <f>IF($C983="","",IF($G983="","-",INDEX(SETUP!$B$26:$B$32,MATCH($G983,SETUP!$A$26:$A$32,1))))</f>
        <v>62,000 - 62,999</v>
      </c>
      <c r="I983" s="70">
        <v>5232</v>
      </c>
      <c r="J983" s="19" t="str">
        <f>IF($C983="","",IF($I983="","-",INDEX(SETUP!$B$16:$B$22,MATCH($I983,SETUP!$A$16:$A$22,1))))</f>
        <v>CORE</v>
      </c>
      <c r="K983" s="19" t="str">
        <f>IF($C983="","",IF($I983="","-",TEXT(INT($I983/1000)*1000,"#,##0")&amp;" - "&amp;TEXT(INT($I983/1000)*1000+999,"#,##0")))</f>
        <v>5,000 - 5,999</v>
      </c>
      <c r="L983" s="71">
        <v>5.65</v>
      </c>
      <c r="M983" s="19" t="str">
        <f>IF($C983="","",IF($L983="","-",INDEX(SETUP!$B$36:$B$42,MATCH($L983,SETUP!$A$36:$A$42,1))))</f>
        <v>5k - 6k</v>
      </c>
      <c r="N983" s="21">
        <f>IF($C983="","",IF(OR($G983="",$I983=""),"",ROUND(100*(SETUP!$B$4*MIN(1,$I983/SETUP!$B$9)+SETUP!$B$5*MAX(0,MIN(1,($G983-SETUP!$B$10)/(SETUP!$B$11-SETUP!$B$10)))+SETUP!$B$6*MIN(1,IF($L983="",0,$L983)/SETUP!$B$12)),1)))</f>
        <v>51.2</v>
      </c>
      <c r="O983" s="19" t="str">
        <f>IF($C983="","",IF($N983="","-",INDEX(SETUP!$B$46:$B$51,MATCH($N983,SETUP!$A$46:$A$51,1))))</f>
        <v>A</v>
      </c>
      <c r="P983" s="19">
        <f>IF($C983="","",IF($I983="","",RANK($I983,$I$4:$I$1463)+COUNTIF($I$4:$I983,$I983)-1))</f>
        <v>374</v>
      </c>
      <c r="Q983" s="19">
        <f>IF($C983="","",COUNTIFS($B$4:$B$1463,$B983,$X$4:$X$1463,"&gt;"&amp;$X983)+COUNTIFS($B$4:$B983,$B983,$X$4:$X983,"="&amp;$X983))</f>
        <v>23</v>
      </c>
      <c r="R983" s="75">
        <f>IF($C983="","",IF($I983="","",ROUND(COUNTIF($I$4:$I$1463,"&lt;"&amp;$I983)/COUNT($I$4:$I$1463),3)))</f>
        <v>0.71799999999999997</v>
      </c>
      <c r="S983" s="19" t="str">
        <f>IF($C983="","",IF($G983="","Name only",IF(OR($I983="",$L983=""),"Partial","Complete")))</f>
        <v>Complete</v>
      </c>
      <c r="T983" s="1" t="str">
        <f>IF($C983="","",TRIM(IF(COUNTIF($C$4:$C$1463,$C983)&gt;1,"Dup name; ","")&amp;IF(AND($G983&lt;&gt;"",$G983&lt;55000),"Low CR - verify; ","")&amp;IF(AND($L983&lt;&gt;"",$L983&gt;15),"Secondary - verify; ","")&amp;IF($E983="","No class; ","")))</f>
        <v/>
      </c>
      <c r="U983" s="68"/>
      <c r="V983" s="68"/>
      <c r="W983" s="68"/>
      <c r="X983" s="76">
        <f t="shared" si="77"/>
        <v>5232</v>
      </c>
      <c r="Y983" s="1" t="str">
        <f t="shared" si="78"/>
        <v>ACHERON|23</v>
      </c>
      <c r="Z983" s="19">
        <f>IF($C983="","",IF($G983="","",RANK($G983,$G$4:$G$1463)+COUNTIF($G$4:$G983,$G983)-1))</f>
        <v>761</v>
      </c>
      <c r="AA983" s="19">
        <f>IF($C983="","",IF($N983="","",RANK($N983,$N$4:$N$1463)+COUNTIF($N$4:$N983,$N983)-1))</f>
        <v>418</v>
      </c>
      <c r="AB983" s="1" t="str">
        <f>IF($C983="","",IF($E983="","",$E983&amp;"#"&amp;(COUNTIFS($E$4:$E$1463,$E983,$X$4:$X$1463,"&gt;"&amp;$X983)+COUNTIFS($E$4:$E983,$E983,$X$4:$X983,"="&amp;$X983))))</f>
        <v>WARLOCK#88</v>
      </c>
      <c r="AC983" s="1" t="str">
        <f>IF($C983="","",$B983&amp;"@"&amp;(COUNTIFS($B$4:$B$1463,$B983,$C$4:$C$1463,"&lt;"&amp;$C983)+COUNTIFS($B$4:$B983,$B983,$C$4:$C983,$C983)))</f>
        <v>ACHERON@65</v>
      </c>
      <c r="AD983" s="1">
        <f t="shared" si="79"/>
        <v>980</v>
      </c>
      <c r="AE983" s="1" t="s">
        <v>2210</v>
      </c>
      <c r="AF983" s="76">
        <f t="shared" si="80"/>
        <v>62195</v>
      </c>
      <c r="AG983" s="77">
        <f t="shared" si="81"/>
        <v>5.65</v>
      </c>
      <c r="AH983" s="1" t="str">
        <f>IF($C983="","",$B983&amp;"|"&amp;(COUNTIFS($B$4:$B$1463,$B983,$AF$4:$AF$1463,"&gt;"&amp;$AF983)+COUNTIFS($B$4:$B983,$B983,$AF$4:$AF983,"="&amp;$AF983)))</f>
        <v>ACHERON|60</v>
      </c>
      <c r="AI983" s="1" t="str">
        <f>IF($C983="","",$B983&amp;"|"&amp;(COUNTIFS($B$4:$B$1463,$B983,$AG$4:$AG$1463,"&gt;"&amp;$AG983)+COUNTIFS($B$4:$B983,$B983,$AG$4:$AG983,"="&amp;$AG983)))</f>
        <v>ACHERON|25</v>
      </c>
    </row>
    <row r="984" spans="1:35" hidden="1">
      <c r="A984" s="69" t="s">
        <v>109</v>
      </c>
      <c r="B984" s="69" t="s">
        <v>116</v>
      </c>
      <c r="C984" s="63" t="s">
        <v>2211</v>
      </c>
      <c r="D984" s="69" t="s">
        <v>530</v>
      </c>
      <c r="E984" s="68" t="s">
        <v>74</v>
      </c>
      <c r="F984" s="15" t="str">
        <f>IF($C984="","",IF($E984="","-",IFERROR(INDEX(SETUP!$B$55:$B$64,MATCH($E984,SETUP!$A$55:$A$64,0)),"Other")))</f>
        <v>Ranged DPS</v>
      </c>
      <c r="G984" s="70">
        <v>61209</v>
      </c>
      <c r="H984" s="15" t="str">
        <f>IF($C984="","",IF($G984="","-",INDEX(SETUP!$B$26:$B$32,MATCH($G984,SETUP!$A$26:$A$32,1))))</f>
        <v>61,000 - 61,999</v>
      </c>
      <c r="I984" s="70">
        <v>3239</v>
      </c>
      <c r="J984" s="15" t="str">
        <f>IF($C984="","",IF($I984="","-",INDEX(SETUP!$B$16:$B$22,MATCH($I984,SETUP!$A$16:$A$22,1))))</f>
        <v>DEVELOPING</v>
      </c>
      <c r="K984" s="15" t="str">
        <f>IF($C984="","",IF($I984="","-",TEXT(INT($I984/1000)*1000,"#,##0")&amp;" - "&amp;TEXT(INT($I984/1000)*1000+999,"#,##0")))</f>
        <v>3,000 - 3,999</v>
      </c>
      <c r="L984" s="71">
        <v>3.4</v>
      </c>
      <c r="M984" s="15" t="str">
        <f>IF($C984="","",IF($L984="","-",INDEX(SETUP!$B$36:$B$42,MATCH($L984,SETUP!$A$36:$A$42,1))))</f>
        <v>3k - 4k</v>
      </c>
      <c r="N984" s="17">
        <f>IF($C984="","",IF(OR($G984="",$I984=""),"",ROUND(100*(SETUP!$B$4*MIN(1,$I984/SETUP!$B$9)+SETUP!$B$5*MAX(0,MIN(1,($G984-SETUP!$B$10)/(SETUP!$B$11-SETUP!$B$10)))+SETUP!$B$6*MIN(1,IF($L984="",0,$L984)/SETUP!$B$12)),1)))</f>
        <v>36.1</v>
      </c>
      <c r="O984" s="15" t="str">
        <f>IF($C984="","",IF($N984="","-",INDEX(SETUP!$B$46:$B$51,MATCH($N984,SETUP!$A$46:$A$51,1))))</f>
        <v>B</v>
      </c>
      <c r="P984" s="15">
        <f>IF($C984="","",IF($I984="","",RANK($I984,$I$4:$I$1463)+COUNTIF($I$4:$I984,$I984)-1))</f>
        <v>809</v>
      </c>
      <c r="Q984" s="15">
        <f>IF($C984="","",COUNTIFS($B$4:$B$1463,$B984,$X$4:$X$1463,"&gt;"&amp;$X984)+COUNTIFS($B$4:$B984,$B984,$X$4:$X984,"="&amp;$X984))</f>
        <v>53</v>
      </c>
      <c r="R984" s="72">
        <f>IF($C984="","",IF($I984="","",ROUND(COUNTIF($I$4:$I$1463,"&lt;"&amp;$I984)/COUNT($I$4:$I$1463),3)))</f>
        <v>0.38900000000000001</v>
      </c>
      <c r="S984" s="15" t="str">
        <f>IF($C984="","",IF($G984="","Name only",IF(OR($I984="",$L984=""),"Partial","Complete")))</f>
        <v>Complete</v>
      </c>
      <c r="T984" s="41" t="str">
        <f>IF($C984="","",TRIM(IF(COUNTIF($C$4:$C$1463,$C984)&gt;1,"Dup name; ","")&amp;IF(AND($G984&lt;&gt;"",$G984&lt;55000),"Low CR - verify; ","")&amp;IF(AND($L984&lt;&gt;"",$L984&gt;15),"Secondary - verify; ","")&amp;IF($E984="","No class; ","")))</f>
        <v/>
      </c>
      <c r="U984" s="68"/>
      <c r="V984" s="68"/>
      <c r="W984" s="68"/>
      <c r="X984" s="73">
        <f t="shared" si="77"/>
        <v>3239</v>
      </c>
      <c r="Y984" s="41" t="str">
        <f t="shared" si="78"/>
        <v>VENGEANCE|53</v>
      </c>
      <c r="Z984" s="15">
        <f>IF($C984="","",IF($G984="","",RANK($G984,$G$4:$G$1463)+COUNTIF($G$4:$G984,$G984)-1))</f>
        <v>1084</v>
      </c>
      <c r="AA984" s="15">
        <f>IF($C984="","",IF($N984="","",RANK($N984,$N$4:$N$1463)+COUNTIF($N$4:$N984,$N984)-1))</f>
        <v>962</v>
      </c>
      <c r="AB984" s="41" t="str">
        <f>IF($C984="","",IF($E984="","",$E984&amp;"#"&amp;(COUNTIFS($E$4:$E$1463,$E984,$X$4:$X$1463,"&gt;"&amp;$X984)+COUNTIFS($E$4:$E984,$E984,$X$4:$X984,"="&amp;$X984))))</f>
        <v>DEMON HUNTER#129</v>
      </c>
      <c r="AC984" s="41" t="str">
        <f>IF($C984="","",$B984&amp;"@"&amp;(COUNTIFS($B$4:$B$1463,$B984,$C$4:$C$1463,"&lt;"&amp;$C984)+COUNTIFS($B$4:$B984,$B984,$C$4:$C984,$C984)))</f>
        <v>VENGEANCE@64</v>
      </c>
      <c r="AD984" s="41">
        <f t="shared" si="79"/>
        <v>981</v>
      </c>
      <c r="AE984" s="41" t="s">
        <v>1327</v>
      </c>
      <c r="AF984" s="73">
        <f t="shared" si="80"/>
        <v>61209</v>
      </c>
      <c r="AG984" s="74">
        <f t="shared" si="81"/>
        <v>3.4</v>
      </c>
      <c r="AH984" s="41" t="str">
        <f>IF($C984="","",$B984&amp;"|"&amp;(COUNTIFS($B$4:$B$1463,$B984,$AF$4:$AF$1463,"&gt;"&amp;$AF984)+COUNTIFS($B$4:$B984,$B984,$AF$4:$AF984,"="&amp;$AF984)))</f>
        <v>VENGEANCE|72</v>
      </c>
      <c r="AI984" s="41" t="str">
        <f>IF($C984="","",$B984&amp;"|"&amp;(COUNTIFS($B$4:$B$1463,$B984,$AG$4:$AG$1463,"&gt;"&amp;$AG984)+COUNTIFS($B$4:$B984,$B984,$AG$4:$AG984,"="&amp;$AG984)))</f>
        <v>VENGEANCE|87</v>
      </c>
    </row>
    <row r="985" spans="1:35" hidden="1">
      <c r="A985" s="69" t="s">
        <v>106</v>
      </c>
      <c r="B985" s="69" t="s">
        <v>86</v>
      </c>
      <c r="C985" s="63" t="s">
        <v>2212</v>
      </c>
      <c r="D985" s="69"/>
      <c r="E985" s="68" t="s">
        <v>74</v>
      </c>
      <c r="F985" s="19" t="str">
        <f>IF($C985="","",IF($E985="","-",IFERROR(INDEX(SETUP!$B$55:$B$64,MATCH($E985,SETUP!$A$55:$A$64,0)),"Other")))</f>
        <v>Ranged DPS</v>
      </c>
      <c r="G985" s="70">
        <v>64207</v>
      </c>
      <c r="H985" s="19" t="str">
        <f>IF($C985="","",IF($G985="","-",INDEX(SETUP!$B$26:$B$32,MATCH($G985,SETUP!$A$26:$A$32,1))))</f>
        <v>64,000 +</v>
      </c>
      <c r="I985" s="70">
        <v>10123</v>
      </c>
      <c r="J985" s="19" t="str">
        <f>IF($C985="","",IF($I985="","-",INDEX(SETUP!$B$16:$B$22,MATCH($I985,SETUP!$A$16:$A$22,1))))</f>
        <v>APEX</v>
      </c>
      <c r="K985" s="19" t="str">
        <f>IF($C985="","",IF($I985="","-",TEXT(INT($I985/1000)*1000,"#,##0")&amp;" - "&amp;TEXT(INT($I985/1000)*1000+999,"#,##0")))</f>
        <v>10,000 - 10,999</v>
      </c>
      <c r="L985" s="71">
        <v>8.85</v>
      </c>
      <c r="M985" s="19" t="str">
        <f>IF($C985="","",IF($L985="","-",INDEX(SETUP!$B$36:$B$42,MATCH($L985,SETUP!$A$36:$A$42,1))))</f>
        <v>8k - 10k</v>
      </c>
      <c r="N985" s="21">
        <f>IF($C985="","",IF(OR($G985="",$I985=""),"",ROUND(100*(SETUP!$B$4*MIN(1,$I985/SETUP!$B$9)+SETUP!$B$5*MAX(0,MIN(1,($G985-SETUP!$B$10)/(SETUP!$B$11-SETUP!$B$10)))+SETUP!$B$6*MIN(1,IF($L985="",0,$L985)/SETUP!$B$12)),1)))</f>
        <v>83.2</v>
      </c>
      <c r="O985" s="19" t="str">
        <f>IF($C985="","",IF($N985="","-",INDEX(SETUP!$B$46:$B$51,MATCH($N985,SETUP!$A$46:$A$51,1))))</f>
        <v>S+</v>
      </c>
      <c r="P985" s="19">
        <f>IF($C985="","",IF($I985="","",RANK($I985,$I$4:$I$1463)+COUNTIF($I$4:$I985,$I985)-1))</f>
        <v>45</v>
      </c>
      <c r="Q985" s="19">
        <f>IF($C985="","",COUNTIFS($B$4:$B$1463,$B985,$X$4:$X$1463,"&gt;"&amp;$X985)+COUNTIFS($B$4:$B985,$B985,$X$4:$X985,"="&amp;$X985))</f>
        <v>8</v>
      </c>
      <c r="R985" s="75">
        <f>IF($C985="","",IF($I985="","",ROUND(COUNTIF($I$4:$I$1463,"&lt;"&amp;$I985)/COUNT($I$4:$I$1463),3)))</f>
        <v>0.96599999999999997</v>
      </c>
      <c r="S985" s="19" t="str">
        <f>IF($C985="","",IF($G985="","Name only",IF(OR($I985="",$L985=""),"Partial","Complete")))</f>
        <v>Complete</v>
      </c>
      <c r="T985" s="1" t="str">
        <f>IF($C985="","",TRIM(IF(COUNTIF($C$4:$C$1463,$C985)&gt;1,"Dup name; ","")&amp;IF(AND($G985&lt;&gt;"",$G985&lt;55000),"Low CR - verify; ","")&amp;IF(AND($L985&lt;&gt;"",$L985&gt;15),"Secondary - verify; ","")&amp;IF($E985="","No class; ","")))</f>
        <v/>
      </c>
      <c r="U985" s="68"/>
      <c r="V985" s="68"/>
      <c r="W985" s="68"/>
      <c r="X985" s="76">
        <f t="shared" si="77"/>
        <v>10123</v>
      </c>
      <c r="Y985" s="1" t="str">
        <f t="shared" si="78"/>
        <v>VANGUARD|8</v>
      </c>
      <c r="Z985" s="19">
        <f>IF($C985="","",IF($G985="","",RANK($G985,$G$4:$G$1463)+COUNTIF($G$4:$G985,$G985)-1))</f>
        <v>40</v>
      </c>
      <c r="AA985" s="19">
        <f>IF($C985="","",IF($N985="","",RANK($N985,$N$4:$N$1463)+COUNTIF($N$4:$N985,$N985)-1))</f>
        <v>30</v>
      </c>
      <c r="AB985" s="1" t="str">
        <f>IF($C985="","",IF($E985="","",$E985&amp;"#"&amp;(COUNTIFS($E$4:$E$1463,$E985,$X$4:$X$1463,"&gt;"&amp;$X985)+COUNTIFS($E$4:$E985,$E985,$X$4:$X985,"="&amp;$X985))))</f>
        <v>DEMON HUNTER#9</v>
      </c>
      <c r="AC985" s="1" t="str">
        <f>IF($C985="","",$B985&amp;"@"&amp;(COUNTIFS($B$4:$B$1463,$B985,$C$4:$C$1463,"&lt;"&amp;$C985)+COUNTIFS($B$4:$B985,$B985,$C$4:$C985,$C985)))</f>
        <v>VANGUARD@72</v>
      </c>
      <c r="AD985" s="1">
        <f t="shared" si="79"/>
        <v>982</v>
      </c>
      <c r="AE985" s="1" t="s">
        <v>2213</v>
      </c>
      <c r="AF985" s="76">
        <f t="shared" si="80"/>
        <v>64207</v>
      </c>
      <c r="AG985" s="77">
        <f t="shared" si="81"/>
        <v>8.85</v>
      </c>
      <c r="AH985" s="1" t="str">
        <f>IF($C985="","",$B985&amp;"|"&amp;(COUNTIFS($B$4:$B$1463,$B985,$AF$4:$AF$1463,"&gt;"&amp;$AF985)+COUNTIFS($B$4:$B985,$B985,$AF$4:$AF985,"="&amp;$AF985)))</f>
        <v>VANGUARD|9</v>
      </c>
      <c r="AI985" s="1" t="str">
        <f>IF($C985="","",$B985&amp;"|"&amp;(COUNTIFS($B$4:$B$1463,$B985,$AG$4:$AG$1463,"&gt;"&amp;$AG985)+COUNTIFS($B$4:$B985,$B985,$AG$4:$AG985,"="&amp;$AG985)))</f>
        <v>VANGUARD|12</v>
      </c>
    </row>
    <row r="986" spans="1:35" hidden="1">
      <c r="A986" s="69" t="s">
        <v>106</v>
      </c>
      <c r="B986" s="69" t="s">
        <v>107</v>
      </c>
      <c r="C986" s="63" t="s">
        <v>2214</v>
      </c>
      <c r="D986" s="69"/>
      <c r="E986" s="68" t="s">
        <v>79</v>
      </c>
      <c r="F986" s="15" t="str">
        <f>IF($C986="","",IF($E986="","-",IFERROR(INDEX(SETUP!$B$55:$B$64,MATCH($E986,SETUP!$A$55:$A$64,0)),"Other")))</f>
        <v>Control</v>
      </c>
      <c r="G986" s="70">
        <v>61465</v>
      </c>
      <c r="H986" s="15" t="str">
        <f>IF($C986="","",IF($G986="","-",INDEX(SETUP!$B$26:$B$32,MATCH($G986,SETUP!$A$26:$A$32,1))))</f>
        <v>61,000 - 61,999</v>
      </c>
      <c r="I986" s="70">
        <v>4009</v>
      </c>
      <c r="J986" s="15" t="str">
        <f>IF($C986="","",IF($I986="","-",INDEX(SETUP!$B$16:$B$22,MATCH($I986,SETUP!$A$16:$A$22,1))))</f>
        <v>CORE</v>
      </c>
      <c r="K986" s="15" t="str">
        <f>IF($C986="","",IF($I986="","-",TEXT(INT($I986/1000)*1000,"#,##0")&amp;" - "&amp;TEXT(INT($I986/1000)*1000+999,"#,##0")))</f>
        <v>4,000 - 4,999</v>
      </c>
      <c r="L986" s="71">
        <v>5.3</v>
      </c>
      <c r="M986" s="15" t="str">
        <f>IF($C986="","",IF($L986="","-",INDEX(SETUP!$B$36:$B$42,MATCH($L986,SETUP!$A$36:$A$42,1))))</f>
        <v>5k - 6k</v>
      </c>
      <c r="N986" s="17">
        <f>IF($C986="","",IF(OR($G986="",$I986=""),"",ROUND(100*(SETUP!$B$4*MIN(1,$I986/SETUP!$B$9)+SETUP!$B$5*MAX(0,MIN(1,($G986-SETUP!$B$10)/(SETUP!$B$11-SETUP!$B$10)))+SETUP!$B$6*MIN(1,IF($L986="",0,$L986)/SETUP!$B$12)),1)))</f>
        <v>43.3</v>
      </c>
      <c r="O986" s="15" t="str">
        <f>IF($C986="","",IF($N986="","-",INDEX(SETUP!$B$46:$B$51,MATCH($N986,SETUP!$A$46:$A$51,1))))</f>
        <v>B</v>
      </c>
      <c r="P986" s="15">
        <f>IF($C986="","",IF($I986="","",RANK($I986,$I$4:$I$1463)+COUNTIF($I$4:$I986,$I986)-1))</f>
        <v>602</v>
      </c>
      <c r="Q986" s="15">
        <f>IF($C986="","",COUNTIFS($B$4:$B$1463,$B986,$X$4:$X$1463,"&gt;"&amp;$X986)+COUNTIFS($B$4:$B986,$B986,$X$4:$X986,"="&amp;$X986))</f>
        <v>52</v>
      </c>
      <c r="R986" s="72">
        <f>IF($C986="","",IF($I986="","",ROUND(COUNTIF($I$4:$I$1463,"&lt;"&amp;$I986)/COUNT($I$4:$I$1463),3)))</f>
        <v>0.54600000000000004</v>
      </c>
      <c r="S986" s="15" t="str">
        <f>IF($C986="","",IF($G986="","Name only",IF(OR($I986="",$L986=""),"Partial","Complete")))</f>
        <v>Complete</v>
      </c>
      <c r="T986" s="41" t="str">
        <f>IF($C986="","",TRIM(IF(COUNTIF($C$4:$C$1463,$C986)&gt;1,"Dup name; ","")&amp;IF(AND($G986&lt;&gt;"",$G986&lt;55000),"Low CR - verify; ","")&amp;IF(AND($L986&lt;&gt;"",$L986&gt;15),"Secondary - verify; ","")&amp;IF($E986="","No class; ","")))</f>
        <v/>
      </c>
      <c r="U986" s="68"/>
      <c r="V986" s="68"/>
      <c r="W986" s="68"/>
      <c r="X986" s="73">
        <f t="shared" si="77"/>
        <v>4009</v>
      </c>
      <c r="Y986" s="41" t="str">
        <f t="shared" si="78"/>
        <v>UNDYING|52</v>
      </c>
      <c r="Z986" s="15">
        <f>IF($C986="","",IF($G986="","",RANK($G986,$G$4:$G$1463)+COUNTIF($G$4:$G986,$G986)-1))</f>
        <v>1010</v>
      </c>
      <c r="AA986" s="15">
        <f>IF($C986="","",IF($N986="","",RANK($N986,$N$4:$N$1463)+COUNTIF($N$4:$N986,$N986)-1))</f>
        <v>692</v>
      </c>
      <c r="AB986" s="41" t="str">
        <f>IF($C986="","",IF($E986="","",$E986&amp;"#"&amp;(COUNTIFS($E$4:$E$1463,$E986,$X$4:$X$1463,"&gt;"&amp;$X986)+COUNTIFS($E$4:$E986,$E986,$X$4:$X986,"="&amp;$X986))))</f>
        <v>WARLOCK#140</v>
      </c>
      <c r="AC986" s="41" t="str">
        <f>IF($C986="","",$B986&amp;"@"&amp;(COUNTIFS($B$4:$B$1463,$B986,$C$4:$C$1463,"&lt;"&amp;$C986)+COUNTIFS($B$4:$B986,$B986,$C$4:$C986,$C986)))</f>
        <v>UNDYING@83</v>
      </c>
      <c r="AD986" s="41">
        <f t="shared" si="79"/>
        <v>983</v>
      </c>
      <c r="AE986" s="41" t="s">
        <v>580</v>
      </c>
      <c r="AF986" s="73">
        <f t="shared" si="80"/>
        <v>61465</v>
      </c>
      <c r="AG986" s="74">
        <f t="shared" si="81"/>
        <v>5.3</v>
      </c>
      <c r="AH986" s="41" t="str">
        <f>IF($C986="","",$B986&amp;"|"&amp;(COUNTIFS($B$4:$B$1463,$B986,$AF$4:$AF$1463,"&gt;"&amp;$AF986)+COUNTIFS($B$4:$B986,$B986,$AF$4:$AF986,"="&amp;$AF986)))</f>
        <v>UNDYING|89</v>
      </c>
      <c r="AI986" s="41" t="str">
        <f>IF($C986="","",$B986&amp;"|"&amp;(COUNTIFS($B$4:$B$1463,$B986,$AG$4:$AG$1463,"&gt;"&amp;$AG986)+COUNTIFS($B$4:$B986,$B986,$AG$4:$AG986,"="&amp;$AG986)))</f>
        <v>UNDYING|42</v>
      </c>
    </row>
    <row r="987" spans="1:35" hidden="1">
      <c r="A987" s="69" t="s">
        <v>109</v>
      </c>
      <c r="B987" s="69" t="s">
        <v>113</v>
      </c>
      <c r="C987" s="63" t="s">
        <v>2215</v>
      </c>
      <c r="D987" s="69" t="s">
        <v>548</v>
      </c>
      <c r="E987" s="68" t="s">
        <v>79</v>
      </c>
      <c r="F987" s="19" t="str">
        <f>IF($C987="","",IF($E987="","-",IFERROR(INDEX(SETUP!$B$55:$B$64,MATCH($E987,SETUP!$A$55:$A$64,0)),"Other")))</f>
        <v>Control</v>
      </c>
      <c r="G987" s="70">
        <v>61048</v>
      </c>
      <c r="H987" s="19" t="str">
        <f>IF($C987="","",IF($G987="","-",INDEX(SETUP!$B$26:$B$32,MATCH($G987,SETUP!$A$26:$A$32,1))))</f>
        <v>61,000 - 61,999</v>
      </c>
      <c r="I987" s="70">
        <v>1638</v>
      </c>
      <c r="J987" s="19" t="str">
        <f>IF($C987="","",IF($I987="","-",INDEX(SETUP!$B$16:$B$22,MATCH($I987,SETUP!$A$16:$A$22,1))))</f>
        <v>ROOKIE</v>
      </c>
      <c r="K987" s="19" t="str">
        <f>IF($C987="","",IF($I987="","-",TEXT(INT($I987/1000)*1000,"#,##0")&amp;" - "&amp;TEXT(INT($I987/1000)*1000+999,"#,##0")))</f>
        <v>1,000 - 1,999</v>
      </c>
      <c r="L987" s="71">
        <v>3.85</v>
      </c>
      <c r="M987" s="19" t="str">
        <f>IF($C987="","",IF($L987="","-",INDEX(SETUP!$B$36:$B$42,MATCH($L987,SETUP!$A$36:$A$42,1))))</f>
        <v>3k - 4k</v>
      </c>
      <c r="N987" s="21">
        <f>IF($C987="","",IF(OR($G987="",$I987=""),"",ROUND(100*(SETUP!$B$4*MIN(1,$I987/SETUP!$B$9)+SETUP!$B$5*MAX(0,MIN(1,($G987-SETUP!$B$10)/(SETUP!$B$11-SETUP!$B$10)))+SETUP!$B$6*MIN(1,IF($L987="",0,$L987)/SETUP!$B$12)),1)))</f>
        <v>29.5</v>
      </c>
      <c r="O987" s="19" t="str">
        <f>IF($C987="","",IF($N987="","-",INDEX(SETUP!$B$46:$B$51,MATCH($N987,SETUP!$A$46:$A$51,1))))</f>
        <v>C</v>
      </c>
      <c r="P987" s="19">
        <f>IF($C987="","",IF($I987="","",RANK($I987,$I$4:$I$1463)+COUNTIF($I$4:$I987,$I987)-1))</f>
        <v>1171</v>
      </c>
      <c r="Q987" s="19">
        <f>IF($C987="","",COUNTIFS($B$4:$B$1463,$B987,$X$4:$X$1463,"&gt;"&amp;$X987)+COUNTIFS($B$4:$B987,$B987,$X$4:$X987,"="&amp;$X987))</f>
        <v>88</v>
      </c>
      <c r="R987" s="75">
        <f>IF($C987="","",IF($I987="","",ROUND(COUNTIF($I$4:$I$1463,"&lt;"&amp;$I987)/COUNT($I$4:$I$1463),3)))</f>
        <v>0.11600000000000001</v>
      </c>
      <c r="S987" s="19" t="str">
        <f>IF($C987="","",IF($G987="","Name only",IF(OR($I987="",$L987=""),"Partial","Complete")))</f>
        <v>Complete</v>
      </c>
      <c r="T987" s="1" t="str">
        <f>IF($C987="","",TRIM(IF(COUNTIF($C$4:$C$1463,$C987)&gt;1,"Dup name; ","")&amp;IF(AND($G987&lt;&gt;"",$G987&lt;55000),"Low CR - verify; ","")&amp;IF(AND($L987&lt;&gt;"",$L987&gt;15),"Secondary - verify; ","")&amp;IF($E987="","No class; ","")))</f>
        <v/>
      </c>
      <c r="U987" s="68"/>
      <c r="V987" s="68"/>
      <c r="W987" s="68"/>
      <c r="X987" s="76">
        <f t="shared" si="77"/>
        <v>1638</v>
      </c>
      <c r="Y987" s="1" t="str">
        <f t="shared" si="78"/>
        <v>INVICTUS|88</v>
      </c>
      <c r="Z987" s="19">
        <f>IF($C987="","",IF($G987="","",RANK($G987,$G$4:$G$1463)+COUNTIF($G$4:$G987,$G987)-1))</f>
        <v>1124</v>
      </c>
      <c r="AA987" s="19">
        <f>IF($C987="","",IF($N987="","",RANK($N987,$N$4:$N$1463)+COUNTIF($N$4:$N987,$N987)-1))</f>
        <v>1158</v>
      </c>
      <c r="AB987" s="1" t="str">
        <f>IF($C987="","",IF($E987="","",$E987&amp;"#"&amp;(COUNTIFS($E$4:$E$1463,$E987,$X$4:$X$1463,"&gt;"&amp;$X987)+COUNTIFS($E$4:$E987,$E987,$X$4:$X987,"="&amp;$X987))))</f>
        <v>WARLOCK#290</v>
      </c>
      <c r="AC987" s="1" t="str">
        <f>IF($C987="","",$B987&amp;"@"&amp;(COUNTIFS($B$4:$B$1463,$B987,$C$4:$C$1463,"&lt;"&amp;$C987)+COUNTIFS($B$4:$B987,$B987,$C$4:$C987,$C987)))</f>
        <v>INVICTUS@71</v>
      </c>
      <c r="AD987" s="1">
        <f t="shared" si="79"/>
        <v>984</v>
      </c>
      <c r="AE987" s="1" t="s">
        <v>600</v>
      </c>
      <c r="AF987" s="76">
        <f t="shared" si="80"/>
        <v>61048</v>
      </c>
      <c r="AG987" s="77">
        <f t="shared" si="81"/>
        <v>3.85</v>
      </c>
      <c r="AH987" s="1" t="str">
        <f>IF($C987="","",$B987&amp;"|"&amp;(COUNTIFS($B$4:$B$1463,$B987,$AF$4:$AF$1463,"&gt;"&amp;$AF987)+COUNTIFS($B$4:$B987,$B987,$AF$4:$AF987,"="&amp;$AF987)))</f>
        <v>INVICTUS|85</v>
      </c>
      <c r="AI987" s="1" t="str">
        <f>IF($C987="","",$B987&amp;"|"&amp;(COUNTIFS($B$4:$B$1463,$B987,$AG$4:$AG$1463,"&gt;"&amp;$AG987)+COUNTIFS($B$4:$B987,$B987,$AG$4:$AG987,"="&amp;$AG987)))</f>
        <v>INVICTUS|62</v>
      </c>
    </row>
    <row r="988" spans="1:35" hidden="1">
      <c r="A988" s="69" t="s">
        <v>109</v>
      </c>
      <c r="B988" s="69" t="s">
        <v>115</v>
      </c>
      <c r="C988" s="63" t="s">
        <v>2216</v>
      </c>
      <c r="D988" s="69"/>
      <c r="E988" s="68" t="s">
        <v>71</v>
      </c>
      <c r="F988" s="15" t="str">
        <f>IF($C988="","",IF($E988="","-",IFERROR(INDEX(SETUP!$B$55:$B$64,MATCH($E988,SETUP!$A$55:$A$64,0)),"Other")))</f>
        <v>Frontline</v>
      </c>
      <c r="G988" s="70">
        <v>62196</v>
      </c>
      <c r="H988" s="15" t="str">
        <f>IF($C988="","",IF($G988="","-",INDEX(SETUP!$B$26:$B$32,MATCH($G988,SETUP!$A$26:$A$32,1))))</f>
        <v>62,000 - 62,999</v>
      </c>
      <c r="I988" s="70">
        <v>2876</v>
      </c>
      <c r="J988" s="15" t="str">
        <f>IF($C988="","",IF($I988="","-",INDEX(SETUP!$B$16:$B$22,MATCH($I988,SETUP!$A$16:$A$22,1))))</f>
        <v>DEVELOPING</v>
      </c>
      <c r="K988" s="15" t="str">
        <f>IF($C988="","",IF($I988="","-",TEXT(INT($I988/1000)*1000,"#,##0")&amp;" - "&amp;TEXT(INT($I988/1000)*1000+999,"#,##0")))</f>
        <v>2,000 - 2,999</v>
      </c>
      <c r="L988" s="71">
        <v>4.5</v>
      </c>
      <c r="M988" s="15" t="str">
        <f>IF($C988="","",IF($L988="","-",INDEX(SETUP!$B$36:$B$42,MATCH($L988,SETUP!$A$36:$A$42,1))))</f>
        <v>4k - 5k</v>
      </c>
      <c r="N988" s="17">
        <f>IF($C988="","",IF(OR($G988="",$I988=""),"",ROUND(100*(SETUP!$B$4*MIN(1,$I988/SETUP!$B$9)+SETUP!$B$5*MAX(0,MIN(1,($G988-SETUP!$B$10)/(SETUP!$B$11-SETUP!$B$10)))+SETUP!$B$6*MIN(1,IF($L988="",0,$L988)/SETUP!$B$12)),1)))</f>
        <v>39</v>
      </c>
      <c r="O988" s="15" t="str">
        <f>IF($C988="","",IF($N988="","-",INDEX(SETUP!$B$46:$B$51,MATCH($N988,SETUP!$A$46:$A$51,1))))</f>
        <v>B</v>
      </c>
      <c r="P988" s="15">
        <f>IF($C988="","",IF($I988="","",RANK($I988,$I$4:$I$1463)+COUNTIF($I$4:$I988,$I988)-1))</f>
        <v>916</v>
      </c>
      <c r="Q988" s="15">
        <f>IF($C988="","",COUNTIFS($B$4:$B$1463,$B988,$X$4:$X$1463,"&gt;"&amp;$X988)+COUNTIFS($B$4:$B988,$B988,$X$4:$X988,"="&amp;$X988))</f>
        <v>26</v>
      </c>
      <c r="R988" s="72">
        <f>IF($C988="","",IF($I988="","",ROUND(COUNTIF($I$4:$I$1463,"&lt;"&amp;$I988)/COUNT($I$4:$I$1463),3)))</f>
        <v>0.309</v>
      </c>
      <c r="S988" s="15" t="str">
        <f>IF($C988="","",IF($G988="","Name only",IF(OR($I988="",$L988=""),"Partial","Complete")))</f>
        <v>Complete</v>
      </c>
      <c r="T988" s="41" t="str">
        <f>IF($C988="","",TRIM(IF(COUNTIF($C$4:$C$1463,$C988)&gt;1,"Dup name; ","")&amp;IF(AND($G988&lt;&gt;"",$G988&lt;55000),"Low CR - verify; ","")&amp;IF(AND($L988&lt;&gt;"",$L988&gt;15),"Secondary - verify; ","")&amp;IF($E988="","No class; ","")))</f>
        <v/>
      </c>
      <c r="U988" s="68"/>
      <c r="V988" s="68"/>
      <c r="W988" s="68"/>
      <c r="X988" s="73">
        <f t="shared" si="77"/>
        <v>2876</v>
      </c>
      <c r="Y988" s="41" t="str">
        <f t="shared" si="78"/>
        <v>SUB ROSA|26</v>
      </c>
      <c r="Z988" s="15">
        <f>IF($C988="","",IF($G988="","",RANK($G988,$G$4:$G$1463)+COUNTIF($G$4:$G988,$G988)-1))</f>
        <v>760</v>
      </c>
      <c r="AA988" s="15">
        <f>IF($C988="","",IF($N988="","",RANK($N988,$N$4:$N$1463)+COUNTIF($N$4:$N988,$N988)-1))</f>
        <v>862</v>
      </c>
      <c r="AB988" s="41" t="str">
        <f>IF($C988="","",IF($E988="","",$E988&amp;"#"&amp;(COUNTIFS($E$4:$E$1463,$E988,$X$4:$X$1463,"&gt;"&amp;$X988)+COUNTIFS($E$4:$E988,$E988,$X$4:$X988,"="&amp;$X988))))</f>
        <v>BARBARIAN#158</v>
      </c>
      <c r="AC988" s="41" t="str">
        <f>IF($C988="","",$B988&amp;"@"&amp;(COUNTIFS($B$4:$B$1463,$B988,$C$4:$C$1463,"&lt;"&amp;$C988)+COUNTIFS($B$4:$B988,$B988,$C$4:$C988,$C988)))</f>
        <v>SUB ROSA@67</v>
      </c>
      <c r="AD988" s="41">
        <f t="shared" si="79"/>
        <v>985</v>
      </c>
      <c r="AE988" s="41" t="s">
        <v>630</v>
      </c>
      <c r="AF988" s="73">
        <f t="shared" si="80"/>
        <v>62196</v>
      </c>
      <c r="AG988" s="74">
        <f t="shared" si="81"/>
        <v>4.5</v>
      </c>
      <c r="AH988" s="41" t="str">
        <f>IF($C988="","",$B988&amp;"|"&amp;(COUNTIFS($B$4:$B$1463,$B988,$AF$4:$AF$1463,"&gt;"&amp;$AF988)+COUNTIFS($B$4:$B988,$B988,$AF$4:$AF988,"="&amp;$AF988)))</f>
        <v>SUB ROSA|28</v>
      </c>
      <c r="AI988" s="41" t="str">
        <f>IF($C988="","",$B988&amp;"|"&amp;(COUNTIFS($B$4:$B$1463,$B988,$AG$4:$AG$1463,"&gt;"&amp;$AG988)+COUNTIFS($B$4:$B988,$B988,$AG$4:$AG988,"="&amp;$AG988)))</f>
        <v>SUB ROSA|21</v>
      </c>
    </row>
    <row r="989" spans="1:35" hidden="1">
      <c r="A989" s="69" t="s">
        <v>106</v>
      </c>
      <c r="B989" s="69" t="s">
        <v>86</v>
      </c>
      <c r="C989" s="63" t="s">
        <v>2217</v>
      </c>
      <c r="D989" s="69"/>
      <c r="E989" s="68" t="s">
        <v>77</v>
      </c>
      <c r="F989" s="19" t="str">
        <f>IF($C989="","",IF($E989="","-",IFERROR(INDEX(SETUP!$B$55:$B$64,MATCH($E989,SETUP!$A$55:$A$64,0)),"Other")))</f>
        <v>Control</v>
      </c>
      <c r="G989" s="70">
        <v>63540</v>
      </c>
      <c r="H989" s="19" t="str">
        <f>IF($C989="","",IF($G989="","-",INDEX(SETUP!$B$26:$B$32,MATCH($G989,SETUP!$A$26:$A$32,1))))</f>
        <v>63,000 - 63,999</v>
      </c>
      <c r="I989" s="70">
        <v>5091</v>
      </c>
      <c r="J989" s="19" t="str">
        <f>IF($C989="","",IF($I989="","-",INDEX(SETUP!$B$16:$B$22,MATCH($I989,SETUP!$A$16:$A$22,1))))</f>
        <v>CORE</v>
      </c>
      <c r="K989" s="19" t="str">
        <f>IF($C989="","",IF($I989="","-",TEXT(INT($I989/1000)*1000,"#,##0")&amp;" - "&amp;TEXT(INT($I989/1000)*1000+999,"#,##0")))</f>
        <v>5,000 - 5,999</v>
      </c>
      <c r="L989" s="71">
        <v>5.16</v>
      </c>
      <c r="M989" s="19" t="str">
        <f>IF($C989="","",IF($L989="","-",INDEX(SETUP!$B$36:$B$42,MATCH($L989,SETUP!$A$36:$A$42,1))))</f>
        <v>5k - 6k</v>
      </c>
      <c r="N989" s="21">
        <f>IF($C989="","",IF(OR($G989="",$I989=""),"",ROUND(100*(SETUP!$B$4*MIN(1,$I989/SETUP!$B$9)+SETUP!$B$5*MAX(0,MIN(1,($G989-SETUP!$B$10)/(SETUP!$B$11-SETUP!$B$10)))+SETUP!$B$6*MIN(1,IF($L989="",0,$L989)/SETUP!$B$12)),1)))</f>
        <v>53.3</v>
      </c>
      <c r="O989" s="19" t="str">
        <f>IF($C989="","",IF($N989="","-",INDEX(SETUP!$B$46:$B$51,MATCH($N989,SETUP!$A$46:$A$51,1))))</f>
        <v>A</v>
      </c>
      <c r="P989" s="19">
        <f>IF($C989="","",IF($I989="","",RANK($I989,$I$4:$I$1463)+COUNTIF($I$4:$I989,$I989)-1))</f>
        <v>400</v>
      </c>
      <c r="Q989" s="19">
        <f>IF($C989="","",COUNTIFS($B$4:$B$1463,$B989,$X$4:$X$1463,"&gt;"&amp;$X989)+COUNTIFS($B$4:$B989,$B989,$X$4:$X989,"="&amp;$X989))</f>
        <v>67</v>
      </c>
      <c r="R989" s="75">
        <f>IF($C989="","",IF($I989="","",ROUND(COUNTIF($I$4:$I$1463,"&lt;"&amp;$I989)/COUNT($I$4:$I$1463),3)))</f>
        <v>0.69799999999999995</v>
      </c>
      <c r="S989" s="19" t="str">
        <f>IF($C989="","",IF($G989="","Name only",IF(OR($I989="",$L989=""),"Partial","Complete")))</f>
        <v>Complete</v>
      </c>
      <c r="T989" s="1" t="str">
        <f>IF($C989="","",TRIM(IF(COUNTIF($C$4:$C$1463,$C989)&gt;1,"Dup name; ","")&amp;IF(AND($G989&lt;&gt;"",$G989&lt;55000),"Low CR - verify; ","")&amp;IF(AND($L989&lt;&gt;"",$L989&gt;15),"Secondary - verify; ","")&amp;IF($E989="","No class; ","")))</f>
        <v/>
      </c>
      <c r="U989" s="68"/>
      <c r="V989" s="68"/>
      <c r="W989" s="68"/>
      <c r="X989" s="76">
        <f t="shared" si="77"/>
        <v>5091</v>
      </c>
      <c r="Y989" s="1" t="str">
        <f t="shared" si="78"/>
        <v>VANGUARD|67</v>
      </c>
      <c r="Z989" s="19">
        <f>IF($C989="","",IF($G989="","",RANK($G989,$G$4:$G$1463)+COUNTIF($G$4:$G989,$G989)-1))</f>
        <v>177</v>
      </c>
      <c r="AA989" s="19">
        <f>IF($C989="","",IF($N989="","",RANK($N989,$N$4:$N$1463)+COUNTIF($N$4:$N989,$N989)-1))</f>
        <v>361</v>
      </c>
      <c r="AB989" s="1" t="str">
        <f>IF($C989="","",IF($E989="","",$E989&amp;"#"&amp;(COUNTIFS($E$4:$E$1463,$E989,$X$4:$X$1463,"&gt;"&amp;$X989)+COUNTIFS($E$4:$E989,$E989,$X$4:$X989,"="&amp;$X989))))</f>
        <v>NECROMANCER#20</v>
      </c>
      <c r="AC989" s="1" t="str">
        <f>IF($C989="","",$B989&amp;"@"&amp;(COUNTIFS($B$4:$B$1463,$B989,$C$4:$C$1463,"&lt;"&amp;$C989)+COUNTIFS($B$4:$B989,$B989,$C$4:$C989,$C989)))</f>
        <v>VANGUARD@73</v>
      </c>
      <c r="AD989" s="1">
        <f t="shared" si="79"/>
        <v>986</v>
      </c>
      <c r="AE989" s="1" t="s">
        <v>2218</v>
      </c>
      <c r="AF989" s="76">
        <f t="shared" si="80"/>
        <v>63540</v>
      </c>
      <c r="AG989" s="77">
        <f t="shared" si="81"/>
        <v>5.16</v>
      </c>
      <c r="AH989" s="1" t="str">
        <f>IF($C989="","",$B989&amp;"|"&amp;(COUNTIFS($B$4:$B$1463,$B989,$AF$4:$AF$1463,"&gt;"&amp;$AF989)+COUNTIFS($B$4:$B989,$B989,$AF$4:$AF989,"="&amp;$AF989)))</f>
        <v>VANGUARD|38</v>
      </c>
      <c r="AI989" s="1" t="str">
        <f>IF($C989="","",$B989&amp;"|"&amp;(COUNTIFS($B$4:$B$1463,$B989,$AG$4:$AG$1463,"&gt;"&amp;$AG989)+COUNTIFS($B$4:$B989,$B989,$AG$4:$AG989,"="&amp;$AG989)))</f>
        <v>VANGUARD|63</v>
      </c>
    </row>
    <row r="990" spans="1:35" hidden="1">
      <c r="A990" s="69" t="s">
        <v>109</v>
      </c>
      <c r="B990" s="69" t="s">
        <v>108</v>
      </c>
      <c r="C990" s="63" t="s">
        <v>2219</v>
      </c>
      <c r="D990" s="69"/>
      <c r="E990" s="68" t="s">
        <v>74</v>
      </c>
      <c r="F990" s="15" t="str">
        <f>IF($C990="","",IF($E990="","-",IFERROR(INDEX(SETUP!$B$55:$B$64,MATCH($E990,SETUP!$A$55:$A$64,0)),"Other")))</f>
        <v>Ranged DPS</v>
      </c>
      <c r="G990" s="70">
        <v>63364</v>
      </c>
      <c r="H990" s="15" t="str">
        <f>IF($C990="","",IF($G990="","-",INDEX(SETUP!$B$26:$B$32,MATCH($G990,SETUP!$A$26:$A$32,1))))</f>
        <v>63,000 - 63,999</v>
      </c>
      <c r="I990" s="70">
        <v>5357</v>
      </c>
      <c r="J990" s="15" t="str">
        <f>IF($C990="","",IF($I990="","-",INDEX(SETUP!$B$16:$B$22,MATCH($I990,SETUP!$A$16:$A$22,1))))</f>
        <v>CORE</v>
      </c>
      <c r="K990" s="15" t="str">
        <f>IF($C990="","",IF($I990="","-",TEXT(INT($I990/1000)*1000,"#,##0")&amp;" - "&amp;TEXT(INT($I990/1000)*1000+999,"#,##0")))</f>
        <v>5,000 - 5,999</v>
      </c>
      <c r="L990" s="71">
        <v>5.15</v>
      </c>
      <c r="M990" s="15" t="str">
        <f>IF($C990="","",IF($L990="","-",INDEX(SETUP!$B$36:$B$42,MATCH($L990,SETUP!$A$36:$A$42,1))))</f>
        <v>5k - 6k</v>
      </c>
      <c r="N990" s="17">
        <f>IF($C990="","",IF(OR($G990="",$I990=""),"",ROUND(100*(SETUP!$B$4*MIN(1,$I990/SETUP!$B$9)+SETUP!$B$5*MAX(0,MIN(1,($G990-SETUP!$B$10)/(SETUP!$B$11-SETUP!$B$10)))+SETUP!$B$6*MIN(1,IF($L990="",0,$L990)/SETUP!$B$12)),1)))</f>
        <v>54</v>
      </c>
      <c r="O990" s="15" t="str">
        <f>IF($C990="","",IF($N990="","-",INDEX(SETUP!$B$46:$B$51,MATCH($N990,SETUP!$A$46:$A$51,1))))</f>
        <v>A</v>
      </c>
      <c r="P990" s="15">
        <f>IF($C990="","",IF($I990="","",RANK($I990,$I$4:$I$1463)+COUNTIF($I$4:$I990,$I990)-1))</f>
        <v>352</v>
      </c>
      <c r="Q990" s="15">
        <f>IF($C990="","",COUNTIFS($B$4:$B$1463,$B990,$X$4:$X$1463,"&gt;"&amp;$X990)+COUNTIFS($B$4:$B990,$B990,$X$4:$X990,"="&amp;$X990))</f>
        <v>52</v>
      </c>
      <c r="R990" s="72">
        <f>IF($C990="","",IF($I990="","",ROUND(COUNTIF($I$4:$I$1463,"&lt;"&amp;$I990)/COUNT($I$4:$I$1463),3)))</f>
        <v>0.73399999999999999</v>
      </c>
      <c r="S990" s="15" t="str">
        <f>IF($C990="","",IF($G990="","Name only",IF(OR($I990="",$L990=""),"Partial","Complete")))</f>
        <v>Complete</v>
      </c>
      <c r="T990" s="41" t="str">
        <f>IF($C990="","",TRIM(IF(COUNTIF($C$4:$C$1463,$C990)&gt;1,"Dup name; ","")&amp;IF(AND($G990&lt;&gt;"",$G990&lt;55000),"Low CR - verify; ","")&amp;IF(AND($L990&lt;&gt;"",$L990&gt;15),"Secondary - verify; ","")&amp;IF($E990="","No class; ","")))</f>
        <v/>
      </c>
      <c r="U990" s="68"/>
      <c r="V990" s="68"/>
      <c r="W990" s="68"/>
      <c r="X990" s="73">
        <f t="shared" si="77"/>
        <v>5357</v>
      </c>
      <c r="Y990" s="41" t="str">
        <f t="shared" si="78"/>
        <v>SBG|52</v>
      </c>
      <c r="Z990" s="15">
        <f>IF($C990="","",IF($G990="","",RANK($G990,$G$4:$G$1463)+COUNTIF($G$4:$G990,$G990)-1))</f>
        <v>235</v>
      </c>
      <c r="AA990" s="15">
        <f>IF($C990="","",IF($N990="","",RANK($N990,$N$4:$N$1463)+COUNTIF($N$4:$N990,$N990)-1))</f>
        <v>338</v>
      </c>
      <c r="AB990" s="41" t="str">
        <f>IF($C990="","",IF($E990="","",$E990&amp;"#"&amp;(COUNTIFS($E$4:$E$1463,$E990,$X$4:$X$1463,"&gt;"&amp;$X990)+COUNTIFS($E$4:$E990,$E990,$X$4:$X990,"="&amp;$X990))))</f>
        <v>DEMON HUNTER#56</v>
      </c>
      <c r="AC990" s="41" t="str">
        <f>IF($C990="","",$B990&amp;"@"&amp;(COUNTIFS($B$4:$B$1463,$B990,$C$4:$C$1463,"&lt;"&amp;$C990)+COUNTIFS($B$4:$B990,$B990,$C$4:$C990,$C990)))</f>
        <v>SBG@63</v>
      </c>
      <c r="AD990" s="41">
        <f t="shared" si="79"/>
        <v>987</v>
      </c>
      <c r="AE990" s="41" t="s">
        <v>2220</v>
      </c>
      <c r="AF990" s="73">
        <f t="shared" si="80"/>
        <v>63364</v>
      </c>
      <c r="AG990" s="74">
        <f t="shared" si="81"/>
        <v>5.15</v>
      </c>
      <c r="AH990" s="41" t="str">
        <f>IF($C990="","",$B990&amp;"|"&amp;(COUNTIFS($B$4:$B$1463,$B990,$AF$4:$AF$1463,"&gt;"&amp;$AF990)+COUNTIFS($B$4:$B990,$B990,$AF$4:$AF990,"="&amp;$AF990)))</f>
        <v>SBG|32</v>
      </c>
      <c r="AI990" s="41" t="str">
        <f>IF($C990="","",$B990&amp;"|"&amp;(COUNTIFS($B$4:$B$1463,$B990,$AG$4:$AG$1463,"&gt;"&amp;$AG990)+COUNTIFS($B$4:$B990,$B990,$AG$4:$AG990,"="&amp;$AG990)))</f>
        <v>SBG|71</v>
      </c>
    </row>
    <row r="991" spans="1:35" hidden="1">
      <c r="A991" s="69" t="s">
        <v>109</v>
      </c>
      <c r="B991" s="69" t="s">
        <v>114</v>
      </c>
      <c r="C991" s="63" t="s">
        <v>2221</v>
      </c>
      <c r="D991" s="69"/>
      <c r="E991" s="68" t="s">
        <v>77</v>
      </c>
      <c r="F991" s="19" t="str">
        <f>IF($C991="","",IF($E991="","-",IFERROR(INDEX(SETUP!$B$55:$B$64,MATCH($E991,SETUP!$A$55:$A$64,0)),"Other")))</f>
        <v>Control</v>
      </c>
      <c r="G991" s="70">
        <v>63026</v>
      </c>
      <c r="H991" s="19" t="str">
        <f>IF($C991="","",IF($G991="","-",INDEX(SETUP!$B$26:$B$32,MATCH($G991,SETUP!$A$26:$A$32,1))))</f>
        <v>63,000 - 63,999</v>
      </c>
      <c r="I991" s="70">
        <v>2766</v>
      </c>
      <c r="J991" s="19" t="str">
        <f>IF($C991="","",IF($I991="","-",INDEX(SETUP!$B$16:$B$22,MATCH($I991,SETUP!$A$16:$A$22,1))))</f>
        <v>DEVELOPING</v>
      </c>
      <c r="K991" s="19" t="str">
        <f>IF($C991="","",IF($I991="","-",TEXT(INT($I991/1000)*1000,"#,##0")&amp;" - "&amp;TEXT(INT($I991/1000)*1000+999,"#,##0")))</f>
        <v>2,000 - 2,999</v>
      </c>
      <c r="L991" s="71">
        <v>4.7300000000000004</v>
      </c>
      <c r="M991" s="19" t="str">
        <f>IF($C991="","",IF($L991="","-",INDEX(SETUP!$B$36:$B$42,MATCH($L991,SETUP!$A$36:$A$42,1))))</f>
        <v>4k - 5k</v>
      </c>
      <c r="N991" s="21">
        <f>IF($C991="","",IF(OR($G991="",$I991=""),"",ROUND(100*(SETUP!$B$4*MIN(1,$I991/SETUP!$B$9)+SETUP!$B$5*MAX(0,MIN(1,($G991-SETUP!$B$10)/(SETUP!$B$11-SETUP!$B$10)))+SETUP!$B$6*MIN(1,IF($L991="",0,$L991)/SETUP!$B$12)),1)))</f>
        <v>41.1</v>
      </c>
      <c r="O991" s="19" t="str">
        <f>IF($C991="","",IF($N991="","-",INDEX(SETUP!$B$46:$B$51,MATCH($N991,SETUP!$A$46:$A$51,1))))</f>
        <v>B</v>
      </c>
      <c r="P991" s="19">
        <f>IF($C991="","",IF($I991="","",RANK($I991,$I$4:$I$1463)+COUNTIF($I$4:$I991,$I991)-1))</f>
        <v>941</v>
      </c>
      <c r="Q991" s="19">
        <f>IF($C991="","",COUNTIFS($B$4:$B$1463,$B991,$X$4:$X$1463,"&gt;"&amp;$X991)+COUNTIFS($B$4:$B991,$B991,$X$4:$X991,"="&amp;$X991))</f>
        <v>30</v>
      </c>
      <c r="R991" s="75">
        <f>IF($C991="","",IF($I991="","",ROUND(COUNTIF($I$4:$I$1463,"&lt;"&amp;$I991)/COUNT($I$4:$I$1463),3)))</f>
        <v>0.28999999999999998</v>
      </c>
      <c r="S991" s="19" t="str">
        <f>IF($C991="","",IF($G991="","Name only",IF(OR($I991="",$L991=""),"Partial","Complete")))</f>
        <v>Complete</v>
      </c>
      <c r="T991" s="1" t="str">
        <f>IF($C991="","",TRIM(IF(COUNTIF($C$4:$C$1463,$C991)&gt;1,"Dup name; ","")&amp;IF(AND($G991&lt;&gt;"",$G991&lt;55000),"Low CR - verify; ","")&amp;IF(AND($L991&lt;&gt;"",$L991&gt;15),"Secondary - verify; ","")&amp;IF($E991="","No class; ","")))</f>
        <v/>
      </c>
      <c r="U991" s="68"/>
      <c r="V991" s="68"/>
      <c r="W991" s="68"/>
      <c r="X991" s="76">
        <f t="shared" si="77"/>
        <v>2766</v>
      </c>
      <c r="Y991" s="1" t="str">
        <f t="shared" si="78"/>
        <v>EMERALD LEAF TRIBE|30</v>
      </c>
      <c r="Z991" s="19">
        <f>IF($C991="","",IF($G991="","",RANK($G991,$G$4:$G$1463)+COUNTIF($G$4:$G991,$G991)-1))</f>
        <v>415</v>
      </c>
      <c r="AA991" s="19">
        <f>IF($C991="","",IF($N991="","",RANK($N991,$N$4:$N$1463)+COUNTIF($N$4:$N991,$N991)-1))</f>
        <v>771</v>
      </c>
      <c r="AB991" s="1" t="str">
        <f>IF($C991="","",IF($E991="","",$E991&amp;"#"&amp;(COUNTIFS($E$4:$E$1463,$E991,$X$4:$X$1463,"&gt;"&amp;$X991)+COUNTIFS($E$4:$E991,$E991,$X$4:$X991,"="&amp;$X991))))</f>
        <v>NECROMANCER#56</v>
      </c>
      <c r="AC991" s="1" t="str">
        <f>IF($C991="","",$B991&amp;"@"&amp;(COUNTIFS($B$4:$B$1463,$B991,$C$4:$C$1463,"&lt;"&amp;$C991)+COUNTIFS($B$4:$B991,$B991,$C$4:$C991,$C991)))</f>
        <v>EMERALD LEAF TRIBE@73</v>
      </c>
      <c r="AD991" s="1">
        <f t="shared" si="79"/>
        <v>988</v>
      </c>
      <c r="AE991" s="1" t="s">
        <v>2222</v>
      </c>
      <c r="AF991" s="76">
        <f t="shared" si="80"/>
        <v>63026</v>
      </c>
      <c r="AG991" s="77">
        <f t="shared" si="81"/>
        <v>4.7300000000000004</v>
      </c>
      <c r="AH991" s="1" t="str">
        <f>IF($C991="","",$B991&amp;"|"&amp;(COUNTIFS($B$4:$B$1463,$B991,$AF$4:$AF$1463,"&gt;"&amp;$AF991)+COUNTIFS($B$4:$B991,$B991,$AF$4:$AF991,"="&amp;$AF991)))</f>
        <v>EMERALD LEAF TRIBE|4</v>
      </c>
      <c r="AI991" s="1" t="str">
        <f>IF($C991="","",$B991&amp;"|"&amp;(COUNTIFS($B$4:$B$1463,$B991,$AG$4:$AG$1463,"&gt;"&amp;$AG991)+COUNTIFS($B$4:$B991,$B991,$AG$4:$AG991,"="&amp;$AG991)))</f>
        <v>EMERALD LEAF TRIBE|10</v>
      </c>
    </row>
    <row r="992" spans="1:35" hidden="1">
      <c r="A992" s="69" t="s">
        <v>109</v>
      </c>
      <c r="B992" s="69" t="s">
        <v>115</v>
      </c>
      <c r="C992" s="63" t="s">
        <v>2223</v>
      </c>
      <c r="D992" s="69"/>
      <c r="E992" s="68"/>
      <c r="F992" s="15" t="str">
        <f>IF($C992="","",IF($E992="","-",IFERROR(INDEX(SETUP!$B$55:$B$64,MATCH($E992,SETUP!$A$55:$A$64,0)),"Other")))</f>
        <v>-</v>
      </c>
      <c r="G992" s="70"/>
      <c r="H992" s="15" t="str">
        <f>IF($C992="","",IF($G992="","-",INDEX(SETUP!$B$26:$B$32,MATCH($G992,SETUP!$A$26:$A$32,1))))</f>
        <v>-</v>
      </c>
      <c r="I992" s="70"/>
      <c r="J992" s="15" t="str">
        <f>IF($C992="","",IF($I992="","-",INDEX(SETUP!$B$16:$B$22,MATCH($I992,SETUP!$A$16:$A$22,1))))</f>
        <v>-</v>
      </c>
      <c r="K992" s="15" t="str">
        <f>IF($C992="","",IF($I992="","-",TEXT(INT($I992/1000)*1000,"#,##0")&amp;" - "&amp;TEXT(INT($I992/1000)*1000+999,"#,##0")))</f>
        <v>-</v>
      </c>
      <c r="L992" s="71"/>
      <c r="M992" s="15" t="str">
        <f>IF($C992="","",IF($L992="","-",INDEX(SETUP!$B$36:$B$42,MATCH($L992,SETUP!$A$36:$A$42,1))))</f>
        <v>-</v>
      </c>
      <c r="N992" s="17" t="str">
        <f>IF($C992="","",IF(OR($G992="",$I992=""),"",ROUND(100*(SETUP!$B$4*MIN(1,$I992/SETUP!$B$9)+SETUP!$B$5*MAX(0,MIN(1,($G992-SETUP!$B$10)/(SETUP!$B$11-SETUP!$B$10)))+SETUP!$B$6*MIN(1,IF($L992="",0,$L992)/SETUP!$B$12)),1)))</f>
        <v/>
      </c>
      <c r="O992" s="15" t="str">
        <f>IF($C992="","",IF($N992="","-",INDEX(SETUP!$B$46:$B$51,MATCH($N992,SETUP!$A$46:$A$51,1))))</f>
        <v>-</v>
      </c>
      <c r="P992" s="15" t="str">
        <f>IF($C992="","",IF($I992="","",RANK($I992,$I$4:$I$1463)+COUNTIF($I$4:$I992,$I992)-1))</f>
        <v/>
      </c>
      <c r="Q992" s="15">
        <f>IF($C992="","",COUNTIFS($B$4:$B$1463,$B992,$X$4:$X$1463,"&gt;"&amp;$X992)+COUNTIFS($B$4:$B992,$B992,$X$4:$X992,"="&amp;$X992))</f>
        <v>78</v>
      </c>
      <c r="R992" s="72" t="str">
        <f>IF($C992="","",IF($I992="","",ROUND(COUNTIF($I$4:$I$1463,"&lt;"&amp;$I992)/COUNT($I$4:$I$1463),3)))</f>
        <v/>
      </c>
      <c r="S992" s="15" t="str">
        <f>IF($C992="","",IF($G992="","Name only",IF(OR($I992="",$L992=""),"Partial","Complete")))</f>
        <v>Name only</v>
      </c>
      <c r="T992" s="41" t="str">
        <f>IF($C992="","",TRIM(IF(COUNTIF($C$4:$C$1463,$C992)&gt;1,"Dup name; ","")&amp;IF(AND($G992&lt;&gt;"",$G992&lt;55000),"Low CR - verify; ","")&amp;IF(AND($L992&lt;&gt;"",$L992&gt;15),"Secondary - verify; ","")&amp;IF($E992="","No class; ","")))</f>
        <v>No class;</v>
      </c>
      <c r="U992" s="68"/>
      <c r="V992" s="68"/>
      <c r="W992" s="68"/>
      <c r="X992" s="41">
        <f t="shared" si="77"/>
        <v>-1</v>
      </c>
      <c r="Y992" s="41" t="str">
        <f t="shared" si="78"/>
        <v>SUB ROSA|78</v>
      </c>
      <c r="Z992" s="15" t="str">
        <f>IF($C992="","",IF($G992="","",RANK($G992,$G$4:$G$1463)+COUNTIF($G$4:$G992,$G992)-1))</f>
        <v/>
      </c>
      <c r="AA992" s="15" t="str">
        <f>IF($C992="","",IF($N992="","",RANK($N992,$N$4:$N$1463)+COUNTIF($N$4:$N992,$N992)-1))</f>
        <v/>
      </c>
      <c r="AB992" s="41" t="str">
        <f>IF($C992="","",IF($E992="","",$E992&amp;"#"&amp;(COUNTIFS($E$4:$E$1463,$E992,$X$4:$X$1463,"&gt;"&amp;$X992)+COUNTIFS($E$4:$E992,$E992,$X$4:$X992,"="&amp;$X992))))</f>
        <v/>
      </c>
      <c r="AC992" s="41" t="str">
        <f>IF($C992="","",$B992&amp;"@"&amp;(COUNTIFS($B$4:$B$1463,$B992,$C$4:$C$1463,"&lt;"&amp;$C992)+COUNTIFS($B$4:$B992,$B992,$C$4:$C992,$C992)))</f>
        <v>SUB ROSA@68</v>
      </c>
      <c r="AD992" s="41">
        <f t="shared" si="79"/>
        <v>989</v>
      </c>
      <c r="AE992" s="41"/>
      <c r="AF992" s="41">
        <f t="shared" si="80"/>
        <v>-1</v>
      </c>
      <c r="AG992" s="41">
        <f t="shared" si="81"/>
        <v>-1</v>
      </c>
      <c r="AH992" s="41" t="str">
        <f>IF($C992="","",$B992&amp;"|"&amp;(COUNTIFS($B$4:$B$1463,$B992,$AF$4:$AF$1463,"&gt;"&amp;$AF992)+COUNTIFS($B$4:$B992,$B992,$AF$4:$AF992,"="&amp;$AF992)))</f>
        <v>SUB ROSA|78</v>
      </c>
      <c r="AI992" s="41" t="str">
        <f>IF($C992="","",$B992&amp;"|"&amp;(COUNTIFS($B$4:$B$1463,$B992,$AG$4:$AG$1463,"&gt;"&amp;$AG992)+COUNTIFS($B$4:$B992,$B992,$AG$4:$AG992,"="&amp;$AG992)))</f>
        <v>SUB ROSA|78</v>
      </c>
    </row>
    <row r="993" spans="1:35" hidden="1">
      <c r="A993" s="69" t="s">
        <v>109</v>
      </c>
      <c r="B993" s="69" t="s">
        <v>108</v>
      </c>
      <c r="C993" s="63" t="s">
        <v>2224</v>
      </c>
      <c r="D993" s="69"/>
      <c r="E993" s="68" t="s">
        <v>73</v>
      </c>
      <c r="F993" s="19" t="str">
        <f>IF($C993="","",IF($E993="","-",IFERROR(INDEX(SETUP!$B$55:$B$64,MATCH($E993,SETUP!$A$55:$A$64,0)),"Other")))</f>
        <v>Frontline</v>
      </c>
      <c r="G993" s="70">
        <v>63534</v>
      </c>
      <c r="H993" s="19" t="str">
        <f>IF($C993="","",IF($G993="","-",INDEX(SETUP!$B$26:$B$32,MATCH($G993,SETUP!$A$26:$A$32,1))))</f>
        <v>63,000 - 63,999</v>
      </c>
      <c r="I993" s="70">
        <v>4748</v>
      </c>
      <c r="J993" s="19" t="str">
        <f>IF($C993="","",IF($I993="","-",INDEX(SETUP!$B$16:$B$22,MATCH($I993,SETUP!$A$16:$A$22,1))))</f>
        <v>CORE</v>
      </c>
      <c r="K993" s="19" t="str">
        <f>IF($C993="","",IF($I993="","-",TEXT(INT($I993/1000)*1000,"#,##0")&amp;" - "&amp;TEXT(INT($I993/1000)*1000+999,"#,##0")))</f>
        <v>4,000 - 4,999</v>
      </c>
      <c r="L993" s="71">
        <v>5.3</v>
      </c>
      <c r="M993" s="19" t="str">
        <f>IF($C993="","",IF($L993="","-",INDEX(SETUP!$B$36:$B$42,MATCH($L993,SETUP!$A$36:$A$42,1))))</f>
        <v>5k - 6k</v>
      </c>
      <c r="N993" s="21">
        <f>IF($C993="","",IF(OR($G993="",$I993=""),"",ROUND(100*(SETUP!$B$4*MIN(1,$I993/SETUP!$B$9)+SETUP!$B$5*MAX(0,MIN(1,($G993-SETUP!$B$10)/(SETUP!$B$11-SETUP!$B$10)))+SETUP!$B$6*MIN(1,IF($L993="",0,$L993)/SETUP!$B$12)),1)))</f>
        <v>52</v>
      </c>
      <c r="O993" s="19" t="str">
        <f>IF($C993="","",IF($N993="","-",INDEX(SETUP!$B$46:$B$51,MATCH($N993,SETUP!$A$46:$A$51,1))))</f>
        <v>A</v>
      </c>
      <c r="P993" s="19">
        <f>IF($C993="","",IF($I993="","",RANK($I993,$I$4:$I$1463)+COUNTIF($I$4:$I993,$I993)-1))</f>
        <v>449</v>
      </c>
      <c r="Q993" s="19">
        <f>IF($C993="","",COUNTIFS($B$4:$B$1463,$B993,$X$4:$X$1463,"&gt;"&amp;$X993)+COUNTIFS($B$4:$B993,$B993,$X$4:$X993,"="&amp;$X993))</f>
        <v>61</v>
      </c>
      <c r="R993" s="75">
        <f>IF($C993="","",IF($I993="","",ROUND(COUNTIF($I$4:$I$1463,"&lt;"&amp;$I993)/COUNT($I$4:$I$1463),3)))</f>
        <v>0.66100000000000003</v>
      </c>
      <c r="S993" s="19" t="str">
        <f>IF($C993="","",IF($G993="","Name only",IF(OR($I993="",$L993=""),"Partial","Complete")))</f>
        <v>Complete</v>
      </c>
      <c r="T993" s="1" t="str">
        <f>IF($C993="","",TRIM(IF(COUNTIF($C$4:$C$1463,$C993)&gt;1,"Dup name; ","")&amp;IF(AND($G993&lt;&gt;"",$G993&lt;55000),"Low CR - verify; ","")&amp;IF(AND($L993&lt;&gt;"",$L993&gt;15),"Secondary - verify; ","")&amp;IF($E993="","No class; ","")))</f>
        <v/>
      </c>
      <c r="U993" s="68"/>
      <c r="V993" s="68"/>
      <c r="W993" s="68"/>
      <c r="X993" s="76">
        <f t="shared" si="77"/>
        <v>4748</v>
      </c>
      <c r="Y993" s="1" t="str">
        <f t="shared" si="78"/>
        <v>SBG|61</v>
      </c>
      <c r="Z993" s="19">
        <f>IF($C993="","",IF($G993="","",RANK($G993,$G$4:$G$1463)+COUNTIF($G$4:$G993,$G993)-1))</f>
        <v>181</v>
      </c>
      <c r="AA993" s="19">
        <f>IF($C993="","",IF($N993="","",RANK($N993,$N$4:$N$1463)+COUNTIF($N$4:$N993,$N993)-1))</f>
        <v>392</v>
      </c>
      <c r="AB993" s="1" t="str">
        <f>IF($C993="","",IF($E993="","",$E993&amp;"#"&amp;(COUNTIFS($E$4:$E$1463,$E993,$X$4:$X$1463,"&gt;"&amp;$X993)+COUNTIFS($E$4:$E993,$E993,$X$4:$X993,"="&amp;$X993))))</f>
        <v>CRUSADER#54</v>
      </c>
      <c r="AC993" s="1" t="str">
        <f>IF($C993="","",$B993&amp;"@"&amp;(COUNTIFS($B$4:$B$1463,$B993,$C$4:$C$1463,"&lt;"&amp;$C993)+COUNTIFS($B$4:$B993,$B993,$C$4:$C993,$C993)))</f>
        <v>SBG@64</v>
      </c>
      <c r="AD993" s="1">
        <f t="shared" si="79"/>
        <v>990</v>
      </c>
      <c r="AE993" s="1" t="s">
        <v>2225</v>
      </c>
      <c r="AF993" s="76">
        <f t="shared" si="80"/>
        <v>63534</v>
      </c>
      <c r="AG993" s="77">
        <f t="shared" si="81"/>
        <v>5.3</v>
      </c>
      <c r="AH993" s="1" t="str">
        <f>IF($C993="","",$B993&amp;"|"&amp;(COUNTIFS($B$4:$B$1463,$B993,$AF$4:$AF$1463,"&gt;"&amp;$AF993)+COUNTIFS($B$4:$B993,$B993,$AF$4:$AF993,"="&amp;$AF993)))</f>
        <v>SBG|29</v>
      </c>
      <c r="AI993" s="1" t="str">
        <f>IF($C993="","",$B993&amp;"|"&amp;(COUNTIFS($B$4:$B$1463,$B993,$AG$4:$AG$1463,"&gt;"&amp;$AG993)+COUNTIFS($B$4:$B993,$B993,$AG$4:$AG993,"="&amp;$AG993)))</f>
        <v>SBG|65</v>
      </c>
    </row>
    <row r="994" spans="1:35" hidden="1">
      <c r="A994" s="69" t="s">
        <v>109</v>
      </c>
      <c r="B994" s="69" t="s">
        <v>116</v>
      </c>
      <c r="C994" s="63" t="s">
        <v>2226</v>
      </c>
      <c r="D994" s="69" t="s">
        <v>530</v>
      </c>
      <c r="E994" s="68" t="s">
        <v>76</v>
      </c>
      <c r="F994" s="15" t="str">
        <f>IF($C994="","",IF($E994="","-",IFERROR(INDEX(SETUP!$B$55:$B$64,MATCH($E994,SETUP!$A$55:$A$64,0)),"Other")))</f>
        <v>Support</v>
      </c>
      <c r="G994" s="70">
        <v>62966</v>
      </c>
      <c r="H994" s="15" t="str">
        <f>IF($C994="","",IF($G994="","-",INDEX(SETUP!$B$26:$B$32,MATCH($G994,SETUP!$A$26:$A$32,1))))</f>
        <v>62,000 - 62,999</v>
      </c>
      <c r="I994" s="70">
        <v>2803</v>
      </c>
      <c r="J994" s="15" t="str">
        <f>IF($C994="","",IF($I994="","-",INDEX(SETUP!$B$16:$B$22,MATCH($I994,SETUP!$A$16:$A$22,1))))</f>
        <v>DEVELOPING</v>
      </c>
      <c r="K994" s="15" t="str">
        <f>IF($C994="","",IF($I994="","-",TEXT(INT($I994/1000)*1000,"#,##0")&amp;" - "&amp;TEXT(INT($I994/1000)*1000+999,"#,##0")))</f>
        <v>2,000 - 2,999</v>
      </c>
      <c r="L994" s="71">
        <v>3.9</v>
      </c>
      <c r="M994" s="15" t="str">
        <f>IF($C994="","",IF($L994="","-",INDEX(SETUP!$B$36:$B$42,MATCH($L994,SETUP!$A$36:$A$42,1))))</f>
        <v>3k - 4k</v>
      </c>
      <c r="N994" s="17">
        <f>IF($C994="","",IF(OR($G994="",$I994=""),"",ROUND(100*(SETUP!$B$4*MIN(1,$I994/SETUP!$B$9)+SETUP!$B$5*MAX(0,MIN(1,($G994-SETUP!$B$10)/(SETUP!$B$11-SETUP!$B$10)))+SETUP!$B$6*MIN(1,IF($L994="",0,$L994)/SETUP!$B$12)),1)))</f>
        <v>39.700000000000003</v>
      </c>
      <c r="O994" s="15" t="str">
        <f>IF($C994="","",IF($N994="","-",INDEX(SETUP!$B$46:$B$51,MATCH($N994,SETUP!$A$46:$A$51,1))))</f>
        <v>B</v>
      </c>
      <c r="P994" s="15">
        <f>IF($C994="","",IF($I994="","",RANK($I994,$I$4:$I$1463)+COUNTIF($I$4:$I994,$I994)-1))</f>
        <v>934</v>
      </c>
      <c r="Q994" s="15">
        <f>IF($C994="","",COUNTIFS($B$4:$B$1463,$B994,$X$4:$X$1463,"&gt;"&amp;$X994)+COUNTIFS($B$4:$B994,$B994,$X$4:$X994,"="&amp;$X994))</f>
        <v>62</v>
      </c>
      <c r="R994" s="72">
        <f>IF($C994="","",IF($I994="","",ROUND(COUNTIF($I$4:$I$1463,"&lt;"&amp;$I994)/COUNT($I$4:$I$1463),3)))</f>
        <v>0.29499999999999998</v>
      </c>
      <c r="S994" s="15" t="str">
        <f>IF($C994="","",IF($G994="","Name only",IF(OR($I994="",$L994=""),"Partial","Complete")))</f>
        <v>Complete</v>
      </c>
      <c r="T994" s="41" t="str">
        <f>IF($C994="","",TRIM(IF(COUNTIF($C$4:$C$1463,$C994)&gt;1,"Dup name; ","")&amp;IF(AND($G994&lt;&gt;"",$G994&lt;55000),"Low CR - verify; ","")&amp;IF(AND($L994&lt;&gt;"",$L994&gt;15),"Secondary - verify; ","")&amp;IF($E994="","No class; ","")))</f>
        <v/>
      </c>
      <c r="U994" s="68"/>
      <c r="V994" s="68"/>
      <c r="W994" s="68"/>
      <c r="X994" s="73">
        <f t="shared" si="77"/>
        <v>2803</v>
      </c>
      <c r="Y994" s="41" t="str">
        <f t="shared" si="78"/>
        <v>VENGEANCE|62</v>
      </c>
      <c r="Z994" s="15">
        <f>IF($C994="","",IF($G994="","",RANK($G994,$G$4:$G$1463)+COUNTIF($G$4:$G994,$G994)-1))</f>
        <v>442</v>
      </c>
      <c r="AA994" s="15">
        <f>IF($C994="","",IF($N994="","",RANK($N994,$N$4:$N$1463)+COUNTIF($N$4:$N994,$N994)-1))</f>
        <v>832</v>
      </c>
      <c r="AB994" s="41" t="str">
        <f>IF($C994="","",IF($E994="","",$E994&amp;"#"&amp;(COUNTIFS($E$4:$E$1463,$E994,$X$4:$X$1463,"&gt;"&amp;$X994)+COUNTIFS($E$4:$E994,$E994,$X$4:$X994,"="&amp;$X994))))</f>
        <v>MONK#34</v>
      </c>
      <c r="AC994" s="41" t="str">
        <f>IF($C994="","",$B994&amp;"@"&amp;(COUNTIFS($B$4:$B$1463,$B994,$C$4:$C$1463,"&lt;"&amp;$C994)+COUNTIFS($B$4:$B994,$B994,$C$4:$C994,$C994)))</f>
        <v>VENGEANCE@65</v>
      </c>
      <c r="AD994" s="41">
        <f t="shared" si="79"/>
        <v>991</v>
      </c>
      <c r="AE994" s="41" t="s">
        <v>885</v>
      </c>
      <c r="AF994" s="73">
        <f t="shared" si="80"/>
        <v>62966</v>
      </c>
      <c r="AG994" s="74">
        <f t="shared" si="81"/>
        <v>3.9</v>
      </c>
      <c r="AH994" s="41" t="str">
        <f>IF($C994="","",$B994&amp;"|"&amp;(COUNTIFS($B$4:$B$1463,$B994,$AF$4:$AF$1463,"&gt;"&amp;$AF994)+COUNTIFS($B$4:$B994,$B994,$AF$4:$AF994,"="&amp;$AF994)))</f>
        <v>VENGEANCE|23</v>
      </c>
      <c r="AI994" s="41" t="str">
        <f>IF($C994="","",$B994&amp;"|"&amp;(COUNTIFS($B$4:$B$1463,$B994,$AG$4:$AG$1463,"&gt;"&amp;$AG994)+COUNTIFS($B$4:$B994,$B994,$AG$4:$AG994,"="&amp;$AG994)))</f>
        <v>VENGEANCE|67</v>
      </c>
    </row>
    <row r="995" spans="1:35" hidden="1">
      <c r="A995" s="69" t="s">
        <v>109</v>
      </c>
      <c r="B995" s="69" t="s">
        <v>116</v>
      </c>
      <c r="C995" s="63" t="s">
        <v>2227</v>
      </c>
      <c r="D995" s="69" t="s">
        <v>530</v>
      </c>
      <c r="E995" s="68" t="s">
        <v>77</v>
      </c>
      <c r="F995" s="19" t="str">
        <f>IF($C995="","",IF($E995="","-",IFERROR(INDEX(SETUP!$B$55:$B$64,MATCH($E995,SETUP!$A$55:$A$64,0)),"Other")))</f>
        <v>Control</v>
      </c>
      <c r="G995" s="70">
        <v>60780</v>
      </c>
      <c r="H995" s="19" t="str">
        <f>IF($C995="","",IF($G995="","-",INDEX(SETUP!$B$26:$B$32,MATCH($G995,SETUP!$A$26:$A$32,1))))</f>
        <v>60,000 - 60,999</v>
      </c>
      <c r="I995" s="70">
        <v>1680</v>
      </c>
      <c r="J995" s="19" t="str">
        <f>IF($C995="","",IF($I995="","-",INDEX(SETUP!$B$16:$B$22,MATCH($I995,SETUP!$A$16:$A$22,1))))</f>
        <v>ROOKIE</v>
      </c>
      <c r="K995" s="19" t="str">
        <f>IF($C995="","",IF($I995="","-",TEXT(INT($I995/1000)*1000,"#,##0")&amp;" - "&amp;TEXT(INT($I995/1000)*1000+999,"#,##0")))</f>
        <v>1,000 - 1,999</v>
      </c>
      <c r="L995" s="71">
        <v>3.2</v>
      </c>
      <c r="M995" s="19" t="str">
        <f>IF($C995="","",IF($L995="","-",INDEX(SETUP!$B$36:$B$42,MATCH($L995,SETUP!$A$36:$A$42,1))))</f>
        <v>3k - 4k</v>
      </c>
      <c r="N995" s="21">
        <f>IF($C995="","",IF(OR($G995="",$I995=""),"",ROUND(100*(SETUP!$B$4*MIN(1,$I995/SETUP!$B$9)+SETUP!$B$5*MAX(0,MIN(1,($G995-SETUP!$B$10)/(SETUP!$B$11-SETUP!$B$10)))+SETUP!$B$6*MIN(1,IF($L995="",0,$L995)/SETUP!$B$12)),1)))</f>
        <v>27.9</v>
      </c>
      <c r="O995" s="19" t="str">
        <f>IF($C995="","",IF($N995="","-",INDEX(SETUP!$B$46:$B$51,MATCH($N995,SETUP!$A$46:$A$51,1))))</f>
        <v>C</v>
      </c>
      <c r="P995" s="19">
        <f>IF($C995="","",IF($I995="","",RANK($I995,$I$4:$I$1463)+COUNTIF($I$4:$I995,$I995)-1))</f>
        <v>1164</v>
      </c>
      <c r="Q995" s="19">
        <f>IF($C995="","",COUNTIFS($B$4:$B$1463,$B995,$X$4:$X$1463,"&gt;"&amp;$X995)+COUNTIFS($B$4:$B995,$B995,$X$4:$X995,"="&amp;$X995))</f>
        <v>91</v>
      </c>
      <c r="R995" s="75">
        <f>IF($C995="","",IF($I995="","",ROUND(COUNTIF($I$4:$I$1463,"&lt;"&amp;$I995)/COUNT($I$4:$I$1463),3)))</f>
        <v>0.122</v>
      </c>
      <c r="S995" s="19" t="str">
        <f>IF($C995="","",IF($G995="","Name only",IF(OR($I995="",$L995=""),"Partial","Complete")))</f>
        <v>Complete</v>
      </c>
      <c r="T995" s="1" t="str">
        <f>IF($C995="","",TRIM(IF(COUNTIF($C$4:$C$1463,$C995)&gt;1,"Dup name; ","")&amp;IF(AND($G995&lt;&gt;"",$G995&lt;55000),"Low CR - verify; ","")&amp;IF(AND($L995&lt;&gt;"",$L995&gt;15),"Secondary - verify; ","")&amp;IF($E995="","No class; ","")))</f>
        <v/>
      </c>
      <c r="U995" s="68"/>
      <c r="V995" s="68"/>
      <c r="W995" s="68"/>
      <c r="X995" s="76">
        <f t="shared" si="77"/>
        <v>1680</v>
      </c>
      <c r="Y995" s="1" t="str">
        <f t="shared" si="78"/>
        <v>VENGEANCE|91</v>
      </c>
      <c r="Z995" s="19">
        <f>IF($C995="","",IF($G995="","",RANK($G995,$G$4:$G$1463)+COUNTIF($G$4:$G995,$G995)-1))</f>
        <v>1175</v>
      </c>
      <c r="AA995" s="19">
        <f>IF($C995="","",IF($N995="","",RANK($N995,$N$4:$N$1463)+COUNTIF($N$4:$N995,$N995)-1))</f>
        <v>1197</v>
      </c>
      <c r="AB995" s="1" t="str">
        <f>IF($C995="","",IF($E995="","",$E995&amp;"#"&amp;(COUNTIFS($E$4:$E$1463,$E995,$X$4:$X$1463,"&gt;"&amp;$X995)+COUNTIFS($E$4:$E995,$E995,$X$4:$X995,"="&amp;$X995))))</f>
        <v>NECROMANCER#82</v>
      </c>
      <c r="AC995" s="1" t="str">
        <f>IF($C995="","",$B995&amp;"@"&amp;(COUNTIFS($B$4:$B$1463,$B995,$C$4:$C$1463,"&lt;"&amp;$C995)+COUNTIFS($B$4:$B995,$B995,$C$4:$C995,$C995)))</f>
        <v>VENGEANCE@66</v>
      </c>
      <c r="AD995" s="1">
        <f t="shared" si="79"/>
        <v>992</v>
      </c>
      <c r="AE995" s="1" t="s">
        <v>685</v>
      </c>
      <c r="AF995" s="76">
        <f t="shared" si="80"/>
        <v>60780</v>
      </c>
      <c r="AG995" s="77">
        <f t="shared" si="81"/>
        <v>3.2</v>
      </c>
      <c r="AH995" s="1" t="str">
        <f>IF($C995="","",$B995&amp;"|"&amp;(COUNTIFS($B$4:$B$1463,$B995,$AF$4:$AF$1463,"&gt;"&amp;$AF995)+COUNTIFS($B$4:$B995,$B995,$AF$4:$AF995,"="&amp;$AF995)))</f>
        <v>VENGEANCE|79</v>
      </c>
      <c r="AI995" s="1" t="str">
        <f>IF($C995="","",$B995&amp;"|"&amp;(COUNTIFS($B$4:$B$1463,$B995,$AG$4:$AG$1463,"&gt;"&amp;$AG995)+COUNTIFS($B$4:$B995,$B995,$AG$4:$AG995,"="&amp;$AG995)))</f>
        <v>VENGEANCE|90</v>
      </c>
    </row>
    <row r="996" spans="1:35" hidden="1">
      <c r="A996" s="69" t="s">
        <v>109</v>
      </c>
      <c r="B996" s="69" t="s">
        <v>108</v>
      </c>
      <c r="C996" s="63" t="s">
        <v>2228</v>
      </c>
      <c r="D996" s="69"/>
      <c r="E996" s="68" t="s">
        <v>75</v>
      </c>
      <c r="F996" s="15" t="str">
        <f>IF($C996="","",IF($E996="","-",IFERROR(INDEX(SETUP!$B$55:$B$64,MATCH($E996,SETUP!$A$55:$A$64,0)),"Other")))</f>
        <v>Support</v>
      </c>
      <c r="G996" s="70">
        <v>63718</v>
      </c>
      <c r="H996" s="15" t="str">
        <f>IF($C996="","",IF($G996="","-",INDEX(SETUP!$B$26:$B$32,MATCH($G996,SETUP!$A$26:$A$32,1))))</f>
        <v>63,000 - 63,999</v>
      </c>
      <c r="I996" s="70">
        <v>7373</v>
      </c>
      <c r="J996" s="15" t="str">
        <f>IF($C996="","",IF($I996="","-",INDEX(SETUP!$B$16:$B$22,MATCH($I996,SETUP!$A$16:$A$22,1))))</f>
        <v>VETERAN</v>
      </c>
      <c r="K996" s="15" t="str">
        <f>IF($C996="","",IF($I996="","-",TEXT(INT($I996/1000)*1000,"#,##0")&amp;" - "&amp;TEXT(INT($I996/1000)*1000+999,"#,##0")))</f>
        <v>7,000 - 7,999</v>
      </c>
      <c r="L996" s="71">
        <v>6.15</v>
      </c>
      <c r="M996" s="15" t="str">
        <f>IF($C996="","",IF($L996="","-",INDEX(SETUP!$B$36:$B$42,MATCH($L996,SETUP!$A$36:$A$42,1))))</f>
        <v>6k - 8k</v>
      </c>
      <c r="N996" s="17">
        <f>IF($C996="","",IF(OR($G996="",$I996=""),"",ROUND(100*(SETUP!$B$4*MIN(1,$I996/SETUP!$B$9)+SETUP!$B$5*MAX(0,MIN(1,($G996-SETUP!$B$10)/(SETUP!$B$11-SETUP!$B$10)))+SETUP!$B$6*MIN(1,IF($L996="",0,$L996)/SETUP!$B$12)),1)))</f>
        <v>65.400000000000006</v>
      </c>
      <c r="O996" s="15" t="str">
        <f>IF($C996="","",IF($N996="","-",INDEX(SETUP!$B$46:$B$51,MATCH($N996,SETUP!$A$46:$A$51,1))))</f>
        <v>S</v>
      </c>
      <c r="P996" s="15">
        <f>IF($C996="","",IF($I996="","",RANK($I996,$I$4:$I$1463)+COUNTIF($I$4:$I996,$I996)-1))</f>
        <v>182</v>
      </c>
      <c r="Q996" s="15">
        <f>IF($C996="","",COUNTIFS($B$4:$B$1463,$B996,$X$4:$X$1463,"&gt;"&amp;$X996)+COUNTIFS($B$4:$B996,$B996,$X$4:$X996,"="&amp;$X996))</f>
        <v>27</v>
      </c>
      <c r="R996" s="72">
        <f>IF($C996="","",IF($I996="","",ROUND(COUNTIF($I$4:$I$1463,"&lt;"&amp;$I996)/COUNT($I$4:$I$1463),3)))</f>
        <v>0.86199999999999999</v>
      </c>
      <c r="S996" s="15" t="str">
        <f>IF($C996="","",IF($G996="","Name only",IF(OR($I996="",$L996=""),"Partial","Complete")))</f>
        <v>Complete</v>
      </c>
      <c r="T996" s="41" t="str">
        <f>IF($C996="","",TRIM(IF(COUNTIF($C$4:$C$1463,$C996)&gt;1,"Dup name; ","")&amp;IF(AND($G996&lt;&gt;"",$G996&lt;55000),"Low CR - verify; ","")&amp;IF(AND($L996&lt;&gt;"",$L996&gt;15),"Secondary - verify; ","")&amp;IF($E996="","No class; ","")))</f>
        <v/>
      </c>
      <c r="U996" s="68"/>
      <c r="V996" s="68"/>
      <c r="W996" s="68"/>
      <c r="X996" s="73">
        <f t="shared" si="77"/>
        <v>7373</v>
      </c>
      <c r="Y996" s="41" t="str">
        <f t="shared" si="78"/>
        <v>SBG|27</v>
      </c>
      <c r="Z996" s="15">
        <f>IF($C996="","",IF($G996="","",RANK($G996,$G$4:$G$1463)+COUNTIF($G$4:$G996,$G996)-1))</f>
        <v>133</v>
      </c>
      <c r="AA996" s="15">
        <f>IF($C996="","",IF($N996="","",RANK($N996,$N$4:$N$1463)+COUNTIF($N$4:$N996,$N996)-1))</f>
        <v>172</v>
      </c>
      <c r="AB996" s="41" t="str">
        <f>IF($C996="","",IF($E996="","",$E996&amp;"#"&amp;(COUNTIFS($E$4:$E$1463,$E996,$X$4:$X$1463,"&gt;"&amp;$X996)+COUNTIFS($E$4:$E996,$E996,$X$4:$X996,"="&amp;$X996))))</f>
        <v>DRUID#8</v>
      </c>
      <c r="AC996" s="41" t="str">
        <f>IF($C996="","",$B996&amp;"@"&amp;(COUNTIFS($B$4:$B$1463,$B996,$C$4:$C$1463,"&lt;"&amp;$C996)+COUNTIFS($B$4:$B996,$B996,$C$4:$C996,$C996)))</f>
        <v>SBG@65</v>
      </c>
      <c r="AD996" s="41">
        <f t="shared" si="79"/>
        <v>993</v>
      </c>
      <c r="AE996" s="41" t="s">
        <v>2229</v>
      </c>
      <c r="AF996" s="73">
        <f t="shared" si="80"/>
        <v>63718</v>
      </c>
      <c r="AG996" s="74">
        <f t="shared" si="81"/>
        <v>6.15</v>
      </c>
      <c r="AH996" s="41" t="str">
        <f>IF($C996="","",$B996&amp;"|"&amp;(COUNTIFS($B$4:$B$1463,$B996,$AF$4:$AF$1463,"&gt;"&amp;$AF996)+COUNTIFS($B$4:$B996,$B996,$AF$4:$AF996,"="&amp;$AF996)))</f>
        <v>SBG|24</v>
      </c>
      <c r="AI996" s="41" t="str">
        <f>IF($C996="","",$B996&amp;"|"&amp;(COUNTIFS($B$4:$B$1463,$B996,$AG$4:$AG$1463,"&gt;"&amp;$AG996)+COUNTIFS($B$4:$B996,$B996,$AG$4:$AG996,"="&amp;$AG996)))</f>
        <v>SBG|35</v>
      </c>
    </row>
    <row r="997" spans="1:35" hidden="1">
      <c r="A997" s="69" t="s">
        <v>109</v>
      </c>
      <c r="B997" s="69" t="s">
        <v>108</v>
      </c>
      <c r="C997" s="63" t="s">
        <v>2230</v>
      </c>
      <c r="D997" s="69"/>
      <c r="E997" s="68" t="s">
        <v>73</v>
      </c>
      <c r="F997" s="19" t="str">
        <f>IF($C997="","",IF($E997="","-",IFERROR(INDEX(SETUP!$B$55:$B$64,MATCH($E997,SETUP!$A$55:$A$64,0)),"Other")))</f>
        <v>Frontline</v>
      </c>
      <c r="G997" s="70">
        <v>61489</v>
      </c>
      <c r="H997" s="19" t="str">
        <f>IF($C997="","",IF($G997="","-",INDEX(SETUP!$B$26:$B$32,MATCH($G997,SETUP!$A$26:$A$32,1))))</f>
        <v>61,000 - 61,999</v>
      </c>
      <c r="I997" s="70">
        <v>7263</v>
      </c>
      <c r="J997" s="19" t="str">
        <f>IF($C997="","",IF($I997="","-",INDEX(SETUP!$B$16:$B$22,MATCH($I997,SETUP!$A$16:$A$22,1))))</f>
        <v>VETERAN</v>
      </c>
      <c r="K997" s="19" t="str">
        <f>IF($C997="","",IF($I997="","-",TEXT(INT($I997/1000)*1000,"#,##0")&amp;" - "&amp;TEXT(INT($I997/1000)*1000+999,"#,##0")))</f>
        <v>7,000 - 7,999</v>
      </c>
      <c r="L997" s="71">
        <v>7.85</v>
      </c>
      <c r="M997" s="19" t="str">
        <f>IF($C997="","",IF($L997="","-",INDEX(SETUP!$B$36:$B$42,MATCH($L997,SETUP!$A$36:$A$42,1))))</f>
        <v>6k - 8k</v>
      </c>
      <c r="N997" s="21">
        <f>IF($C997="","",IF(OR($G997="",$I997=""),"",ROUND(100*(SETUP!$B$4*MIN(1,$I997/SETUP!$B$9)+SETUP!$B$5*MAX(0,MIN(1,($G997-SETUP!$B$10)/(SETUP!$B$11-SETUP!$B$10)))+SETUP!$B$6*MIN(1,IF($L997="",0,$L997)/SETUP!$B$12)),1)))</f>
        <v>61.9</v>
      </c>
      <c r="O997" s="19" t="str">
        <f>IF($C997="","",IF($N997="","-",INDEX(SETUP!$B$46:$B$51,MATCH($N997,SETUP!$A$46:$A$51,1))))</f>
        <v>A</v>
      </c>
      <c r="P997" s="19">
        <f>IF($C997="","",IF($I997="","",RANK($I997,$I$4:$I$1463)+COUNTIF($I$4:$I997,$I997)-1))</f>
        <v>197</v>
      </c>
      <c r="Q997" s="19">
        <f>IF($C997="","",COUNTIFS($B$4:$B$1463,$B997,$X$4:$X$1463,"&gt;"&amp;$X997)+COUNTIFS($B$4:$B997,$B997,$X$4:$X997,"="&amp;$X997))</f>
        <v>29</v>
      </c>
      <c r="R997" s="75">
        <f>IF($C997="","",IF($I997="","",ROUND(COUNTIF($I$4:$I$1463,"&lt;"&amp;$I997)/COUNT($I$4:$I$1463),3)))</f>
        <v>0.85099999999999998</v>
      </c>
      <c r="S997" s="19" t="str">
        <f>IF($C997="","",IF($G997="","Name only",IF(OR($I997="",$L997=""),"Partial","Complete")))</f>
        <v>Complete</v>
      </c>
      <c r="T997" s="1" t="str">
        <f>IF($C997="","",TRIM(IF(COUNTIF($C$4:$C$1463,$C997)&gt;1,"Dup name; ","")&amp;IF(AND($G997&lt;&gt;"",$G997&lt;55000),"Low CR - verify; ","")&amp;IF(AND($L997&lt;&gt;"",$L997&gt;15),"Secondary - verify; ","")&amp;IF($E997="","No class; ","")))</f>
        <v/>
      </c>
      <c r="U997" s="68"/>
      <c r="V997" s="68"/>
      <c r="W997" s="68"/>
      <c r="X997" s="76">
        <f t="shared" si="77"/>
        <v>7263</v>
      </c>
      <c r="Y997" s="1" t="str">
        <f t="shared" si="78"/>
        <v>SBG|29</v>
      </c>
      <c r="Z997" s="19">
        <f>IF($C997="","",IF($G997="","",RANK($G997,$G$4:$G$1463)+COUNTIF($G$4:$G997,$G997)-1))</f>
        <v>1007</v>
      </c>
      <c r="AA997" s="19">
        <f>IF($C997="","",IF($N997="","",RANK($N997,$N$4:$N$1463)+COUNTIF($N$4:$N997,$N997)-1))</f>
        <v>216</v>
      </c>
      <c r="AB997" s="1" t="str">
        <f>IF($C997="","",IF($E997="","",$E997&amp;"#"&amp;(COUNTIFS($E$4:$E$1463,$E997,$X$4:$X$1463,"&gt;"&amp;$X997)+COUNTIFS($E$4:$E997,$E997,$X$4:$X997,"="&amp;$X997))))</f>
        <v>CRUSADER#30</v>
      </c>
      <c r="AC997" s="1" t="str">
        <f>IF($C997="","",$B997&amp;"@"&amp;(COUNTIFS($B$4:$B$1463,$B997,$C$4:$C$1463,"&lt;"&amp;$C997)+COUNTIFS($B$4:$B997,$B997,$C$4:$C997,$C997)))</f>
        <v>SBG@66</v>
      </c>
      <c r="AD997" s="1">
        <f t="shared" si="79"/>
        <v>994</v>
      </c>
      <c r="AE997" s="1" t="s">
        <v>2231</v>
      </c>
      <c r="AF997" s="76">
        <f t="shared" si="80"/>
        <v>61489</v>
      </c>
      <c r="AG997" s="77">
        <f t="shared" si="81"/>
        <v>7.85</v>
      </c>
      <c r="AH997" s="1" t="str">
        <f>IF($C997="","",$B997&amp;"|"&amp;(COUNTIFS($B$4:$B$1463,$B997,$AF$4:$AF$1463,"&gt;"&amp;$AF997)+COUNTIFS($B$4:$B997,$B997,$AF$4:$AF997,"="&amp;$AF997)))</f>
        <v>SBG|83</v>
      </c>
      <c r="AI997" s="1" t="str">
        <f>IF($C997="","",$B997&amp;"|"&amp;(COUNTIFS($B$4:$B$1463,$B997,$AG$4:$AG$1463,"&gt;"&amp;$AG997)+COUNTIFS($B$4:$B997,$B997,$AG$4:$AG997,"="&amp;$AG997)))</f>
        <v>SBG|14</v>
      </c>
    </row>
    <row r="998" spans="1:35" hidden="1">
      <c r="A998" s="69" t="s">
        <v>109</v>
      </c>
      <c r="B998" s="69" t="s">
        <v>118</v>
      </c>
      <c r="C998" s="63" t="s">
        <v>2232</v>
      </c>
      <c r="D998" s="69"/>
      <c r="E998" s="68" t="s">
        <v>73</v>
      </c>
      <c r="F998" s="15" t="str">
        <f>IF($C998="","",IF($E998="","-",IFERROR(INDEX(SETUP!$B$55:$B$64,MATCH($E998,SETUP!$A$55:$A$64,0)),"Other")))</f>
        <v>Frontline</v>
      </c>
      <c r="G998" s="70">
        <v>60440</v>
      </c>
      <c r="H998" s="15" t="str">
        <f>IF($C998="","",IF($G998="","-",INDEX(SETUP!$B$26:$B$32,MATCH($G998,SETUP!$A$26:$A$32,1))))</f>
        <v>60,000 - 60,999</v>
      </c>
      <c r="I998" s="70">
        <v>2426</v>
      </c>
      <c r="J998" s="15" t="str">
        <f>IF($C998="","",IF($I998="","-",INDEX(SETUP!$B$16:$B$22,MATCH($I998,SETUP!$A$16:$A$22,1))))</f>
        <v>DEVELOPING</v>
      </c>
      <c r="K998" s="15" t="str">
        <f>IF($C998="","",IF($I998="","-",TEXT(INT($I998/1000)*1000,"#,##0")&amp;" - "&amp;TEXT(INT($I998/1000)*1000+999,"#,##0")))</f>
        <v>2,000 - 2,999</v>
      </c>
      <c r="L998" s="71">
        <v>3.8</v>
      </c>
      <c r="M998" s="15" t="str">
        <f>IF($C998="","",IF($L998="","-",INDEX(SETUP!$B$36:$B$42,MATCH($L998,SETUP!$A$36:$A$42,1))))</f>
        <v>3k - 4k</v>
      </c>
      <c r="N998" s="17">
        <f>IF($C998="","",IF(OR($G998="",$I998=""),"",ROUND(100*(SETUP!$B$4*MIN(1,$I998/SETUP!$B$9)+SETUP!$B$5*MAX(0,MIN(1,($G998-SETUP!$B$10)/(SETUP!$B$11-SETUP!$B$10)))+SETUP!$B$6*MIN(1,IF($L998="",0,$L998)/SETUP!$B$12)),1)))</f>
        <v>31.2</v>
      </c>
      <c r="O998" s="15" t="str">
        <f>IF($C998="","",IF($N998="","-",INDEX(SETUP!$B$46:$B$51,MATCH($N998,SETUP!$A$46:$A$51,1))))</f>
        <v>C</v>
      </c>
      <c r="P998" s="15">
        <f>IF($C998="","",IF($I998="","",RANK($I998,$I$4:$I$1463)+COUNTIF($I$4:$I998,$I998)-1))</f>
        <v>1021</v>
      </c>
      <c r="Q998" s="15">
        <f>IF($C998="","",COUNTIFS($B$4:$B$1463,$B998,$X$4:$X$1463,"&gt;"&amp;$X998)+COUNTIFS($B$4:$B998,$B998,$X$4:$X998,"="&amp;$X998))</f>
        <v>28</v>
      </c>
      <c r="R998" s="72">
        <f>IF($C998="","",IF($I998="","",ROUND(COUNTIF($I$4:$I$1463,"&lt;"&amp;$I998)/COUNT($I$4:$I$1463),3)))</f>
        <v>0.22900000000000001</v>
      </c>
      <c r="S998" s="15" t="str">
        <f>IF($C998="","",IF($G998="","Name only",IF(OR($I998="",$L998=""),"Partial","Complete")))</f>
        <v>Complete</v>
      </c>
      <c r="T998" s="41" t="str">
        <f>IF($C998="","",TRIM(IF(COUNTIF($C$4:$C$1463,$C998)&gt;1,"Dup name; ","")&amp;IF(AND($G998&lt;&gt;"",$G998&lt;55000),"Low CR - verify; ","")&amp;IF(AND($L998&lt;&gt;"",$L998&gt;15),"Secondary - verify; ","")&amp;IF($E998="","No class; ","")))</f>
        <v/>
      </c>
      <c r="U998" s="68"/>
      <c r="V998" s="68"/>
      <c r="W998" s="68"/>
      <c r="X998" s="73">
        <f t="shared" si="77"/>
        <v>2426</v>
      </c>
      <c r="Y998" s="41" t="str">
        <f t="shared" si="78"/>
        <v>ZOMBIES|28</v>
      </c>
      <c r="Z998" s="15">
        <f>IF($C998="","",IF($G998="","",RANK($G998,$G$4:$G$1463)+COUNTIF($G$4:$G998,$G998)-1))</f>
        <v>1212</v>
      </c>
      <c r="AA998" s="15">
        <f>IF($C998="","",IF($N998="","",RANK($N998,$N$4:$N$1463)+COUNTIF($N$4:$N998,$N998)-1))</f>
        <v>1118</v>
      </c>
      <c r="AB998" s="41" t="str">
        <f>IF($C998="","",IF($E998="","",$E998&amp;"#"&amp;(COUNTIFS($E$4:$E$1463,$E998,$X$4:$X$1463,"&gt;"&amp;$X998)+COUNTIFS($E$4:$E998,$E998,$X$4:$X998,"="&amp;$X998))))</f>
        <v>CRUSADER#101</v>
      </c>
      <c r="AC998" s="41" t="str">
        <f>IF($C998="","",$B998&amp;"@"&amp;(COUNTIFS($B$4:$B$1463,$B998,$C$4:$C$1463,"&lt;"&amp;$C998)+COUNTIFS($B$4:$B998,$B998,$C$4:$C998,$C998)))</f>
        <v>ZOMBIES@69</v>
      </c>
      <c r="AD998" s="41">
        <f t="shared" si="79"/>
        <v>995</v>
      </c>
      <c r="AE998" s="41" t="s">
        <v>1399</v>
      </c>
      <c r="AF998" s="73">
        <f t="shared" si="80"/>
        <v>60440</v>
      </c>
      <c r="AG998" s="74">
        <f t="shared" si="81"/>
        <v>3.8</v>
      </c>
      <c r="AH998" s="41" t="str">
        <f>IF($C998="","",$B998&amp;"|"&amp;(COUNTIFS($B$4:$B$1463,$B998,$AF$4:$AF$1463,"&gt;"&amp;$AF998)+COUNTIFS($B$4:$B998,$B998,$AF$4:$AF998,"="&amp;$AF998)))</f>
        <v>ZOMBIES|70</v>
      </c>
      <c r="AI998" s="41" t="str">
        <f>IF($C998="","",$B998&amp;"|"&amp;(COUNTIFS($B$4:$B$1463,$B998,$AG$4:$AG$1463,"&gt;"&amp;$AG998)+COUNTIFS($B$4:$B998,$B998,$AG$4:$AG998,"="&amp;$AG998)))</f>
        <v>ZOMBIES|41</v>
      </c>
    </row>
    <row r="999" spans="1:35" hidden="1">
      <c r="A999" s="69" t="s">
        <v>109</v>
      </c>
      <c r="B999" s="69" t="s">
        <v>113</v>
      </c>
      <c r="C999" s="63" t="s">
        <v>2233</v>
      </c>
      <c r="D999" s="69" t="s">
        <v>548</v>
      </c>
      <c r="E999" s="68" t="s">
        <v>71</v>
      </c>
      <c r="F999" s="19" t="str">
        <f>IF($C999="","",IF($E999="","-",IFERROR(INDEX(SETUP!$B$55:$B$64,MATCH($E999,SETUP!$A$55:$A$64,0)),"Other")))</f>
        <v>Frontline</v>
      </c>
      <c r="G999" s="70">
        <v>64172</v>
      </c>
      <c r="H999" s="19" t="str">
        <f>IF($C999="","",IF($G999="","-",INDEX(SETUP!$B$26:$B$32,MATCH($G999,SETUP!$A$26:$A$32,1))))</f>
        <v>64,000 +</v>
      </c>
      <c r="I999" s="70">
        <v>9752</v>
      </c>
      <c r="J999" s="19" t="str">
        <f>IF($C999="","",IF($I999="","-",INDEX(SETUP!$B$16:$B$22,MATCH($I999,SETUP!$A$16:$A$22,1))))</f>
        <v>ELITE</v>
      </c>
      <c r="K999" s="19" t="str">
        <f>IF($C999="","",IF($I999="","-",TEXT(INT($I999/1000)*1000,"#,##0")&amp;" - "&amp;TEXT(INT($I999/1000)*1000+999,"#,##0")))</f>
        <v>9,000 - 9,999</v>
      </c>
      <c r="L999" s="71">
        <v>7.6</v>
      </c>
      <c r="M999" s="19" t="str">
        <f>IF($C999="","",IF($L999="","-",INDEX(SETUP!$B$36:$B$42,MATCH($L999,SETUP!$A$36:$A$42,1))))</f>
        <v>6k - 8k</v>
      </c>
      <c r="N999" s="21">
        <f>IF($C999="","",IF(OR($G999="",$I999=""),"",ROUND(100*(SETUP!$B$4*MIN(1,$I999/SETUP!$B$9)+SETUP!$B$5*MAX(0,MIN(1,($G999-SETUP!$B$10)/(SETUP!$B$11-SETUP!$B$10)))+SETUP!$B$6*MIN(1,IF($L999="",0,$L999)/SETUP!$B$12)),1)))</f>
        <v>79.400000000000006</v>
      </c>
      <c r="O999" s="19" t="str">
        <f>IF($C999="","",IF($N999="","-",INDEX(SETUP!$B$46:$B$51,MATCH($N999,SETUP!$A$46:$A$51,1))))</f>
        <v>S</v>
      </c>
      <c r="P999" s="19">
        <f>IF($C999="","",IF($I999="","",RANK($I999,$I$4:$I$1463)+COUNTIF($I$4:$I999,$I999)-1))</f>
        <v>65</v>
      </c>
      <c r="Q999" s="19">
        <f>IF($C999="","",COUNTIFS($B$4:$B$1463,$B999,$X$4:$X$1463,"&gt;"&amp;$X999)+COUNTIFS($B$4:$B999,$B999,$X$4:$X999,"="&amp;$X999))</f>
        <v>1</v>
      </c>
      <c r="R999" s="75">
        <f>IF($C999="","",IF($I999="","",ROUND(COUNTIF($I$4:$I$1463,"&lt;"&amp;$I999)/COUNT($I$4:$I$1463),3)))</f>
        <v>0.95099999999999996</v>
      </c>
      <c r="S999" s="19" t="str">
        <f>IF($C999="","",IF($G999="","Name only",IF(OR($I999="",$L999=""),"Partial","Complete")))</f>
        <v>Complete</v>
      </c>
      <c r="T999" s="1" t="str">
        <f>IF($C999="","",TRIM(IF(COUNTIF($C$4:$C$1463,$C999)&gt;1,"Dup name; ","")&amp;IF(AND($G999&lt;&gt;"",$G999&lt;55000),"Low CR - verify; ","")&amp;IF(AND($L999&lt;&gt;"",$L999&gt;15),"Secondary - verify; ","")&amp;IF($E999="","No class; ","")))</f>
        <v/>
      </c>
      <c r="U999" s="68"/>
      <c r="V999" s="68"/>
      <c r="W999" s="68"/>
      <c r="X999" s="76">
        <f t="shared" si="77"/>
        <v>9752</v>
      </c>
      <c r="Y999" s="1" t="str">
        <f t="shared" si="78"/>
        <v>INVICTUS|1</v>
      </c>
      <c r="Z999" s="19">
        <f>IF($C999="","",IF($G999="","",RANK($G999,$G$4:$G$1463)+COUNTIF($G$4:$G999,$G999)-1))</f>
        <v>49</v>
      </c>
      <c r="AA999" s="19">
        <f>IF($C999="","",IF($N999="","",RANK($N999,$N$4:$N$1463)+COUNTIF($N$4:$N999,$N999)-1))</f>
        <v>56</v>
      </c>
      <c r="AB999" s="1" t="str">
        <f>IF($C999="","",IF($E999="","",$E999&amp;"#"&amp;(COUNTIFS($E$4:$E$1463,$E999,$X$4:$X$1463,"&gt;"&amp;$X999)+COUNTIFS($E$4:$E999,$E999,$X$4:$X999,"="&amp;$X999))))</f>
        <v>BARBARIAN#13</v>
      </c>
      <c r="AC999" s="1" t="str">
        <f>IF($C999="","",$B999&amp;"@"&amp;(COUNTIFS($B$4:$B$1463,$B999,$C$4:$C$1463,"&lt;"&amp;$C999)+COUNTIFS($B$4:$B999,$B999,$C$4:$C999,$C999)))</f>
        <v>INVICTUS@72</v>
      </c>
      <c r="AD999" s="1">
        <f t="shared" si="79"/>
        <v>996</v>
      </c>
      <c r="AE999" s="1" t="s">
        <v>2234</v>
      </c>
      <c r="AF999" s="76">
        <f t="shared" si="80"/>
        <v>64172</v>
      </c>
      <c r="AG999" s="77">
        <f t="shared" si="81"/>
        <v>7.6</v>
      </c>
      <c r="AH999" s="1" t="str">
        <f>IF($C999="","",$B999&amp;"|"&amp;(COUNTIFS($B$4:$B$1463,$B999,$AF$4:$AF$1463,"&gt;"&amp;$AF999)+COUNTIFS($B$4:$B999,$B999,$AF$4:$AF999,"="&amp;$AF999)))</f>
        <v>INVICTUS|1</v>
      </c>
      <c r="AI999" s="1" t="str">
        <f>IF($C999="","",$B999&amp;"|"&amp;(COUNTIFS($B$4:$B$1463,$B999,$AG$4:$AG$1463,"&gt;"&amp;$AG999)+COUNTIFS($B$4:$B999,$B999,$AG$4:$AG999,"="&amp;$AG999)))</f>
        <v>INVICTUS|2</v>
      </c>
    </row>
    <row r="1000" spans="1:35" hidden="1">
      <c r="A1000" s="69" t="s">
        <v>109</v>
      </c>
      <c r="B1000" s="69" t="s">
        <v>114</v>
      </c>
      <c r="C1000" s="63" t="s">
        <v>2235</v>
      </c>
      <c r="D1000" s="69"/>
      <c r="E1000" s="68" t="s">
        <v>73</v>
      </c>
      <c r="F1000" s="15" t="str">
        <f>IF($C1000="","",IF($E1000="","-",IFERROR(INDEX(SETUP!$B$55:$B$64,MATCH($E1000,SETUP!$A$55:$A$64,0)),"Other")))</f>
        <v>Frontline</v>
      </c>
      <c r="G1000" s="70">
        <v>60946</v>
      </c>
      <c r="H1000" s="15" t="str">
        <f>IF($C1000="","",IF($G1000="","-",INDEX(SETUP!$B$26:$B$32,MATCH($G1000,SETUP!$A$26:$A$32,1))))</f>
        <v>60,000 - 60,999</v>
      </c>
      <c r="I1000" s="70">
        <v>2015</v>
      </c>
      <c r="J1000" s="15" t="str">
        <f>IF($C1000="","",IF($I1000="","-",INDEX(SETUP!$B$16:$B$22,MATCH($I1000,SETUP!$A$16:$A$22,1))))</f>
        <v>DEVELOPING</v>
      </c>
      <c r="K1000" s="15" t="str">
        <f>IF($C1000="","",IF($I1000="","-",TEXT(INT($I1000/1000)*1000,"#,##0")&amp;" - "&amp;TEXT(INT($I1000/1000)*1000+999,"#,##0")))</f>
        <v>2,000 - 2,999</v>
      </c>
      <c r="L1000" s="71">
        <v>3.87</v>
      </c>
      <c r="M1000" s="15" t="str">
        <f>IF($C1000="","",IF($L1000="","-",INDEX(SETUP!$B$36:$B$42,MATCH($L1000,SETUP!$A$36:$A$42,1))))</f>
        <v>3k - 4k</v>
      </c>
      <c r="N1000" s="17">
        <f>IF($C1000="","",IF(OR($G1000="",$I1000=""),"",ROUND(100*(SETUP!$B$4*MIN(1,$I1000/SETUP!$B$9)+SETUP!$B$5*MAX(0,MIN(1,($G1000-SETUP!$B$10)/(SETUP!$B$11-SETUP!$B$10)))+SETUP!$B$6*MIN(1,IF($L1000="",0,$L1000)/SETUP!$B$12)),1)))</f>
        <v>30.9</v>
      </c>
      <c r="O1000" s="15" t="str">
        <f>IF($C1000="","",IF($N1000="","-",INDEX(SETUP!$B$46:$B$51,MATCH($N1000,SETUP!$A$46:$A$51,1))))</f>
        <v>C</v>
      </c>
      <c r="P1000" s="15">
        <f>IF($C1000="","",IF($I1000="","",RANK($I1000,$I$4:$I$1463)+COUNTIF($I$4:$I1000,$I1000)-1))</f>
        <v>1115</v>
      </c>
      <c r="Q1000" s="15">
        <f>IF($C1000="","",COUNTIFS($B$4:$B$1463,$B1000,$X$4:$X$1463,"&gt;"&amp;$X1000)+COUNTIFS($B$4:$B1000,$B1000,$X$4:$X1000,"="&amp;$X1000))</f>
        <v>54</v>
      </c>
      <c r="R1000" s="72">
        <f>IF($C1000="","",IF($I1000="","",ROUND(COUNTIF($I$4:$I$1463,"&lt;"&amp;$I1000)/COUNT($I$4:$I$1463),3)))</f>
        <v>0.158</v>
      </c>
      <c r="S1000" s="15" t="str">
        <f>IF($C1000="","",IF($G1000="","Name only",IF(OR($I1000="",$L1000=""),"Partial","Complete")))</f>
        <v>Complete</v>
      </c>
      <c r="T1000" s="41" t="str">
        <f>IF($C1000="","",TRIM(IF(COUNTIF($C$4:$C$1463,$C1000)&gt;1,"Dup name; ","")&amp;IF(AND($G1000&lt;&gt;"",$G1000&lt;55000),"Low CR - verify; ","")&amp;IF(AND($L1000&lt;&gt;"",$L1000&gt;15),"Secondary - verify; ","")&amp;IF($E1000="","No class; ","")))</f>
        <v/>
      </c>
      <c r="U1000" s="68"/>
      <c r="V1000" s="68"/>
      <c r="W1000" s="68"/>
      <c r="X1000" s="73">
        <f t="shared" si="77"/>
        <v>2015</v>
      </c>
      <c r="Y1000" s="41" t="str">
        <f t="shared" si="78"/>
        <v>EMERALD LEAF TRIBE|54</v>
      </c>
      <c r="Z1000" s="15">
        <f>IF($C1000="","",IF($G1000="","",RANK($G1000,$G$4:$G$1463)+COUNTIF($G$4:$G1000,$G1000)-1))</f>
        <v>1143</v>
      </c>
      <c r="AA1000" s="15">
        <f>IF($C1000="","",IF($N1000="","",RANK($N1000,$N$4:$N$1463)+COUNTIF($N$4:$N1000,$N1000)-1))</f>
        <v>1126</v>
      </c>
      <c r="AB1000" s="41" t="str">
        <f>IF($C1000="","",IF($E1000="","",$E1000&amp;"#"&amp;(COUNTIFS($E$4:$E$1463,$E1000,$X$4:$X$1463,"&gt;"&amp;$X1000)+COUNTIFS($E$4:$E1000,$E1000,$X$4:$X1000,"="&amp;$X1000))))</f>
        <v>CRUSADER#109</v>
      </c>
      <c r="AC1000" s="41" t="str">
        <f>IF($C1000="","",$B1000&amp;"@"&amp;(COUNTIFS($B$4:$B$1463,$B1000,$C$4:$C$1463,"&lt;"&amp;$C1000)+COUNTIFS($B$4:$B1000,$B1000,$C$4:$C1000,$C1000)))</f>
        <v>EMERALD LEAF TRIBE@74</v>
      </c>
      <c r="AD1000" s="41">
        <f t="shared" si="79"/>
        <v>997</v>
      </c>
      <c r="AE1000" s="41" t="s">
        <v>2236</v>
      </c>
      <c r="AF1000" s="73">
        <f t="shared" si="80"/>
        <v>60946</v>
      </c>
      <c r="AG1000" s="74">
        <f t="shared" si="81"/>
        <v>3.87</v>
      </c>
      <c r="AH1000" s="41" t="str">
        <f>IF($C1000="","",$B1000&amp;"|"&amp;(COUNTIFS($B$4:$B$1463,$B1000,$AF$4:$AF$1463,"&gt;"&amp;$AF1000)+COUNTIFS($B$4:$B1000,$B1000,$AF$4:$AF1000,"="&amp;$AF1000)))</f>
        <v>EMERALD LEAF TRIBE|59</v>
      </c>
      <c r="AI1000" s="41" t="str">
        <f>IF($C1000="","",$B1000&amp;"|"&amp;(COUNTIFS($B$4:$B$1463,$B1000,$AG$4:$AG$1463,"&gt;"&amp;$AG1000)+COUNTIFS($B$4:$B1000,$B1000,$AG$4:$AG1000,"="&amp;$AG1000)))</f>
        <v>EMERALD LEAF TRIBE|35</v>
      </c>
    </row>
    <row r="1001" spans="1:35" hidden="1">
      <c r="A1001" s="69" t="s">
        <v>109</v>
      </c>
      <c r="B1001" s="69" t="s">
        <v>118</v>
      </c>
      <c r="C1001" s="63" t="s">
        <v>2237</v>
      </c>
      <c r="D1001" s="69"/>
      <c r="E1001" s="68" t="s">
        <v>76</v>
      </c>
      <c r="F1001" s="19" t="str">
        <f>IF($C1001="","",IF($E1001="","-",IFERROR(INDEX(SETUP!$B$55:$B$64,MATCH($E1001,SETUP!$A$55:$A$64,0)),"Other")))</f>
        <v>Support</v>
      </c>
      <c r="G1001" s="70">
        <v>62156</v>
      </c>
      <c r="H1001" s="19" t="str">
        <f>IF($C1001="","",IF($G1001="","-",INDEX(SETUP!$B$26:$B$32,MATCH($G1001,SETUP!$A$26:$A$32,1))))</f>
        <v>62,000 - 62,999</v>
      </c>
      <c r="I1001" s="70">
        <v>1914</v>
      </c>
      <c r="J1001" s="19" t="str">
        <f>IF($C1001="","",IF($I1001="","-",INDEX(SETUP!$B$16:$B$22,MATCH($I1001,SETUP!$A$16:$A$22,1))))</f>
        <v>ROOKIE</v>
      </c>
      <c r="K1001" s="19" t="str">
        <f>IF($C1001="","",IF($I1001="","-",TEXT(INT($I1001/1000)*1000,"#,##0")&amp;" - "&amp;TEXT(INT($I1001/1000)*1000+999,"#,##0")))</f>
        <v>1,000 - 1,999</v>
      </c>
      <c r="L1001" s="71">
        <v>2.8</v>
      </c>
      <c r="M1001" s="19" t="str">
        <f>IF($C1001="","",IF($L1001="","-",INDEX(SETUP!$B$36:$B$42,MATCH($L1001,SETUP!$A$36:$A$42,1))))</f>
        <v>Under 3k</v>
      </c>
      <c r="N1001" s="21">
        <f>IF($C1001="","",IF(OR($G1001="",$I1001=""),"",ROUND(100*(SETUP!$B$4*MIN(1,$I1001/SETUP!$B$9)+SETUP!$B$5*MAX(0,MIN(1,($G1001-SETUP!$B$10)/(SETUP!$B$11-SETUP!$B$10)))+SETUP!$B$6*MIN(1,IF($L1001="",0,$L1001)/SETUP!$B$12)),1)))</f>
        <v>31.9</v>
      </c>
      <c r="O1001" s="19" t="str">
        <f>IF($C1001="","",IF($N1001="","-",INDEX(SETUP!$B$46:$B$51,MATCH($N1001,SETUP!$A$46:$A$51,1))))</f>
        <v>C</v>
      </c>
      <c r="P1001" s="19">
        <f>IF($C1001="","",IF($I1001="","",RANK($I1001,$I$4:$I$1463)+COUNTIF($I$4:$I1001,$I1001)-1))</f>
        <v>1129</v>
      </c>
      <c r="Q1001" s="19">
        <f>IF($C1001="","",COUNTIFS($B$4:$B$1463,$B1001,$X$4:$X$1463,"&gt;"&amp;$X1001)+COUNTIFS($B$4:$B1001,$B1001,$X$4:$X1001,"="&amp;$X1001))</f>
        <v>42</v>
      </c>
      <c r="R1001" s="75">
        <f>IF($C1001="","",IF($I1001="","",ROUND(COUNTIF($I$4:$I$1463,"&lt;"&amp;$I1001)/COUNT($I$4:$I$1463),3)))</f>
        <v>0.14799999999999999</v>
      </c>
      <c r="S1001" s="19" t="str">
        <f>IF($C1001="","",IF($G1001="","Name only",IF(OR($I1001="",$L1001=""),"Partial","Complete")))</f>
        <v>Complete</v>
      </c>
      <c r="T1001" s="1" t="str">
        <f>IF($C1001="","",TRIM(IF(COUNTIF($C$4:$C$1463,$C1001)&gt;1,"Dup name; ","")&amp;IF(AND($G1001&lt;&gt;"",$G1001&lt;55000),"Low CR - verify; ","")&amp;IF(AND($L1001&lt;&gt;"",$L1001&gt;15),"Secondary - verify; ","")&amp;IF($E1001="","No class; ","")))</f>
        <v/>
      </c>
      <c r="U1001" s="68"/>
      <c r="V1001" s="68"/>
      <c r="W1001" s="68"/>
      <c r="X1001" s="76">
        <f t="shared" si="77"/>
        <v>1914</v>
      </c>
      <c r="Y1001" s="1" t="str">
        <f t="shared" si="78"/>
        <v>ZOMBIES|42</v>
      </c>
      <c r="Z1001" s="19">
        <f>IF($C1001="","",IF($G1001="","",RANK($G1001,$G$4:$G$1463)+COUNTIF($G$4:$G1001,$G1001)-1))</f>
        <v>774</v>
      </c>
      <c r="AA1001" s="19">
        <f>IF($C1001="","",IF($N1001="","",RANK($N1001,$N$4:$N$1463)+COUNTIF($N$4:$N1001,$N1001)-1))</f>
        <v>1102</v>
      </c>
      <c r="AB1001" s="1" t="str">
        <f>IF($C1001="","",IF($E1001="","",$E1001&amp;"#"&amp;(COUNTIFS($E$4:$E$1463,$E1001,$X$4:$X$1463,"&gt;"&amp;$X1001)+COUNTIFS($E$4:$E1001,$E1001,$X$4:$X1001,"="&amp;$X1001))))</f>
        <v>MONK#38</v>
      </c>
      <c r="AC1001" s="1" t="str">
        <f>IF($C1001="","",$B1001&amp;"@"&amp;(COUNTIFS($B$4:$B$1463,$B1001,$C$4:$C$1463,"&lt;"&amp;$C1001)+COUNTIFS($B$4:$B1001,$B1001,$C$4:$C1001,$C1001)))</f>
        <v>ZOMBIES@70</v>
      </c>
      <c r="AD1001" s="1">
        <f t="shared" si="79"/>
        <v>998</v>
      </c>
      <c r="AE1001" s="1" t="s">
        <v>1458</v>
      </c>
      <c r="AF1001" s="76">
        <f t="shared" si="80"/>
        <v>62156</v>
      </c>
      <c r="AG1001" s="77">
        <f t="shared" si="81"/>
        <v>2.8</v>
      </c>
      <c r="AH1001" s="1" t="str">
        <f>IF($C1001="","",$B1001&amp;"|"&amp;(COUNTIFS($B$4:$B$1463,$B1001,$AF$4:$AF$1463,"&gt;"&amp;$AF1001)+COUNTIFS($B$4:$B1001,$B1001,$AF$4:$AF1001,"="&amp;$AF1001)))</f>
        <v>ZOMBIES|24</v>
      </c>
      <c r="AI1001" s="1" t="str">
        <f>IF($C1001="","",$B1001&amp;"|"&amp;(COUNTIFS($B$4:$B$1463,$B1001,$AG$4:$AG$1463,"&gt;"&amp;$AG1001)+COUNTIFS($B$4:$B1001,$B1001,$AG$4:$AG1001,"="&amp;$AG1001)))</f>
        <v>ZOMBIES|81</v>
      </c>
    </row>
    <row r="1002" spans="1:35" hidden="1">
      <c r="A1002" s="69" t="s">
        <v>109</v>
      </c>
      <c r="B1002" s="69" t="s">
        <v>111</v>
      </c>
      <c r="C1002" s="63" t="s">
        <v>2238</v>
      </c>
      <c r="D1002" s="69" t="s">
        <v>527</v>
      </c>
      <c r="E1002" s="68" t="s">
        <v>71</v>
      </c>
      <c r="F1002" s="15" t="str">
        <f>IF($C1002="","",IF($E1002="","-",IFERROR(INDEX(SETUP!$B$55:$B$64,MATCH($E1002,SETUP!$A$55:$A$64,0)),"Other")))</f>
        <v>Frontline</v>
      </c>
      <c r="G1002" s="70">
        <v>63793</v>
      </c>
      <c r="H1002" s="15" t="str">
        <f>IF($C1002="","",IF($G1002="","-",INDEX(SETUP!$B$26:$B$32,MATCH($G1002,SETUP!$A$26:$A$32,1))))</f>
        <v>63,000 - 63,999</v>
      </c>
      <c r="I1002" s="70">
        <v>7475</v>
      </c>
      <c r="J1002" s="15" t="str">
        <f>IF($C1002="","",IF($I1002="","-",INDEX(SETUP!$B$16:$B$22,MATCH($I1002,SETUP!$A$16:$A$22,1))))</f>
        <v>VETERAN</v>
      </c>
      <c r="K1002" s="15" t="str">
        <f>IF($C1002="","",IF($I1002="","-",TEXT(INT($I1002/1000)*1000,"#,##0")&amp;" - "&amp;TEXT(INT($I1002/1000)*1000+999,"#,##0")))</f>
        <v>7,000 - 7,999</v>
      </c>
      <c r="L1002" s="71">
        <v>8.35</v>
      </c>
      <c r="M1002" s="15" t="str">
        <f>IF($C1002="","",IF($L1002="","-",INDEX(SETUP!$B$36:$B$42,MATCH($L1002,SETUP!$A$36:$A$42,1))))</f>
        <v>8k - 10k</v>
      </c>
      <c r="N1002" s="17">
        <f>IF($C1002="","",IF(OR($G1002="",$I1002=""),"",ROUND(100*(SETUP!$B$4*MIN(1,$I1002/SETUP!$B$9)+SETUP!$B$5*MAX(0,MIN(1,($G1002-SETUP!$B$10)/(SETUP!$B$11-SETUP!$B$10)))+SETUP!$B$6*MIN(1,IF($L1002="",0,$L1002)/SETUP!$B$12)),1)))</f>
        <v>69.7</v>
      </c>
      <c r="O1002" s="15" t="str">
        <f>IF($C1002="","",IF($N1002="","-",INDEX(SETUP!$B$46:$B$51,MATCH($N1002,SETUP!$A$46:$A$51,1))))</f>
        <v>S</v>
      </c>
      <c r="P1002" s="15">
        <f>IF($C1002="","",IF($I1002="","",RANK($I1002,$I$4:$I$1463)+COUNTIF($I$4:$I1002,$I1002)-1))</f>
        <v>172</v>
      </c>
      <c r="Q1002" s="15">
        <f>IF($C1002="","",COUNTIFS($B$4:$B$1463,$B1002,$X$4:$X$1463,"&gt;"&amp;$X1002)+COUNTIFS($B$4:$B1002,$B1002,$X$4:$X1002,"="&amp;$X1002))</f>
        <v>22</v>
      </c>
      <c r="R1002" s="72">
        <f>IF($C1002="","",IF($I1002="","",ROUND(COUNTIF($I$4:$I$1463,"&lt;"&amp;$I1002)/COUNT($I$4:$I$1463),3)))</f>
        <v>0.87</v>
      </c>
      <c r="S1002" s="15" t="str">
        <f>IF($C1002="","",IF($G1002="","Name only",IF(OR($I1002="",$L1002=""),"Partial","Complete")))</f>
        <v>Complete</v>
      </c>
      <c r="T1002" s="41" t="str">
        <f>IF($C1002="","",TRIM(IF(COUNTIF($C$4:$C$1463,$C1002)&gt;1,"Dup name; ","")&amp;IF(AND($G1002&lt;&gt;"",$G1002&lt;55000),"Low CR - verify; ","")&amp;IF(AND($L1002&lt;&gt;"",$L1002&gt;15),"Secondary - verify; ","")&amp;IF($E1002="","No class; ","")))</f>
        <v/>
      </c>
      <c r="U1002" s="68"/>
      <c r="V1002" s="68"/>
      <c r="W1002" s="68"/>
      <c r="X1002" s="73">
        <f t="shared" si="77"/>
        <v>7475</v>
      </c>
      <c r="Y1002" s="41" t="str">
        <f t="shared" si="78"/>
        <v>RECKONING|22</v>
      </c>
      <c r="Z1002" s="15">
        <f>IF($C1002="","",IF($G1002="","",RANK($G1002,$G$4:$G$1463)+COUNTIF($G$4:$G1002,$G1002)-1))</f>
        <v>117</v>
      </c>
      <c r="AA1002" s="15">
        <f>IF($C1002="","",IF($N1002="","",RANK($N1002,$N$4:$N$1463)+COUNTIF($N$4:$N1002,$N1002)-1))</f>
        <v>130</v>
      </c>
      <c r="AB1002" s="41" t="str">
        <f>IF($C1002="","",IF($E1002="","",$E1002&amp;"#"&amp;(COUNTIFS($E$4:$E$1463,$E1002,$X$4:$X$1463,"&gt;"&amp;$X1002)+COUNTIFS($E$4:$E1002,$E1002,$X$4:$X1002,"="&amp;$X1002))))</f>
        <v>BARBARIAN#39</v>
      </c>
      <c r="AC1002" s="41" t="str">
        <f>IF($C1002="","",$B1002&amp;"@"&amp;(COUNTIFS($B$4:$B$1463,$B1002,$C$4:$C$1463,"&lt;"&amp;$C1002)+COUNTIFS($B$4:$B1002,$B1002,$C$4:$C1002,$C1002)))</f>
        <v>RECKONING@76</v>
      </c>
      <c r="AD1002" s="41">
        <f t="shared" si="79"/>
        <v>999</v>
      </c>
      <c r="AE1002" s="41" t="s">
        <v>2239</v>
      </c>
      <c r="AF1002" s="73">
        <f t="shared" si="80"/>
        <v>63793</v>
      </c>
      <c r="AG1002" s="74">
        <f t="shared" si="81"/>
        <v>8.35</v>
      </c>
      <c r="AH1002" s="41" t="str">
        <f>IF($C1002="","",$B1002&amp;"|"&amp;(COUNTIFS($B$4:$B$1463,$B1002,$AF$4:$AF$1463,"&gt;"&amp;$AF1002)+COUNTIFS($B$4:$B1002,$B1002,$AF$4:$AF1002,"="&amp;$AF1002)))</f>
        <v>RECKONING|15</v>
      </c>
      <c r="AI1002" s="41" t="str">
        <f>IF($C1002="","",$B1002&amp;"|"&amp;(COUNTIFS($B$4:$B$1463,$B1002,$AG$4:$AG$1463,"&gt;"&amp;$AG1002)+COUNTIFS($B$4:$B1002,$B1002,$AG$4:$AG1002,"="&amp;$AG1002)))</f>
        <v>RECKONING|8</v>
      </c>
    </row>
    <row r="1003" spans="1:35" hidden="1">
      <c r="A1003" s="69" t="s">
        <v>109</v>
      </c>
      <c r="B1003" s="69" t="s">
        <v>113</v>
      </c>
      <c r="C1003" s="63" t="s">
        <v>2240</v>
      </c>
      <c r="D1003" s="69" t="s">
        <v>548</v>
      </c>
      <c r="E1003" s="68" t="s">
        <v>74</v>
      </c>
      <c r="F1003" s="19" t="str">
        <f>IF($C1003="","",IF($E1003="","-",IFERROR(INDEX(SETUP!$B$55:$B$64,MATCH($E1003,SETUP!$A$55:$A$64,0)),"Other")))</f>
        <v>Ranged DPS</v>
      </c>
      <c r="G1003" s="70">
        <v>63884</v>
      </c>
      <c r="H1003" s="19" t="str">
        <f>IF($C1003="","",IF($G1003="","-",INDEX(SETUP!$B$26:$B$32,MATCH($G1003,SETUP!$A$26:$A$32,1))))</f>
        <v>63,000 - 63,999</v>
      </c>
      <c r="I1003" s="70">
        <v>9005</v>
      </c>
      <c r="J1003" s="19" t="str">
        <f>IF($C1003="","",IF($I1003="","-",INDEX(SETUP!$B$16:$B$22,MATCH($I1003,SETUP!$A$16:$A$22,1))))</f>
        <v>ELITE</v>
      </c>
      <c r="K1003" s="19" t="str">
        <f>IF($C1003="","",IF($I1003="","-",TEXT(INT($I1003/1000)*1000,"#,##0")&amp;" - "&amp;TEXT(INT($I1003/1000)*1000+999,"#,##0")))</f>
        <v>9,000 - 9,999</v>
      </c>
      <c r="L1003" s="71">
        <v>5.15</v>
      </c>
      <c r="M1003" s="19" t="str">
        <f>IF($C1003="","",IF($L1003="","-",INDEX(SETUP!$B$36:$B$42,MATCH($L1003,SETUP!$A$36:$A$42,1))))</f>
        <v>5k - 6k</v>
      </c>
      <c r="N1003" s="21">
        <f>IF($C1003="","",IF(OR($G1003="",$I1003=""),"",ROUND(100*(SETUP!$B$4*MIN(1,$I1003/SETUP!$B$9)+SETUP!$B$5*MAX(0,MIN(1,($G1003-SETUP!$B$10)/(SETUP!$B$11-SETUP!$B$10)))+SETUP!$B$6*MIN(1,IF($L1003="",0,$L1003)/SETUP!$B$12)),1)))</f>
        <v>71.3</v>
      </c>
      <c r="O1003" s="19" t="str">
        <f>IF($C1003="","",IF($N1003="","-",INDEX(SETUP!$B$46:$B$51,MATCH($N1003,SETUP!$A$46:$A$51,1))))</f>
        <v>S</v>
      </c>
      <c r="P1003" s="19">
        <f>IF($C1003="","",IF($I1003="","",RANK($I1003,$I$4:$I$1463)+COUNTIF($I$4:$I1003,$I1003)-1))</f>
        <v>95</v>
      </c>
      <c r="Q1003" s="19">
        <f>IF($C1003="","",COUNTIFS($B$4:$B$1463,$B1003,$X$4:$X$1463,"&gt;"&amp;$X1003)+COUNTIFS($B$4:$B1003,$B1003,$X$4:$X1003,"="&amp;$X1003))</f>
        <v>3</v>
      </c>
      <c r="R1003" s="75">
        <f>IF($C1003="","",IF($I1003="","",ROUND(COUNTIF($I$4:$I$1463,"&lt;"&amp;$I1003)/COUNT($I$4:$I$1463),3)))</f>
        <v>0.92800000000000005</v>
      </c>
      <c r="S1003" s="19" t="str">
        <f>IF($C1003="","",IF($G1003="","Name only",IF(OR($I1003="",$L1003=""),"Partial","Complete")))</f>
        <v>Complete</v>
      </c>
      <c r="T1003" s="1" t="str">
        <f>IF($C1003="","",TRIM(IF(COUNTIF($C$4:$C$1463,$C1003)&gt;1,"Dup name; ","")&amp;IF(AND($G1003&lt;&gt;"",$G1003&lt;55000),"Low CR - verify; ","")&amp;IF(AND($L1003&lt;&gt;"",$L1003&gt;15),"Secondary - verify; ","")&amp;IF($E1003="","No class; ","")))</f>
        <v/>
      </c>
      <c r="U1003" s="68"/>
      <c r="V1003" s="68"/>
      <c r="W1003" s="68"/>
      <c r="X1003" s="76">
        <f t="shared" si="77"/>
        <v>9005</v>
      </c>
      <c r="Y1003" s="1" t="str">
        <f t="shared" si="78"/>
        <v>INVICTUS|3</v>
      </c>
      <c r="Z1003" s="19">
        <f>IF($C1003="","",IF($G1003="","",RANK($G1003,$G$4:$G$1463)+COUNTIF($G$4:$G1003,$G1003)-1))</f>
        <v>101</v>
      </c>
      <c r="AA1003" s="19">
        <f>IF($C1003="","",IF($N1003="","",RANK($N1003,$N$4:$N$1463)+COUNTIF($N$4:$N1003,$N1003)-1))</f>
        <v>119</v>
      </c>
      <c r="AB1003" s="1" t="str">
        <f>IF($C1003="","",IF($E1003="","",$E1003&amp;"#"&amp;(COUNTIFS($E$4:$E$1463,$E1003,$X$4:$X$1463,"&gt;"&amp;$X1003)+COUNTIFS($E$4:$E1003,$E1003,$X$4:$X1003,"="&amp;$X1003))))</f>
        <v>DEMON HUNTER#17</v>
      </c>
      <c r="AC1003" s="1" t="str">
        <f>IF($C1003="","",$B1003&amp;"@"&amp;(COUNTIFS($B$4:$B$1463,$B1003,$C$4:$C$1463,"&lt;"&amp;$C1003)+COUNTIFS($B$4:$B1003,$B1003,$C$4:$C1003,$C1003)))</f>
        <v>INVICTUS@73</v>
      </c>
      <c r="AD1003" s="1">
        <f t="shared" si="79"/>
        <v>1000</v>
      </c>
      <c r="AE1003" s="1" t="s">
        <v>2241</v>
      </c>
      <c r="AF1003" s="76">
        <f t="shared" si="80"/>
        <v>63884</v>
      </c>
      <c r="AG1003" s="77">
        <f t="shared" si="81"/>
        <v>5.15</v>
      </c>
      <c r="AH1003" s="1" t="str">
        <f>IF($C1003="","",$B1003&amp;"|"&amp;(COUNTIFS($B$4:$B$1463,$B1003,$AF$4:$AF$1463,"&gt;"&amp;$AF1003)+COUNTIFS($B$4:$B1003,$B1003,$AF$4:$AF1003,"="&amp;$AF1003)))</f>
        <v>INVICTUS|3</v>
      </c>
      <c r="AI1003" s="1" t="str">
        <f>IF($C1003="","",$B1003&amp;"|"&amp;(COUNTIFS($B$4:$B$1463,$B1003,$AG$4:$AG$1463,"&gt;"&amp;$AG1003)+COUNTIFS($B$4:$B1003,$B1003,$AG$4:$AG1003,"="&amp;$AG1003)))</f>
        <v>INVICTUS|25</v>
      </c>
    </row>
    <row r="1004" spans="1:35" hidden="1">
      <c r="A1004" s="69" t="s">
        <v>109</v>
      </c>
      <c r="B1004" s="69" t="s">
        <v>108</v>
      </c>
      <c r="C1004" s="63" t="s">
        <v>2242</v>
      </c>
      <c r="D1004" s="69"/>
      <c r="E1004" s="68" t="s">
        <v>74</v>
      </c>
      <c r="F1004" s="15" t="str">
        <f>IF($C1004="","",IF($E1004="","-",IFERROR(INDEX(SETUP!$B$55:$B$64,MATCH($E1004,SETUP!$A$55:$A$64,0)),"Other")))</f>
        <v>Ranged DPS</v>
      </c>
      <c r="G1004" s="70">
        <v>61697</v>
      </c>
      <c r="H1004" s="15" t="str">
        <f>IF($C1004="","",IF($G1004="","-",INDEX(SETUP!$B$26:$B$32,MATCH($G1004,SETUP!$A$26:$A$32,1))))</f>
        <v>61,000 - 61,999</v>
      </c>
      <c r="I1004" s="70">
        <v>3224</v>
      </c>
      <c r="J1004" s="15" t="str">
        <f>IF($C1004="","",IF($I1004="","-",INDEX(SETUP!$B$16:$B$22,MATCH($I1004,SETUP!$A$16:$A$22,1))))</f>
        <v>DEVELOPING</v>
      </c>
      <c r="K1004" s="15" t="str">
        <f>IF($C1004="","",IF($I1004="","-",TEXT(INT($I1004/1000)*1000,"#,##0")&amp;" - "&amp;TEXT(INT($I1004/1000)*1000+999,"#,##0")))</f>
        <v>3,000 - 3,999</v>
      </c>
      <c r="L1004" s="71">
        <v>3.95</v>
      </c>
      <c r="M1004" s="15" t="str">
        <f>IF($C1004="","",IF($L1004="","-",INDEX(SETUP!$B$36:$B$42,MATCH($L1004,SETUP!$A$36:$A$42,1))))</f>
        <v>3k - 4k</v>
      </c>
      <c r="N1004" s="17">
        <f>IF($C1004="","",IF(OR($G1004="",$I1004=""),"",ROUND(100*(SETUP!$B$4*MIN(1,$I1004/SETUP!$B$9)+SETUP!$B$5*MAX(0,MIN(1,($G1004-SETUP!$B$10)/(SETUP!$B$11-SETUP!$B$10)))+SETUP!$B$6*MIN(1,IF($L1004="",0,$L1004)/SETUP!$B$12)),1)))</f>
        <v>38.299999999999997</v>
      </c>
      <c r="O1004" s="15" t="str">
        <f>IF($C1004="","",IF($N1004="","-",INDEX(SETUP!$B$46:$B$51,MATCH($N1004,SETUP!$A$46:$A$51,1))))</f>
        <v>B</v>
      </c>
      <c r="P1004" s="15">
        <f>IF($C1004="","",IF($I1004="","",RANK($I1004,$I$4:$I$1463)+COUNTIF($I$4:$I1004,$I1004)-1))</f>
        <v>814</v>
      </c>
      <c r="Q1004" s="15">
        <f>IF($C1004="","",COUNTIFS($B$4:$B$1463,$B1004,$X$4:$X$1463,"&gt;"&amp;$X1004)+COUNTIFS($B$4:$B1004,$B1004,$X$4:$X1004,"="&amp;$X1004))</f>
        <v>88</v>
      </c>
      <c r="R1004" s="72">
        <f>IF($C1004="","",IF($I1004="","",ROUND(COUNTIF($I$4:$I$1463,"&lt;"&amp;$I1004)/COUNT($I$4:$I$1463),3)))</f>
        <v>0.38600000000000001</v>
      </c>
      <c r="S1004" s="15" t="str">
        <f>IF($C1004="","",IF($G1004="","Name only",IF(OR($I1004="",$L1004=""),"Partial","Complete")))</f>
        <v>Complete</v>
      </c>
      <c r="T1004" s="41" t="str">
        <f>IF($C1004="","",TRIM(IF(COUNTIF($C$4:$C$1463,$C1004)&gt;1,"Dup name; ","")&amp;IF(AND($G1004&lt;&gt;"",$G1004&lt;55000),"Low CR - verify; ","")&amp;IF(AND($L1004&lt;&gt;"",$L1004&gt;15),"Secondary - verify; ","")&amp;IF($E1004="","No class; ","")))</f>
        <v/>
      </c>
      <c r="U1004" s="68"/>
      <c r="V1004" s="68"/>
      <c r="W1004" s="68"/>
      <c r="X1004" s="73">
        <f t="shared" si="77"/>
        <v>3224</v>
      </c>
      <c r="Y1004" s="41" t="str">
        <f t="shared" si="78"/>
        <v>SBG|88</v>
      </c>
      <c r="Z1004" s="15">
        <f>IF($C1004="","",IF($G1004="","",RANK($G1004,$G$4:$G$1463)+COUNTIF($G$4:$G1004,$G1004)-1))</f>
        <v>945</v>
      </c>
      <c r="AA1004" s="15">
        <f>IF($C1004="","",IF($N1004="","",RANK($N1004,$N$4:$N$1463)+COUNTIF($N$4:$N1004,$N1004)-1))</f>
        <v>896</v>
      </c>
      <c r="AB1004" s="41" t="str">
        <f>IF($C1004="","",IF($E1004="","",$E1004&amp;"#"&amp;(COUNTIFS($E$4:$E$1463,$E1004,$X$4:$X$1463,"&gt;"&amp;$X1004)+COUNTIFS($E$4:$E1004,$E1004,$X$4:$X1004,"="&amp;$X1004))))</f>
        <v>DEMON HUNTER#131</v>
      </c>
      <c r="AC1004" s="41" t="str">
        <f>IF($C1004="","",$B1004&amp;"@"&amp;(COUNTIFS($B$4:$B$1463,$B1004,$C$4:$C$1463,"&lt;"&amp;$C1004)+COUNTIFS($B$4:$B1004,$B1004,$C$4:$C1004,$C1004)))</f>
        <v>SBG@67</v>
      </c>
      <c r="AD1004" s="41">
        <f t="shared" si="79"/>
        <v>1001</v>
      </c>
      <c r="AE1004" s="41" t="s">
        <v>2243</v>
      </c>
      <c r="AF1004" s="73">
        <f t="shared" si="80"/>
        <v>61697</v>
      </c>
      <c r="AG1004" s="74">
        <f t="shared" si="81"/>
        <v>3.95</v>
      </c>
      <c r="AH1004" s="41" t="str">
        <f>IF($C1004="","",$B1004&amp;"|"&amp;(COUNTIFS($B$4:$B$1463,$B1004,$AF$4:$AF$1463,"&gt;"&amp;$AF1004)+COUNTIFS($B$4:$B1004,$B1004,$AF$4:$AF1004,"="&amp;$AF1004)))</f>
        <v>SBG|78</v>
      </c>
      <c r="AI1004" s="41" t="str">
        <f>IF($C1004="","",$B1004&amp;"|"&amp;(COUNTIFS($B$4:$B$1463,$B1004,$AG$4:$AG$1463,"&gt;"&amp;$AG1004)+COUNTIFS($B$4:$B1004,$B1004,$AG$4:$AG1004,"="&amp;$AG1004)))</f>
        <v>SBG|94</v>
      </c>
    </row>
    <row r="1005" spans="1:35" hidden="1">
      <c r="A1005" s="69" t="s">
        <v>109</v>
      </c>
      <c r="B1005" s="69" t="s">
        <v>115</v>
      </c>
      <c r="C1005" s="63" t="s">
        <v>2244</v>
      </c>
      <c r="D1005" s="69"/>
      <c r="E1005" s="68"/>
      <c r="F1005" s="19" t="str">
        <f>IF($C1005="","",IF($E1005="","-",IFERROR(INDEX(SETUP!$B$55:$B$64,MATCH($E1005,SETUP!$A$55:$A$64,0)),"Other")))</f>
        <v>-</v>
      </c>
      <c r="G1005" s="70"/>
      <c r="H1005" s="19" t="str">
        <f>IF($C1005="","",IF($G1005="","-",INDEX(SETUP!$B$26:$B$32,MATCH($G1005,SETUP!$A$26:$A$32,1))))</f>
        <v>-</v>
      </c>
      <c r="I1005" s="70"/>
      <c r="J1005" s="19" t="str">
        <f>IF($C1005="","",IF($I1005="","-",INDEX(SETUP!$B$16:$B$22,MATCH($I1005,SETUP!$A$16:$A$22,1))))</f>
        <v>-</v>
      </c>
      <c r="K1005" s="19" t="str">
        <f>IF($C1005="","",IF($I1005="","-",TEXT(INT($I1005/1000)*1000,"#,##0")&amp;" - "&amp;TEXT(INT($I1005/1000)*1000+999,"#,##0")))</f>
        <v>-</v>
      </c>
      <c r="L1005" s="71"/>
      <c r="M1005" s="19" t="str">
        <f>IF($C1005="","",IF($L1005="","-",INDEX(SETUP!$B$36:$B$42,MATCH($L1005,SETUP!$A$36:$A$42,1))))</f>
        <v>-</v>
      </c>
      <c r="N1005" s="21" t="str">
        <f>IF($C1005="","",IF(OR($G1005="",$I1005=""),"",ROUND(100*(SETUP!$B$4*MIN(1,$I1005/SETUP!$B$9)+SETUP!$B$5*MAX(0,MIN(1,($G1005-SETUP!$B$10)/(SETUP!$B$11-SETUP!$B$10)))+SETUP!$B$6*MIN(1,IF($L1005="",0,$L1005)/SETUP!$B$12)),1)))</f>
        <v/>
      </c>
      <c r="O1005" s="19" t="str">
        <f>IF($C1005="","",IF($N1005="","-",INDEX(SETUP!$B$46:$B$51,MATCH($N1005,SETUP!$A$46:$A$51,1))))</f>
        <v>-</v>
      </c>
      <c r="P1005" s="19" t="str">
        <f>IF($C1005="","",IF($I1005="","",RANK($I1005,$I$4:$I$1463)+COUNTIF($I$4:$I1005,$I1005)-1))</f>
        <v/>
      </c>
      <c r="Q1005" s="19">
        <f>IF($C1005="","",COUNTIFS($B$4:$B$1463,$B1005,$X$4:$X$1463,"&gt;"&amp;$X1005)+COUNTIFS($B$4:$B1005,$B1005,$X$4:$X1005,"="&amp;$X1005))</f>
        <v>79</v>
      </c>
      <c r="R1005" s="75" t="str">
        <f>IF($C1005="","",IF($I1005="","",ROUND(COUNTIF($I$4:$I$1463,"&lt;"&amp;$I1005)/COUNT($I$4:$I$1463),3)))</f>
        <v/>
      </c>
      <c r="S1005" s="19" t="str">
        <f>IF($C1005="","",IF($G1005="","Name only",IF(OR($I1005="",$L1005=""),"Partial","Complete")))</f>
        <v>Name only</v>
      </c>
      <c r="T1005" s="1" t="str">
        <f>IF($C1005="","",TRIM(IF(COUNTIF($C$4:$C$1463,$C1005)&gt;1,"Dup name; ","")&amp;IF(AND($G1005&lt;&gt;"",$G1005&lt;55000),"Low CR - verify; ","")&amp;IF(AND($L1005&lt;&gt;"",$L1005&gt;15),"Secondary - verify; ","")&amp;IF($E1005="","No class; ","")))</f>
        <v>No class;</v>
      </c>
      <c r="U1005" s="68"/>
      <c r="V1005" s="68"/>
      <c r="W1005" s="68"/>
      <c r="X1005" s="1">
        <f t="shared" si="77"/>
        <v>-1</v>
      </c>
      <c r="Y1005" s="1" t="str">
        <f t="shared" si="78"/>
        <v>SUB ROSA|79</v>
      </c>
      <c r="Z1005" s="19" t="str">
        <f>IF($C1005="","",IF($G1005="","",RANK($G1005,$G$4:$G$1463)+COUNTIF($G$4:$G1005,$G1005)-1))</f>
        <v/>
      </c>
      <c r="AA1005" s="19" t="str">
        <f>IF($C1005="","",IF($N1005="","",RANK($N1005,$N$4:$N$1463)+COUNTIF($N$4:$N1005,$N1005)-1))</f>
        <v/>
      </c>
      <c r="AB1005" s="1" t="str">
        <f>IF($C1005="","",IF($E1005="","",$E1005&amp;"#"&amp;(COUNTIFS($E$4:$E$1463,$E1005,$X$4:$X$1463,"&gt;"&amp;$X1005)+COUNTIFS($E$4:$E1005,$E1005,$X$4:$X1005,"="&amp;$X1005))))</f>
        <v/>
      </c>
      <c r="AC1005" s="1" t="str">
        <f>IF($C1005="","",$B1005&amp;"@"&amp;(COUNTIFS($B$4:$B$1463,$B1005,$C$4:$C$1463,"&lt;"&amp;$C1005)+COUNTIFS($B$4:$B1005,$B1005,$C$4:$C1005,$C1005)))</f>
        <v>SUB ROSA@69</v>
      </c>
      <c r="AD1005" s="1">
        <f t="shared" si="79"/>
        <v>1002</v>
      </c>
      <c r="AE1005" s="1"/>
      <c r="AF1005" s="1">
        <f t="shared" si="80"/>
        <v>-1</v>
      </c>
      <c r="AG1005" s="1">
        <f t="shared" si="81"/>
        <v>-1</v>
      </c>
      <c r="AH1005" s="1" t="str">
        <f>IF($C1005="","",$B1005&amp;"|"&amp;(COUNTIFS($B$4:$B$1463,$B1005,$AF$4:$AF$1463,"&gt;"&amp;$AF1005)+COUNTIFS($B$4:$B1005,$B1005,$AF$4:$AF1005,"="&amp;$AF1005)))</f>
        <v>SUB ROSA|79</v>
      </c>
      <c r="AI1005" s="1" t="str">
        <f>IF($C1005="","",$B1005&amp;"|"&amp;(COUNTIFS($B$4:$B$1463,$B1005,$AG$4:$AG$1463,"&gt;"&amp;$AG1005)+COUNTIFS($B$4:$B1005,$B1005,$AG$4:$AG1005,"="&amp;$AG1005)))</f>
        <v>SUB ROSA|79</v>
      </c>
    </row>
    <row r="1006" spans="1:35" hidden="1">
      <c r="A1006" s="69" t="s">
        <v>109</v>
      </c>
      <c r="B1006" s="69" t="s">
        <v>110</v>
      </c>
      <c r="C1006" s="63" t="s">
        <v>2245</v>
      </c>
      <c r="D1006" s="69"/>
      <c r="E1006" s="68" t="s">
        <v>79</v>
      </c>
      <c r="F1006" s="15" t="str">
        <f>IF($C1006="","",IF($E1006="","-",IFERROR(INDEX(SETUP!$B$55:$B$64,MATCH($E1006,SETUP!$A$55:$A$64,0)),"Other")))</f>
        <v>Control</v>
      </c>
      <c r="G1006" s="70">
        <v>63050</v>
      </c>
      <c r="H1006" s="15" t="str">
        <f>IF($C1006="","",IF($G1006="","-",INDEX(SETUP!$B$26:$B$32,MATCH($G1006,SETUP!$A$26:$A$32,1))))</f>
        <v>63,000 - 63,999</v>
      </c>
      <c r="I1006" s="70">
        <v>3600</v>
      </c>
      <c r="J1006" s="15" t="str">
        <f>IF($C1006="","",IF($I1006="","-",INDEX(SETUP!$B$16:$B$22,MATCH($I1006,SETUP!$A$16:$A$22,1))))</f>
        <v>DEVELOPING</v>
      </c>
      <c r="K1006" s="15" t="str">
        <f>IF($C1006="","",IF($I1006="","-",TEXT(INT($I1006/1000)*1000,"#,##0")&amp;" - "&amp;TEXT(INT($I1006/1000)*1000+999,"#,##0")))</f>
        <v>3,000 - 3,999</v>
      </c>
      <c r="L1006" s="71">
        <v>5.95</v>
      </c>
      <c r="M1006" s="15" t="str">
        <f>IF($C1006="","",IF($L1006="","-",INDEX(SETUP!$B$36:$B$42,MATCH($L1006,SETUP!$A$36:$A$42,1))))</f>
        <v>5k - 6k</v>
      </c>
      <c r="N1006" s="17">
        <f>IF($C1006="","",IF(OR($G1006="",$I1006=""),"",ROUND(100*(SETUP!$B$4*MIN(1,$I1006/SETUP!$B$9)+SETUP!$B$5*MAX(0,MIN(1,($G1006-SETUP!$B$10)/(SETUP!$B$11-SETUP!$B$10)))+SETUP!$B$6*MIN(1,IF($L1006="",0,$L1006)/SETUP!$B$12)),1)))</f>
        <v>46.8</v>
      </c>
      <c r="O1006" s="15" t="str">
        <f>IF($C1006="","",IF($N1006="","-",INDEX(SETUP!$B$46:$B$51,MATCH($N1006,SETUP!$A$46:$A$51,1))))</f>
        <v>B</v>
      </c>
      <c r="P1006" s="15">
        <f>IF($C1006="","",IF($I1006="","",RANK($I1006,$I$4:$I$1463)+COUNTIF($I$4:$I1006,$I1006)-1))</f>
        <v>701</v>
      </c>
      <c r="Q1006" s="15">
        <f>IF($C1006="","",COUNTIFS($B$4:$B$1463,$B1006,$X$4:$X$1463,"&gt;"&amp;$X1006)+COUNTIFS($B$4:$B1006,$B1006,$X$4:$X1006,"="&amp;$X1006))</f>
        <v>72</v>
      </c>
      <c r="R1006" s="72">
        <f>IF($C1006="","",IF($I1006="","",ROUND(COUNTIF($I$4:$I$1463,"&lt;"&amp;$I1006)/COUNT($I$4:$I$1463),3)))</f>
        <v>0.47099999999999997</v>
      </c>
      <c r="S1006" s="15" t="str">
        <f>IF($C1006="","",IF($G1006="","Name only",IF(OR($I1006="",$L1006=""),"Partial","Complete")))</f>
        <v>Complete</v>
      </c>
      <c r="T1006" s="41" t="str">
        <f>IF($C1006="","",TRIM(IF(COUNTIF($C$4:$C$1463,$C1006)&gt;1,"Dup name; ","")&amp;IF(AND($G1006&lt;&gt;"",$G1006&lt;55000),"Low CR - verify; ","")&amp;IF(AND($L1006&lt;&gt;"",$L1006&gt;15),"Secondary - verify; ","")&amp;IF($E1006="","No class; ","")))</f>
        <v/>
      </c>
      <c r="U1006" s="68"/>
      <c r="V1006" s="68"/>
      <c r="W1006" s="68"/>
      <c r="X1006" s="73">
        <f t="shared" si="77"/>
        <v>3600</v>
      </c>
      <c r="Y1006" s="41" t="str">
        <f t="shared" si="78"/>
        <v>AZUKI|72</v>
      </c>
      <c r="Z1006" s="15">
        <f>IF($C1006="","",IF($G1006="","",RANK($G1006,$G$4:$G$1463)+COUNTIF($G$4:$G1006,$G1006)-1))</f>
        <v>403</v>
      </c>
      <c r="AA1006" s="15">
        <f>IF($C1006="","",IF($N1006="","",RANK($N1006,$N$4:$N$1463)+COUNTIF($N$4:$N1006,$N1006)-1))</f>
        <v>557</v>
      </c>
      <c r="AB1006" s="41" t="str">
        <f>IF($C1006="","",IF($E1006="","",$E1006&amp;"#"&amp;(COUNTIFS($E$4:$E$1463,$E1006,$X$4:$X$1463,"&gt;"&amp;$X1006)+COUNTIFS($E$4:$E1006,$E1006,$X$4:$X1006,"="&amp;$X1006))))</f>
        <v>WARLOCK#172</v>
      </c>
      <c r="AC1006" s="41" t="str">
        <f>IF($C1006="","",$B1006&amp;"@"&amp;(COUNTIFS($B$4:$B$1463,$B1006,$C$4:$C$1463,"&lt;"&amp;$C1006)+COUNTIFS($B$4:$B1006,$B1006,$C$4:$C1006,$C1006)))</f>
        <v>AZUKI@77</v>
      </c>
      <c r="AD1006" s="41">
        <f t="shared" si="79"/>
        <v>1003</v>
      </c>
      <c r="AE1006" s="41" t="s">
        <v>2246</v>
      </c>
      <c r="AF1006" s="73">
        <f t="shared" si="80"/>
        <v>63050</v>
      </c>
      <c r="AG1006" s="74">
        <f t="shared" si="81"/>
        <v>5.95</v>
      </c>
      <c r="AH1006" s="41" t="str">
        <f>IF($C1006="","",$B1006&amp;"|"&amp;(COUNTIFS($B$4:$B$1463,$B1006,$AF$4:$AF$1463,"&gt;"&amp;$AF1006)+COUNTIFS($B$4:$B1006,$B1006,$AF$4:$AF1006,"="&amp;$AF1006)))</f>
        <v>AZUKI|38</v>
      </c>
      <c r="AI1006" s="41" t="str">
        <f>IF($C1006="","",$B1006&amp;"|"&amp;(COUNTIFS($B$4:$B$1463,$B1006,$AG$4:$AG$1463,"&gt;"&amp;$AG1006)+COUNTIFS($B$4:$B1006,$B1006,$AG$4:$AG1006,"="&amp;$AG1006)))</f>
        <v>AZUKI|47</v>
      </c>
    </row>
    <row r="1007" spans="1:35" hidden="1">
      <c r="A1007" s="69" t="s">
        <v>109</v>
      </c>
      <c r="B1007" s="69" t="s">
        <v>118</v>
      </c>
      <c r="C1007" s="63" t="s">
        <v>2247</v>
      </c>
      <c r="D1007" s="69"/>
      <c r="E1007" s="68" t="s">
        <v>75</v>
      </c>
      <c r="F1007" s="19" t="str">
        <f>IF($C1007="","",IF($E1007="","-",IFERROR(INDEX(SETUP!$B$55:$B$64,MATCH($E1007,SETUP!$A$55:$A$64,0)),"Other")))</f>
        <v>Support</v>
      </c>
      <c r="G1007" s="70">
        <v>62186</v>
      </c>
      <c r="H1007" s="19" t="str">
        <f>IF($C1007="","",IF($G1007="","-",INDEX(SETUP!$B$26:$B$32,MATCH($G1007,SETUP!$A$26:$A$32,1))))</f>
        <v>62,000 - 62,999</v>
      </c>
      <c r="I1007" s="70">
        <v>1739</v>
      </c>
      <c r="J1007" s="19" t="str">
        <f>IF($C1007="","",IF($I1007="","-",INDEX(SETUP!$B$16:$B$22,MATCH($I1007,SETUP!$A$16:$A$22,1))))</f>
        <v>ROOKIE</v>
      </c>
      <c r="K1007" s="19" t="str">
        <f>IF($C1007="","",IF($I1007="","-",TEXT(INT($I1007/1000)*1000,"#,##0")&amp;" - "&amp;TEXT(INT($I1007/1000)*1000+999,"#,##0")))</f>
        <v>1,000 - 1,999</v>
      </c>
      <c r="L1007" s="71">
        <v>3</v>
      </c>
      <c r="M1007" s="19" t="str">
        <f>IF($C1007="","",IF($L1007="","-",INDEX(SETUP!$B$36:$B$42,MATCH($L1007,SETUP!$A$36:$A$42,1))))</f>
        <v>3k - 4k</v>
      </c>
      <c r="N1007" s="21">
        <f>IF($C1007="","",IF(OR($G1007="",$I1007=""),"",ROUND(100*(SETUP!$B$4*MIN(1,$I1007/SETUP!$B$9)+SETUP!$B$5*MAX(0,MIN(1,($G1007-SETUP!$B$10)/(SETUP!$B$11-SETUP!$B$10)))+SETUP!$B$6*MIN(1,IF($L1007="",0,$L1007)/SETUP!$B$12)),1)))</f>
        <v>31.5</v>
      </c>
      <c r="O1007" s="19" t="str">
        <f>IF($C1007="","",IF($N1007="","-",INDEX(SETUP!$B$46:$B$51,MATCH($N1007,SETUP!$A$46:$A$51,1))))</f>
        <v>C</v>
      </c>
      <c r="P1007" s="19">
        <f>IF($C1007="","",IF($I1007="","",RANK($I1007,$I$4:$I$1463)+COUNTIF($I$4:$I1007,$I1007)-1))</f>
        <v>1157</v>
      </c>
      <c r="Q1007" s="19">
        <f>IF($C1007="","",COUNTIFS($B$4:$B$1463,$B1007,$X$4:$X$1463,"&gt;"&amp;$X1007)+COUNTIFS($B$4:$B1007,$B1007,$X$4:$X1007,"="&amp;$X1007))</f>
        <v>50</v>
      </c>
      <c r="R1007" s="75">
        <f>IF($C1007="","",IF($I1007="","",ROUND(COUNTIF($I$4:$I$1463,"&lt;"&amp;$I1007)/COUNT($I$4:$I$1463),3)))</f>
        <v>0.127</v>
      </c>
      <c r="S1007" s="19" t="str">
        <f>IF($C1007="","",IF($G1007="","Name only",IF(OR($I1007="",$L1007=""),"Partial","Complete")))</f>
        <v>Complete</v>
      </c>
      <c r="T1007" s="1" t="str">
        <f>IF($C1007="","",TRIM(IF(COUNTIF($C$4:$C$1463,$C1007)&gt;1,"Dup name; ","")&amp;IF(AND($G1007&lt;&gt;"",$G1007&lt;55000),"Low CR - verify; ","")&amp;IF(AND($L1007&lt;&gt;"",$L1007&gt;15),"Secondary - verify; ","")&amp;IF($E1007="","No class; ","")))</f>
        <v/>
      </c>
      <c r="U1007" s="68"/>
      <c r="V1007" s="68"/>
      <c r="W1007" s="68"/>
      <c r="X1007" s="76">
        <f t="shared" si="77"/>
        <v>1739</v>
      </c>
      <c r="Y1007" s="1" t="str">
        <f t="shared" si="78"/>
        <v>ZOMBIES|50</v>
      </c>
      <c r="Z1007" s="19">
        <f>IF($C1007="","",IF($G1007="","",RANK($G1007,$G$4:$G$1463)+COUNTIF($G$4:$G1007,$G1007)-1))</f>
        <v>765</v>
      </c>
      <c r="AA1007" s="19">
        <f>IF($C1007="","",IF($N1007="","",RANK($N1007,$N$4:$N$1463)+COUNTIF($N$4:$N1007,$N1007)-1))</f>
        <v>1112</v>
      </c>
      <c r="AB1007" s="1" t="str">
        <f>IF($C1007="","",IF($E1007="","",$E1007&amp;"#"&amp;(COUNTIFS($E$4:$E$1463,$E1007,$X$4:$X$1463,"&gt;"&amp;$X1007)+COUNTIFS($E$4:$E1007,$E1007,$X$4:$X1007,"="&amp;$X1007))))</f>
        <v>DRUID#54</v>
      </c>
      <c r="AC1007" s="1" t="str">
        <f>IF($C1007="","",$B1007&amp;"@"&amp;(COUNTIFS($B$4:$B$1463,$B1007,$C$4:$C$1463,"&lt;"&amp;$C1007)+COUNTIFS($B$4:$B1007,$B1007,$C$4:$C1007,$C1007)))</f>
        <v>ZOMBIES@71</v>
      </c>
      <c r="AD1007" s="1">
        <f t="shared" si="79"/>
        <v>1004</v>
      </c>
      <c r="AE1007" s="1" t="s">
        <v>611</v>
      </c>
      <c r="AF1007" s="76">
        <f t="shared" si="80"/>
        <v>62186</v>
      </c>
      <c r="AG1007" s="77">
        <f t="shared" si="81"/>
        <v>3</v>
      </c>
      <c r="AH1007" s="1" t="str">
        <f>IF($C1007="","",$B1007&amp;"|"&amp;(COUNTIFS($B$4:$B$1463,$B1007,$AF$4:$AF$1463,"&gt;"&amp;$AF1007)+COUNTIFS($B$4:$B1007,$B1007,$AF$4:$AF1007,"="&amp;$AF1007)))</f>
        <v>ZOMBIES|23</v>
      </c>
      <c r="AI1007" s="1" t="str">
        <f>IF($C1007="","",$B1007&amp;"|"&amp;(COUNTIFS($B$4:$B$1463,$B1007,$AG$4:$AG$1463,"&gt;"&amp;$AG1007)+COUNTIFS($B$4:$B1007,$B1007,$AG$4:$AG1007,"="&amp;$AG1007)))</f>
        <v>ZOMBIES|73</v>
      </c>
    </row>
    <row r="1008" spans="1:35" hidden="1">
      <c r="A1008" s="69" t="s">
        <v>109</v>
      </c>
      <c r="B1008" s="69" t="s">
        <v>117</v>
      </c>
      <c r="C1008" s="63" t="s">
        <v>2248</v>
      </c>
      <c r="D1008" s="69"/>
      <c r="E1008" s="68" t="s">
        <v>72</v>
      </c>
      <c r="F1008" s="15" t="str">
        <f>IF($C1008="","",IF($E1008="","-",IFERROR(INDEX(SETUP!$B$55:$B$64,MATCH($E1008,SETUP!$A$55:$A$64,0)),"Other")))</f>
        <v>Frontline</v>
      </c>
      <c r="G1008" s="70">
        <v>57517</v>
      </c>
      <c r="H1008" s="15" t="str">
        <f>IF($C1008="","",IF($G1008="","-",INDEX(SETUP!$B$26:$B$32,MATCH($G1008,SETUP!$A$26:$A$32,1))))</f>
        <v>Under 58,000</v>
      </c>
      <c r="I1008" s="70">
        <v>945</v>
      </c>
      <c r="J1008" s="15" t="str">
        <f>IF($C1008="","",IF($I1008="","-",INDEX(SETUP!$B$16:$B$22,MATCH($I1008,SETUP!$A$16:$A$22,1))))</f>
        <v>ROOKIE</v>
      </c>
      <c r="K1008" s="15" t="str">
        <f>IF($C1008="","",IF($I1008="","-",TEXT(INT($I1008/1000)*1000,"#,##0")&amp;" - "&amp;TEXT(INT($I1008/1000)*1000+999,"#,##0")))</f>
        <v>0 - 999</v>
      </c>
      <c r="L1008" s="71">
        <v>2.6</v>
      </c>
      <c r="M1008" s="15" t="str">
        <f>IF($C1008="","",IF($L1008="","-",INDEX(SETUP!$B$36:$B$42,MATCH($L1008,SETUP!$A$36:$A$42,1))))</f>
        <v>Under 3k</v>
      </c>
      <c r="N1008" s="17">
        <f>IF($C1008="","",IF(OR($G1008="",$I1008=""),"",ROUND(100*(SETUP!$B$4*MIN(1,$I1008/SETUP!$B$9)+SETUP!$B$5*MAX(0,MIN(1,($G1008-SETUP!$B$10)/(SETUP!$B$11-SETUP!$B$10)))+SETUP!$B$6*MIN(1,IF($L1008="",0,$L1008)/SETUP!$B$12)),1)))</f>
        <v>15.1</v>
      </c>
      <c r="O1008" s="15" t="str">
        <f>IF($C1008="","",IF($N1008="","-",INDEX(SETUP!$B$46:$B$51,MATCH($N1008,SETUP!$A$46:$A$51,1))))</f>
        <v>D</v>
      </c>
      <c r="P1008" s="15">
        <f>IF($C1008="","",IF($I1008="","",RANK($I1008,$I$4:$I$1463)+COUNTIF($I$4:$I1008,$I1008)-1))</f>
        <v>1282</v>
      </c>
      <c r="Q1008" s="15">
        <f>IF($C1008="","",COUNTIFS($B$4:$B$1463,$B1008,$X$4:$X$1463,"&gt;"&amp;$X1008)+COUNTIFS($B$4:$B1008,$B1008,$X$4:$X1008,"="&amp;$X1008))</f>
        <v>87</v>
      </c>
      <c r="R1008" s="72">
        <f>IF($C1008="","",IF($I1008="","",ROUND(COUNTIF($I$4:$I$1463,"&lt;"&amp;$I1008)/COUNT($I$4:$I$1463),3)))</f>
        <v>3.2000000000000001E-2</v>
      </c>
      <c r="S1008" s="15" t="str">
        <f>IF($C1008="","",IF($G1008="","Name only",IF(OR($I1008="",$L1008=""),"Partial","Complete")))</f>
        <v>Complete</v>
      </c>
      <c r="T1008" s="41" t="str">
        <f>IF($C1008="","",TRIM(IF(COUNTIF($C$4:$C$1463,$C1008)&gt;1,"Dup name; ","")&amp;IF(AND($G1008&lt;&gt;"",$G1008&lt;55000),"Low CR - verify; ","")&amp;IF(AND($L1008&lt;&gt;"",$L1008&gt;15),"Secondary - verify; ","")&amp;IF($E1008="","No class; ","")))</f>
        <v/>
      </c>
      <c r="U1008" s="68"/>
      <c r="V1008" s="68"/>
      <c r="W1008" s="68"/>
      <c r="X1008" s="73">
        <f t="shared" si="77"/>
        <v>945</v>
      </c>
      <c r="Y1008" s="41" t="str">
        <f t="shared" si="78"/>
        <v>VENDETTA|87</v>
      </c>
      <c r="Z1008" s="15">
        <f>IF($C1008="","",IF($G1008="","",RANK($G1008,$G$4:$G$1463)+COUNTIF($G$4:$G1008,$G1008)-1))</f>
        <v>1307</v>
      </c>
      <c r="AA1008" s="15">
        <f>IF($C1008="","",IF($N1008="","",RANK($N1008,$N$4:$N$1463)+COUNTIF($N$4:$N1008,$N1008)-1))</f>
        <v>1307</v>
      </c>
      <c r="AB1008" s="41" t="str">
        <f>IF($C1008="","",IF($E1008="","",$E1008&amp;"#"&amp;(COUNTIFS($E$4:$E$1463,$E1008,$X$4:$X$1463,"&gt;"&amp;$X1008)+COUNTIFS($E$4:$E1008,$E1008,$X$4:$X1008,"="&amp;$X1008))))</f>
        <v>BLOOD KNIGHT#93</v>
      </c>
      <c r="AC1008" s="41" t="str">
        <f>IF($C1008="","",$B1008&amp;"@"&amp;(COUNTIFS($B$4:$B$1463,$B1008,$C$4:$C$1463,"&lt;"&amp;$C1008)+COUNTIFS($B$4:$B1008,$B1008,$C$4:$C1008,$C1008)))</f>
        <v>VENDETTA@76</v>
      </c>
      <c r="AD1008" s="41">
        <f t="shared" si="79"/>
        <v>1005</v>
      </c>
      <c r="AE1008" s="41" t="s">
        <v>1230</v>
      </c>
      <c r="AF1008" s="73">
        <f t="shared" si="80"/>
        <v>57517</v>
      </c>
      <c r="AG1008" s="74">
        <f t="shared" si="81"/>
        <v>2.6</v>
      </c>
      <c r="AH1008" s="41" t="str">
        <f>IF($C1008="","",$B1008&amp;"|"&amp;(COUNTIFS($B$4:$B$1463,$B1008,$AF$4:$AF$1463,"&gt;"&amp;$AF1008)+COUNTIFS($B$4:$B1008,$B1008,$AF$4:$AF1008,"="&amp;$AF1008)))</f>
        <v>VENDETTA|91</v>
      </c>
      <c r="AI1008" s="41" t="str">
        <f>IF($C1008="","",$B1008&amp;"|"&amp;(COUNTIFS($B$4:$B$1463,$B1008,$AG$4:$AG$1463,"&gt;"&amp;$AG1008)+COUNTIFS($B$4:$B1008,$B1008,$AG$4:$AG1008,"="&amp;$AG1008)))</f>
        <v>VENDETTA|90</v>
      </c>
    </row>
    <row r="1009" spans="1:35" hidden="1">
      <c r="A1009" s="69" t="s">
        <v>106</v>
      </c>
      <c r="B1009" s="69" t="s">
        <v>105</v>
      </c>
      <c r="C1009" s="63" t="s">
        <v>2249</v>
      </c>
      <c r="D1009" s="69"/>
      <c r="E1009" s="68" t="s">
        <v>71</v>
      </c>
      <c r="F1009" s="19" t="str">
        <f>IF($C1009="","",IF($E1009="","-",IFERROR(INDEX(SETUP!$B$55:$B$64,MATCH($E1009,SETUP!$A$55:$A$64,0)),"Other")))</f>
        <v>Frontline</v>
      </c>
      <c r="G1009" s="70">
        <v>63303</v>
      </c>
      <c r="H1009" s="19" t="str">
        <f>IF($C1009="","",IF($G1009="","-",INDEX(SETUP!$B$26:$B$32,MATCH($G1009,SETUP!$A$26:$A$32,1))))</f>
        <v>63,000 - 63,999</v>
      </c>
      <c r="I1009" s="70">
        <v>5304</v>
      </c>
      <c r="J1009" s="19" t="str">
        <f>IF($C1009="","",IF($I1009="","-",INDEX(SETUP!$B$16:$B$22,MATCH($I1009,SETUP!$A$16:$A$22,1))))</f>
        <v>CORE</v>
      </c>
      <c r="K1009" s="19" t="str">
        <f>IF($C1009="","",IF($I1009="","-",TEXT(INT($I1009/1000)*1000,"#,##0")&amp;" - "&amp;TEXT(INT($I1009/1000)*1000+999,"#,##0")))</f>
        <v>5,000 - 5,999</v>
      </c>
      <c r="L1009" s="71">
        <v>4.5</v>
      </c>
      <c r="M1009" s="19" t="str">
        <f>IF($C1009="","",IF($L1009="","-",INDEX(SETUP!$B$36:$B$42,MATCH($L1009,SETUP!$A$36:$A$42,1))))</f>
        <v>4k - 5k</v>
      </c>
      <c r="N1009" s="21">
        <f>IF($C1009="","",IF(OR($G1009="",$I1009=""),"",ROUND(100*(SETUP!$B$4*MIN(1,$I1009/SETUP!$B$9)+SETUP!$B$5*MAX(0,MIN(1,($G1009-SETUP!$B$10)/(SETUP!$B$11-SETUP!$B$10)))+SETUP!$B$6*MIN(1,IF($L1009="",0,$L1009)/SETUP!$B$12)),1)))</f>
        <v>52.5</v>
      </c>
      <c r="O1009" s="19" t="str">
        <f>IF($C1009="","",IF($N1009="","-",INDEX(SETUP!$B$46:$B$51,MATCH($N1009,SETUP!$A$46:$A$51,1))))</f>
        <v>A</v>
      </c>
      <c r="P1009" s="19">
        <f>IF($C1009="","",IF($I1009="","",RANK($I1009,$I$4:$I$1463)+COUNTIF($I$4:$I1009,$I1009)-1))</f>
        <v>361</v>
      </c>
      <c r="Q1009" s="19">
        <f>IF($C1009="","",COUNTIFS($B$4:$B$1463,$B1009,$X$4:$X$1463,"&gt;"&amp;$X1009)+COUNTIFS($B$4:$B1009,$B1009,$X$4:$X1009,"="&amp;$X1009))</f>
        <v>45</v>
      </c>
      <c r="R1009" s="75">
        <f>IF($C1009="","",IF($I1009="","",ROUND(COUNTIF($I$4:$I$1463,"&lt;"&amp;$I1009)/COUNT($I$4:$I$1463),3)))</f>
        <v>0.72799999999999998</v>
      </c>
      <c r="S1009" s="19" t="str">
        <f>IF($C1009="","",IF($G1009="","Name only",IF(OR($I1009="",$L1009=""),"Partial","Complete")))</f>
        <v>Complete</v>
      </c>
      <c r="T1009" s="1" t="str">
        <f>IF($C1009="","",TRIM(IF(COUNTIF($C$4:$C$1463,$C1009)&gt;1,"Dup name; ","")&amp;IF(AND($G1009&lt;&gt;"",$G1009&lt;55000),"Low CR - verify; ","")&amp;IF(AND($L1009&lt;&gt;"",$L1009&gt;15),"Secondary - verify; ","")&amp;IF($E1009="","No class; ","")))</f>
        <v/>
      </c>
      <c r="U1009" s="68"/>
      <c r="V1009" s="68"/>
      <c r="W1009" s="68"/>
      <c r="X1009" s="76">
        <f t="shared" si="77"/>
        <v>5304</v>
      </c>
      <c r="Y1009" s="1" t="str">
        <f t="shared" si="78"/>
        <v>LEGENDS|45</v>
      </c>
      <c r="Z1009" s="19">
        <f>IF($C1009="","",IF($G1009="","",RANK($G1009,$G$4:$G$1463)+COUNTIF($G$4:$G1009,$G1009)-1))</f>
        <v>262</v>
      </c>
      <c r="AA1009" s="19">
        <f>IF($C1009="","",IF($N1009="","",RANK($N1009,$N$4:$N$1463)+COUNTIF($N$4:$N1009,$N1009)-1))</f>
        <v>373</v>
      </c>
      <c r="AB1009" s="1" t="str">
        <f>IF($C1009="","",IF($E1009="","",$E1009&amp;"#"&amp;(COUNTIFS($E$4:$E$1463,$E1009,$X$4:$X$1463,"&gt;"&amp;$X1009)+COUNTIFS($E$4:$E1009,$E1009,$X$4:$X1009,"="&amp;$X1009))))</f>
        <v>BARBARIAN#74</v>
      </c>
      <c r="AC1009" s="1" t="str">
        <f>IF($C1009="","",$B1009&amp;"@"&amp;(COUNTIFS($B$4:$B$1463,$B1009,$C$4:$C$1463,"&lt;"&amp;$C1009)+COUNTIFS($B$4:$B1009,$B1009,$C$4:$C1009,$C1009)))</f>
        <v>LEGENDS@79</v>
      </c>
      <c r="AD1009" s="1">
        <f t="shared" si="79"/>
        <v>1006</v>
      </c>
      <c r="AE1009" s="1" t="s">
        <v>2250</v>
      </c>
      <c r="AF1009" s="76">
        <f t="shared" si="80"/>
        <v>63303</v>
      </c>
      <c r="AG1009" s="77">
        <f t="shared" si="81"/>
        <v>4.5</v>
      </c>
      <c r="AH1009" s="1" t="str">
        <f>IF($C1009="","",$B1009&amp;"|"&amp;(COUNTIFS($B$4:$B$1463,$B1009,$AF$4:$AF$1463,"&gt;"&amp;$AF1009)+COUNTIFS($B$4:$B1009,$B1009,$AF$4:$AF1009,"="&amp;$AF1009)))</f>
        <v>LEGENDS|35</v>
      </c>
      <c r="AI1009" s="1" t="str">
        <f>IF($C1009="","",$B1009&amp;"|"&amp;(COUNTIFS($B$4:$B$1463,$B1009,$AG$4:$AG$1463,"&gt;"&amp;$AG1009)+COUNTIFS($B$4:$B1009,$B1009,$AG$4:$AG1009,"="&amp;$AG1009)))</f>
        <v>LEGENDS|79</v>
      </c>
    </row>
    <row r="1010" spans="1:35" hidden="1">
      <c r="A1010" s="69" t="s">
        <v>106</v>
      </c>
      <c r="B1010" s="69" t="s">
        <v>86</v>
      </c>
      <c r="C1010" s="63" t="s">
        <v>2251</v>
      </c>
      <c r="D1010" s="69"/>
      <c r="E1010" s="68" t="s">
        <v>79</v>
      </c>
      <c r="F1010" s="15" t="str">
        <f>IF($C1010="","",IF($E1010="","-",IFERROR(INDEX(SETUP!$B$55:$B$64,MATCH($E1010,SETUP!$A$55:$A$64,0)),"Other")))</f>
        <v>Control</v>
      </c>
      <c r="G1010" s="70">
        <v>63021</v>
      </c>
      <c r="H1010" s="15" t="str">
        <f>IF($C1010="","",IF($G1010="","-",INDEX(SETUP!$B$26:$B$32,MATCH($G1010,SETUP!$A$26:$A$32,1))))</f>
        <v>63,000 - 63,999</v>
      </c>
      <c r="I1010" s="70">
        <v>4522</v>
      </c>
      <c r="J1010" s="15" t="str">
        <f>IF($C1010="","",IF($I1010="","-",INDEX(SETUP!$B$16:$B$22,MATCH($I1010,SETUP!$A$16:$A$22,1))))</f>
        <v>CORE</v>
      </c>
      <c r="K1010" s="15" t="str">
        <f>IF($C1010="","",IF($I1010="","-",TEXT(INT($I1010/1000)*1000,"#,##0")&amp;" - "&amp;TEXT(INT($I1010/1000)*1000+999,"#,##0")))</f>
        <v>4,000 - 4,999</v>
      </c>
      <c r="L1010" s="71">
        <v>6.1</v>
      </c>
      <c r="M1010" s="15" t="str">
        <f>IF($C1010="","",IF($L1010="","-",INDEX(SETUP!$B$36:$B$42,MATCH($L1010,SETUP!$A$36:$A$42,1))))</f>
        <v>6k - 8k</v>
      </c>
      <c r="N1010" s="17">
        <f>IF($C1010="","",IF(OR($G1010="",$I1010=""),"",ROUND(100*(SETUP!$B$4*MIN(1,$I1010/SETUP!$B$9)+SETUP!$B$5*MAX(0,MIN(1,($G1010-SETUP!$B$10)/(SETUP!$B$11-SETUP!$B$10)))+SETUP!$B$6*MIN(1,IF($L1010="",0,$L1010)/SETUP!$B$12)),1)))</f>
        <v>51</v>
      </c>
      <c r="O1010" s="15" t="str">
        <f>IF($C1010="","",IF($N1010="","-",INDEX(SETUP!$B$46:$B$51,MATCH($N1010,SETUP!$A$46:$A$51,1))))</f>
        <v>A</v>
      </c>
      <c r="P1010" s="15">
        <f>IF($C1010="","",IF($I1010="","",RANK($I1010,$I$4:$I$1463)+COUNTIF($I$4:$I1010,$I1010)-1))</f>
        <v>489</v>
      </c>
      <c r="Q1010" s="15">
        <f>IF($C1010="","",COUNTIFS($B$4:$B$1463,$B1010,$X$4:$X$1463,"&gt;"&amp;$X1010)+COUNTIFS($B$4:$B1010,$B1010,$X$4:$X1010,"="&amp;$X1010))</f>
        <v>72</v>
      </c>
      <c r="R1010" s="72">
        <f>IF($C1010="","",IF($I1010="","",ROUND(COUNTIF($I$4:$I$1463,"&lt;"&amp;$I1010)/COUNT($I$4:$I$1463),3)))</f>
        <v>0.63100000000000001</v>
      </c>
      <c r="S1010" s="15" t="str">
        <f>IF($C1010="","",IF($G1010="","Name only",IF(OR($I1010="",$L1010=""),"Partial","Complete")))</f>
        <v>Complete</v>
      </c>
      <c r="T1010" s="41" t="str">
        <f>IF($C1010="","",TRIM(IF(COUNTIF($C$4:$C$1463,$C1010)&gt;1,"Dup name; ","")&amp;IF(AND($G1010&lt;&gt;"",$G1010&lt;55000),"Low CR - verify; ","")&amp;IF(AND($L1010&lt;&gt;"",$L1010&gt;15),"Secondary - verify; ","")&amp;IF($E1010="","No class; ","")))</f>
        <v/>
      </c>
      <c r="U1010" s="68"/>
      <c r="V1010" s="68"/>
      <c r="W1010" s="68"/>
      <c r="X1010" s="73">
        <f t="shared" si="77"/>
        <v>4522</v>
      </c>
      <c r="Y1010" s="41" t="str">
        <f t="shared" si="78"/>
        <v>VANGUARD|72</v>
      </c>
      <c r="Z1010" s="15">
        <f>IF($C1010="","",IF($G1010="","",RANK($G1010,$G$4:$G$1463)+COUNTIF($G$4:$G1010,$G1010)-1))</f>
        <v>420</v>
      </c>
      <c r="AA1010" s="15">
        <f>IF($C1010="","",IF($N1010="","",RANK($N1010,$N$4:$N$1463)+COUNTIF($N$4:$N1010,$N1010)-1))</f>
        <v>426</v>
      </c>
      <c r="AB1010" s="41" t="str">
        <f>IF($C1010="","",IF($E1010="","",$E1010&amp;"#"&amp;(COUNTIFS($E$4:$E$1463,$E1010,$X$4:$X$1463,"&gt;"&amp;$X1010)+COUNTIFS($E$4:$E1010,$E1010,$X$4:$X1010,"="&amp;$X1010))))</f>
        <v>WARLOCK#113</v>
      </c>
      <c r="AC1010" s="41" t="str">
        <f>IF($C1010="","",$B1010&amp;"@"&amp;(COUNTIFS($B$4:$B$1463,$B1010,$C$4:$C$1463,"&lt;"&amp;$C1010)+COUNTIFS($B$4:$B1010,$B1010,$C$4:$C1010,$C1010)))</f>
        <v>VANGUARD@74</v>
      </c>
      <c r="AD1010" s="41">
        <f t="shared" si="79"/>
        <v>1007</v>
      </c>
      <c r="AE1010" s="41" t="s">
        <v>1494</v>
      </c>
      <c r="AF1010" s="73">
        <f t="shared" si="80"/>
        <v>63021</v>
      </c>
      <c r="AG1010" s="74">
        <f t="shared" si="81"/>
        <v>6.1</v>
      </c>
      <c r="AH1010" s="41" t="str">
        <f>IF($C1010="","",$B1010&amp;"|"&amp;(COUNTIFS($B$4:$B$1463,$B1010,$AF$4:$AF$1463,"&gt;"&amp;$AF1010)+COUNTIFS($B$4:$B1010,$B1010,$AF$4:$AF1010,"="&amp;$AF1010)))</f>
        <v>VANGUARD|64</v>
      </c>
      <c r="AI1010" s="41" t="str">
        <f>IF($C1010="","",$B1010&amp;"|"&amp;(COUNTIFS($B$4:$B$1463,$B1010,$AG$4:$AG$1463,"&gt;"&amp;$AG1010)+COUNTIFS($B$4:$B1010,$B1010,$AG$4:$AG1010,"="&amp;$AG1010)))</f>
        <v>VANGUARD|40</v>
      </c>
    </row>
    <row r="1011" spans="1:35" hidden="1">
      <c r="A1011" s="69" t="s">
        <v>109</v>
      </c>
      <c r="B1011" s="69" t="s">
        <v>110</v>
      </c>
      <c r="C1011" s="63" t="s">
        <v>2252</v>
      </c>
      <c r="D1011" s="69"/>
      <c r="E1011" s="68" t="s">
        <v>76</v>
      </c>
      <c r="F1011" s="19" t="str">
        <f>IF($C1011="","",IF($E1011="","-",IFERROR(INDEX(SETUP!$B$55:$B$64,MATCH($E1011,SETUP!$A$55:$A$64,0)),"Other")))</f>
        <v>Support</v>
      </c>
      <c r="G1011" s="70">
        <v>62572</v>
      </c>
      <c r="H1011" s="19" t="str">
        <f>IF($C1011="","",IF($G1011="","-",INDEX(SETUP!$B$26:$B$32,MATCH($G1011,SETUP!$A$26:$A$32,1))))</f>
        <v>62,000 - 62,999</v>
      </c>
      <c r="I1011" s="70">
        <v>3292</v>
      </c>
      <c r="J1011" s="19" t="str">
        <f>IF($C1011="","",IF($I1011="","-",INDEX(SETUP!$B$16:$B$22,MATCH($I1011,SETUP!$A$16:$A$22,1))))</f>
        <v>DEVELOPING</v>
      </c>
      <c r="K1011" s="19" t="str">
        <f>IF($C1011="","",IF($I1011="","-",TEXT(INT($I1011/1000)*1000,"#,##0")&amp;" - "&amp;TEXT(INT($I1011/1000)*1000+999,"#,##0")))</f>
        <v>3,000 - 3,999</v>
      </c>
      <c r="L1011" s="71">
        <v>5.9</v>
      </c>
      <c r="M1011" s="19" t="str">
        <f>IF($C1011="","",IF($L1011="","-",INDEX(SETUP!$B$36:$B$42,MATCH($L1011,SETUP!$A$36:$A$42,1))))</f>
        <v>5k - 6k</v>
      </c>
      <c r="N1011" s="21">
        <f>IF($C1011="","",IF(OR($G1011="",$I1011=""),"",ROUND(100*(SETUP!$B$4*MIN(1,$I1011/SETUP!$B$9)+SETUP!$B$5*MAX(0,MIN(1,($G1011-SETUP!$B$10)/(SETUP!$B$11-SETUP!$B$10)))+SETUP!$B$6*MIN(1,IF($L1011="",0,$L1011)/SETUP!$B$12)),1)))</f>
        <v>44.1</v>
      </c>
      <c r="O1011" s="19" t="str">
        <f>IF($C1011="","",IF($N1011="","-",INDEX(SETUP!$B$46:$B$51,MATCH($N1011,SETUP!$A$46:$A$51,1))))</f>
        <v>B</v>
      </c>
      <c r="P1011" s="19">
        <f>IF($C1011="","",IF($I1011="","",RANK($I1011,$I$4:$I$1463)+COUNTIF($I$4:$I1011,$I1011)-1))</f>
        <v>797</v>
      </c>
      <c r="Q1011" s="19">
        <f>IF($C1011="","",COUNTIFS($B$4:$B$1463,$B1011,$X$4:$X$1463,"&gt;"&amp;$X1011)+COUNTIFS($B$4:$B1011,$B1011,$X$4:$X1011,"="&amp;$X1011))</f>
        <v>84</v>
      </c>
      <c r="R1011" s="75">
        <f>IF($C1011="","",IF($I1011="","",ROUND(COUNTIF($I$4:$I$1463,"&lt;"&amp;$I1011)/COUNT($I$4:$I$1463),3)))</f>
        <v>0.39800000000000002</v>
      </c>
      <c r="S1011" s="19" t="str">
        <f>IF($C1011="","",IF($G1011="","Name only",IF(OR($I1011="",$L1011=""),"Partial","Complete")))</f>
        <v>Complete</v>
      </c>
      <c r="T1011" s="1" t="str">
        <f>IF($C1011="","",TRIM(IF(COUNTIF($C$4:$C$1463,$C1011)&gt;1,"Dup name; ","")&amp;IF(AND($G1011&lt;&gt;"",$G1011&lt;55000),"Low CR - verify; ","")&amp;IF(AND($L1011&lt;&gt;"",$L1011&gt;15),"Secondary - verify; ","")&amp;IF($E1011="","No class; ","")))</f>
        <v/>
      </c>
      <c r="U1011" s="68"/>
      <c r="V1011" s="68"/>
      <c r="W1011" s="68"/>
      <c r="X1011" s="76">
        <f t="shared" si="77"/>
        <v>3292</v>
      </c>
      <c r="Y1011" s="1" t="str">
        <f t="shared" si="78"/>
        <v>AZUKI|84</v>
      </c>
      <c r="Z1011" s="19">
        <f>IF($C1011="","",IF($G1011="","",RANK($G1011,$G$4:$G$1463)+COUNTIF($G$4:$G1011,$G1011)-1))</f>
        <v>625</v>
      </c>
      <c r="AA1011" s="19">
        <f>IF($C1011="","",IF($N1011="","",RANK($N1011,$N$4:$N$1463)+COUNTIF($N$4:$N1011,$N1011)-1))</f>
        <v>666</v>
      </c>
      <c r="AB1011" s="1" t="str">
        <f>IF($C1011="","",IF($E1011="","",$E1011&amp;"#"&amp;(COUNTIFS($E$4:$E$1463,$E1011,$X$4:$X$1463,"&gt;"&amp;$X1011)+COUNTIFS($E$4:$E1011,$E1011,$X$4:$X1011,"="&amp;$X1011))))</f>
        <v>MONK#27</v>
      </c>
      <c r="AC1011" s="1" t="str">
        <f>IF($C1011="","",$B1011&amp;"@"&amp;(COUNTIFS($B$4:$B$1463,$B1011,$C$4:$C$1463,"&lt;"&amp;$C1011)+COUNTIFS($B$4:$B1011,$B1011,$C$4:$C1011,$C1011)))</f>
        <v>AZUKI@78</v>
      </c>
      <c r="AD1011" s="1">
        <f t="shared" si="79"/>
        <v>1008</v>
      </c>
      <c r="AE1011" s="1" t="s">
        <v>2253</v>
      </c>
      <c r="AF1011" s="76">
        <f t="shared" si="80"/>
        <v>62572</v>
      </c>
      <c r="AG1011" s="77">
        <f t="shared" si="81"/>
        <v>5.9</v>
      </c>
      <c r="AH1011" s="1" t="str">
        <f>IF($C1011="","",$B1011&amp;"|"&amp;(COUNTIFS($B$4:$B$1463,$B1011,$AF$4:$AF$1463,"&gt;"&amp;$AF1011)+COUNTIFS($B$4:$B1011,$B1011,$AF$4:$AF1011,"="&amp;$AF1011)))</f>
        <v>AZUKI|55</v>
      </c>
      <c r="AI1011" s="1" t="str">
        <f>IF($C1011="","",$B1011&amp;"|"&amp;(COUNTIFS($B$4:$B$1463,$B1011,$AG$4:$AG$1463,"&gt;"&amp;$AG1011)+COUNTIFS($B$4:$B1011,$B1011,$AG$4:$AG1011,"="&amp;$AG1011)))</f>
        <v>AZUKI|49</v>
      </c>
    </row>
    <row r="1012" spans="1:35" hidden="1">
      <c r="A1012" s="69" t="s">
        <v>109</v>
      </c>
      <c r="B1012" s="69" t="s">
        <v>108</v>
      </c>
      <c r="C1012" s="63" t="s">
        <v>2254</v>
      </c>
      <c r="D1012" s="69"/>
      <c r="E1012" s="68" t="s">
        <v>74</v>
      </c>
      <c r="F1012" s="15" t="str">
        <f>IF($C1012="","",IF($E1012="","-",IFERROR(INDEX(SETUP!$B$55:$B$64,MATCH($E1012,SETUP!$A$55:$A$64,0)),"Other")))</f>
        <v>Ranged DPS</v>
      </c>
      <c r="G1012" s="70">
        <v>63200</v>
      </c>
      <c r="H1012" s="15" t="str">
        <f>IF($C1012="","",IF($G1012="","-",INDEX(SETUP!$B$26:$B$32,MATCH($G1012,SETUP!$A$26:$A$32,1))))</f>
        <v>63,000 - 63,999</v>
      </c>
      <c r="I1012" s="70">
        <v>4134</v>
      </c>
      <c r="J1012" s="15" t="str">
        <f>IF($C1012="","",IF($I1012="","-",INDEX(SETUP!$B$16:$B$22,MATCH($I1012,SETUP!$A$16:$A$22,1))))</f>
        <v>CORE</v>
      </c>
      <c r="K1012" s="15" t="str">
        <f>IF($C1012="","",IF($I1012="","-",TEXT(INT($I1012/1000)*1000,"#,##0")&amp;" - "&amp;TEXT(INT($I1012/1000)*1000+999,"#,##0")))</f>
        <v>4,000 - 4,999</v>
      </c>
      <c r="L1012" s="71">
        <v>4.75</v>
      </c>
      <c r="M1012" s="15" t="str">
        <f>IF($C1012="","",IF($L1012="","-",INDEX(SETUP!$B$36:$B$42,MATCH($L1012,SETUP!$A$36:$A$42,1))))</f>
        <v>4k - 5k</v>
      </c>
      <c r="N1012" s="17">
        <f>IF($C1012="","",IF(OR($G1012="",$I1012=""),"",ROUND(100*(SETUP!$B$4*MIN(1,$I1012/SETUP!$B$9)+SETUP!$B$5*MAX(0,MIN(1,($G1012-SETUP!$B$10)/(SETUP!$B$11-SETUP!$B$10)))+SETUP!$B$6*MIN(1,IF($L1012="",0,$L1012)/SETUP!$B$12)),1)))</f>
        <v>47.5</v>
      </c>
      <c r="O1012" s="15" t="str">
        <f>IF($C1012="","",IF($N1012="","-",INDEX(SETUP!$B$46:$B$51,MATCH($N1012,SETUP!$A$46:$A$51,1))))</f>
        <v>B</v>
      </c>
      <c r="P1012" s="15">
        <f>IF($C1012="","",IF($I1012="","",RANK($I1012,$I$4:$I$1463)+COUNTIF($I$4:$I1012,$I1012)-1))</f>
        <v>573</v>
      </c>
      <c r="Q1012" s="15">
        <f>IF($C1012="","",COUNTIFS($B$4:$B$1463,$B1012,$X$4:$X$1463,"&gt;"&amp;$X1012)+COUNTIFS($B$4:$B1012,$B1012,$X$4:$X1012,"="&amp;$X1012))</f>
        <v>68</v>
      </c>
      <c r="R1012" s="72">
        <f>IF($C1012="","",IF($I1012="","",ROUND(COUNTIF($I$4:$I$1463,"&lt;"&amp;$I1012)/COUNT($I$4:$I$1463),3)))</f>
        <v>0.56799999999999995</v>
      </c>
      <c r="S1012" s="15" t="str">
        <f>IF($C1012="","",IF($G1012="","Name only",IF(OR($I1012="",$L1012=""),"Partial","Complete")))</f>
        <v>Complete</v>
      </c>
      <c r="T1012" s="41" t="str">
        <f>IF($C1012="","",TRIM(IF(COUNTIF($C$4:$C$1463,$C1012)&gt;1,"Dup name; ","")&amp;IF(AND($G1012&lt;&gt;"",$G1012&lt;55000),"Low CR - verify; ","")&amp;IF(AND($L1012&lt;&gt;"",$L1012&gt;15),"Secondary - verify; ","")&amp;IF($E1012="","No class; ","")))</f>
        <v/>
      </c>
      <c r="U1012" s="68"/>
      <c r="V1012" s="68"/>
      <c r="W1012" s="68"/>
      <c r="X1012" s="73">
        <f t="shared" si="77"/>
        <v>4134</v>
      </c>
      <c r="Y1012" s="41" t="str">
        <f t="shared" si="78"/>
        <v>SBG|68</v>
      </c>
      <c r="Z1012" s="15">
        <f>IF($C1012="","",IF($G1012="","",RANK($G1012,$G$4:$G$1463)+COUNTIF($G$4:$G1012,$G1012)-1))</f>
        <v>317</v>
      </c>
      <c r="AA1012" s="15">
        <f>IF($C1012="","",IF($N1012="","",RANK($N1012,$N$4:$N$1463)+COUNTIF($N$4:$N1012,$N1012)-1))</f>
        <v>536</v>
      </c>
      <c r="AB1012" s="41" t="str">
        <f>IF($C1012="","",IF($E1012="","",$E1012&amp;"#"&amp;(COUNTIFS($E$4:$E$1463,$E1012,$X$4:$X$1463,"&gt;"&amp;$X1012)+COUNTIFS($E$4:$E1012,$E1012,$X$4:$X1012,"="&amp;$X1012))))</f>
        <v>DEMON HUNTER#90</v>
      </c>
      <c r="AC1012" s="41" t="str">
        <f>IF($C1012="","",$B1012&amp;"@"&amp;(COUNTIFS($B$4:$B$1463,$B1012,$C$4:$C$1463,"&lt;"&amp;$C1012)+COUNTIFS($B$4:$B1012,$B1012,$C$4:$C1012,$C1012)))</f>
        <v>SBG@68</v>
      </c>
      <c r="AD1012" s="41">
        <f t="shared" si="79"/>
        <v>1009</v>
      </c>
      <c r="AE1012" s="41" t="s">
        <v>2255</v>
      </c>
      <c r="AF1012" s="73">
        <f t="shared" si="80"/>
        <v>63200</v>
      </c>
      <c r="AG1012" s="74">
        <f t="shared" si="81"/>
        <v>4.75</v>
      </c>
      <c r="AH1012" s="41" t="str">
        <f>IF($C1012="","",$B1012&amp;"|"&amp;(COUNTIFS($B$4:$B$1463,$B1012,$AF$4:$AF$1463,"&gt;"&amp;$AF1012)+COUNTIFS($B$4:$B1012,$B1012,$AF$4:$AF1012,"="&amp;$AF1012)))</f>
        <v>SBG|39</v>
      </c>
      <c r="AI1012" s="41" t="str">
        <f>IF($C1012="","",$B1012&amp;"|"&amp;(COUNTIFS($B$4:$B$1463,$B1012,$AG$4:$AG$1463,"&gt;"&amp;$AG1012)+COUNTIFS($B$4:$B1012,$B1012,$AG$4:$AG1012,"="&amp;$AG1012)))</f>
        <v>SBG|79</v>
      </c>
    </row>
    <row r="1013" spans="1:35" hidden="1">
      <c r="A1013" s="69" t="s">
        <v>109</v>
      </c>
      <c r="B1013" s="69" t="s">
        <v>116</v>
      </c>
      <c r="C1013" s="63" t="s">
        <v>2256</v>
      </c>
      <c r="D1013" s="69" t="s">
        <v>530</v>
      </c>
      <c r="E1013" s="68" t="s">
        <v>74</v>
      </c>
      <c r="F1013" s="19" t="str">
        <f>IF($C1013="","",IF($E1013="","-",IFERROR(INDEX(SETUP!$B$55:$B$64,MATCH($E1013,SETUP!$A$55:$A$64,0)),"Other")))</f>
        <v>Ranged DPS</v>
      </c>
      <c r="G1013" s="70">
        <v>61612</v>
      </c>
      <c r="H1013" s="19" t="str">
        <f>IF($C1013="","",IF($G1013="","-",INDEX(SETUP!$B$26:$B$32,MATCH($G1013,SETUP!$A$26:$A$32,1))))</f>
        <v>61,000 - 61,999</v>
      </c>
      <c r="I1013" s="70">
        <v>2202</v>
      </c>
      <c r="J1013" s="19" t="str">
        <f>IF($C1013="","",IF($I1013="","-",INDEX(SETUP!$B$16:$B$22,MATCH($I1013,SETUP!$A$16:$A$22,1))))</f>
        <v>DEVELOPING</v>
      </c>
      <c r="K1013" s="19" t="str">
        <f>IF($C1013="","",IF($I1013="","-",TEXT(INT($I1013/1000)*1000,"#,##0")&amp;" - "&amp;TEXT(INT($I1013/1000)*1000+999,"#,##0")))</f>
        <v>2,000 - 2,999</v>
      </c>
      <c r="L1013" s="71">
        <v>3.5</v>
      </c>
      <c r="M1013" s="19" t="str">
        <f>IF($C1013="","",IF($L1013="","-",INDEX(SETUP!$B$36:$B$42,MATCH($L1013,SETUP!$A$36:$A$42,1))))</f>
        <v>3k - 4k</v>
      </c>
      <c r="N1013" s="21">
        <f>IF($C1013="","",IF(OR($G1013="",$I1013=""),"",ROUND(100*(SETUP!$B$4*MIN(1,$I1013/SETUP!$B$9)+SETUP!$B$5*MAX(0,MIN(1,($G1013-SETUP!$B$10)/(SETUP!$B$11-SETUP!$B$10)))+SETUP!$B$6*MIN(1,IF($L1013="",0,$L1013)/SETUP!$B$12)),1)))</f>
        <v>32.799999999999997</v>
      </c>
      <c r="O1013" s="19" t="str">
        <f>IF($C1013="","",IF($N1013="","-",INDEX(SETUP!$B$46:$B$51,MATCH($N1013,SETUP!$A$46:$A$51,1))))</f>
        <v>C</v>
      </c>
      <c r="P1013" s="19">
        <f>IF($C1013="","",IF($I1013="","",RANK($I1013,$I$4:$I$1463)+COUNTIF($I$4:$I1013,$I1013)-1))</f>
        <v>1065</v>
      </c>
      <c r="Q1013" s="19">
        <f>IF($C1013="","",COUNTIFS($B$4:$B$1463,$B1013,$X$4:$X$1463,"&gt;"&amp;$X1013)+COUNTIFS($B$4:$B1013,$B1013,$X$4:$X1013,"="&amp;$X1013))</f>
        <v>79</v>
      </c>
      <c r="R1013" s="75">
        <f>IF($C1013="","",IF($I1013="","",ROUND(COUNTIF($I$4:$I$1463,"&lt;"&amp;$I1013)/COUNT($I$4:$I$1463),3)))</f>
        <v>0.19500000000000001</v>
      </c>
      <c r="S1013" s="19" t="str">
        <f>IF($C1013="","",IF($G1013="","Name only",IF(OR($I1013="",$L1013=""),"Partial","Complete")))</f>
        <v>Complete</v>
      </c>
      <c r="T1013" s="1" t="str">
        <f>IF($C1013="","",TRIM(IF(COUNTIF($C$4:$C$1463,$C1013)&gt;1,"Dup name; ","")&amp;IF(AND($G1013&lt;&gt;"",$G1013&lt;55000),"Low CR - verify; ","")&amp;IF(AND($L1013&lt;&gt;"",$L1013&gt;15),"Secondary - verify; ","")&amp;IF($E1013="","No class; ","")))</f>
        <v/>
      </c>
      <c r="U1013" s="68"/>
      <c r="V1013" s="68"/>
      <c r="W1013" s="68"/>
      <c r="X1013" s="76">
        <f t="shared" si="77"/>
        <v>2202</v>
      </c>
      <c r="Y1013" s="1" t="str">
        <f t="shared" si="78"/>
        <v>VENGEANCE|79</v>
      </c>
      <c r="Z1013" s="19">
        <f>IF($C1013="","",IF($G1013="","",RANK($G1013,$G$4:$G$1463)+COUNTIF($G$4:$G1013,$G1013)-1))</f>
        <v>973</v>
      </c>
      <c r="AA1013" s="19">
        <f>IF($C1013="","",IF($N1013="","",RANK($N1013,$N$4:$N$1463)+COUNTIF($N$4:$N1013,$N1013)-1))</f>
        <v>1075</v>
      </c>
      <c r="AB1013" s="1" t="str">
        <f>IF($C1013="","",IF($E1013="","",$E1013&amp;"#"&amp;(COUNTIFS($E$4:$E$1463,$E1013,$X$4:$X$1463,"&gt;"&amp;$X1013)+COUNTIFS($E$4:$E1013,$E1013,$X$4:$X1013,"="&amp;$X1013))))</f>
        <v>DEMON HUNTER#164</v>
      </c>
      <c r="AC1013" s="1" t="str">
        <f>IF($C1013="","",$B1013&amp;"@"&amp;(COUNTIFS($B$4:$B$1463,$B1013,$C$4:$C$1463,"&lt;"&amp;$C1013)+COUNTIFS($B$4:$B1013,$B1013,$C$4:$C1013,$C1013)))</f>
        <v>VENGEANCE@67</v>
      </c>
      <c r="AD1013" s="1">
        <f t="shared" si="79"/>
        <v>1010</v>
      </c>
      <c r="AE1013" s="1" t="s">
        <v>1057</v>
      </c>
      <c r="AF1013" s="76">
        <f t="shared" si="80"/>
        <v>61612</v>
      </c>
      <c r="AG1013" s="77">
        <f t="shared" si="81"/>
        <v>3.5</v>
      </c>
      <c r="AH1013" s="1" t="str">
        <f>IF($C1013="","",$B1013&amp;"|"&amp;(COUNTIFS($B$4:$B$1463,$B1013,$AF$4:$AF$1463,"&gt;"&amp;$AF1013)+COUNTIFS($B$4:$B1013,$B1013,$AF$4:$AF1013,"="&amp;$AF1013)))</f>
        <v>VENGEANCE|61</v>
      </c>
      <c r="AI1013" s="1" t="str">
        <f>IF($C1013="","",$B1013&amp;"|"&amp;(COUNTIFS($B$4:$B$1463,$B1013,$AG$4:$AG$1463,"&gt;"&amp;$AG1013)+COUNTIFS($B$4:$B1013,$B1013,$AG$4:$AG1013,"="&amp;$AG1013)))</f>
        <v>VENGEANCE|82</v>
      </c>
    </row>
    <row r="1014" spans="1:35" hidden="1">
      <c r="A1014" s="69" t="s">
        <v>109</v>
      </c>
      <c r="B1014" s="69" t="s">
        <v>108</v>
      </c>
      <c r="C1014" s="63" t="s">
        <v>2257</v>
      </c>
      <c r="D1014" s="69"/>
      <c r="E1014" s="68" t="s">
        <v>73</v>
      </c>
      <c r="F1014" s="15" t="str">
        <f>IF($C1014="","",IF($E1014="","-",IFERROR(INDEX(SETUP!$B$55:$B$64,MATCH($E1014,SETUP!$A$55:$A$64,0)),"Other")))</f>
        <v>Frontline</v>
      </c>
      <c r="G1014" s="70">
        <v>62433</v>
      </c>
      <c r="H1014" s="15" t="str">
        <f>IF($C1014="","",IF($G1014="","-",INDEX(SETUP!$B$26:$B$32,MATCH($G1014,SETUP!$A$26:$A$32,1))))</f>
        <v>62,000 - 62,999</v>
      </c>
      <c r="I1014" s="70">
        <v>7175</v>
      </c>
      <c r="J1014" s="15" t="str">
        <f>IF($C1014="","",IF($I1014="","-",INDEX(SETUP!$B$16:$B$22,MATCH($I1014,SETUP!$A$16:$A$22,1))))</f>
        <v>VETERAN</v>
      </c>
      <c r="K1014" s="15" t="str">
        <f>IF($C1014="","",IF($I1014="","-",TEXT(INT($I1014/1000)*1000,"#,##0")&amp;" - "&amp;TEXT(INT($I1014/1000)*1000+999,"#,##0")))</f>
        <v>7,000 - 7,999</v>
      </c>
      <c r="L1014" s="71">
        <v>7.4</v>
      </c>
      <c r="M1014" s="15" t="str">
        <f>IF($C1014="","",IF($L1014="","-",INDEX(SETUP!$B$36:$B$42,MATCH($L1014,SETUP!$A$36:$A$42,1))))</f>
        <v>6k - 8k</v>
      </c>
      <c r="N1014" s="17">
        <f>IF($C1014="","",IF(OR($G1014="",$I1014=""),"",ROUND(100*(SETUP!$B$4*MIN(1,$I1014/SETUP!$B$9)+SETUP!$B$5*MAX(0,MIN(1,($G1014-SETUP!$B$10)/(SETUP!$B$11-SETUP!$B$10)))+SETUP!$B$6*MIN(1,IF($L1014="",0,$L1014)/SETUP!$B$12)),1)))</f>
        <v>63.2</v>
      </c>
      <c r="O1014" s="15" t="str">
        <f>IF($C1014="","",IF($N1014="","-",INDEX(SETUP!$B$46:$B$51,MATCH($N1014,SETUP!$A$46:$A$51,1))))</f>
        <v>A</v>
      </c>
      <c r="P1014" s="15">
        <f>IF($C1014="","",IF($I1014="","",RANK($I1014,$I$4:$I$1463)+COUNTIF($I$4:$I1014,$I1014)-1))</f>
        <v>206</v>
      </c>
      <c r="Q1014" s="15">
        <f>IF($C1014="","",COUNTIFS($B$4:$B$1463,$B1014,$X$4:$X$1463,"&gt;"&amp;$X1014)+COUNTIFS($B$4:$B1014,$B1014,$X$4:$X1014,"="&amp;$X1014))</f>
        <v>31</v>
      </c>
      <c r="R1014" s="72">
        <f>IF($C1014="","",IF($I1014="","",ROUND(COUNTIF($I$4:$I$1463,"&lt;"&amp;$I1014)/COUNT($I$4:$I$1463),3)))</f>
        <v>0.84499999999999997</v>
      </c>
      <c r="S1014" s="15" t="str">
        <f>IF($C1014="","",IF($G1014="","Name only",IF(OR($I1014="",$L1014=""),"Partial","Complete")))</f>
        <v>Complete</v>
      </c>
      <c r="T1014" s="41" t="str">
        <f>IF($C1014="","",TRIM(IF(COUNTIF($C$4:$C$1463,$C1014)&gt;1,"Dup name; ","")&amp;IF(AND($G1014&lt;&gt;"",$G1014&lt;55000),"Low CR - verify; ","")&amp;IF(AND($L1014&lt;&gt;"",$L1014&gt;15),"Secondary - verify; ","")&amp;IF($E1014="","No class; ","")))</f>
        <v/>
      </c>
      <c r="U1014" s="68"/>
      <c r="V1014" s="68"/>
      <c r="W1014" s="68"/>
      <c r="X1014" s="73">
        <f t="shared" si="77"/>
        <v>7175</v>
      </c>
      <c r="Y1014" s="41" t="str">
        <f t="shared" si="78"/>
        <v>SBG|31</v>
      </c>
      <c r="Z1014" s="15">
        <f>IF($C1014="","",IF($G1014="","",RANK($G1014,$G$4:$G$1463)+COUNTIF($G$4:$G1014,$G1014)-1))</f>
        <v>675</v>
      </c>
      <c r="AA1014" s="15">
        <f>IF($C1014="","",IF($N1014="","",RANK($N1014,$N$4:$N$1463)+COUNTIF($N$4:$N1014,$N1014)-1))</f>
        <v>201</v>
      </c>
      <c r="AB1014" s="41" t="str">
        <f>IF($C1014="","",IF($E1014="","",$E1014&amp;"#"&amp;(COUNTIFS($E$4:$E$1463,$E1014,$X$4:$X$1463,"&gt;"&amp;$X1014)+COUNTIFS($E$4:$E1014,$E1014,$X$4:$X1014,"="&amp;$X1014))))</f>
        <v>CRUSADER#32</v>
      </c>
      <c r="AC1014" s="41" t="str">
        <f>IF($C1014="","",$B1014&amp;"@"&amp;(COUNTIFS($B$4:$B$1463,$B1014,$C$4:$C$1463,"&lt;"&amp;$C1014)+COUNTIFS($B$4:$B1014,$B1014,$C$4:$C1014,$C1014)))</f>
        <v>SBG@69</v>
      </c>
      <c r="AD1014" s="41">
        <f t="shared" si="79"/>
        <v>1011</v>
      </c>
      <c r="AE1014" s="41" t="s">
        <v>2258</v>
      </c>
      <c r="AF1014" s="73">
        <f t="shared" si="80"/>
        <v>62433</v>
      </c>
      <c r="AG1014" s="74">
        <f t="shared" si="81"/>
        <v>7.4</v>
      </c>
      <c r="AH1014" s="41" t="str">
        <f>IF($C1014="","",$B1014&amp;"|"&amp;(COUNTIFS($B$4:$B$1463,$B1014,$AF$4:$AF$1463,"&gt;"&amp;$AF1014)+COUNTIFS($B$4:$B1014,$B1014,$AF$4:$AF1014,"="&amp;$AF1014)))</f>
        <v>SBG|61</v>
      </c>
      <c r="AI1014" s="41" t="str">
        <f>IF($C1014="","",$B1014&amp;"|"&amp;(COUNTIFS($B$4:$B$1463,$B1014,$AG$4:$AG$1463,"&gt;"&amp;$AG1014)+COUNTIFS($B$4:$B1014,$B1014,$AG$4:$AG1014,"="&amp;$AG1014)))</f>
        <v>SBG|21</v>
      </c>
    </row>
    <row r="1015" spans="1:35" hidden="1">
      <c r="A1015" s="69" t="s">
        <v>109</v>
      </c>
      <c r="B1015" s="69" t="s">
        <v>116</v>
      </c>
      <c r="C1015" s="63" t="s">
        <v>2259</v>
      </c>
      <c r="D1015" s="69" t="s">
        <v>530</v>
      </c>
      <c r="E1015" s="68" t="s">
        <v>74</v>
      </c>
      <c r="F1015" s="19" t="str">
        <f>IF($C1015="","",IF($E1015="","-",IFERROR(INDEX(SETUP!$B$55:$B$64,MATCH($E1015,SETUP!$A$55:$A$64,0)),"Other")))</f>
        <v>Ranged DPS</v>
      </c>
      <c r="G1015" s="70">
        <v>61863</v>
      </c>
      <c r="H1015" s="19" t="str">
        <f>IF($C1015="","",IF($G1015="","-",INDEX(SETUP!$B$26:$B$32,MATCH($G1015,SETUP!$A$26:$A$32,1))))</f>
        <v>61,000 - 61,999</v>
      </c>
      <c r="I1015" s="70">
        <v>3860</v>
      </c>
      <c r="J1015" s="19" t="str">
        <f>IF($C1015="","",IF($I1015="","-",INDEX(SETUP!$B$16:$B$22,MATCH($I1015,SETUP!$A$16:$A$22,1))))</f>
        <v>DEVELOPING</v>
      </c>
      <c r="K1015" s="19" t="str">
        <f>IF($C1015="","",IF($I1015="","-",TEXT(INT($I1015/1000)*1000,"#,##0")&amp;" - "&amp;TEXT(INT($I1015/1000)*1000+999,"#,##0")))</f>
        <v>3,000 - 3,999</v>
      </c>
      <c r="L1015" s="71">
        <v>3.6</v>
      </c>
      <c r="M1015" s="19" t="str">
        <f>IF($C1015="","",IF($L1015="","-",INDEX(SETUP!$B$36:$B$42,MATCH($L1015,SETUP!$A$36:$A$42,1))))</f>
        <v>3k - 4k</v>
      </c>
      <c r="N1015" s="21">
        <f>IF($C1015="","",IF(OR($G1015="",$I1015=""),"",ROUND(100*(SETUP!$B$4*MIN(1,$I1015/SETUP!$B$9)+SETUP!$B$5*MAX(0,MIN(1,($G1015-SETUP!$B$10)/(SETUP!$B$11-SETUP!$B$10)))+SETUP!$B$6*MIN(1,IF($L1015="",0,$L1015)/SETUP!$B$12)),1)))</f>
        <v>40.9</v>
      </c>
      <c r="O1015" s="19" t="str">
        <f>IF($C1015="","",IF($N1015="","-",INDEX(SETUP!$B$46:$B$51,MATCH($N1015,SETUP!$A$46:$A$51,1))))</f>
        <v>B</v>
      </c>
      <c r="P1015" s="19">
        <f>IF($C1015="","",IF($I1015="","",RANK($I1015,$I$4:$I$1463)+COUNTIF($I$4:$I1015,$I1015)-1))</f>
        <v>632</v>
      </c>
      <c r="Q1015" s="19">
        <f>IF($C1015="","",COUNTIFS($B$4:$B$1463,$B1015,$X$4:$X$1463,"&gt;"&amp;$X1015)+COUNTIFS($B$4:$B1015,$B1015,$X$4:$X1015,"="&amp;$X1015))</f>
        <v>36</v>
      </c>
      <c r="R1015" s="75">
        <f>IF($C1015="","",IF($I1015="","",ROUND(COUNTIF($I$4:$I$1463,"&lt;"&amp;$I1015)/COUNT($I$4:$I$1463),3)))</f>
        <v>0.52200000000000002</v>
      </c>
      <c r="S1015" s="19" t="str">
        <f>IF($C1015="","",IF($G1015="","Name only",IF(OR($I1015="",$L1015=""),"Partial","Complete")))</f>
        <v>Complete</v>
      </c>
      <c r="T1015" s="1" t="str">
        <f>IF($C1015="","",TRIM(IF(COUNTIF($C$4:$C$1463,$C1015)&gt;1,"Dup name; ","")&amp;IF(AND($G1015&lt;&gt;"",$G1015&lt;55000),"Low CR - verify; ","")&amp;IF(AND($L1015&lt;&gt;"",$L1015&gt;15),"Secondary - verify; ","")&amp;IF($E1015="","No class; ","")))</f>
        <v/>
      </c>
      <c r="U1015" s="68"/>
      <c r="V1015" s="68"/>
      <c r="W1015" s="68"/>
      <c r="X1015" s="76">
        <f t="shared" si="77"/>
        <v>3860</v>
      </c>
      <c r="Y1015" s="1" t="str">
        <f t="shared" si="78"/>
        <v>VENGEANCE|36</v>
      </c>
      <c r="Z1015" s="19">
        <f>IF($C1015="","",IF($G1015="","",RANK($G1015,$G$4:$G$1463)+COUNTIF($G$4:$G1015,$G1015)-1))</f>
        <v>893</v>
      </c>
      <c r="AA1015" s="19">
        <f>IF($C1015="","",IF($N1015="","",RANK($N1015,$N$4:$N$1463)+COUNTIF($N$4:$N1015,$N1015)-1))</f>
        <v>785</v>
      </c>
      <c r="AB1015" s="1" t="str">
        <f>IF($C1015="","",IF($E1015="","",$E1015&amp;"#"&amp;(COUNTIFS($E$4:$E$1463,$E1015,$X$4:$X$1463,"&gt;"&amp;$X1015)+COUNTIFS($E$4:$E1015,$E1015,$X$4:$X1015,"="&amp;$X1015))))</f>
        <v>DEMON HUNTER#104</v>
      </c>
      <c r="AC1015" s="1" t="str">
        <f>IF($C1015="","",$B1015&amp;"@"&amp;(COUNTIFS($B$4:$B$1463,$B1015,$C$4:$C$1463,"&lt;"&amp;$C1015)+COUNTIFS($B$4:$B1015,$B1015,$C$4:$C1015,$C1015)))</f>
        <v>VENGEANCE@68</v>
      </c>
      <c r="AD1015" s="1">
        <f t="shared" si="79"/>
        <v>1012</v>
      </c>
      <c r="AE1015" s="1" t="s">
        <v>925</v>
      </c>
      <c r="AF1015" s="76">
        <f t="shared" si="80"/>
        <v>61863</v>
      </c>
      <c r="AG1015" s="77">
        <f t="shared" si="81"/>
        <v>3.6</v>
      </c>
      <c r="AH1015" s="1" t="str">
        <f>IF($C1015="","",$B1015&amp;"|"&amp;(COUNTIFS($B$4:$B$1463,$B1015,$AF$4:$AF$1463,"&gt;"&amp;$AF1015)+COUNTIFS($B$4:$B1015,$B1015,$AF$4:$AF1015,"="&amp;$AF1015)))</f>
        <v>VENGEANCE|55</v>
      </c>
      <c r="AI1015" s="1" t="str">
        <f>IF($C1015="","",$B1015&amp;"|"&amp;(COUNTIFS($B$4:$B$1463,$B1015,$AG$4:$AG$1463,"&gt;"&amp;$AG1015)+COUNTIFS($B$4:$B1015,$B1015,$AG$4:$AG1015,"="&amp;$AG1015)))</f>
        <v>VENGEANCE|78</v>
      </c>
    </row>
    <row r="1016" spans="1:35" hidden="1">
      <c r="A1016" s="69" t="s">
        <v>106</v>
      </c>
      <c r="B1016" s="69" t="s">
        <v>107</v>
      </c>
      <c r="C1016" s="63" t="s">
        <v>2260</v>
      </c>
      <c r="D1016" s="69"/>
      <c r="E1016" s="68" t="s">
        <v>74</v>
      </c>
      <c r="F1016" s="15" t="str">
        <f>IF($C1016="","",IF($E1016="","-",IFERROR(INDEX(SETUP!$B$55:$B$64,MATCH($E1016,SETUP!$A$55:$A$64,0)),"Other")))</f>
        <v>Ranged DPS</v>
      </c>
      <c r="G1016" s="70">
        <v>63261</v>
      </c>
      <c r="H1016" s="15" t="str">
        <f>IF($C1016="","",IF($G1016="","-",INDEX(SETUP!$B$26:$B$32,MATCH($G1016,SETUP!$A$26:$A$32,1))))</f>
        <v>63,000 - 63,999</v>
      </c>
      <c r="I1016" s="70">
        <v>4462</v>
      </c>
      <c r="J1016" s="15" t="str">
        <f>IF($C1016="","",IF($I1016="","-",INDEX(SETUP!$B$16:$B$22,MATCH($I1016,SETUP!$A$16:$A$22,1))))</f>
        <v>CORE</v>
      </c>
      <c r="K1016" s="15" t="str">
        <f>IF($C1016="","",IF($I1016="","-",TEXT(INT($I1016/1000)*1000,"#,##0")&amp;" - "&amp;TEXT(INT($I1016/1000)*1000+999,"#,##0")))</f>
        <v>4,000 - 4,999</v>
      </c>
      <c r="L1016" s="71">
        <v>5.5</v>
      </c>
      <c r="M1016" s="15" t="str">
        <f>IF($C1016="","",IF($L1016="","-",INDEX(SETUP!$B$36:$B$42,MATCH($L1016,SETUP!$A$36:$A$42,1))))</f>
        <v>5k - 6k</v>
      </c>
      <c r="N1016" s="17">
        <f>IF($C1016="","",IF(OR($G1016="",$I1016=""),"",ROUND(100*(SETUP!$B$4*MIN(1,$I1016/SETUP!$B$9)+SETUP!$B$5*MAX(0,MIN(1,($G1016-SETUP!$B$10)/(SETUP!$B$11-SETUP!$B$10)))+SETUP!$B$6*MIN(1,IF($L1016="",0,$L1016)/SETUP!$B$12)),1)))</f>
        <v>50.4</v>
      </c>
      <c r="O1016" s="15" t="str">
        <f>IF($C1016="","",IF($N1016="","-",INDEX(SETUP!$B$46:$B$51,MATCH($N1016,SETUP!$A$46:$A$51,1))))</f>
        <v>A</v>
      </c>
      <c r="P1016" s="15">
        <f>IF($C1016="","",IF($I1016="","",RANK($I1016,$I$4:$I$1463)+COUNTIF($I$4:$I1016,$I1016)-1))</f>
        <v>502</v>
      </c>
      <c r="Q1016" s="15">
        <f>IF($C1016="","",COUNTIFS($B$4:$B$1463,$B1016,$X$4:$X$1463,"&gt;"&amp;$X1016)+COUNTIFS($B$4:$B1016,$B1016,$X$4:$X1016,"="&amp;$X1016))</f>
        <v>37</v>
      </c>
      <c r="R1016" s="72">
        <f>IF($C1016="","",IF($I1016="","",ROUND(COUNTIF($I$4:$I$1463,"&lt;"&amp;$I1016)/COUNT($I$4:$I$1463),3)))</f>
        <v>0.621</v>
      </c>
      <c r="S1016" s="15" t="str">
        <f>IF($C1016="","",IF($G1016="","Name only",IF(OR($I1016="",$L1016=""),"Partial","Complete")))</f>
        <v>Complete</v>
      </c>
      <c r="T1016" s="41" t="str">
        <f>IF($C1016="","",TRIM(IF(COUNTIF($C$4:$C$1463,$C1016)&gt;1,"Dup name; ","")&amp;IF(AND($G1016&lt;&gt;"",$G1016&lt;55000),"Low CR - verify; ","")&amp;IF(AND($L1016&lt;&gt;"",$L1016&gt;15),"Secondary - verify; ","")&amp;IF($E1016="","No class; ","")))</f>
        <v/>
      </c>
      <c r="U1016" s="68"/>
      <c r="V1016" s="68"/>
      <c r="W1016" s="68"/>
      <c r="X1016" s="73">
        <f t="shared" si="77"/>
        <v>4462</v>
      </c>
      <c r="Y1016" s="41" t="str">
        <f t="shared" si="78"/>
        <v>UNDYING|37</v>
      </c>
      <c r="Z1016" s="15">
        <f>IF($C1016="","",IF($G1016="","",RANK($G1016,$G$4:$G$1463)+COUNTIF($G$4:$G1016,$G1016)-1))</f>
        <v>282</v>
      </c>
      <c r="AA1016" s="15">
        <f>IF($C1016="","",IF($N1016="","",RANK($N1016,$N$4:$N$1463)+COUNTIF($N$4:$N1016,$N1016)-1))</f>
        <v>447</v>
      </c>
      <c r="AB1016" s="41" t="str">
        <f>IF($C1016="","",IF($E1016="","",$E1016&amp;"#"&amp;(COUNTIFS($E$4:$E$1463,$E1016,$X$4:$X$1463,"&gt;"&amp;$X1016)+COUNTIFS($E$4:$E1016,$E1016,$X$4:$X1016,"="&amp;$X1016))))</f>
        <v>DEMON HUNTER#84</v>
      </c>
      <c r="AC1016" s="41" t="str">
        <f>IF($C1016="","",$B1016&amp;"@"&amp;(COUNTIFS($B$4:$B$1463,$B1016,$C$4:$C$1463,"&lt;"&amp;$C1016)+COUNTIFS($B$4:$B1016,$B1016,$C$4:$C1016,$C1016)))</f>
        <v>UNDYING@85</v>
      </c>
      <c r="AD1016" s="41">
        <f t="shared" si="79"/>
        <v>1013</v>
      </c>
      <c r="AE1016" s="41" t="s">
        <v>602</v>
      </c>
      <c r="AF1016" s="73">
        <f t="shared" si="80"/>
        <v>63261</v>
      </c>
      <c r="AG1016" s="74">
        <f t="shared" si="81"/>
        <v>5.5</v>
      </c>
      <c r="AH1016" s="41" t="str">
        <f>IF($C1016="","",$B1016&amp;"|"&amp;(COUNTIFS($B$4:$B$1463,$B1016,$AF$4:$AF$1463,"&gt;"&amp;$AF1016)+COUNTIFS($B$4:$B1016,$B1016,$AF$4:$AF1016,"="&amp;$AF1016)))</f>
        <v>UNDYING|27</v>
      </c>
      <c r="AI1016" s="41" t="str">
        <f>IF($C1016="","",$B1016&amp;"|"&amp;(COUNTIFS($B$4:$B$1463,$B1016,$AG$4:$AG$1463,"&gt;"&amp;$AG1016)+COUNTIFS($B$4:$B1016,$B1016,$AG$4:$AG1016,"="&amp;$AG1016)))</f>
        <v>UNDYING|39</v>
      </c>
    </row>
    <row r="1017" spans="1:35" hidden="1">
      <c r="A1017" s="69" t="s">
        <v>109</v>
      </c>
      <c r="B1017" s="69" t="s">
        <v>112</v>
      </c>
      <c r="C1017" s="63" t="s">
        <v>2261</v>
      </c>
      <c r="D1017" s="69" t="s">
        <v>567</v>
      </c>
      <c r="E1017" s="68"/>
      <c r="F1017" s="19" t="str">
        <f>IF($C1017="","",IF($E1017="","-",IFERROR(INDEX(SETUP!$B$55:$B$64,MATCH($E1017,SETUP!$A$55:$A$64,0)),"Other")))</f>
        <v>-</v>
      </c>
      <c r="G1017" s="70"/>
      <c r="H1017" s="19" t="str">
        <f>IF($C1017="","",IF($G1017="","-",INDEX(SETUP!$B$26:$B$32,MATCH($G1017,SETUP!$A$26:$A$32,1))))</f>
        <v>-</v>
      </c>
      <c r="I1017" s="70"/>
      <c r="J1017" s="19" t="str">
        <f>IF($C1017="","",IF($I1017="","-",INDEX(SETUP!$B$16:$B$22,MATCH($I1017,SETUP!$A$16:$A$22,1))))</f>
        <v>-</v>
      </c>
      <c r="K1017" s="19" t="str">
        <f>IF($C1017="","",IF($I1017="","-",TEXT(INT($I1017/1000)*1000,"#,##0")&amp;" - "&amp;TEXT(INT($I1017/1000)*1000+999,"#,##0")))</f>
        <v>-</v>
      </c>
      <c r="L1017" s="71"/>
      <c r="M1017" s="19" t="str">
        <f>IF($C1017="","",IF($L1017="","-",INDEX(SETUP!$B$36:$B$42,MATCH($L1017,SETUP!$A$36:$A$42,1))))</f>
        <v>-</v>
      </c>
      <c r="N1017" s="21" t="str">
        <f>IF($C1017="","",IF(OR($G1017="",$I1017=""),"",ROUND(100*(SETUP!$B$4*MIN(1,$I1017/SETUP!$B$9)+SETUP!$B$5*MAX(0,MIN(1,($G1017-SETUP!$B$10)/(SETUP!$B$11-SETUP!$B$10)))+SETUP!$B$6*MIN(1,IF($L1017="",0,$L1017)/SETUP!$B$12)),1)))</f>
        <v/>
      </c>
      <c r="O1017" s="19" t="str">
        <f>IF($C1017="","",IF($N1017="","-",INDEX(SETUP!$B$46:$B$51,MATCH($N1017,SETUP!$A$46:$A$51,1))))</f>
        <v>-</v>
      </c>
      <c r="P1017" s="19" t="str">
        <f>IF($C1017="","",IF($I1017="","",RANK($I1017,$I$4:$I$1463)+COUNTIF($I$4:$I1017,$I1017)-1))</f>
        <v/>
      </c>
      <c r="Q1017" s="19">
        <f>IF($C1017="","",COUNTIFS($B$4:$B$1463,$B1017,$X$4:$X$1463,"&gt;"&amp;$X1017)+COUNTIFS($B$4:$B1017,$B1017,$X$4:$X1017,"="&amp;$X1017))</f>
        <v>95</v>
      </c>
      <c r="R1017" s="75" t="str">
        <f>IF($C1017="","",IF($I1017="","",ROUND(COUNTIF($I$4:$I$1463,"&lt;"&amp;$I1017)/COUNT($I$4:$I$1463),3)))</f>
        <v/>
      </c>
      <c r="S1017" s="19" t="str">
        <f>IF($C1017="","",IF($G1017="","Name only",IF(OR($I1017="",$L1017=""),"Partial","Complete")))</f>
        <v>Name only</v>
      </c>
      <c r="T1017" s="1" t="str">
        <f>IF($C1017="","",TRIM(IF(COUNTIF($C$4:$C$1463,$C1017)&gt;1,"Dup name; ","")&amp;IF(AND($G1017&lt;&gt;"",$G1017&lt;55000),"Low CR - verify; ","")&amp;IF(AND($L1017&lt;&gt;"",$L1017&gt;15),"Secondary - verify; ","")&amp;IF($E1017="","No class; ","")))</f>
        <v>No class;</v>
      </c>
      <c r="U1017" s="68"/>
      <c r="V1017" s="68"/>
      <c r="W1017" s="68"/>
      <c r="X1017" s="1">
        <f t="shared" si="77"/>
        <v>-1</v>
      </c>
      <c r="Y1017" s="1" t="str">
        <f t="shared" si="78"/>
        <v>ACHERON|95</v>
      </c>
      <c r="Z1017" s="19" t="str">
        <f>IF($C1017="","",IF($G1017="","",RANK($G1017,$G$4:$G$1463)+COUNTIF($G$4:$G1017,$G1017)-1))</f>
        <v/>
      </c>
      <c r="AA1017" s="19" t="str">
        <f>IF($C1017="","",IF($N1017="","",RANK($N1017,$N$4:$N$1463)+COUNTIF($N$4:$N1017,$N1017)-1))</f>
        <v/>
      </c>
      <c r="AB1017" s="1" t="str">
        <f>IF($C1017="","",IF($E1017="","",$E1017&amp;"#"&amp;(COUNTIFS($E$4:$E$1463,$E1017,$X$4:$X$1463,"&gt;"&amp;$X1017)+COUNTIFS($E$4:$E1017,$E1017,$X$4:$X1017,"="&amp;$X1017))))</f>
        <v/>
      </c>
      <c r="AC1017" s="1" t="str">
        <f>IF($C1017="","",$B1017&amp;"@"&amp;(COUNTIFS($B$4:$B$1463,$B1017,$C$4:$C$1463,"&lt;"&amp;$C1017)+COUNTIFS($B$4:$B1017,$B1017,$C$4:$C1017,$C1017)))</f>
        <v>ACHERON@66</v>
      </c>
      <c r="AD1017" s="1">
        <f t="shared" si="79"/>
        <v>1014</v>
      </c>
      <c r="AE1017" s="1"/>
      <c r="AF1017" s="1">
        <f t="shared" si="80"/>
        <v>-1</v>
      </c>
      <c r="AG1017" s="1">
        <f t="shared" si="81"/>
        <v>-1</v>
      </c>
      <c r="AH1017" s="1" t="str">
        <f>IF($C1017="","",$B1017&amp;"|"&amp;(COUNTIFS($B$4:$B$1463,$B1017,$AF$4:$AF$1463,"&gt;"&amp;$AF1017)+COUNTIFS($B$4:$B1017,$B1017,$AF$4:$AF1017,"="&amp;$AF1017)))</f>
        <v>ACHERON|95</v>
      </c>
      <c r="AI1017" s="1" t="str">
        <f>IF($C1017="","",$B1017&amp;"|"&amp;(COUNTIFS($B$4:$B$1463,$B1017,$AG$4:$AG$1463,"&gt;"&amp;$AG1017)+COUNTIFS($B$4:$B1017,$B1017,$AG$4:$AG1017,"="&amp;$AG1017)))</f>
        <v>ACHERON|95</v>
      </c>
    </row>
    <row r="1018" spans="1:35" hidden="1">
      <c r="A1018" s="69" t="s">
        <v>106</v>
      </c>
      <c r="B1018" s="69" t="s">
        <v>107</v>
      </c>
      <c r="C1018" s="63" t="s">
        <v>2262</v>
      </c>
      <c r="D1018" s="69"/>
      <c r="E1018" s="68" t="s">
        <v>71</v>
      </c>
      <c r="F1018" s="15" t="str">
        <f>IF($C1018="","",IF($E1018="","-",IFERROR(INDEX(SETUP!$B$55:$B$64,MATCH($E1018,SETUP!$A$55:$A$64,0)),"Other")))</f>
        <v>Frontline</v>
      </c>
      <c r="G1018" s="70">
        <v>61556</v>
      </c>
      <c r="H1018" s="15" t="str">
        <f>IF($C1018="","",IF($G1018="","-",INDEX(SETUP!$B$26:$B$32,MATCH($G1018,SETUP!$A$26:$A$32,1))))</f>
        <v>61,000 - 61,999</v>
      </c>
      <c r="I1018" s="70">
        <v>3547</v>
      </c>
      <c r="J1018" s="15" t="str">
        <f>IF($C1018="","",IF($I1018="","-",INDEX(SETUP!$B$16:$B$22,MATCH($I1018,SETUP!$A$16:$A$22,1))))</f>
        <v>DEVELOPING</v>
      </c>
      <c r="K1018" s="15" t="str">
        <f>IF($C1018="","",IF($I1018="","-",TEXT(INT($I1018/1000)*1000,"#,##0")&amp;" - "&amp;TEXT(INT($I1018/1000)*1000+999,"#,##0")))</f>
        <v>3,000 - 3,999</v>
      </c>
      <c r="L1018" s="71">
        <v>5.8</v>
      </c>
      <c r="M1018" s="15" t="str">
        <f>IF($C1018="","",IF($L1018="","-",INDEX(SETUP!$B$36:$B$42,MATCH($L1018,SETUP!$A$36:$A$42,1))))</f>
        <v>5k - 6k</v>
      </c>
      <c r="N1018" s="17">
        <f>IF($C1018="","",IF(OR($G1018="",$I1018=""),"",ROUND(100*(SETUP!$B$4*MIN(1,$I1018/SETUP!$B$9)+SETUP!$B$5*MAX(0,MIN(1,($G1018-SETUP!$B$10)/(SETUP!$B$11-SETUP!$B$10)))+SETUP!$B$6*MIN(1,IF($L1018="",0,$L1018)/SETUP!$B$12)),1)))</f>
        <v>42.4</v>
      </c>
      <c r="O1018" s="15" t="str">
        <f>IF($C1018="","",IF($N1018="","-",INDEX(SETUP!$B$46:$B$51,MATCH($N1018,SETUP!$A$46:$A$51,1))))</f>
        <v>B</v>
      </c>
      <c r="P1018" s="15">
        <f>IF($C1018="","",IF($I1018="","",RANK($I1018,$I$4:$I$1463)+COUNTIF($I$4:$I1018,$I1018)-1))</f>
        <v>715</v>
      </c>
      <c r="Q1018" s="15">
        <f>IF($C1018="","",COUNTIFS($B$4:$B$1463,$B1018,$X$4:$X$1463,"&gt;"&amp;$X1018)+COUNTIFS($B$4:$B1018,$B1018,$X$4:$X1018,"="&amp;$X1018))</f>
        <v>67</v>
      </c>
      <c r="R1018" s="72">
        <f>IF($C1018="","",IF($I1018="","",ROUND(COUNTIF($I$4:$I$1463,"&lt;"&amp;$I1018)/COUNT($I$4:$I$1463),3)))</f>
        <v>0.46</v>
      </c>
      <c r="S1018" s="15" t="str">
        <f>IF($C1018="","",IF($G1018="","Name only",IF(OR($I1018="",$L1018=""),"Partial","Complete")))</f>
        <v>Complete</v>
      </c>
      <c r="T1018" s="41" t="str">
        <f>IF($C1018="","",TRIM(IF(COUNTIF($C$4:$C$1463,$C1018)&gt;1,"Dup name; ","")&amp;IF(AND($G1018&lt;&gt;"",$G1018&lt;55000),"Low CR - verify; ","")&amp;IF(AND($L1018&lt;&gt;"",$L1018&gt;15),"Secondary - verify; ","")&amp;IF($E1018="","No class; ","")))</f>
        <v/>
      </c>
      <c r="U1018" s="68"/>
      <c r="V1018" s="68"/>
      <c r="W1018" s="68"/>
      <c r="X1018" s="73">
        <f t="shared" si="77"/>
        <v>3547</v>
      </c>
      <c r="Y1018" s="41" t="str">
        <f t="shared" si="78"/>
        <v>UNDYING|67</v>
      </c>
      <c r="Z1018" s="15">
        <f>IF($C1018="","",IF($G1018="","",RANK($G1018,$G$4:$G$1463)+COUNTIF($G$4:$G1018,$G1018)-1))</f>
        <v>988</v>
      </c>
      <c r="AA1018" s="15">
        <f>IF($C1018="","",IF($N1018="","",RANK($N1018,$N$4:$N$1463)+COUNTIF($N$4:$N1018,$N1018)-1))</f>
        <v>732</v>
      </c>
      <c r="AB1018" s="41" t="str">
        <f>IF($C1018="","",IF($E1018="","",$E1018&amp;"#"&amp;(COUNTIFS($E$4:$E$1463,$E1018,$X$4:$X$1463,"&gt;"&amp;$X1018)+COUNTIFS($E$4:$E1018,$E1018,$X$4:$X1018,"="&amp;$X1018))))</f>
        <v>BARBARIAN#126</v>
      </c>
      <c r="AC1018" s="41" t="str">
        <f>IF($C1018="","",$B1018&amp;"@"&amp;(COUNTIFS($B$4:$B$1463,$B1018,$C$4:$C$1463,"&lt;"&amp;$C1018)+COUNTIFS($B$4:$B1018,$B1018,$C$4:$C1018,$C1018)))</f>
        <v>UNDYING@86</v>
      </c>
      <c r="AD1018" s="41">
        <f t="shared" si="79"/>
        <v>1015</v>
      </c>
      <c r="AE1018" s="41" t="s">
        <v>759</v>
      </c>
      <c r="AF1018" s="73">
        <f t="shared" si="80"/>
        <v>61556</v>
      </c>
      <c r="AG1018" s="74">
        <f t="shared" si="81"/>
        <v>5.8</v>
      </c>
      <c r="AH1018" s="41" t="str">
        <f>IF($C1018="","",$B1018&amp;"|"&amp;(COUNTIFS($B$4:$B$1463,$B1018,$AF$4:$AF$1463,"&gt;"&amp;$AF1018)+COUNTIFS($B$4:$B1018,$B1018,$AF$4:$AF1018,"="&amp;$AF1018)))</f>
        <v>UNDYING|86</v>
      </c>
      <c r="AI1018" s="41" t="str">
        <f>IF($C1018="","",$B1018&amp;"|"&amp;(COUNTIFS($B$4:$B$1463,$B1018,$AG$4:$AG$1463,"&gt;"&amp;$AG1018)+COUNTIFS($B$4:$B1018,$B1018,$AG$4:$AG1018,"="&amp;$AG1018)))</f>
        <v>UNDYING|30</v>
      </c>
    </row>
    <row r="1019" spans="1:35" hidden="1">
      <c r="A1019" s="69" t="s">
        <v>109</v>
      </c>
      <c r="B1019" s="69" t="s">
        <v>113</v>
      </c>
      <c r="C1019" s="63" t="s">
        <v>2263</v>
      </c>
      <c r="D1019" s="69" t="s">
        <v>548</v>
      </c>
      <c r="E1019" s="68" t="s">
        <v>75</v>
      </c>
      <c r="F1019" s="19" t="str">
        <f>IF($C1019="","",IF($E1019="","-",IFERROR(INDEX(SETUP!$B$55:$B$64,MATCH($E1019,SETUP!$A$55:$A$64,0)),"Other")))</f>
        <v>Support</v>
      </c>
      <c r="G1019" s="70">
        <v>61592</v>
      </c>
      <c r="H1019" s="19" t="str">
        <f>IF($C1019="","",IF($G1019="","-",INDEX(SETUP!$B$26:$B$32,MATCH($G1019,SETUP!$A$26:$A$32,1))))</f>
        <v>61,000 - 61,999</v>
      </c>
      <c r="I1019" s="70">
        <v>4029</v>
      </c>
      <c r="J1019" s="19" t="str">
        <f>IF($C1019="","",IF($I1019="","-",INDEX(SETUP!$B$16:$B$22,MATCH($I1019,SETUP!$A$16:$A$22,1))))</f>
        <v>CORE</v>
      </c>
      <c r="K1019" s="19" t="str">
        <f>IF($C1019="","",IF($I1019="","-",TEXT(INT($I1019/1000)*1000,"#,##0")&amp;" - "&amp;TEXT(INT($I1019/1000)*1000+999,"#,##0")))</f>
        <v>4,000 - 4,999</v>
      </c>
      <c r="L1019" s="71">
        <v>3.7</v>
      </c>
      <c r="M1019" s="19" t="str">
        <f>IF($C1019="","",IF($L1019="","-",INDEX(SETUP!$B$36:$B$42,MATCH($L1019,SETUP!$A$36:$A$42,1))))</f>
        <v>3k - 4k</v>
      </c>
      <c r="N1019" s="21">
        <f>IF($C1019="","",IF(OR($G1019="",$I1019=""),"",ROUND(100*(SETUP!$B$4*MIN(1,$I1019/SETUP!$B$9)+SETUP!$B$5*MAX(0,MIN(1,($G1019-SETUP!$B$10)/(SETUP!$B$11-SETUP!$B$10)))+SETUP!$B$6*MIN(1,IF($L1019="",0,$L1019)/SETUP!$B$12)),1)))</f>
        <v>41.1</v>
      </c>
      <c r="O1019" s="19" t="str">
        <f>IF($C1019="","",IF($N1019="","-",INDEX(SETUP!$B$46:$B$51,MATCH($N1019,SETUP!$A$46:$A$51,1))))</f>
        <v>B</v>
      </c>
      <c r="P1019" s="19">
        <f>IF($C1019="","",IF($I1019="","",RANK($I1019,$I$4:$I$1463)+COUNTIF($I$4:$I1019,$I1019)-1))</f>
        <v>595</v>
      </c>
      <c r="Q1019" s="19">
        <f>IF($C1019="","",COUNTIFS($B$4:$B$1463,$B1019,$X$4:$X$1463,"&gt;"&amp;$X1019)+COUNTIFS($B$4:$B1019,$B1019,$X$4:$X1019,"="&amp;$X1019))</f>
        <v>27</v>
      </c>
      <c r="R1019" s="75">
        <f>IF($C1019="","",IF($I1019="","",ROUND(COUNTIF($I$4:$I$1463,"&lt;"&amp;$I1019)/COUNT($I$4:$I$1463),3)))</f>
        <v>0.55100000000000005</v>
      </c>
      <c r="S1019" s="19" t="str">
        <f>IF($C1019="","",IF($G1019="","Name only",IF(OR($I1019="",$L1019=""),"Partial","Complete")))</f>
        <v>Complete</v>
      </c>
      <c r="T1019" s="1" t="str">
        <f>IF($C1019="","",TRIM(IF(COUNTIF($C$4:$C$1463,$C1019)&gt;1,"Dup name; ","")&amp;IF(AND($G1019&lt;&gt;"",$G1019&lt;55000),"Low CR - verify; ","")&amp;IF(AND($L1019&lt;&gt;"",$L1019&gt;15),"Secondary - verify; ","")&amp;IF($E1019="","No class; ","")))</f>
        <v/>
      </c>
      <c r="U1019" s="68"/>
      <c r="V1019" s="68"/>
      <c r="W1019" s="68"/>
      <c r="X1019" s="76">
        <f t="shared" si="77"/>
        <v>4029</v>
      </c>
      <c r="Y1019" s="1" t="str">
        <f t="shared" si="78"/>
        <v>INVICTUS|27</v>
      </c>
      <c r="Z1019" s="19">
        <f>IF($C1019="","",IF($G1019="","",RANK($G1019,$G$4:$G$1463)+COUNTIF($G$4:$G1019,$G1019)-1))</f>
        <v>979</v>
      </c>
      <c r="AA1019" s="19">
        <f>IF($C1019="","",IF($N1019="","",RANK($N1019,$N$4:$N$1463)+COUNTIF($N$4:$N1019,$N1019)-1))</f>
        <v>772</v>
      </c>
      <c r="AB1019" s="1" t="str">
        <f>IF($C1019="","",IF($E1019="","",$E1019&amp;"#"&amp;(COUNTIFS($E$4:$E$1463,$E1019,$X$4:$X$1463,"&gt;"&amp;$X1019)+COUNTIFS($E$4:$E1019,$E1019,$X$4:$X1019,"="&amp;$X1019))))</f>
        <v>DRUID#29</v>
      </c>
      <c r="AC1019" s="1" t="str">
        <f>IF($C1019="","",$B1019&amp;"@"&amp;(COUNTIFS($B$4:$B$1463,$B1019,$C$4:$C$1463,"&lt;"&amp;$C1019)+COUNTIFS($B$4:$B1019,$B1019,$C$4:$C1019,$C1019)))</f>
        <v>INVICTUS@74</v>
      </c>
      <c r="AD1019" s="1">
        <f t="shared" si="79"/>
        <v>1016</v>
      </c>
      <c r="AE1019" s="1" t="s">
        <v>2264</v>
      </c>
      <c r="AF1019" s="76">
        <f t="shared" si="80"/>
        <v>61592</v>
      </c>
      <c r="AG1019" s="77">
        <f t="shared" si="81"/>
        <v>3.7</v>
      </c>
      <c r="AH1019" s="1" t="str">
        <f>IF($C1019="","",$B1019&amp;"|"&amp;(COUNTIFS($B$4:$B$1463,$B1019,$AF$4:$AF$1463,"&gt;"&amp;$AF1019)+COUNTIFS($B$4:$B1019,$B1019,$AF$4:$AF1019,"="&amp;$AF1019)))</f>
        <v>INVICTUS|67</v>
      </c>
      <c r="AI1019" s="1" t="str">
        <f>IF($C1019="","",$B1019&amp;"|"&amp;(COUNTIFS($B$4:$B$1463,$B1019,$AG$4:$AG$1463,"&gt;"&amp;$AG1019)+COUNTIFS($B$4:$B1019,$B1019,$AG$4:$AG1019,"="&amp;$AG1019)))</f>
        <v>INVICTUS|67</v>
      </c>
    </row>
    <row r="1020" spans="1:35">
      <c r="A1020" s="69" t="s">
        <v>104</v>
      </c>
      <c r="B1020" s="69" t="s">
        <v>66</v>
      </c>
      <c r="C1020" s="63" t="s">
        <v>390</v>
      </c>
      <c r="D1020" s="69" t="s">
        <v>1019</v>
      </c>
      <c r="E1020" s="68" t="s">
        <v>79</v>
      </c>
      <c r="F1020" s="15" t="str">
        <f>IF($C1020="","",IF($E1020="","-",IFERROR(INDEX(SETUP!$B$55:$B$64,MATCH($E1020,SETUP!$A$55:$A$64,0)),"Other")))</f>
        <v>Control</v>
      </c>
      <c r="G1020" s="70">
        <v>63872</v>
      </c>
      <c r="H1020" s="15" t="str">
        <f>IF($C1020="","",IF($G1020="","-",INDEX(SETUP!$B$26:$B$32,MATCH($G1020,SETUP!$A$26:$A$32,1))))</f>
        <v>63,000 - 63,999</v>
      </c>
      <c r="I1020" s="70">
        <v>6200</v>
      </c>
      <c r="J1020" s="15" t="str">
        <f>IF($C1020="","",IF($I1020="","-",INDEX(SETUP!$B$16:$B$22,MATCH($I1020,SETUP!$A$16:$A$22,1))))</f>
        <v>VETERAN</v>
      </c>
      <c r="K1020" s="15" t="str">
        <f>IF($C1020="","",IF($I1020="","-",TEXT(INT($I1020/1000)*1000,"#,##0")&amp;" - "&amp;TEXT(INT($I1020/1000)*1000+999,"#,##0")))</f>
        <v>6,000 - 6,999</v>
      </c>
      <c r="L1020" s="71">
        <v>5.54</v>
      </c>
      <c r="M1020" s="15" t="str">
        <f>IF($C1020="","",IF($L1020="","-",INDEX(SETUP!$B$36:$B$42,MATCH($L1020,SETUP!$A$36:$A$42,1))))</f>
        <v>5k - 6k</v>
      </c>
      <c r="N1020" s="17">
        <f>IF($C1020="","",IF(OR($G1020="",$I1020=""),"",ROUND(100*(SETUP!$B$4*MIN(1,$I1020/SETUP!$B$9)+SETUP!$B$5*MAX(0,MIN(1,($G1020-SETUP!$B$10)/(SETUP!$B$11-SETUP!$B$10)))+SETUP!$B$6*MIN(1,IF($L1020="",0,$L1020)/SETUP!$B$12)),1)))</f>
        <v>59.6</v>
      </c>
      <c r="O1020" s="15" t="str">
        <f>IF($C1020="","",IF($N1020="","-",INDEX(SETUP!$B$46:$B$51,MATCH($N1020,SETUP!$A$46:$A$51,1))))</f>
        <v>A</v>
      </c>
      <c r="P1020" s="15">
        <f>IF($C1020="","",IF($I1020="","",RANK($I1020,$I$4:$I$1463)+COUNTIF($I$4:$I1020,$I1020)-1))</f>
        <v>266</v>
      </c>
      <c r="Q1020" s="15">
        <f>IF($C1020="","",COUNTIFS($B$4:$B$1463,$B1020,$X$4:$X$1463,"&gt;"&amp;$X1020)+COUNTIFS($B$4:$B1020,$B1020,$X$4:$X1020,"="&amp;$X1020))</f>
        <v>27</v>
      </c>
      <c r="R1020" s="72">
        <f>IF($C1020="","",IF($I1020="","",ROUND(COUNTIF($I$4:$I$1463,"&lt;"&amp;$I1020)/COUNT($I$4:$I$1463),3)))</f>
        <v>0.79900000000000004</v>
      </c>
      <c r="S1020" s="15" t="str">
        <f>IF($C1020="","",IF($G1020="","Name only",IF(OR($I1020="",$L1020=""),"Partial","Complete")))</f>
        <v>Complete</v>
      </c>
      <c r="T1020" s="41" t="str">
        <f>IF($C1020="","",TRIM(IF(COUNTIF($C$4:$C$1463,$C1020)&gt;1,"Dup name; ","")&amp;IF(AND($G1020&lt;&gt;"",$G1020&lt;55000),"Low CR - verify; ","")&amp;IF(AND($L1020&lt;&gt;"",$L1020&gt;15),"Secondary - verify; ","")&amp;IF($E1020="","No class; ","")))</f>
        <v/>
      </c>
      <c r="U1020" s="68" t="s">
        <v>263</v>
      </c>
      <c r="V1020" s="68" t="s">
        <v>388</v>
      </c>
      <c r="W1020" s="68" t="s">
        <v>285</v>
      </c>
      <c r="X1020" s="73">
        <f t="shared" si="77"/>
        <v>6200</v>
      </c>
      <c r="Y1020" s="41" t="str">
        <f t="shared" si="78"/>
        <v>FUCT|27</v>
      </c>
      <c r="Z1020" s="15">
        <f>IF($C1020="","",IF($G1020="","",RANK($G1020,$G$4:$G$1463)+COUNTIF($G$4:$G1020,$G1020)-1))</f>
        <v>106</v>
      </c>
      <c r="AA1020" s="15">
        <f>IF($C1020="","",IF($N1020="","",RANK($N1020,$N$4:$N$1463)+COUNTIF($N$4:$N1020,$N1020)-1))</f>
        <v>242</v>
      </c>
      <c r="AB1020" s="41" t="str">
        <f>IF($C1020="","",IF($E1020="","",$E1020&amp;"#"&amp;(COUNTIFS($E$4:$E$1463,$E1020,$X$4:$X$1463,"&gt;"&amp;$X1020)+COUNTIFS($E$4:$E1020,$E1020,$X$4:$X1020,"="&amp;$X1020))))</f>
        <v>WARLOCK#55</v>
      </c>
      <c r="AC1020" s="41" t="str">
        <f>IF($C1020="","",$B1020&amp;"@"&amp;(COUNTIFS($B$4:$B$1463,$B1020,$C$4:$C$1463,"&lt;"&amp;$C1020)+COUNTIFS($B$4:$B1020,$B1020,$C$4:$C1020,$C1020)))</f>
        <v>FUCT@72</v>
      </c>
      <c r="AD1020" s="41">
        <f t="shared" si="79"/>
        <v>1017</v>
      </c>
      <c r="AE1020" s="41" t="s">
        <v>2266</v>
      </c>
      <c r="AF1020" s="73">
        <f t="shared" si="80"/>
        <v>63872</v>
      </c>
      <c r="AG1020" s="74">
        <f t="shared" si="81"/>
        <v>5.54</v>
      </c>
      <c r="AH1020" s="41" t="str">
        <f>IF($C1020="","",$B1020&amp;"|"&amp;(COUNTIFS($B$4:$B$1463,$B1020,$AF$4:$AF$1463,"&gt;"&amp;$AF1020)+COUNTIFS($B$4:$B1020,$B1020,$AF$4:$AF1020,"="&amp;$AF1020)))</f>
        <v>FUCT|8</v>
      </c>
      <c r="AI1020" s="41" t="str">
        <f>IF($C1020="","",$B1020&amp;"|"&amp;(COUNTIFS($B$4:$B$1463,$B1020,$AG$4:$AG$1463,"&gt;"&amp;$AG1020)+COUNTIFS($B$4:$B1020,$B1020,$AG$4:$AG1020,"="&amp;$AG1020)))</f>
        <v>FUCT|30</v>
      </c>
    </row>
    <row r="1021" spans="1:35" hidden="1">
      <c r="A1021" s="69" t="s">
        <v>109</v>
      </c>
      <c r="B1021" s="69" t="s">
        <v>108</v>
      </c>
      <c r="C1021" s="63" t="s">
        <v>2267</v>
      </c>
      <c r="D1021" s="69"/>
      <c r="E1021" s="68" t="s">
        <v>79</v>
      </c>
      <c r="F1021" s="19" t="str">
        <f>IF($C1021="","",IF($E1021="","-",IFERROR(INDEX(SETUP!$B$55:$B$64,MATCH($E1021,SETUP!$A$55:$A$64,0)),"Other")))</f>
        <v>Control</v>
      </c>
      <c r="G1021" s="70">
        <v>60972</v>
      </c>
      <c r="H1021" s="19" t="str">
        <f>IF($C1021="","",IF($G1021="","-",INDEX(SETUP!$B$26:$B$32,MATCH($G1021,SETUP!$A$26:$A$32,1))))</f>
        <v>60,000 - 60,999</v>
      </c>
      <c r="I1021" s="70">
        <v>2062</v>
      </c>
      <c r="J1021" s="19" t="str">
        <f>IF($C1021="","",IF($I1021="","-",INDEX(SETUP!$B$16:$B$22,MATCH($I1021,SETUP!$A$16:$A$22,1))))</f>
        <v>DEVELOPING</v>
      </c>
      <c r="K1021" s="19" t="str">
        <f>IF($C1021="","",IF($I1021="","-",TEXT(INT($I1021/1000)*1000,"#,##0")&amp;" - "&amp;TEXT(INT($I1021/1000)*1000+999,"#,##0")))</f>
        <v>2,000 - 2,999</v>
      </c>
      <c r="L1021" s="71">
        <v>4.45</v>
      </c>
      <c r="M1021" s="19" t="str">
        <f>IF($C1021="","",IF($L1021="","-",INDEX(SETUP!$B$36:$B$42,MATCH($L1021,SETUP!$A$36:$A$42,1))))</f>
        <v>4k - 5k</v>
      </c>
      <c r="N1021" s="21">
        <f>IF($C1021="","",IF(OR($G1021="",$I1021=""),"",ROUND(100*(SETUP!$B$4*MIN(1,$I1021/SETUP!$B$9)+SETUP!$B$5*MAX(0,MIN(1,($G1021-SETUP!$B$10)/(SETUP!$B$11-SETUP!$B$10)))+SETUP!$B$6*MIN(1,IF($L1021="",0,$L1021)/SETUP!$B$12)),1)))</f>
        <v>32.1</v>
      </c>
      <c r="O1021" s="19" t="str">
        <f>IF($C1021="","",IF($N1021="","-",INDEX(SETUP!$B$46:$B$51,MATCH($N1021,SETUP!$A$46:$A$51,1))))</f>
        <v>C</v>
      </c>
      <c r="P1021" s="19">
        <f>IF($C1021="","",IF($I1021="","",RANK($I1021,$I$4:$I$1463)+COUNTIF($I$4:$I1021,$I1021)-1))</f>
        <v>1097</v>
      </c>
      <c r="Q1021" s="19">
        <f>IF($C1021="","",COUNTIFS($B$4:$B$1463,$B1021,$X$4:$X$1463,"&gt;"&amp;$X1021)+COUNTIFS($B$4:$B1021,$B1021,$X$4:$X1021,"="&amp;$X1021))</f>
        <v>97</v>
      </c>
      <c r="R1021" s="75">
        <f>IF($C1021="","",IF($I1021="","",ROUND(COUNTIF($I$4:$I$1463,"&lt;"&amp;$I1021)/COUNT($I$4:$I$1463),3)))</f>
        <v>0.17199999999999999</v>
      </c>
      <c r="S1021" s="19" t="str">
        <f>IF($C1021="","",IF($G1021="","Name only",IF(OR($I1021="",$L1021=""),"Partial","Complete")))</f>
        <v>Complete</v>
      </c>
      <c r="T1021" s="1" t="str">
        <f>IF($C1021="","",TRIM(IF(COUNTIF($C$4:$C$1463,$C1021)&gt;1,"Dup name; ","")&amp;IF(AND($G1021&lt;&gt;"",$G1021&lt;55000),"Low CR - verify; ","")&amp;IF(AND($L1021&lt;&gt;"",$L1021&gt;15),"Secondary - verify; ","")&amp;IF($E1021="","No class; ","")))</f>
        <v/>
      </c>
      <c r="U1021" s="68"/>
      <c r="V1021" s="68"/>
      <c r="W1021" s="68"/>
      <c r="X1021" s="76">
        <f t="shared" si="77"/>
        <v>2062</v>
      </c>
      <c r="Y1021" s="1" t="str">
        <f t="shared" si="78"/>
        <v>SBG|97</v>
      </c>
      <c r="Z1021" s="19">
        <f>IF($C1021="","",IF($G1021="","",RANK($G1021,$G$4:$G$1463)+COUNTIF($G$4:$G1021,$G1021)-1))</f>
        <v>1137</v>
      </c>
      <c r="AA1021" s="19">
        <f>IF($C1021="","",IF($N1021="","",RANK($N1021,$N$4:$N$1463)+COUNTIF($N$4:$N1021,$N1021)-1))</f>
        <v>1096</v>
      </c>
      <c r="AB1021" s="1" t="str">
        <f>IF($C1021="","",IF($E1021="","",$E1021&amp;"#"&amp;(COUNTIFS($E$4:$E$1463,$E1021,$X$4:$X$1463,"&gt;"&amp;$X1021)+COUNTIFS($E$4:$E1021,$E1021,$X$4:$X1021,"="&amp;$X1021))))</f>
        <v>WARLOCK#275</v>
      </c>
      <c r="AC1021" s="1" t="str">
        <f>IF($C1021="","",$B1021&amp;"@"&amp;(COUNTIFS($B$4:$B$1463,$B1021,$C$4:$C$1463,"&lt;"&amp;$C1021)+COUNTIFS($B$4:$B1021,$B1021,$C$4:$C1021,$C1021)))</f>
        <v>SBG@70</v>
      </c>
      <c r="AD1021" s="1">
        <f t="shared" si="79"/>
        <v>1018</v>
      </c>
      <c r="AE1021" s="1" t="s">
        <v>2268</v>
      </c>
      <c r="AF1021" s="76">
        <f t="shared" si="80"/>
        <v>60972</v>
      </c>
      <c r="AG1021" s="77">
        <f t="shared" si="81"/>
        <v>4.45</v>
      </c>
      <c r="AH1021" s="1" t="str">
        <f>IF($C1021="","",$B1021&amp;"|"&amp;(COUNTIFS($B$4:$B$1463,$B1021,$AF$4:$AF$1463,"&gt;"&amp;$AF1021)+COUNTIFS($B$4:$B1021,$B1021,$AF$4:$AF1021,"="&amp;$AF1021)))</f>
        <v>SBG|92</v>
      </c>
      <c r="AI1021" s="1" t="str">
        <f>IF($C1021="","",$B1021&amp;"|"&amp;(COUNTIFS($B$4:$B$1463,$B1021,$AG$4:$AG$1463,"&gt;"&amp;$AG1021)+COUNTIFS($B$4:$B1021,$B1021,$AG$4:$AG1021,"="&amp;$AG1021)))</f>
        <v>SBG|85</v>
      </c>
    </row>
    <row r="1022" spans="1:35">
      <c r="A1022" s="69" t="s">
        <v>104</v>
      </c>
      <c r="B1022" s="69" t="s">
        <v>66</v>
      </c>
      <c r="C1022" s="63" t="s">
        <v>2166</v>
      </c>
      <c r="D1022" s="69"/>
      <c r="E1022" s="68" t="s">
        <v>80</v>
      </c>
      <c r="F1022" s="15" t="str">
        <f>IF($C1022="","",IF($E1022="","-",IFERROR(INDEX(SETUP!$B$55:$B$64,MATCH($E1022,SETUP!$A$55:$A$64,0)),"Other")))</f>
        <v>Ranged DPS</v>
      </c>
      <c r="G1022" s="70">
        <v>63793</v>
      </c>
      <c r="H1022" s="15" t="str">
        <f>IF($C1022="","",IF($G1022="","-",INDEX(SETUP!$B$26:$B$32,MATCH($G1022,SETUP!$A$26:$A$32,1))))</f>
        <v>63,000 - 63,999</v>
      </c>
      <c r="I1022" s="70">
        <v>8394</v>
      </c>
      <c r="J1022" s="15" t="str">
        <f>IF($C1022="","",IF($I1022="","-",INDEX(SETUP!$B$16:$B$22,MATCH($I1022,SETUP!$A$16:$A$22,1))))</f>
        <v>ELITE</v>
      </c>
      <c r="K1022" s="15" t="str">
        <f>IF($C1022="","",IF($I1022="","-",TEXT(INT($I1022/1000)*1000,"#,##0")&amp;" - "&amp;TEXT(INT($I1022/1000)*1000+999,"#,##0")))</f>
        <v>8,000 - 8,999</v>
      </c>
      <c r="L1022" s="71">
        <v>6.46</v>
      </c>
      <c r="M1022" s="15" t="str">
        <f>IF($C1022="","",IF($L1022="","-",INDEX(SETUP!$B$36:$B$42,MATCH($L1022,SETUP!$A$36:$A$42,1))))</f>
        <v>6k - 8k</v>
      </c>
      <c r="N1022" s="17">
        <f>IF($C1022="","",IF(OR($G1022="",$I1022=""),"",ROUND(100*(SETUP!$B$4*MIN(1,$I1022/SETUP!$B$9)+SETUP!$B$5*MAX(0,MIN(1,($G1022-SETUP!$B$10)/(SETUP!$B$11-SETUP!$B$10)))+SETUP!$B$6*MIN(1,IF($L1022="",0,$L1022)/SETUP!$B$12)),1)))</f>
        <v>70.5</v>
      </c>
      <c r="O1022" s="15" t="str">
        <f>IF($C1022="","",IF($N1022="","-",INDEX(SETUP!$B$46:$B$51,MATCH($N1022,SETUP!$A$46:$A$51,1))))</f>
        <v>S</v>
      </c>
      <c r="P1022" s="15">
        <f>IF($C1022="","",IF($I1022="","",RANK($I1022,$I$4:$I$1463)+COUNTIF($I$4:$I1022,$I1022)-1))</f>
        <v>123</v>
      </c>
      <c r="Q1022" s="15">
        <f>IF($C1022="","",COUNTIFS($B$4:$B$1463,$B1022,$X$4:$X$1463,"&gt;"&amp;$X1022)+COUNTIFS($B$4:$B1022,$B1022,$X$4:$X1022,"="&amp;$X1022))</f>
        <v>12</v>
      </c>
      <c r="R1022" s="72">
        <f>IF($C1022="","",IF($I1022="","",ROUND(COUNTIF($I$4:$I$1463,"&lt;"&amp;$I1022)/COUNT($I$4:$I$1463),3)))</f>
        <v>0.90700000000000003</v>
      </c>
      <c r="S1022" s="15" t="str">
        <f>IF($C1022="","",IF($G1022="","Name only",IF(OR($I1022="",$L1022=""),"Partial","Complete")))</f>
        <v>Complete</v>
      </c>
      <c r="T1022" s="41" t="str">
        <f>IF($C1022="","",TRIM(IF(COUNTIF($C$4:$C$1463,$C1022)&gt;1,"Dup name; ","")&amp;IF(AND($G1022&lt;&gt;"",$G1022&lt;55000),"Low CR - verify; ","")&amp;IF(AND($L1022&lt;&gt;"",$L1022&gt;15),"Secondary - verify; ","")&amp;IF($E1022="","No class; ","")))</f>
        <v/>
      </c>
      <c r="U1022" s="68" t="s">
        <v>269</v>
      </c>
      <c r="V1022" s="68"/>
      <c r="W1022" s="68"/>
      <c r="X1022" s="73">
        <f t="shared" si="77"/>
        <v>8394</v>
      </c>
      <c r="Y1022" s="41" t="str">
        <f t="shared" si="78"/>
        <v>FUCT|12</v>
      </c>
      <c r="Z1022" s="15">
        <f>IF($C1022="","",IF($G1022="","",RANK($G1022,$G$4:$G$1463)+COUNTIF($G$4:$G1022,$G1022)-1))</f>
        <v>118</v>
      </c>
      <c r="AA1022" s="15">
        <f>IF($C1022="","",IF($N1022="","",RANK($N1022,$N$4:$N$1463)+COUNTIF($N$4:$N1022,$N1022)-1))</f>
        <v>125</v>
      </c>
      <c r="AB1022" s="41" t="str">
        <f>IF($C1022="","",IF($E1022="","",$E1022&amp;"#"&amp;(COUNTIFS($E$4:$E$1463,$E1022,$X$4:$X$1463,"&gt;"&amp;$X1022)+COUNTIFS($E$4:$E1022,$E1022,$X$4:$X1022,"="&amp;$X1022))))</f>
        <v>WIZARD#8</v>
      </c>
      <c r="AC1022" s="41" t="str">
        <f>IF($C1022="","",$B1022&amp;"@"&amp;(COUNTIFS($B$4:$B$1463,$B1022,$C$4:$C$1463,"&lt;"&amp;$C1022)+COUNTIFS($B$4:$B1022,$B1022,$C$4:$C1022,$C1022)))</f>
        <v>FUCT@73</v>
      </c>
      <c r="AD1022" s="41">
        <f t="shared" si="79"/>
        <v>1019</v>
      </c>
      <c r="AE1022" s="41" t="s">
        <v>2270</v>
      </c>
      <c r="AF1022" s="73">
        <f t="shared" si="80"/>
        <v>63793</v>
      </c>
      <c r="AG1022" s="74">
        <f t="shared" si="81"/>
        <v>6.46</v>
      </c>
      <c r="AH1022" s="41" t="str">
        <f>IF($C1022="","",$B1022&amp;"|"&amp;(COUNTIFS($B$4:$B$1463,$B1022,$AF$4:$AF$1463,"&gt;"&amp;$AF1022)+COUNTIFS($B$4:$B1022,$B1022,$AF$4:$AF1022,"="&amp;$AF1022)))</f>
        <v>FUCT|13</v>
      </c>
      <c r="AI1022" s="41" t="str">
        <f>IF($C1022="","",$B1022&amp;"|"&amp;(COUNTIFS($B$4:$B$1463,$B1022,$AG$4:$AG$1463,"&gt;"&amp;$AG1022)+COUNTIFS($B$4:$B1022,$B1022,$AG$4:$AG1022,"="&amp;$AG1022)))</f>
        <v>FUCT|10</v>
      </c>
    </row>
    <row r="1023" spans="1:35" hidden="1">
      <c r="A1023" s="69" t="s">
        <v>109</v>
      </c>
      <c r="B1023" s="69" t="s">
        <v>110</v>
      </c>
      <c r="C1023" s="63" t="s">
        <v>2271</v>
      </c>
      <c r="D1023" s="69"/>
      <c r="E1023" s="68" t="s">
        <v>79</v>
      </c>
      <c r="F1023" s="19" t="str">
        <f>IF($C1023="","",IF($E1023="","-",IFERROR(INDEX(SETUP!$B$55:$B$64,MATCH($E1023,SETUP!$A$55:$A$64,0)),"Other")))</f>
        <v>Control</v>
      </c>
      <c r="G1023" s="70">
        <v>62861</v>
      </c>
      <c r="H1023" s="19" t="str">
        <f>IF($C1023="","",IF($G1023="","-",INDEX(SETUP!$B$26:$B$32,MATCH($G1023,SETUP!$A$26:$A$32,1))))</f>
        <v>62,000 - 62,999</v>
      </c>
      <c r="I1023" s="70">
        <v>3655</v>
      </c>
      <c r="J1023" s="19" t="str">
        <f>IF($C1023="","",IF($I1023="","-",INDEX(SETUP!$B$16:$B$22,MATCH($I1023,SETUP!$A$16:$A$22,1))))</f>
        <v>DEVELOPING</v>
      </c>
      <c r="K1023" s="19" t="str">
        <f>IF($C1023="","",IF($I1023="","-",TEXT(INT($I1023/1000)*1000,"#,##0")&amp;" - "&amp;TEXT(INT($I1023/1000)*1000+999,"#,##0")))</f>
        <v>3,000 - 3,999</v>
      </c>
      <c r="L1023" s="71">
        <v>7.45</v>
      </c>
      <c r="M1023" s="19" t="str">
        <f>IF($C1023="","",IF($L1023="","-",INDEX(SETUP!$B$36:$B$42,MATCH($L1023,SETUP!$A$36:$A$42,1))))</f>
        <v>6k - 8k</v>
      </c>
      <c r="N1023" s="21">
        <f>IF($C1023="","",IF(OR($G1023="",$I1023=""),"",ROUND(100*(SETUP!$B$4*MIN(1,$I1023/SETUP!$B$9)+SETUP!$B$5*MAX(0,MIN(1,($G1023-SETUP!$B$10)/(SETUP!$B$11-SETUP!$B$10)))+SETUP!$B$6*MIN(1,IF($L1023="",0,$L1023)/SETUP!$B$12)),1)))</f>
        <v>49.1</v>
      </c>
      <c r="O1023" s="19" t="str">
        <f>IF($C1023="","",IF($N1023="","-",INDEX(SETUP!$B$46:$B$51,MATCH($N1023,SETUP!$A$46:$A$51,1))))</f>
        <v>B</v>
      </c>
      <c r="P1023" s="19">
        <f>IF($C1023="","",IF($I1023="","",RANK($I1023,$I$4:$I$1463)+COUNTIF($I$4:$I1023,$I1023)-1))</f>
        <v>687</v>
      </c>
      <c r="Q1023" s="19">
        <f>IF($C1023="","",COUNTIFS($B$4:$B$1463,$B1023,$X$4:$X$1463,"&gt;"&amp;$X1023)+COUNTIFS($B$4:$B1023,$B1023,$X$4:$X1023,"="&amp;$X1023))</f>
        <v>69</v>
      </c>
      <c r="R1023" s="75">
        <f>IF($C1023="","",IF($I1023="","",ROUND(COUNTIF($I$4:$I$1463,"&lt;"&amp;$I1023)/COUNT($I$4:$I$1463),3)))</f>
        <v>0.48199999999999998</v>
      </c>
      <c r="S1023" s="19" t="str">
        <f>IF($C1023="","",IF($G1023="","Name only",IF(OR($I1023="",$L1023=""),"Partial","Complete")))</f>
        <v>Complete</v>
      </c>
      <c r="T1023" s="1" t="str">
        <f>IF($C1023="","",TRIM(IF(COUNTIF($C$4:$C$1463,$C1023)&gt;1,"Dup name; ","")&amp;IF(AND($G1023&lt;&gt;"",$G1023&lt;55000),"Low CR - verify; ","")&amp;IF(AND($L1023&lt;&gt;"",$L1023&gt;15),"Secondary - verify; ","")&amp;IF($E1023="","No class; ","")))</f>
        <v/>
      </c>
      <c r="U1023" s="68"/>
      <c r="V1023" s="68"/>
      <c r="W1023" s="68"/>
      <c r="X1023" s="76">
        <f t="shared" si="77"/>
        <v>3655</v>
      </c>
      <c r="Y1023" s="1" t="str">
        <f t="shared" si="78"/>
        <v>AZUKI|69</v>
      </c>
      <c r="Z1023" s="19">
        <f>IF($C1023="","",IF($G1023="","",RANK($G1023,$G$4:$G$1463)+COUNTIF($G$4:$G1023,$G1023)-1))</f>
        <v>491</v>
      </c>
      <c r="AA1023" s="19">
        <f>IF($C1023="","",IF($N1023="","",RANK($N1023,$N$4:$N$1463)+COUNTIF($N$4:$N1023,$N1023)-1))</f>
        <v>483</v>
      </c>
      <c r="AB1023" s="1" t="str">
        <f>IF($C1023="","",IF($E1023="","",$E1023&amp;"#"&amp;(COUNTIFS($E$4:$E$1463,$E1023,$X$4:$X$1463,"&gt;"&amp;$X1023)+COUNTIFS($E$4:$E1023,$E1023,$X$4:$X1023,"="&amp;$X1023))))</f>
        <v>WARLOCK#168</v>
      </c>
      <c r="AC1023" s="1" t="str">
        <f>IF($C1023="","",$B1023&amp;"@"&amp;(COUNTIFS($B$4:$B$1463,$B1023,$C$4:$C$1463,"&lt;"&amp;$C1023)+COUNTIFS($B$4:$B1023,$B1023,$C$4:$C1023,$C1023)))</f>
        <v>AZUKI@79</v>
      </c>
      <c r="AD1023" s="1">
        <f t="shared" si="79"/>
        <v>1020</v>
      </c>
      <c r="AE1023" s="1" t="s">
        <v>2272</v>
      </c>
      <c r="AF1023" s="76">
        <f t="shared" si="80"/>
        <v>62861</v>
      </c>
      <c r="AG1023" s="77">
        <f t="shared" si="81"/>
        <v>7.45</v>
      </c>
      <c r="AH1023" s="1" t="str">
        <f>IF($C1023="","",$B1023&amp;"|"&amp;(COUNTIFS($B$4:$B$1463,$B1023,$AF$4:$AF$1463,"&gt;"&amp;$AF1023)+COUNTIFS($B$4:$B1023,$B1023,$AF$4:$AF1023,"="&amp;$AF1023)))</f>
        <v>AZUKI|48</v>
      </c>
      <c r="AI1023" s="1" t="str">
        <f>IF($C1023="","",$B1023&amp;"|"&amp;(COUNTIFS($B$4:$B$1463,$B1023,$AG$4:$AG$1463,"&gt;"&amp;$AG1023)+COUNTIFS($B$4:$B1023,$B1023,$AG$4:$AG1023,"="&amp;$AG1023)))</f>
        <v>AZUKI|24</v>
      </c>
    </row>
    <row r="1024" spans="1:35" hidden="1">
      <c r="A1024" s="69" t="s">
        <v>106</v>
      </c>
      <c r="B1024" s="69" t="s">
        <v>105</v>
      </c>
      <c r="C1024" s="63" t="s">
        <v>2273</v>
      </c>
      <c r="D1024" s="69" t="s">
        <v>691</v>
      </c>
      <c r="E1024" s="68" t="s">
        <v>71</v>
      </c>
      <c r="F1024" s="15" t="str">
        <f>IF($C1024="","",IF($E1024="","-",IFERROR(INDEX(SETUP!$B$55:$B$64,MATCH($E1024,SETUP!$A$55:$A$64,0)),"Other")))</f>
        <v>Frontline</v>
      </c>
      <c r="G1024" s="70">
        <v>63224</v>
      </c>
      <c r="H1024" s="15" t="str">
        <f>IF($C1024="","",IF($G1024="","-",INDEX(SETUP!$B$26:$B$32,MATCH($G1024,SETUP!$A$26:$A$32,1))))</f>
        <v>63,000 - 63,999</v>
      </c>
      <c r="I1024" s="70">
        <v>3803</v>
      </c>
      <c r="J1024" s="15" t="str">
        <f>IF($C1024="","",IF($I1024="","-",INDEX(SETUP!$B$16:$B$22,MATCH($I1024,SETUP!$A$16:$A$22,1))))</f>
        <v>DEVELOPING</v>
      </c>
      <c r="K1024" s="15" t="str">
        <f>IF($C1024="","",IF($I1024="","-",TEXT(INT($I1024/1000)*1000,"#,##0")&amp;" - "&amp;TEXT(INT($I1024/1000)*1000+999,"#,##0")))</f>
        <v>3,000 - 3,999</v>
      </c>
      <c r="L1024" s="71">
        <v>4.58</v>
      </c>
      <c r="M1024" s="15" t="str">
        <f>IF($C1024="","",IF($L1024="","-",INDEX(SETUP!$B$36:$B$42,MATCH($L1024,SETUP!$A$36:$A$42,1))))</f>
        <v>4k - 5k</v>
      </c>
      <c r="N1024" s="17">
        <f>IF($C1024="","",IF(OR($G1024="",$I1024=""),"",ROUND(100*(SETUP!$B$4*MIN(1,$I1024/SETUP!$B$9)+SETUP!$B$5*MAX(0,MIN(1,($G1024-SETUP!$B$10)/(SETUP!$B$11-SETUP!$B$10)))+SETUP!$B$6*MIN(1,IF($L1024="",0,$L1024)/SETUP!$B$12)),1)))</f>
        <v>45.9</v>
      </c>
      <c r="O1024" s="15" t="str">
        <f>IF($C1024="","",IF($N1024="","-",INDEX(SETUP!$B$46:$B$51,MATCH($N1024,SETUP!$A$46:$A$51,1))))</f>
        <v>B</v>
      </c>
      <c r="P1024" s="15">
        <f>IF($C1024="","",IF($I1024="","",RANK($I1024,$I$4:$I$1463)+COUNTIF($I$4:$I1024,$I1024)-1))</f>
        <v>646</v>
      </c>
      <c r="Q1024" s="15">
        <f>IF($C1024="","",COUNTIFS($B$4:$B$1463,$B1024,$X$4:$X$1463,"&gt;"&amp;$X1024)+COUNTIFS($B$4:$B1024,$B1024,$X$4:$X1024,"="&amp;$X1024))</f>
        <v>77</v>
      </c>
      <c r="R1024" s="72">
        <f>IF($C1024="","",IF($I1024="","",ROUND(COUNTIF($I$4:$I$1463,"&lt;"&amp;$I1024)/COUNT($I$4:$I$1463),3)))</f>
        <v>0.51200000000000001</v>
      </c>
      <c r="S1024" s="15" t="str">
        <f>IF($C1024="","",IF($G1024="","Name only",IF(OR($I1024="",$L1024=""),"Partial","Complete")))</f>
        <v>Complete</v>
      </c>
      <c r="T1024" s="41" t="str">
        <f>IF($C1024="","",TRIM(IF(COUNTIF($C$4:$C$1463,$C1024)&gt;1,"Dup name; ","")&amp;IF(AND($G1024&lt;&gt;"",$G1024&lt;55000),"Low CR - verify; ","")&amp;IF(AND($L1024&lt;&gt;"",$L1024&gt;15),"Secondary - verify; ","")&amp;IF($E1024="","No class; ","")))</f>
        <v/>
      </c>
      <c r="U1024" s="68"/>
      <c r="V1024" s="68"/>
      <c r="W1024" s="68"/>
      <c r="X1024" s="73">
        <f t="shared" si="77"/>
        <v>3803</v>
      </c>
      <c r="Y1024" s="41" t="str">
        <f t="shared" si="78"/>
        <v>LEGENDS|77</v>
      </c>
      <c r="Z1024" s="15">
        <f>IF($C1024="","",IF($G1024="","",RANK($G1024,$G$4:$G$1463)+COUNTIF($G$4:$G1024,$G1024)-1))</f>
        <v>305</v>
      </c>
      <c r="AA1024" s="15">
        <f>IF($C1024="","",IF($N1024="","",RANK($N1024,$N$4:$N$1463)+COUNTIF($N$4:$N1024,$N1024)-1))</f>
        <v>594</v>
      </c>
      <c r="AB1024" s="41" t="str">
        <f>IF($C1024="","",IF($E1024="","",$E1024&amp;"#"&amp;(COUNTIFS($E$4:$E$1463,$E1024,$X$4:$X$1463,"&gt;"&amp;$X1024)+COUNTIFS($E$4:$E1024,$E1024,$X$4:$X1024,"="&amp;$X1024))))</f>
        <v>BARBARIAN#119</v>
      </c>
      <c r="AC1024" s="41" t="str">
        <f>IF($C1024="","",$B1024&amp;"@"&amp;(COUNTIFS($B$4:$B$1463,$B1024,$C$4:$C$1463,"&lt;"&amp;$C1024)+COUNTIFS($B$4:$B1024,$B1024,$C$4:$C1024,$C1024)))</f>
        <v>LEGENDS@80</v>
      </c>
      <c r="AD1024" s="41">
        <f t="shared" si="79"/>
        <v>1021</v>
      </c>
      <c r="AE1024" s="41" t="s">
        <v>2274</v>
      </c>
      <c r="AF1024" s="73">
        <f t="shared" si="80"/>
        <v>63224</v>
      </c>
      <c r="AG1024" s="74">
        <f t="shared" si="81"/>
        <v>4.58</v>
      </c>
      <c r="AH1024" s="41" t="str">
        <f>IF($C1024="","",$B1024&amp;"|"&amp;(COUNTIFS($B$4:$B$1463,$B1024,$AF$4:$AF$1463,"&gt;"&amp;$AF1024)+COUNTIFS($B$4:$B1024,$B1024,$AF$4:$AF1024,"="&amp;$AF1024)))</f>
        <v>LEGENDS|41</v>
      </c>
      <c r="AI1024" s="41" t="str">
        <f>IF($C1024="","",$B1024&amp;"|"&amp;(COUNTIFS($B$4:$B$1463,$B1024,$AG$4:$AG$1463,"&gt;"&amp;$AG1024)+COUNTIFS($B$4:$B1024,$B1024,$AG$4:$AG1024,"="&amp;$AG1024)))</f>
        <v>LEGENDS|76</v>
      </c>
    </row>
    <row r="1025" spans="1:35" hidden="1">
      <c r="A1025" s="69" t="s">
        <v>106</v>
      </c>
      <c r="B1025" s="69" t="s">
        <v>105</v>
      </c>
      <c r="C1025" s="63" t="s">
        <v>2275</v>
      </c>
      <c r="D1025" s="69" t="s">
        <v>691</v>
      </c>
      <c r="E1025" s="68" t="s">
        <v>79</v>
      </c>
      <c r="F1025" s="19" t="str">
        <f>IF($C1025="","",IF($E1025="","-",IFERROR(INDEX(SETUP!$B$55:$B$64,MATCH($E1025,SETUP!$A$55:$A$64,0)),"Other")))</f>
        <v>Control</v>
      </c>
      <c r="G1025" s="70">
        <v>62391</v>
      </c>
      <c r="H1025" s="19" t="str">
        <f>IF($C1025="","",IF($G1025="","-",INDEX(SETUP!$B$26:$B$32,MATCH($G1025,SETUP!$A$26:$A$32,1))))</f>
        <v>62,000 - 62,999</v>
      </c>
      <c r="I1025" s="70">
        <v>5457</v>
      </c>
      <c r="J1025" s="19" t="str">
        <f>IF($C1025="","",IF($I1025="","-",INDEX(SETUP!$B$16:$B$22,MATCH($I1025,SETUP!$A$16:$A$22,1))))</f>
        <v>CORE</v>
      </c>
      <c r="K1025" s="19" t="str">
        <f>IF($C1025="","",IF($I1025="","-",TEXT(INT($I1025/1000)*1000,"#,##0")&amp;" - "&amp;TEXT(INT($I1025/1000)*1000+999,"#,##0")))</f>
        <v>5,000 - 5,999</v>
      </c>
      <c r="L1025" s="71">
        <v>5.78</v>
      </c>
      <c r="M1025" s="19" t="str">
        <f>IF($C1025="","",IF($L1025="","-",INDEX(SETUP!$B$36:$B$42,MATCH($L1025,SETUP!$A$36:$A$42,1))))</f>
        <v>5k - 6k</v>
      </c>
      <c r="N1025" s="21">
        <f>IF($C1025="","",IF(OR($G1025="",$I1025=""),"",ROUND(100*(SETUP!$B$4*MIN(1,$I1025/SETUP!$B$9)+SETUP!$B$5*MAX(0,MIN(1,($G1025-SETUP!$B$10)/(SETUP!$B$11-SETUP!$B$10)))+SETUP!$B$6*MIN(1,IF($L1025="",0,$L1025)/SETUP!$B$12)),1)))</f>
        <v>52.9</v>
      </c>
      <c r="O1025" s="19" t="str">
        <f>IF($C1025="","",IF($N1025="","-",INDEX(SETUP!$B$46:$B$51,MATCH($N1025,SETUP!$A$46:$A$51,1))))</f>
        <v>A</v>
      </c>
      <c r="P1025" s="19">
        <f>IF($C1025="","",IF($I1025="","",RANK($I1025,$I$4:$I$1463)+COUNTIF($I$4:$I1025,$I1025)-1))</f>
        <v>342</v>
      </c>
      <c r="Q1025" s="19">
        <f>IF($C1025="","",COUNTIFS($B$4:$B$1463,$B1025,$X$4:$X$1463,"&gt;"&amp;$X1025)+COUNTIFS($B$4:$B1025,$B1025,$X$4:$X1025,"="&amp;$X1025))</f>
        <v>39</v>
      </c>
      <c r="R1025" s="75">
        <f>IF($C1025="","",IF($I1025="","",ROUND(COUNTIF($I$4:$I$1463,"&lt;"&amp;$I1025)/COUNT($I$4:$I$1463),3)))</f>
        <v>0.74199999999999999</v>
      </c>
      <c r="S1025" s="19" t="str">
        <f>IF($C1025="","",IF($G1025="","Name only",IF(OR($I1025="",$L1025=""),"Partial","Complete")))</f>
        <v>Complete</v>
      </c>
      <c r="T1025" s="1" t="str">
        <f>IF($C1025="","",TRIM(IF(COUNTIF($C$4:$C$1463,$C1025)&gt;1,"Dup name; ","")&amp;IF(AND($G1025&lt;&gt;"",$G1025&lt;55000),"Low CR - verify; ","")&amp;IF(AND($L1025&lt;&gt;"",$L1025&gt;15),"Secondary - verify; ","")&amp;IF($E1025="","No class; ","")))</f>
        <v/>
      </c>
      <c r="U1025" s="68"/>
      <c r="V1025" s="68"/>
      <c r="W1025" s="68"/>
      <c r="X1025" s="76">
        <f t="shared" si="77"/>
        <v>5457</v>
      </c>
      <c r="Y1025" s="1" t="str">
        <f t="shared" si="78"/>
        <v>LEGENDS|39</v>
      </c>
      <c r="Z1025" s="19">
        <f>IF($C1025="","",IF($G1025="","",RANK($G1025,$G$4:$G$1463)+COUNTIF($G$4:$G1025,$G1025)-1))</f>
        <v>696</v>
      </c>
      <c r="AA1025" s="19">
        <f>IF($C1025="","",IF($N1025="","",RANK($N1025,$N$4:$N$1463)+COUNTIF($N$4:$N1025,$N1025)-1))</f>
        <v>369</v>
      </c>
      <c r="AB1025" s="1" t="str">
        <f>IF($C1025="","",IF($E1025="","",$E1025&amp;"#"&amp;(COUNTIFS($E$4:$E$1463,$E1025,$X$4:$X$1463,"&gt;"&amp;$X1025)+COUNTIFS($E$4:$E1025,$E1025,$X$4:$X1025,"="&amp;$X1025))))</f>
        <v>WARLOCK#77</v>
      </c>
      <c r="AC1025" s="1" t="str">
        <f>IF($C1025="","",$B1025&amp;"@"&amp;(COUNTIFS($B$4:$B$1463,$B1025,$C$4:$C$1463,"&lt;"&amp;$C1025)+COUNTIFS($B$4:$B1025,$B1025,$C$4:$C1025,$C1025)))</f>
        <v>LEGENDS@81</v>
      </c>
      <c r="AD1025" s="1">
        <f t="shared" si="79"/>
        <v>1022</v>
      </c>
      <c r="AE1025" s="1" t="s">
        <v>2276</v>
      </c>
      <c r="AF1025" s="76">
        <f t="shared" si="80"/>
        <v>62391</v>
      </c>
      <c r="AG1025" s="77">
        <f t="shared" si="81"/>
        <v>5.78</v>
      </c>
      <c r="AH1025" s="1" t="str">
        <f>IF($C1025="","",$B1025&amp;"|"&amp;(COUNTIFS($B$4:$B$1463,$B1025,$AF$4:$AF$1463,"&gt;"&amp;$AF1025)+COUNTIFS($B$4:$B1025,$B1025,$AF$4:$AF1025,"="&amp;$AF1025)))</f>
        <v>LEGENDS|72</v>
      </c>
      <c r="AI1025" s="1" t="str">
        <f>IF($C1025="","",$B1025&amp;"|"&amp;(COUNTIFS($B$4:$B$1463,$B1025,$AG$4:$AG$1463,"&gt;"&amp;$AG1025)+COUNTIFS($B$4:$B1025,$B1025,$AG$4:$AG1025,"="&amp;$AG1025)))</f>
        <v>LEGENDS|27</v>
      </c>
    </row>
    <row r="1026" spans="1:35" hidden="1">
      <c r="A1026" s="69" t="s">
        <v>109</v>
      </c>
      <c r="B1026" s="69" t="s">
        <v>108</v>
      </c>
      <c r="C1026" s="63" t="s">
        <v>2277</v>
      </c>
      <c r="D1026" s="69"/>
      <c r="E1026" s="68" t="s">
        <v>77</v>
      </c>
      <c r="F1026" s="15" t="str">
        <f>IF($C1026="","",IF($E1026="","-",IFERROR(INDEX(SETUP!$B$55:$B$64,MATCH($E1026,SETUP!$A$55:$A$64,0)),"Other")))</f>
        <v>Control</v>
      </c>
      <c r="G1026" s="70">
        <v>63632</v>
      </c>
      <c r="H1026" s="15" t="str">
        <f>IF($C1026="","",IF($G1026="","-",INDEX(SETUP!$B$26:$B$32,MATCH($G1026,SETUP!$A$26:$A$32,1))))</f>
        <v>63,000 - 63,999</v>
      </c>
      <c r="I1026" s="70">
        <v>7051</v>
      </c>
      <c r="J1026" s="15" t="str">
        <f>IF($C1026="","",IF($I1026="","-",INDEX(SETUP!$B$16:$B$22,MATCH($I1026,SETUP!$A$16:$A$22,1))))</f>
        <v>VETERAN</v>
      </c>
      <c r="K1026" s="15" t="str">
        <f>IF($C1026="","",IF($I1026="","-",TEXT(INT($I1026/1000)*1000,"#,##0")&amp;" - "&amp;TEXT(INT($I1026/1000)*1000+999,"#,##0")))</f>
        <v>7,000 - 7,999</v>
      </c>
      <c r="L1026" s="71">
        <v>5.2</v>
      </c>
      <c r="M1026" s="15" t="str">
        <f>IF($C1026="","",IF($L1026="","-",INDEX(SETUP!$B$36:$B$42,MATCH($L1026,SETUP!$A$36:$A$42,1))))</f>
        <v>5k - 6k</v>
      </c>
      <c r="N1026" s="17">
        <f>IF($C1026="","",IF(OR($G1026="",$I1026=""),"",ROUND(100*(SETUP!$B$4*MIN(1,$I1026/SETUP!$B$9)+SETUP!$B$5*MAX(0,MIN(1,($G1026-SETUP!$B$10)/(SETUP!$B$11-SETUP!$B$10)))+SETUP!$B$6*MIN(1,IF($L1026="",0,$L1026)/SETUP!$B$12)),1)))</f>
        <v>62.2</v>
      </c>
      <c r="O1026" s="15" t="str">
        <f>IF($C1026="","",IF($N1026="","-",INDEX(SETUP!$B$46:$B$51,MATCH($N1026,SETUP!$A$46:$A$51,1))))</f>
        <v>A</v>
      </c>
      <c r="P1026" s="15">
        <f>IF($C1026="","",IF($I1026="","",RANK($I1026,$I$4:$I$1463)+COUNTIF($I$4:$I1026,$I1026)-1))</f>
        <v>220</v>
      </c>
      <c r="Q1026" s="15">
        <f>IF($C1026="","",COUNTIFS($B$4:$B$1463,$B1026,$X$4:$X$1463,"&gt;"&amp;$X1026)+COUNTIFS($B$4:$B1026,$B1026,$X$4:$X1026,"="&amp;$X1026))</f>
        <v>34</v>
      </c>
      <c r="R1026" s="72">
        <f>IF($C1026="","",IF($I1026="","",ROUND(COUNTIF($I$4:$I$1463,"&lt;"&amp;$I1026)/COUNT($I$4:$I$1463),3)))</f>
        <v>0.83399999999999996</v>
      </c>
      <c r="S1026" s="15" t="str">
        <f>IF($C1026="","",IF($G1026="","Name only",IF(OR($I1026="",$L1026=""),"Partial","Complete")))</f>
        <v>Complete</v>
      </c>
      <c r="T1026" s="41" t="str">
        <f>IF($C1026="","",TRIM(IF(COUNTIF($C$4:$C$1463,$C1026)&gt;1,"Dup name; ","")&amp;IF(AND($G1026&lt;&gt;"",$G1026&lt;55000),"Low CR - verify; ","")&amp;IF(AND($L1026&lt;&gt;"",$L1026&gt;15),"Secondary - verify; ","")&amp;IF($E1026="","No class; ","")))</f>
        <v/>
      </c>
      <c r="U1026" s="68"/>
      <c r="V1026" s="68"/>
      <c r="W1026" s="68"/>
      <c r="X1026" s="73">
        <f t="shared" si="77"/>
        <v>7051</v>
      </c>
      <c r="Y1026" s="41" t="str">
        <f t="shared" si="78"/>
        <v>SBG|34</v>
      </c>
      <c r="Z1026" s="15">
        <f>IF($C1026="","",IF($G1026="","",RANK($G1026,$G$4:$G$1463)+COUNTIF($G$4:$G1026,$G1026)-1))</f>
        <v>159</v>
      </c>
      <c r="AA1026" s="15">
        <f>IF($C1026="","",IF($N1026="","",RANK($N1026,$N$4:$N$1463)+COUNTIF($N$4:$N1026,$N1026)-1))</f>
        <v>213</v>
      </c>
      <c r="AB1026" s="41" t="str">
        <f>IF($C1026="","",IF($E1026="","",$E1026&amp;"#"&amp;(COUNTIFS($E$4:$E$1463,$E1026,$X$4:$X$1463,"&gt;"&amp;$X1026)+COUNTIFS($E$4:$E1026,$E1026,$X$4:$X1026,"="&amp;$X1026))))</f>
        <v>NECROMANCER#8</v>
      </c>
      <c r="AC1026" s="41" t="str">
        <f>IF($C1026="","",$B1026&amp;"@"&amp;(COUNTIFS($B$4:$B$1463,$B1026,$C$4:$C$1463,"&lt;"&amp;$C1026)+COUNTIFS($B$4:$B1026,$B1026,$C$4:$C1026,$C1026)))</f>
        <v>SBG@71</v>
      </c>
      <c r="AD1026" s="41">
        <f t="shared" si="79"/>
        <v>1023</v>
      </c>
      <c r="AE1026" s="41" t="s">
        <v>2278</v>
      </c>
      <c r="AF1026" s="73">
        <f t="shared" si="80"/>
        <v>63632</v>
      </c>
      <c r="AG1026" s="74">
        <f t="shared" si="81"/>
        <v>5.2</v>
      </c>
      <c r="AH1026" s="41" t="str">
        <f>IF($C1026="","",$B1026&amp;"|"&amp;(COUNTIFS($B$4:$B$1463,$B1026,$AF$4:$AF$1463,"&gt;"&amp;$AF1026)+COUNTIFS($B$4:$B1026,$B1026,$AF$4:$AF1026,"="&amp;$AF1026)))</f>
        <v>SBG|28</v>
      </c>
      <c r="AI1026" s="41" t="str">
        <f>IF($C1026="","",$B1026&amp;"|"&amp;(COUNTIFS($B$4:$B$1463,$B1026,$AG$4:$AG$1463,"&gt;"&amp;$AG1026)+COUNTIFS($B$4:$B1026,$B1026,$AG$4:$AG1026,"="&amp;$AG1026)))</f>
        <v>SBG|68</v>
      </c>
    </row>
    <row r="1027" spans="1:35" hidden="1">
      <c r="A1027" s="69" t="s">
        <v>109</v>
      </c>
      <c r="B1027" s="69" t="s">
        <v>108</v>
      </c>
      <c r="C1027" s="63" t="s">
        <v>2279</v>
      </c>
      <c r="D1027" s="69"/>
      <c r="E1027" s="68" t="s">
        <v>74</v>
      </c>
      <c r="F1027" s="19" t="str">
        <f>IF($C1027="","",IF($E1027="","-",IFERROR(INDEX(SETUP!$B$55:$B$64,MATCH($E1027,SETUP!$A$55:$A$64,0)),"Other")))</f>
        <v>Ranged DPS</v>
      </c>
      <c r="G1027" s="70">
        <v>63266</v>
      </c>
      <c r="H1027" s="19" t="str">
        <f>IF($C1027="","",IF($G1027="","-",INDEX(SETUP!$B$26:$B$32,MATCH($G1027,SETUP!$A$26:$A$32,1))))</f>
        <v>63,000 - 63,999</v>
      </c>
      <c r="I1027" s="70">
        <v>3555</v>
      </c>
      <c r="J1027" s="19" t="str">
        <f>IF($C1027="","",IF($I1027="","-",INDEX(SETUP!$B$16:$B$22,MATCH($I1027,SETUP!$A$16:$A$22,1))))</f>
        <v>DEVELOPING</v>
      </c>
      <c r="K1027" s="19" t="str">
        <f>IF($C1027="","",IF($I1027="","-",TEXT(INT($I1027/1000)*1000,"#,##0")&amp;" - "&amp;TEXT(INT($I1027/1000)*1000+999,"#,##0")))</f>
        <v>3,000 - 3,999</v>
      </c>
      <c r="L1027" s="71">
        <v>5.65</v>
      </c>
      <c r="M1027" s="19" t="str">
        <f>IF($C1027="","",IF($L1027="","-",INDEX(SETUP!$B$36:$B$42,MATCH($L1027,SETUP!$A$36:$A$42,1))))</f>
        <v>5k - 6k</v>
      </c>
      <c r="N1027" s="21">
        <f>IF($C1027="","",IF(OR($G1027="",$I1027=""),"",ROUND(100*(SETUP!$B$4*MIN(1,$I1027/SETUP!$B$9)+SETUP!$B$5*MAX(0,MIN(1,($G1027-SETUP!$B$10)/(SETUP!$B$11-SETUP!$B$10)))+SETUP!$B$6*MIN(1,IF($L1027="",0,$L1027)/SETUP!$B$12)),1)))</f>
        <v>46.7</v>
      </c>
      <c r="O1027" s="19" t="str">
        <f>IF($C1027="","",IF($N1027="","-",INDEX(SETUP!$B$46:$B$51,MATCH($N1027,SETUP!$A$46:$A$51,1))))</f>
        <v>B</v>
      </c>
      <c r="P1027" s="19">
        <f>IF($C1027="","",IF($I1027="","",RANK($I1027,$I$4:$I$1463)+COUNTIF($I$4:$I1027,$I1027)-1))</f>
        <v>713</v>
      </c>
      <c r="Q1027" s="19">
        <f>IF($C1027="","",COUNTIFS($B$4:$B$1463,$B1027,$X$4:$X$1463,"&gt;"&amp;$X1027)+COUNTIFS($B$4:$B1027,$B1027,$X$4:$X1027,"="&amp;$X1027))</f>
        <v>82</v>
      </c>
      <c r="R1027" s="75">
        <f>IF($C1027="","",IF($I1027="","",ROUND(COUNTIF($I$4:$I$1463,"&lt;"&amp;$I1027)/COUNT($I$4:$I$1463),3)))</f>
        <v>0.46200000000000002</v>
      </c>
      <c r="S1027" s="19" t="str">
        <f>IF($C1027="","",IF($G1027="","Name only",IF(OR($I1027="",$L1027=""),"Partial","Complete")))</f>
        <v>Complete</v>
      </c>
      <c r="T1027" s="1" t="str">
        <f>IF($C1027="","",TRIM(IF(COUNTIF($C$4:$C$1463,$C1027)&gt;1,"Dup name; ","")&amp;IF(AND($G1027&lt;&gt;"",$G1027&lt;55000),"Low CR - verify; ","")&amp;IF(AND($L1027&lt;&gt;"",$L1027&gt;15),"Secondary - verify; ","")&amp;IF($E1027="","No class; ","")))</f>
        <v/>
      </c>
      <c r="U1027" s="68"/>
      <c r="V1027" s="68"/>
      <c r="W1027" s="68"/>
      <c r="X1027" s="76">
        <f t="shared" si="77"/>
        <v>3555</v>
      </c>
      <c r="Y1027" s="1" t="str">
        <f t="shared" si="78"/>
        <v>SBG|82</v>
      </c>
      <c r="Z1027" s="19">
        <f>IF($C1027="","",IF($G1027="","",RANK($G1027,$G$4:$G$1463)+COUNTIF($G$4:$G1027,$G1027)-1))</f>
        <v>280</v>
      </c>
      <c r="AA1027" s="19">
        <f>IF($C1027="","",IF($N1027="","",RANK($N1027,$N$4:$N$1463)+COUNTIF($N$4:$N1027,$N1027)-1))</f>
        <v>563</v>
      </c>
      <c r="AB1027" s="1" t="str">
        <f>IF($C1027="","",IF($E1027="","",$E1027&amp;"#"&amp;(COUNTIFS($E$4:$E$1463,$E1027,$X$4:$X$1463,"&gt;"&amp;$X1027)+COUNTIFS($E$4:$E1027,$E1027,$X$4:$X1027,"="&amp;$X1027))))</f>
        <v>DEMON HUNTER#116</v>
      </c>
      <c r="AC1027" s="1" t="str">
        <f>IF($C1027="","",$B1027&amp;"@"&amp;(COUNTIFS($B$4:$B$1463,$B1027,$C$4:$C$1463,"&lt;"&amp;$C1027)+COUNTIFS($B$4:$B1027,$B1027,$C$4:$C1027,$C1027)))</f>
        <v>SBG@72</v>
      </c>
      <c r="AD1027" s="1">
        <f t="shared" si="79"/>
        <v>1024</v>
      </c>
      <c r="AE1027" s="1" t="s">
        <v>2280</v>
      </c>
      <c r="AF1027" s="76">
        <f t="shared" si="80"/>
        <v>63266</v>
      </c>
      <c r="AG1027" s="77">
        <f t="shared" si="81"/>
        <v>5.65</v>
      </c>
      <c r="AH1027" s="1" t="str">
        <f>IF($C1027="","",$B1027&amp;"|"&amp;(COUNTIFS($B$4:$B$1463,$B1027,$AF$4:$AF$1463,"&gt;"&amp;$AF1027)+COUNTIFS($B$4:$B1027,$B1027,$AF$4:$AF1027,"="&amp;$AF1027)))</f>
        <v>SBG|34</v>
      </c>
      <c r="AI1027" s="1" t="str">
        <f>IF($C1027="","",$B1027&amp;"|"&amp;(COUNTIFS($B$4:$B$1463,$B1027,$AG$4:$AG$1463,"&gt;"&amp;$AG1027)+COUNTIFS($B$4:$B1027,$B1027,$AG$4:$AG1027,"="&amp;$AG1027)))</f>
        <v>SBG|51</v>
      </c>
    </row>
    <row r="1028" spans="1:35" hidden="1">
      <c r="A1028" s="69" t="s">
        <v>109</v>
      </c>
      <c r="B1028" s="69" t="s">
        <v>111</v>
      </c>
      <c r="C1028" s="63" t="s">
        <v>2281</v>
      </c>
      <c r="D1028" s="69" t="s">
        <v>527</v>
      </c>
      <c r="E1028" s="68" t="s">
        <v>77</v>
      </c>
      <c r="F1028" s="15" t="str">
        <f>IF($C1028="","",IF($E1028="","-",IFERROR(INDEX(SETUP!$B$55:$B$64,MATCH($E1028,SETUP!$A$55:$A$64,0)),"Other")))</f>
        <v>Control</v>
      </c>
      <c r="G1028" s="70">
        <v>62038</v>
      </c>
      <c r="H1028" s="15" t="str">
        <f>IF($C1028="","",IF($G1028="","-",INDEX(SETUP!$B$26:$B$32,MATCH($G1028,SETUP!$A$26:$A$32,1))))</f>
        <v>62,000 - 62,999</v>
      </c>
      <c r="I1028" s="70">
        <v>6504</v>
      </c>
      <c r="J1028" s="15" t="str">
        <f>IF($C1028="","",IF($I1028="","-",INDEX(SETUP!$B$16:$B$22,MATCH($I1028,SETUP!$A$16:$A$22,1))))</f>
        <v>VETERAN</v>
      </c>
      <c r="K1028" s="15" t="str">
        <f>IF($C1028="","",IF($I1028="","-",TEXT(INT($I1028/1000)*1000,"#,##0")&amp;" - "&amp;TEXT(INT($I1028/1000)*1000+999,"#,##0")))</f>
        <v>6,000 - 6,999</v>
      </c>
      <c r="L1028" s="71">
        <v>6.65</v>
      </c>
      <c r="M1028" s="15" t="str">
        <f>IF($C1028="","",IF($L1028="","-",INDEX(SETUP!$B$36:$B$42,MATCH($L1028,SETUP!$A$36:$A$42,1))))</f>
        <v>6k - 8k</v>
      </c>
      <c r="N1028" s="17">
        <f>IF($C1028="","",IF(OR($G1028="",$I1028=""),"",ROUND(100*(SETUP!$B$4*MIN(1,$I1028/SETUP!$B$9)+SETUP!$B$5*MAX(0,MIN(1,($G1028-SETUP!$B$10)/(SETUP!$B$11-SETUP!$B$10)))+SETUP!$B$6*MIN(1,IF($L1028="",0,$L1028)/SETUP!$B$12)),1)))</f>
        <v>58</v>
      </c>
      <c r="O1028" s="15" t="str">
        <f>IF($C1028="","",IF($N1028="","-",INDEX(SETUP!$B$46:$B$51,MATCH($N1028,SETUP!$A$46:$A$51,1))))</f>
        <v>A</v>
      </c>
      <c r="P1028" s="15">
        <f>IF($C1028="","",IF($I1028="","",RANK($I1028,$I$4:$I$1463)+COUNTIF($I$4:$I1028,$I1028)-1))</f>
        <v>247</v>
      </c>
      <c r="Q1028" s="15">
        <f>IF($C1028="","",COUNTIFS($B$4:$B$1463,$B1028,$X$4:$X$1463,"&gt;"&amp;$X1028)+COUNTIFS($B$4:$B1028,$B1028,$X$4:$X1028,"="&amp;$X1028))</f>
        <v>29</v>
      </c>
      <c r="R1028" s="72">
        <f>IF($C1028="","",IF($I1028="","",ROUND(COUNTIF($I$4:$I$1463,"&lt;"&amp;$I1028)/COUNT($I$4:$I$1463),3)))</f>
        <v>0.81399999999999995</v>
      </c>
      <c r="S1028" s="15" t="str">
        <f>IF($C1028="","",IF($G1028="","Name only",IF(OR($I1028="",$L1028=""),"Partial","Complete")))</f>
        <v>Complete</v>
      </c>
      <c r="T1028" s="41" t="str">
        <f>IF($C1028="","",TRIM(IF(COUNTIF($C$4:$C$1463,$C1028)&gt;1,"Dup name; ","")&amp;IF(AND($G1028&lt;&gt;"",$G1028&lt;55000),"Low CR - verify; ","")&amp;IF(AND($L1028&lt;&gt;"",$L1028&gt;15),"Secondary - verify; ","")&amp;IF($E1028="","No class; ","")))</f>
        <v/>
      </c>
      <c r="U1028" s="68"/>
      <c r="V1028" s="68"/>
      <c r="W1028" s="68"/>
      <c r="X1028" s="73">
        <f t="shared" ref="X1028:X1091" si="82">IF($C1028="","",IF($I1028="",-1,$I1028))</f>
        <v>6504</v>
      </c>
      <c r="Y1028" s="41" t="str">
        <f t="shared" ref="Y1028:Y1091" si="83">IF($C1028="","",$B1028&amp;"|"&amp;$Q1028)</f>
        <v>RECKONING|29</v>
      </c>
      <c r="Z1028" s="15">
        <f>IF($C1028="","",IF($G1028="","",RANK($G1028,$G$4:$G$1463)+COUNTIF($G$4:$G1028,$G1028)-1))</f>
        <v>821</v>
      </c>
      <c r="AA1028" s="15">
        <f>IF($C1028="","",IF($N1028="","",RANK($N1028,$N$4:$N$1463)+COUNTIF($N$4:$N1028,$N1028)-1))</f>
        <v>264</v>
      </c>
      <c r="AB1028" s="41" t="str">
        <f>IF($C1028="","",IF($E1028="","",$E1028&amp;"#"&amp;(COUNTIFS($E$4:$E$1463,$E1028,$X$4:$X$1463,"&gt;"&amp;$X1028)+COUNTIFS($E$4:$E1028,$E1028,$X$4:$X1028,"="&amp;$X1028))))</f>
        <v>NECROMANCER#11</v>
      </c>
      <c r="AC1028" s="41" t="str">
        <f>IF($C1028="","",$B1028&amp;"@"&amp;(COUNTIFS($B$4:$B$1463,$B1028,$C$4:$C$1463,"&lt;"&amp;$C1028)+COUNTIFS($B$4:$B1028,$B1028,$C$4:$C1028,$C1028)))</f>
        <v>RECKONING@77</v>
      </c>
      <c r="AD1028" s="41">
        <f t="shared" ref="AD1028:AD1091" si="84">IF($C1028="","",ROW()-4+1)</f>
        <v>1025</v>
      </c>
      <c r="AE1028" s="41" t="s">
        <v>2282</v>
      </c>
      <c r="AF1028" s="73">
        <f t="shared" ref="AF1028:AF1091" si="85">IF($C1028="","",IF($G1028="",-1,$G1028))</f>
        <v>62038</v>
      </c>
      <c r="AG1028" s="74">
        <f t="shared" ref="AG1028:AG1091" si="86">IF($C1028="","",IF($L1028="",-1,$L1028))</f>
        <v>6.65</v>
      </c>
      <c r="AH1028" s="41" t="str">
        <f>IF($C1028="","",$B1028&amp;"|"&amp;(COUNTIFS($B$4:$B$1463,$B1028,$AF$4:$AF$1463,"&gt;"&amp;$AF1028)+COUNTIFS($B$4:$B1028,$B1028,$AF$4:$AF1028,"="&amp;$AF1028)))</f>
        <v>RECKONING|72</v>
      </c>
      <c r="AI1028" s="41" t="str">
        <f>IF($C1028="","",$B1028&amp;"|"&amp;(COUNTIFS($B$4:$B$1463,$B1028,$AG$4:$AG$1463,"&gt;"&amp;$AG1028)+COUNTIFS($B$4:$B1028,$B1028,$AG$4:$AG1028,"="&amp;$AG1028)))</f>
        <v>RECKONING|27</v>
      </c>
    </row>
    <row r="1029" spans="1:35">
      <c r="A1029" s="69" t="s">
        <v>104</v>
      </c>
      <c r="B1029" s="69" t="s">
        <v>66</v>
      </c>
      <c r="C1029" s="63" t="s">
        <v>2173</v>
      </c>
      <c r="D1029" s="69"/>
      <c r="E1029" s="68" t="s">
        <v>75</v>
      </c>
      <c r="F1029" s="15" t="str">
        <f>IF($C1029="","",IF($E1029="","-",IFERROR(INDEX(SETUP!$B$55:$B$64,MATCH($E1029,SETUP!$A$55:$A$64,0)),"Other")))</f>
        <v>Support</v>
      </c>
      <c r="G1029" s="70">
        <v>62798</v>
      </c>
      <c r="H1029" s="15" t="str">
        <f>IF($C1029="","",IF($G1029="","-",INDEX(SETUP!$B$26:$B$32,MATCH($G1029,SETUP!$A$26:$A$32,1))))</f>
        <v>62,000 - 62,999</v>
      </c>
      <c r="I1029" s="70">
        <v>3720</v>
      </c>
      <c r="J1029" s="15" t="str">
        <f>IF($C1029="","",IF($I1029="","-",INDEX(SETUP!$B$16:$B$22,MATCH($I1029,SETUP!$A$16:$A$22,1))))</f>
        <v>DEVELOPING</v>
      </c>
      <c r="K1029" s="15" t="str">
        <f>IF($C1029="","",IF($I1029="","-",TEXT(INT($I1029/1000)*1000,"#,##0")&amp;" - "&amp;TEXT(INT($I1029/1000)*1000+999,"#,##0")))</f>
        <v>3,000 - 3,999</v>
      </c>
      <c r="L1029" s="71">
        <v>4.3</v>
      </c>
      <c r="M1029" s="15" t="str">
        <f>IF($C1029="","",IF($L1029="","-",INDEX(SETUP!$B$36:$B$42,MATCH($L1029,SETUP!$A$36:$A$42,1))))</f>
        <v>4k - 5k</v>
      </c>
      <c r="N1029" s="17">
        <f>IF($C1029="","",IF(OR($G1029="",$I1029=""),"",ROUND(100*(SETUP!$B$4*MIN(1,$I1029/SETUP!$B$9)+SETUP!$B$5*MAX(0,MIN(1,($G1029-SETUP!$B$10)/(SETUP!$B$11-SETUP!$B$10)))+SETUP!$B$6*MIN(1,IF($L1029="",0,$L1029)/SETUP!$B$12)),1)))</f>
        <v>43.9</v>
      </c>
      <c r="O1029" s="15" t="str">
        <f>IF($C1029="","",IF($N1029="","-",INDEX(SETUP!$B$46:$B$51,MATCH($N1029,SETUP!$A$46:$A$51,1))))</f>
        <v>B</v>
      </c>
      <c r="P1029" s="15">
        <f>IF($C1029="","",IF($I1029="","",RANK($I1029,$I$4:$I$1463)+COUNTIF($I$4:$I1029,$I1029)-1))</f>
        <v>674</v>
      </c>
      <c r="Q1029" s="15">
        <f>IF($C1029="","",COUNTIFS($B$4:$B$1463,$B1029,$X$4:$X$1463,"&gt;"&amp;$X1029)+COUNTIFS($B$4:$B1029,$B1029,$X$4:$X1029,"="&amp;$X1029))</f>
        <v>69</v>
      </c>
      <c r="R1029" s="72">
        <f>IF($C1029="","",IF($I1029="","",ROUND(COUNTIF($I$4:$I$1463,"&lt;"&amp;$I1029)/COUNT($I$4:$I$1463),3)))</f>
        <v>0.49099999999999999</v>
      </c>
      <c r="S1029" s="15" t="str">
        <f>IF($C1029="","",IF($G1029="","Name only",IF(OR($I1029="",$L1029=""),"Partial","Complete")))</f>
        <v>Complete</v>
      </c>
      <c r="T1029" s="41" t="str">
        <f>IF($C1029="","",TRIM(IF(COUNTIF($C$4:$C$1463,$C1029)&gt;1,"Dup name; ","")&amp;IF(AND($G1029&lt;&gt;"",$G1029&lt;55000),"Low CR - verify; ","")&amp;IF(AND($L1029&lt;&gt;"",$L1029&gt;15),"Secondary - verify; ","")&amp;IF($E1029="","No class; ","")))</f>
        <v/>
      </c>
      <c r="U1029" s="68" t="s">
        <v>266</v>
      </c>
      <c r="V1029" s="68" t="s">
        <v>66</v>
      </c>
      <c r="W1029" s="68" t="s">
        <v>285</v>
      </c>
      <c r="X1029" s="76">
        <f t="shared" si="82"/>
        <v>3720</v>
      </c>
      <c r="Y1029" s="1" t="str">
        <f t="shared" si="83"/>
        <v>FUCT|69</v>
      </c>
      <c r="Z1029" s="19">
        <f>IF($C1029="","",IF($G1029="","",RANK($G1029,$G$4:$G$1463)+COUNTIF($G$4:$G1029,$G1029)-1))</f>
        <v>520</v>
      </c>
      <c r="AA1029" s="19">
        <f>IF($C1029="","",IF($N1029="","",RANK($N1029,$N$4:$N$1463)+COUNTIF($N$4:$N1029,$N1029)-1))</f>
        <v>672</v>
      </c>
      <c r="AB1029" s="1" t="str">
        <f>IF($C1029="","",IF($E1029="","",$E1029&amp;"#"&amp;(COUNTIFS($E$4:$E$1463,$E1029,$X$4:$X$1463,"&gt;"&amp;$X1029)+COUNTIFS($E$4:$E1029,$E1029,$X$4:$X1029,"="&amp;$X1029))))</f>
        <v>DRUID#33</v>
      </c>
      <c r="AC1029" s="1" t="str">
        <f>IF($C1029="","",$B1029&amp;"@"&amp;(COUNTIFS($B$4:$B$1463,$B1029,$C$4:$C$1463,"&lt;"&amp;$C1029)+COUNTIFS($B$4:$B1029,$B1029,$C$4:$C1029,$C1029)))</f>
        <v>FUCT@74</v>
      </c>
      <c r="AD1029" s="1">
        <f t="shared" si="84"/>
        <v>1026</v>
      </c>
      <c r="AE1029" s="1" t="s">
        <v>2284</v>
      </c>
      <c r="AF1029" s="76">
        <f t="shared" si="85"/>
        <v>62798</v>
      </c>
      <c r="AG1029" s="77">
        <f t="shared" si="86"/>
        <v>4.3</v>
      </c>
      <c r="AH1029" s="1" t="str">
        <f>IF($C1029="","",$B1029&amp;"|"&amp;(COUNTIFS($B$4:$B$1463,$B1029,$AF$4:$AF$1463,"&gt;"&amp;$AF1029)+COUNTIFS($B$4:$B1029,$B1029,$AF$4:$AF1029,"="&amp;$AF1029)))</f>
        <v>FUCT|57</v>
      </c>
      <c r="AI1029" s="1" t="str">
        <f>IF($C1029="","",$B1029&amp;"|"&amp;(COUNTIFS($B$4:$B$1463,$B1029,$AG$4:$AG$1463,"&gt;"&amp;$AG1029)+COUNTIFS($B$4:$B1029,$B1029,$AG$4:$AG1029,"="&amp;$AG1029)))</f>
        <v>FUCT|67</v>
      </c>
    </row>
    <row r="1030" spans="1:35" hidden="1">
      <c r="A1030" s="69" t="s">
        <v>109</v>
      </c>
      <c r="B1030" s="69" t="s">
        <v>108</v>
      </c>
      <c r="C1030" s="63" t="s">
        <v>2285</v>
      </c>
      <c r="D1030" s="69"/>
      <c r="E1030" s="68" t="s">
        <v>74</v>
      </c>
      <c r="F1030" s="15" t="str">
        <f>IF($C1030="","",IF($E1030="","-",IFERROR(INDEX(SETUP!$B$55:$B$64,MATCH($E1030,SETUP!$A$55:$A$64,0)),"Other")))</f>
        <v>Ranged DPS</v>
      </c>
      <c r="G1030" s="70">
        <v>64337</v>
      </c>
      <c r="H1030" s="15" t="str">
        <f>IF($C1030="","",IF($G1030="","-",INDEX(SETUP!$B$26:$B$32,MATCH($G1030,SETUP!$A$26:$A$32,1))))</f>
        <v>64,000 +</v>
      </c>
      <c r="I1030" s="70">
        <v>10345</v>
      </c>
      <c r="J1030" s="15" t="str">
        <f>IF($C1030="","",IF($I1030="","-",INDEX(SETUP!$B$16:$B$22,MATCH($I1030,SETUP!$A$16:$A$22,1))))</f>
        <v>APEX</v>
      </c>
      <c r="K1030" s="15" t="str">
        <f>IF($C1030="","",IF($I1030="","-",TEXT(INT($I1030/1000)*1000,"#,##0")&amp;" - "&amp;TEXT(INT($I1030/1000)*1000+999,"#,##0")))</f>
        <v>10,000 - 10,999</v>
      </c>
      <c r="L1030" s="71">
        <v>7.55</v>
      </c>
      <c r="M1030" s="15" t="str">
        <f>IF($C1030="","",IF($L1030="","-",INDEX(SETUP!$B$36:$B$42,MATCH($L1030,SETUP!$A$36:$A$42,1))))</f>
        <v>6k - 8k</v>
      </c>
      <c r="N1030" s="17">
        <f>IF($C1030="","",IF(OR($G1030="",$I1030=""),"",ROUND(100*(SETUP!$B$4*MIN(1,$I1030/SETUP!$B$9)+SETUP!$B$5*MAX(0,MIN(1,($G1030-SETUP!$B$10)/(SETUP!$B$11-SETUP!$B$10)))+SETUP!$B$6*MIN(1,IF($L1030="",0,$L1030)/SETUP!$B$12)),1)))</f>
        <v>82.3</v>
      </c>
      <c r="O1030" s="15" t="str">
        <f>IF($C1030="","",IF($N1030="","-",INDEX(SETUP!$B$46:$B$51,MATCH($N1030,SETUP!$A$46:$A$51,1))))</f>
        <v>S+</v>
      </c>
      <c r="P1030" s="15">
        <f>IF($C1030="","",IF($I1030="","",RANK($I1030,$I$4:$I$1463)+COUNTIF($I$4:$I1030,$I1030)-1))</f>
        <v>31</v>
      </c>
      <c r="Q1030" s="15">
        <f>IF($C1030="","",COUNTIFS($B$4:$B$1463,$B1030,$X$4:$X$1463,"&gt;"&amp;$X1030)+COUNTIFS($B$4:$B1030,$B1030,$X$4:$X1030,"="&amp;$X1030))</f>
        <v>6</v>
      </c>
      <c r="R1030" s="72">
        <f>IF($C1030="","",IF($I1030="","",ROUND(COUNTIF($I$4:$I$1463,"&lt;"&amp;$I1030)/COUNT($I$4:$I$1463),3)))</f>
        <v>0.97699999999999998</v>
      </c>
      <c r="S1030" s="15" t="str">
        <f>IF($C1030="","",IF($G1030="","Name only",IF(OR($I1030="",$L1030=""),"Partial","Complete")))</f>
        <v>Complete</v>
      </c>
      <c r="T1030" s="41" t="str">
        <f>IF($C1030="","",TRIM(IF(COUNTIF($C$4:$C$1463,$C1030)&gt;1,"Dup name; ","")&amp;IF(AND($G1030&lt;&gt;"",$G1030&lt;55000),"Low CR - verify; ","")&amp;IF(AND($L1030&lt;&gt;"",$L1030&gt;15),"Secondary - verify; ","")&amp;IF($E1030="","No class; ","")))</f>
        <v/>
      </c>
      <c r="U1030" s="68"/>
      <c r="V1030" s="68"/>
      <c r="W1030" s="68"/>
      <c r="X1030" s="73">
        <f t="shared" si="82"/>
        <v>10345</v>
      </c>
      <c r="Y1030" s="41" t="str">
        <f t="shared" si="83"/>
        <v>SBG|6</v>
      </c>
      <c r="Z1030" s="15">
        <f>IF($C1030="","",IF($G1030="","",RANK($G1030,$G$4:$G$1463)+COUNTIF($G$4:$G1030,$G1030)-1))</f>
        <v>20</v>
      </c>
      <c r="AA1030" s="15">
        <f>IF($C1030="","",IF($N1030="","",RANK($N1030,$N$4:$N$1463)+COUNTIF($N$4:$N1030,$N1030)-1))</f>
        <v>36</v>
      </c>
      <c r="AB1030" s="41" t="str">
        <f>IF($C1030="","",IF($E1030="","",$E1030&amp;"#"&amp;(COUNTIFS($E$4:$E$1463,$E1030,$X$4:$X$1463,"&gt;"&amp;$X1030)+COUNTIFS($E$4:$E1030,$E1030,$X$4:$X1030,"="&amp;$X1030))))</f>
        <v>DEMON HUNTER#5</v>
      </c>
      <c r="AC1030" s="41" t="str">
        <f>IF($C1030="","",$B1030&amp;"@"&amp;(COUNTIFS($B$4:$B$1463,$B1030,$C$4:$C$1463,"&lt;"&amp;$C1030)+COUNTIFS($B$4:$B1030,$B1030,$C$4:$C1030,$C1030)))</f>
        <v>SBG@73</v>
      </c>
      <c r="AD1030" s="41">
        <f t="shared" si="84"/>
        <v>1027</v>
      </c>
      <c r="AE1030" s="41" t="s">
        <v>2286</v>
      </c>
      <c r="AF1030" s="73">
        <f t="shared" si="85"/>
        <v>64337</v>
      </c>
      <c r="AG1030" s="74">
        <f t="shared" si="86"/>
        <v>7.55</v>
      </c>
      <c r="AH1030" s="41" t="str">
        <f>IF($C1030="","",$B1030&amp;"|"&amp;(COUNTIFS($B$4:$B$1463,$B1030,$AF$4:$AF$1463,"&gt;"&amp;$AF1030)+COUNTIFS($B$4:$B1030,$B1030,$AF$4:$AF1030,"="&amp;$AF1030)))</f>
        <v>SBG|4</v>
      </c>
      <c r="AI1030" s="41" t="str">
        <f>IF($C1030="","",$B1030&amp;"|"&amp;(COUNTIFS($B$4:$B$1463,$B1030,$AG$4:$AG$1463,"&gt;"&amp;$AG1030)+COUNTIFS($B$4:$B1030,$B1030,$AG$4:$AG1030,"="&amp;$AG1030)))</f>
        <v>SBG|19</v>
      </c>
    </row>
    <row r="1031" spans="1:35" hidden="1">
      <c r="A1031" s="69" t="s">
        <v>109</v>
      </c>
      <c r="B1031" s="69" t="s">
        <v>114</v>
      </c>
      <c r="C1031" s="63" t="s">
        <v>2287</v>
      </c>
      <c r="D1031" s="69"/>
      <c r="E1031" s="68" t="s">
        <v>73</v>
      </c>
      <c r="F1031" s="19" t="str">
        <f>IF($C1031="","",IF($E1031="","-",IFERROR(INDEX(SETUP!$B$55:$B$64,MATCH($E1031,SETUP!$A$55:$A$64,0)),"Other")))</f>
        <v>Frontline</v>
      </c>
      <c r="G1031" s="70">
        <v>60885</v>
      </c>
      <c r="H1031" s="19" t="str">
        <f>IF($C1031="","",IF($G1031="","-",INDEX(SETUP!$B$26:$B$32,MATCH($G1031,SETUP!$A$26:$A$32,1))))</f>
        <v>60,000 - 60,999</v>
      </c>
      <c r="I1031" s="70">
        <v>3380</v>
      </c>
      <c r="J1031" s="19" t="str">
        <f>IF($C1031="","",IF($I1031="","-",INDEX(SETUP!$B$16:$B$22,MATCH($I1031,SETUP!$A$16:$A$22,1))))</f>
        <v>DEVELOPING</v>
      </c>
      <c r="K1031" s="19" t="str">
        <f>IF($C1031="","",IF($I1031="","-",TEXT(INT($I1031/1000)*1000,"#,##0")&amp;" - "&amp;TEXT(INT($I1031/1000)*1000+999,"#,##0")))</f>
        <v>3,000 - 3,999</v>
      </c>
      <c r="L1031" s="71">
        <v>5</v>
      </c>
      <c r="M1031" s="19" t="str">
        <f>IF($C1031="","",IF($L1031="","-",INDEX(SETUP!$B$36:$B$42,MATCH($L1031,SETUP!$A$36:$A$42,1))))</f>
        <v>5k - 6k</v>
      </c>
      <c r="N1031" s="21">
        <f>IF($C1031="","",IF(OR($G1031="",$I1031=""),"",ROUND(100*(SETUP!$B$4*MIN(1,$I1031/SETUP!$B$9)+SETUP!$B$5*MAX(0,MIN(1,($G1031-SETUP!$B$10)/(SETUP!$B$11-SETUP!$B$10)))+SETUP!$B$6*MIN(1,IF($L1031="",0,$L1031)/SETUP!$B$12)),1)))</f>
        <v>38.6</v>
      </c>
      <c r="O1031" s="19" t="str">
        <f>IF($C1031="","",IF($N1031="","-",INDEX(SETUP!$B$46:$B$51,MATCH($N1031,SETUP!$A$46:$A$51,1))))</f>
        <v>B</v>
      </c>
      <c r="P1031" s="19">
        <f>IF($C1031="","",IF($I1031="","",RANK($I1031,$I$4:$I$1463)+COUNTIF($I$4:$I1031,$I1031)-1))</f>
        <v>763</v>
      </c>
      <c r="Q1031" s="19">
        <f>IF($C1031="","",COUNTIFS($B$4:$B$1463,$B1031,$X$4:$X$1463,"&gt;"&amp;$X1031)+COUNTIFS($B$4:$B1031,$B1031,$X$4:$X1031,"="&amp;$X1031))</f>
        <v>18</v>
      </c>
      <c r="R1031" s="75">
        <f>IF($C1031="","",IF($I1031="","",ROUND(COUNTIF($I$4:$I$1463,"&lt;"&amp;$I1031)/COUNT($I$4:$I$1463),3)))</f>
        <v>0.42399999999999999</v>
      </c>
      <c r="S1031" s="19" t="str">
        <f>IF($C1031="","",IF($G1031="","Name only",IF(OR($I1031="",$L1031=""),"Partial","Complete")))</f>
        <v>Complete</v>
      </c>
      <c r="T1031" s="1" t="str">
        <f>IF($C1031="","",TRIM(IF(COUNTIF($C$4:$C$1463,$C1031)&gt;1,"Dup name; ","")&amp;IF(AND($G1031&lt;&gt;"",$G1031&lt;55000),"Low CR - verify; ","")&amp;IF(AND($L1031&lt;&gt;"",$L1031&gt;15),"Secondary - verify; ","")&amp;IF($E1031="","No class; ","")))</f>
        <v/>
      </c>
      <c r="U1031" s="68"/>
      <c r="V1031" s="68"/>
      <c r="W1031" s="68"/>
      <c r="X1031" s="76">
        <f t="shared" si="82"/>
        <v>3380</v>
      </c>
      <c r="Y1031" s="1" t="str">
        <f t="shared" si="83"/>
        <v>EMERALD LEAF TRIBE|18</v>
      </c>
      <c r="Z1031" s="19">
        <f>IF($C1031="","",IF($G1031="","",RANK($G1031,$G$4:$G$1463)+COUNTIF($G$4:$G1031,$G1031)-1))</f>
        <v>1155</v>
      </c>
      <c r="AA1031" s="19">
        <f>IF($C1031="","",IF($N1031="","",RANK($N1031,$N$4:$N$1463)+COUNTIF($N$4:$N1031,$N1031)-1))</f>
        <v>879</v>
      </c>
      <c r="AB1031" s="1" t="str">
        <f>IF($C1031="","",IF($E1031="","",$E1031&amp;"#"&amp;(COUNTIFS($E$4:$E$1463,$E1031,$X$4:$X$1463,"&gt;"&amp;$X1031)+COUNTIFS($E$4:$E1031,$E1031,$X$4:$X1031,"="&amp;$X1031))))</f>
        <v>CRUSADER#87</v>
      </c>
      <c r="AC1031" s="1" t="str">
        <f>IF($C1031="","",$B1031&amp;"@"&amp;(COUNTIFS($B$4:$B$1463,$B1031,$C$4:$C$1463,"&lt;"&amp;$C1031)+COUNTIFS($B$4:$B1031,$B1031,$C$4:$C1031,$C1031)))</f>
        <v>EMERALD LEAF TRIBE@75</v>
      </c>
      <c r="AD1031" s="1">
        <f t="shared" si="84"/>
        <v>1028</v>
      </c>
      <c r="AE1031" s="1" t="s">
        <v>2288</v>
      </c>
      <c r="AF1031" s="76">
        <f t="shared" si="85"/>
        <v>60885</v>
      </c>
      <c r="AG1031" s="77">
        <f t="shared" si="86"/>
        <v>5</v>
      </c>
      <c r="AH1031" s="1" t="str">
        <f>IF($C1031="","",$B1031&amp;"|"&amp;(COUNTIFS($B$4:$B$1463,$B1031,$AF$4:$AF$1463,"&gt;"&amp;$AF1031)+COUNTIFS($B$4:$B1031,$B1031,$AF$4:$AF1031,"="&amp;$AF1031)))</f>
        <v>EMERALD LEAF TRIBE|60</v>
      </c>
      <c r="AI1031" s="1" t="str">
        <f>IF($C1031="","",$B1031&amp;"|"&amp;(COUNTIFS($B$4:$B$1463,$B1031,$AG$4:$AG$1463,"&gt;"&amp;$AG1031)+COUNTIFS($B$4:$B1031,$B1031,$AG$4:$AG1031,"="&amp;$AG1031)))</f>
        <v>EMERALD LEAF TRIBE|6</v>
      </c>
    </row>
    <row r="1032" spans="1:35" hidden="1">
      <c r="A1032" s="69" t="s">
        <v>109</v>
      </c>
      <c r="B1032" s="69" t="s">
        <v>112</v>
      </c>
      <c r="C1032" s="63" t="s">
        <v>2289</v>
      </c>
      <c r="D1032" s="69" t="s">
        <v>567</v>
      </c>
      <c r="E1032" s="68" t="s">
        <v>74</v>
      </c>
      <c r="F1032" s="15" t="str">
        <f>IF($C1032="","",IF($E1032="","-",IFERROR(INDEX(SETUP!$B$55:$B$64,MATCH($E1032,SETUP!$A$55:$A$64,0)),"Other")))</f>
        <v>Ranged DPS</v>
      </c>
      <c r="G1032" s="70">
        <v>63306</v>
      </c>
      <c r="H1032" s="15" t="str">
        <f>IF($C1032="","",IF($G1032="","-",INDEX(SETUP!$B$26:$B$32,MATCH($G1032,SETUP!$A$26:$A$32,1))))</f>
        <v>63,000 - 63,999</v>
      </c>
      <c r="I1032" s="70">
        <v>4611</v>
      </c>
      <c r="J1032" s="15" t="str">
        <f>IF($C1032="","",IF($I1032="","-",INDEX(SETUP!$B$16:$B$22,MATCH($I1032,SETUP!$A$16:$A$22,1))))</f>
        <v>CORE</v>
      </c>
      <c r="K1032" s="15" t="str">
        <f>IF($C1032="","",IF($I1032="","-",TEXT(INT($I1032/1000)*1000,"#,##0")&amp;" - "&amp;TEXT(INT($I1032/1000)*1000+999,"#,##0")))</f>
        <v>4,000 - 4,999</v>
      </c>
      <c r="L1032" s="71">
        <v>5.35</v>
      </c>
      <c r="M1032" s="15" t="str">
        <f>IF($C1032="","",IF($L1032="","-",INDEX(SETUP!$B$36:$B$42,MATCH($L1032,SETUP!$A$36:$A$42,1))))</f>
        <v>5k - 6k</v>
      </c>
      <c r="N1032" s="17">
        <f>IF($C1032="","",IF(OR($G1032="",$I1032=""),"",ROUND(100*(SETUP!$B$4*MIN(1,$I1032/SETUP!$B$9)+SETUP!$B$5*MAX(0,MIN(1,($G1032-SETUP!$B$10)/(SETUP!$B$11-SETUP!$B$10)))+SETUP!$B$6*MIN(1,IF($L1032="",0,$L1032)/SETUP!$B$12)),1)))</f>
        <v>50.9</v>
      </c>
      <c r="O1032" s="15" t="str">
        <f>IF($C1032="","",IF($N1032="","-",INDEX(SETUP!$B$46:$B$51,MATCH($N1032,SETUP!$A$46:$A$51,1))))</f>
        <v>A</v>
      </c>
      <c r="P1032" s="15">
        <f>IF($C1032="","",IF($I1032="","",RANK($I1032,$I$4:$I$1463)+COUNTIF($I$4:$I1032,$I1032)-1))</f>
        <v>469</v>
      </c>
      <c r="Q1032" s="15">
        <f>IF($C1032="","",COUNTIFS($B$4:$B$1463,$B1032,$X$4:$X$1463,"&gt;"&amp;$X1032)+COUNTIFS($B$4:$B1032,$B1032,$X$4:$X1032,"="&amp;$X1032))</f>
        <v>32</v>
      </c>
      <c r="R1032" s="72">
        <f>IF($C1032="","",IF($I1032="","",ROUND(COUNTIF($I$4:$I$1463,"&lt;"&amp;$I1032)/COUNT($I$4:$I$1463),3)))</f>
        <v>0.64600000000000002</v>
      </c>
      <c r="S1032" s="15" t="str">
        <f>IF($C1032="","",IF($G1032="","Name only",IF(OR($I1032="",$L1032=""),"Partial","Complete")))</f>
        <v>Complete</v>
      </c>
      <c r="T1032" s="41" t="str">
        <f>IF($C1032="","",TRIM(IF(COUNTIF($C$4:$C$1463,$C1032)&gt;1,"Dup name; ","")&amp;IF(AND($G1032&lt;&gt;"",$G1032&lt;55000),"Low CR - verify; ","")&amp;IF(AND($L1032&lt;&gt;"",$L1032&gt;15),"Secondary - verify; ","")&amp;IF($E1032="","No class; ","")))</f>
        <v/>
      </c>
      <c r="U1032" s="68"/>
      <c r="V1032" s="68"/>
      <c r="W1032" s="68"/>
      <c r="X1032" s="73">
        <f t="shared" si="82"/>
        <v>4611</v>
      </c>
      <c r="Y1032" s="41" t="str">
        <f t="shared" si="83"/>
        <v>ACHERON|32</v>
      </c>
      <c r="Z1032" s="15">
        <f>IF($C1032="","",IF($G1032="","",RANK($G1032,$G$4:$G$1463)+COUNTIF($G$4:$G1032,$G1032)-1))</f>
        <v>259</v>
      </c>
      <c r="AA1032" s="15">
        <f>IF($C1032="","",IF($N1032="","",RANK($N1032,$N$4:$N$1463)+COUNTIF($N$4:$N1032,$N1032)-1))</f>
        <v>431</v>
      </c>
      <c r="AB1032" s="41" t="str">
        <f>IF($C1032="","",IF($E1032="","",$E1032&amp;"#"&amp;(COUNTIFS($E$4:$E$1463,$E1032,$X$4:$X$1463,"&gt;"&amp;$X1032)+COUNTIFS($E$4:$E1032,$E1032,$X$4:$X1032,"="&amp;$X1032))))</f>
        <v>DEMON HUNTER#79</v>
      </c>
      <c r="AC1032" s="41" t="str">
        <f>IF($C1032="","",$B1032&amp;"@"&amp;(COUNTIFS($B$4:$B$1463,$B1032,$C$4:$C$1463,"&lt;"&amp;$C1032)+COUNTIFS($B$4:$B1032,$B1032,$C$4:$C1032,$C1032)))</f>
        <v>ACHERON@67</v>
      </c>
      <c r="AD1032" s="41">
        <f t="shared" si="84"/>
        <v>1029</v>
      </c>
      <c r="AE1032" s="41" t="s">
        <v>2290</v>
      </c>
      <c r="AF1032" s="73">
        <f t="shared" si="85"/>
        <v>63306</v>
      </c>
      <c r="AG1032" s="74">
        <f t="shared" si="86"/>
        <v>5.35</v>
      </c>
      <c r="AH1032" s="41" t="str">
        <f>IF($C1032="","",$B1032&amp;"|"&amp;(COUNTIFS($B$4:$B$1463,$B1032,$AF$4:$AF$1463,"&gt;"&amp;$AF1032)+COUNTIFS($B$4:$B1032,$B1032,$AF$4:$AF1032,"="&amp;$AF1032)))</f>
        <v>ACHERON|19</v>
      </c>
      <c r="AI1032" s="41" t="str">
        <f>IF($C1032="","",$B1032&amp;"|"&amp;(COUNTIFS($B$4:$B$1463,$B1032,$AG$4:$AG$1463,"&gt;"&amp;$AG1032)+COUNTIFS($B$4:$B1032,$B1032,$AG$4:$AG1032,"="&amp;$AG1032)))</f>
        <v>ACHERON|35</v>
      </c>
    </row>
    <row r="1033" spans="1:35" hidden="1">
      <c r="A1033" s="69" t="s">
        <v>109</v>
      </c>
      <c r="B1033" s="69" t="s">
        <v>112</v>
      </c>
      <c r="C1033" s="63" t="s">
        <v>2291</v>
      </c>
      <c r="D1033" s="69" t="s">
        <v>567</v>
      </c>
      <c r="E1033" s="68" t="s">
        <v>80</v>
      </c>
      <c r="F1033" s="19" t="str">
        <f>IF($C1033="","",IF($E1033="","-",IFERROR(INDEX(SETUP!$B$55:$B$64,MATCH($E1033,SETUP!$A$55:$A$64,0)),"Other")))</f>
        <v>Ranged DPS</v>
      </c>
      <c r="G1033" s="70">
        <v>61644</v>
      </c>
      <c r="H1033" s="19" t="str">
        <f>IF($C1033="","",IF($G1033="","-",INDEX(SETUP!$B$26:$B$32,MATCH($G1033,SETUP!$A$26:$A$32,1))))</f>
        <v>61,000 - 61,999</v>
      </c>
      <c r="I1033" s="70">
        <v>2410</v>
      </c>
      <c r="J1033" s="19" t="str">
        <f>IF($C1033="","",IF($I1033="","-",INDEX(SETUP!$B$16:$B$22,MATCH($I1033,SETUP!$A$16:$A$22,1))))</f>
        <v>DEVELOPING</v>
      </c>
      <c r="K1033" s="19" t="str">
        <f>IF($C1033="","",IF($I1033="","-",TEXT(INT($I1033/1000)*1000,"#,##0")&amp;" - "&amp;TEXT(INT($I1033/1000)*1000+999,"#,##0")))</f>
        <v>2,000 - 2,999</v>
      </c>
      <c r="L1033" s="71">
        <v>3.97</v>
      </c>
      <c r="M1033" s="19" t="str">
        <f>IF($C1033="","",IF($L1033="","-",INDEX(SETUP!$B$36:$B$42,MATCH($L1033,SETUP!$A$36:$A$42,1))))</f>
        <v>3k - 4k</v>
      </c>
      <c r="N1033" s="21">
        <f>IF($C1033="","",IF(OR($G1033="",$I1033=""),"",ROUND(100*(SETUP!$B$4*MIN(1,$I1033/SETUP!$B$9)+SETUP!$B$5*MAX(0,MIN(1,($G1033-SETUP!$B$10)/(SETUP!$B$11-SETUP!$B$10)))+SETUP!$B$6*MIN(1,IF($L1033="",0,$L1033)/SETUP!$B$12)),1)))</f>
        <v>34.6</v>
      </c>
      <c r="O1033" s="19" t="str">
        <f>IF($C1033="","",IF($N1033="","-",INDEX(SETUP!$B$46:$B$51,MATCH($N1033,SETUP!$A$46:$A$51,1))))</f>
        <v>C</v>
      </c>
      <c r="P1033" s="19">
        <f>IF($C1033="","",IF($I1033="","",RANK($I1033,$I$4:$I$1463)+COUNTIF($I$4:$I1033,$I1033)-1))</f>
        <v>1026</v>
      </c>
      <c r="Q1033" s="19">
        <f>IF($C1033="","",COUNTIFS($B$4:$B$1463,$B1033,$X$4:$X$1463,"&gt;"&amp;$X1033)+COUNTIFS($B$4:$B1033,$B1033,$X$4:$X1033,"="&amp;$X1033))</f>
        <v>80</v>
      </c>
      <c r="R1033" s="75">
        <f>IF($C1033="","",IF($I1033="","",ROUND(COUNTIF($I$4:$I$1463,"&lt;"&amp;$I1033)/COUNT($I$4:$I$1463),3)))</f>
        <v>0.22600000000000001</v>
      </c>
      <c r="S1033" s="19" t="str">
        <f>IF($C1033="","",IF($G1033="","Name only",IF(OR($I1033="",$L1033=""),"Partial","Complete")))</f>
        <v>Complete</v>
      </c>
      <c r="T1033" s="1" t="str">
        <f>IF($C1033="","",TRIM(IF(COUNTIF($C$4:$C$1463,$C1033)&gt;1,"Dup name; ","")&amp;IF(AND($G1033&lt;&gt;"",$G1033&lt;55000),"Low CR - verify; ","")&amp;IF(AND($L1033&lt;&gt;"",$L1033&gt;15),"Secondary - verify; ","")&amp;IF($E1033="","No class; ","")))</f>
        <v/>
      </c>
      <c r="U1033" s="68"/>
      <c r="V1033" s="68"/>
      <c r="W1033" s="68"/>
      <c r="X1033" s="76">
        <f t="shared" si="82"/>
        <v>2410</v>
      </c>
      <c r="Y1033" s="1" t="str">
        <f t="shared" si="83"/>
        <v>ACHERON|80</v>
      </c>
      <c r="Z1033" s="19">
        <f>IF($C1033="","",IF($G1033="","",RANK($G1033,$G$4:$G$1463)+COUNTIF($G$4:$G1033,$G1033)-1))</f>
        <v>962</v>
      </c>
      <c r="AA1033" s="19">
        <f>IF($C1033="","",IF($N1033="","",RANK($N1033,$N$4:$N$1463)+COUNTIF($N$4:$N1033,$N1033)-1))</f>
        <v>1020</v>
      </c>
      <c r="AB1033" s="1" t="str">
        <f>IF($C1033="","",IF($E1033="","",$E1033&amp;"#"&amp;(COUNTIFS($E$4:$E$1463,$E1033,$X$4:$X$1463,"&gt;"&amp;$X1033)+COUNTIFS($E$4:$E1033,$E1033,$X$4:$X1033,"="&amp;$X1033))))</f>
        <v>WIZARD#73</v>
      </c>
      <c r="AC1033" s="1" t="str">
        <f>IF($C1033="","",$B1033&amp;"@"&amp;(COUNTIFS($B$4:$B$1463,$B1033,$C$4:$C$1463,"&lt;"&amp;$C1033)+COUNTIFS($B$4:$B1033,$B1033,$C$4:$C1033,$C1033)))</f>
        <v>ACHERON@68</v>
      </c>
      <c r="AD1033" s="1">
        <f t="shared" si="84"/>
        <v>1030</v>
      </c>
      <c r="AE1033" s="1" t="s">
        <v>2292</v>
      </c>
      <c r="AF1033" s="76">
        <f t="shared" si="85"/>
        <v>61644</v>
      </c>
      <c r="AG1033" s="77">
        <f t="shared" si="86"/>
        <v>3.97</v>
      </c>
      <c r="AH1033" s="1" t="str">
        <f>IF($C1033="","",$B1033&amp;"|"&amp;(COUNTIFS($B$4:$B$1463,$B1033,$AF$4:$AF$1463,"&gt;"&amp;$AF1033)+COUNTIFS($B$4:$B1033,$B1033,$AF$4:$AF1033,"="&amp;$AF1033)))</f>
        <v>ACHERON|79</v>
      </c>
      <c r="AI1033" s="1" t="str">
        <f>IF($C1033="","",$B1033&amp;"|"&amp;(COUNTIFS($B$4:$B$1463,$B1033,$AG$4:$AG$1463,"&gt;"&amp;$AG1033)+COUNTIFS($B$4:$B1033,$B1033,$AG$4:$AG1033,"="&amp;$AG1033)))</f>
        <v>ACHERON|76</v>
      </c>
    </row>
    <row r="1034" spans="1:35">
      <c r="A1034" s="69" t="s">
        <v>104</v>
      </c>
      <c r="B1034" s="69" t="s">
        <v>66</v>
      </c>
      <c r="C1034" s="63" t="s">
        <v>362</v>
      </c>
      <c r="D1034" s="69"/>
      <c r="E1034" s="68" t="s">
        <v>74</v>
      </c>
      <c r="F1034" s="15" t="str">
        <f>IF($C1034="","",IF($E1034="","-",IFERROR(INDEX(SETUP!$B$55:$B$64,MATCH($E1034,SETUP!$A$55:$A$64,0)),"Other")))</f>
        <v>Ranged DPS</v>
      </c>
      <c r="G1034" s="70">
        <v>62460</v>
      </c>
      <c r="H1034" s="15" t="str">
        <f>IF($C1034="","",IF($G1034="","-",INDEX(SETUP!$B$26:$B$32,MATCH($G1034,SETUP!$A$26:$A$32,1))))</f>
        <v>62,000 - 62,999</v>
      </c>
      <c r="I1034" s="70">
        <v>3055</v>
      </c>
      <c r="J1034" s="15" t="str">
        <f>IF($C1034="","",IF($I1034="","-",INDEX(SETUP!$B$16:$B$22,MATCH($I1034,SETUP!$A$16:$A$22,1))))</f>
        <v>DEVELOPING</v>
      </c>
      <c r="K1034" s="15" t="str">
        <f>IF($C1034="","",IF($I1034="","-",TEXT(INT($I1034/1000)*1000,"#,##0")&amp;" - "&amp;TEXT(INT($I1034/1000)*1000+999,"#,##0")))</f>
        <v>3,000 - 3,999</v>
      </c>
      <c r="L1034" s="71">
        <v>4.1399999999999997</v>
      </c>
      <c r="M1034" s="15" t="str">
        <f>IF($C1034="","",IF($L1034="","-",INDEX(SETUP!$B$36:$B$42,MATCH($L1034,SETUP!$A$36:$A$42,1))))</f>
        <v>4k - 5k</v>
      </c>
      <c r="N1034" s="17">
        <f>IF($C1034="","",IF(OR($G1034="",$I1034=""),"",ROUND(100*(SETUP!$B$4*MIN(1,$I1034/SETUP!$B$9)+SETUP!$B$5*MAX(0,MIN(1,($G1034-SETUP!$B$10)/(SETUP!$B$11-SETUP!$B$10)))+SETUP!$B$6*MIN(1,IF($L1034="",0,$L1034)/SETUP!$B$12)),1)))</f>
        <v>39.9</v>
      </c>
      <c r="O1034" s="15" t="str">
        <f>IF($C1034="","",IF($N1034="","-",INDEX(SETUP!$B$46:$B$51,MATCH($N1034,SETUP!$A$46:$A$51,1))))</f>
        <v>B</v>
      </c>
      <c r="P1034" s="15">
        <f>IF($C1034="","",IF($I1034="","",RANK($I1034,$I$4:$I$1463)+COUNTIF($I$4:$I1034,$I1034)-1))</f>
        <v>858</v>
      </c>
      <c r="Q1034" s="15">
        <f>IF($C1034="","",COUNTIFS($B$4:$B$1463,$B1034,$X$4:$X$1463,"&gt;"&amp;$X1034)+COUNTIFS($B$4:$B1034,$B1034,$X$4:$X1034,"="&amp;$X1034))</f>
        <v>91</v>
      </c>
      <c r="R1034" s="72">
        <f>IF($C1034="","",IF($I1034="","",ROUND(COUNTIF($I$4:$I$1463,"&lt;"&amp;$I1034)/COUNT($I$4:$I$1463),3)))</f>
        <v>0.35199999999999998</v>
      </c>
      <c r="S1034" s="15" t="str">
        <f>IF($C1034="","",IF($G1034="","Name only",IF(OR($I1034="",$L1034=""),"Partial","Complete")))</f>
        <v>Complete</v>
      </c>
      <c r="T1034" s="41" t="str">
        <f>IF($C1034="","",TRIM(IF(COUNTIF($C$4:$C$1463,$C1034)&gt;1,"Dup name; ","")&amp;IF(AND($G1034&lt;&gt;"",$G1034&lt;55000),"Low CR - verify; ","")&amp;IF(AND($L1034&lt;&gt;"",$L1034&gt;15),"Secondary - verify; ","")&amp;IF($E1034="","No class; ","")))</f>
        <v/>
      </c>
      <c r="U1034" s="68" t="s">
        <v>269</v>
      </c>
      <c r="V1034" s="68" t="s">
        <v>66</v>
      </c>
      <c r="W1034" s="68" t="s">
        <v>285</v>
      </c>
      <c r="X1034" s="73">
        <f t="shared" si="82"/>
        <v>3055</v>
      </c>
      <c r="Y1034" s="41" t="str">
        <f t="shared" si="83"/>
        <v>FUCT|91</v>
      </c>
      <c r="Z1034" s="15">
        <f>IF($C1034="","",IF($G1034="","",RANK($G1034,$G$4:$G$1463)+COUNTIF($G$4:$G1034,$G1034)-1))</f>
        <v>664</v>
      </c>
      <c r="AA1034" s="15">
        <f>IF($C1034="","",IF($N1034="","",RANK($N1034,$N$4:$N$1463)+COUNTIF($N$4:$N1034,$N1034)-1))</f>
        <v>823</v>
      </c>
      <c r="AB1034" s="41" t="str">
        <f>IF($C1034="","",IF($E1034="","",$E1034&amp;"#"&amp;(COUNTIFS($E$4:$E$1463,$E1034,$X$4:$X$1463,"&gt;"&amp;$X1034)+COUNTIFS($E$4:$E1034,$E1034,$X$4:$X1034,"="&amp;$X1034))))</f>
        <v>DEMON HUNTER#137</v>
      </c>
      <c r="AC1034" s="41" t="str">
        <f>IF($C1034="","",$B1034&amp;"@"&amp;(COUNTIFS($B$4:$B$1463,$B1034,$C$4:$C$1463,"&lt;"&amp;$C1034)+COUNTIFS($B$4:$B1034,$B1034,$C$4:$C1034,$C1034)))</f>
        <v>FUCT@75</v>
      </c>
      <c r="AD1034" s="41">
        <f t="shared" si="84"/>
        <v>1031</v>
      </c>
      <c r="AE1034" s="41" t="s">
        <v>2294</v>
      </c>
      <c r="AF1034" s="73">
        <f t="shared" si="85"/>
        <v>62460</v>
      </c>
      <c r="AG1034" s="74">
        <f t="shared" si="86"/>
        <v>4.1399999999999997</v>
      </c>
      <c r="AH1034" s="41" t="str">
        <f>IF($C1034="","",$B1034&amp;"|"&amp;(COUNTIFS($B$4:$B$1463,$B1034,$AF$4:$AF$1463,"&gt;"&amp;$AF1034)+COUNTIFS($B$4:$B1034,$B1034,$AF$4:$AF1034,"="&amp;$AF1034)))</f>
        <v>FUCT|69</v>
      </c>
      <c r="AI1034" s="41" t="str">
        <f>IF($C1034="","",$B1034&amp;"|"&amp;(COUNTIFS($B$4:$B$1463,$B1034,$AG$4:$AG$1463,"&gt;"&amp;$AG1034)+COUNTIFS($B$4:$B1034,$B1034,$AG$4:$AG1034,"="&amp;$AG1034)))</f>
        <v>FUCT|73</v>
      </c>
    </row>
    <row r="1035" spans="1:35" hidden="1">
      <c r="A1035" s="69" t="s">
        <v>109</v>
      </c>
      <c r="B1035" s="69" t="s">
        <v>117</v>
      </c>
      <c r="C1035" s="63" t="s">
        <v>2295</v>
      </c>
      <c r="D1035" s="69"/>
      <c r="E1035" s="68" t="s">
        <v>77</v>
      </c>
      <c r="F1035" s="19" t="str">
        <f>IF($C1035="","",IF($E1035="","-",IFERROR(INDEX(SETUP!$B$55:$B$64,MATCH($E1035,SETUP!$A$55:$A$64,0)),"Other")))</f>
        <v>Control</v>
      </c>
      <c r="G1035" s="70">
        <v>61042</v>
      </c>
      <c r="H1035" s="19" t="str">
        <f>IF($C1035="","",IF($G1035="","-",INDEX(SETUP!$B$26:$B$32,MATCH($G1035,SETUP!$A$26:$A$32,1))))</f>
        <v>61,000 - 61,999</v>
      </c>
      <c r="I1035" s="70">
        <v>1910</v>
      </c>
      <c r="J1035" s="19" t="str">
        <f>IF($C1035="","",IF($I1035="","-",INDEX(SETUP!$B$16:$B$22,MATCH($I1035,SETUP!$A$16:$A$22,1))))</f>
        <v>ROOKIE</v>
      </c>
      <c r="K1035" s="19" t="str">
        <f>IF($C1035="","",IF($I1035="","-",TEXT(INT($I1035/1000)*1000,"#,##0")&amp;" - "&amp;TEXT(INT($I1035/1000)*1000+999,"#,##0")))</f>
        <v>1,000 - 1,999</v>
      </c>
      <c r="L1035" s="71">
        <v>3.2</v>
      </c>
      <c r="M1035" s="19" t="str">
        <f>IF($C1035="","",IF($L1035="","-",INDEX(SETUP!$B$36:$B$42,MATCH($L1035,SETUP!$A$36:$A$42,1))))</f>
        <v>3k - 4k</v>
      </c>
      <c r="N1035" s="21">
        <f>IF($C1035="","",IF(OR($G1035="",$I1035=""),"",ROUND(100*(SETUP!$B$4*MIN(1,$I1035/SETUP!$B$9)+SETUP!$B$5*MAX(0,MIN(1,($G1035-SETUP!$B$10)/(SETUP!$B$11-SETUP!$B$10)))+SETUP!$B$6*MIN(1,IF($L1035="",0,$L1035)/SETUP!$B$12)),1)))</f>
        <v>29.6</v>
      </c>
      <c r="O1035" s="19" t="str">
        <f>IF($C1035="","",IF($N1035="","-",INDEX(SETUP!$B$46:$B$51,MATCH($N1035,SETUP!$A$46:$A$51,1))))</f>
        <v>C</v>
      </c>
      <c r="P1035" s="19">
        <f>IF($C1035="","",IF($I1035="","",RANK($I1035,$I$4:$I$1463)+COUNTIF($I$4:$I1035,$I1035)-1))</f>
        <v>1132</v>
      </c>
      <c r="Q1035" s="19">
        <f>IF($C1035="","",COUNTIFS($B$4:$B$1463,$B1035,$X$4:$X$1463,"&gt;"&amp;$X1035)+COUNTIFS($B$4:$B1035,$B1035,$X$4:$X1035,"="&amp;$X1035))</f>
        <v>52</v>
      </c>
      <c r="R1035" s="75">
        <f>IF($C1035="","",IF($I1035="","",ROUND(COUNTIF($I$4:$I$1463,"&lt;"&amp;$I1035)/COUNT($I$4:$I$1463),3)))</f>
        <v>0.14599999999999999</v>
      </c>
      <c r="S1035" s="19" t="str">
        <f>IF($C1035="","",IF($G1035="","Name only",IF(OR($I1035="",$L1035=""),"Partial","Complete")))</f>
        <v>Complete</v>
      </c>
      <c r="T1035" s="1" t="str">
        <f>IF($C1035="","",TRIM(IF(COUNTIF($C$4:$C$1463,$C1035)&gt;1,"Dup name; ","")&amp;IF(AND($G1035&lt;&gt;"",$G1035&lt;55000),"Low CR - verify; ","")&amp;IF(AND($L1035&lt;&gt;"",$L1035&gt;15),"Secondary - verify; ","")&amp;IF($E1035="","No class; ","")))</f>
        <v/>
      </c>
      <c r="U1035" s="68"/>
      <c r="V1035" s="68"/>
      <c r="W1035" s="68"/>
      <c r="X1035" s="76">
        <f t="shared" si="82"/>
        <v>1910</v>
      </c>
      <c r="Y1035" s="1" t="str">
        <f t="shared" si="83"/>
        <v>VENDETTA|52</v>
      </c>
      <c r="Z1035" s="19">
        <f>IF($C1035="","",IF($G1035="","",RANK($G1035,$G$4:$G$1463)+COUNTIF($G$4:$G1035,$G1035)-1))</f>
        <v>1125</v>
      </c>
      <c r="AA1035" s="19">
        <f>IF($C1035="","",IF($N1035="","",RANK($N1035,$N$4:$N$1463)+COUNTIF($N$4:$N1035,$N1035)-1))</f>
        <v>1155</v>
      </c>
      <c r="AB1035" s="1" t="str">
        <f>IF($C1035="","",IF($E1035="","",$E1035&amp;"#"&amp;(COUNTIFS($E$4:$E$1463,$E1035,$X$4:$X$1463,"&gt;"&amp;$X1035)+COUNTIFS($E$4:$E1035,$E1035,$X$4:$X1035,"="&amp;$X1035))))</f>
        <v>NECROMANCER#79</v>
      </c>
      <c r="AC1035" s="1" t="str">
        <f>IF($C1035="","",$B1035&amp;"@"&amp;(COUNTIFS($B$4:$B$1463,$B1035,$C$4:$C$1463,"&lt;"&amp;$C1035)+COUNTIFS($B$4:$B1035,$B1035,$C$4:$C1035,$C1035)))</f>
        <v>VENDETTA@77</v>
      </c>
      <c r="AD1035" s="1">
        <f t="shared" si="84"/>
        <v>1032</v>
      </c>
      <c r="AE1035" s="1" t="s">
        <v>1160</v>
      </c>
      <c r="AF1035" s="76">
        <f t="shared" si="85"/>
        <v>61042</v>
      </c>
      <c r="AG1035" s="77">
        <f t="shared" si="86"/>
        <v>3.2</v>
      </c>
      <c r="AH1035" s="1" t="str">
        <f>IF($C1035="","",$B1035&amp;"|"&amp;(COUNTIFS($B$4:$B$1463,$B1035,$AF$4:$AF$1463,"&gt;"&amp;$AF1035)+COUNTIFS($B$4:$B1035,$B1035,$AF$4:$AF1035,"="&amp;$AF1035)))</f>
        <v>VENDETTA|64</v>
      </c>
      <c r="AI1035" s="1" t="str">
        <f>IF($C1035="","",$B1035&amp;"|"&amp;(COUNTIFS($B$4:$B$1463,$B1035,$AG$4:$AG$1463,"&gt;"&amp;$AG1035)+COUNTIFS($B$4:$B1035,$B1035,$AG$4:$AG1035,"="&amp;$AG1035)))</f>
        <v>VENDETTA|69</v>
      </c>
    </row>
    <row r="1036" spans="1:35" hidden="1">
      <c r="A1036" s="69" t="s">
        <v>109</v>
      </c>
      <c r="B1036" s="69" t="s">
        <v>117</v>
      </c>
      <c r="C1036" s="63" t="s">
        <v>2296</v>
      </c>
      <c r="D1036" s="69"/>
      <c r="E1036" s="68" t="s">
        <v>75</v>
      </c>
      <c r="F1036" s="15" t="str">
        <f>IF($C1036="","",IF($E1036="","-",IFERROR(INDEX(SETUP!$B$55:$B$64,MATCH($E1036,SETUP!$A$55:$A$64,0)),"Other")))</f>
        <v>Support</v>
      </c>
      <c r="G1036" s="70">
        <v>61077</v>
      </c>
      <c r="H1036" s="15" t="str">
        <f>IF($C1036="","",IF($G1036="","-",INDEX(SETUP!$B$26:$B$32,MATCH($G1036,SETUP!$A$26:$A$32,1))))</f>
        <v>61,000 - 61,999</v>
      </c>
      <c r="I1036" s="70">
        <v>825</v>
      </c>
      <c r="J1036" s="15" t="str">
        <f>IF($C1036="","",IF($I1036="","-",INDEX(SETUP!$B$16:$B$22,MATCH($I1036,SETUP!$A$16:$A$22,1))))</f>
        <v>ROOKIE</v>
      </c>
      <c r="K1036" s="15" t="str">
        <f>IF($C1036="","",IF($I1036="","-",TEXT(INT($I1036/1000)*1000,"#,##0")&amp;" - "&amp;TEXT(INT($I1036/1000)*1000+999,"#,##0")))</f>
        <v>0 - 999</v>
      </c>
      <c r="L1036" s="71">
        <v>2.8</v>
      </c>
      <c r="M1036" s="15" t="str">
        <f>IF($C1036="","",IF($L1036="","-",INDEX(SETUP!$B$36:$B$42,MATCH($L1036,SETUP!$A$36:$A$42,1))))</f>
        <v>Under 3k</v>
      </c>
      <c r="N1036" s="17">
        <f>IF($C1036="","",IF(OR($G1036="",$I1036=""),"",ROUND(100*(SETUP!$B$4*MIN(1,$I1036/SETUP!$B$9)+SETUP!$B$5*MAX(0,MIN(1,($G1036-SETUP!$B$10)/(SETUP!$B$11-SETUP!$B$10)))+SETUP!$B$6*MIN(1,IF($L1036="",0,$L1036)/SETUP!$B$12)),1)))</f>
        <v>24.3</v>
      </c>
      <c r="O1036" s="15" t="str">
        <f>IF($C1036="","",IF($N1036="","-",INDEX(SETUP!$B$46:$B$51,MATCH($N1036,SETUP!$A$46:$A$51,1))))</f>
        <v>C</v>
      </c>
      <c r="P1036" s="15">
        <f>IF($C1036="","",IF($I1036="","",RANK($I1036,$I$4:$I$1463)+COUNTIF($I$4:$I1036,$I1036)-1))</f>
        <v>1294</v>
      </c>
      <c r="Q1036" s="15">
        <f>IF($C1036="","",COUNTIFS($B$4:$B$1463,$B1036,$X$4:$X$1463,"&gt;"&amp;$X1036)+COUNTIFS($B$4:$B1036,$B1036,$X$4:$X1036,"="&amp;$X1036))</f>
        <v>89</v>
      </c>
      <c r="R1036" s="72">
        <f>IF($C1036="","",IF($I1036="","",ROUND(COUNTIF($I$4:$I$1463,"&lt;"&amp;$I1036)/COUNT($I$4:$I$1463),3)))</f>
        <v>2.3E-2</v>
      </c>
      <c r="S1036" s="15" t="str">
        <f>IF($C1036="","",IF($G1036="","Name only",IF(OR($I1036="",$L1036=""),"Partial","Complete")))</f>
        <v>Complete</v>
      </c>
      <c r="T1036" s="41" t="str">
        <f>IF($C1036="","",TRIM(IF(COUNTIF($C$4:$C$1463,$C1036)&gt;1,"Dup name; ","")&amp;IF(AND($G1036&lt;&gt;"",$G1036&lt;55000),"Low CR - verify; ","")&amp;IF(AND($L1036&lt;&gt;"",$L1036&gt;15),"Secondary - verify; ","")&amp;IF($E1036="","No class; ","")))</f>
        <v/>
      </c>
      <c r="U1036" s="68"/>
      <c r="V1036" s="68"/>
      <c r="W1036" s="68"/>
      <c r="X1036" s="73">
        <f t="shared" si="82"/>
        <v>825</v>
      </c>
      <c r="Y1036" s="41" t="str">
        <f t="shared" si="83"/>
        <v>VENDETTA|89</v>
      </c>
      <c r="Z1036" s="15">
        <f>IF($C1036="","",IF($G1036="","",RANK($G1036,$G$4:$G$1463)+COUNTIF($G$4:$G1036,$G1036)-1))</f>
        <v>1120</v>
      </c>
      <c r="AA1036" s="15">
        <f>IF($C1036="","",IF($N1036="","",RANK($N1036,$N$4:$N$1463)+COUNTIF($N$4:$N1036,$N1036)-1))</f>
        <v>1254</v>
      </c>
      <c r="AB1036" s="41" t="str">
        <f>IF($C1036="","",IF($E1036="","",$E1036&amp;"#"&amp;(COUNTIFS($E$4:$E$1463,$E1036,$X$4:$X$1463,"&gt;"&amp;$X1036)+COUNTIFS($E$4:$E1036,$E1036,$X$4:$X1036,"="&amp;$X1036))))</f>
        <v>DRUID#70</v>
      </c>
      <c r="AC1036" s="41" t="str">
        <f>IF($C1036="","",$B1036&amp;"@"&amp;(COUNTIFS($B$4:$B$1463,$B1036,$C$4:$C$1463,"&lt;"&amp;$C1036)+COUNTIFS($B$4:$B1036,$B1036,$C$4:$C1036,$C1036)))</f>
        <v>VENDETTA@78</v>
      </c>
      <c r="AD1036" s="41">
        <f t="shared" si="84"/>
        <v>1033</v>
      </c>
      <c r="AE1036" s="41" t="s">
        <v>1458</v>
      </c>
      <c r="AF1036" s="73">
        <f t="shared" si="85"/>
        <v>61077</v>
      </c>
      <c r="AG1036" s="74">
        <f t="shared" si="86"/>
        <v>2.8</v>
      </c>
      <c r="AH1036" s="41" t="str">
        <f>IF($C1036="","",$B1036&amp;"|"&amp;(COUNTIFS($B$4:$B$1463,$B1036,$AF$4:$AF$1463,"&gt;"&amp;$AF1036)+COUNTIFS($B$4:$B1036,$B1036,$AF$4:$AF1036,"="&amp;$AF1036)))</f>
        <v>VENDETTA|63</v>
      </c>
      <c r="AI1036" s="41" t="str">
        <f>IF($C1036="","",$B1036&amp;"|"&amp;(COUNTIFS($B$4:$B$1463,$B1036,$AG$4:$AG$1463,"&gt;"&amp;$AG1036)+COUNTIFS($B$4:$B1036,$B1036,$AG$4:$AG1036,"="&amp;$AG1036)))</f>
        <v>VENDETTA|88</v>
      </c>
    </row>
    <row r="1037" spans="1:35" hidden="1">
      <c r="A1037" s="69" t="s">
        <v>109</v>
      </c>
      <c r="B1037" s="69" t="s">
        <v>116</v>
      </c>
      <c r="C1037" s="63" t="s">
        <v>2297</v>
      </c>
      <c r="D1037" s="69" t="s">
        <v>530</v>
      </c>
      <c r="E1037" s="68" t="s">
        <v>79</v>
      </c>
      <c r="F1037" s="19" t="str">
        <f>IF($C1037="","",IF($E1037="","-",IFERROR(INDEX(SETUP!$B$55:$B$64,MATCH($E1037,SETUP!$A$55:$A$64,0)),"Other")))</f>
        <v>Control</v>
      </c>
      <c r="G1037" s="70">
        <v>61582</v>
      </c>
      <c r="H1037" s="19" t="str">
        <f>IF($C1037="","",IF($G1037="","-",INDEX(SETUP!$B$26:$B$32,MATCH($G1037,SETUP!$A$26:$A$32,1))))</f>
        <v>61,000 - 61,999</v>
      </c>
      <c r="I1037" s="70">
        <v>2080</v>
      </c>
      <c r="J1037" s="19" t="str">
        <f>IF($C1037="","",IF($I1037="","-",INDEX(SETUP!$B$16:$B$22,MATCH($I1037,SETUP!$A$16:$A$22,1))))</f>
        <v>DEVELOPING</v>
      </c>
      <c r="K1037" s="19" t="str">
        <f>IF($C1037="","",IF($I1037="","-",TEXT(INT($I1037/1000)*1000,"#,##0")&amp;" - "&amp;TEXT(INT($I1037/1000)*1000+999,"#,##0")))</f>
        <v>2,000 - 2,999</v>
      </c>
      <c r="L1037" s="71">
        <v>3.5</v>
      </c>
      <c r="M1037" s="19" t="str">
        <f>IF($C1037="","",IF($L1037="","-",INDEX(SETUP!$B$36:$B$42,MATCH($L1037,SETUP!$A$36:$A$42,1))))</f>
        <v>3k - 4k</v>
      </c>
      <c r="N1037" s="21">
        <f>IF($C1037="","",IF(OR($G1037="",$I1037=""),"",ROUND(100*(SETUP!$B$4*MIN(1,$I1037/SETUP!$B$9)+SETUP!$B$5*MAX(0,MIN(1,($G1037-SETUP!$B$10)/(SETUP!$B$11-SETUP!$B$10)))+SETUP!$B$6*MIN(1,IF($L1037="",0,$L1037)/SETUP!$B$12)),1)))</f>
        <v>32.200000000000003</v>
      </c>
      <c r="O1037" s="19" t="str">
        <f>IF($C1037="","",IF($N1037="","-",INDEX(SETUP!$B$46:$B$51,MATCH($N1037,SETUP!$A$46:$A$51,1))))</f>
        <v>C</v>
      </c>
      <c r="P1037" s="19">
        <f>IF($C1037="","",IF($I1037="","",RANK($I1037,$I$4:$I$1463)+COUNTIF($I$4:$I1037,$I1037)-1))</f>
        <v>1094</v>
      </c>
      <c r="Q1037" s="19">
        <f>IF($C1037="","",COUNTIFS($B$4:$B$1463,$B1037,$X$4:$X$1463,"&gt;"&amp;$X1037)+COUNTIFS($B$4:$B1037,$B1037,$X$4:$X1037,"="&amp;$X1037))</f>
        <v>82</v>
      </c>
      <c r="R1037" s="75">
        <f>IF($C1037="","",IF($I1037="","",ROUND(COUNTIF($I$4:$I$1463,"&lt;"&amp;$I1037)/COUNT($I$4:$I$1463),3)))</f>
        <v>0.17399999999999999</v>
      </c>
      <c r="S1037" s="19" t="str">
        <f>IF($C1037="","",IF($G1037="","Name only",IF(OR($I1037="",$L1037=""),"Partial","Complete")))</f>
        <v>Complete</v>
      </c>
      <c r="T1037" s="1" t="str">
        <f>IF($C1037="","",TRIM(IF(COUNTIF($C$4:$C$1463,$C1037)&gt;1,"Dup name; ","")&amp;IF(AND($G1037&lt;&gt;"",$G1037&lt;55000),"Low CR - verify; ","")&amp;IF(AND($L1037&lt;&gt;"",$L1037&gt;15),"Secondary - verify; ","")&amp;IF($E1037="","No class; ","")))</f>
        <v/>
      </c>
      <c r="U1037" s="68"/>
      <c r="V1037" s="68"/>
      <c r="W1037" s="68"/>
      <c r="X1037" s="76">
        <f t="shared" si="82"/>
        <v>2080</v>
      </c>
      <c r="Y1037" s="1" t="str">
        <f t="shared" si="83"/>
        <v>VENGEANCE|82</v>
      </c>
      <c r="Z1037" s="19">
        <f>IF($C1037="","",IF($G1037="","",RANK($G1037,$G$4:$G$1463)+COUNTIF($G$4:$G1037,$G1037)-1))</f>
        <v>983</v>
      </c>
      <c r="AA1037" s="19">
        <f>IF($C1037="","",IF($N1037="","",RANK($N1037,$N$4:$N$1463)+COUNTIF($N$4:$N1037,$N1037)-1))</f>
        <v>1092</v>
      </c>
      <c r="AB1037" s="1" t="str">
        <f>IF($C1037="","",IF($E1037="","",$E1037&amp;"#"&amp;(COUNTIFS($E$4:$E$1463,$E1037,$X$4:$X$1463,"&gt;"&amp;$X1037)+COUNTIFS($E$4:$E1037,$E1037,$X$4:$X1037,"="&amp;$X1037))))</f>
        <v>WARLOCK#274</v>
      </c>
      <c r="AC1037" s="1" t="str">
        <f>IF($C1037="","",$B1037&amp;"@"&amp;(COUNTIFS($B$4:$B$1463,$B1037,$C$4:$C$1463,"&lt;"&amp;$C1037)+COUNTIFS($B$4:$B1037,$B1037,$C$4:$C1037,$C1037)))</f>
        <v>VENGEANCE@69</v>
      </c>
      <c r="AD1037" s="1">
        <f t="shared" si="84"/>
        <v>1034</v>
      </c>
      <c r="AE1037" s="1" t="s">
        <v>1057</v>
      </c>
      <c r="AF1037" s="76">
        <f t="shared" si="85"/>
        <v>61582</v>
      </c>
      <c r="AG1037" s="77">
        <f t="shared" si="86"/>
        <v>3.5</v>
      </c>
      <c r="AH1037" s="1" t="str">
        <f>IF($C1037="","",$B1037&amp;"|"&amp;(COUNTIFS($B$4:$B$1463,$B1037,$AF$4:$AF$1463,"&gt;"&amp;$AF1037)+COUNTIFS($B$4:$B1037,$B1037,$AF$4:$AF1037,"="&amp;$AF1037)))</f>
        <v>VENGEANCE|65</v>
      </c>
      <c r="AI1037" s="1" t="str">
        <f>IF($C1037="","",$B1037&amp;"|"&amp;(COUNTIFS($B$4:$B$1463,$B1037,$AG$4:$AG$1463,"&gt;"&amp;$AG1037)+COUNTIFS($B$4:$B1037,$B1037,$AG$4:$AG1037,"="&amp;$AG1037)))</f>
        <v>VENGEANCE|83</v>
      </c>
    </row>
    <row r="1038" spans="1:35" hidden="1">
      <c r="A1038" s="69" t="s">
        <v>106</v>
      </c>
      <c r="B1038" s="69" t="s">
        <v>105</v>
      </c>
      <c r="C1038" s="63" t="s">
        <v>2298</v>
      </c>
      <c r="D1038" s="69"/>
      <c r="E1038" s="68" t="s">
        <v>73</v>
      </c>
      <c r="F1038" s="15" t="str">
        <f>IF($C1038="","",IF($E1038="","-",IFERROR(INDEX(SETUP!$B$55:$B$64,MATCH($E1038,SETUP!$A$55:$A$64,0)),"Other")))</f>
        <v>Frontline</v>
      </c>
      <c r="G1038" s="70">
        <v>61943</v>
      </c>
      <c r="H1038" s="15" t="str">
        <f>IF($C1038="","",IF($G1038="","-",INDEX(SETUP!$B$26:$B$32,MATCH($G1038,SETUP!$A$26:$A$32,1))))</f>
        <v>61,000 - 61,999</v>
      </c>
      <c r="I1038" s="70">
        <v>4408</v>
      </c>
      <c r="J1038" s="15" t="str">
        <f>IF($C1038="","",IF($I1038="","-",INDEX(SETUP!$B$16:$B$22,MATCH($I1038,SETUP!$A$16:$A$22,1))))</f>
        <v>CORE</v>
      </c>
      <c r="K1038" s="15" t="str">
        <f>IF($C1038="","",IF($I1038="","-",TEXT(INT($I1038/1000)*1000,"#,##0")&amp;" - "&amp;TEXT(INT($I1038/1000)*1000+999,"#,##0")))</f>
        <v>4,000 - 4,999</v>
      </c>
      <c r="L1038" s="71">
        <v>5.75</v>
      </c>
      <c r="M1038" s="15" t="str">
        <f>IF($C1038="","",IF($L1038="","-",INDEX(SETUP!$B$36:$B$42,MATCH($L1038,SETUP!$A$36:$A$42,1))))</f>
        <v>5k - 6k</v>
      </c>
      <c r="N1038" s="17">
        <f>IF($C1038="","",IF(OR($G1038="",$I1038=""),"",ROUND(100*(SETUP!$B$4*MIN(1,$I1038/SETUP!$B$9)+SETUP!$B$5*MAX(0,MIN(1,($G1038-SETUP!$B$10)/(SETUP!$B$11-SETUP!$B$10)))+SETUP!$B$6*MIN(1,IF($L1038="",0,$L1038)/SETUP!$B$12)),1)))</f>
        <v>47.1</v>
      </c>
      <c r="O1038" s="15" t="str">
        <f>IF($C1038="","",IF($N1038="","-",INDEX(SETUP!$B$46:$B$51,MATCH($N1038,SETUP!$A$46:$A$51,1))))</f>
        <v>B</v>
      </c>
      <c r="P1038" s="15">
        <f>IF($C1038="","",IF($I1038="","",RANK($I1038,$I$4:$I$1463)+COUNTIF($I$4:$I1038,$I1038)-1))</f>
        <v>513</v>
      </c>
      <c r="Q1038" s="15">
        <f>IF($C1038="","",COUNTIFS($B$4:$B$1463,$B1038,$X$4:$X$1463,"&gt;"&amp;$X1038)+COUNTIFS($B$4:$B1038,$B1038,$X$4:$X1038,"="&amp;$X1038))</f>
        <v>66</v>
      </c>
      <c r="R1038" s="72">
        <f>IF($C1038="","",IF($I1038="","",ROUND(COUNTIF($I$4:$I$1463,"&lt;"&amp;$I1038)/COUNT($I$4:$I$1463),3)))</f>
        <v>0.61299999999999999</v>
      </c>
      <c r="S1038" s="15" t="str">
        <f>IF($C1038="","",IF($G1038="","Name only",IF(OR($I1038="",$L1038=""),"Partial","Complete")))</f>
        <v>Complete</v>
      </c>
      <c r="T1038" s="41" t="str">
        <f>IF($C1038="","",TRIM(IF(COUNTIF($C$4:$C$1463,$C1038)&gt;1,"Dup name; ","")&amp;IF(AND($G1038&lt;&gt;"",$G1038&lt;55000),"Low CR - verify; ","")&amp;IF(AND($L1038&lt;&gt;"",$L1038&gt;15),"Secondary - verify; ","")&amp;IF($E1038="","No class; ","")))</f>
        <v/>
      </c>
      <c r="U1038" s="68"/>
      <c r="V1038" s="68"/>
      <c r="W1038" s="68"/>
      <c r="X1038" s="73">
        <f t="shared" si="82"/>
        <v>4408</v>
      </c>
      <c r="Y1038" s="41" t="str">
        <f t="shared" si="83"/>
        <v>LEGENDS|66</v>
      </c>
      <c r="Z1038" s="15">
        <f>IF($C1038="","",IF($G1038="","",RANK($G1038,$G$4:$G$1463)+COUNTIF($G$4:$G1038,$G1038)-1))</f>
        <v>852</v>
      </c>
      <c r="AA1038" s="15">
        <f>IF($C1038="","",IF($N1038="","",RANK($N1038,$N$4:$N$1463)+COUNTIF($N$4:$N1038,$N1038)-1))</f>
        <v>550</v>
      </c>
      <c r="AB1038" s="41" t="str">
        <f>IF($C1038="","",IF($E1038="","",$E1038&amp;"#"&amp;(COUNTIFS($E$4:$E$1463,$E1038,$X$4:$X$1463,"&gt;"&amp;$X1038)+COUNTIFS($E$4:$E1038,$E1038,$X$4:$X1038,"="&amp;$X1038))))</f>
        <v>CRUSADER#59</v>
      </c>
      <c r="AC1038" s="41" t="str">
        <f>IF($C1038="","",$B1038&amp;"@"&amp;(COUNTIFS($B$4:$B$1463,$B1038,$C$4:$C$1463,"&lt;"&amp;$C1038)+COUNTIFS($B$4:$B1038,$B1038,$C$4:$C1038,$C1038)))</f>
        <v>LEGENDS@82</v>
      </c>
      <c r="AD1038" s="41">
        <f t="shared" si="84"/>
        <v>1035</v>
      </c>
      <c r="AE1038" s="41" t="s">
        <v>2299</v>
      </c>
      <c r="AF1038" s="73">
        <f t="shared" si="85"/>
        <v>61943</v>
      </c>
      <c r="AG1038" s="74">
        <f t="shared" si="86"/>
        <v>5.75</v>
      </c>
      <c r="AH1038" s="41" t="str">
        <f>IF($C1038="","",$B1038&amp;"|"&amp;(COUNTIFS($B$4:$B$1463,$B1038,$AF$4:$AF$1463,"&gt;"&amp;$AF1038)+COUNTIFS($B$4:$B1038,$B1038,$AF$4:$AF1038,"="&amp;$AF1038)))</f>
        <v>LEGENDS|84</v>
      </c>
      <c r="AI1038" s="41" t="str">
        <f>IF($C1038="","",$B1038&amp;"|"&amp;(COUNTIFS($B$4:$B$1463,$B1038,$AG$4:$AG$1463,"&gt;"&amp;$AG1038)+COUNTIFS($B$4:$B1038,$B1038,$AG$4:$AG1038,"="&amp;$AG1038)))</f>
        <v>LEGENDS|28</v>
      </c>
    </row>
    <row r="1039" spans="1:35" hidden="1">
      <c r="A1039" s="69" t="s">
        <v>109</v>
      </c>
      <c r="B1039" s="69" t="s">
        <v>114</v>
      </c>
      <c r="C1039" s="63" t="s">
        <v>2300</v>
      </c>
      <c r="D1039" s="69"/>
      <c r="E1039" s="68" t="s">
        <v>74</v>
      </c>
      <c r="F1039" s="19" t="str">
        <f>IF($C1039="","",IF($E1039="","-",IFERROR(INDEX(SETUP!$B$55:$B$64,MATCH($E1039,SETUP!$A$55:$A$64,0)),"Other")))</f>
        <v>Ranged DPS</v>
      </c>
      <c r="G1039" s="70">
        <v>62267</v>
      </c>
      <c r="H1039" s="19" t="str">
        <f>IF($C1039="","",IF($G1039="","-",INDEX(SETUP!$B$26:$B$32,MATCH($G1039,SETUP!$A$26:$A$32,1))))</f>
        <v>62,000 - 62,999</v>
      </c>
      <c r="I1039" s="70">
        <v>4493</v>
      </c>
      <c r="J1039" s="19" t="str">
        <f>IF($C1039="","",IF($I1039="","-",INDEX(SETUP!$B$16:$B$22,MATCH($I1039,SETUP!$A$16:$A$22,1))))</f>
        <v>CORE</v>
      </c>
      <c r="K1039" s="19" t="str">
        <f>IF($C1039="","",IF($I1039="","-",TEXT(INT($I1039/1000)*1000,"#,##0")&amp;" - "&amp;TEXT(INT($I1039/1000)*1000+999,"#,##0")))</f>
        <v>4,000 - 4,999</v>
      </c>
      <c r="L1039" s="71">
        <v>4.2</v>
      </c>
      <c r="M1039" s="19" t="str">
        <f>IF($C1039="","",IF($L1039="","-",INDEX(SETUP!$B$36:$B$42,MATCH($L1039,SETUP!$A$36:$A$42,1))))</f>
        <v>4k - 5k</v>
      </c>
      <c r="N1039" s="21">
        <f>IF($C1039="","",IF(OR($G1039="",$I1039=""),"",ROUND(100*(SETUP!$B$4*MIN(1,$I1039/SETUP!$B$9)+SETUP!$B$5*MAX(0,MIN(1,($G1039-SETUP!$B$10)/(SETUP!$B$11-SETUP!$B$10)))+SETUP!$B$6*MIN(1,IF($L1039="",0,$L1039)/SETUP!$B$12)),1)))</f>
        <v>45.7</v>
      </c>
      <c r="O1039" s="19" t="str">
        <f>IF($C1039="","",IF($N1039="","-",INDEX(SETUP!$B$46:$B$51,MATCH($N1039,SETUP!$A$46:$A$51,1))))</f>
        <v>B</v>
      </c>
      <c r="P1039" s="19">
        <f>IF($C1039="","",IF($I1039="","",RANK($I1039,$I$4:$I$1463)+COUNTIF($I$4:$I1039,$I1039)-1))</f>
        <v>497</v>
      </c>
      <c r="Q1039" s="19">
        <f>IF($C1039="","",COUNTIFS($B$4:$B$1463,$B1039,$X$4:$X$1463,"&gt;"&amp;$X1039)+COUNTIFS($B$4:$B1039,$B1039,$X$4:$X1039,"="&amp;$X1039))</f>
        <v>6</v>
      </c>
      <c r="R1039" s="75">
        <f>IF($C1039="","",IF($I1039="","",ROUND(COUNTIF($I$4:$I$1463,"&lt;"&amp;$I1039)/COUNT($I$4:$I$1463),3)))</f>
        <v>0.625</v>
      </c>
      <c r="S1039" s="19" t="str">
        <f>IF($C1039="","",IF($G1039="","Name only",IF(OR($I1039="",$L1039=""),"Partial","Complete")))</f>
        <v>Complete</v>
      </c>
      <c r="T1039" s="1" t="str">
        <f>IF($C1039="","",TRIM(IF(COUNTIF($C$4:$C$1463,$C1039)&gt;1,"Dup name; ","")&amp;IF(AND($G1039&lt;&gt;"",$G1039&lt;55000),"Low CR - verify; ","")&amp;IF(AND($L1039&lt;&gt;"",$L1039&gt;15),"Secondary - verify; ","")&amp;IF($E1039="","No class; ","")))</f>
        <v/>
      </c>
      <c r="U1039" s="68"/>
      <c r="V1039" s="68"/>
      <c r="W1039" s="68"/>
      <c r="X1039" s="76">
        <f t="shared" si="82"/>
        <v>4493</v>
      </c>
      <c r="Y1039" s="1" t="str">
        <f t="shared" si="83"/>
        <v>EMERALD LEAF TRIBE|6</v>
      </c>
      <c r="Z1039" s="19">
        <f>IF($C1039="","",IF($G1039="","",RANK($G1039,$G$4:$G$1463)+COUNTIF($G$4:$G1039,$G1039)-1))</f>
        <v>737</v>
      </c>
      <c r="AA1039" s="19">
        <f>IF($C1039="","",IF($N1039="","",RANK($N1039,$N$4:$N$1463)+COUNTIF($N$4:$N1039,$N1039)-1))</f>
        <v>600</v>
      </c>
      <c r="AB1039" s="1" t="str">
        <f>IF($C1039="","",IF($E1039="","",$E1039&amp;"#"&amp;(COUNTIFS($E$4:$E$1463,$E1039,$X$4:$X$1463,"&gt;"&amp;$X1039)+COUNTIFS($E$4:$E1039,$E1039,$X$4:$X1039,"="&amp;$X1039))))</f>
        <v>DEMON HUNTER#83</v>
      </c>
      <c r="AC1039" s="1" t="str">
        <f>IF($C1039="","",$B1039&amp;"@"&amp;(COUNTIFS($B$4:$B$1463,$B1039,$C$4:$C$1463,"&lt;"&amp;$C1039)+COUNTIFS($B$4:$B1039,$B1039,$C$4:$C1039,$C1039)))</f>
        <v>EMERALD LEAF TRIBE@76</v>
      </c>
      <c r="AD1039" s="1">
        <f t="shared" si="84"/>
        <v>1036</v>
      </c>
      <c r="AE1039" s="1" t="s">
        <v>2301</v>
      </c>
      <c r="AF1039" s="76">
        <f t="shared" si="85"/>
        <v>62267</v>
      </c>
      <c r="AG1039" s="77">
        <f t="shared" si="86"/>
        <v>4.2</v>
      </c>
      <c r="AH1039" s="1" t="str">
        <f>IF($C1039="","",$B1039&amp;"|"&amp;(COUNTIFS($B$4:$B$1463,$B1039,$AF$4:$AF$1463,"&gt;"&amp;$AF1039)+COUNTIFS($B$4:$B1039,$B1039,$AF$4:$AF1039,"="&amp;$AF1039)))</f>
        <v>EMERALD LEAF TRIBE|22</v>
      </c>
      <c r="AI1039" s="1" t="str">
        <f>IF($C1039="","",$B1039&amp;"|"&amp;(COUNTIFS($B$4:$B$1463,$B1039,$AG$4:$AG$1463,"&gt;"&amp;$AG1039)+COUNTIFS($B$4:$B1039,$B1039,$AG$4:$AG1039,"="&amp;$AG1039)))</f>
        <v>EMERALD LEAF TRIBE|26</v>
      </c>
    </row>
    <row r="1040" spans="1:35" hidden="1">
      <c r="A1040" s="69" t="s">
        <v>109</v>
      </c>
      <c r="B1040" s="69" t="s">
        <v>117</v>
      </c>
      <c r="C1040" s="63" t="s">
        <v>2302</v>
      </c>
      <c r="D1040" s="69"/>
      <c r="E1040" s="68" t="s">
        <v>71</v>
      </c>
      <c r="F1040" s="15" t="str">
        <f>IF($C1040="","",IF($E1040="","-",IFERROR(INDEX(SETUP!$B$55:$B$64,MATCH($E1040,SETUP!$A$55:$A$64,0)),"Other")))</f>
        <v>Frontline</v>
      </c>
      <c r="G1040" s="70">
        <v>62559</v>
      </c>
      <c r="H1040" s="15" t="str">
        <f>IF($C1040="","",IF($G1040="","-",INDEX(SETUP!$B$26:$B$32,MATCH($G1040,SETUP!$A$26:$A$32,1))))</f>
        <v>62,000 - 62,999</v>
      </c>
      <c r="I1040" s="70">
        <v>3586</v>
      </c>
      <c r="J1040" s="15" t="str">
        <f>IF($C1040="","",IF($I1040="","-",INDEX(SETUP!$B$16:$B$22,MATCH($I1040,SETUP!$A$16:$A$22,1))))</f>
        <v>DEVELOPING</v>
      </c>
      <c r="K1040" s="15" t="str">
        <f>IF($C1040="","",IF($I1040="","-",TEXT(INT($I1040/1000)*1000,"#,##0")&amp;" - "&amp;TEXT(INT($I1040/1000)*1000+999,"#,##0")))</f>
        <v>3,000 - 3,999</v>
      </c>
      <c r="L1040" s="71">
        <v>5.17</v>
      </c>
      <c r="M1040" s="15" t="str">
        <f>IF($C1040="","",IF($L1040="","-",INDEX(SETUP!$B$36:$B$42,MATCH($L1040,SETUP!$A$36:$A$42,1))))</f>
        <v>5k - 6k</v>
      </c>
      <c r="N1040" s="17">
        <f>IF($C1040="","",IF(OR($G1040="",$I1040=""),"",ROUND(100*(SETUP!$B$4*MIN(1,$I1040/SETUP!$B$9)+SETUP!$B$5*MAX(0,MIN(1,($G1040-SETUP!$B$10)/(SETUP!$B$11-SETUP!$B$10)))+SETUP!$B$6*MIN(1,IF($L1040="",0,$L1040)/SETUP!$B$12)),1)))</f>
        <v>44.2</v>
      </c>
      <c r="O1040" s="15" t="str">
        <f>IF($C1040="","",IF($N1040="","-",INDEX(SETUP!$B$46:$B$51,MATCH($N1040,SETUP!$A$46:$A$51,1))))</f>
        <v>B</v>
      </c>
      <c r="P1040" s="15">
        <f>IF($C1040="","",IF($I1040="","",RANK($I1040,$I$4:$I$1463)+COUNTIF($I$4:$I1040,$I1040)-1))</f>
        <v>706</v>
      </c>
      <c r="Q1040" s="15">
        <f>IF($C1040="","",COUNTIFS($B$4:$B$1463,$B1040,$X$4:$X$1463,"&gt;"&amp;$X1040)+COUNTIFS($B$4:$B1040,$B1040,$X$4:$X1040,"="&amp;$X1040))</f>
        <v>6</v>
      </c>
      <c r="R1040" s="72">
        <f>IF($C1040="","",IF($I1040="","",ROUND(COUNTIF($I$4:$I$1463,"&lt;"&amp;$I1040)/COUNT($I$4:$I$1463),3)))</f>
        <v>0.46700000000000003</v>
      </c>
      <c r="S1040" s="15" t="str">
        <f>IF($C1040="","",IF($G1040="","Name only",IF(OR($I1040="",$L1040=""),"Partial","Complete")))</f>
        <v>Complete</v>
      </c>
      <c r="T1040" s="41" t="str">
        <f>IF($C1040="","",TRIM(IF(COUNTIF($C$4:$C$1463,$C1040)&gt;1,"Dup name; ","")&amp;IF(AND($G1040&lt;&gt;"",$G1040&lt;55000),"Low CR - verify; ","")&amp;IF(AND($L1040&lt;&gt;"",$L1040&gt;15),"Secondary - verify; ","")&amp;IF($E1040="","No class; ","")))</f>
        <v/>
      </c>
      <c r="U1040" s="68"/>
      <c r="V1040" s="68"/>
      <c r="W1040" s="68"/>
      <c r="X1040" s="73">
        <f t="shared" si="82"/>
        <v>3586</v>
      </c>
      <c r="Y1040" s="41" t="str">
        <f t="shared" si="83"/>
        <v>VENDETTA|6</v>
      </c>
      <c r="Z1040" s="15">
        <f>IF($C1040="","",IF($G1040="","",RANK($G1040,$G$4:$G$1463)+COUNTIF($G$4:$G1040,$G1040)-1))</f>
        <v>629</v>
      </c>
      <c r="AA1040" s="15">
        <f>IF($C1040="","",IF($N1040="","",RANK($N1040,$N$4:$N$1463)+COUNTIF($N$4:$N1040,$N1040)-1))</f>
        <v>659</v>
      </c>
      <c r="AB1040" s="41" t="str">
        <f>IF($C1040="","",IF($E1040="","",$E1040&amp;"#"&amp;(COUNTIFS($E$4:$E$1463,$E1040,$X$4:$X$1463,"&gt;"&amp;$X1040)+COUNTIFS($E$4:$E1040,$E1040,$X$4:$X1040,"="&amp;$X1040))))</f>
        <v>BARBARIAN#125</v>
      </c>
      <c r="AC1040" s="41" t="str">
        <f>IF($C1040="","",$B1040&amp;"@"&amp;(COUNTIFS($B$4:$B$1463,$B1040,$C$4:$C$1463,"&lt;"&amp;$C1040)+COUNTIFS($B$4:$B1040,$B1040,$C$4:$C1040,$C1040)))</f>
        <v>VENDETTA@79</v>
      </c>
      <c r="AD1040" s="41">
        <f t="shared" si="84"/>
        <v>1037</v>
      </c>
      <c r="AE1040" s="41" t="s">
        <v>2303</v>
      </c>
      <c r="AF1040" s="73">
        <f t="shared" si="85"/>
        <v>62559</v>
      </c>
      <c r="AG1040" s="74">
        <f t="shared" si="86"/>
        <v>5.17</v>
      </c>
      <c r="AH1040" s="41" t="str">
        <f>IF($C1040="","",$B1040&amp;"|"&amp;(COUNTIFS($B$4:$B$1463,$B1040,$AF$4:$AF$1463,"&gt;"&amp;$AF1040)+COUNTIFS($B$4:$B1040,$B1040,$AF$4:$AF1040,"="&amp;$AF1040)))</f>
        <v>VENDETTA|14</v>
      </c>
      <c r="AI1040" s="41" t="str">
        <f>IF($C1040="","",$B1040&amp;"|"&amp;(COUNTIFS($B$4:$B$1463,$B1040,$AG$4:$AG$1463,"&gt;"&amp;$AG1040)+COUNTIFS($B$4:$B1040,$B1040,$AG$4:$AG1040,"="&amp;$AG1040)))</f>
        <v>VENDETTA|5</v>
      </c>
    </row>
    <row r="1041" spans="1:35" hidden="1">
      <c r="A1041" s="69" t="s">
        <v>109</v>
      </c>
      <c r="B1041" s="69" t="s">
        <v>110</v>
      </c>
      <c r="C1041" s="63" t="s">
        <v>2304</v>
      </c>
      <c r="D1041" s="69"/>
      <c r="E1041" s="68" t="s">
        <v>71</v>
      </c>
      <c r="F1041" s="19" t="str">
        <f>IF($C1041="","",IF($E1041="","-",IFERROR(INDEX(SETUP!$B$55:$B$64,MATCH($E1041,SETUP!$A$55:$A$64,0)),"Other")))</f>
        <v>Frontline</v>
      </c>
      <c r="G1041" s="70">
        <v>61757</v>
      </c>
      <c r="H1041" s="19" t="str">
        <f>IF($C1041="","",IF($G1041="","-",INDEX(SETUP!$B$26:$B$32,MATCH($G1041,SETUP!$A$26:$A$32,1))))</f>
        <v>61,000 - 61,999</v>
      </c>
      <c r="I1041" s="70">
        <v>2969</v>
      </c>
      <c r="J1041" s="19" t="str">
        <f>IF($C1041="","",IF($I1041="","-",INDEX(SETUP!$B$16:$B$22,MATCH($I1041,SETUP!$A$16:$A$22,1))))</f>
        <v>DEVELOPING</v>
      </c>
      <c r="K1041" s="19" t="str">
        <f>IF($C1041="","",IF($I1041="","-",TEXT(INT($I1041/1000)*1000,"#,##0")&amp;" - "&amp;TEXT(INT($I1041/1000)*1000+999,"#,##0")))</f>
        <v>2,000 - 2,999</v>
      </c>
      <c r="L1041" s="71">
        <v>4.55</v>
      </c>
      <c r="M1041" s="19" t="str">
        <f>IF($C1041="","",IF($L1041="","-",INDEX(SETUP!$B$36:$B$42,MATCH($L1041,SETUP!$A$36:$A$42,1))))</f>
        <v>4k - 5k</v>
      </c>
      <c r="N1041" s="21">
        <f>IF($C1041="","",IF(OR($G1041="",$I1041=""),"",ROUND(100*(SETUP!$B$4*MIN(1,$I1041/SETUP!$B$9)+SETUP!$B$5*MAX(0,MIN(1,($G1041-SETUP!$B$10)/(SETUP!$B$11-SETUP!$B$10)))+SETUP!$B$6*MIN(1,IF($L1041="",0,$L1041)/SETUP!$B$12)),1)))</f>
        <v>38.299999999999997</v>
      </c>
      <c r="O1041" s="19" t="str">
        <f>IF($C1041="","",IF($N1041="","-",INDEX(SETUP!$B$46:$B$51,MATCH($N1041,SETUP!$A$46:$A$51,1))))</f>
        <v>B</v>
      </c>
      <c r="P1041" s="19">
        <f>IF($C1041="","",IF($I1041="","",RANK($I1041,$I$4:$I$1463)+COUNTIF($I$4:$I1041,$I1041)-1))</f>
        <v>892</v>
      </c>
      <c r="Q1041" s="19">
        <f>IF($C1041="","",COUNTIFS($B$4:$B$1463,$B1041,$X$4:$X$1463,"&gt;"&amp;$X1041)+COUNTIFS($B$4:$B1041,$B1041,$X$4:$X1041,"="&amp;$X1041))</f>
        <v>95</v>
      </c>
      <c r="R1041" s="75">
        <f>IF($C1041="","",IF($I1041="","",ROUND(COUNTIF($I$4:$I$1463,"&lt;"&amp;$I1041)/COUNT($I$4:$I$1463),3)))</f>
        <v>0.32700000000000001</v>
      </c>
      <c r="S1041" s="19" t="str">
        <f>IF($C1041="","",IF($G1041="","Name only",IF(OR($I1041="",$L1041=""),"Partial","Complete")))</f>
        <v>Complete</v>
      </c>
      <c r="T1041" s="1" t="str">
        <f>IF($C1041="","",TRIM(IF(COUNTIF($C$4:$C$1463,$C1041)&gt;1,"Dup name; ","")&amp;IF(AND($G1041&lt;&gt;"",$G1041&lt;55000),"Low CR - verify; ","")&amp;IF(AND($L1041&lt;&gt;"",$L1041&gt;15),"Secondary - verify; ","")&amp;IF($E1041="","No class; ","")))</f>
        <v/>
      </c>
      <c r="U1041" s="68"/>
      <c r="V1041" s="68"/>
      <c r="W1041" s="68"/>
      <c r="X1041" s="76">
        <f t="shared" si="82"/>
        <v>2969</v>
      </c>
      <c r="Y1041" s="1" t="str">
        <f t="shared" si="83"/>
        <v>AZUKI|95</v>
      </c>
      <c r="Z1041" s="19">
        <f>IF($C1041="","",IF($G1041="","",RANK($G1041,$G$4:$G$1463)+COUNTIF($G$4:$G1041,$G1041)-1))</f>
        <v>923</v>
      </c>
      <c r="AA1041" s="19">
        <f>IF($C1041="","",IF($N1041="","",RANK($N1041,$N$4:$N$1463)+COUNTIF($N$4:$N1041,$N1041)-1))</f>
        <v>897</v>
      </c>
      <c r="AB1041" s="1" t="str">
        <f>IF($C1041="","",IF($E1041="","",$E1041&amp;"#"&amp;(COUNTIFS($E$4:$E$1463,$E1041,$X$4:$X$1463,"&gt;"&amp;$X1041)+COUNTIFS($E$4:$E1041,$E1041,$X$4:$X1041,"="&amp;$X1041))))</f>
        <v>BARBARIAN#156</v>
      </c>
      <c r="AC1041" s="1" t="str">
        <f>IF($C1041="","",$B1041&amp;"@"&amp;(COUNTIFS($B$4:$B$1463,$B1041,$C$4:$C$1463,"&lt;"&amp;$C1041)+COUNTIFS($B$4:$B1041,$B1041,$C$4:$C1041,$C1041)))</f>
        <v>AZUKI@80</v>
      </c>
      <c r="AD1041" s="1">
        <f t="shared" si="84"/>
        <v>1038</v>
      </c>
      <c r="AE1041" s="1" t="s">
        <v>1731</v>
      </c>
      <c r="AF1041" s="76">
        <f t="shared" si="85"/>
        <v>61757</v>
      </c>
      <c r="AG1041" s="77">
        <f t="shared" si="86"/>
        <v>4.55</v>
      </c>
      <c r="AH1041" s="1" t="str">
        <f>IF($C1041="","",$B1041&amp;"|"&amp;(COUNTIFS($B$4:$B$1463,$B1041,$AF$4:$AF$1463,"&gt;"&amp;$AF1041)+COUNTIFS($B$4:$B1041,$B1041,$AF$4:$AF1041,"="&amp;$AF1041)))</f>
        <v>AZUKI|86</v>
      </c>
      <c r="AI1041" s="1" t="str">
        <f>IF($C1041="","",$B1041&amp;"|"&amp;(COUNTIFS($B$4:$B$1463,$B1041,$AG$4:$AG$1463,"&gt;"&amp;$AG1041)+COUNTIFS($B$4:$B1041,$B1041,$AG$4:$AG1041,"="&amp;$AG1041)))</f>
        <v>AZUKI|79</v>
      </c>
    </row>
    <row r="1042" spans="1:35" hidden="1">
      <c r="A1042" s="69" t="s">
        <v>109</v>
      </c>
      <c r="B1042" s="69" t="s">
        <v>113</v>
      </c>
      <c r="C1042" s="63" t="s">
        <v>2305</v>
      </c>
      <c r="D1042" s="69" t="s">
        <v>548</v>
      </c>
      <c r="E1042" s="68" t="s">
        <v>76</v>
      </c>
      <c r="F1042" s="15" t="str">
        <f>IF($C1042="","",IF($E1042="","-",IFERROR(INDEX(SETUP!$B$55:$B$64,MATCH($E1042,SETUP!$A$55:$A$64,0)),"Other")))</f>
        <v>Support</v>
      </c>
      <c r="G1042" s="70">
        <v>63113</v>
      </c>
      <c r="H1042" s="15" t="str">
        <f>IF($C1042="","",IF($G1042="","-",INDEX(SETUP!$B$26:$B$32,MATCH($G1042,SETUP!$A$26:$A$32,1))))</f>
        <v>63,000 - 63,999</v>
      </c>
      <c r="I1042" s="70">
        <v>3495</v>
      </c>
      <c r="J1042" s="15" t="str">
        <f>IF($C1042="","",IF($I1042="","-",INDEX(SETUP!$B$16:$B$22,MATCH($I1042,SETUP!$A$16:$A$22,1))))</f>
        <v>DEVELOPING</v>
      </c>
      <c r="K1042" s="15" t="str">
        <f>IF($C1042="","",IF($I1042="","-",TEXT(INT($I1042/1000)*1000,"#,##0")&amp;" - "&amp;TEXT(INT($I1042/1000)*1000+999,"#,##0")))</f>
        <v>3,000 - 3,999</v>
      </c>
      <c r="L1042" s="71">
        <v>4.25</v>
      </c>
      <c r="M1042" s="15" t="str">
        <f>IF($C1042="","",IF($L1042="","-",INDEX(SETUP!$B$36:$B$42,MATCH($L1042,SETUP!$A$36:$A$42,1))))</f>
        <v>4k - 5k</v>
      </c>
      <c r="N1042" s="17">
        <f>IF($C1042="","",IF(OR($G1042="",$I1042=""),"",ROUND(100*(SETUP!$B$4*MIN(1,$I1042/SETUP!$B$9)+SETUP!$B$5*MAX(0,MIN(1,($G1042-SETUP!$B$10)/(SETUP!$B$11-SETUP!$B$10)))+SETUP!$B$6*MIN(1,IF($L1042="",0,$L1042)/SETUP!$B$12)),1)))</f>
        <v>43.7</v>
      </c>
      <c r="O1042" s="15" t="str">
        <f>IF($C1042="","",IF($N1042="","-",INDEX(SETUP!$B$46:$B$51,MATCH($N1042,SETUP!$A$46:$A$51,1))))</f>
        <v>B</v>
      </c>
      <c r="P1042" s="15">
        <f>IF($C1042="","",IF($I1042="","",RANK($I1042,$I$4:$I$1463)+COUNTIF($I$4:$I1042,$I1042)-1))</f>
        <v>733</v>
      </c>
      <c r="Q1042" s="15">
        <f>IF($C1042="","",COUNTIFS($B$4:$B$1463,$B1042,$X$4:$X$1463,"&gt;"&amp;$X1042)+COUNTIFS($B$4:$B1042,$B1042,$X$4:$X1042,"="&amp;$X1042))</f>
        <v>35</v>
      </c>
      <c r="R1042" s="72">
        <f>IF($C1042="","",IF($I1042="","",ROUND(COUNTIF($I$4:$I$1463,"&lt;"&amp;$I1042)/COUNT($I$4:$I$1463),3)))</f>
        <v>0.44700000000000001</v>
      </c>
      <c r="S1042" s="15" t="str">
        <f>IF($C1042="","",IF($G1042="","Name only",IF(OR($I1042="",$L1042=""),"Partial","Complete")))</f>
        <v>Complete</v>
      </c>
      <c r="T1042" s="41" t="str">
        <f>IF($C1042="","",TRIM(IF(COUNTIF($C$4:$C$1463,$C1042)&gt;1,"Dup name; ","")&amp;IF(AND($G1042&lt;&gt;"",$G1042&lt;55000),"Low CR - verify; ","")&amp;IF(AND($L1042&lt;&gt;"",$L1042&gt;15),"Secondary - verify; ","")&amp;IF($E1042="","No class; ","")))</f>
        <v/>
      </c>
      <c r="U1042" s="68"/>
      <c r="V1042" s="68"/>
      <c r="W1042" s="68"/>
      <c r="X1042" s="73">
        <f t="shared" si="82"/>
        <v>3495</v>
      </c>
      <c r="Y1042" s="41" t="str">
        <f t="shared" si="83"/>
        <v>INVICTUS|35</v>
      </c>
      <c r="Z1042" s="15">
        <f>IF($C1042="","",IF($G1042="","",RANK($G1042,$G$4:$G$1463)+COUNTIF($G$4:$G1042,$G1042)-1))</f>
        <v>369</v>
      </c>
      <c r="AA1042" s="15">
        <f>IF($C1042="","",IF($N1042="","",RANK($N1042,$N$4:$N$1463)+COUNTIF($N$4:$N1042,$N1042)-1))</f>
        <v>681</v>
      </c>
      <c r="AB1042" s="41" t="str">
        <f>IF($C1042="","",IF($E1042="","",$E1042&amp;"#"&amp;(COUNTIFS($E$4:$E$1463,$E1042,$X$4:$X$1463,"&gt;"&amp;$X1042)+COUNTIFS($E$4:$E1042,$E1042,$X$4:$X1042,"="&amp;$X1042))))</f>
        <v>MONK#25</v>
      </c>
      <c r="AC1042" s="41" t="str">
        <f>IF($C1042="","",$B1042&amp;"@"&amp;(COUNTIFS($B$4:$B$1463,$B1042,$C$4:$C$1463,"&lt;"&amp;$C1042)+COUNTIFS($B$4:$B1042,$B1042,$C$4:$C1042,$C1042)))</f>
        <v>INVICTUS@75</v>
      </c>
      <c r="AD1042" s="41">
        <f t="shared" si="84"/>
        <v>1039</v>
      </c>
      <c r="AE1042" s="41" t="s">
        <v>2306</v>
      </c>
      <c r="AF1042" s="73">
        <f t="shared" si="85"/>
        <v>63113</v>
      </c>
      <c r="AG1042" s="74">
        <f t="shared" si="86"/>
        <v>4.25</v>
      </c>
      <c r="AH1042" s="41" t="str">
        <f>IF($C1042="","",$B1042&amp;"|"&amp;(COUNTIFS($B$4:$B$1463,$B1042,$AF$4:$AF$1463,"&gt;"&amp;$AF1042)+COUNTIFS($B$4:$B1042,$B1042,$AF$4:$AF1042,"="&amp;$AF1042)))</f>
        <v>INVICTUS|17</v>
      </c>
      <c r="AI1042" s="41" t="str">
        <f>IF($C1042="","",$B1042&amp;"|"&amp;(COUNTIFS($B$4:$B$1463,$B1042,$AG$4:$AG$1463,"&gt;"&amp;$AG1042)+COUNTIFS($B$4:$B1042,$B1042,$AG$4:$AG1042,"="&amp;$AG1042)))</f>
        <v>INVICTUS|52</v>
      </c>
    </row>
    <row r="1043" spans="1:35" hidden="1">
      <c r="A1043" s="69" t="s">
        <v>109</v>
      </c>
      <c r="B1043" s="69" t="s">
        <v>117</v>
      </c>
      <c r="C1043" s="63" t="s">
        <v>2307</v>
      </c>
      <c r="D1043" s="69"/>
      <c r="E1043" s="68" t="s">
        <v>72</v>
      </c>
      <c r="F1043" s="19" t="str">
        <f>IF($C1043="","",IF($E1043="","-",IFERROR(INDEX(SETUP!$B$55:$B$64,MATCH($E1043,SETUP!$A$55:$A$64,0)),"Other")))</f>
        <v>Frontline</v>
      </c>
      <c r="G1043" s="70">
        <v>60080</v>
      </c>
      <c r="H1043" s="19" t="str">
        <f>IF($C1043="","",IF($G1043="","-",INDEX(SETUP!$B$26:$B$32,MATCH($G1043,SETUP!$A$26:$A$32,1))))</f>
        <v>60,000 - 60,999</v>
      </c>
      <c r="I1043" s="70">
        <v>1401</v>
      </c>
      <c r="J1043" s="19" t="str">
        <f>IF($C1043="","",IF($I1043="","-",INDEX(SETUP!$B$16:$B$22,MATCH($I1043,SETUP!$A$16:$A$22,1))))</f>
        <v>ROOKIE</v>
      </c>
      <c r="K1043" s="19" t="str">
        <f>IF($C1043="","",IF($I1043="","-",TEXT(INT($I1043/1000)*1000,"#,##0")&amp;" - "&amp;TEXT(INT($I1043/1000)*1000+999,"#,##0")))</f>
        <v>1,000 - 1,999</v>
      </c>
      <c r="L1043" s="71">
        <v>3.4</v>
      </c>
      <c r="M1043" s="19" t="str">
        <f>IF($C1043="","",IF($L1043="","-",INDEX(SETUP!$B$36:$B$42,MATCH($L1043,SETUP!$A$36:$A$42,1))))</f>
        <v>3k - 4k</v>
      </c>
      <c r="N1043" s="21">
        <f>IF($C1043="","",IF(OR($G1043="",$I1043=""),"",ROUND(100*(SETUP!$B$4*MIN(1,$I1043/SETUP!$B$9)+SETUP!$B$5*MAX(0,MIN(1,($G1043-SETUP!$B$10)/(SETUP!$B$11-SETUP!$B$10)))+SETUP!$B$6*MIN(1,IF($L1043="",0,$L1043)/SETUP!$B$12)),1)))</f>
        <v>25.2</v>
      </c>
      <c r="O1043" s="19" t="str">
        <f>IF($C1043="","",IF($N1043="","-",INDEX(SETUP!$B$46:$B$51,MATCH($N1043,SETUP!$A$46:$A$51,1))))</f>
        <v>C</v>
      </c>
      <c r="P1043" s="19">
        <f>IF($C1043="","",IF($I1043="","",RANK($I1043,$I$4:$I$1463)+COUNTIF($I$4:$I1043,$I1043)-1))</f>
        <v>1213</v>
      </c>
      <c r="Q1043" s="19">
        <f>IF($C1043="","",COUNTIFS($B$4:$B$1463,$B1043,$X$4:$X$1463,"&gt;"&amp;$X1043)+COUNTIFS($B$4:$B1043,$B1043,$X$4:$X1043,"="&amp;$X1043))</f>
        <v>72</v>
      </c>
      <c r="R1043" s="75">
        <f>IF($C1043="","",IF($I1043="","",ROUND(COUNTIF($I$4:$I$1463,"&lt;"&amp;$I1043)/COUNT($I$4:$I$1463),3)))</f>
        <v>8.5000000000000006E-2</v>
      </c>
      <c r="S1043" s="19" t="str">
        <f>IF($C1043="","",IF($G1043="","Name only",IF(OR($I1043="",$L1043=""),"Partial","Complete")))</f>
        <v>Complete</v>
      </c>
      <c r="T1043" s="1" t="str">
        <f>IF($C1043="","",TRIM(IF(COUNTIF($C$4:$C$1463,$C1043)&gt;1,"Dup name; ","")&amp;IF(AND($G1043&lt;&gt;"",$G1043&lt;55000),"Low CR - verify; ","")&amp;IF(AND($L1043&lt;&gt;"",$L1043&gt;15),"Secondary - verify; ","")&amp;IF($E1043="","No class; ","")))</f>
        <v/>
      </c>
      <c r="U1043" s="68"/>
      <c r="V1043" s="68"/>
      <c r="W1043" s="68"/>
      <c r="X1043" s="76">
        <f t="shared" si="82"/>
        <v>1401</v>
      </c>
      <c r="Y1043" s="1" t="str">
        <f t="shared" si="83"/>
        <v>VENDETTA|72</v>
      </c>
      <c r="Z1043" s="19">
        <f>IF($C1043="","",IF($G1043="","",RANK($G1043,$G$4:$G$1463)+COUNTIF($G$4:$G1043,$G1043)-1))</f>
        <v>1233</v>
      </c>
      <c r="AA1043" s="19">
        <f>IF($C1043="","",IF($N1043="","",RANK($N1043,$N$4:$N$1463)+COUNTIF($N$4:$N1043,$N1043)-1))</f>
        <v>1242</v>
      </c>
      <c r="AB1043" s="1" t="str">
        <f>IF($C1043="","",IF($E1043="","",$E1043&amp;"#"&amp;(COUNTIFS($E$4:$E$1463,$E1043,$X$4:$X$1463,"&gt;"&amp;$X1043)+COUNTIFS($E$4:$E1043,$E1043,$X$4:$X1043,"="&amp;$X1043))))</f>
        <v>BLOOD KNIGHT#84</v>
      </c>
      <c r="AC1043" s="1" t="str">
        <f>IF($C1043="","",$B1043&amp;"@"&amp;(COUNTIFS($B$4:$B$1463,$B1043,$C$4:$C$1463,"&lt;"&amp;$C1043)+COUNTIFS($B$4:$B1043,$B1043,$C$4:$C1043,$C1043)))</f>
        <v>VENDETTA@80</v>
      </c>
      <c r="AD1043" s="1">
        <f t="shared" si="84"/>
        <v>1040</v>
      </c>
      <c r="AE1043" s="1" t="s">
        <v>2308</v>
      </c>
      <c r="AF1043" s="76">
        <f t="shared" si="85"/>
        <v>60080</v>
      </c>
      <c r="AG1043" s="77">
        <f t="shared" si="86"/>
        <v>3.4</v>
      </c>
      <c r="AH1043" s="1" t="str">
        <f>IF($C1043="","",$B1043&amp;"|"&amp;(COUNTIFS($B$4:$B$1463,$B1043,$AF$4:$AF$1463,"&gt;"&amp;$AF1043)+COUNTIFS($B$4:$B1043,$B1043,$AF$4:$AF1043,"="&amp;$AF1043)))</f>
        <v>VENDETTA|83</v>
      </c>
      <c r="AI1043" s="1" t="str">
        <f>IF($C1043="","",$B1043&amp;"|"&amp;(COUNTIFS($B$4:$B$1463,$B1043,$AG$4:$AG$1463,"&gt;"&amp;$AG1043)+COUNTIFS($B$4:$B1043,$B1043,$AG$4:$AG1043,"="&amp;$AG1043)))</f>
        <v>VENDETTA|64</v>
      </c>
    </row>
    <row r="1044" spans="1:35" hidden="1">
      <c r="A1044" s="69" t="s">
        <v>109</v>
      </c>
      <c r="B1044" s="69" t="s">
        <v>116</v>
      </c>
      <c r="C1044" s="63" t="s">
        <v>2309</v>
      </c>
      <c r="D1044" s="69" t="s">
        <v>530</v>
      </c>
      <c r="E1044" s="68" t="s">
        <v>77</v>
      </c>
      <c r="F1044" s="15" t="str">
        <f>IF($C1044="","",IF($E1044="","-",IFERROR(INDEX(SETUP!$B$55:$B$64,MATCH($E1044,SETUP!$A$55:$A$64,0)),"Other")))</f>
        <v>Control</v>
      </c>
      <c r="G1044" s="70">
        <v>59420</v>
      </c>
      <c r="H1044" s="15" t="str">
        <f>IF($C1044="","",IF($G1044="","-",INDEX(SETUP!$B$26:$B$32,MATCH($G1044,SETUP!$A$26:$A$32,1))))</f>
        <v>58,000 - 59,999</v>
      </c>
      <c r="I1044" s="70">
        <v>2895</v>
      </c>
      <c r="J1044" s="15" t="str">
        <f>IF($C1044="","",IF($I1044="","-",INDEX(SETUP!$B$16:$B$22,MATCH($I1044,SETUP!$A$16:$A$22,1))))</f>
        <v>DEVELOPING</v>
      </c>
      <c r="K1044" s="15" t="str">
        <f>IF($C1044="","",IF($I1044="","-",TEXT(INT($I1044/1000)*1000,"#,##0")&amp;" - "&amp;TEXT(INT($I1044/1000)*1000+999,"#,##0")))</f>
        <v>2,000 - 2,999</v>
      </c>
      <c r="L1044" s="71">
        <v>4.9000000000000004</v>
      </c>
      <c r="M1044" s="15" t="str">
        <f>IF($C1044="","",IF($L1044="","-",INDEX(SETUP!$B$36:$B$42,MATCH($L1044,SETUP!$A$36:$A$42,1))))</f>
        <v>4k - 5k</v>
      </c>
      <c r="N1044" s="17">
        <f>IF($C1044="","",IF(OR($G1044="",$I1044=""),"",ROUND(100*(SETUP!$B$4*MIN(1,$I1044/SETUP!$B$9)+SETUP!$B$5*MAX(0,MIN(1,($G1044-SETUP!$B$10)/(SETUP!$B$11-SETUP!$B$10)))+SETUP!$B$6*MIN(1,IF($L1044="",0,$L1044)/SETUP!$B$12)),1)))</f>
        <v>32.4</v>
      </c>
      <c r="O1044" s="15" t="str">
        <f>IF($C1044="","",IF($N1044="","-",INDEX(SETUP!$B$46:$B$51,MATCH($N1044,SETUP!$A$46:$A$51,1))))</f>
        <v>C</v>
      </c>
      <c r="P1044" s="15">
        <f>IF($C1044="","",IF($I1044="","",RANK($I1044,$I$4:$I$1463)+COUNTIF($I$4:$I1044,$I1044)-1))</f>
        <v>909</v>
      </c>
      <c r="Q1044" s="15">
        <f>IF($C1044="","",COUNTIFS($B$4:$B$1463,$B1044,$X$4:$X$1463,"&gt;"&amp;$X1044)+COUNTIFS($B$4:$B1044,$B1044,$X$4:$X1044,"="&amp;$X1044))</f>
        <v>60</v>
      </c>
      <c r="R1044" s="72">
        <f>IF($C1044="","",IF($I1044="","",ROUND(COUNTIF($I$4:$I$1463,"&lt;"&amp;$I1044)/COUNT($I$4:$I$1463),3)))</f>
        <v>0.314</v>
      </c>
      <c r="S1044" s="15" t="str">
        <f>IF($C1044="","",IF($G1044="","Name only",IF(OR($I1044="",$L1044=""),"Partial","Complete")))</f>
        <v>Complete</v>
      </c>
      <c r="T1044" s="41" t="str">
        <f>IF($C1044="","",TRIM(IF(COUNTIF($C$4:$C$1463,$C1044)&gt;1,"Dup name; ","")&amp;IF(AND($G1044&lt;&gt;"",$G1044&lt;55000),"Low CR - verify; ","")&amp;IF(AND($L1044&lt;&gt;"",$L1044&gt;15),"Secondary - verify; ","")&amp;IF($E1044="","No class; ","")))</f>
        <v/>
      </c>
      <c r="U1044" s="68"/>
      <c r="V1044" s="68"/>
      <c r="W1044" s="68"/>
      <c r="X1044" s="73">
        <f t="shared" si="82"/>
        <v>2895</v>
      </c>
      <c r="Y1044" s="41" t="str">
        <f t="shared" si="83"/>
        <v>VENGEANCE|60</v>
      </c>
      <c r="Z1044" s="15">
        <f>IF($C1044="","",IF($G1044="","",RANK($G1044,$G$4:$G$1463)+COUNTIF($G$4:$G1044,$G1044)-1))</f>
        <v>1265</v>
      </c>
      <c r="AA1044" s="15">
        <f>IF($C1044="","",IF($N1044="","",RANK($N1044,$N$4:$N$1463)+COUNTIF($N$4:$N1044,$N1044)-1))</f>
        <v>1088</v>
      </c>
      <c r="AB1044" s="41" t="str">
        <f>IF($C1044="","",IF($E1044="","",$E1044&amp;"#"&amp;(COUNTIFS($E$4:$E$1463,$E1044,$X$4:$X$1463,"&gt;"&amp;$X1044)+COUNTIFS($E$4:$E1044,$E1044,$X$4:$X1044,"="&amp;$X1044))))</f>
        <v>NECROMANCER#53</v>
      </c>
      <c r="AC1044" s="41" t="str">
        <f>IF($C1044="","",$B1044&amp;"@"&amp;(COUNTIFS($B$4:$B$1463,$B1044,$C$4:$C$1463,"&lt;"&amp;$C1044)+COUNTIFS($B$4:$B1044,$B1044,$C$4:$C1044,$C1044)))</f>
        <v>VENGEANCE@70</v>
      </c>
      <c r="AD1044" s="41">
        <f t="shared" si="84"/>
        <v>1041</v>
      </c>
      <c r="AE1044" s="41" t="s">
        <v>733</v>
      </c>
      <c r="AF1044" s="73">
        <f t="shared" si="85"/>
        <v>59420</v>
      </c>
      <c r="AG1044" s="74">
        <f t="shared" si="86"/>
        <v>4.9000000000000004</v>
      </c>
      <c r="AH1044" s="41" t="str">
        <f>IF($C1044="","",$B1044&amp;"|"&amp;(COUNTIFS($B$4:$B$1463,$B1044,$AF$4:$AF$1463,"&gt;"&amp;$AF1044)+COUNTIFS($B$4:$B1044,$B1044,$AF$4:$AF1044,"="&amp;$AF1044)))</f>
        <v>VENGEANCE|91</v>
      </c>
      <c r="AI1044" s="41" t="str">
        <f>IF($C1044="","",$B1044&amp;"|"&amp;(COUNTIFS($B$4:$B$1463,$B1044,$AG$4:$AG$1463,"&gt;"&amp;$AG1044)+COUNTIFS($B$4:$B1044,$B1044,$AG$4:$AG1044,"="&amp;$AG1044)))</f>
        <v>VENGEANCE|36</v>
      </c>
    </row>
    <row r="1045" spans="1:35" hidden="1">
      <c r="A1045" s="69" t="s">
        <v>109</v>
      </c>
      <c r="B1045" s="69" t="s">
        <v>115</v>
      </c>
      <c r="C1045" s="63" t="s">
        <v>2310</v>
      </c>
      <c r="D1045" s="69"/>
      <c r="E1045" s="68"/>
      <c r="F1045" s="19" t="str">
        <f>IF($C1045="","",IF($E1045="","-",IFERROR(INDEX(SETUP!$B$55:$B$64,MATCH($E1045,SETUP!$A$55:$A$64,0)),"Other")))</f>
        <v>-</v>
      </c>
      <c r="G1045" s="70"/>
      <c r="H1045" s="19" t="str">
        <f>IF($C1045="","",IF($G1045="","-",INDEX(SETUP!$B$26:$B$32,MATCH($G1045,SETUP!$A$26:$A$32,1))))</f>
        <v>-</v>
      </c>
      <c r="I1045" s="70"/>
      <c r="J1045" s="19" t="str">
        <f>IF($C1045="","",IF($I1045="","-",INDEX(SETUP!$B$16:$B$22,MATCH($I1045,SETUP!$A$16:$A$22,1))))</f>
        <v>-</v>
      </c>
      <c r="K1045" s="19" t="str">
        <f>IF($C1045="","",IF($I1045="","-",TEXT(INT($I1045/1000)*1000,"#,##0")&amp;" - "&amp;TEXT(INT($I1045/1000)*1000+999,"#,##0")))</f>
        <v>-</v>
      </c>
      <c r="L1045" s="71"/>
      <c r="M1045" s="19" t="str">
        <f>IF($C1045="","",IF($L1045="","-",INDEX(SETUP!$B$36:$B$42,MATCH($L1045,SETUP!$A$36:$A$42,1))))</f>
        <v>-</v>
      </c>
      <c r="N1045" s="21" t="str">
        <f>IF($C1045="","",IF(OR($G1045="",$I1045=""),"",ROUND(100*(SETUP!$B$4*MIN(1,$I1045/SETUP!$B$9)+SETUP!$B$5*MAX(0,MIN(1,($G1045-SETUP!$B$10)/(SETUP!$B$11-SETUP!$B$10)))+SETUP!$B$6*MIN(1,IF($L1045="",0,$L1045)/SETUP!$B$12)),1)))</f>
        <v/>
      </c>
      <c r="O1045" s="19" t="str">
        <f>IF($C1045="","",IF($N1045="","-",INDEX(SETUP!$B$46:$B$51,MATCH($N1045,SETUP!$A$46:$A$51,1))))</f>
        <v>-</v>
      </c>
      <c r="P1045" s="19" t="str">
        <f>IF($C1045="","",IF($I1045="","",RANK($I1045,$I$4:$I$1463)+COUNTIF($I$4:$I1045,$I1045)-1))</f>
        <v/>
      </c>
      <c r="Q1045" s="19">
        <f>IF($C1045="","",COUNTIFS($B$4:$B$1463,$B1045,$X$4:$X$1463,"&gt;"&amp;$X1045)+COUNTIFS($B$4:$B1045,$B1045,$X$4:$X1045,"="&amp;$X1045))</f>
        <v>80</v>
      </c>
      <c r="R1045" s="75" t="str">
        <f>IF($C1045="","",IF($I1045="","",ROUND(COUNTIF($I$4:$I$1463,"&lt;"&amp;$I1045)/COUNT($I$4:$I$1463),3)))</f>
        <v/>
      </c>
      <c r="S1045" s="19" t="str">
        <f>IF($C1045="","",IF($G1045="","Name only",IF(OR($I1045="",$L1045=""),"Partial","Complete")))</f>
        <v>Name only</v>
      </c>
      <c r="T1045" s="1" t="str">
        <f>IF($C1045="","",TRIM(IF(COUNTIF($C$4:$C$1463,$C1045)&gt;1,"Dup name; ","")&amp;IF(AND($G1045&lt;&gt;"",$G1045&lt;55000),"Low CR - verify; ","")&amp;IF(AND($L1045&lt;&gt;"",$L1045&gt;15),"Secondary - verify; ","")&amp;IF($E1045="","No class; ","")))</f>
        <v>No class;</v>
      </c>
      <c r="U1045" s="68"/>
      <c r="V1045" s="68"/>
      <c r="W1045" s="68"/>
      <c r="X1045" s="1">
        <f t="shared" si="82"/>
        <v>-1</v>
      </c>
      <c r="Y1045" s="1" t="str">
        <f t="shared" si="83"/>
        <v>SUB ROSA|80</v>
      </c>
      <c r="Z1045" s="19" t="str">
        <f>IF($C1045="","",IF($G1045="","",RANK($G1045,$G$4:$G$1463)+COUNTIF($G$4:$G1045,$G1045)-1))</f>
        <v/>
      </c>
      <c r="AA1045" s="19" t="str">
        <f>IF($C1045="","",IF($N1045="","",RANK($N1045,$N$4:$N$1463)+COUNTIF($N$4:$N1045,$N1045)-1))</f>
        <v/>
      </c>
      <c r="AB1045" s="1" t="str">
        <f>IF($C1045="","",IF($E1045="","",$E1045&amp;"#"&amp;(COUNTIFS($E$4:$E$1463,$E1045,$X$4:$X$1463,"&gt;"&amp;$X1045)+COUNTIFS($E$4:$E1045,$E1045,$X$4:$X1045,"="&amp;$X1045))))</f>
        <v/>
      </c>
      <c r="AC1045" s="1" t="str">
        <f>IF($C1045="","",$B1045&amp;"@"&amp;(COUNTIFS($B$4:$B$1463,$B1045,$C$4:$C$1463,"&lt;"&amp;$C1045)+COUNTIFS($B$4:$B1045,$B1045,$C$4:$C1045,$C1045)))</f>
        <v>SUB ROSA@70</v>
      </c>
      <c r="AD1045" s="1">
        <f t="shared" si="84"/>
        <v>1042</v>
      </c>
      <c r="AE1045" s="1"/>
      <c r="AF1045" s="1">
        <f t="shared" si="85"/>
        <v>-1</v>
      </c>
      <c r="AG1045" s="1">
        <f t="shared" si="86"/>
        <v>-1</v>
      </c>
      <c r="AH1045" s="1" t="str">
        <f>IF($C1045="","",$B1045&amp;"|"&amp;(COUNTIFS($B$4:$B$1463,$B1045,$AF$4:$AF$1463,"&gt;"&amp;$AF1045)+COUNTIFS($B$4:$B1045,$B1045,$AF$4:$AF1045,"="&amp;$AF1045)))</f>
        <v>SUB ROSA|80</v>
      </c>
      <c r="AI1045" s="1" t="str">
        <f>IF($C1045="","",$B1045&amp;"|"&amp;(COUNTIFS($B$4:$B$1463,$B1045,$AG$4:$AG$1463,"&gt;"&amp;$AG1045)+COUNTIFS($B$4:$B1045,$B1045,$AG$4:$AG1045,"="&amp;$AG1045)))</f>
        <v>SUB ROSA|80</v>
      </c>
    </row>
    <row r="1046" spans="1:35">
      <c r="A1046" s="69" t="s">
        <v>104</v>
      </c>
      <c r="B1046" s="69" t="s">
        <v>66</v>
      </c>
      <c r="C1046" s="63" t="s">
        <v>2265</v>
      </c>
      <c r="D1046" s="69"/>
      <c r="E1046" s="68" t="s">
        <v>71</v>
      </c>
      <c r="F1046" s="15" t="str">
        <f>IF($C1046="","",IF($E1046="","-",IFERROR(INDEX(SETUP!$B$55:$B$64,MATCH($E1046,SETUP!$A$55:$A$64,0)),"Other")))</f>
        <v>Frontline</v>
      </c>
      <c r="G1046" s="70">
        <v>61895</v>
      </c>
      <c r="H1046" s="15" t="str">
        <f>IF($C1046="","",IF($G1046="","-",INDEX(SETUP!$B$26:$B$32,MATCH($G1046,SETUP!$A$26:$A$32,1))))</f>
        <v>61,000 - 61,999</v>
      </c>
      <c r="I1046" s="70">
        <v>3498</v>
      </c>
      <c r="J1046" s="15" t="str">
        <f>IF($C1046="","",IF($I1046="","-",INDEX(SETUP!$B$16:$B$22,MATCH($I1046,SETUP!$A$16:$A$22,1))))</f>
        <v>DEVELOPING</v>
      </c>
      <c r="K1046" s="15" t="str">
        <f>IF($C1046="","",IF($I1046="","-",TEXT(INT($I1046/1000)*1000,"#,##0")&amp;" - "&amp;TEXT(INT($I1046/1000)*1000+999,"#,##0")))</f>
        <v>3,000 - 3,999</v>
      </c>
      <c r="L1046" s="71">
        <v>4.0599999999999996</v>
      </c>
      <c r="M1046" s="15" t="str">
        <f>IF($C1046="","",IF($L1046="","-",INDEX(SETUP!$B$36:$B$42,MATCH($L1046,SETUP!$A$36:$A$42,1))))</f>
        <v>4k - 5k</v>
      </c>
      <c r="N1046" s="17">
        <f>IF($C1046="","",IF(OR($G1046="",$I1046=""),"",ROUND(100*(SETUP!$B$4*MIN(1,$I1046/SETUP!$B$9)+SETUP!$B$5*MAX(0,MIN(1,($G1046-SETUP!$B$10)/(SETUP!$B$11-SETUP!$B$10)))+SETUP!$B$6*MIN(1,IF($L1046="",0,$L1046)/SETUP!$B$12)),1)))</f>
        <v>40.200000000000003</v>
      </c>
      <c r="O1046" s="15" t="str">
        <f>IF($C1046="","",IF($N1046="","-",INDEX(SETUP!$B$46:$B$51,MATCH($N1046,SETUP!$A$46:$A$51,1))))</f>
        <v>B</v>
      </c>
      <c r="P1046" s="15">
        <f>IF($C1046="","",IF($I1046="","",RANK($I1046,$I$4:$I$1463)+COUNTIF($I$4:$I1046,$I1046)-1))</f>
        <v>732</v>
      </c>
      <c r="Q1046" s="15">
        <f>IF($C1046="","",COUNTIFS($B$4:$B$1463,$B1046,$X$4:$X$1463,"&gt;"&amp;$X1046)+COUNTIFS($B$4:$B1046,$B1046,$X$4:$X1046,"="&amp;$X1046))</f>
        <v>75</v>
      </c>
      <c r="R1046" s="72">
        <f>IF($C1046="","",IF($I1046="","",ROUND(COUNTIF($I$4:$I$1463,"&lt;"&amp;$I1046)/COUNT($I$4:$I$1463),3)))</f>
        <v>0.44800000000000001</v>
      </c>
      <c r="S1046" s="15" t="str">
        <f>IF($C1046="","",IF($G1046="","Name only",IF(OR($I1046="",$L1046=""),"Partial","Complete")))</f>
        <v>Complete</v>
      </c>
      <c r="T1046" s="41" t="str">
        <f>IF($C1046="","",TRIM(IF(COUNTIF($C$4:$C$1463,$C1046)&gt;1,"Dup name; ","")&amp;IF(AND($G1046&lt;&gt;"",$G1046&lt;55000),"Low CR - verify; ","")&amp;IF(AND($L1046&lt;&gt;"",$L1046&gt;15),"Secondary - verify; ","")&amp;IF($E1046="","No class; ","")))</f>
        <v/>
      </c>
      <c r="U1046" s="68"/>
      <c r="V1046" s="68" t="s">
        <v>66</v>
      </c>
      <c r="W1046" s="68" t="s">
        <v>285</v>
      </c>
      <c r="X1046" s="73">
        <f t="shared" si="82"/>
        <v>3498</v>
      </c>
      <c r="Y1046" s="41" t="str">
        <f t="shared" si="83"/>
        <v>FUCT|75</v>
      </c>
      <c r="Z1046" s="15">
        <f>IF($C1046="","",IF($G1046="","",RANK($G1046,$G$4:$G$1463)+COUNTIF($G$4:$G1046,$G1046)-1))</f>
        <v>876</v>
      </c>
      <c r="AA1046" s="15">
        <f>IF($C1046="","",IF($N1046="","",RANK($N1046,$N$4:$N$1463)+COUNTIF($N$4:$N1046,$N1046)-1))</f>
        <v>816</v>
      </c>
      <c r="AB1046" s="41" t="str">
        <f>IF($C1046="","",IF($E1046="","",$E1046&amp;"#"&amp;(COUNTIFS($E$4:$E$1463,$E1046,$X$4:$X$1463,"&gt;"&amp;$X1046)+COUNTIFS($E$4:$E1046,$E1046,$X$4:$X1046,"="&amp;$X1046))))</f>
        <v>BARBARIAN#127</v>
      </c>
      <c r="AC1046" s="41" t="str">
        <f>IF($C1046="","",$B1046&amp;"@"&amp;(COUNTIFS($B$4:$B$1463,$B1046,$C$4:$C$1463,"&lt;"&amp;$C1046)+COUNTIFS($B$4:$B1046,$B1046,$C$4:$C1046,$C1046)))</f>
        <v>FUCT@76</v>
      </c>
      <c r="AD1046" s="41">
        <f t="shared" si="84"/>
        <v>1043</v>
      </c>
      <c r="AE1046" s="41" t="s">
        <v>2311</v>
      </c>
      <c r="AF1046" s="73">
        <f t="shared" si="85"/>
        <v>61895</v>
      </c>
      <c r="AG1046" s="74">
        <f t="shared" si="86"/>
        <v>4.0599999999999996</v>
      </c>
      <c r="AH1046" s="41" t="str">
        <f>IF($C1046="","",$B1046&amp;"|"&amp;(COUNTIFS($B$4:$B$1463,$B1046,$AF$4:$AF$1463,"&gt;"&amp;$AF1046)+COUNTIFS($B$4:$B1046,$B1046,$AF$4:$AF1046,"="&amp;$AF1046)))</f>
        <v>FUCT|81</v>
      </c>
      <c r="AI1046" s="41" t="str">
        <f>IF($C1046="","",$B1046&amp;"|"&amp;(COUNTIFS($B$4:$B$1463,$B1046,$AG$4:$AG$1463,"&gt;"&amp;$AG1046)+COUNTIFS($B$4:$B1046,$B1046,$AG$4:$AG1046,"="&amp;$AG1046)))</f>
        <v>FUCT|78</v>
      </c>
    </row>
    <row r="1047" spans="1:35" hidden="1">
      <c r="A1047" s="69" t="s">
        <v>109</v>
      </c>
      <c r="B1047" s="69" t="s">
        <v>110</v>
      </c>
      <c r="C1047" s="63" t="s">
        <v>2312</v>
      </c>
      <c r="D1047" s="69"/>
      <c r="E1047" s="68" t="s">
        <v>79</v>
      </c>
      <c r="F1047" s="19" t="str">
        <f>IF($C1047="","",IF($E1047="","-",IFERROR(INDEX(SETUP!$B$55:$B$64,MATCH($E1047,SETUP!$A$55:$A$64,0)),"Other")))</f>
        <v>Control</v>
      </c>
      <c r="G1047" s="70">
        <v>63046</v>
      </c>
      <c r="H1047" s="19" t="str">
        <f>IF($C1047="","",IF($G1047="","-",INDEX(SETUP!$B$26:$B$32,MATCH($G1047,SETUP!$A$26:$A$32,1))))</f>
        <v>63,000 - 63,999</v>
      </c>
      <c r="I1047" s="70">
        <v>3860</v>
      </c>
      <c r="J1047" s="19" t="str">
        <f>IF($C1047="","",IF($I1047="","-",INDEX(SETUP!$B$16:$B$22,MATCH($I1047,SETUP!$A$16:$A$22,1))))</f>
        <v>DEVELOPING</v>
      </c>
      <c r="K1047" s="19" t="str">
        <f>IF($C1047="","",IF($I1047="","-",TEXT(INT($I1047/1000)*1000,"#,##0")&amp;" - "&amp;TEXT(INT($I1047/1000)*1000+999,"#,##0")))</f>
        <v>3,000 - 3,999</v>
      </c>
      <c r="L1047" s="71">
        <v>6.65</v>
      </c>
      <c r="M1047" s="19" t="str">
        <f>IF($C1047="","",IF($L1047="","-",INDEX(SETUP!$B$36:$B$42,MATCH($L1047,SETUP!$A$36:$A$42,1))))</f>
        <v>6k - 8k</v>
      </c>
      <c r="N1047" s="21">
        <f>IF($C1047="","",IF(OR($G1047="",$I1047=""),"",ROUND(100*(SETUP!$B$4*MIN(1,$I1047/SETUP!$B$9)+SETUP!$B$5*MAX(0,MIN(1,($G1047-SETUP!$B$10)/(SETUP!$B$11-SETUP!$B$10)))+SETUP!$B$6*MIN(1,IF($L1047="",0,$L1047)/SETUP!$B$12)),1)))</f>
        <v>49.1</v>
      </c>
      <c r="O1047" s="19" t="str">
        <f>IF($C1047="","",IF($N1047="","-",INDEX(SETUP!$B$46:$B$51,MATCH($N1047,SETUP!$A$46:$A$51,1))))</f>
        <v>B</v>
      </c>
      <c r="P1047" s="19">
        <f>IF($C1047="","",IF($I1047="","",RANK($I1047,$I$4:$I$1463)+COUNTIF($I$4:$I1047,$I1047)-1))</f>
        <v>633</v>
      </c>
      <c r="Q1047" s="19">
        <f>IF($C1047="","",COUNTIFS($B$4:$B$1463,$B1047,$X$4:$X$1463,"&gt;"&amp;$X1047)+COUNTIFS($B$4:$B1047,$B1047,$X$4:$X1047,"="&amp;$X1047))</f>
        <v>65</v>
      </c>
      <c r="R1047" s="75">
        <f>IF($C1047="","",IF($I1047="","",ROUND(COUNTIF($I$4:$I$1463,"&lt;"&amp;$I1047)/COUNT($I$4:$I$1463),3)))</f>
        <v>0.52200000000000002</v>
      </c>
      <c r="S1047" s="19" t="str">
        <f>IF($C1047="","",IF($G1047="","Name only",IF(OR($I1047="",$L1047=""),"Partial","Complete")))</f>
        <v>Complete</v>
      </c>
      <c r="T1047" s="1" t="str">
        <f>IF($C1047="","",TRIM(IF(COUNTIF($C$4:$C$1463,$C1047)&gt;1,"Dup name; ","")&amp;IF(AND($G1047&lt;&gt;"",$G1047&lt;55000),"Low CR - verify; ","")&amp;IF(AND($L1047&lt;&gt;"",$L1047&gt;15),"Secondary - verify; ","")&amp;IF($E1047="","No class; ","")))</f>
        <v/>
      </c>
      <c r="U1047" s="68"/>
      <c r="V1047" s="68"/>
      <c r="W1047" s="68"/>
      <c r="X1047" s="76">
        <f t="shared" si="82"/>
        <v>3860</v>
      </c>
      <c r="Y1047" s="1" t="str">
        <f t="shared" si="83"/>
        <v>AZUKI|65</v>
      </c>
      <c r="Z1047" s="19">
        <f>IF($C1047="","",IF($G1047="","",RANK($G1047,$G$4:$G$1463)+COUNTIF($G$4:$G1047,$G1047)-1))</f>
        <v>405</v>
      </c>
      <c r="AA1047" s="19">
        <f>IF($C1047="","",IF($N1047="","",RANK($N1047,$N$4:$N$1463)+COUNTIF($N$4:$N1047,$N1047)-1))</f>
        <v>484</v>
      </c>
      <c r="AB1047" s="1" t="str">
        <f>IF($C1047="","",IF($E1047="","",$E1047&amp;"#"&amp;(COUNTIFS($E$4:$E$1463,$E1047,$X$4:$X$1463,"&gt;"&amp;$X1047)+COUNTIFS($E$4:$E1047,$E1047,$X$4:$X1047,"="&amp;$X1047))))</f>
        <v>WARLOCK#151</v>
      </c>
      <c r="AC1047" s="1" t="str">
        <f>IF($C1047="","",$B1047&amp;"@"&amp;(COUNTIFS($B$4:$B$1463,$B1047,$C$4:$C$1463,"&lt;"&amp;$C1047)+COUNTIFS($B$4:$B1047,$B1047,$C$4:$C1047,$C1047)))</f>
        <v>AZUKI@81</v>
      </c>
      <c r="AD1047" s="1">
        <f t="shared" si="84"/>
        <v>1044</v>
      </c>
      <c r="AE1047" s="1" t="s">
        <v>2313</v>
      </c>
      <c r="AF1047" s="76">
        <f t="shared" si="85"/>
        <v>63046</v>
      </c>
      <c r="AG1047" s="77">
        <f t="shared" si="86"/>
        <v>6.65</v>
      </c>
      <c r="AH1047" s="1" t="str">
        <f>IF($C1047="","",$B1047&amp;"|"&amp;(COUNTIFS($B$4:$B$1463,$B1047,$AF$4:$AF$1463,"&gt;"&amp;$AF1047)+COUNTIFS($B$4:$B1047,$B1047,$AF$4:$AF1047,"="&amp;$AF1047)))</f>
        <v>AZUKI|40</v>
      </c>
      <c r="AI1047" s="1" t="str">
        <f>IF($C1047="","",$B1047&amp;"|"&amp;(COUNTIFS($B$4:$B$1463,$B1047,$AG$4:$AG$1463,"&gt;"&amp;$AG1047)+COUNTIFS($B$4:$B1047,$B1047,$AG$4:$AG1047,"="&amp;$AG1047)))</f>
        <v>AZUKI|36</v>
      </c>
    </row>
    <row r="1048" spans="1:35" hidden="1">
      <c r="A1048" s="69" t="s">
        <v>109</v>
      </c>
      <c r="B1048" s="69" t="s">
        <v>111</v>
      </c>
      <c r="C1048" s="63" t="s">
        <v>2314</v>
      </c>
      <c r="D1048" s="69" t="s">
        <v>527</v>
      </c>
      <c r="E1048" s="68" t="s">
        <v>71</v>
      </c>
      <c r="F1048" s="15" t="str">
        <f>IF($C1048="","",IF($E1048="","-",IFERROR(INDEX(SETUP!$B$55:$B$64,MATCH($E1048,SETUP!$A$55:$A$64,0)),"Other")))</f>
        <v>Frontline</v>
      </c>
      <c r="G1048" s="70">
        <v>63890</v>
      </c>
      <c r="H1048" s="15" t="str">
        <f>IF($C1048="","",IF($G1048="","-",INDEX(SETUP!$B$26:$B$32,MATCH($G1048,SETUP!$A$26:$A$32,1))))</f>
        <v>63,000 - 63,999</v>
      </c>
      <c r="I1048" s="70">
        <v>10339</v>
      </c>
      <c r="J1048" s="15" t="str">
        <f>IF($C1048="","",IF($I1048="","-",INDEX(SETUP!$B$16:$B$22,MATCH($I1048,SETUP!$A$16:$A$22,1))))</f>
        <v>APEX</v>
      </c>
      <c r="K1048" s="15" t="str">
        <f>IF($C1048="","",IF($I1048="","-",TEXT(INT($I1048/1000)*1000,"#,##0")&amp;" - "&amp;TEXT(INT($I1048/1000)*1000+999,"#,##0")))</f>
        <v>10,000 - 10,999</v>
      </c>
      <c r="L1048" s="71">
        <v>5.7</v>
      </c>
      <c r="M1048" s="15" t="str">
        <f>IF($C1048="","",IF($L1048="","-",INDEX(SETUP!$B$36:$B$42,MATCH($L1048,SETUP!$A$36:$A$42,1))))</f>
        <v>5k - 6k</v>
      </c>
      <c r="N1048" s="17">
        <f>IF($C1048="","",IF(OR($G1048="",$I1048=""),"",ROUND(100*(SETUP!$B$4*MIN(1,$I1048/SETUP!$B$9)+SETUP!$B$5*MAX(0,MIN(1,($G1048-SETUP!$B$10)/(SETUP!$B$11-SETUP!$B$10)))+SETUP!$B$6*MIN(1,IF($L1048="",0,$L1048)/SETUP!$B$12)),1)))</f>
        <v>78</v>
      </c>
      <c r="O1048" s="15" t="str">
        <f>IF($C1048="","",IF($N1048="","-",INDEX(SETUP!$B$46:$B$51,MATCH($N1048,SETUP!$A$46:$A$51,1))))</f>
        <v>S</v>
      </c>
      <c r="P1048" s="15">
        <f>IF($C1048="","",IF($I1048="","",RANK($I1048,$I$4:$I$1463)+COUNTIF($I$4:$I1048,$I1048)-1))</f>
        <v>32</v>
      </c>
      <c r="Q1048" s="15">
        <f>IF($C1048="","",COUNTIFS($B$4:$B$1463,$B1048,$X$4:$X$1463,"&gt;"&amp;$X1048)+COUNTIFS($B$4:$B1048,$B1048,$X$4:$X1048,"="&amp;$X1048))</f>
        <v>7</v>
      </c>
      <c r="R1048" s="72">
        <f>IF($C1048="","",IF($I1048="","",ROUND(COUNTIF($I$4:$I$1463,"&lt;"&amp;$I1048)/COUNT($I$4:$I$1463),3)))</f>
        <v>0.97599999999999998</v>
      </c>
      <c r="S1048" s="15" t="str">
        <f>IF($C1048="","",IF($G1048="","Name only",IF(OR($I1048="",$L1048=""),"Partial","Complete")))</f>
        <v>Complete</v>
      </c>
      <c r="T1048" s="41" t="str">
        <f>IF($C1048="","",TRIM(IF(COUNTIF($C$4:$C$1463,$C1048)&gt;1,"Dup name; ","")&amp;IF(AND($G1048&lt;&gt;"",$G1048&lt;55000),"Low CR - verify; ","")&amp;IF(AND($L1048&lt;&gt;"",$L1048&gt;15),"Secondary - verify; ","")&amp;IF($E1048="","No class; ","")))</f>
        <v/>
      </c>
      <c r="U1048" s="68"/>
      <c r="V1048" s="68"/>
      <c r="W1048" s="68"/>
      <c r="X1048" s="73">
        <f t="shared" si="82"/>
        <v>10339</v>
      </c>
      <c r="Y1048" s="41" t="str">
        <f t="shared" si="83"/>
        <v>RECKONING|7</v>
      </c>
      <c r="Z1048" s="15">
        <f>IF($C1048="","",IF($G1048="","",RANK($G1048,$G$4:$G$1463)+COUNTIF($G$4:$G1048,$G1048)-1))</f>
        <v>99</v>
      </c>
      <c r="AA1048" s="15">
        <f>IF($C1048="","",IF($N1048="","",RANK($N1048,$N$4:$N$1463)+COUNTIF($N$4:$N1048,$N1048)-1))</f>
        <v>69</v>
      </c>
      <c r="AB1048" s="41" t="str">
        <f>IF($C1048="","",IF($E1048="","",$E1048&amp;"#"&amp;(COUNTIFS($E$4:$E$1463,$E1048,$X$4:$X$1463,"&gt;"&amp;$X1048)+COUNTIFS($E$4:$E1048,$E1048,$X$4:$X1048,"="&amp;$X1048))))</f>
        <v>BARBARIAN#6</v>
      </c>
      <c r="AC1048" s="41" t="str">
        <f>IF($C1048="","",$B1048&amp;"@"&amp;(COUNTIFS($B$4:$B$1463,$B1048,$C$4:$C$1463,"&lt;"&amp;$C1048)+COUNTIFS($B$4:$B1048,$B1048,$C$4:$C1048,$C1048)))</f>
        <v>RECKONING@78</v>
      </c>
      <c r="AD1048" s="41">
        <f t="shared" si="84"/>
        <v>1045</v>
      </c>
      <c r="AE1048" s="41" t="s">
        <v>2315</v>
      </c>
      <c r="AF1048" s="73">
        <f t="shared" si="85"/>
        <v>63890</v>
      </c>
      <c r="AG1048" s="74">
        <f t="shared" si="86"/>
        <v>5.7</v>
      </c>
      <c r="AH1048" s="41" t="str">
        <f>IF($C1048="","",$B1048&amp;"|"&amp;(COUNTIFS($B$4:$B$1463,$B1048,$AF$4:$AF$1463,"&gt;"&amp;$AF1048)+COUNTIFS($B$4:$B1048,$B1048,$AF$4:$AF1048,"="&amp;$AF1048)))</f>
        <v>RECKONING|12</v>
      </c>
      <c r="AI1048" s="41" t="str">
        <f>IF($C1048="","",$B1048&amp;"|"&amp;(COUNTIFS($B$4:$B$1463,$B1048,$AG$4:$AG$1463,"&gt;"&amp;$AG1048)+COUNTIFS($B$4:$B1048,$B1048,$AG$4:$AG1048,"="&amp;$AG1048)))</f>
        <v>RECKONING|43</v>
      </c>
    </row>
    <row r="1049" spans="1:35">
      <c r="A1049" s="69" t="s">
        <v>104</v>
      </c>
      <c r="B1049" s="69" t="s">
        <v>66</v>
      </c>
      <c r="C1049" s="63" t="s">
        <v>2269</v>
      </c>
      <c r="D1049" s="69"/>
      <c r="E1049" s="68" t="s">
        <v>80</v>
      </c>
      <c r="F1049" s="15" t="str">
        <f>IF($C1049="","",IF($E1049="","-",IFERROR(INDEX(SETUP!$B$55:$B$64,MATCH($E1049,SETUP!$A$55:$A$64,0)),"Other")))</f>
        <v>Ranged DPS</v>
      </c>
      <c r="G1049" s="70">
        <v>61849</v>
      </c>
      <c r="H1049" s="15" t="str">
        <f>IF($C1049="","",IF($G1049="","-",INDEX(SETUP!$B$26:$B$32,MATCH($G1049,SETUP!$A$26:$A$32,1))))</f>
        <v>61,000 - 61,999</v>
      </c>
      <c r="I1049" s="70">
        <v>2649</v>
      </c>
      <c r="J1049" s="15" t="str">
        <f>IF($C1049="","",IF($I1049="","-",INDEX(SETUP!$B$16:$B$22,MATCH($I1049,SETUP!$A$16:$A$22,1))))</f>
        <v>DEVELOPING</v>
      </c>
      <c r="K1049" s="15" t="str">
        <f>IF($C1049="","",IF($I1049="","-",TEXT(INT($I1049/1000)*1000,"#,##0")&amp;" - "&amp;TEXT(INT($I1049/1000)*1000+999,"#,##0")))</f>
        <v>2,000 - 2,999</v>
      </c>
      <c r="L1049" s="71">
        <v>3.87</v>
      </c>
      <c r="M1049" s="15" t="str">
        <f>IF($C1049="","",IF($L1049="","-",INDEX(SETUP!$B$36:$B$42,MATCH($L1049,SETUP!$A$36:$A$42,1))))</f>
        <v>3k - 4k</v>
      </c>
      <c r="N1049" s="17">
        <f>IF($C1049="","",IF(OR($G1049="",$I1049=""),"",ROUND(100*(SETUP!$B$4*MIN(1,$I1049/SETUP!$B$9)+SETUP!$B$5*MAX(0,MIN(1,($G1049-SETUP!$B$10)/(SETUP!$B$11-SETUP!$B$10)))+SETUP!$B$6*MIN(1,IF($L1049="",0,$L1049)/SETUP!$B$12)),1)))</f>
        <v>36</v>
      </c>
      <c r="O1049" s="15" t="str">
        <f>IF($C1049="","",IF($N1049="","-",INDEX(SETUP!$B$46:$B$51,MATCH($N1049,SETUP!$A$46:$A$51,1))))</f>
        <v>B</v>
      </c>
      <c r="P1049" s="15">
        <f>IF($C1049="","",IF($I1049="","",RANK($I1049,$I$4:$I$1463)+COUNTIF($I$4:$I1049,$I1049)-1))</f>
        <v>965</v>
      </c>
      <c r="Q1049" s="15">
        <f>IF($C1049="","",COUNTIFS($B$4:$B$1463,$B1049,$X$4:$X$1463,"&gt;"&amp;$X1049)+COUNTIFS($B$4:$B1049,$B1049,$X$4:$X1049,"="&amp;$X1049))</f>
        <v>97</v>
      </c>
      <c r="R1049" s="72">
        <f>IF($C1049="","",IF($I1049="","",ROUND(COUNTIF($I$4:$I$1463,"&lt;"&amp;$I1049)/COUNT($I$4:$I$1463),3)))</f>
        <v>0.27200000000000002</v>
      </c>
      <c r="S1049" s="15" t="str">
        <f>IF($C1049="","",IF($G1049="","Name only",IF(OR($I1049="",$L1049=""),"Partial","Complete")))</f>
        <v>Complete</v>
      </c>
      <c r="T1049" s="41" t="str">
        <f>IF($C1049="","",TRIM(IF(COUNTIF($C$4:$C$1463,$C1049)&gt;1,"Dup name; ","")&amp;IF(AND($G1049&lt;&gt;"",$G1049&lt;55000),"Low CR - verify; ","")&amp;IF(AND($L1049&lt;&gt;"",$L1049&gt;15),"Secondary - verify; ","")&amp;IF($E1049="","No class; ","")))</f>
        <v/>
      </c>
      <c r="U1049" s="68" t="s">
        <v>263</v>
      </c>
      <c r="V1049" s="68"/>
      <c r="W1049" s="68"/>
      <c r="X1049" s="76">
        <f t="shared" si="82"/>
        <v>2649</v>
      </c>
      <c r="Y1049" s="1" t="str">
        <f t="shared" si="83"/>
        <v>FUCT|97</v>
      </c>
      <c r="Z1049" s="19">
        <f>IF($C1049="","",IF($G1049="","",RANK($G1049,$G$4:$G$1463)+COUNTIF($G$4:$G1049,$G1049)-1))</f>
        <v>897</v>
      </c>
      <c r="AA1049" s="19">
        <f>IF($C1049="","",IF($N1049="","",RANK($N1049,$N$4:$N$1463)+COUNTIF($N$4:$N1049,$N1049)-1))</f>
        <v>965</v>
      </c>
      <c r="AB1049" s="1" t="str">
        <f>IF($C1049="","",IF($E1049="","",$E1049&amp;"#"&amp;(COUNTIFS($E$4:$E$1463,$E1049,$X$4:$X$1463,"&gt;"&amp;$X1049)+COUNTIFS($E$4:$E1049,$E1049,$X$4:$X1049,"="&amp;$X1049))))</f>
        <v>WIZARD#68</v>
      </c>
      <c r="AC1049" s="1" t="str">
        <f>IF($C1049="","",$B1049&amp;"@"&amp;(COUNTIFS($B$4:$B$1463,$B1049,$C$4:$C$1463,"&lt;"&amp;$C1049)+COUNTIFS($B$4:$B1049,$B1049,$C$4:$C1049,$C1049)))</f>
        <v>FUCT@77</v>
      </c>
      <c r="AD1049" s="1">
        <f t="shared" si="84"/>
        <v>1046</v>
      </c>
      <c r="AE1049" s="1" t="s">
        <v>2317</v>
      </c>
      <c r="AF1049" s="76">
        <f t="shared" si="85"/>
        <v>61849</v>
      </c>
      <c r="AG1049" s="77">
        <f t="shared" si="86"/>
        <v>3.87</v>
      </c>
      <c r="AH1049" s="1" t="str">
        <f>IF($C1049="","",$B1049&amp;"|"&amp;(COUNTIFS($B$4:$B$1463,$B1049,$AF$4:$AF$1463,"&gt;"&amp;$AF1049)+COUNTIFS($B$4:$B1049,$B1049,$AF$4:$AF1049,"="&amp;$AF1049)))</f>
        <v>FUCT|85</v>
      </c>
      <c r="AI1049" s="1" t="str">
        <f>IF($C1049="","",$B1049&amp;"|"&amp;(COUNTIFS($B$4:$B$1463,$B1049,$AG$4:$AG$1463,"&gt;"&amp;$AG1049)+COUNTIFS($B$4:$B1049,$B1049,$AG$4:$AG1049,"="&amp;$AG1049)))</f>
        <v>FUCT|87</v>
      </c>
    </row>
    <row r="1050" spans="1:35" hidden="1">
      <c r="A1050" s="69" t="s">
        <v>109</v>
      </c>
      <c r="B1050" s="69" t="s">
        <v>111</v>
      </c>
      <c r="C1050" s="63" t="s">
        <v>2318</v>
      </c>
      <c r="D1050" s="69" t="s">
        <v>527</v>
      </c>
      <c r="E1050" s="68" t="s">
        <v>77</v>
      </c>
      <c r="F1050" s="15" t="str">
        <f>IF($C1050="","",IF($E1050="","-",IFERROR(INDEX(SETUP!$B$55:$B$64,MATCH($E1050,SETUP!$A$55:$A$64,0)),"Other")))</f>
        <v>Control</v>
      </c>
      <c r="G1050" s="70">
        <v>63893</v>
      </c>
      <c r="H1050" s="15" t="str">
        <f>IF($C1050="","",IF($G1050="","-",INDEX(SETUP!$B$26:$B$32,MATCH($G1050,SETUP!$A$26:$A$32,1))))</f>
        <v>63,000 - 63,999</v>
      </c>
      <c r="I1050" s="70">
        <v>7367</v>
      </c>
      <c r="J1050" s="15" t="str">
        <f>IF($C1050="","",IF($I1050="","-",INDEX(SETUP!$B$16:$B$22,MATCH($I1050,SETUP!$A$16:$A$22,1))))</f>
        <v>VETERAN</v>
      </c>
      <c r="K1050" s="15" t="str">
        <f>IF($C1050="","",IF($I1050="","-",TEXT(INT($I1050/1000)*1000,"#,##0")&amp;" - "&amp;TEXT(INT($I1050/1000)*1000+999,"#,##0")))</f>
        <v>7,000 - 7,999</v>
      </c>
      <c r="L1050" s="71">
        <v>5.75</v>
      </c>
      <c r="M1050" s="15" t="str">
        <f>IF($C1050="","",IF($L1050="","-",INDEX(SETUP!$B$36:$B$42,MATCH($L1050,SETUP!$A$36:$A$42,1))))</f>
        <v>5k - 6k</v>
      </c>
      <c r="N1050" s="17">
        <f>IF($C1050="","",IF(OR($G1050="",$I1050=""),"",ROUND(100*(SETUP!$B$4*MIN(1,$I1050/SETUP!$B$9)+SETUP!$B$5*MAX(0,MIN(1,($G1050-SETUP!$B$10)/(SETUP!$B$11-SETUP!$B$10)))+SETUP!$B$6*MIN(1,IF($L1050="",0,$L1050)/SETUP!$B$12)),1)))</f>
        <v>65.099999999999994</v>
      </c>
      <c r="O1050" s="15" t="str">
        <f>IF($C1050="","",IF($N1050="","-",INDEX(SETUP!$B$46:$B$51,MATCH($N1050,SETUP!$A$46:$A$51,1))))</f>
        <v>S</v>
      </c>
      <c r="P1050" s="15">
        <f>IF($C1050="","",IF($I1050="","",RANK($I1050,$I$4:$I$1463)+COUNTIF($I$4:$I1050,$I1050)-1))</f>
        <v>185</v>
      </c>
      <c r="Q1050" s="15">
        <f>IF($C1050="","",COUNTIFS($B$4:$B$1463,$B1050,$X$4:$X$1463,"&gt;"&amp;$X1050)+COUNTIFS($B$4:$B1050,$B1050,$X$4:$X1050,"="&amp;$X1050))</f>
        <v>23</v>
      </c>
      <c r="R1050" s="72">
        <f>IF($C1050="","",IF($I1050="","",ROUND(COUNTIF($I$4:$I$1463,"&lt;"&amp;$I1050)/COUNT($I$4:$I$1463),3)))</f>
        <v>0.86</v>
      </c>
      <c r="S1050" s="15" t="str">
        <f>IF($C1050="","",IF($G1050="","Name only",IF(OR($I1050="",$L1050=""),"Partial","Complete")))</f>
        <v>Complete</v>
      </c>
      <c r="T1050" s="41" t="str">
        <f>IF($C1050="","",TRIM(IF(COUNTIF($C$4:$C$1463,$C1050)&gt;1,"Dup name; ","")&amp;IF(AND($G1050&lt;&gt;"",$G1050&lt;55000),"Low CR - verify; ","")&amp;IF(AND($L1050&lt;&gt;"",$L1050&gt;15),"Secondary - verify; ","")&amp;IF($E1050="","No class; ","")))</f>
        <v/>
      </c>
      <c r="U1050" s="68"/>
      <c r="V1050" s="68"/>
      <c r="W1050" s="68"/>
      <c r="X1050" s="73">
        <f t="shared" si="82"/>
        <v>7367</v>
      </c>
      <c r="Y1050" s="41" t="str">
        <f t="shared" si="83"/>
        <v>RECKONING|23</v>
      </c>
      <c r="Z1050" s="15">
        <f>IF($C1050="","",IF($G1050="","",RANK($G1050,$G$4:$G$1463)+COUNTIF($G$4:$G1050,$G1050)-1))</f>
        <v>97</v>
      </c>
      <c r="AA1050" s="15">
        <f>IF($C1050="","",IF($N1050="","",RANK($N1050,$N$4:$N$1463)+COUNTIF($N$4:$N1050,$N1050)-1))</f>
        <v>177</v>
      </c>
      <c r="AB1050" s="41" t="str">
        <f>IF($C1050="","",IF($E1050="","",$E1050&amp;"#"&amp;(COUNTIFS($E$4:$E$1463,$E1050,$X$4:$X$1463,"&gt;"&amp;$X1050)+COUNTIFS($E$4:$E1050,$E1050,$X$4:$X1050,"="&amp;$X1050))))</f>
        <v>NECROMANCER#4</v>
      </c>
      <c r="AC1050" s="41" t="str">
        <f>IF($C1050="","",$B1050&amp;"@"&amp;(COUNTIFS($B$4:$B$1463,$B1050,$C$4:$C$1463,"&lt;"&amp;$C1050)+COUNTIFS($B$4:$B1050,$B1050,$C$4:$C1050,$C1050)))</f>
        <v>RECKONING@79</v>
      </c>
      <c r="AD1050" s="41">
        <f t="shared" si="84"/>
        <v>1047</v>
      </c>
      <c r="AE1050" s="41" t="s">
        <v>2319</v>
      </c>
      <c r="AF1050" s="73">
        <f t="shared" si="85"/>
        <v>63893</v>
      </c>
      <c r="AG1050" s="74">
        <f t="shared" si="86"/>
        <v>5.75</v>
      </c>
      <c r="AH1050" s="41" t="str">
        <f>IF($C1050="","",$B1050&amp;"|"&amp;(COUNTIFS($B$4:$B$1463,$B1050,$AF$4:$AF$1463,"&gt;"&amp;$AF1050)+COUNTIFS($B$4:$B1050,$B1050,$AF$4:$AF1050,"="&amp;$AF1050)))</f>
        <v>RECKONING|11</v>
      </c>
      <c r="AI1050" s="41" t="str">
        <f>IF($C1050="","",$B1050&amp;"|"&amp;(COUNTIFS($B$4:$B$1463,$B1050,$AG$4:$AG$1463,"&gt;"&amp;$AG1050)+COUNTIFS($B$4:$B1050,$B1050,$AG$4:$AG1050,"="&amp;$AG1050)))</f>
        <v>RECKONING|42</v>
      </c>
    </row>
    <row r="1051" spans="1:35" hidden="1">
      <c r="A1051" s="69" t="s">
        <v>109</v>
      </c>
      <c r="B1051" s="69" t="s">
        <v>118</v>
      </c>
      <c r="C1051" s="63" t="s">
        <v>2320</v>
      </c>
      <c r="D1051" s="69"/>
      <c r="E1051" s="68" t="s">
        <v>78</v>
      </c>
      <c r="F1051" s="19" t="str">
        <f>IF($C1051="","",IF($E1051="","-",IFERROR(INDEX(SETUP!$B$55:$B$64,MATCH($E1051,SETUP!$A$55:$A$64,0)),"Other")))</f>
        <v>Melee DPS</v>
      </c>
      <c r="G1051" s="70">
        <v>58785</v>
      </c>
      <c r="H1051" s="19" t="str">
        <f>IF($C1051="","",IF($G1051="","-",INDEX(SETUP!$B$26:$B$32,MATCH($G1051,SETUP!$A$26:$A$32,1))))</f>
        <v>58,000 - 59,999</v>
      </c>
      <c r="I1051" s="70">
        <v>1060</v>
      </c>
      <c r="J1051" s="19" t="str">
        <f>IF($C1051="","",IF($I1051="","-",INDEX(SETUP!$B$16:$B$22,MATCH($I1051,SETUP!$A$16:$A$22,1))))</f>
        <v>ROOKIE</v>
      </c>
      <c r="K1051" s="19" t="str">
        <f>IF($C1051="","",IF($I1051="","-",TEXT(INT($I1051/1000)*1000,"#,##0")&amp;" - "&amp;TEXT(INT($I1051/1000)*1000+999,"#,##0")))</f>
        <v>1,000 - 1,999</v>
      </c>
      <c r="L1051" s="71">
        <v>2.8</v>
      </c>
      <c r="M1051" s="19" t="str">
        <f>IF($C1051="","",IF($L1051="","-",INDEX(SETUP!$B$36:$B$42,MATCH($L1051,SETUP!$A$36:$A$42,1))))</f>
        <v>Under 3k</v>
      </c>
      <c r="N1051" s="21">
        <f>IF($C1051="","",IF(OR($G1051="",$I1051=""),"",ROUND(100*(SETUP!$B$4*MIN(1,$I1051/SETUP!$B$9)+SETUP!$B$5*MAX(0,MIN(1,($G1051-SETUP!$B$10)/(SETUP!$B$11-SETUP!$B$10)))+SETUP!$B$6*MIN(1,IF($L1051="",0,$L1051)/SETUP!$B$12)),1)))</f>
        <v>19.3</v>
      </c>
      <c r="O1051" s="19" t="str">
        <f>IF($C1051="","",IF($N1051="","-",INDEX(SETUP!$B$46:$B$51,MATCH($N1051,SETUP!$A$46:$A$51,1))))</f>
        <v>D</v>
      </c>
      <c r="P1051" s="19">
        <f>IF($C1051="","",IF($I1051="","",RANK($I1051,$I$4:$I$1463)+COUNTIF($I$4:$I1051,$I1051)-1))</f>
        <v>1264</v>
      </c>
      <c r="Q1051" s="19">
        <f>IF($C1051="","",COUNTIFS($B$4:$B$1463,$B1051,$X$4:$X$1463,"&gt;"&amp;$X1051)+COUNTIFS($B$4:$B1051,$B1051,$X$4:$X1051,"="&amp;$X1051))</f>
        <v>81</v>
      </c>
      <c r="R1051" s="75">
        <f>IF($C1051="","",IF($I1051="","",ROUND(COUNTIF($I$4:$I$1463,"&lt;"&amp;$I1051)/COUNT($I$4:$I$1463),3)))</f>
        <v>4.5999999999999999E-2</v>
      </c>
      <c r="S1051" s="19" t="str">
        <f>IF($C1051="","",IF($G1051="","Name only",IF(OR($I1051="",$L1051=""),"Partial","Complete")))</f>
        <v>Complete</v>
      </c>
      <c r="T1051" s="1" t="str">
        <f>IF($C1051="","",TRIM(IF(COUNTIF($C$4:$C$1463,$C1051)&gt;1,"Dup name; ","")&amp;IF(AND($G1051&lt;&gt;"",$G1051&lt;55000),"Low CR - verify; ","")&amp;IF(AND($L1051&lt;&gt;"",$L1051&gt;15),"Secondary - verify; ","")&amp;IF($E1051="","No class; ","")))</f>
        <v/>
      </c>
      <c r="U1051" s="68"/>
      <c r="V1051" s="68"/>
      <c r="W1051" s="68"/>
      <c r="X1051" s="76">
        <f t="shared" si="82"/>
        <v>1060</v>
      </c>
      <c r="Y1051" s="1" t="str">
        <f t="shared" si="83"/>
        <v>ZOMBIES|81</v>
      </c>
      <c r="Z1051" s="19">
        <f>IF($C1051="","",IF($G1051="","",RANK($G1051,$G$4:$G$1463)+COUNTIF($G$4:$G1051,$G1051)-1))</f>
        <v>1282</v>
      </c>
      <c r="AA1051" s="19">
        <f>IF($C1051="","",IF($N1051="","",RANK($N1051,$N$4:$N$1463)+COUNTIF($N$4:$N1051,$N1051)-1))</f>
        <v>1295</v>
      </c>
      <c r="AB1051" s="1" t="str">
        <f>IF($C1051="","",IF($E1051="","",$E1051&amp;"#"&amp;(COUNTIFS($E$4:$E$1463,$E1051,$X$4:$X$1463,"&gt;"&amp;$X1051)+COUNTIFS($E$4:$E1051,$E1051,$X$4:$X1051,"="&amp;$X1051))))</f>
        <v>TEMPEST#60</v>
      </c>
      <c r="AC1051" s="1" t="str">
        <f>IF($C1051="","",$B1051&amp;"@"&amp;(COUNTIFS($B$4:$B$1463,$B1051,$C$4:$C$1463,"&lt;"&amp;$C1051)+COUNTIFS($B$4:$B1051,$B1051,$C$4:$C1051,$C1051)))</f>
        <v>ZOMBIES@72</v>
      </c>
      <c r="AD1051" s="1">
        <f t="shared" si="84"/>
        <v>1048</v>
      </c>
      <c r="AE1051" s="1" t="s">
        <v>1458</v>
      </c>
      <c r="AF1051" s="76">
        <f t="shared" si="85"/>
        <v>58785</v>
      </c>
      <c r="AG1051" s="77">
        <f t="shared" si="86"/>
        <v>2.8</v>
      </c>
      <c r="AH1051" s="1" t="str">
        <f>IF($C1051="","",$B1051&amp;"|"&amp;(COUNTIFS($B$4:$B$1463,$B1051,$AF$4:$AF$1463,"&gt;"&amp;$AF1051)+COUNTIFS($B$4:$B1051,$B1051,$AF$4:$AF1051,"="&amp;$AF1051)))</f>
        <v>ZOMBIES|90</v>
      </c>
      <c r="AI1051" s="1" t="str">
        <f>IF($C1051="","",$B1051&amp;"|"&amp;(COUNTIFS($B$4:$B$1463,$B1051,$AG$4:$AG$1463,"&gt;"&amp;$AG1051)+COUNTIFS($B$4:$B1051,$B1051,$AG$4:$AG1051,"="&amp;$AG1051)))</f>
        <v>ZOMBIES|82</v>
      </c>
    </row>
    <row r="1052" spans="1:35" hidden="1">
      <c r="A1052" s="69" t="s">
        <v>109</v>
      </c>
      <c r="B1052" s="69" t="s">
        <v>115</v>
      </c>
      <c r="C1052" s="63" t="s">
        <v>2321</v>
      </c>
      <c r="D1052" s="69"/>
      <c r="E1052" s="68"/>
      <c r="F1052" s="15" t="str">
        <f>IF($C1052="","",IF($E1052="","-",IFERROR(INDEX(SETUP!$B$55:$B$64,MATCH($E1052,SETUP!$A$55:$A$64,0)),"Other")))</f>
        <v>-</v>
      </c>
      <c r="G1052" s="70"/>
      <c r="H1052" s="15" t="str">
        <f>IF($C1052="","",IF($G1052="","-",INDEX(SETUP!$B$26:$B$32,MATCH($G1052,SETUP!$A$26:$A$32,1))))</f>
        <v>-</v>
      </c>
      <c r="I1052" s="70"/>
      <c r="J1052" s="15" t="str">
        <f>IF($C1052="","",IF($I1052="","-",INDEX(SETUP!$B$16:$B$22,MATCH($I1052,SETUP!$A$16:$A$22,1))))</f>
        <v>-</v>
      </c>
      <c r="K1052" s="15" t="str">
        <f>IF($C1052="","",IF($I1052="","-",TEXT(INT($I1052/1000)*1000,"#,##0")&amp;" - "&amp;TEXT(INT($I1052/1000)*1000+999,"#,##0")))</f>
        <v>-</v>
      </c>
      <c r="L1052" s="71"/>
      <c r="M1052" s="15" t="str">
        <f>IF($C1052="","",IF($L1052="","-",INDEX(SETUP!$B$36:$B$42,MATCH($L1052,SETUP!$A$36:$A$42,1))))</f>
        <v>-</v>
      </c>
      <c r="N1052" s="17" t="str">
        <f>IF($C1052="","",IF(OR($G1052="",$I1052=""),"",ROUND(100*(SETUP!$B$4*MIN(1,$I1052/SETUP!$B$9)+SETUP!$B$5*MAX(0,MIN(1,($G1052-SETUP!$B$10)/(SETUP!$B$11-SETUP!$B$10)))+SETUP!$B$6*MIN(1,IF($L1052="",0,$L1052)/SETUP!$B$12)),1)))</f>
        <v/>
      </c>
      <c r="O1052" s="15" t="str">
        <f>IF($C1052="","",IF($N1052="","-",INDEX(SETUP!$B$46:$B$51,MATCH($N1052,SETUP!$A$46:$A$51,1))))</f>
        <v>-</v>
      </c>
      <c r="P1052" s="15" t="str">
        <f>IF($C1052="","",IF($I1052="","",RANK($I1052,$I$4:$I$1463)+COUNTIF($I$4:$I1052,$I1052)-1))</f>
        <v/>
      </c>
      <c r="Q1052" s="15">
        <f>IF($C1052="","",COUNTIFS($B$4:$B$1463,$B1052,$X$4:$X$1463,"&gt;"&amp;$X1052)+COUNTIFS($B$4:$B1052,$B1052,$X$4:$X1052,"="&amp;$X1052))</f>
        <v>81</v>
      </c>
      <c r="R1052" s="72" t="str">
        <f>IF($C1052="","",IF($I1052="","",ROUND(COUNTIF($I$4:$I$1463,"&lt;"&amp;$I1052)/COUNT($I$4:$I$1463),3)))</f>
        <v/>
      </c>
      <c r="S1052" s="15" t="str">
        <f>IF($C1052="","",IF($G1052="","Name only",IF(OR($I1052="",$L1052=""),"Partial","Complete")))</f>
        <v>Name only</v>
      </c>
      <c r="T1052" s="41" t="str">
        <f>IF($C1052="","",TRIM(IF(COUNTIF($C$4:$C$1463,$C1052)&gt;1,"Dup name; ","")&amp;IF(AND($G1052&lt;&gt;"",$G1052&lt;55000),"Low CR - verify; ","")&amp;IF(AND($L1052&lt;&gt;"",$L1052&gt;15),"Secondary - verify; ","")&amp;IF($E1052="","No class; ","")))</f>
        <v>No class;</v>
      </c>
      <c r="U1052" s="68"/>
      <c r="V1052" s="68"/>
      <c r="W1052" s="68"/>
      <c r="X1052" s="41">
        <f t="shared" si="82"/>
        <v>-1</v>
      </c>
      <c r="Y1052" s="41" t="str">
        <f t="shared" si="83"/>
        <v>SUB ROSA|81</v>
      </c>
      <c r="Z1052" s="15" t="str">
        <f>IF($C1052="","",IF($G1052="","",RANK($G1052,$G$4:$G$1463)+COUNTIF($G$4:$G1052,$G1052)-1))</f>
        <v/>
      </c>
      <c r="AA1052" s="15" t="str">
        <f>IF($C1052="","",IF($N1052="","",RANK($N1052,$N$4:$N$1463)+COUNTIF($N$4:$N1052,$N1052)-1))</f>
        <v/>
      </c>
      <c r="AB1052" s="41" t="str">
        <f>IF($C1052="","",IF($E1052="","",$E1052&amp;"#"&amp;(COUNTIFS($E$4:$E$1463,$E1052,$X$4:$X$1463,"&gt;"&amp;$X1052)+COUNTIFS($E$4:$E1052,$E1052,$X$4:$X1052,"="&amp;$X1052))))</f>
        <v/>
      </c>
      <c r="AC1052" s="41" t="str">
        <f>IF($C1052="","",$B1052&amp;"@"&amp;(COUNTIFS($B$4:$B$1463,$B1052,$C$4:$C$1463,"&lt;"&amp;$C1052)+COUNTIFS($B$4:$B1052,$B1052,$C$4:$C1052,$C1052)))</f>
        <v>SUB ROSA@71</v>
      </c>
      <c r="AD1052" s="41">
        <f t="shared" si="84"/>
        <v>1049</v>
      </c>
      <c r="AE1052" s="41"/>
      <c r="AF1052" s="41">
        <f t="shared" si="85"/>
        <v>-1</v>
      </c>
      <c r="AG1052" s="41">
        <f t="shared" si="86"/>
        <v>-1</v>
      </c>
      <c r="AH1052" s="41" t="str">
        <f>IF($C1052="","",$B1052&amp;"|"&amp;(COUNTIFS($B$4:$B$1463,$B1052,$AF$4:$AF$1463,"&gt;"&amp;$AF1052)+COUNTIFS($B$4:$B1052,$B1052,$AF$4:$AF1052,"="&amp;$AF1052)))</f>
        <v>SUB ROSA|81</v>
      </c>
      <c r="AI1052" s="41" t="str">
        <f>IF($C1052="","",$B1052&amp;"|"&amp;(COUNTIFS($B$4:$B$1463,$B1052,$AG$4:$AG$1463,"&gt;"&amp;$AG1052)+COUNTIFS($B$4:$B1052,$B1052,$AG$4:$AG1052,"="&amp;$AG1052)))</f>
        <v>SUB ROSA|81</v>
      </c>
    </row>
    <row r="1053" spans="1:35" hidden="1">
      <c r="A1053" s="69" t="s">
        <v>106</v>
      </c>
      <c r="B1053" s="69" t="s">
        <v>86</v>
      </c>
      <c r="C1053" s="63" t="s">
        <v>2322</v>
      </c>
      <c r="D1053" s="69"/>
      <c r="E1053" s="68" t="s">
        <v>73</v>
      </c>
      <c r="F1053" s="19" t="str">
        <f>IF($C1053="","",IF($E1053="","-",IFERROR(INDEX(SETUP!$B$55:$B$64,MATCH($E1053,SETUP!$A$55:$A$64,0)),"Other")))</f>
        <v>Frontline</v>
      </c>
      <c r="G1053" s="70">
        <v>61569</v>
      </c>
      <c r="H1053" s="19" t="str">
        <f>IF($C1053="","",IF($G1053="","-",INDEX(SETUP!$B$26:$B$32,MATCH($G1053,SETUP!$A$26:$A$32,1))))</f>
        <v>61,000 - 61,999</v>
      </c>
      <c r="I1053" s="70">
        <v>3012</v>
      </c>
      <c r="J1053" s="19" t="str">
        <f>IF($C1053="","",IF($I1053="","-",INDEX(SETUP!$B$16:$B$22,MATCH($I1053,SETUP!$A$16:$A$22,1))))</f>
        <v>DEVELOPING</v>
      </c>
      <c r="K1053" s="19" t="str">
        <f>IF($C1053="","",IF($I1053="","-",TEXT(INT($I1053/1000)*1000,"#,##0")&amp;" - "&amp;TEXT(INT($I1053/1000)*1000+999,"#,##0")))</f>
        <v>3,000 - 3,999</v>
      </c>
      <c r="L1053" s="71">
        <v>3.8</v>
      </c>
      <c r="M1053" s="19" t="str">
        <f>IF($C1053="","",IF($L1053="","-",INDEX(SETUP!$B$36:$B$42,MATCH($L1053,SETUP!$A$36:$A$42,1))))</f>
        <v>3k - 4k</v>
      </c>
      <c r="N1053" s="21">
        <f>IF($C1053="","",IF(OR($G1053="",$I1053=""),"",ROUND(100*(SETUP!$B$4*MIN(1,$I1053/SETUP!$B$9)+SETUP!$B$5*MAX(0,MIN(1,($G1053-SETUP!$B$10)/(SETUP!$B$11-SETUP!$B$10)))+SETUP!$B$6*MIN(1,IF($L1053="",0,$L1053)/SETUP!$B$12)),1)))</f>
        <v>36.799999999999997</v>
      </c>
      <c r="O1053" s="19" t="str">
        <f>IF($C1053="","",IF($N1053="","-",INDEX(SETUP!$B$46:$B$51,MATCH($N1053,SETUP!$A$46:$A$51,1))))</f>
        <v>B</v>
      </c>
      <c r="P1053" s="19">
        <f>IF($C1053="","",IF($I1053="","",RANK($I1053,$I$4:$I$1463)+COUNTIF($I$4:$I1053,$I1053)-1))</f>
        <v>880</v>
      </c>
      <c r="Q1053" s="19">
        <f>IF($C1053="","",COUNTIFS($B$4:$B$1463,$B1053,$X$4:$X$1463,"&gt;"&amp;$X1053)+COUNTIFS($B$4:$B1053,$B1053,$X$4:$X1053,"="&amp;$X1053))</f>
        <v>90</v>
      </c>
      <c r="R1053" s="75">
        <f>IF($C1053="","",IF($I1053="","",ROUND(COUNTIF($I$4:$I$1463,"&lt;"&amp;$I1053)/COUNT($I$4:$I$1463),3)))</f>
        <v>0.33600000000000002</v>
      </c>
      <c r="S1053" s="19" t="str">
        <f>IF($C1053="","",IF($G1053="","Name only",IF(OR($I1053="",$L1053=""),"Partial","Complete")))</f>
        <v>Complete</v>
      </c>
      <c r="T1053" s="1" t="str">
        <f>IF($C1053="","",TRIM(IF(COUNTIF($C$4:$C$1463,$C1053)&gt;1,"Dup name; ","")&amp;IF(AND($G1053&lt;&gt;"",$G1053&lt;55000),"Low CR - verify; ","")&amp;IF(AND($L1053&lt;&gt;"",$L1053&gt;15),"Secondary - verify; ","")&amp;IF($E1053="","No class; ","")))</f>
        <v/>
      </c>
      <c r="U1053" s="68"/>
      <c r="V1053" s="68"/>
      <c r="W1053" s="68"/>
      <c r="X1053" s="76">
        <f t="shared" si="82"/>
        <v>3012</v>
      </c>
      <c r="Y1053" s="1" t="str">
        <f t="shared" si="83"/>
        <v>VANGUARD|90</v>
      </c>
      <c r="Z1053" s="19">
        <f>IF($C1053="","",IF($G1053="","",RANK($G1053,$G$4:$G$1463)+COUNTIF($G$4:$G1053,$G1053)-1))</f>
        <v>985</v>
      </c>
      <c r="AA1053" s="19">
        <f>IF($C1053="","",IF($N1053="","",RANK($N1053,$N$4:$N$1463)+COUNTIF($N$4:$N1053,$N1053)-1))</f>
        <v>938</v>
      </c>
      <c r="AB1053" s="1" t="str">
        <f>IF($C1053="","",IF($E1053="","",$E1053&amp;"#"&amp;(COUNTIFS($E$4:$E$1463,$E1053,$X$4:$X$1463,"&gt;"&amp;$X1053)+COUNTIFS($E$4:$E1053,$E1053,$X$4:$X1053,"="&amp;$X1053))))</f>
        <v>CRUSADER#89</v>
      </c>
      <c r="AC1053" s="1" t="str">
        <f>IF($C1053="","",$B1053&amp;"@"&amp;(COUNTIFS($B$4:$B$1463,$B1053,$C$4:$C$1463,"&lt;"&amp;$C1053)+COUNTIFS($B$4:$B1053,$B1053,$C$4:$C1053,$C1053)))</f>
        <v>VANGUARD@75</v>
      </c>
      <c r="AD1053" s="1">
        <f t="shared" si="84"/>
        <v>1050</v>
      </c>
      <c r="AE1053" s="1" t="s">
        <v>531</v>
      </c>
      <c r="AF1053" s="76">
        <f t="shared" si="85"/>
        <v>61569</v>
      </c>
      <c r="AG1053" s="77">
        <f t="shared" si="86"/>
        <v>3.8</v>
      </c>
      <c r="AH1053" s="1" t="str">
        <f>IF($C1053="","",$B1053&amp;"|"&amp;(COUNTIFS($B$4:$B$1463,$B1053,$AF$4:$AF$1463,"&gt;"&amp;$AF1053)+COUNTIFS($B$4:$B1053,$B1053,$AF$4:$AF1053,"="&amp;$AF1053)))</f>
        <v>VANGUARD|92</v>
      </c>
      <c r="AI1053" s="1" t="str">
        <f>IF($C1053="","",$B1053&amp;"|"&amp;(COUNTIFS($B$4:$B$1463,$B1053,$AG$4:$AG$1463,"&gt;"&amp;$AG1053)+COUNTIFS($B$4:$B1053,$B1053,$AG$4:$AG1053,"="&amp;$AG1053)))</f>
        <v>VANGUARD|93</v>
      </c>
    </row>
    <row r="1054" spans="1:35" hidden="1">
      <c r="A1054" s="69" t="s">
        <v>109</v>
      </c>
      <c r="B1054" s="69" t="s">
        <v>113</v>
      </c>
      <c r="C1054" s="63" t="s">
        <v>2323</v>
      </c>
      <c r="D1054" s="69" t="s">
        <v>548</v>
      </c>
      <c r="E1054" s="68" t="s">
        <v>71</v>
      </c>
      <c r="F1054" s="15" t="str">
        <f>IF($C1054="","",IF($E1054="","-",IFERROR(INDEX(SETUP!$B$55:$B$64,MATCH($E1054,SETUP!$A$55:$A$64,0)),"Other")))</f>
        <v>Frontline</v>
      </c>
      <c r="G1054" s="70">
        <v>63172</v>
      </c>
      <c r="H1054" s="15" t="str">
        <f>IF($C1054="","",IF($G1054="","-",INDEX(SETUP!$B$26:$B$32,MATCH($G1054,SETUP!$A$26:$A$32,1))))</f>
        <v>63,000 - 63,999</v>
      </c>
      <c r="I1054" s="70">
        <v>5467</v>
      </c>
      <c r="J1054" s="15" t="str">
        <f>IF($C1054="","",IF($I1054="","-",INDEX(SETUP!$B$16:$B$22,MATCH($I1054,SETUP!$A$16:$A$22,1))))</f>
        <v>CORE</v>
      </c>
      <c r="K1054" s="15" t="str">
        <f>IF($C1054="","",IF($I1054="","-",TEXT(INT($I1054/1000)*1000,"#,##0")&amp;" - "&amp;TEXT(INT($I1054/1000)*1000+999,"#,##0")))</f>
        <v>5,000 - 5,999</v>
      </c>
      <c r="L1054" s="71">
        <v>5.6</v>
      </c>
      <c r="M1054" s="15" t="str">
        <f>IF($C1054="","",IF($L1054="","-",INDEX(SETUP!$B$36:$B$42,MATCH($L1054,SETUP!$A$36:$A$42,1))))</f>
        <v>5k - 6k</v>
      </c>
      <c r="N1054" s="17">
        <f>IF($C1054="","",IF(OR($G1054="",$I1054=""),"",ROUND(100*(SETUP!$B$4*MIN(1,$I1054/SETUP!$B$9)+SETUP!$B$5*MAX(0,MIN(1,($G1054-SETUP!$B$10)/(SETUP!$B$11-SETUP!$B$10)))+SETUP!$B$6*MIN(1,IF($L1054="",0,$L1054)/SETUP!$B$12)),1)))</f>
        <v>54.7</v>
      </c>
      <c r="O1054" s="15" t="str">
        <f>IF($C1054="","",IF($N1054="","-",INDEX(SETUP!$B$46:$B$51,MATCH($N1054,SETUP!$A$46:$A$51,1))))</f>
        <v>A</v>
      </c>
      <c r="P1054" s="15">
        <f>IF($C1054="","",IF($I1054="","",RANK($I1054,$I$4:$I$1463)+COUNTIF($I$4:$I1054,$I1054)-1))</f>
        <v>341</v>
      </c>
      <c r="Q1054" s="15">
        <f>IF($C1054="","",COUNTIFS($B$4:$B$1463,$B1054,$X$4:$X$1463,"&gt;"&amp;$X1054)+COUNTIFS($B$4:$B1054,$B1054,$X$4:$X1054,"="&amp;$X1054))</f>
        <v>13</v>
      </c>
      <c r="R1054" s="72">
        <f>IF($C1054="","",IF($I1054="","",ROUND(COUNTIF($I$4:$I$1463,"&lt;"&amp;$I1054)/COUNT($I$4:$I$1463),3)))</f>
        <v>0.74299999999999999</v>
      </c>
      <c r="S1054" s="15" t="str">
        <f>IF($C1054="","",IF($G1054="","Name only",IF(OR($I1054="",$L1054=""),"Partial","Complete")))</f>
        <v>Complete</v>
      </c>
      <c r="T1054" s="41" t="str">
        <f>IF($C1054="","",TRIM(IF(COUNTIF($C$4:$C$1463,$C1054)&gt;1,"Dup name; ","")&amp;IF(AND($G1054&lt;&gt;"",$G1054&lt;55000),"Low CR - verify; ","")&amp;IF(AND($L1054&lt;&gt;"",$L1054&gt;15),"Secondary - verify; ","")&amp;IF($E1054="","No class; ","")))</f>
        <v/>
      </c>
      <c r="U1054" s="68"/>
      <c r="V1054" s="68"/>
      <c r="W1054" s="68"/>
      <c r="X1054" s="73">
        <f t="shared" si="82"/>
        <v>5467</v>
      </c>
      <c r="Y1054" s="41" t="str">
        <f t="shared" si="83"/>
        <v>INVICTUS|13</v>
      </c>
      <c r="Z1054" s="15">
        <f>IF($C1054="","",IF($G1054="","",RANK($G1054,$G$4:$G$1463)+COUNTIF($G$4:$G1054,$G1054)-1))</f>
        <v>330</v>
      </c>
      <c r="AA1054" s="15">
        <f>IF($C1054="","",IF($N1054="","",RANK($N1054,$N$4:$N$1463)+COUNTIF($N$4:$N1054,$N1054)-1))</f>
        <v>324</v>
      </c>
      <c r="AB1054" s="41" t="str">
        <f>IF($C1054="","",IF($E1054="","",$E1054&amp;"#"&amp;(COUNTIFS($E$4:$E$1463,$E1054,$X$4:$X$1463,"&gt;"&amp;$X1054)+COUNTIFS($E$4:$E1054,$E1054,$X$4:$X1054,"="&amp;$X1054))))</f>
        <v>BARBARIAN#68</v>
      </c>
      <c r="AC1054" s="41" t="str">
        <f>IF($C1054="","",$B1054&amp;"@"&amp;(COUNTIFS($B$4:$B$1463,$B1054,$C$4:$C$1463,"&lt;"&amp;$C1054)+COUNTIFS($B$4:$B1054,$B1054,$C$4:$C1054,$C1054)))</f>
        <v>INVICTUS@76</v>
      </c>
      <c r="AD1054" s="41">
        <f t="shared" si="84"/>
        <v>1051</v>
      </c>
      <c r="AE1054" s="41" t="s">
        <v>2324</v>
      </c>
      <c r="AF1054" s="73">
        <f t="shared" si="85"/>
        <v>63172</v>
      </c>
      <c r="AG1054" s="74">
        <f t="shared" si="86"/>
        <v>5.6</v>
      </c>
      <c r="AH1054" s="41" t="str">
        <f>IF($C1054="","",$B1054&amp;"|"&amp;(COUNTIFS($B$4:$B$1463,$B1054,$AF$4:$AF$1463,"&gt;"&amp;$AF1054)+COUNTIFS($B$4:$B1054,$B1054,$AF$4:$AF1054,"="&amp;$AF1054)))</f>
        <v>INVICTUS|15</v>
      </c>
      <c r="AI1054" s="41" t="str">
        <f>IF($C1054="","",$B1054&amp;"|"&amp;(COUNTIFS($B$4:$B$1463,$B1054,$AG$4:$AG$1463,"&gt;"&amp;$AG1054)+COUNTIFS($B$4:$B1054,$B1054,$AG$4:$AG1054,"="&amp;$AG1054)))</f>
        <v>INVICTUS|19</v>
      </c>
    </row>
    <row r="1055" spans="1:35" hidden="1">
      <c r="A1055" s="69" t="s">
        <v>109</v>
      </c>
      <c r="B1055" s="69" t="s">
        <v>114</v>
      </c>
      <c r="C1055" s="63" t="s">
        <v>2325</v>
      </c>
      <c r="D1055" s="69"/>
      <c r="E1055" s="68" t="s">
        <v>79</v>
      </c>
      <c r="F1055" s="19" t="str">
        <f>IF($C1055="","",IF($E1055="","-",IFERROR(INDEX(SETUP!$B$55:$B$64,MATCH($E1055,SETUP!$A$55:$A$64,0)),"Other")))</f>
        <v>Control</v>
      </c>
      <c r="G1055" s="70">
        <v>61780</v>
      </c>
      <c r="H1055" s="19" t="str">
        <f>IF($C1055="","",IF($G1055="","-",INDEX(SETUP!$B$26:$B$32,MATCH($G1055,SETUP!$A$26:$A$32,1))))</f>
        <v>61,000 - 61,999</v>
      </c>
      <c r="I1055" s="70">
        <v>1969</v>
      </c>
      <c r="J1055" s="19" t="str">
        <f>IF($C1055="","",IF($I1055="","-",INDEX(SETUP!$B$16:$B$22,MATCH($I1055,SETUP!$A$16:$A$22,1))))</f>
        <v>ROOKIE</v>
      </c>
      <c r="K1055" s="19" t="str">
        <f>IF($C1055="","",IF($I1055="","-",TEXT(INT($I1055/1000)*1000,"#,##0")&amp;" - "&amp;TEXT(INT($I1055/1000)*1000+999,"#,##0")))</f>
        <v>1,000 - 1,999</v>
      </c>
      <c r="L1055" s="71">
        <v>3.2</v>
      </c>
      <c r="M1055" s="19" t="str">
        <f>IF($C1055="","",IF($L1055="","-",INDEX(SETUP!$B$36:$B$42,MATCH($L1055,SETUP!$A$36:$A$42,1))))</f>
        <v>3k - 4k</v>
      </c>
      <c r="N1055" s="21">
        <f>IF($C1055="","",IF(OR($G1055="",$I1055=""),"",ROUND(100*(SETUP!$B$4*MIN(1,$I1055/SETUP!$B$9)+SETUP!$B$5*MAX(0,MIN(1,($G1055-SETUP!$B$10)/(SETUP!$B$11-SETUP!$B$10)))+SETUP!$B$6*MIN(1,IF($L1055="",0,$L1055)/SETUP!$B$12)),1)))</f>
        <v>31.8</v>
      </c>
      <c r="O1055" s="19" t="str">
        <f>IF($C1055="","",IF($N1055="","-",INDEX(SETUP!$B$46:$B$51,MATCH($N1055,SETUP!$A$46:$A$51,1))))</f>
        <v>C</v>
      </c>
      <c r="P1055" s="19">
        <f>IF($C1055="","",IF($I1055="","",RANK($I1055,$I$4:$I$1463)+COUNTIF($I$4:$I1055,$I1055)-1))</f>
        <v>1123</v>
      </c>
      <c r="Q1055" s="19">
        <f>IF($C1055="","",COUNTIFS($B$4:$B$1463,$B1055,$X$4:$X$1463,"&gt;"&amp;$X1055)+COUNTIFS($B$4:$B1055,$B1055,$X$4:$X1055,"="&amp;$X1055))</f>
        <v>56</v>
      </c>
      <c r="R1055" s="75">
        <f>IF($C1055="","",IF($I1055="","",ROUND(COUNTIF($I$4:$I$1463,"&lt;"&amp;$I1055)/COUNT($I$4:$I$1463),3)))</f>
        <v>0.152</v>
      </c>
      <c r="S1055" s="19" t="str">
        <f>IF($C1055="","",IF($G1055="","Name only",IF(OR($I1055="",$L1055=""),"Partial","Complete")))</f>
        <v>Complete</v>
      </c>
      <c r="T1055" s="1" t="str">
        <f>IF($C1055="","",TRIM(IF(COUNTIF($C$4:$C$1463,$C1055)&gt;1,"Dup name; ","")&amp;IF(AND($G1055&lt;&gt;"",$G1055&lt;55000),"Low CR - verify; ","")&amp;IF(AND($L1055&lt;&gt;"",$L1055&gt;15),"Secondary - verify; ","")&amp;IF($E1055="","No class; ","")))</f>
        <v/>
      </c>
      <c r="U1055" s="68"/>
      <c r="V1055" s="68"/>
      <c r="W1055" s="68"/>
      <c r="X1055" s="76">
        <f t="shared" si="82"/>
        <v>1969</v>
      </c>
      <c r="Y1055" s="1" t="str">
        <f t="shared" si="83"/>
        <v>EMERALD LEAF TRIBE|56</v>
      </c>
      <c r="Z1055" s="19">
        <f>IF($C1055="","",IF($G1055="","",RANK($G1055,$G$4:$G$1463)+COUNTIF($G$4:$G1055,$G1055)-1))</f>
        <v>917</v>
      </c>
      <c r="AA1055" s="19">
        <f>IF($C1055="","",IF($N1055="","",RANK($N1055,$N$4:$N$1463)+COUNTIF($N$4:$N1055,$N1055)-1))</f>
        <v>1105</v>
      </c>
      <c r="AB1055" s="1" t="str">
        <f>IF($C1055="","",IF($E1055="","",$E1055&amp;"#"&amp;(COUNTIFS($E$4:$E$1463,$E1055,$X$4:$X$1463,"&gt;"&amp;$X1055)+COUNTIFS($E$4:$E1055,$E1055,$X$4:$X1055,"="&amp;$X1055))))</f>
        <v>WARLOCK#282</v>
      </c>
      <c r="AC1055" s="1" t="str">
        <f>IF($C1055="","",$B1055&amp;"@"&amp;(COUNTIFS($B$4:$B$1463,$B1055,$C$4:$C$1463,"&lt;"&amp;$C1055)+COUNTIFS($B$4:$B1055,$B1055,$C$4:$C1055,$C1055)))</f>
        <v>EMERALD LEAF TRIBE@77</v>
      </c>
      <c r="AD1055" s="1">
        <f t="shared" si="84"/>
        <v>1052</v>
      </c>
      <c r="AE1055" s="1" t="s">
        <v>2326</v>
      </c>
      <c r="AF1055" s="76">
        <f t="shared" si="85"/>
        <v>61780</v>
      </c>
      <c r="AG1055" s="77">
        <f t="shared" si="86"/>
        <v>3.2</v>
      </c>
      <c r="AH1055" s="1" t="str">
        <f>IF($C1055="","",$B1055&amp;"|"&amp;(COUNTIFS($B$4:$B$1463,$B1055,$AF$4:$AF$1463,"&gt;"&amp;$AF1055)+COUNTIFS($B$4:$B1055,$B1055,$AF$4:$AF1055,"="&amp;$AF1055)))</f>
        <v>EMERALD LEAF TRIBE|34</v>
      </c>
      <c r="AI1055" s="1" t="str">
        <f>IF($C1055="","",$B1055&amp;"|"&amp;(COUNTIFS($B$4:$B$1463,$B1055,$AG$4:$AG$1463,"&gt;"&amp;$AG1055)+COUNTIFS($B$4:$B1055,$B1055,$AG$4:$AG1055,"="&amp;$AG1055)))</f>
        <v>EMERALD LEAF TRIBE|72</v>
      </c>
    </row>
    <row r="1056" spans="1:35" hidden="1">
      <c r="A1056" s="69" t="s">
        <v>109</v>
      </c>
      <c r="B1056" s="69" t="s">
        <v>108</v>
      </c>
      <c r="C1056" s="63" t="s">
        <v>179</v>
      </c>
      <c r="D1056" s="69"/>
      <c r="E1056" s="68" t="s">
        <v>72</v>
      </c>
      <c r="F1056" s="15" t="str">
        <f>IF($C1056="","",IF($E1056="","-",IFERROR(INDEX(SETUP!$B$55:$B$64,MATCH($E1056,SETUP!$A$55:$A$64,0)),"Other")))</f>
        <v>Frontline</v>
      </c>
      <c r="G1056" s="70">
        <v>64286</v>
      </c>
      <c r="H1056" s="15" t="str">
        <f>IF($C1056="","",IF($G1056="","-",INDEX(SETUP!$B$26:$B$32,MATCH($G1056,SETUP!$A$26:$A$32,1))))</f>
        <v>64,000 +</v>
      </c>
      <c r="I1056" s="70">
        <v>12383</v>
      </c>
      <c r="J1056" s="15" t="str">
        <f>IF($C1056="","",IF($I1056="","-",INDEX(SETUP!$B$16:$B$22,MATCH($I1056,SETUP!$A$16:$A$22,1))))</f>
        <v>MYTHIC</v>
      </c>
      <c r="K1056" s="15" t="str">
        <f>IF($C1056="","",IF($I1056="","-",TEXT(INT($I1056/1000)*1000,"#,##0")&amp;" - "&amp;TEXT(INT($I1056/1000)*1000+999,"#,##0")))</f>
        <v>12,000 - 12,999</v>
      </c>
      <c r="L1056" s="71">
        <v>11.5</v>
      </c>
      <c r="M1056" s="15" t="str">
        <f>IF($C1056="","",IF($L1056="","-",INDEX(SETUP!$B$36:$B$42,MATCH($L1056,SETUP!$A$36:$A$42,1))))</f>
        <v>10k +</v>
      </c>
      <c r="N1056" s="17">
        <f>IF($C1056="","",IF(OR($G1056="",$I1056=""),"",ROUND(100*(SETUP!$B$4*MIN(1,$I1056/SETUP!$B$9)+SETUP!$B$5*MAX(0,MIN(1,($G1056-SETUP!$B$10)/(SETUP!$B$11-SETUP!$B$10)))+SETUP!$B$6*MIN(1,IF($L1056="",0,$L1056)/SETUP!$B$12)),1)))</f>
        <v>97.7</v>
      </c>
      <c r="O1056" s="15" t="str">
        <f>IF($C1056="","",IF($N1056="","-",INDEX(SETUP!$B$46:$B$51,MATCH($N1056,SETUP!$A$46:$A$51,1))))</f>
        <v>S+</v>
      </c>
      <c r="P1056" s="15">
        <f>IF($C1056="","",IF($I1056="","",RANK($I1056,$I$4:$I$1463)+COUNTIF($I$4:$I1056,$I1056)-1))</f>
        <v>3</v>
      </c>
      <c r="Q1056" s="15">
        <f>IF($C1056="","",COUNTIFS($B$4:$B$1463,$B1056,$X$4:$X$1463,"&gt;"&amp;$X1056)+COUNTIFS($B$4:$B1056,$B1056,$X$4:$X1056,"="&amp;$X1056))</f>
        <v>1</v>
      </c>
      <c r="R1056" s="72">
        <f>IF($C1056="","",IF($I1056="","",ROUND(COUNTIF($I$4:$I$1463,"&lt;"&amp;$I1056)/COUNT($I$4:$I$1463),3)))</f>
        <v>0.998</v>
      </c>
      <c r="S1056" s="15" t="str">
        <f>IF($C1056="","",IF($G1056="","Name only",IF(OR($I1056="",$L1056=""),"Partial","Complete")))</f>
        <v>Complete</v>
      </c>
      <c r="T1056" s="41" t="str">
        <f>IF($C1056="","",TRIM(IF(COUNTIF($C$4:$C$1463,$C1056)&gt;1,"Dup name; ","")&amp;IF(AND($G1056&lt;&gt;"",$G1056&lt;55000),"Low CR - verify; ","")&amp;IF(AND($L1056&lt;&gt;"",$L1056&gt;15),"Secondary - verify; ","")&amp;IF($E1056="","No class; ","")))</f>
        <v/>
      </c>
      <c r="U1056" s="68"/>
      <c r="V1056" s="68"/>
      <c r="W1056" s="68"/>
      <c r="X1056" s="73">
        <f t="shared" si="82"/>
        <v>12383</v>
      </c>
      <c r="Y1056" s="41" t="str">
        <f t="shared" si="83"/>
        <v>SBG|1</v>
      </c>
      <c r="Z1056" s="15">
        <f>IF($C1056="","",IF($G1056="","",RANK($G1056,$G$4:$G$1463)+COUNTIF($G$4:$G1056,$G1056)-1))</f>
        <v>24</v>
      </c>
      <c r="AA1056" s="15">
        <f>IF($C1056="","",IF($N1056="","",RANK($N1056,$N$4:$N$1463)+COUNTIF($N$4:$N1056,$N1056)-1))</f>
        <v>1</v>
      </c>
      <c r="AB1056" s="41" t="str">
        <f>IF($C1056="","",IF($E1056="","",$E1056&amp;"#"&amp;(COUNTIFS($E$4:$E$1463,$E1056,$X$4:$X$1463,"&gt;"&amp;$X1056)+COUNTIFS($E$4:$E1056,$E1056,$X$4:$X1056,"="&amp;$X1056))))</f>
        <v>BLOOD KNIGHT#1</v>
      </c>
      <c r="AC1056" s="41" t="str">
        <f>IF($C1056="","",$B1056&amp;"@"&amp;(COUNTIFS($B$4:$B$1463,$B1056,$C$4:$C$1463,"&lt;"&amp;$C1056)+COUNTIFS($B$4:$B1056,$B1056,$C$4:$C1056,$C1056)))</f>
        <v>SBG@74</v>
      </c>
      <c r="AD1056" s="41">
        <f t="shared" si="84"/>
        <v>1053</v>
      </c>
      <c r="AE1056" s="41" t="s">
        <v>2327</v>
      </c>
      <c r="AF1056" s="73">
        <f t="shared" si="85"/>
        <v>64286</v>
      </c>
      <c r="AG1056" s="74">
        <f t="shared" si="86"/>
        <v>11.5</v>
      </c>
      <c r="AH1056" s="41" t="str">
        <f>IF($C1056="","",$B1056&amp;"|"&amp;(COUNTIFS($B$4:$B$1463,$B1056,$AF$4:$AF$1463,"&gt;"&amp;$AF1056)+COUNTIFS($B$4:$B1056,$B1056,$AF$4:$AF1056,"="&amp;$AF1056)))</f>
        <v>SBG|7</v>
      </c>
      <c r="AI1056" s="41" t="str">
        <f>IF($C1056="","",$B1056&amp;"|"&amp;(COUNTIFS($B$4:$B$1463,$B1056,$AG$4:$AG$1463,"&gt;"&amp;$AG1056)+COUNTIFS($B$4:$B1056,$B1056,$AG$4:$AG1056,"="&amp;$AG1056)))</f>
        <v>SBG|1</v>
      </c>
    </row>
    <row r="1057" spans="1:35" hidden="1">
      <c r="A1057" s="69" t="s">
        <v>109</v>
      </c>
      <c r="B1057" s="69" t="s">
        <v>115</v>
      </c>
      <c r="C1057" s="63" t="s">
        <v>2328</v>
      </c>
      <c r="D1057" s="69"/>
      <c r="E1057" s="68"/>
      <c r="F1057" s="19" t="str">
        <f>IF($C1057="","",IF($E1057="","-",IFERROR(INDEX(SETUP!$B$55:$B$64,MATCH($E1057,SETUP!$A$55:$A$64,0)),"Other")))</f>
        <v>-</v>
      </c>
      <c r="G1057" s="70"/>
      <c r="H1057" s="19" t="str">
        <f>IF($C1057="","",IF($G1057="","-",INDEX(SETUP!$B$26:$B$32,MATCH($G1057,SETUP!$A$26:$A$32,1))))</f>
        <v>-</v>
      </c>
      <c r="I1057" s="70"/>
      <c r="J1057" s="19" t="str">
        <f>IF($C1057="","",IF($I1057="","-",INDEX(SETUP!$B$16:$B$22,MATCH($I1057,SETUP!$A$16:$A$22,1))))</f>
        <v>-</v>
      </c>
      <c r="K1057" s="19" t="str">
        <f>IF($C1057="","",IF($I1057="","-",TEXT(INT($I1057/1000)*1000,"#,##0")&amp;" - "&amp;TEXT(INT($I1057/1000)*1000+999,"#,##0")))</f>
        <v>-</v>
      </c>
      <c r="L1057" s="71"/>
      <c r="M1057" s="19" t="str">
        <f>IF($C1057="","",IF($L1057="","-",INDEX(SETUP!$B$36:$B$42,MATCH($L1057,SETUP!$A$36:$A$42,1))))</f>
        <v>-</v>
      </c>
      <c r="N1057" s="21" t="str">
        <f>IF($C1057="","",IF(OR($G1057="",$I1057=""),"",ROUND(100*(SETUP!$B$4*MIN(1,$I1057/SETUP!$B$9)+SETUP!$B$5*MAX(0,MIN(1,($G1057-SETUP!$B$10)/(SETUP!$B$11-SETUP!$B$10)))+SETUP!$B$6*MIN(1,IF($L1057="",0,$L1057)/SETUP!$B$12)),1)))</f>
        <v/>
      </c>
      <c r="O1057" s="19" t="str">
        <f>IF($C1057="","",IF($N1057="","-",INDEX(SETUP!$B$46:$B$51,MATCH($N1057,SETUP!$A$46:$A$51,1))))</f>
        <v>-</v>
      </c>
      <c r="P1057" s="19" t="str">
        <f>IF($C1057="","",IF($I1057="","",RANK($I1057,$I$4:$I$1463)+COUNTIF($I$4:$I1057,$I1057)-1))</f>
        <v/>
      </c>
      <c r="Q1057" s="19">
        <f>IF($C1057="","",COUNTIFS($B$4:$B$1463,$B1057,$X$4:$X$1463,"&gt;"&amp;$X1057)+COUNTIFS($B$4:$B1057,$B1057,$X$4:$X1057,"="&amp;$X1057))</f>
        <v>82</v>
      </c>
      <c r="R1057" s="75" t="str">
        <f>IF($C1057="","",IF($I1057="","",ROUND(COUNTIF($I$4:$I$1463,"&lt;"&amp;$I1057)/COUNT($I$4:$I$1463),3)))</f>
        <v/>
      </c>
      <c r="S1057" s="19" t="str">
        <f>IF($C1057="","",IF($G1057="","Name only",IF(OR($I1057="",$L1057=""),"Partial","Complete")))</f>
        <v>Name only</v>
      </c>
      <c r="T1057" s="1" t="str">
        <f>IF($C1057="","",TRIM(IF(COUNTIF($C$4:$C$1463,$C1057)&gt;1,"Dup name; ","")&amp;IF(AND($G1057&lt;&gt;"",$G1057&lt;55000),"Low CR - verify; ","")&amp;IF(AND($L1057&lt;&gt;"",$L1057&gt;15),"Secondary - verify; ","")&amp;IF($E1057="","No class; ","")))</f>
        <v>No class;</v>
      </c>
      <c r="U1057" s="68"/>
      <c r="V1057" s="68"/>
      <c r="W1057" s="68"/>
      <c r="X1057" s="1">
        <f t="shared" si="82"/>
        <v>-1</v>
      </c>
      <c r="Y1057" s="1" t="str">
        <f t="shared" si="83"/>
        <v>SUB ROSA|82</v>
      </c>
      <c r="Z1057" s="19" t="str">
        <f>IF($C1057="","",IF($G1057="","",RANK($G1057,$G$4:$G$1463)+COUNTIF($G$4:$G1057,$G1057)-1))</f>
        <v/>
      </c>
      <c r="AA1057" s="19" t="str">
        <f>IF($C1057="","",IF($N1057="","",RANK($N1057,$N$4:$N$1463)+COUNTIF($N$4:$N1057,$N1057)-1))</f>
        <v/>
      </c>
      <c r="AB1057" s="1" t="str">
        <f>IF($C1057="","",IF($E1057="","",$E1057&amp;"#"&amp;(COUNTIFS($E$4:$E$1463,$E1057,$X$4:$X$1463,"&gt;"&amp;$X1057)+COUNTIFS($E$4:$E1057,$E1057,$X$4:$X1057,"="&amp;$X1057))))</f>
        <v/>
      </c>
      <c r="AC1057" s="1" t="str">
        <f>IF($C1057="","",$B1057&amp;"@"&amp;(COUNTIFS($B$4:$B$1463,$B1057,$C$4:$C$1463,"&lt;"&amp;$C1057)+COUNTIFS($B$4:$B1057,$B1057,$C$4:$C1057,$C1057)))</f>
        <v>SUB ROSA@72</v>
      </c>
      <c r="AD1057" s="1">
        <f t="shared" si="84"/>
        <v>1054</v>
      </c>
      <c r="AE1057" s="1"/>
      <c r="AF1057" s="1">
        <f t="shared" si="85"/>
        <v>-1</v>
      </c>
      <c r="AG1057" s="1">
        <f t="shared" si="86"/>
        <v>-1</v>
      </c>
      <c r="AH1057" s="1" t="str">
        <f>IF($C1057="","",$B1057&amp;"|"&amp;(COUNTIFS($B$4:$B$1463,$B1057,$AF$4:$AF$1463,"&gt;"&amp;$AF1057)+COUNTIFS($B$4:$B1057,$B1057,$AF$4:$AF1057,"="&amp;$AF1057)))</f>
        <v>SUB ROSA|82</v>
      </c>
      <c r="AI1057" s="1" t="str">
        <f>IF($C1057="","",$B1057&amp;"|"&amp;(COUNTIFS($B$4:$B$1463,$B1057,$AG$4:$AG$1463,"&gt;"&amp;$AG1057)+COUNTIFS($B$4:$B1057,$B1057,$AG$4:$AG1057,"="&amp;$AG1057)))</f>
        <v>SUB ROSA|82</v>
      </c>
    </row>
    <row r="1058" spans="1:35">
      <c r="A1058" s="69" t="s">
        <v>104</v>
      </c>
      <c r="B1058" s="69" t="s">
        <v>66</v>
      </c>
      <c r="C1058" s="63" t="s">
        <v>2283</v>
      </c>
      <c r="D1058" s="69"/>
      <c r="E1058" s="68" t="s">
        <v>74</v>
      </c>
      <c r="F1058" s="19" t="str">
        <f>IF($C1058="","",IF($E1058="","-",IFERROR(INDEX(SETUP!$B$55:$B$64,MATCH($E1058,SETUP!$A$55:$A$64,0)),"Other")))</f>
        <v>Ranged DPS</v>
      </c>
      <c r="G1058" s="70">
        <v>62937</v>
      </c>
      <c r="H1058" s="19" t="str">
        <f>IF($C1058="","",IF($G1058="","-",INDEX(SETUP!$B$26:$B$32,MATCH($G1058,SETUP!$A$26:$A$32,1))))</f>
        <v>62,000 - 62,999</v>
      </c>
      <c r="I1058" s="70">
        <v>3028</v>
      </c>
      <c r="J1058" s="19" t="str">
        <f>IF($C1058="","",IF($I1058="","-",INDEX(SETUP!$B$16:$B$22,MATCH($I1058,SETUP!$A$16:$A$22,1))))</f>
        <v>DEVELOPING</v>
      </c>
      <c r="K1058" s="19" t="str">
        <f>IF($C1058="","",IF($I1058="","-",TEXT(INT($I1058/1000)*1000,"#,##0")&amp;" - "&amp;TEXT(INT($I1058/1000)*1000+999,"#,##0")))</f>
        <v>3,000 - 3,999</v>
      </c>
      <c r="L1058" s="71">
        <v>3.99</v>
      </c>
      <c r="M1058" s="19" t="str">
        <f>IF($C1058="","",IF($L1058="","-",INDEX(SETUP!$B$36:$B$42,MATCH($L1058,SETUP!$A$36:$A$42,1))))</f>
        <v>3k - 4k</v>
      </c>
      <c r="N1058" s="21">
        <f>IF($C1058="","",IF(OR($G1058="",$I1058=""),"",ROUND(100*(SETUP!$B$4*MIN(1,$I1058/SETUP!$B$9)+SETUP!$B$5*MAX(0,MIN(1,($G1058-SETUP!$B$10)/(SETUP!$B$11-SETUP!$B$10)))+SETUP!$B$6*MIN(1,IF($L1058="",0,$L1058)/SETUP!$B$12)),1)))</f>
        <v>40.799999999999997</v>
      </c>
      <c r="O1058" s="19" t="str">
        <f>IF($C1058="","",IF($N1058="","-",INDEX(SETUP!$B$46:$B$51,MATCH($N1058,SETUP!$A$46:$A$51,1))))</f>
        <v>B</v>
      </c>
      <c r="P1058" s="19">
        <f>IF($C1058="","",IF($I1058="","",RANK($I1058,$I$4:$I$1463)+COUNTIF($I$4:$I1058,$I1058)-1))</f>
        <v>869</v>
      </c>
      <c r="Q1058" s="19">
        <f>IF($C1058="","",COUNTIFS($B$4:$B$1463,$B1058,$X$4:$X$1463,"&gt;"&amp;$X1058)+COUNTIFS($B$4:$B1058,$B1058,$X$4:$X1058,"="&amp;$X1058))</f>
        <v>92</v>
      </c>
      <c r="R1058" s="75">
        <f>IF($C1058="","",IF($I1058="","",ROUND(COUNTIF($I$4:$I$1463,"&lt;"&amp;$I1058)/COUNT($I$4:$I$1463),3)))</f>
        <v>0.34399999999999997</v>
      </c>
      <c r="S1058" s="19" t="str">
        <f>IF($C1058="","",IF($G1058="","Name only",IF(OR($I1058="",$L1058=""),"Partial","Complete")))</f>
        <v>Complete</v>
      </c>
      <c r="T1058" s="1" t="str">
        <f>IF($C1058="","",TRIM(IF(COUNTIF($C$4:$C$1463,$C1058)&gt;1,"Dup name; ","")&amp;IF(AND($G1058&lt;&gt;"",$G1058&lt;55000),"Low CR - verify; ","")&amp;IF(AND($L1058&lt;&gt;"",$L1058&gt;15),"Secondary - verify; ","")&amp;IF($E1058="","No class; ","")))</f>
        <v/>
      </c>
      <c r="U1058" s="68"/>
      <c r="V1058" s="68"/>
      <c r="W1058" s="68"/>
      <c r="X1058" s="73">
        <f t="shared" si="82"/>
        <v>3028</v>
      </c>
      <c r="Y1058" s="41" t="str">
        <f t="shared" si="83"/>
        <v>FUCT|92</v>
      </c>
      <c r="Z1058" s="15">
        <f>IF($C1058="","",IF($G1058="","",RANK($G1058,$G$4:$G$1463)+COUNTIF($G$4:$G1058,$G1058)-1))</f>
        <v>457</v>
      </c>
      <c r="AA1058" s="15">
        <f>IF($C1058="","",IF($N1058="","",RANK($N1058,$N$4:$N$1463)+COUNTIF($N$4:$N1058,$N1058)-1))</f>
        <v>787</v>
      </c>
      <c r="AB1058" s="41" t="str">
        <f>IF($C1058="","",IF($E1058="","",$E1058&amp;"#"&amp;(COUNTIFS($E$4:$E$1463,$E1058,$X$4:$X$1463,"&gt;"&amp;$X1058)+COUNTIFS($E$4:$E1058,$E1058,$X$4:$X1058,"="&amp;$X1058))))</f>
        <v>DEMON HUNTER#138</v>
      </c>
      <c r="AC1058" s="41" t="str">
        <f>IF($C1058="","",$B1058&amp;"@"&amp;(COUNTIFS($B$4:$B$1463,$B1058,$C$4:$C$1463,"&lt;"&amp;$C1058)+COUNTIFS($B$4:$B1058,$B1058,$C$4:$C1058,$C1058)))</f>
        <v>FUCT@78</v>
      </c>
      <c r="AD1058" s="41">
        <f t="shared" si="84"/>
        <v>1055</v>
      </c>
      <c r="AE1058" s="41" t="s">
        <v>2329</v>
      </c>
      <c r="AF1058" s="73">
        <f t="shared" si="85"/>
        <v>62937</v>
      </c>
      <c r="AG1058" s="74">
        <f t="shared" si="86"/>
        <v>3.99</v>
      </c>
      <c r="AH1058" s="41" t="str">
        <f>IF($C1058="","",$B1058&amp;"|"&amp;(COUNTIFS($B$4:$B$1463,$B1058,$AF$4:$AF$1463,"&gt;"&amp;$AF1058)+COUNTIFS($B$4:$B1058,$B1058,$AF$4:$AF1058,"="&amp;$AF1058)))</f>
        <v>FUCT|48</v>
      </c>
      <c r="AI1058" s="41" t="str">
        <f>IF($C1058="","",$B1058&amp;"|"&amp;(COUNTIFS($B$4:$B$1463,$B1058,$AG$4:$AG$1463,"&gt;"&amp;$AG1058)+COUNTIFS($B$4:$B1058,$B1058,$AG$4:$AG1058,"="&amp;$AG1058)))</f>
        <v>FUCT|83</v>
      </c>
    </row>
    <row r="1059" spans="1:35" hidden="1">
      <c r="A1059" s="69" t="s">
        <v>106</v>
      </c>
      <c r="B1059" s="69" t="s">
        <v>107</v>
      </c>
      <c r="C1059" s="63" t="s">
        <v>2330</v>
      </c>
      <c r="D1059" s="69"/>
      <c r="E1059" s="68" t="s">
        <v>75</v>
      </c>
      <c r="F1059" s="19" t="str">
        <f>IF($C1059="","",IF($E1059="","-",IFERROR(INDEX(SETUP!$B$55:$B$64,MATCH($E1059,SETUP!$A$55:$A$64,0)),"Other")))</f>
        <v>Support</v>
      </c>
      <c r="G1059" s="70">
        <v>62417</v>
      </c>
      <c r="H1059" s="19" t="str">
        <f>IF($C1059="","",IF($G1059="","-",INDEX(SETUP!$B$26:$B$32,MATCH($G1059,SETUP!$A$26:$A$32,1))))</f>
        <v>62,000 - 62,999</v>
      </c>
      <c r="I1059" s="70">
        <v>4230</v>
      </c>
      <c r="J1059" s="19" t="str">
        <f>IF($C1059="","",IF($I1059="","-",INDEX(SETUP!$B$16:$B$22,MATCH($I1059,SETUP!$A$16:$A$22,1))))</f>
        <v>CORE</v>
      </c>
      <c r="K1059" s="19" t="str">
        <f>IF($C1059="","",IF($I1059="","-",TEXT(INT($I1059/1000)*1000,"#,##0")&amp;" - "&amp;TEXT(INT($I1059/1000)*1000+999,"#,##0")))</f>
        <v>4,000 - 4,999</v>
      </c>
      <c r="L1059" s="71">
        <v>3.5</v>
      </c>
      <c r="M1059" s="19" t="str">
        <f>IF($C1059="","",IF($L1059="","-",INDEX(SETUP!$B$36:$B$42,MATCH($L1059,SETUP!$A$36:$A$42,1))))</f>
        <v>3k - 4k</v>
      </c>
      <c r="N1059" s="21">
        <f>IF($C1059="","",IF(OR($G1059="",$I1059=""),"",ROUND(100*(SETUP!$B$4*MIN(1,$I1059/SETUP!$B$9)+SETUP!$B$5*MAX(0,MIN(1,($G1059-SETUP!$B$10)/(SETUP!$B$11-SETUP!$B$10)))+SETUP!$B$6*MIN(1,IF($L1059="",0,$L1059)/SETUP!$B$12)),1)))</f>
        <v>43.8</v>
      </c>
      <c r="O1059" s="19" t="str">
        <f>IF($C1059="","",IF($N1059="","-",INDEX(SETUP!$B$46:$B$51,MATCH($N1059,SETUP!$A$46:$A$51,1))))</f>
        <v>B</v>
      </c>
      <c r="P1059" s="19">
        <f>IF($C1059="","",IF($I1059="","",RANK($I1059,$I$4:$I$1463)+COUNTIF($I$4:$I1059,$I1059)-1))</f>
        <v>550</v>
      </c>
      <c r="Q1059" s="19">
        <f>IF($C1059="","",COUNTIFS($B$4:$B$1463,$B1059,$X$4:$X$1463,"&gt;"&amp;$X1059)+COUNTIFS($B$4:$B1059,$B1059,$X$4:$X1059,"="&amp;$X1059))</f>
        <v>47</v>
      </c>
      <c r="R1059" s="75">
        <f>IF($C1059="","",IF($I1059="","",ROUND(COUNTIF($I$4:$I$1463,"&lt;"&amp;$I1059)/COUNT($I$4:$I$1463),3)))</f>
        <v>0.58499999999999996</v>
      </c>
      <c r="S1059" s="19" t="str">
        <f>IF($C1059="","",IF($G1059="","Name only",IF(OR($I1059="",$L1059=""),"Partial","Complete")))</f>
        <v>Complete</v>
      </c>
      <c r="T1059" s="1" t="str">
        <f>IF($C1059="","",TRIM(IF(COUNTIF($C$4:$C$1463,$C1059)&gt;1,"Dup name; ","")&amp;IF(AND($G1059&lt;&gt;"",$G1059&lt;55000),"Low CR - verify; ","")&amp;IF(AND($L1059&lt;&gt;"",$L1059&gt;15),"Secondary - verify; ","")&amp;IF($E1059="","No class; ","")))</f>
        <v/>
      </c>
      <c r="U1059" s="68"/>
      <c r="V1059" s="68"/>
      <c r="W1059" s="68"/>
      <c r="X1059" s="76">
        <f t="shared" si="82"/>
        <v>4230</v>
      </c>
      <c r="Y1059" s="1" t="str">
        <f t="shared" si="83"/>
        <v>UNDYING|47</v>
      </c>
      <c r="Z1059" s="19">
        <f>IF($C1059="","",IF($G1059="","",RANK($G1059,$G$4:$G$1463)+COUNTIF($G$4:$G1059,$G1059)-1))</f>
        <v>680</v>
      </c>
      <c r="AA1059" s="19">
        <f>IF($C1059="","",IF($N1059="","",RANK($N1059,$N$4:$N$1463)+COUNTIF($N$4:$N1059,$N1059)-1))</f>
        <v>677</v>
      </c>
      <c r="AB1059" s="1" t="str">
        <f>IF($C1059="","",IF($E1059="","",$E1059&amp;"#"&amp;(COUNTIFS($E$4:$E$1463,$E1059,$X$4:$X$1463,"&gt;"&amp;$X1059)+COUNTIFS($E$4:$E1059,$E1059,$X$4:$X1059,"="&amp;$X1059))))</f>
        <v>DRUID#28</v>
      </c>
      <c r="AC1059" s="1" t="str">
        <f>IF($C1059="","",$B1059&amp;"@"&amp;(COUNTIFS($B$4:$B$1463,$B1059,$C$4:$C$1463,"&lt;"&amp;$C1059)+COUNTIFS($B$4:$B1059,$B1059,$C$4:$C1059,$C1059)))</f>
        <v>UNDYING@87</v>
      </c>
      <c r="AD1059" s="1">
        <f t="shared" si="84"/>
        <v>1056</v>
      </c>
      <c r="AE1059" s="1" t="s">
        <v>1057</v>
      </c>
      <c r="AF1059" s="76">
        <f t="shared" si="85"/>
        <v>62417</v>
      </c>
      <c r="AG1059" s="77">
        <f t="shared" si="86"/>
        <v>3.5</v>
      </c>
      <c r="AH1059" s="1" t="str">
        <f>IF($C1059="","",$B1059&amp;"|"&amp;(COUNTIFS($B$4:$B$1463,$B1059,$AF$4:$AF$1463,"&gt;"&amp;$AF1059)+COUNTIFS($B$4:$B1059,$B1059,$AF$4:$AF1059,"="&amp;$AF1059)))</f>
        <v>UNDYING|67</v>
      </c>
      <c r="AI1059" s="1" t="str">
        <f>IF($C1059="","",$B1059&amp;"|"&amp;(COUNTIFS($B$4:$B$1463,$B1059,$AG$4:$AG$1463,"&gt;"&amp;$AG1059)+COUNTIFS($B$4:$B1059,$B1059,$AG$4:$AG1059,"="&amp;$AG1059)))</f>
        <v>UNDYING|93</v>
      </c>
    </row>
    <row r="1060" spans="1:35" hidden="1">
      <c r="A1060" s="69" t="s">
        <v>109</v>
      </c>
      <c r="B1060" s="69" t="s">
        <v>110</v>
      </c>
      <c r="C1060" s="63" t="s">
        <v>2331</v>
      </c>
      <c r="D1060" s="69"/>
      <c r="E1060" s="68" t="s">
        <v>78</v>
      </c>
      <c r="F1060" s="15" t="str">
        <f>IF($C1060="","",IF($E1060="","-",IFERROR(INDEX(SETUP!$B$55:$B$64,MATCH($E1060,SETUP!$A$55:$A$64,0)),"Other")))</f>
        <v>Melee DPS</v>
      </c>
      <c r="G1060" s="70">
        <v>61384</v>
      </c>
      <c r="H1060" s="15" t="str">
        <f>IF($C1060="","",IF($G1060="","-",INDEX(SETUP!$B$26:$B$32,MATCH($G1060,SETUP!$A$26:$A$32,1))))</f>
        <v>61,000 - 61,999</v>
      </c>
      <c r="I1060" s="70">
        <v>2714</v>
      </c>
      <c r="J1060" s="15" t="str">
        <f>IF($C1060="","",IF($I1060="","-",INDEX(SETUP!$B$16:$B$22,MATCH($I1060,SETUP!$A$16:$A$22,1))))</f>
        <v>DEVELOPING</v>
      </c>
      <c r="K1060" s="15" t="str">
        <f>IF($C1060="","",IF($I1060="","-",TEXT(INT($I1060/1000)*1000,"#,##0")&amp;" - "&amp;TEXT(INT($I1060/1000)*1000+999,"#,##0")))</f>
        <v>2,000 - 2,999</v>
      </c>
      <c r="L1060" s="71">
        <v>4.2</v>
      </c>
      <c r="M1060" s="15" t="str">
        <f>IF($C1060="","",IF($L1060="","-",INDEX(SETUP!$B$36:$B$42,MATCH($L1060,SETUP!$A$36:$A$42,1))))</f>
        <v>4k - 5k</v>
      </c>
      <c r="N1060" s="17">
        <f>IF($C1060="","",IF(OR($G1060="",$I1060=""),"",ROUND(100*(SETUP!$B$4*MIN(1,$I1060/SETUP!$B$9)+SETUP!$B$5*MAX(0,MIN(1,($G1060-SETUP!$B$10)/(SETUP!$B$11-SETUP!$B$10)))+SETUP!$B$6*MIN(1,IF($L1060="",0,$L1060)/SETUP!$B$12)),1)))</f>
        <v>35.6</v>
      </c>
      <c r="O1060" s="15" t="str">
        <f>IF($C1060="","",IF($N1060="","-",INDEX(SETUP!$B$46:$B$51,MATCH($N1060,SETUP!$A$46:$A$51,1))))</f>
        <v>B</v>
      </c>
      <c r="P1060" s="15">
        <f>IF($C1060="","",IF($I1060="","",RANK($I1060,$I$4:$I$1463)+COUNTIF($I$4:$I1060,$I1060)-1))</f>
        <v>950</v>
      </c>
      <c r="Q1060" s="15">
        <f>IF($C1060="","",COUNTIFS($B$4:$B$1463,$B1060,$X$4:$X$1463,"&gt;"&amp;$X1060)+COUNTIFS($B$4:$B1060,$B1060,$X$4:$X1060,"="&amp;$X1060))</f>
        <v>98</v>
      </c>
      <c r="R1060" s="72">
        <f>IF($C1060="","",IF($I1060="","",ROUND(COUNTIF($I$4:$I$1463,"&lt;"&amp;$I1060)/COUNT($I$4:$I$1463),3)))</f>
        <v>0.28299999999999997</v>
      </c>
      <c r="S1060" s="15" t="str">
        <f>IF($C1060="","",IF($G1060="","Name only",IF(OR($I1060="",$L1060=""),"Partial","Complete")))</f>
        <v>Complete</v>
      </c>
      <c r="T1060" s="41" t="str">
        <f>IF($C1060="","",TRIM(IF(COUNTIF($C$4:$C$1463,$C1060)&gt;1,"Dup name; ","")&amp;IF(AND($G1060&lt;&gt;"",$G1060&lt;55000),"Low CR - verify; ","")&amp;IF(AND($L1060&lt;&gt;"",$L1060&gt;15),"Secondary - verify; ","")&amp;IF($E1060="","No class; ","")))</f>
        <v/>
      </c>
      <c r="U1060" s="68"/>
      <c r="V1060" s="68"/>
      <c r="W1060" s="68"/>
      <c r="X1060" s="73">
        <f t="shared" si="82"/>
        <v>2714</v>
      </c>
      <c r="Y1060" s="41" t="str">
        <f t="shared" si="83"/>
        <v>AZUKI|98</v>
      </c>
      <c r="Z1060" s="15">
        <f>IF($C1060="","",IF($G1060="","",RANK($G1060,$G$4:$G$1463)+COUNTIF($G$4:$G1060,$G1060)-1))</f>
        <v>1039</v>
      </c>
      <c r="AA1060" s="15">
        <f>IF($C1060="","",IF($N1060="","",RANK($N1060,$N$4:$N$1463)+COUNTIF($N$4:$N1060,$N1060)-1))</f>
        <v>985</v>
      </c>
      <c r="AB1060" s="41" t="str">
        <f>IF($C1060="","",IF($E1060="","",$E1060&amp;"#"&amp;(COUNTIFS($E$4:$E$1463,$E1060,$X$4:$X$1463,"&gt;"&amp;$X1060)+COUNTIFS($E$4:$E1060,$E1060,$X$4:$X1060,"="&amp;$X1060))))</f>
        <v>TEMPEST#42</v>
      </c>
      <c r="AC1060" s="41" t="str">
        <f>IF($C1060="","",$B1060&amp;"@"&amp;(COUNTIFS($B$4:$B$1463,$B1060,$C$4:$C$1463,"&lt;"&amp;$C1060)+COUNTIFS($B$4:$B1060,$B1060,$C$4:$C1060,$C1060)))</f>
        <v>AZUKI@82</v>
      </c>
      <c r="AD1060" s="41">
        <f t="shared" si="84"/>
        <v>1057</v>
      </c>
      <c r="AE1060" s="41" t="s">
        <v>2332</v>
      </c>
      <c r="AF1060" s="73">
        <f t="shared" si="85"/>
        <v>61384</v>
      </c>
      <c r="AG1060" s="74">
        <f t="shared" si="86"/>
        <v>4.2</v>
      </c>
      <c r="AH1060" s="41" t="str">
        <f>IF($C1060="","",$B1060&amp;"|"&amp;(COUNTIFS($B$4:$B$1463,$B1060,$AF$4:$AF$1463,"&gt;"&amp;$AF1060)+COUNTIFS($B$4:$B1060,$B1060,$AF$4:$AF1060,"="&amp;$AF1060)))</f>
        <v>AZUKI|93</v>
      </c>
      <c r="AI1060" s="41" t="str">
        <f>IF($C1060="","",$B1060&amp;"|"&amp;(COUNTIFS($B$4:$B$1463,$B1060,$AG$4:$AG$1463,"&gt;"&amp;$AG1060)+COUNTIFS($B$4:$B1060,$B1060,$AG$4:$AG1060,"="&amp;$AG1060)))</f>
        <v>AZUKI|87</v>
      </c>
    </row>
    <row r="1061" spans="1:35" hidden="1">
      <c r="A1061" s="69" t="s">
        <v>109</v>
      </c>
      <c r="B1061" s="69" t="s">
        <v>115</v>
      </c>
      <c r="C1061" s="63" t="s">
        <v>2333</v>
      </c>
      <c r="D1061" s="69"/>
      <c r="E1061" s="68"/>
      <c r="F1061" s="19" t="str">
        <f>IF($C1061="","",IF($E1061="","-",IFERROR(INDEX(SETUP!$B$55:$B$64,MATCH($E1061,SETUP!$A$55:$A$64,0)),"Other")))</f>
        <v>-</v>
      </c>
      <c r="G1061" s="70"/>
      <c r="H1061" s="19" t="str">
        <f>IF($C1061="","",IF($G1061="","-",INDEX(SETUP!$B$26:$B$32,MATCH($G1061,SETUP!$A$26:$A$32,1))))</f>
        <v>-</v>
      </c>
      <c r="I1061" s="70"/>
      <c r="J1061" s="19" t="str">
        <f>IF($C1061="","",IF($I1061="","-",INDEX(SETUP!$B$16:$B$22,MATCH($I1061,SETUP!$A$16:$A$22,1))))</f>
        <v>-</v>
      </c>
      <c r="K1061" s="19" t="str">
        <f>IF($C1061="","",IF($I1061="","-",TEXT(INT($I1061/1000)*1000,"#,##0")&amp;" - "&amp;TEXT(INT($I1061/1000)*1000+999,"#,##0")))</f>
        <v>-</v>
      </c>
      <c r="L1061" s="71"/>
      <c r="M1061" s="19" t="str">
        <f>IF($C1061="","",IF($L1061="","-",INDEX(SETUP!$B$36:$B$42,MATCH($L1061,SETUP!$A$36:$A$42,1))))</f>
        <v>-</v>
      </c>
      <c r="N1061" s="21" t="str">
        <f>IF($C1061="","",IF(OR($G1061="",$I1061=""),"",ROUND(100*(SETUP!$B$4*MIN(1,$I1061/SETUP!$B$9)+SETUP!$B$5*MAX(0,MIN(1,($G1061-SETUP!$B$10)/(SETUP!$B$11-SETUP!$B$10)))+SETUP!$B$6*MIN(1,IF($L1061="",0,$L1061)/SETUP!$B$12)),1)))</f>
        <v/>
      </c>
      <c r="O1061" s="19" t="str">
        <f>IF($C1061="","",IF($N1061="","-",INDEX(SETUP!$B$46:$B$51,MATCH($N1061,SETUP!$A$46:$A$51,1))))</f>
        <v>-</v>
      </c>
      <c r="P1061" s="19" t="str">
        <f>IF($C1061="","",IF($I1061="","",RANK($I1061,$I$4:$I$1463)+COUNTIF($I$4:$I1061,$I1061)-1))</f>
        <v/>
      </c>
      <c r="Q1061" s="19">
        <f>IF($C1061="","",COUNTIFS($B$4:$B$1463,$B1061,$X$4:$X$1463,"&gt;"&amp;$X1061)+COUNTIFS($B$4:$B1061,$B1061,$X$4:$X1061,"="&amp;$X1061))</f>
        <v>83</v>
      </c>
      <c r="R1061" s="75" t="str">
        <f>IF($C1061="","",IF($I1061="","",ROUND(COUNTIF($I$4:$I$1463,"&lt;"&amp;$I1061)/COUNT($I$4:$I$1463),3)))</f>
        <v/>
      </c>
      <c r="S1061" s="19" t="str">
        <f>IF($C1061="","",IF($G1061="","Name only",IF(OR($I1061="",$L1061=""),"Partial","Complete")))</f>
        <v>Name only</v>
      </c>
      <c r="T1061" s="1" t="str">
        <f>IF($C1061="","",TRIM(IF(COUNTIF($C$4:$C$1463,$C1061)&gt;1,"Dup name; ","")&amp;IF(AND($G1061&lt;&gt;"",$G1061&lt;55000),"Low CR - verify; ","")&amp;IF(AND($L1061&lt;&gt;"",$L1061&gt;15),"Secondary - verify; ","")&amp;IF($E1061="","No class; ","")))</f>
        <v>No class;</v>
      </c>
      <c r="U1061" s="68"/>
      <c r="V1061" s="68"/>
      <c r="W1061" s="68"/>
      <c r="X1061" s="1">
        <f t="shared" si="82"/>
        <v>-1</v>
      </c>
      <c r="Y1061" s="1" t="str">
        <f t="shared" si="83"/>
        <v>SUB ROSA|83</v>
      </c>
      <c r="Z1061" s="19" t="str">
        <f>IF($C1061="","",IF($G1061="","",RANK($G1061,$G$4:$G$1463)+COUNTIF($G$4:$G1061,$G1061)-1))</f>
        <v/>
      </c>
      <c r="AA1061" s="19" t="str">
        <f>IF($C1061="","",IF($N1061="","",RANK($N1061,$N$4:$N$1463)+COUNTIF($N$4:$N1061,$N1061)-1))</f>
        <v/>
      </c>
      <c r="AB1061" s="1" t="str">
        <f>IF($C1061="","",IF($E1061="","",$E1061&amp;"#"&amp;(COUNTIFS($E$4:$E$1463,$E1061,$X$4:$X$1463,"&gt;"&amp;$X1061)+COUNTIFS($E$4:$E1061,$E1061,$X$4:$X1061,"="&amp;$X1061))))</f>
        <v/>
      </c>
      <c r="AC1061" s="1" t="str">
        <f>IF($C1061="","",$B1061&amp;"@"&amp;(COUNTIFS($B$4:$B$1463,$B1061,$C$4:$C$1463,"&lt;"&amp;$C1061)+COUNTIFS($B$4:$B1061,$B1061,$C$4:$C1061,$C1061)))</f>
        <v>SUB ROSA@73</v>
      </c>
      <c r="AD1061" s="1">
        <f t="shared" si="84"/>
        <v>1058</v>
      </c>
      <c r="AE1061" s="1"/>
      <c r="AF1061" s="1">
        <f t="shared" si="85"/>
        <v>-1</v>
      </c>
      <c r="AG1061" s="1">
        <f t="shared" si="86"/>
        <v>-1</v>
      </c>
      <c r="AH1061" s="1" t="str">
        <f>IF($C1061="","",$B1061&amp;"|"&amp;(COUNTIFS($B$4:$B$1463,$B1061,$AF$4:$AF$1463,"&gt;"&amp;$AF1061)+COUNTIFS($B$4:$B1061,$B1061,$AF$4:$AF1061,"="&amp;$AF1061)))</f>
        <v>SUB ROSA|83</v>
      </c>
      <c r="AI1061" s="1" t="str">
        <f>IF($C1061="","",$B1061&amp;"|"&amp;(COUNTIFS($B$4:$B$1463,$B1061,$AG$4:$AG$1463,"&gt;"&amp;$AG1061)+COUNTIFS($B$4:$B1061,$B1061,$AG$4:$AG1061,"="&amp;$AG1061)))</f>
        <v>SUB ROSA|83</v>
      </c>
    </row>
    <row r="1062" spans="1:35" hidden="1">
      <c r="A1062" s="69" t="s">
        <v>106</v>
      </c>
      <c r="B1062" s="69" t="s">
        <v>86</v>
      </c>
      <c r="C1062" s="63" t="s">
        <v>2334</v>
      </c>
      <c r="D1062" s="69"/>
      <c r="E1062" s="68" t="s">
        <v>71</v>
      </c>
      <c r="F1062" s="15" t="str">
        <f>IF($C1062="","",IF($E1062="","-",IFERROR(INDEX(SETUP!$B$55:$B$64,MATCH($E1062,SETUP!$A$55:$A$64,0)),"Other")))</f>
        <v>Frontline</v>
      </c>
      <c r="G1062" s="70">
        <v>61833</v>
      </c>
      <c r="H1062" s="15" t="str">
        <f>IF($C1062="","",IF($G1062="","-",INDEX(SETUP!$B$26:$B$32,MATCH($G1062,SETUP!$A$26:$A$32,1))))</f>
        <v>61,000 - 61,999</v>
      </c>
      <c r="I1062" s="70">
        <v>9097</v>
      </c>
      <c r="J1062" s="15" t="str">
        <f>IF($C1062="","",IF($I1062="","-",INDEX(SETUP!$B$16:$B$22,MATCH($I1062,SETUP!$A$16:$A$22,1))))</f>
        <v>ELITE</v>
      </c>
      <c r="K1062" s="15" t="str">
        <f>IF($C1062="","",IF($I1062="","-",TEXT(INT($I1062/1000)*1000,"#,##0")&amp;" - "&amp;TEXT(INT($I1062/1000)*1000+999,"#,##0")))</f>
        <v>9,000 - 9,999</v>
      </c>
      <c r="L1062" s="71">
        <v>6.7</v>
      </c>
      <c r="M1062" s="15" t="str">
        <f>IF($C1062="","",IF($L1062="","-",INDEX(SETUP!$B$36:$B$42,MATCH($L1062,SETUP!$A$36:$A$42,1))))</f>
        <v>6k - 8k</v>
      </c>
      <c r="N1062" s="17">
        <f>IF($C1062="","",IF(OR($G1062="",$I1062=""),"",ROUND(100*(SETUP!$B$4*MIN(1,$I1062/SETUP!$B$9)+SETUP!$B$5*MAX(0,MIN(1,($G1062-SETUP!$B$10)/(SETUP!$B$11-SETUP!$B$10)))+SETUP!$B$6*MIN(1,IF($L1062="",0,$L1062)/SETUP!$B$12)),1)))</f>
        <v>68.900000000000006</v>
      </c>
      <c r="O1062" s="15" t="str">
        <f>IF($C1062="","",IF($N1062="","-",INDEX(SETUP!$B$46:$B$51,MATCH($N1062,SETUP!$A$46:$A$51,1))))</f>
        <v>S</v>
      </c>
      <c r="P1062" s="15">
        <f>IF($C1062="","",IF($I1062="","",RANK($I1062,$I$4:$I$1463)+COUNTIF($I$4:$I1062,$I1062)-1))</f>
        <v>89</v>
      </c>
      <c r="Q1062" s="15">
        <f>IF($C1062="","",COUNTIFS($B$4:$B$1463,$B1062,$X$4:$X$1463,"&gt;"&amp;$X1062)+COUNTIFS($B$4:$B1062,$B1062,$X$4:$X1062,"="&amp;$X1062))</f>
        <v>21</v>
      </c>
      <c r="R1062" s="72">
        <f>IF($C1062="","",IF($I1062="","",ROUND(COUNTIF($I$4:$I$1463,"&lt;"&amp;$I1062)/COUNT($I$4:$I$1463),3)))</f>
        <v>0.93300000000000005</v>
      </c>
      <c r="S1062" s="15" t="str">
        <f>IF($C1062="","",IF($G1062="","Name only",IF(OR($I1062="",$L1062=""),"Partial","Complete")))</f>
        <v>Complete</v>
      </c>
      <c r="T1062" s="41" t="str">
        <f>IF($C1062="","",TRIM(IF(COUNTIF($C$4:$C$1463,$C1062)&gt;1,"Dup name; ","")&amp;IF(AND($G1062&lt;&gt;"",$G1062&lt;55000),"Low CR - verify; ","")&amp;IF(AND($L1062&lt;&gt;"",$L1062&gt;15),"Secondary - verify; ","")&amp;IF($E1062="","No class; ","")))</f>
        <v/>
      </c>
      <c r="U1062" s="68"/>
      <c r="V1062" s="68"/>
      <c r="W1062" s="68"/>
      <c r="X1062" s="73">
        <f t="shared" si="82"/>
        <v>9097</v>
      </c>
      <c r="Y1062" s="41" t="str">
        <f t="shared" si="83"/>
        <v>VANGUARD|21</v>
      </c>
      <c r="Z1062" s="15">
        <f>IF($C1062="","",IF($G1062="","",RANK($G1062,$G$4:$G$1463)+COUNTIF($G$4:$G1062,$G1062)-1))</f>
        <v>903</v>
      </c>
      <c r="AA1062" s="15">
        <f>IF($C1062="","",IF($N1062="","",RANK($N1062,$N$4:$N$1463)+COUNTIF($N$4:$N1062,$N1062)-1))</f>
        <v>139</v>
      </c>
      <c r="AB1062" s="41" t="str">
        <f>IF($C1062="","",IF($E1062="","",$E1062&amp;"#"&amp;(COUNTIFS($E$4:$E$1463,$E1062,$X$4:$X$1463,"&gt;"&amp;$X1062)+COUNTIFS($E$4:$E1062,$E1062,$X$4:$X1062,"="&amp;$X1062))))</f>
        <v>BARBARIAN#20</v>
      </c>
      <c r="AC1062" s="41" t="str">
        <f>IF($C1062="","",$B1062&amp;"@"&amp;(COUNTIFS($B$4:$B$1463,$B1062,$C$4:$C$1463,"&lt;"&amp;$C1062)+COUNTIFS($B$4:$B1062,$B1062,$C$4:$C1062,$C1062)))</f>
        <v>VANGUARD@76</v>
      </c>
      <c r="AD1062" s="41">
        <f t="shared" si="84"/>
        <v>1059</v>
      </c>
      <c r="AE1062" s="41" t="s">
        <v>741</v>
      </c>
      <c r="AF1062" s="73">
        <f t="shared" si="85"/>
        <v>61833</v>
      </c>
      <c r="AG1062" s="74">
        <f t="shared" si="86"/>
        <v>6.7</v>
      </c>
      <c r="AH1062" s="41" t="str">
        <f>IF($C1062="","",$B1062&amp;"|"&amp;(COUNTIFS($B$4:$B$1463,$B1062,$AF$4:$AF$1463,"&gt;"&amp;$AF1062)+COUNTIFS($B$4:$B1062,$B1062,$AF$4:$AF1062,"="&amp;$AF1062)))</f>
        <v>VANGUARD|86</v>
      </c>
      <c r="AI1062" s="41" t="str">
        <f>IF($C1062="","",$B1062&amp;"|"&amp;(COUNTIFS($B$4:$B$1463,$B1062,$AG$4:$AG$1463,"&gt;"&amp;$AG1062)+COUNTIFS($B$4:$B1062,$B1062,$AG$4:$AG1062,"="&amp;$AG1062)))</f>
        <v>VANGUARD|25</v>
      </c>
    </row>
    <row r="1063" spans="1:35" hidden="1">
      <c r="A1063" s="69" t="s">
        <v>106</v>
      </c>
      <c r="B1063" s="69" t="s">
        <v>86</v>
      </c>
      <c r="C1063" s="63" t="s">
        <v>2335</v>
      </c>
      <c r="D1063" s="69"/>
      <c r="E1063" s="68" t="s">
        <v>79</v>
      </c>
      <c r="F1063" s="19" t="str">
        <f>IF($C1063="","",IF($E1063="","-",IFERROR(INDEX(SETUP!$B$55:$B$64,MATCH($E1063,SETUP!$A$55:$A$64,0)),"Other")))</f>
        <v>Control</v>
      </c>
      <c r="G1063" s="70">
        <v>63839</v>
      </c>
      <c r="H1063" s="19" t="str">
        <f>IF($C1063="","",IF($G1063="","-",INDEX(SETUP!$B$26:$B$32,MATCH($G1063,SETUP!$A$26:$A$32,1))))</f>
        <v>63,000 - 63,999</v>
      </c>
      <c r="I1063" s="70">
        <v>7373</v>
      </c>
      <c r="J1063" s="19" t="str">
        <f>IF($C1063="","",IF($I1063="","-",INDEX(SETUP!$B$16:$B$22,MATCH($I1063,SETUP!$A$16:$A$22,1))))</f>
        <v>VETERAN</v>
      </c>
      <c r="K1063" s="19" t="str">
        <f>IF($C1063="","",IF($I1063="","-",TEXT(INT($I1063/1000)*1000,"#,##0")&amp;" - "&amp;TEXT(INT($I1063/1000)*1000+999,"#,##0")))</f>
        <v>7,000 - 7,999</v>
      </c>
      <c r="L1063" s="71">
        <v>5.77</v>
      </c>
      <c r="M1063" s="19" t="str">
        <f>IF($C1063="","",IF($L1063="","-",INDEX(SETUP!$B$36:$B$42,MATCH($L1063,SETUP!$A$36:$A$42,1))))</f>
        <v>5k - 6k</v>
      </c>
      <c r="N1063" s="21">
        <f>IF($C1063="","",IF(OR($G1063="",$I1063=""),"",ROUND(100*(SETUP!$B$4*MIN(1,$I1063/SETUP!$B$9)+SETUP!$B$5*MAX(0,MIN(1,($G1063-SETUP!$B$10)/(SETUP!$B$11-SETUP!$B$10)))+SETUP!$B$6*MIN(1,IF($L1063="",0,$L1063)/SETUP!$B$12)),1)))</f>
        <v>65.099999999999994</v>
      </c>
      <c r="O1063" s="19" t="str">
        <f>IF($C1063="","",IF($N1063="","-",INDEX(SETUP!$B$46:$B$51,MATCH($N1063,SETUP!$A$46:$A$51,1))))</f>
        <v>S</v>
      </c>
      <c r="P1063" s="19">
        <f>IF($C1063="","",IF($I1063="","",RANK($I1063,$I$4:$I$1463)+COUNTIF($I$4:$I1063,$I1063)-1))</f>
        <v>183</v>
      </c>
      <c r="Q1063" s="19">
        <f>IF($C1063="","",COUNTIFS($B$4:$B$1463,$B1063,$X$4:$X$1463,"&gt;"&amp;$X1063)+COUNTIFS($B$4:$B1063,$B1063,$X$4:$X1063,"="&amp;$X1063))</f>
        <v>40</v>
      </c>
      <c r="R1063" s="75">
        <f>IF($C1063="","",IF($I1063="","",ROUND(COUNTIF($I$4:$I$1463,"&lt;"&amp;$I1063)/COUNT($I$4:$I$1463),3)))</f>
        <v>0.86199999999999999</v>
      </c>
      <c r="S1063" s="19" t="str">
        <f>IF($C1063="","",IF($G1063="","Name only",IF(OR($I1063="",$L1063=""),"Partial","Complete")))</f>
        <v>Complete</v>
      </c>
      <c r="T1063" s="1" t="str">
        <f>IF($C1063="","",TRIM(IF(COUNTIF($C$4:$C$1463,$C1063)&gt;1,"Dup name; ","")&amp;IF(AND($G1063&lt;&gt;"",$G1063&lt;55000),"Low CR - verify; ","")&amp;IF(AND($L1063&lt;&gt;"",$L1063&gt;15),"Secondary - verify; ","")&amp;IF($E1063="","No class; ","")))</f>
        <v/>
      </c>
      <c r="U1063" s="68"/>
      <c r="V1063" s="68"/>
      <c r="W1063" s="68"/>
      <c r="X1063" s="76">
        <f t="shared" si="82"/>
        <v>7373</v>
      </c>
      <c r="Y1063" s="1" t="str">
        <f t="shared" si="83"/>
        <v>VANGUARD|40</v>
      </c>
      <c r="Z1063" s="19">
        <f>IF($C1063="","",IF($G1063="","",RANK($G1063,$G$4:$G$1463)+COUNTIF($G$4:$G1063,$G1063)-1))</f>
        <v>112</v>
      </c>
      <c r="AA1063" s="19">
        <f>IF($C1063="","",IF($N1063="","",RANK($N1063,$N$4:$N$1463)+COUNTIF($N$4:$N1063,$N1063)-1))</f>
        <v>178</v>
      </c>
      <c r="AB1063" s="1" t="str">
        <f>IF($C1063="","",IF($E1063="","",$E1063&amp;"#"&amp;(COUNTIFS($E$4:$E$1463,$E1063,$X$4:$X$1463,"&gt;"&amp;$X1063)+COUNTIFS($E$4:$E1063,$E1063,$X$4:$X1063,"="&amp;$X1063))))</f>
        <v>WARLOCK#37</v>
      </c>
      <c r="AC1063" s="1" t="str">
        <f>IF($C1063="","",$B1063&amp;"@"&amp;(COUNTIFS($B$4:$B$1463,$B1063,$C$4:$C$1463,"&lt;"&amp;$C1063)+COUNTIFS($B$4:$B1063,$B1063,$C$4:$C1063,$C1063)))</f>
        <v>VANGUARD@77</v>
      </c>
      <c r="AD1063" s="1">
        <f t="shared" si="84"/>
        <v>1060</v>
      </c>
      <c r="AE1063" s="1" t="s">
        <v>2336</v>
      </c>
      <c r="AF1063" s="76">
        <f t="shared" si="85"/>
        <v>63839</v>
      </c>
      <c r="AG1063" s="77">
        <f t="shared" si="86"/>
        <v>5.77</v>
      </c>
      <c r="AH1063" s="1" t="str">
        <f>IF($C1063="","",$B1063&amp;"|"&amp;(COUNTIFS($B$4:$B$1463,$B1063,$AF$4:$AF$1463,"&gt;"&amp;$AF1063)+COUNTIFS($B$4:$B1063,$B1063,$AF$4:$AF1063,"="&amp;$AF1063)))</f>
        <v>VANGUARD|27</v>
      </c>
      <c r="AI1063" s="1" t="str">
        <f>IF($C1063="","",$B1063&amp;"|"&amp;(COUNTIFS($B$4:$B$1463,$B1063,$AG$4:$AG$1463,"&gt;"&amp;$AG1063)+COUNTIFS($B$4:$B1063,$B1063,$AG$4:$AG1063,"="&amp;$AG1063)))</f>
        <v>VANGUARD|47</v>
      </c>
    </row>
    <row r="1064" spans="1:35" hidden="1">
      <c r="A1064" s="69" t="s">
        <v>109</v>
      </c>
      <c r="B1064" s="69" t="s">
        <v>112</v>
      </c>
      <c r="C1064" s="63" t="s">
        <v>2337</v>
      </c>
      <c r="D1064" s="69" t="s">
        <v>567</v>
      </c>
      <c r="E1064" s="68" t="s">
        <v>77</v>
      </c>
      <c r="F1064" s="15" t="str">
        <f>IF($C1064="","",IF($E1064="","-",IFERROR(INDEX(SETUP!$B$55:$B$64,MATCH($E1064,SETUP!$A$55:$A$64,0)),"Other")))</f>
        <v>Control</v>
      </c>
      <c r="G1064" s="70">
        <v>62158</v>
      </c>
      <c r="H1064" s="15" t="str">
        <f>IF($C1064="","",IF($G1064="","-",INDEX(SETUP!$B$26:$B$32,MATCH($G1064,SETUP!$A$26:$A$32,1))))</f>
        <v>62,000 - 62,999</v>
      </c>
      <c r="I1064" s="70">
        <v>2030</v>
      </c>
      <c r="J1064" s="15" t="str">
        <f>IF($C1064="","",IF($I1064="","-",INDEX(SETUP!$B$16:$B$22,MATCH($I1064,SETUP!$A$16:$A$22,1))))</f>
        <v>DEVELOPING</v>
      </c>
      <c r="K1064" s="15" t="str">
        <f>IF($C1064="","",IF($I1064="","-",TEXT(INT($I1064/1000)*1000,"#,##0")&amp;" - "&amp;TEXT(INT($I1064/1000)*1000+999,"#,##0")))</f>
        <v>2,000 - 2,999</v>
      </c>
      <c r="L1064" s="71">
        <v>4.7</v>
      </c>
      <c r="M1064" s="15" t="str">
        <f>IF($C1064="","",IF($L1064="","-",INDEX(SETUP!$B$36:$B$42,MATCH($L1064,SETUP!$A$36:$A$42,1))))</f>
        <v>4k - 5k</v>
      </c>
      <c r="N1064" s="17">
        <f>IF($C1064="","",IF(OR($G1064="",$I1064=""),"",ROUND(100*(SETUP!$B$4*MIN(1,$I1064/SETUP!$B$9)+SETUP!$B$5*MAX(0,MIN(1,($G1064-SETUP!$B$10)/(SETUP!$B$11-SETUP!$B$10)))+SETUP!$B$6*MIN(1,IF($L1064="",0,$L1064)/SETUP!$B$12)),1)))</f>
        <v>35.5</v>
      </c>
      <c r="O1064" s="15" t="str">
        <f>IF($C1064="","",IF($N1064="","-",INDEX(SETUP!$B$46:$B$51,MATCH($N1064,SETUP!$A$46:$A$51,1))))</f>
        <v>B</v>
      </c>
      <c r="P1064" s="15">
        <f>IF($C1064="","",IF($I1064="","",RANK($I1064,$I$4:$I$1463)+COUNTIF($I$4:$I1064,$I1064)-1))</f>
        <v>1109</v>
      </c>
      <c r="Q1064" s="15">
        <f>IF($C1064="","",COUNTIFS($B$4:$B$1463,$B1064,$X$4:$X$1463,"&gt;"&amp;$X1064)+COUNTIFS($B$4:$B1064,$B1064,$X$4:$X1064,"="&amp;$X1064))</f>
        <v>85</v>
      </c>
      <c r="R1064" s="72">
        <f>IF($C1064="","",IF($I1064="","",ROUND(COUNTIF($I$4:$I$1463,"&lt;"&amp;$I1064)/COUNT($I$4:$I$1463),3)))</f>
        <v>0.16200000000000001</v>
      </c>
      <c r="S1064" s="15" t="str">
        <f>IF($C1064="","",IF($G1064="","Name only",IF(OR($I1064="",$L1064=""),"Partial","Complete")))</f>
        <v>Complete</v>
      </c>
      <c r="T1064" s="41" t="str">
        <f>IF($C1064="","",TRIM(IF(COUNTIF($C$4:$C$1463,$C1064)&gt;1,"Dup name; ","")&amp;IF(AND($G1064&lt;&gt;"",$G1064&lt;55000),"Low CR - verify; ","")&amp;IF(AND($L1064&lt;&gt;"",$L1064&gt;15),"Secondary - verify; ","")&amp;IF($E1064="","No class; ","")))</f>
        <v/>
      </c>
      <c r="U1064" s="68"/>
      <c r="V1064" s="68"/>
      <c r="W1064" s="68"/>
      <c r="X1064" s="73">
        <f t="shared" si="82"/>
        <v>2030</v>
      </c>
      <c r="Y1064" s="41" t="str">
        <f t="shared" si="83"/>
        <v>ACHERON|85</v>
      </c>
      <c r="Z1064" s="15">
        <f>IF($C1064="","",IF($G1064="","",RANK($G1064,$G$4:$G$1463)+COUNTIF($G$4:$G1064,$G1064)-1))</f>
        <v>772</v>
      </c>
      <c r="AA1064" s="15">
        <f>IF($C1064="","",IF($N1064="","",RANK($N1064,$N$4:$N$1463)+COUNTIF($N$4:$N1064,$N1064)-1))</f>
        <v>990</v>
      </c>
      <c r="AB1064" s="41" t="str">
        <f>IF($C1064="","",IF($E1064="","",$E1064&amp;"#"&amp;(COUNTIFS($E$4:$E$1463,$E1064,$X$4:$X$1463,"&gt;"&amp;$X1064)+COUNTIFS($E$4:$E1064,$E1064,$X$4:$X1064,"="&amp;$X1064))))</f>
        <v>NECROMANCER#75</v>
      </c>
      <c r="AC1064" s="41" t="str">
        <f>IF($C1064="","",$B1064&amp;"@"&amp;(COUNTIFS($B$4:$B$1463,$B1064,$C$4:$C$1463,"&lt;"&amp;$C1064)+COUNTIFS($B$4:$B1064,$B1064,$C$4:$C1064,$C1064)))</f>
        <v>ACHERON@71</v>
      </c>
      <c r="AD1064" s="41">
        <f t="shared" si="84"/>
        <v>1061</v>
      </c>
      <c r="AE1064" s="41" t="s">
        <v>2338</v>
      </c>
      <c r="AF1064" s="73">
        <f t="shared" si="85"/>
        <v>62158</v>
      </c>
      <c r="AG1064" s="74">
        <f t="shared" si="86"/>
        <v>4.7</v>
      </c>
      <c r="AH1064" s="41" t="str">
        <f>IF($C1064="","",$B1064&amp;"|"&amp;(COUNTIFS($B$4:$B$1463,$B1064,$AF$4:$AF$1463,"&gt;"&amp;$AF1064)+COUNTIFS($B$4:$B1064,$B1064,$AF$4:$AF1064,"="&amp;$AF1064)))</f>
        <v>ACHERON|63</v>
      </c>
      <c r="AI1064" s="41" t="str">
        <f>IF($C1064="","",$B1064&amp;"|"&amp;(COUNTIFS($B$4:$B$1463,$B1064,$AG$4:$AG$1463,"&gt;"&amp;$AG1064)+COUNTIFS($B$4:$B1064,$B1064,$AG$4:$AG1064,"="&amp;$AG1064)))</f>
        <v>ACHERON|53</v>
      </c>
    </row>
    <row r="1065" spans="1:35">
      <c r="A1065" s="69" t="s">
        <v>104</v>
      </c>
      <c r="B1065" s="69" t="s">
        <v>66</v>
      </c>
      <c r="C1065" s="63" t="s">
        <v>2293</v>
      </c>
      <c r="D1065" s="69"/>
      <c r="E1065" s="68" t="s">
        <v>74</v>
      </c>
      <c r="F1065" s="15" t="str">
        <f>IF($C1065="","",IF($E1065="","-",IFERROR(INDEX(SETUP!$B$55:$B$64,MATCH($E1065,SETUP!$A$55:$A$64,0)),"Other")))</f>
        <v>Ranged DPS</v>
      </c>
      <c r="G1065" s="70">
        <v>63245</v>
      </c>
      <c r="H1065" s="15" t="str">
        <f>IF($C1065="","",IF($G1065="","-",INDEX(SETUP!$B$26:$B$32,MATCH($G1065,SETUP!$A$26:$A$32,1))))</f>
        <v>63,000 - 63,999</v>
      </c>
      <c r="I1065" s="70">
        <v>4042</v>
      </c>
      <c r="J1065" s="15" t="str">
        <f>IF($C1065="","",IF($I1065="","-",INDEX(SETUP!$B$16:$B$22,MATCH($I1065,SETUP!$A$16:$A$22,1))))</f>
        <v>CORE</v>
      </c>
      <c r="K1065" s="15" t="str">
        <f>IF($C1065="","",IF($I1065="","-",TEXT(INT($I1065/1000)*1000,"#,##0")&amp;" - "&amp;TEXT(INT($I1065/1000)*1000+999,"#,##0")))</f>
        <v>4,000 - 4,999</v>
      </c>
      <c r="L1065" s="71">
        <v>4.95</v>
      </c>
      <c r="M1065" s="15" t="str">
        <f>IF($C1065="","",IF($L1065="","-",INDEX(SETUP!$B$36:$B$42,MATCH($L1065,SETUP!$A$36:$A$42,1))))</f>
        <v>4k - 5k</v>
      </c>
      <c r="N1065" s="17">
        <f>IF($C1065="","",IF(OR($G1065="",$I1065=""),"",ROUND(100*(SETUP!$B$4*MIN(1,$I1065/SETUP!$B$9)+SETUP!$B$5*MAX(0,MIN(1,($G1065-SETUP!$B$10)/(SETUP!$B$11-SETUP!$B$10)))+SETUP!$B$6*MIN(1,IF($L1065="",0,$L1065)/SETUP!$B$12)),1)))</f>
        <v>47.6</v>
      </c>
      <c r="O1065" s="15" t="str">
        <f>IF($C1065="","",IF($N1065="","-",INDEX(SETUP!$B$46:$B$51,MATCH($N1065,SETUP!$A$46:$A$51,1))))</f>
        <v>B</v>
      </c>
      <c r="P1065" s="15">
        <f>IF($C1065="","",IF($I1065="","",RANK($I1065,$I$4:$I$1463)+COUNTIF($I$4:$I1065,$I1065)-1))</f>
        <v>590</v>
      </c>
      <c r="Q1065" s="15">
        <f>IF($C1065="","",COUNTIFS($B$4:$B$1463,$B1065,$X$4:$X$1463,"&gt;"&amp;$X1065)+COUNTIFS($B$4:$B1065,$B1065,$X$4:$X1065,"="&amp;$X1065))</f>
        <v>60</v>
      </c>
      <c r="R1065" s="72">
        <f>IF($C1065="","",IF($I1065="","",ROUND(COUNTIF($I$4:$I$1463,"&lt;"&amp;$I1065)/COUNT($I$4:$I$1463),3)))</f>
        <v>0.55500000000000005</v>
      </c>
      <c r="S1065" s="15" t="str">
        <f>IF($C1065="","",IF($G1065="","Name only",IF(OR($I1065="",$L1065=""),"Partial","Complete")))</f>
        <v>Complete</v>
      </c>
      <c r="T1065" s="41" t="str">
        <f>IF($C1065="","",TRIM(IF(COUNTIF($C$4:$C$1463,$C1065)&gt;1,"Dup name; ","")&amp;IF(AND($G1065&lt;&gt;"",$G1065&lt;55000),"Low CR - verify; ","")&amp;IF(AND($L1065&lt;&gt;"",$L1065&gt;15),"Secondary - verify; ","")&amp;IF($E1065="","No class; ","")))</f>
        <v/>
      </c>
      <c r="U1065" s="68" t="s">
        <v>66</v>
      </c>
      <c r="V1065" s="68" t="s">
        <v>66</v>
      </c>
      <c r="W1065" s="68" t="s">
        <v>285</v>
      </c>
      <c r="X1065" s="76">
        <f t="shared" si="82"/>
        <v>4042</v>
      </c>
      <c r="Y1065" s="1" t="str">
        <f t="shared" si="83"/>
        <v>FUCT|60</v>
      </c>
      <c r="Z1065" s="19">
        <f>IF($C1065="","",IF($G1065="","",RANK($G1065,$G$4:$G$1463)+COUNTIF($G$4:$G1065,$G1065)-1))</f>
        <v>293</v>
      </c>
      <c r="AA1065" s="19">
        <f>IF($C1065="","",IF($N1065="","",RANK($N1065,$N$4:$N$1463)+COUNTIF($N$4:$N1065,$N1065)-1))</f>
        <v>532</v>
      </c>
      <c r="AB1065" s="1" t="str">
        <f>IF($C1065="","",IF($E1065="","",$E1065&amp;"#"&amp;(COUNTIFS($E$4:$E$1463,$E1065,$X$4:$X$1463,"&gt;"&amp;$X1065)+COUNTIFS($E$4:$E1065,$E1065,$X$4:$X1065,"="&amp;$X1065))))</f>
        <v>DEMON HUNTER#95</v>
      </c>
      <c r="AC1065" s="1" t="str">
        <f>IF($C1065="","",$B1065&amp;"@"&amp;(COUNTIFS($B$4:$B$1463,$B1065,$C$4:$C$1463,"&lt;"&amp;$C1065)+COUNTIFS($B$4:$B1065,$B1065,$C$4:$C1065,$C1065)))</f>
        <v>FUCT@79</v>
      </c>
      <c r="AD1065" s="1">
        <f t="shared" si="84"/>
        <v>1062</v>
      </c>
      <c r="AE1065" s="1" t="s">
        <v>1060</v>
      </c>
      <c r="AF1065" s="76">
        <f t="shared" si="85"/>
        <v>63245</v>
      </c>
      <c r="AG1065" s="77">
        <f t="shared" si="86"/>
        <v>4.95</v>
      </c>
      <c r="AH1065" s="1" t="str">
        <f>IF($C1065="","",$B1065&amp;"|"&amp;(COUNTIFS($B$4:$B$1463,$B1065,$AF$4:$AF$1463,"&gt;"&amp;$AF1065)+COUNTIFS($B$4:$B1065,$B1065,$AF$4:$AF1065,"="&amp;$AF1065)))</f>
        <v>FUCT|29</v>
      </c>
      <c r="AI1065" s="1" t="str">
        <f>IF($C1065="","",$B1065&amp;"|"&amp;(COUNTIFS($B$4:$B$1463,$B1065,$AG$4:$AG$1463,"&gt;"&amp;$AG1065)+COUNTIFS($B$4:$B1065,$B1065,$AG$4:$AG1065,"="&amp;$AG1065)))</f>
        <v>FUCT|51</v>
      </c>
    </row>
    <row r="1066" spans="1:35" hidden="1">
      <c r="A1066" s="69" t="s">
        <v>109</v>
      </c>
      <c r="B1066" s="69" t="s">
        <v>113</v>
      </c>
      <c r="C1066" s="63" t="s">
        <v>2340</v>
      </c>
      <c r="D1066" s="69" t="s">
        <v>548</v>
      </c>
      <c r="E1066" s="68" t="s">
        <v>71</v>
      </c>
      <c r="F1066" s="15" t="str">
        <f>IF($C1066="","",IF($E1066="","-",IFERROR(INDEX(SETUP!$B$55:$B$64,MATCH($E1066,SETUP!$A$55:$A$64,0)),"Other")))</f>
        <v>Frontline</v>
      </c>
      <c r="G1066" s="70">
        <v>61831</v>
      </c>
      <c r="H1066" s="15" t="str">
        <f>IF($C1066="","",IF($G1066="","-",INDEX(SETUP!$B$26:$B$32,MATCH($G1066,SETUP!$A$26:$A$32,1))))</f>
        <v>61,000 - 61,999</v>
      </c>
      <c r="I1066" s="70">
        <v>2874</v>
      </c>
      <c r="J1066" s="15" t="str">
        <f>IF($C1066="","",IF($I1066="","-",INDEX(SETUP!$B$16:$B$22,MATCH($I1066,SETUP!$A$16:$A$22,1))))</f>
        <v>DEVELOPING</v>
      </c>
      <c r="K1066" s="15" t="str">
        <f>IF($C1066="","",IF($I1066="","-",TEXT(INT($I1066/1000)*1000,"#,##0")&amp;" - "&amp;TEXT(INT($I1066/1000)*1000+999,"#,##0")))</f>
        <v>2,000 - 2,999</v>
      </c>
      <c r="L1066" s="71">
        <v>4.8</v>
      </c>
      <c r="M1066" s="15" t="str">
        <f>IF($C1066="","",IF($L1066="","-",INDEX(SETUP!$B$36:$B$42,MATCH($L1066,SETUP!$A$36:$A$42,1))))</f>
        <v>4k - 5k</v>
      </c>
      <c r="N1066" s="17">
        <f>IF($C1066="","",IF(OR($G1066="",$I1066=""),"",ROUND(100*(SETUP!$B$4*MIN(1,$I1066/SETUP!$B$9)+SETUP!$B$5*MAX(0,MIN(1,($G1066-SETUP!$B$10)/(SETUP!$B$11-SETUP!$B$10)))+SETUP!$B$6*MIN(1,IF($L1066="",0,$L1066)/SETUP!$B$12)),1)))</f>
        <v>38.5</v>
      </c>
      <c r="O1066" s="15" t="str">
        <f>IF($C1066="","",IF($N1066="","-",INDEX(SETUP!$B$46:$B$51,MATCH($N1066,SETUP!$A$46:$A$51,1))))</f>
        <v>B</v>
      </c>
      <c r="P1066" s="15">
        <f>IF($C1066="","",IF($I1066="","",RANK($I1066,$I$4:$I$1463)+COUNTIF($I$4:$I1066,$I1066)-1))</f>
        <v>917</v>
      </c>
      <c r="Q1066" s="15">
        <f>IF($C1066="","",COUNTIFS($B$4:$B$1463,$B1066,$X$4:$X$1463,"&gt;"&amp;$X1066)+COUNTIFS($B$4:$B1066,$B1066,$X$4:$X1066,"="&amp;$X1066))</f>
        <v>57</v>
      </c>
      <c r="R1066" s="72">
        <f>IF($C1066="","",IF($I1066="","",ROUND(COUNTIF($I$4:$I$1463,"&lt;"&amp;$I1066)/COUNT($I$4:$I$1463),3)))</f>
        <v>0.308</v>
      </c>
      <c r="S1066" s="15" t="str">
        <f>IF($C1066="","",IF($G1066="","Name only",IF(OR($I1066="",$L1066=""),"Partial","Complete")))</f>
        <v>Complete</v>
      </c>
      <c r="T1066" s="41" t="str">
        <f>IF($C1066="","",TRIM(IF(COUNTIF($C$4:$C$1463,$C1066)&gt;1,"Dup name; ","")&amp;IF(AND($G1066&lt;&gt;"",$G1066&lt;55000),"Low CR - verify; ","")&amp;IF(AND($L1066&lt;&gt;"",$L1066&gt;15),"Secondary - verify; ","")&amp;IF($E1066="","No class; ","")))</f>
        <v/>
      </c>
      <c r="U1066" s="68"/>
      <c r="V1066" s="68"/>
      <c r="W1066" s="68"/>
      <c r="X1066" s="73">
        <f t="shared" si="82"/>
        <v>2874</v>
      </c>
      <c r="Y1066" s="41" t="str">
        <f t="shared" si="83"/>
        <v>INVICTUS|57</v>
      </c>
      <c r="Z1066" s="15">
        <f>IF($C1066="","",IF($G1066="","",RANK($G1066,$G$4:$G$1463)+COUNTIF($G$4:$G1066,$G1066)-1))</f>
        <v>904</v>
      </c>
      <c r="AA1066" s="15">
        <f>IF($C1066="","",IF($N1066="","",RANK($N1066,$N$4:$N$1463)+COUNTIF($N$4:$N1066,$N1066)-1))</f>
        <v>885</v>
      </c>
      <c r="AB1066" s="41" t="str">
        <f>IF($C1066="","",IF($E1066="","",$E1066&amp;"#"&amp;(COUNTIFS($E$4:$E$1463,$E1066,$X$4:$X$1463,"&gt;"&amp;$X1066)+COUNTIFS($E$4:$E1066,$E1066,$X$4:$X1066,"="&amp;$X1066))))</f>
        <v>BARBARIAN#159</v>
      </c>
      <c r="AC1066" s="41" t="str">
        <f>IF($C1066="","",$B1066&amp;"@"&amp;(COUNTIFS($B$4:$B$1463,$B1066,$C$4:$C$1463,"&lt;"&amp;$C1066)+COUNTIFS($B$4:$B1066,$B1066,$C$4:$C1066,$C1066)))</f>
        <v>INVICTUS@77</v>
      </c>
      <c r="AD1066" s="41">
        <f t="shared" si="84"/>
        <v>1063</v>
      </c>
      <c r="AE1066" s="41" t="s">
        <v>551</v>
      </c>
      <c r="AF1066" s="73">
        <f t="shared" si="85"/>
        <v>61831</v>
      </c>
      <c r="AG1066" s="74">
        <f t="shared" si="86"/>
        <v>4.8</v>
      </c>
      <c r="AH1066" s="41" t="str">
        <f>IF($C1066="","",$B1066&amp;"|"&amp;(COUNTIFS($B$4:$B$1463,$B1066,$AF$4:$AF$1463,"&gt;"&amp;$AF1066)+COUNTIFS($B$4:$B1066,$B1066,$AF$4:$AF1066,"="&amp;$AF1066)))</f>
        <v>INVICTUS|62</v>
      </c>
      <c r="AI1066" s="41" t="str">
        <f>IF($C1066="","",$B1066&amp;"|"&amp;(COUNTIFS($B$4:$B$1463,$B1066,$AG$4:$AG$1463,"&gt;"&amp;$AG1066)+COUNTIFS($B$4:$B1066,$B1066,$AG$4:$AG1066,"="&amp;$AG1066)))</f>
        <v>INVICTUS|40</v>
      </c>
    </row>
    <row r="1067" spans="1:35" hidden="1">
      <c r="A1067" s="69" t="s">
        <v>109</v>
      </c>
      <c r="B1067" s="69" t="s">
        <v>115</v>
      </c>
      <c r="C1067" s="63" t="s">
        <v>2341</v>
      </c>
      <c r="D1067" s="69"/>
      <c r="E1067" s="68"/>
      <c r="F1067" s="19" t="str">
        <f>IF($C1067="","",IF($E1067="","-",IFERROR(INDEX(SETUP!$B$55:$B$64,MATCH($E1067,SETUP!$A$55:$A$64,0)),"Other")))</f>
        <v>-</v>
      </c>
      <c r="G1067" s="70"/>
      <c r="H1067" s="19" t="str">
        <f>IF($C1067="","",IF($G1067="","-",INDEX(SETUP!$B$26:$B$32,MATCH($G1067,SETUP!$A$26:$A$32,1))))</f>
        <v>-</v>
      </c>
      <c r="I1067" s="70"/>
      <c r="J1067" s="19" t="str">
        <f>IF($C1067="","",IF($I1067="","-",INDEX(SETUP!$B$16:$B$22,MATCH($I1067,SETUP!$A$16:$A$22,1))))</f>
        <v>-</v>
      </c>
      <c r="K1067" s="19" t="str">
        <f>IF($C1067="","",IF($I1067="","-",TEXT(INT($I1067/1000)*1000,"#,##0")&amp;" - "&amp;TEXT(INT($I1067/1000)*1000+999,"#,##0")))</f>
        <v>-</v>
      </c>
      <c r="L1067" s="71"/>
      <c r="M1067" s="19" t="str">
        <f>IF($C1067="","",IF($L1067="","-",INDEX(SETUP!$B$36:$B$42,MATCH($L1067,SETUP!$A$36:$A$42,1))))</f>
        <v>-</v>
      </c>
      <c r="N1067" s="21" t="str">
        <f>IF($C1067="","",IF(OR($G1067="",$I1067=""),"",ROUND(100*(SETUP!$B$4*MIN(1,$I1067/SETUP!$B$9)+SETUP!$B$5*MAX(0,MIN(1,($G1067-SETUP!$B$10)/(SETUP!$B$11-SETUP!$B$10)))+SETUP!$B$6*MIN(1,IF($L1067="",0,$L1067)/SETUP!$B$12)),1)))</f>
        <v/>
      </c>
      <c r="O1067" s="19" t="str">
        <f>IF($C1067="","",IF($N1067="","-",INDEX(SETUP!$B$46:$B$51,MATCH($N1067,SETUP!$A$46:$A$51,1))))</f>
        <v>-</v>
      </c>
      <c r="P1067" s="19" t="str">
        <f>IF($C1067="","",IF($I1067="","",RANK($I1067,$I$4:$I$1463)+COUNTIF($I$4:$I1067,$I1067)-1))</f>
        <v/>
      </c>
      <c r="Q1067" s="19">
        <f>IF($C1067="","",COUNTIFS($B$4:$B$1463,$B1067,$X$4:$X$1463,"&gt;"&amp;$X1067)+COUNTIFS($B$4:$B1067,$B1067,$X$4:$X1067,"="&amp;$X1067))</f>
        <v>84</v>
      </c>
      <c r="R1067" s="75" t="str">
        <f>IF($C1067="","",IF($I1067="","",ROUND(COUNTIF($I$4:$I$1463,"&lt;"&amp;$I1067)/COUNT($I$4:$I$1463),3)))</f>
        <v/>
      </c>
      <c r="S1067" s="19" t="str">
        <f>IF($C1067="","",IF($G1067="","Name only",IF(OR($I1067="",$L1067=""),"Partial","Complete")))</f>
        <v>Name only</v>
      </c>
      <c r="T1067" s="1" t="str">
        <f>IF($C1067="","",TRIM(IF(COUNTIF($C$4:$C$1463,$C1067)&gt;1,"Dup name; ","")&amp;IF(AND($G1067&lt;&gt;"",$G1067&lt;55000),"Low CR - verify; ","")&amp;IF(AND($L1067&lt;&gt;"",$L1067&gt;15),"Secondary - verify; ","")&amp;IF($E1067="","No class; ","")))</f>
        <v>No class;</v>
      </c>
      <c r="U1067" s="68"/>
      <c r="V1067" s="68"/>
      <c r="W1067" s="68"/>
      <c r="X1067" s="1">
        <f t="shared" si="82"/>
        <v>-1</v>
      </c>
      <c r="Y1067" s="1" t="str">
        <f t="shared" si="83"/>
        <v>SUB ROSA|84</v>
      </c>
      <c r="Z1067" s="19" t="str">
        <f>IF($C1067="","",IF($G1067="","",RANK($G1067,$G$4:$G$1463)+COUNTIF($G$4:$G1067,$G1067)-1))</f>
        <v/>
      </c>
      <c r="AA1067" s="19" t="str">
        <f>IF($C1067="","",IF($N1067="","",RANK($N1067,$N$4:$N$1463)+COUNTIF($N$4:$N1067,$N1067)-1))</f>
        <v/>
      </c>
      <c r="AB1067" s="1" t="str">
        <f>IF($C1067="","",IF($E1067="","",$E1067&amp;"#"&amp;(COUNTIFS($E$4:$E$1463,$E1067,$X$4:$X$1463,"&gt;"&amp;$X1067)+COUNTIFS($E$4:$E1067,$E1067,$X$4:$X1067,"="&amp;$X1067))))</f>
        <v/>
      </c>
      <c r="AC1067" s="1" t="str">
        <f>IF($C1067="","",$B1067&amp;"@"&amp;(COUNTIFS($B$4:$B$1463,$B1067,$C$4:$C$1463,"&lt;"&amp;$C1067)+COUNTIFS($B$4:$B1067,$B1067,$C$4:$C1067,$C1067)))</f>
        <v>SUB ROSA@74</v>
      </c>
      <c r="AD1067" s="1">
        <f t="shared" si="84"/>
        <v>1064</v>
      </c>
      <c r="AE1067" s="1"/>
      <c r="AF1067" s="1">
        <f t="shared" si="85"/>
        <v>-1</v>
      </c>
      <c r="AG1067" s="1">
        <f t="shared" si="86"/>
        <v>-1</v>
      </c>
      <c r="AH1067" s="1" t="str">
        <f>IF($C1067="","",$B1067&amp;"|"&amp;(COUNTIFS($B$4:$B$1463,$B1067,$AF$4:$AF$1463,"&gt;"&amp;$AF1067)+COUNTIFS($B$4:$B1067,$B1067,$AF$4:$AF1067,"="&amp;$AF1067)))</f>
        <v>SUB ROSA|84</v>
      </c>
      <c r="AI1067" s="1" t="str">
        <f>IF($C1067="","",$B1067&amp;"|"&amp;(COUNTIFS($B$4:$B$1463,$B1067,$AG$4:$AG$1463,"&gt;"&amp;$AG1067)+COUNTIFS($B$4:$B1067,$B1067,$AG$4:$AG1067,"="&amp;$AG1067)))</f>
        <v>SUB ROSA|84</v>
      </c>
    </row>
    <row r="1068" spans="1:35">
      <c r="A1068" s="69" t="s">
        <v>104</v>
      </c>
      <c r="B1068" s="69" t="s">
        <v>66</v>
      </c>
      <c r="C1068" s="63" t="s">
        <v>366</v>
      </c>
      <c r="D1068" s="69"/>
      <c r="E1068" s="68" t="s">
        <v>71</v>
      </c>
      <c r="F1068" s="15" t="str">
        <f>IF($C1068="","",IF($E1068="","-",IFERROR(INDEX(SETUP!$B$55:$B$64,MATCH($E1068,SETUP!$A$55:$A$64,0)),"Other")))</f>
        <v>Frontline</v>
      </c>
      <c r="G1068" s="70">
        <v>64415</v>
      </c>
      <c r="H1068" s="15" t="str">
        <f>IF($C1068="","",IF($G1068="","-",INDEX(SETUP!$B$26:$B$32,MATCH($G1068,SETUP!$A$26:$A$32,1))))</f>
        <v>64,000 +</v>
      </c>
      <c r="I1068" s="70">
        <v>9278</v>
      </c>
      <c r="J1068" s="15" t="str">
        <f>IF($C1068="","",IF($I1068="","-",INDEX(SETUP!$B$16:$B$22,MATCH($I1068,SETUP!$A$16:$A$22,1))))</f>
        <v>ELITE</v>
      </c>
      <c r="K1068" s="15" t="str">
        <f>IF($C1068="","",IF($I1068="","-",TEXT(INT($I1068/1000)*1000,"#,##0")&amp;" - "&amp;TEXT(INT($I1068/1000)*1000+999,"#,##0")))</f>
        <v>9,000 - 9,999</v>
      </c>
      <c r="L1068" s="71">
        <v>7.9</v>
      </c>
      <c r="M1068" s="15" t="str">
        <f>IF($C1068="","",IF($L1068="","-",INDEX(SETUP!$B$36:$B$42,MATCH($L1068,SETUP!$A$36:$A$42,1))))</f>
        <v>6k - 8k</v>
      </c>
      <c r="N1068" s="17">
        <f>IF($C1068="","",IF(OR($G1068="",$I1068=""),"",ROUND(100*(SETUP!$B$4*MIN(1,$I1068/SETUP!$B$9)+SETUP!$B$5*MAX(0,MIN(1,($G1068-SETUP!$B$10)/(SETUP!$B$11-SETUP!$B$10)))+SETUP!$B$6*MIN(1,IF($L1068="",0,$L1068)/SETUP!$B$12)),1)))</f>
        <v>78.400000000000006</v>
      </c>
      <c r="O1068" s="15" t="str">
        <f>IF($C1068="","",IF($N1068="","-",INDEX(SETUP!$B$46:$B$51,MATCH($N1068,SETUP!$A$46:$A$51,1))))</f>
        <v>S</v>
      </c>
      <c r="P1068" s="15">
        <f>IF($C1068="","",IF($I1068="","",RANK($I1068,$I$4:$I$1463)+COUNTIF($I$4:$I1068,$I1068)-1))</f>
        <v>81</v>
      </c>
      <c r="Q1068" s="15">
        <f>IF($C1068="","",COUNTIFS($B$4:$B$1463,$B1068,$X$4:$X$1463,"&gt;"&amp;$X1068)+COUNTIFS($B$4:$B1068,$B1068,$X$4:$X1068,"="&amp;$X1068))</f>
        <v>8</v>
      </c>
      <c r="R1068" s="72">
        <f>IF($C1068="","",IF($I1068="","",ROUND(COUNTIF($I$4:$I$1463,"&lt;"&amp;$I1068)/COUNT($I$4:$I$1463),3)))</f>
        <v>0.93899999999999995</v>
      </c>
      <c r="S1068" s="15" t="str">
        <f>IF($C1068="","",IF($G1068="","Name only",IF(OR($I1068="",$L1068=""),"Partial","Complete")))</f>
        <v>Complete</v>
      </c>
      <c r="T1068" s="41" t="str">
        <f>IF($C1068="","",TRIM(IF(COUNTIF($C$4:$C$1463,$C1068)&gt;1,"Dup name; ","")&amp;IF(AND($G1068&lt;&gt;"",$G1068&lt;55000),"Low CR - verify; ","")&amp;IF(AND($L1068&lt;&gt;"",$L1068&gt;15),"Secondary - verify; ","")&amp;IF($E1068="","No class; ","")))</f>
        <v/>
      </c>
      <c r="U1068" s="68" t="s">
        <v>267</v>
      </c>
      <c r="V1068" s="68" t="s">
        <v>66</v>
      </c>
      <c r="W1068" s="68" t="s">
        <v>285</v>
      </c>
      <c r="X1068" s="73">
        <f t="shared" si="82"/>
        <v>9278</v>
      </c>
      <c r="Y1068" s="41" t="str">
        <f t="shared" si="83"/>
        <v>FUCT|8</v>
      </c>
      <c r="Z1068" s="15">
        <f>IF($C1068="","",IF($G1068="","",RANK($G1068,$G$4:$G$1463)+COUNTIF($G$4:$G1068,$G1068)-1))</f>
        <v>7</v>
      </c>
      <c r="AA1068" s="15">
        <f>IF($C1068="","",IF($N1068="","",RANK($N1068,$N$4:$N$1463)+COUNTIF($N$4:$N1068,$N1068)-1))</f>
        <v>64</v>
      </c>
      <c r="AB1068" s="41" t="str">
        <f>IF($C1068="","",IF($E1068="","",$E1068&amp;"#"&amp;(COUNTIFS($E$4:$E$1463,$E1068,$X$4:$X$1463,"&gt;"&amp;$X1068)+COUNTIFS($E$4:$E1068,$E1068,$X$4:$X1068,"="&amp;$X1068))))</f>
        <v>BARBARIAN#18</v>
      </c>
      <c r="AC1068" s="41" t="str">
        <f>IF($C1068="","",$B1068&amp;"@"&amp;(COUNTIFS($B$4:$B$1463,$B1068,$C$4:$C$1463,"&lt;"&amp;$C1068)+COUNTIFS($B$4:$B1068,$B1068,$C$4:$C1068,$C1068)))</f>
        <v>FUCT@80</v>
      </c>
      <c r="AD1068" s="41">
        <f t="shared" si="84"/>
        <v>1065</v>
      </c>
      <c r="AE1068" s="41" t="s">
        <v>2343</v>
      </c>
      <c r="AF1068" s="73">
        <f t="shared" si="85"/>
        <v>64415</v>
      </c>
      <c r="AG1068" s="74">
        <f t="shared" si="86"/>
        <v>7.9</v>
      </c>
      <c r="AH1068" s="41" t="str">
        <f>IF($C1068="","",$B1068&amp;"|"&amp;(COUNTIFS($B$4:$B$1463,$B1068,$AF$4:$AF$1463,"&gt;"&amp;$AF1068)+COUNTIFS($B$4:$B1068,$B1068,$AF$4:$AF1068,"="&amp;$AF1068)))</f>
        <v>FUCT|1</v>
      </c>
      <c r="AI1068" s="41" t="str">
        <f>IF($C1068="","",$B1068&amp;"|"&amp;(COUNTIFS($B$4:$B$1463,$B1068,$AG$4:$AG$1463,"&gt;"&amp;$AG1068)+COUNTIFS($B$4:$B1068,$B1068,$AG$4:$AG1068,"="&amp;$AG1068)))</f>
        <v>FUCT|6</v>
      </c>
    </row>
    <row r="1069" spans="1:35" hidden="1">
      <c r="A1069" s="69" t="s">
        <v>109</v>
      </c>
      <c r="B1069" s="69" t="s">
        <v>115</v>
      </c>
      <c r="C1069" s="63" t="s">
        <v>2344</v>
      </c>
      <c r="D1069" s="69"/>
      <c r="E1069" s="68" t="s">
        <v>77</v>
      </c>
      <c r="F1069" s="19" t="str">
        <f>IF($C1069="","",IF($E1069="","-",IFERROR(INDEX(SETUP!$B$55:$B$64,MATCH($E1069,SETUP!$A$55:$A$64,0)),"Other")))</f>
        <v>Control</v>
      </c>
      <c r="G1069" s="70">
        <v>62859</v>
      </c>
      <c r="H1069" s="19" t="str">
        <f>IF($C1069="","",IF($G1069="","-",INDEX(SETUP!$B$26:$B$32,MATCH($G1069,SETUP!$A$26:$A$32,1))))</f>
        <v>62,000 - 62,999</v>
      </c>
      <c r="I1069" s="70">
        <v>2192</v>
      </c>
      <c r="J1069" s="19" t="str">
        <f>IF($C1069="","",IF($I1069="","-",INDEX(SETUP!$B$16:$B$22,MATCH($I1069,SETUP!$A$16:$A$22,1))))</f>
        <v>DEVELOPING</v>
      </c>
      <c r="K1069" s="19" t="str">
        <f>IF($C1069="","",IF($I1069="","-",TEXT(INT($I1069/1000)*1000,"#,##0")&amp;" - "&amp;TEXT(INT($I1069/1000)*1000+999,"#,##0")))</f>
        <v>2,000 - 2,999</v>
      </c>
      <c r="L1069" s="71">
        <v>3.8</v>
      </c>
      <c r="M1069" s="19" t="str">
        <f>IF($C1069="","",IF($L1069="","-",INDEX(SETUP!$B$36:$B$42,MATCH($L1069,SETUP!$A$36:$A$42,1))))</f>
        <v>3k - 4k</v>
      </c>
      <c r="N1069" s="21">
        <f>IF($C1069="","",IF(OR($G1069="",$I1069=""),"",ROUND(100*(SETUP!$B$4*MIN(1,$I1069/SETUP!$B$9)+SETUP!$B$5*MAX(0,MIN(1,($G1069-SETUP!$B$10)/(SETUP!$B$11-SETUP!$B$10)))+SETUP!$B$6*MIN(1,IF($L1069="",0,$L1069)/SETUP!$B$12)),1)))</f>
        <v>36.6</v>
      </c>
      <c r="O1069" s="19" t="str">
        <f>IF($C1069="","",IF($N1069="","-",INDEX(SETUP!$B$46:$B$51,MATCH($N1069,SETUP!$A$46:$A$51,1))))</f>
        <v>B</v>
      </c>
      <c r="P1069" s="19">
        <f>IF($C1069="","",IF($I1069="","",RANK($I1069,$I$4:$I$1463)+COUNTIF($I$4:$I1069,$I1069)-1))</f>
        <v>1068</v>
      </c>
      <c r="Q1069" s="19">
        <f>IF($C1069="","",COUNTIFS($B$4:$B$1463,$B1069,$X$4:$X$1463,"&gt;"&amp;$X1069)+COUNTIFS($B$4:$B1069,$B1069,$X$4:$X1069,"="&amp;$X1069))</f>
        <v>40</v>
      </c>
      <c r="R1069" s="75">
        <f>IF($C1069="","",IF($I1069="","",ROUND(COUNTIF($I$4:$I$1463,"&lt;"&amp;$I1069)/COUNT($I$4:$I$1463),3)))</f>
        <v>0.19400000000000001</v>
      </c>
      <c r="S1069" s="19" t="str">
        <f>IF($C1069="","",IF($G1069="","Name only",IF(OR($I1069="",$L1069=""),"Partial","Complete")))</f>
        <v>Complete</v>
      </c>
      <c r="T1069" s="1" t="str">
        <f>IF($C1069="","",TRIM(IF(COUNTIF($C$4:$C$1463,$C1069)&gt;1,"Dup name; ","")&amp;IF(AND($G1069&lt;&gt;"",$G1069&lt;55000),"Low CR - verify; ","")&amp;IF(AND($L1069&lt;&gt;"",$L1069&gt;15),"Secondary - verify; ","")&amp;IF($E1069="","No class; ","")))</f>
        <v/>
      </c>
      <c r="U1069" s="68"/>
      <c r="V1069" s="68"/>
      <c r="W1069" s="68"/>
      <c r="X1069" s="76">
        <f t="shared" si="82"/>
        <v>2192</v>
      </c>
      <c r="Y1069" s="1" t="str">
        <f t="shared" si="83"/>
        <v>SUB ROSA|40</v>
      </c>
      <c r="Z1069" s="19">
        <f>IF($C1069="","",IF($G1069="","",RANK($G1069,$G$4:$G$1463)+COUNTIF($G$4:$G1069,$G1069)-1))</f>
        <v>494</v>
      </c>
      <c r="AA1069" s="19">
        <f>IF($C1069="","",IF($N1069="","",RANK($N1069,$N$4:$N$1463)+COUNTIF($N$4:$N1069,$N1069)-1))</f>
        <v>944</v>
      </c>
      <c r="AB1069" s="1" t="str">
        <f>IF($C1069="","",IF($E1069="","",$E1069&amp;"#"&amp;(COUNTIFS($E$4:$E$1463,$E1069,$X$4:$X$1463,"&gt;"&amp;$X1069)+COUNTIFS($E$4:$E1069,$E1069,$X$4:$X1069,"="&amp;$X1069))))</f>
        <v>NECROMANCER#69</v>
      </c>
      <c r="AC1069" s="1" t="str">
        <f>IF($C1069="","",$B1069&amp;"@"&amp;(COUNTIFS($B$4:$B$1463,$B1069,$C$4:$C$1463,"&lt;"&amp;$C1069)+COUNTIFS($B$4:$B1069,$B1069,$C$4:$C1069,$C1069)))</f>
        <v>SUB ROSA@75</v>
      </c>
      <c r="AD1069" s="1">
        <f t="shared" si="84"/>
        <v>1066</v>
      </c>
      <c r="AE1069" s="1" t="s">
        <v>531</v>
      </c>
      <c r="AF1069" s="76">
        <f t="shared" si="85"/>
        <v>62859</v>
      </c>
      <c r="AG1069" s="77">
        <f t="shared" si="86"/>
        <v>3.8</v>
      </c>
      <c r="AH1069" s="1" t="str">
        <f>IF($C1069="","",$B1069&amp;"|"&amp;(COUNTIFS($B$4:$B$1463,$B1069,$AF$4:$AF$1463,"&gt;"&amp;$AF1069)+COUNTIFS($B$4:$B1069,$B1069,$AF$4:$AF1069,"="&amp;$AF1069)))</f>
        <v>SUB ROSA|13</v>
      </c>
      <c r="AI1069" s="1" t="str">
        <f>IF($C1069="","",$B1069&amp;"|"&amp;(COUNTIFS($B$4:$B$1463,$B1069,$AG$4:$AG$1463,"&gt;"&amp;$AG1069)+COUNTIFS($B$4:$B1069,$B1069,$AG$4:$AG1069,"="&amp;$AG1069)))</f>
        <v>SUB ROSA|32</v>
      </c>
    </row>
    <row r="1070" spans="1:35" hidden="1">
      <c r="A1070" s="69" t="s">
        <v>106</v>
      </c>
      <c r="B1070" s="69" t="s">
        <v>105</v>
      </c>
      <c r="C1070" s="63" t="s">
        <v>2345</v>
      </c>
      <c r="D1070" s="69"/>
      <c r="E1070" s="68" t="s">
        <v>79</v>
      </c>
      <c r="F1070" s="15" t="str">
        <f>IF($C1070="","",IF($E1070="","-",IFERROR(INDEX(SETUP!$B$55:$B$64,MATCH($E1070,SETUP!$A$55:$A$64,0)),"Other")))</f>
        <v>Control</v>
      </c>
      <c r="G1070" s="70">
        <v>61436</v>
      </c>
      <c r="H1070" s="15" t="str">
        <f>IF($C1070="","",IF($G1070="","-",INDEX(SETUP!$B$26:$B$32,MATCH($G1070,SETUP!$A$26:$A$32,1))))</f>
        <v>61,000 - 61,999</v>
      </c>
      <c r="I1070" s="70">
        <v>3750</v>
      </c>
      <c r="J1070" s="15" t="str">
        <f>IF($C1070="","",IF($I1070="","-",INDEX(SETUP!$B$16:$B$22,MATCH($I1070,SETUP!$A$16:$A$22,1))))</f>
        <v>DEVELOPING</v>
      </c>
      <c r="K1070" s="15" t="str">
        <f>IF($C1070="","",IF($I1070="","-",TEXT(INT($I1070/1000)*1000,"#,##0")&amp;" - "&amp;TEXT(INT($I1070/1000)*1000+999,"#,##0")))</f>
        <v>3,000 - 3,999</v>
      </c>
      <c r="L1070" s="71">
        <v>3.97</v>
      </c>
      <c r="M1070" s="15" t="str">
        <f>IF($C1070="","",IF($L1070="","-",INDEX(SETUP!$B$36:$B$42,MATCH($L1070,SETUP!$A$36:$A$42,1))))</f>
        <v>3k - 4k</v>
      </c>
      <c r="N1070" s="17">
        <f>IF($C1070="","",IF(OR($G1070="",$I1070=""),"",ROUND(100*(SETUP!$B$4*MIN(1,$I1070/SETUP!$B$9)+SETUP!$B$5*MAX(0,MIN(1,($G1070-SETUP!$B$10)/(SETUP!$B$11-SETUP!$B$10)))+SETUP!$B$6*MIN(1,IF($L1070="",0,$L1070)/SETUP!$B$12)),1)))</f>
        <v>39.9</v>
      </c>
      <c r="O1070" s="15" t="str">
        <f>IF($C1070="","",IF($N1070="","-",INDEX(SETUP!$B$46:$B$51,MATCH($N1070,SETUP!$A$46:$A$51,1))))</f>
        <v>B</v>
      </c>
      <c r="P1070" s="15">
        <f>IF($C1070="","",IF($I1070="","",RANK($I1070,$I$4:$I$1463)+COUNTIF($I$4:$I1070,$I1070)-1))</f>
        <v>667</v>
      </c>
      <c r="Q1070" s="15">
        <f>IF($C1070="","",COUNTIFS($B$4:$B$1463,$B1070,$X$4:$X$1463,"&gt;"&amp;$X1070)+COUNTIFS($B$4:$B1070,$B1070,$X$4:$X1070,"="&amp;$X1070))</f>
        <v>80</v>
      </c>
      <c r="R1070" s="72">
        <f>IF($C1070="","",IF($I1070="","",ROUND(COUNTIF($I$4:$I$1463,"&lt;"&amp;$I1070)/COUNT($I$4:$I$1463),3)))</f>
        <v>0.497</v>
      </c>
      <c r="S1070" s="15" t="str">
        <f>IF($C1070="","",IF($G1070="","Name only",IF(OR($I1070="",$L1070=""),"Partial","Complete")))</f>
        <v>Complete</v>
      </c>
      <c r="T1070" s="41" t="str">
        <f>IF($C1070="","",TRIM(IF(COUNTIF($C$4:$C$1463,$C1070)&gt;1,"Dup name; ","")&amp;IF(AND($G1070&lt;&gt;"",$G1070&lt;55000),"Low CR - verify; ","")&amp;IF(AND($L1070&lt;&gt;"",$L1070&gt;15),"Secondary - verify; ","")&amp;IF($E1070="","No class; ","")))</f>
        <v/>
      </c>
      <c r="U1070" s="68"/>
      <c r="V1070" s="68"/>
      <c r="W1070" s="68"/>
      <c r="X1070" s="73">
        <f t="shared" si="82"/>
        <v>3750</v>
      </c>
      <c r="Y1070" s="41" t="str">
        <f t="shared" si="83"/>
        <v>LEGENDS|80</v>
      </c>
      <c r="Z1070" s="15">
        <f>IF($C1070="","",IF($G1070="","",RANK($G1070,$G$4:$G$1463)+COUNTIF($G$4:$G1070,$G1070)-1))</f>
        <v>1018</v>
      </c>
      <c r="AA1070" s="15">
        <f>IF($C1070="","",IF($N1070="","",RANK($N1070,$N$4:$N$1463)+COUNTIF($N$4:$N1070,$N1070)-1))</f>
        <v>824</v>
      </c>
      <c r="AB1070" s="41" t="str">
        <f>IF($C1070="","",IF($E1070="","",$E1070&amp;"#"&amp;(COUNTIFS($E$4:$E$1463,$E1070,$X$4:$X$1463,"&gt;"&amp;$X1070)+COUNTIFS($E$4:$E1070,$E1070,$X$4:$X1070,"="&amp;$X1070))))</f>
        <v>WARLOCK#161</v>
      </c>
      <c r="AC1070" s="41" t="str">
        <f>IF($C1070="","",$B1070&amp;"@"&amp;(COUNTIFS($B$4:$B$1463,$B1070,$C$4:$C$1463,"&lt;"&amp;$C1070)+COUNTIFS($B$4:$B1070,$B1070,$C$4:$C1070,$C1070)))</f>
        <v>LEGENDS@83</v>
      </c>
      <c r="AD1070" s="41">
        <f t="shared" si="84"/>
        <v>1067</v>
      </c>
      <c r="AE1070" s="41" t="s">
        <v>2346</v>
      </c>
      <c r="AF1070" s="73">
        <f t="shared" si="85"/>
        <v>61436</v>
      </c>
      <c r="AG1070" s="74">
        <f t="shared" si="86"/>
        <v>3.97</v>
      </c>
      <c r="AH1070" s="41" t="str">
        <f>IF($C1070="","",$B1070&amp;"|"&amp;(COUNTIFS($B$4:$B$1463,$B1070,$AF$4:$AF$1463,"&gt;"&amp;$AF1070)+COUNTIFS($B$4:$B1070,$B1070,$AF$4:$AF1070,"="&amp;$AF1070)))</f>
        <v>LEGENDS|91</v>
      </c>
      <c r="AI1070" s="41" t="str">
        <f>IF($C1070="","",$B1070&amp;"|"&amp;(COUNTIFS($B$4:$B$1463,$B1070,$AG$4:$AG$1463,"&gt;"&amp;$AG1070)+COUNTIFS($B$4:$B1070,$B1070,$AG$4:$AG1070,"="&amp;$AG1070)))</f>
        <v>LEGENDS|90</v>
      </c>
    </row>
    <row r="1071" spans="1:35" hidden="1">
      <c r="A1071" s="69" t="s">
        <v>109</v>
      </c>
      <c r="B1071" s="69" t="s">
        <v>108</v>
      </c>
      <c r="C1071" s="63" t="s">
        <v>2347</v>
      </c>
      <c r="D1071" s="69"/>
      <c r="E1071" s="68" t="s">
        <v>72</v>
      </c>
      <c r="F1071" s="19" t="str">
        <f>IF($C1071="","",IF($E1071="","-",IFERROR(INDEX(SETUP!$B$55:$B$64,MATCH($E1071,SETUP!$A$55:$A$64,0)),"Other")))</f>
        <v>Frontline</v>
      </c>
      <c r="G1071" s="70">
        <v>62139</v>
      </c>
      <c r="H1071" s="19" t="str">
        <f>IF($C1071="","",IF($G1071="","-",INDEX(SETUP!$B$26:$B$32,MATCH($G1071,SETUP!$A$26:$A$32,1))))</f>
        <v>62,000 - 62,999</v>
      </c>
      <c r="I1071" s="70">
        <v>5613</v>
      </c>
      <c r="J1071" s="19" t="str">
        <f>IF($C1071="","",IF($I1071="","-",INDEX(SETUP!$B$16:$B$22,MATCH($I1071,SETUP!$A$16:$A$22,1))))</f>
        <v>CORE</v>
      </c>
      <c r="K1071" s="19" t="str">
        <f>IF($C1071="","",IF($I1071="","-",TEXT(INT($I1071/1000)*1000,"#,##0")&amp;" - "&amp;TEXT(INT($I1071/1000)*1000+999,"#,##0")))</f>
        <v>5,000 - 5,999</v>
      </c>
      <c r="L1071" s="71">
        <v>5</v>
      </c>
      <c r="M1071" s="19" t="str">
        <f>IF($C1071="","",IF($L1071="","-",INDEX(SETUP!$B$36:$B$42,MATCH($L1071,SETUP!$A$36:$A$42,1))))</f>
        <v>5k - 6k</v>
      </c>
      <c r="N1071" s="21">
        <f>IF($C1071="","",IF(OR($G1071="",$I1071=""),"",ROUND(100*(SETUP!$B$4*MIN(1,$I1071/SETUP!$B$9)+SETUP!$B$5*MAX(0,MIN(1,($G1071-SETUP!$B$10)/(SETUP!$B$11-SETUP!$B$10)))+SETUP!$B$6*MIN(1,IF($L1071="",0,$L1071)/SETUP!$B$12)),1)))</f>
        <v>51.6</v>
      </c>
      <c r="O1071" s="19" t="str">
        <f>IF($C1071="","",IF($N1071="","-",INDEX(SETUP!$B$46:$B$51,MATCH($N1071,SETUP!$A$46:$A$51,1))))</f>
        <v>A</v>
      </c>
      <c r="P1071" s="19">
        <f>IF($C1071="","",IF($I1071="","",RANK($I1071,$I$4:$I$1463)+COUNTIF($I$4:$I1071,$I1071)-1))</f>
        <v>324</v>
      </c>
      <c r="Q1071" s="19">
        <f>IF($C1071="","",COUNTIFS($B$4:$B$1463,$B1071,$X$4:$X$1463,"&gt;"&amp;$X1071)+COUNTIFS($B$4:$B1071,$B1071,$X$4:$X1071,"="&amp;$X1071))</f>
        <v>50</v>
      </c>
      <c r="R1071" s="75">
        <f>IF($C1071="","",IF($I1071="","",ROUND(COUNTIF($I$4:$I$1463,"&lt;"&amp;$I1071)/COUNT($I$4:$I$1463),3)))</f>
        <v>0.755</v>
      </c>
      <c r="S1071" s="19" t="str">
        <f>IF($C1071="","",IF($G1071="","Name only",IF(OR($I1071="",$L1071=""),"Partial","Complete")))</f>
        <v>Complete</v>
      </c>
      <c r="T1071" s="1" t="str">
        <f>IF($C1071="","",TRIM(IF(COUNTIF($C$4:$C$1463,$C1071)&gt;1,"Dup name; ","")&amp;IF(AND($G1071&lt;&gt;"",$G1071&lt;55000),"Low CR - verify; ","")&amp;IF(AND($L1071&lt;&gt;"",$L1071&gt;15),"Secondary - verify; ","")&amp;IF($E1071="","No class; ","")))</f>
        <v/>
      </c>
      <c r="U1071" s="68"/>
      <c r="V1071" s="68"/>
      <c r="W1071" s="68"/>
      <c r="X1071" s="76">
        <f t="shared" si="82"/>
        <v>5613</v>
      </c>
      <c r="Y1071" s="1" t="str">
        <f t="shared" si="83"/>
        <v>SBG|50</v>
      </c>
      <c r="Z1071" s="19">
        <f>IF($C1071="","",IF($G1071="","",RANK($G1071,$G$4:$G$1463)+COUNTIF($G$4:$G1071,$G1071)-1))</f>
        <v>783</v>
      </c>
      <c r="AA1071" s="19">
        <f>IF($C1071="","",IF($N1071="","",RANK($N1071,$N$4:$N$1463)+COUNTIF($N$4:$N1071,$N1071)-1))</f>
        <v>401</v>
      </c>
      <c r="AB1071" s="1" t="str">
        <f>IF($C1071="","",IF($E1071="","",$E1071&amp;"#"&amp;(COUNTIFS($E$4:$E$1463,$E1071,$X$4:$X$1463,"&gt;"&amp;$X1071)+COUNTIFS($E$4:$E1071,$E1071,$X$4:$X1071,"="&amp;$X1071))))</f>
        <v>BLOOD KNIGHT#22</v>
      </c>
      <c r="AC1071" s="1" t="str">
        <f>IF($C1071="","",$B1071&amp;"@"&amp;(COUNTIFS($B$4:$B$1463,$B1071,$C$4:$C$1463,"&lt;"&amp;$C1071)+COUNTIFS($B$4:$B1071,$B1071,$C$4:$C1071,$C1071)))</f>
        <v>SBG@75</v>
      </c>
      <c r="AD1071" s="1">
        <f t="shared" si="84"/>
        <v>1068</v>
      </c>
      <c r="AE1071" s="1" t="s">
        <v>2348</v>
      </c>
      <c r="AF1071" s="76">
        <f t="shared" si="85"/>
        <v>62139</v>
      </c>
      <c r="AG1071" s="77">
        <f t="shared" si="86"/>
        <v>5</v>
      </c>
      <c r="AH1071" s="1" t="str">
        <f>IF($C1071="","",$B1071&amp;"|"&amp;(COUNTIFS($B$4:$B$1463,$B1071,$AF$4:$AF$1463,"&gt;"&amp;$AF1071)+COUNTIFS($B$4:$B1071,$B1071,$AF$4:$AF1071,"="&amp;$AF1071)))</f>
        <v>SBG|67</v>
      </c>
      <c r="AI1071" s="1" t="str">
        <f>IF($C1071="","",$B1071&amp;"|"&amp;(COUNTIFS($B$4:$B$1463,$B1071,$AG$4:$AG$1463,"&gt;"&amp;$AG1071)+COUNTIFS($B$4:$B1071,$B1071,$AG$4:$AG1071,"="&amp;$AG1071)))</f>
        <v>SBG|75</v>
      </c>
    </row>
    <row r="1072" spans="1:35" hidden="1">
      <c r="A1072" s="69" t="s">
        <v>109</v>
      </c>
      <c r="B1072" s="69" t="s">
        <v>118</v>
      </c>
      <c r="C1072" s="63" t="s">
        <v>2349</v>
      </c>
      <c r="D1072" s="69"/>
      <c r="E1072" s="68" t="s">
        <v>73</v>
      </c>
      <c r="F1072" s="15" t="str">
        <f>IF($C1072="","",IF($E1072="","-",IFERROR(INDEX(SETUP!$B$55:$B$64,MATCH($E1072,SETUP!$A$55:$A$64,0)),"Other")))</f>
        <v>Frontline</v>
      </c>
      <c r="G1072" s="70">
        <v>60596</v>
      </c>
      <c r="H1072" s="15" t="str">
        <f>IF($C1072="","",IF($G1072="","-",INDEX(SETUP!$B$26:$B$32,MATCH($G1072,SETUP!$A$26:$A$32,1))))</f>
        <v>60,000 - 60,999</v>
      </c>
      <c r="I1072" s="70">
        <v>1340</v>
      </c>
      <c r="J1072" s="15" t="str">
        <f>IF($C1072="","",IF($I1072="","-",INDEX(SETUP!$B$16:$B$22,MATCH($I1072,SETUP!$A$16:$A$22,1))))</f>
        <v>ROOKIE</v>
      </c>
      <c r="K1072" s="15" t="str">
        <f>IF($C1072="","",IF($I1072="","-",TEXT(INT($I1072/1000)*1000,"#,##0")&amp;" - "&amp;TEXT(INT($I1072/1000)*1000+999,"#,##0")))</f>
        <v>1,000 - 1,999</v>
      </c>
      <c r="L1072" s="71">
        <v>3</v>
      </c>
      <c r="M1072" s="15" t="str">
        <f>IF($C1072="","",IF($L1072="","-",INDEX(SETUP!$B$36:$B$42,MATCH($L1072,SETUP!$A$36:$A$42,1))))</f>
        <v>3k - 4k</v>
      </c>
      <c r="N1072" s="17">
        <f>IF($C1072="","",IF(OR($G1072="",$I1072=""),"",ROUND(100*(SETUP!$B$4*MIN(1,$I1072/SETUP!$B$9)+SETUP!$B$5*MAX(0,MIN(1,($G1072-SETUP!$B$10)/(SETUP!$B$11-SETUP!$B$10)))+SETUP!$B$6*MIN(1,IF($L1072="",0,$L1072)/SETUP!$B$12)),1)))</f>
        <v>25.6</v>
      </c>
      <c r="O1072" s="15" t="str">
        <f>IF($C1072="","",IF($N1072="","-",INDEX(SETUP!$B$46:$B$51,MATCH($N1072,SETUP!$A$46:$A$51,1))))</f>
        <v>C</v>
      </c>
      <c r="P1072" s="15">
        <f>IF($C1072="","",IF($I1072="","",RANK($I1072,$I$4:$I$1463)+COUNTIF($I$4:$I1072,$I1072)-1))</f>
        <v>1223</v>
      </c>
      <c r="Q1072" s="15">
        <f>IF($C1072="","",COUNTIFS($B$4:$B$1463,$B1072,$X$4:$X$1463,"&gt;"&amp;$X1072)+COUNTIFS($B$4:$B1072,$B1072,$X$4:$X1072,"="&amp;$X1072))</f>
        <v>67</v>
      </c>
      <c r="R1072" s="72">
        <f>IF($C1072="","",IF($I1072="","",ROUND(COUNTIF($I$4:$I$1463,"&lt;"&amp;$I1072)/COUNT($I$4:$I$1463),3)))</f>
        <v>7.6999999999999999E-2</v>
      </c>
      <c r="S1072" s="15" t="str">
        <f>IF($C1072="","",IF($G1072="","Name only",IF(OR($I1072="",$L1072=""),"Partial","Complete")))</f>
        <v>Complete</v>
      </c>
      <c r="T1072" s="41" t="str">
        <f>IF($C1072="","",TRIM(IF(COUNTIF($C$4:$C$1463,$C1072)&gt;1,"Dup name; ","")&amp;IF(AND($G1072&lt;&gt;"",$G1072&lt;55000),"Low CR - verify; ","")&amp;IF(AND($L1072&lt;&gt;"",$L1072&gt;15),"Secondary - verify; ","")&amp;IF($E1072="","No class; ","")))</f>
        <v/>
      </c>
      <c r="U1072" s="68"/>
      <c r="V1072" s="68"/>
      <c r="W1072" s="68"/>
      <c r="X1072" s="73">
        <f t="shared" si="82"/>
        <v>1340</v>
      </c>
      <c r="Y1072" s="41" t="str">
        <f t="shared" si="83"/>
        <v>ZOMBIES|67</v>
      </c>
      <c r="Z1072" s="15">
        <f>IF($C1072="","",IF($G1072="","",RANK($G1072,$G$4:$G$1463)+COUNTIF($G$4:$G1072,$G1072)-1))</f>
        <v>1195</v>
      </c>
      <c r="AA1072" s="15">
        <f>IF($C1072="","",IF($N1072="","",RANK($N1072,$N$4:$N$1463)+COUNTIF($N$4:$N1072,$N1072)-1))</f>
        <v>1235</v>
      </c>
      <c r="AB1072" s="41" t="str">
        <f>IF($C1072="","",IF($E1072="","",$E1072&amp;"#"&amp;(COUNTIFS($E$4:$E$1463,$E1072,$X$4:$X$1463,"&gt;"&amp;$X1072)+COUNTIFS($E$4:$E1072,$E1072,$X$4:$X1072,"="&amp;$X1072))))</f>
        <v>CRUSADER#118</v>
      </c>
      <c r="AC1072" s="41" t="str">
        <f>IF($C1072="","",$B1072&amp;"@"&amp;(COUNTIFS($B$4:$B$1463,$B1072,$C$4:$C$1463,"&lt;"&amp;$C1072)+COUNTIFS($B$4:$B1072,$B1072,$C$4:$C1072,$C1072)))</f>
        <v>ZOMBIES@73</v>
      </c>
      <c r="AD1072" s="41">
        <f t="shared" si="84"/>
        <v>1069</v>
      </c>
      <c r="AE1072" s="41" t="s">
        <v>611</v>
      </c>
      <c r="AF1072" s="73">
        <f t="shared" si="85"/>
        <v>60596</v>
      </c>
      <c r="AG1072" s="74">
        <f t="shared" si="86"/>
        <v>3</v>
      </c>
      <c r="AH1072" s="41" t="str">
        <f>IF($C1072="","",$B1072&amp;"|"&amp;(COUNTIFS($B$4:$B$1463,$B1072,$AF$4:$AF$1463,"&gt;"&amp;$AF1072)+COUNTIFS($B$4:$B1072,$B1072,$AF$4:$AF1072,"="&amp;$AF1072)))</f>
        <v>ZOMBIES|67</v>
      </c>
      <c r="AI1072" s="41" t="str">
        <f>IF($C1072="","",$B1072&amp;"|"&amp;(COUNTIFS($B$4:$B$1463,$B1072,$AG$4:$AG$1463,"&gt;"&amp;$AG1072)+COUNTIFS($B$4:$B1072,$B1072,$AG$4:$AG1072,"="&amp;$AG1072)))</f>
        <v>ZOMBIES|74</v>
      </c>
    </row>
    <row r="1073" spans="1:35" hidden="1">
      <c r="A1073" s="69" t="s">
        <v>106</v>
      </c>
      <c r="B1073" s="69" t="s">
        <v>86</v>
      </c>
      <c r="C1073" s="63" t="s">
        <v>2350</v>
      </c>
      <c r="D1073" s="69"/>
      <c r="E1073" s="68" t="s">
        <v>79</v>
      </c>
      <c r="F1073" s="19" t="str">
        <f>IF($C1073="","",IF($E1073="","-",IFERROR(INDEX(SETUP!$B$55:$B$64,MATCH($E1073,SETUP!$A$55:$A$64,0)),"Other")))</f>
        <v>Control</v>
      </c>
      <c r="G1073" s="70">
        <v>62838</v>
      </c>
      <c r="H1073" s="19" t="str">
        <f>IF($C1073="","",IF($G1073="","-",INDEX(SETUP!$B$26:$B$32,MATCH($G1073,SETUP!$A$26:$A$32,1))))</f>
        <v>62,000 - 62,999</v>
      </c>
      <c r="I1073" s="70">
        <v>3768</v>
      </c>
      <c r="J1073" s="19" t="str">
        <f>IF($C1073="","",IF($I1073="","-",INDEX(SETUP!$B$16:$B$22,MATCH($I1073,SETUP!$A$16:$A$22,1))))</f>
        <v>DEVELOPING</v>
      </c>
      <c r="K1073" s="19" t="str">
        <f>IF($C1073="","",IF($I1073="","-",TEXT(INT($I1073/1000)*1000,"#,##0")&amp;" - "&amp;TEXT(INT($I1073/1000)*1000+999,"#,##0")))</f>
        <v>3,000 - 3,999</v>
      </c>
      <c r="L1073" s="71">
        <v>5.5</v>
      </c>
      <c r="M1073" s="19" t="str">
        <f>IF($C1073="","",IF($L1073="","-",INDEX(SETUP!$B$36:$B$42,MATCH($L1073,SETUP!$A$36:$A$42,1))))</f>
        <v>5k - 6k</v>
      </c>
      <c r="N1073" s="21">
        <f>IF($C1073="","",IF(OR($G1073="",$I1073=""),"",ROUND(100*(SETUP!$B$4*MIN(1,$I1073/SETUP!$B$9)+SETUP!$B$5*MAX(0,MIN(1,($G1073-SETUP!$B$10)/(SETUP!$B$11-SETUP!$B$10)))+SETUP!$B$6*MIN(1,IF($L1073="",0,$L1073)/SETUP!$B$12)),1)))</f>
        <v>46.2</v>
      </c>
      <c r="O1073" s="19" t="str">
        <f>IF($C1073="","",IF($N1073="","-",INDEX(SETUP!$B$46:$B$51,MATCH($N1073,SETUP!$A$46:$A$51,1))))</f>
        <v>B</v>
      </c>
      <c r="P1073" s="19">
        <f>IF($C1073="","",IF($I1073="","",RANK($I1073,$I$4:$I$1463)+COUNTIF($I$4:$I1073,$I1073)-1))</f>
        <v>655</v>
      </c>
      <c r="Q1073" s="19">
        <f>IF($C1073="","",COUNTIFS($B$4:$B$1463,$B1073,$X$4:$X$1463,"&gt;"&amp;$X1073)+COUNTIFS($B$4:$B1073,$B1073,$X$4:$X1073,"="&amp;$X1073))</f>
        <v>83</v>
      </c>
      <c r="R1073" s="75">
        <f>IF($C1073="","",IF($I1073="","",ROUND(COUNTIF($I$4:$I$1463,"&lt;"&amp;$I1073)/COUNT($I$4:$I$1463),3)))</f>
        <v>0.50600000000000001</v>
      </c>
      <c r="S1073" s="19" t="str">
        <f>IF($C1073="","",IF($G1073="","Name only",IF(OR($I1073="",$L1073=""),"Partial","Complete")))</f>
        <v>Complete</v>
      </c>
      <c r="T1073" s="1" t="str">
        <f>IF($C1073="","",TRIM(IF(COUNTIF($C$4:$C$1463,$C1073)&gt;1,"Dup name; ","")&amp;IF(AND($G1073&lt;&gt;"",$G1073&lt;55000),"Low CR - verify; ","")&amp;IF(AND($L1073&lt;&gt;"",$L1073&gt;15),"Secondary - verify; ","")&amp;IF($E1073="","No class; ","")))</f>
        <v/>
      </c>
      <c r="U1073" s="68"/>
      <c r="V1073" s="68"/>
      <c r="W1073" s="68"/>
      <c r="X1073" s="76">
        <f t="shared" si="82"/>
        <v>3768</v>
      </c>
      <c r="Y1073" s="1" t="str">
        <f t="shared" si="83"/>
        <v>VANGUARD|83</v>
      </c>
      <c r="Z1073" s="19">
        <f>IF($C1073="","",IF($G1073="","",RANK($G1073,$G$4:$G$1463)+COUNTIF($G$4:$G1073,$G1073)-1))</f>
        <v>505</v>
      </c>
      <c r="AA1073" s="19">
        <f>IF($C1073="","",IF($N1073="","",RANK($N1073,$N$4:$N$1463)+COUNTIF($N$4:$N1073,$N1073)-1))</f>
        <v>584</v>
      </c>
      <c r="AB1073" s="1" t="str">
        <f>IF($C1073="","",IF($E1073="","",$E1073&amp;"#"&amp;(COUNTIFS($E$4:$E$1463,$E1073,$X$4:$X$1463,"&gt;"&amp;$X1073)+COUNTIFS($E$4:$E1073,$E1073,$X$4:$X1073,"="&amp;$X1073))))</f>
        <v>WARLOCK#157</v>
      </c>
      <c r="AC1073" s="1" t="str">
        <f>IF($C1073="","",$B1073&amp;"@"&amp;(COUNTIFS($B$4:$B$1463,$B1073,$C$4:$C$1463,"&lt;"&amp;$C1073)+COUNTIFS($B$4:$B1073,$B1073,$C$4:$C1073,$C1073)))</f>
        <v>VANGUARD@78</v>
      </c>
      <c r="AD1073" s="1">
        <f t="shared" si="84"/>
        <v>1070</v>
      </c>
      <c r="AE1073" s="1" t="s">
        <v>602</v>
      </c>
      <c r="AF1073" s="76">
        <f t="shared" si="85"/>
        <v>62838</v>
      </c>
      <c r="AG1073" s="77">
        <f t="shared" si="86"/>
        <v>5.5</v>
      </c>
      <c r="AH1073" s="1" t="str">
        <f>IF($C1073="","",$B1073&amp;"|"&amp;(COUNTIFS($B$4:$B$1463,$B1073,$AF$4:$AF$1463,"&gt;"&amp;$AF1073)+COUNTIFS($B$4:$B1073,$B1073,$AF$4:$AF1073,"="&amp;$AF1073)))</f>
        <v>VANGUARD|72</v>
      </c>
      <c r="AI1073" s="1" t="str">
        <f>IF($C1073="","",$B1073&amp;"|"&amp;(COUNTIFS($B$4:$B$1463,$B1073,$AG$4:$AG$1463,"&gt;"&amp;$AG1073)+COUNTIFS($B$4:$B1073,$B1073,$AG$4:$AG1073,"="&amp;$AG1073)))</f>
        <v>VANGUARD|55</v>
      </c>
    </row>
    <row r="1074" spans="1:35" hidden="1">
      <c r="A1074" s="69" t="s">
        <v>109</v>
      </c>
      <c r="B1074" s="69" t="s">
        <v>115</v>
      </c>
      <c r="C1074" s="63" t="s">
        <v>2351</v>
      </c>
      <c r="D1074" s="69"/>
      <c r="E1074" s="68" t="s">
        <v>75</v>
      </c>
      <c r="F1074" s="15" t="str">
        <f>IF($C1074="","",IF($E1074="","-",IFERROR(INDEX(SETUP!$B$55:$B$64,MATCH($E1074,SETUP!$A$55:$A$64,0)),"Other")))</f>
        <v>Support</v>
      </c>
      <c r="G1074" s="70">
        <v>61240</v>
      </c>
      <c r="H1074" s="15" t="str">
        <f>IF($C1074="","",IF($G1074="","-",INDEX(SETUP!$B$26:$B$32,MATCH($G1074,SETUP!$A$26:$A$32,1))))</f>
        <v>61,000 - 61,999</v>
      </c>
      <c r="I1074" s="70">
        <v>1010</v>
      </c>
      <c r="J1074" s="15" t="str">
        <f>IF($C1074="","",IF($I1074="","-",INDEX(SETUP!$B$16:$B$22,MATCH($I1074,SETUP!$A$16:$A$22,1))))</f>
        <v>ROOKIE</v>
      </c>
      <c r="K1074" s="15" t="str">
        <f>IF($C1074="","",IF($I1074="","-",TEXT(INT($I1074/1000)*1000,"#,##0")&amp;" - "&amp;TEXT(INT($I1074/1000)*1000+999,"#,##0")))</f>
        <v>1,000 - 1,999</v>
      </c>
      <c r="L1074" s="71">
        <v>2.8</v>
      </c>
      <c r="M1074" s="15" t="str">
        <f>IF($C1074="","",IF($L1074="","-",INDEX(SETUP!$B$36:$B$42,MATCH($L1074,SETUP!$A$36:$A$42,1))))</f>
        <v>Under 3k</v>
      </c>
      <c r="N1074" s="17">
        <f>IF($C1074="","",IF(OR($G1074="",$I1074=""),"",ROUND(100*(SETUP!$B$4*MIN(1,$I1074/SETUP!$B$9)+SETUP!$B$5*MAX(0,MIN(1,($G1074-SETUP!$B$10)/(SETUP!$B$11-SETUP!$B$10)))+SETUP!$B$6*MIN(1,IF($L1074="",0,$L1074)/SETUP!$B$12)),1)))</f>
        <v>25.5</v>
      </c>
      <c r="O1074" s="15" t="str">
        <f>IF($C1074="","",IF($N1074="","-",INDEX(SETUP!$B$46:$B$51,MATCH($N1074,SETUP!$A$46:$A$51,1))))</f>
        <v>C</v>
      </c>
      <c r="P1074" s="15">
        <f>IF($C1074="","",IF($I1074="","",RANK($I1074,$I$4:$I$1463)+COUNTIF($I$4:$I1074,$I1074)-1))</f>
        <v>1272</v>
      </c>
      <c r="Q1074" s="15">
        <f>IF($C1074="","",COUNTIFS($B$4:$B$1463,$B1074,$X$4:$X$1463,"&gt;"&amp;$X1074)+COUNTIFS($B$4:$B1074,$B1074,$X$4:$X1074,"="&amp;$X1074))</f>
        <v>62</v>
      </c>
      <c r="R1074" s="72">
        <f>IF($C1074="","",IF($I1074="","",ROUND(COUNTIF($I$4:$I$1463,"&lt;"&amp;$I1074)/COUNT($I$4:$I$1463),3)))</f>
        <v>0.04</v>
      </c>
      <c r="S1074" s="15" t="str">
        <f>IF($C1074="","",IF($G1074="","Name only",IF(OR($I1074="",$L1074=""),"Partial","Complete")))</f>
        <v>Complete</v>
      </c>
      <c r="T1074" s="41" t="str">
        <f>IF($C1074="","",TRIM(IF(COUNTIF($C$4:$C$1463,$C1074)&gt;1,"Dup name; ","")&amp;IF(AND($G1074&lt;&gt;"",$G1074&lt;55000),"Low CR - verify; ","")&amp;IF(AND($L1074&lt;&gt;"",$L1074&gt;15),"Secondary - verify; ","")&amp;IF($E1074="","No class; ","")))</f>
        <v/>
      </c>
      <c r="U1074" s="68"/>
      <c r="V1074" s="68"/>
      <c r="W1074" s="68"/>
      <c r="X1074" s="73">
        <f t="shared" si="82"/>
        <v>1010</v>
      </c>
      <c r="Y1074" s="41" t="str">
        <f t="shared" si="83"/>
        <v>SUB ROSA|62</v>
      </c>
      <c r="Z1074" s="15">
        <f>IF($C1074="","",IF($G1074="","",RANK($G1074,$G$4:$G$1463)+COUNTIF($G$4:$G1074,$G1074)-1))</f>
        <v>1074</v>
      </c>
      <c r="AA1074" s="15">
        <f>IF($C1074="","",IF($N1074="","",RANK($N1074,$N$4:$N$1463)+COUNTIF($N$4:$N1074,$N1074)-1))</f>
        <v>1238</v>
      </c>
      <c r="AB1074" s="41" t="str">
        <f>IF($C1074="","",IF($E1074="","",$E1074&amp;"#"&amp;(COUNTIFS($E$4:$E$1463,$E1074,$X$4:$X$1463,"&gt;"&amp;$X1074)+COUNTIFS($E$4:$E1074,$E1074,$X$4:$X1074,"="&amp;$X1074))))</f>
        <v>DRUID#67</v>
      </c>
      <c r="AC1074" s="41" t="str">
        <f>IF($C1074="","",$B1074&amp;"@"&amp;(COUNTIFS($B$4:$B$1463,$B1074,$C$4:$C$1463,"&lt;"&amp;$C1074)+COUNTIFS($B$4:$B1074,$B1074,$C$4:$C1074,$C1074)))</f>
        <v>SUB ROSA@76</v>
      </c>
      <c r="AD1074" s="41">
        <f t="shared" si="84"/>
        <v>1071</v>
      </c>
      <c r="AE1074" s="41" t="s">
        <v>1783</v>
      </c>
      <c r="AF1074" s="73">
        <f t="shared" si="85"/>
        <v>61240</v>
      </c>
      <c r="AG1074" s="74">
        <f t="shared" si="86"/>
        <v>2.8</v>
      </c>
      <c r="AH1074" s="41" t="str">
        <f>IF($C1074="","",$B1074&amp;"|"&amp;(COUNTIFS($B$4:$B$1463,$B1074,$AF$4:$AF$1463,"&gt;"&amp;$AF1074)+COUNTIFS($B$4:$B1074,$B1074,$AF$4:$AF1074,"="&amp;$AF1074)))</f>
        <v>SUB ROSA|49</v>
      </c>
      <c r="AI1074" s="41" t="str">
        <f>IF($C1074="","",$B1074&amp;"|"&amp;(COUNTIFS($B$4:$B$1463,$B1074,$AG$4:$AG$1463,"&gt;"&amp;$AG1074)+COUNTIFS($B$4:$B1074,$B1074,$AG$4:$AG1074,"="&amp;$AG1074)))</f>
        <v>SUB ROSA|61</v>
      </c>
    </row>
    <row r="1075" spans="1:35" hidden="1">
      <c r="A1075" s="69" t="s">
        <v>109</v>
      </c>
      <c r="B1075" s="69" t="s">
        <v>112</v>
      </c>
      <c r="C1075" s="63" t="s">
        <v>2352</v>
      </c>
      <c r="D1075" s="69" t="s">
        <v>567</v>
      </c>
      <c r="E1075" s="68" t="s">
        <v>80</v>
      </c>
      <c r="F1075" s="19" t="str">
        <f>IF($C1075="","",IF($E1075="","-",IFERROR(INDEX(SETUP!$B$55:$B$64,MATCH($E1075,SETUP!$A$55:$A$64,0)),"Other")))</f>
        <v>Ranged DPS</v>
      </c>
      <c r="G1075" s="70">
        <v>63156</v>
      </c>
      <c r="H1075" s="19" t="str">
        <f>IF($C1075="","",IF($G1075="","-",INDEX(SETUP!$B$26:$B$32,MATCH($G1075,SETUP!$A$26:$A$32,1))))</f>
        <v>63,000 - 63,999</v>
      </c>
      <c r="I1075" s="70">
        <v>7497</v>
      </c>
      <c r="J1075" s="19" t="str">
        <f>IF($C1075="","",IF($I1075="","-",INDEX(SETUP!$B$16:$B$22,MATCH($I1075,SETUP!$A$16:$A$22,1))))</f>
        <v>VETERAN</v>
      </c>
      <c r="K1075" s="19" t="str">
        <f>IF($C1075="","",IF($I1075="","-",TEXT(INT($I1075/1000)*1000,"#,##0")&amp;" - "&amp;TEXT(INT($I1075/1000)*1000+999,"#,##0")))</f>
        <v>7,000 - 7,999</v>
      </c>
      <c r="L1075" s="71">
        <v>8.1</v>
      </c>
      <c r="M1075" s="19" t="str">
        <f>IF($C1075="","",IF($L1075="","-",INDEX(SETUP!$B$36:$B$42,MATCH($L1075,SETUP!$A$36:$A$42,1))))</f>
        <v>8k - 10k</v>
      </c>
      <c r="N1075" s="21">
        <f>IF($C1075="","",IF(OR($G1075="",$I1075=""),"",ROUND(100*(SETUP!$B$4*MIN(1,$I1075/SETUP!$B$9)+SETUP!$B$5*MAX(0,MIN(1,($G1075-SETUP!$B$10)/(SETUP!$B$11-SETUP!$B$10)))+SETUP!$B$6*MIN(1,IF($L1075="",0,$L1075)/SETUP!$B$12)),1)))</f>
        <v>67.7</v>
      </c>
      <c r="O1075" s="19" t="str">
        <f>IF($C1075="","",IF($N1075="","-",INDEX(SETUP!$B$46:$B$51,MATCH($N1075,SETUP!$A$46:$A$51,1))))</f>
        <v>S</v>
      </c>
      <c r="P1075" s="19">
        <f>IF($C1075="","",IF($I1075="","",RANK($I1075,$I$4:$I$1463)+COUNTIF($I$4:$I1075,$I1075)-1))</f>
        <v>170</v>
      </c>
      <c r="Q1075" s="19">
        <f>IF($C1075="","",COUNTIFS($B$4:$B$1463,$B1075,$X$4:$X$1463,"&gt;"&amp;$X1075)+COUNTIFS($B$4:$B1075,$B1075,$X$4:$X1075,"="&amp;$X1075))</f>
        <v>7</v>
      </c>
      <c r="R1075" s="75">
        <f>IF($C1075="","",IF($I1075="","",ROUND(COUNTIF($I$4:$I$1463,"&lt;"&amp;$I1075)/COUNT($I$4:$I$1463),3)))</f>
        <v>0.872</v>
      </c>
      <c r="S1075" s="19" t="str">
        <f>IF($C1075="","",IF($G1075="","Name only",IF(OR($I1075="",$L1075=""),"Partial","Complete")))</f>
        <v>Complete</v>
      </c>
      <c r="T1075" s="1" t="str">
        <f>IF($C1075="","",TRIM(IF(COUNTIF($C$4:$C$1463,$C1075)&gt;1,"Dup name; ","")&amp;IF(AND($G1075&lt;&gt;"",$G1075&lt;55000),"Low CR - verify; ","")&amp;IF(AND($L1075&lt;&gt;"",$L1075&gt;15),"Secondary - verify; ","")&amp;IF($E1075="","No class; ","")))</f>
        <v/>
      </c>
      <c r="U1075" s="68"/>
      <c r="V1075" s="68"/>
      <c r="W1075" s="68"/>
      <c r="X1075" s="76">
        <f t="shared" si="82"/>
        <v>7497</v>
      </c>
      <c r="Y1075" s="1" t="str">
        <f t="shared" si="83"/>
        <v>ACHERON|7</v>
      </c>
      <c r="Z1075" s="19">
        <f>IF($C1075="","",IF($G1075="","",RANK($G1075,$G$4:$G$1463)+COUNTIF($G$4:$G1075,$G1075)-1))</f>
        <v>341</v>
      </c>
      <c r="AA1075" s="19">
        <f>IF($C1075="","",IF($N1075="","",RANK($N1075,$N$4:$N$1463)+COUNTIF($N$4:$N1075,$N1075)-1))</f>
        <v>149</v>
      </c>
      <c r="AB1075" s="1" t="str">
        <f>IF($C1075="","",IF($E1075="","",$E1075&amp;"#"&amp;(COUNTIFS($E$4:$E$1463,$E1075,$X$4:$X$1463,"&gt;"&amp;$X1075)+COUNTIFS($E$4:$E1075,$E1075,$X$4:$X1075,"="&amp;$X1075))))</f>
        <v>WIZARD#11</v>
      </c>
      <c r="AC1075" s="1" t="str">
        <f>IF($C1075="","",$B1075&amp;"@"&amp;(COUNTIFS($B$4:$B$1463,$B1075,$C$4:$C$1463,"&lt;"&amp;$C1075)+COUNTIFS($B$4:$B1075,$B1075,$C$4:$C1075,$C1075)))</f>
        <v>ACHERON@72</v>
      </c>
      <c r="AD1075" s="1">
        <f t="shared" si="84"/>
        <v>1072</v>
      </c>
      <c r="AE1075" s="1" t="s">
        <v>2353</v>
      </c>
      <c r="AF1075" s="76">
        <f t="shared" si="85"/>
        <v>63156</v>
      </c>
      <c r="AG1075" s="77">
        <f t="shared" si="86"/>
        <v>8.1</v>
      </c>
      <c r="AH1075" s="1" t="str">
        <f>IF($C1075="","",$B1075&amp;"|"&amp;(COUNTIFS($B$4:$B$1463,$B1075,$AF$4:$AF$1463,"&gt;"&amp;$AF1075)+COUNTIFS($B$4:$B1075,$B1075,$AF$4:$AF1075,"="&amp;$AF1075)))</f>
        <v>ACHERON|26</v>
      </c>
      <c r="AI1075" s="1" t="str">
        <f>IF($C1075="","",$B1075&amp;"|"&amp;(COUNTIFS($B$4:$B$1463,$B1075,$AG$4:$AG$1463,"&gt;"&amp;$AG1075)+COUNTIFS($B$4:$B1075,$B1075,$AG$4:$AG1075,"="&amp;$AG1075)))</f>
        <v>ACHERON|4</v>
      </c>
    </row>
    <row r="1076" spans="1:35" hidden="1">
      <c r="A1076" s="69" t="s">
        <v>106</v>
      </c>
      <c r="B1076" s="69" t="s">
        <v>86</v>
      </c>
      <c r="C1076" s="63" t="s">
        <v>2354</v>
      </c>
      <c r="D1076" s="69"/>
      <c r="E1076" s="68" t="s">
        <v>74</v>
      </c>
      <c r="F1076" s="15" t="str">
        <f>IF($C1076="","",IF($E1076="","-",IFERROR(INDEX(SETUP!$B$55:$B$64,MATCH($E1076,SETUP!$A$55:$A$64,0)),"Other")))</f>
        <v>Ranged DPS</v>
      </c>
      <c r="G1076" s="70">
        <v>63169</v>
      </c>
      <c r="H1076" s="15" t="str">
        <f>IF($C1076="","",IF($G1076="","-",INDEX(SETUP!$B$26:$B$32,MATCH($G1076,SETUP!$A$26:$A$32,1))))</f>
        <v>63,000 - 63,999</v>
      </c>
      <c r="I1076" s="70">
        <v>6009</v>
      </c>
      <c r="J1076" s="15" t="str">
        <f>IF($C1076="","",IF($I1076="","-",INDEX(SETUP!$B$16:$B$22,MATCH($I1076,SETUP!$A$16:$A$22,1))))</f>
        <v>VETERAN</v>
      </c>
      <c r="K1076" s="15" t="str">
        <f>IF($C1076="","",IF($I1076="","-",TEXT(INT($I1076/1000)*1000,"#,##0")&amp;" - "&amp;TEXT(INT($I1076/1000)*1000+999,"#,##0")))</f>
        <v>6,000 - 6,999</v>
      </c>
      <c r="L1076" s="71">
        <v>5.0999999999999996</v>
      </c>
      <c r="M1076" s="15" t="str">
        <f>IF($C1076="","",IF($L1076="","-",INDEX(SETUP!$B$36:$B$42,MATCH($L1076,SETUP!$A$36:$A$42,1))))</f>
        <v>5k - 6k</v>
      </c>
      <c r="N1076" s="17">
        <f>IF($C1076="","",IF(OR($G1076="",$I1076=""),"",ROUND(100*(SETUP!$B$4*MIN(1,$I1076/SETUP!$B$9)+SETUP!$B$5*MAX(0,MIN(1,($G1076-SETUP!$B$10)/(SETUP!$B$11-SETUP!$B$10)))+SETUP!$B$6*MIN(1,IF($L1076="",0,$L1076)/SETUP!$B$12)),1)))</f>
        <v>56.2</v>
      </c>
      <c r="O1076" s="15" t="str">
        <f>IF($C1076="","",IF($N1076="","-",INDEX(SETUP!$B$46:$B$51,MATCH($N1076,SETUP!$A$46:$A$51,1))))</f>
        <v>A</v>
      </c>
      <c r="P1076" s="15">
        <f>IF($C1076="","",IF($I1076="","",RANK($I1076,$I$4:$I$1463)+COUNTIF($I$4:$I1076,$I1076)-1))</f>
        <v>287</v>
      </c>
      <c r="Q1076" s="15">
        <f>IF($C1076="","",COUNTIFS($B$4:$B$1463,$B1076,$X$4:$X$1463,"&gt;"&amp;$X1076)+COUNTIFS($B$4:$B1076,$B1076,$X$4:$X1076,"="&amp;$X1076))</f>
        <v>58</v>
      </c>
      <c r="R1076" s="72">
        <f>IF($C1076="","",IF($I1076="","",ROUND(COUNTIF($I$4:$I$1463,"&lt;"&amp;$I1076)/COUNT($I$4:$I$1463),3)))</f>
        <v>0.78300000000000003</v>
      </c>
      <c r="S1076" s="15" t="str">
        <f>IF($C1076="","",IF($G1076="","Name only",IF(OR($I1076="",$L1076=""),"Partial","Complete")))</f>
        <v>Complete</v>
      </c>
      <c r="T1076" s="41" t="str">
        <f>IF($C1076="","",TRIM(IF(COUNTIF($C$4:$C$1463,$C1076)&gt;1,"Dup name; ","")&amp;IF(AND($G1076&lt;&gt;"",$G1076&lt;55000),"Low CR - verify; ","")&amp;IF(AND($L1076&lt;&gt;"",$L1076&gt;15),"Secondary - verify; ","")&amp;IF($E1076="","No class; ","")))</f>
        <v/>
      </c>
      <c r="U1076" s="68"/>
      <c r="V1076" s="68"/>
      <c r="W1076" s="68"/>
      <c r="X1076" s="73">
        <f t="shared" si="82"/>
        <v>6009</v>
      </c>
      <c r="Y1076" s="41" t="str">
        <f t="shared" si="83"/>
        <v>VANGUARD|58</v>
      </c>
      <c r="Z1076" s="15">
        <f>IF($C1076="","",IF($G1076="","",RANK($G1076,$G$4:$G$1463)+COUNTIF($G$4:$G1076,$G1076)-1))</f>
        <v>332</v>
      </c>
      <c r="AA1076" s="15">
        <f>IF($C1076="","",IF($N1076="","",RANK($N1076,$N$4:$N$1463)+COUNTIF($N$4:$N1076,$N1076)-1))</f>
        <v>290</v>
      </c>
      <c r="AB1076" s="41" t="str">
        <f>IF($C1076="","",IF($E1076="","",$E1076&amp;"#"&amp;(COUNTIFS($E$4:$E$1463,$E1076,$X$4:$X$1463,"&gt;"&amp;$X1076)+COUNTIFS($E$4:$E1076,$E1076,$X$4:$X1076,"="&amp;$X1076))))</f>
        <v>DEMON HUNTER#47</v>
      </c>
      <c r="AC1076" s="41" t="str">
        <f>IF($C1076="","",$B1076&amp;"@"&amp;(COUNTIFS($B$4:$B$1463,$B1076,$C$4:$C$1463,"&lt;"&amp;$C1076)+COUNTIFS($B$4:$B1076,$B1076,$C$4:$C1076,$C1076)))</f>
        <v>VANGUARD@79</v>
      </c>
      <c r="AD1076" s="41">
        <f t="shared" si="84"/>
        <v>1073</v>
      </c>
      <c r="AE1076" s="41" t="s">
        <v>559</v>
      </c>
      <c r="AF1076" s="73">
        <f t="shared" si="85"/>
        <v>63169</v>
      </c>
      <c r="AG1076" s="74">
        <f t="shared" si="86"/>
        <v>5.0999999999999996</v>
      </c>
      <c r="AH1076" s="41" t="str">
        <f>IF($C1076="","",$B1076&amp;"|"&amp;(COUNTIFS($B$4:$B$1463,$B1076,$AF$4:$AF$1463,"&gt;"&amp;$AF1076)+COUNTIFS($B$4:$B1076,$B1076,$AF$4:$AF1076,"="&amp;$AF1076)))</f>
        <v>VANGUARD|52</v>
      </c>
      <c r="AI1076" s="41" t="str">
        <f>IF($C1076="","",$B1076&amp;"|"&amp;(COUNTIFS($B$4:$B$1463,$B1076,$AG$4:$AG$1463,"&gt;"&amp;$AG1076)+COUNTIFS($B$4:$B1076,$B1076,$AG$4:$AG1076,"="&amp;$AG1076)))</f>
        <v>VANGUARD|66</v>
      </c>
    </row>
    <row r="1077" spans="1:35" hidden="1">
      <c r="A1077" s="69" t="s">
        <v>109</v>
      </c>
      <c r="B1077" s="69" t="s">
        <v>118</v>
      </c>
      <c r="C1077" s="63" t="s">
        <v>2355</v>
      </c>
      <c r="D1077" s="69"/>
      <c r="E1077" s="68" t="s">
        <v>80</v>
      </c>
      <c r="F1077" s="19" t="str">
        <f>IF($C1077="","",IF($E1077="","-",IFERROR(INDEX(SETUP!$B$55:$B$64,MATCH($E1077,SETUP!$A$55:$A$64,0)),"Other")))</f>
        <v>Ranged DPS</v>
      </c>
      <c r="G1077" s="70">
        <v>62866</v>
      </c>
      <c r="H1077" s="19" t="str">
        <f>IF($C1077="","",IF($G1077="","-",INDEX(SETUP!$B$26:$B$32,MATCH($G1077,SETUP!$A$26:$A$32,1))))</f>
        <v>62,000 - 62,999</v>
      </c>
      <c r="I1077" s="70">
        <v>2203</v>
      </c>
      <c r="J1077" s="19" t="str">
        <f>IF($C1077="","",IF($I1077="","-",INDEX(SETUP!$B$16:$B$22,MATCH($I1077,SETUP!$A$16:$A$22,1))))</f>
        <v>DEVELOPING</v>
      </c>
      <c r="K1077" s="19" t="str">
        <f>IF($C1077="","",IF($I1077="","-",TEXT(INT($I1077/1000)*1000,"#,##0")&amp;" - "&amp;TEXT(INT($I1077/1000)*1000+999,"#,##0")))</f>
        <v>2,000 - 2,999</v>
      </c>
      <c r="L1077" s="71">
        <v>4.8499999999999996</v>
      </c>
      <c r="M1077" s="19" t="str">
        <f>IF($C1077="","",IF($L1077="","-",INDEX(SETUP!$B$36:$B$42,MATCH($L1077,SETUP!$A$36:$A$42,1))))</f>
        <v>4k - 5k</v>
      </c>
      <c r="N1077" s="21">
        <f>IF($C1077="","",IF(OR($G1077="",$I1077=""),"",ROUND(100*(SETUP!$B$4*MIN(1,$I1077/SETUP!$B$9)+SETUP!$B$5*MAX(0,MIN(1,($G1077-SETUP!$B$10)/(SETUP!$B$11-SETUP!$B$10)))+SETUP!$B$6*MIN(1,IF($L1077="",0,$L1077)/SETUP!$B$12)),1)))</f>
        <v>38.4</v>
      </c>
      <c r="O1077" s="19" t="str">
        <f>IF($C1077="","",IF($N1077="","-",INDEX(SETUP!$B$46:$B$51,MATCH($N1077,SETUP!$A$46:$A$51,1))))</f>
        <v>B</v>
      </c>
      <c r="P1077" s="19">
        <f>IF($C1077="","",IF($I1077="","",RANK($I1077,$I$4:$I$1463)+COUNTIF($I$4:$I1077,$I1077)-1))</f>
        <v>1064</v>
      </c>
      <c r="Q1077" s="19">
        <f>IF($C1077="","",COUNTIFS($B$4:$B$1463,$B1077,$X$4:$X$1463,"&gt;"&amp;$X1077)+COUNTIFS($B$4:$B1077,$B1077,$X$4:$X1077,"="&amp;$X1077))</f>
        <v>35</v>
      </c>
      <c r="R1077" s="75">
        <f>IF($C1077="","",IF($I1077="","",ROUND(COUNTIF($I$4:$I$1463,"&lt;"&amp;$I1077)/COUNT($I$4:$I$1463),3)))</f>
        <v>0.19700000000000001</v>
      </c>
      <c r="S1077" s="19" t="str">
        <f>IF($C1077="","",IF($G1077="","Name only",IF(OR($I1077="",$L1077=""),"Partial","Complete")))</f>
        <v>Complete</v>
      </c>
      <c r="T1077" s="1" t="str">
        <f>IF($C1077="","",TRIM(IF(COUNTIF($C$4:$C$1463,$C1077)&gt;1,"Dup name; ","")&amp;IF(AND($G1077&lt;&gt;"",$G1077&lt;55000),"Low CR - verify; ","")&amp;IF(AND($L1077&lt;&gt;"",$L1077&gt;15),"Secondary - verify; ","")&amp;IF($E1077="","No class; ","")))</f>
        <v/>
      </c>
      <c r="U1077" s="68"/>
      <c r="V1077" s="68"/>
      <c r="W1077" s="68"/>
      <c r="X1077" s="76">
        <f t="shared" si="82"/>
        <v>2203</v>
      </c>
      <c r="Y1077" s="1" t="str">
        <f t="shared" si="83"/>
        <v>ZOMBIES|35</v>
      </c>
      <c r="Z1077" s="19">
        <f>IF($C1077="","",IF($G1077="","",RANK($G1077,$G$4:$G$1463)+COUNTIF($G$4:$G1077,$G1077)-1))</f>
        <v>489</v>
      </c>
      <c r="AA1077" s="19">
        <f>IF($C1077="","",IF($N1077="","",RANK($N1077,$N$4:$N$1463)+COUNTIF($N$4:$N1077,$N1077)-1))</f>
        <v>894</v>
      </c>
      <c r="AB1077" s="1" t="str">
        <f>IF($C1077="","",IF($E1077="","",$E1077&amp;"#"&amp;(COUNTIFS($E$4:$E$1463,$E1077,$X$4:$X$1463,"&gt;"&amp;$X1077)+COUNTIFS($E$4:$E1077,$E1077,$X$4:$X1077,"="&amp;$X1077))))</f>
        <v>WIZARD#76</v>
      </c>
      <c r="AC1077" s="1" t="str">
        <f>IF($C1077="","",$B1077&amp;"@"&amp;(COUNTIFS($B$4:$B$1463,$B1077,$C$4:$C$1463,"&lt;"&amp;$C1077)+COUNTIFS($B$4:$B1077,$B1077,$C$4:$C1077,$C1077)))</f>
        <v>ZOMBIES@74</v>
      </c>
      <c r="AD1077" s="1">
        <f t="shared" si="84"/>
        <v>1074</v>
      </c>
      <c r="AE1077" s="1" t="s">
        <v>2356</v>
      </c>
      <c r="AF1077" s="76">
        <f t="shared" si="85"/>
        <v>62866</v>
      </c>
      <c r="AG1077" s="77">
        <f t="shared" si="86"/>
        <v>4.8499999999999996</v>
      </c>
      <c r="AH1077" s="1" t="str">
        <f>IF($C1077="","",$B1077&amp;"|"&amp;(COUNTIFS($B$4:$B$1463,$B1077,$AF$4:$AF$1463,"&gt;"&amp;$AF1077)+COUNTIFS($B$4:$B1077,$B1077,$AF$4:$AF1077,"="&amp;$AF1077)))</f>
        <v>ZOMBIES|8</v>
      </c>
      <c r="AI1077" s="1" t="str">
        <f>IF($C1077="","",$B1077&amp;"|"&amp;(COUNTIFS($B$4:$B$1463,$B1077,$AG$4:$AG$1463,"&gt;"&amp;$AG1077)+COUNTIFS($B$4:$B1077,$B1077,$AG$4:$AG1077,"="&amp;$AG1077)))</f>
        <v>ZOMBIES|14</v>
      </c>
    </row>
    <row r="1078" spans="1:35" hidden="1">
      <c r="A1078" s="69" t="s">
        <v>106</v>
      </c>
      <c r="B1078" s="69" t="s">
        <v>105</v>
      </c>
      <c r="C1078" s="63" t="s">
        <v>2357</v>
      </c>
      <c r="D1078" s="69"/>
      <c r="E1078" s="68" t="s">
        <v>76</v>
      </c>
      <c r="F1078" s="15" t="str">
        <f>IF($C1078="","",IF($E1078="","-",IFERROR(INDEX(SETUP!$B$55:$B$64,MATCH($E1078,SETUP!$A$55:$A$64,0)),"Other")))</f>
        <v>Support</v>
      </c>
      <c r="G1078" s="70">
        <v>62807</v>
      </c>
      <c r="H1078" s="15" t="str">
        <f>IF($C1078="","",IF($G1078="","-",INDEX(SETUP!$B$26:$B$32,MATCH($G1078,SETUP!$A$26:$A$32,1))))</f>
        <v>62,000 - 62,999</v>
      </c>
      <c r="I1078" s="70">
        <v>4962</v>
      </c>
      <c r="J1078" s="15" t="str">
        <f>IF($C1078="","",IF($I1078="","-",INDEX(SETUP!$B$16:$B$22,MATCH($I1078,SETUP!$A$16:$A$22,1))))</f>
        <v>CORE</v>
      </c>
      <c r="K1078" s="15" t="str">
        <f>IF($C1078="","",IF($I1078="","-",TEXT(INT($I1078/1000)*1000,"#,##0")&amp;" - "&amp;TEXT(INT($I1078/1000)*1000+999,"#,##0")))</f>
        <v>4,000 - 4,999</v>
      </c>
      <c r="L1078" s="71">
        <v>5.41</v>
      </c>
      <c r="M1078" s="15" t="str">
        <f>IF($C1078="","",IF($L1078="","-",INDEX(SETUP!$B$36:$B$42,MATCH($L1078,SETUP!$A$36:$A$42,1))))</f>
        <v>5k - 6k</v>
      </c>
      <c r="N1078" s="17">
        <f>IF($C1078="","",IF(OR($G1078="",$I1078=""),"",ROUND(100*(SETUP!$B$4*MIN(1,$I1078/SETUP!$B$9)+SETUP!$B$5*MAX(0,MIN(1,($G1078-SETUP!$B$10)/(SETUP!$B$11-SETUP!$B$10)))+SETUP!$B$6*MIN(1,IF($L1078="",0,$L1078)/SETUP!$B$12)),1)))</f>
        <v>51.2</v>
      </c>
      <c r="O1078" s="15" t="str">
        <f>IF($C1078="","",IF($N1078="","-",INDEX(SETUP!$B$46:$B$51,MATCH($N1078,SETUP!$A$46:$A$51,1))))</f>
        <v>A</v>
      </c>
      <c r="P1078" s="15">
        <f>IF($C1078="","",IF($I1078="","",RANK($I1078,$I$4:$I$1463)+COUNTIF($I$4:$I1078,$I1078)-1))</f>
        <v>419</v>
      </c>
      <c r="Q1078" s="15">
        <f>IF($C1078="","",COUNTIFS($B$4:$B$1463,$B1078,$X$4:$X$1463,"&gt;"&amp;$X1078)+COUNTIFS($B$4:$B1078,$B1078,$X$4:$X1078,"="&amp;$X1078))</f>
        <v>53</v>
      </c>
      <c r="R1078" s="72">
        <f>IF($C1078="","",IF($I1078="","",ROUND(COUNTIF($I$4:$I$1463,"&lt;"&amp;$I1078)/COUNT($I$4:$I$1463),3)))</f>
        <v>0.68400000000000005</v>
      </c>
      <c r="S1078" s="15" t="str">
        <f>IF($C1078="","",IF($G1078="","Name only",IF(OR($I1078="",$L1078=""),"Partial","Complete")))</f>
        <v>Complete</v>
      </c>
      <c r="T1078" s="41" t="str">
        <f>IF($C1078="","",TRIM(IF(COUNTIF($C$4:$C$1463,$C1078)&gt;1,"Dup name; ","")&amp;IF(AND($G1078&lt;&gt;"",$G1078&lt;55000),"Low CR - verify; ","")&amp;IF(AND($L1078&lt;&gt;"",$L1078&gt;15),"Secondary - verify; ","")&amp;IF($E1078="","No class; ","")))</f>
        <v/>
      </c>
      <c r="U1078" s="68"/>
      <c r="V1078" s="68"/>
      <c r="W1078" s="68"/>
      <c r="X1078" s="73">
        <f t="shared" si="82"/>
        <v>4962</v>
      </c>
      <c r="Y1078" s="41" t="str">
        <f t="shared" si="83"/>
        <v>LEGENDS|53</v>
      </c>
      <c r="Z1078" s="15">
        <f>IF($C1078="","",IF($G1078="","",RANK($G1078,$G$4:$G$1463)+COUNTIF($G$4:$G1078,$G1078)-1))</f>
        <v>516</v>
      </c>
      <c r="AA1078" s="15">
        <f>IF($C1078="","",IF($N1078="","",RANK($N1078,$N$4:$N$1463)+COUNTIF($N$4:$N1078,$N1078)-1))</f>
        <v>419</v>
      </c>
      <c r="AB1078" s="41" t="str">
        <f>IF($C1078="","",IF($E1078="","",$E1078&amp;"#"&amp;(COUNTIFS($E$4:$E$1463,$E1078,$X$4:$X$1463,"&gt;"&amp;$X1078)+COUNTIFS($E$4:$E1078,$E1078,$X$4:$X1078,"="&amp;$X1078))))</f>
        <v>MONK#13</v>
      </c>
      <c r="AC1078" s="41" t="str">
        <f>IF($C1078="","",$B1078&amp;"@"&amp;(COUNTIFS($B$4:$B$1463,$B1078,$C$4:$C$1463,"&lt;"&amp;$C1078)+COUNTIFS($B$4:$B1078,$B1078,$C$4:$C1078,$C1078)))</f>
        <v>LEGENDS@84</v>
      </c>
      <c r="AD1078" s="41">
        <f t="shared" si="84"/>
        <v>1075</v>
      </c>
      <c r="AE1078" s="41" t="s">
        <v>2358</v>
      </c>
      <c r="AF1078" s="73">
        <f t="shared" si="85"/>
        <v>62807</v>
      </c>
      <c r="AG1078" s="74">
        <f t="shared" si="86"/>
        <v>5.41</v>
      </c>
      <c r="AH1078" s="41" t="str">
        <f>IF($C1078="","",$B1078&amp;"|"&amp;(COUNTIFS($B$4:$B$1463,$B1078,$AF$4:$AF$1463,"&gt;"&amp;$AF1078)+COUNTIFS($B$4:$B1078,$B1078,$AF$4:$AF1078,"="&amp;$AF1078)))</f>
        <v>LEGENDS|59</v>
      </c>
      <c r="AI1078" s="41" t="str">
        <f>IF($C1078="","",$B1078&amp;"|"&amp;(COUNTIFS($B$4:$B$1463,$B1078,$AG$4:$AG$1463,"&gt;"&amp;$AG1078)+COUNTIFS($B$4:$B1078,$B1078,$AG$4:$AG1078,"="&amp;$AG1078)))</f>
        <v>LEGENDS|42</v>
      </c>
    </row>
    <row r="1079" spans="1:35" hidden="1">
      <c r="A1079" s="69" t="s">
        <v>109</v>
      </c>
      <c r="B1079" s="69" t="s">
        <v>116</v>
      </c>
      <c r="C1079" s="63" t="s">
        <v>2359</v>
      </c>
      <c r="D1079" s="69" t="s">
        <v>530</v>
      </c>
      <c r="E1079" s="68" t="s">
        <v>79</v>
      </c>
      <c r="F1079" s="19" t="str">
        <f>IF($C1079="","",IF($E1079="","-",IFERROR(INDEX(SETUP!$B$55:$B$64,MATCH($E1079,SETUP!$A$55:$A$64,0)),"Other")))</f>
        <v>Control</v>
      </c>
      <c r="G1079" s="70">
        <v>62768</v>
      </c>
      <c r="H1079" s="19" t="str">
        <f>IF($C1079="","",IF($G1079="","-",INDEX(SETUP!$B$26:$B$32,MATCH($G1079,SETUP!$A$26:$A$32,1))))</f>
        <v>62,000 - 62,999</v>
      </c>
      <c r="I1079" s="70">
        <v>2681</v>
      </c>
      <c r="J1079" s="19" t="str">
        <f>IF($C1079="","",IF($I1079="","-",INDEX(SETUP!$B$16:$B$22,MATCH($I1079,SETUP!$A$16:$A$22,1))))</f>
        <v>DEVELOPING</v>
      </c>
      <c r="K1079" s="19" t="str">
        <f>IF($C1079="","",IF($I1079="","-",TEXT(INT($I1079/1000)*1000,"#,##0")&amp;" - "&amp;TEXT(INT($I1079/1000)*1000+999,"#,##0")))</f>
        <v>2,000 - 2,999</v>
      </c>
      <c r="L1079" s="71">
        <v>4.6500000000000004</v>
      </c>
      <c r="M1079" s="19" t="str">
        <f>IF($C1079="","",IF($L1079="","-",INDEX(SETUP!$B$36:$B$42,MATCH($L1079,SETUP!$A$36:$A$42,1))))</f>
        <v>4k - 5k</v>
      </c>
      <c r="N1079" s="21">
        <f>IF($C1079="","",IF(OR($G1079="",$I1079=""),"",ROUND(100*(SETUP!$B$4*MIN(1,$I1079/SETUP!$B$9)+SETUP!$B$5*MAX(0,MIN(1,($G1079-SETUP!$B$10)/(SETUP!$B$11-SETUP!$B$10)))+SETUP!$B$6*MIN(1,IF($L1079="",0,$L1079)/SETUP!$B$12)),1)))</f>
        <v>39.9</v>
      </c>
      <c r="O1079" s="19" t="str">
        <f>IF($C1079="","",IF($N1079="","-",INDEX(SETUP!$B$46:$B$51,MATCH($N1079,SETUP!$A$46:$A$51,1))))</f>
        <v>B</v>
      </c>
      <c r="P1079" s="19">
        <f>IF($C1079="","",IF($I1079="","",RANK($I1079,$I$4:$I$1463)+COUNTIF($I$4:$I1079,$I1079)-1))</f>
        <v>958</v>
      </c>
      <c r="Q1079" s="19">
        <f>IF($C1079="","",COUNTIFS($B$4:$B$1463,$B1079,$X$4:$X$1463,"&gt;"&amp;$X1079)+COUNTIFS($B$4:$B1079,$B1079,$X$4:$X1079,"="&amp;$X1079))</f>
        <v>65</v>
      </c>
      <c r="R1079" s="75">
        <f>IF($C1079="","",IF($I1079="","",ROUND(COUNTIF($I$4:$I$1463,"&lt;"&amp;$I1079)/COUNT($I$4:$I$1463),3)))</f>
        <v>0.27700000000000002</v>
      </c>
      <c r="S1079" s="19" t="str">
        <f>IF($C1079="","",IF($G1079="","Name only",IF(OR($I1079="",$L1079=""),"Partial","Complete")))</f>
        <v>Complete</v>
      </c>
      <c r="T1079" s="1" t="str">
        <f>IF($C1079="","",TRIM(IF(COUNTIF($C$4:$C$1463,$C1079)&gt;1,"Dup name; ","")&amp;IF(AND($G1079&lt;&gt;"",$G1079&lt;55000),"Low CR - verify; ","")&amp;IF(AND($L1079&lt;&gt;"",$L1079&gt;15),"Secondary - verify; ","")&amp;IF($E1079="","No class; ","")))</f>
        <v/>
      </c>
      <c r="U1079" s="68"/>
      <c r="V1079" s="68"/>
      <c r="W1079" s="68"/>
      <c r="X1079" s="76">
        <f t="shared" si="82"/>
        <v>2681</v>
      </c>
      <c r="Y1079" s="1" t="str">
        <f t="shared" si="83"/>
        <v>VENGEANCE|65</v>
      </c>
      <c r="Z1079" s="19">
        <f>IF($C1079="","",IF($G1079="","",RANK($G1079,$G$4:$G$1463)+COUNTIF($G$4:$G1079,$G1079)-1))</f>
        <v>533</v>
      </c>
      <c r="AA1079" s="19">
        <f>IF($C1079="","",IF($N1079="","",RANK($N1079,$N$4:$N$1463)+COUNTIF($N$4:$N1079,$N1079)-1))</f>
        <v>825</v>
      </c>
      <c r="AB1079" s="1" t="str">
        <f>IF($C1079="","",IF($E1079="","",$E1079&amp;"#"&amp;(COUNTIFS($E$4:$E$1463,$E1079,$X$4:$X$1463,"&gt;"&amp;$X1079)+COUNTIFS($E$4:$E1079,$E1079,$X$4:$X1079,"="&amp;$X1079))))</f>
        <v>WARLOCK#237</v>
      </c>
      <c r="AC1079" s="1" t="str">
        <f>IF($C1079="","",$B1079&amp;"@"&amp;(COUNTIFS($B$4:$B$1463,$B1079,$C$4:$C$1463,"&lt;"&amp;$C1079)+COUNTIFS($B$4:$B1079,$B1079,$C$4:$C1079,$C1079)))</f>
        <v>VENGEANCE@71</v>
      </c>
      <c r="AD1079" s="1">
        <f t="shared" si="84"/>
        <v>1076</v>
      </c>
      <c r="AE1079" s="1" t="s">
        <v>1341</v>
      </c>
      <c r="AF1079" s="76">
        <f t="shared" si="85"/>
        <v>62768</v>
      </c>
      <c r="AG1079" s="77">
        <f t="shared" si="86"/>
        <v>4.6500000000000004</v>
      </c>
      <c r="AH1079" s="1" t="str">
        <f>IF($C1079="","",$B1079&amp;"|"&amp;(COUNTIFS($B$4:$B$1463,$B1079,$AF$4:$AF$1463,"&gt;"&amp;$AF1079)+COUNTIFS($B$4:$B1079,$B1079,$AF$4:$AF1079,"="&amp;$AF1079)))</f>
        <v>VENGEANCE|28</v>
      </c>
      <c r="AI1079" s="1" t="str">
        <f>IF($C1079="","",$B1079&amp;"|"&amp;(COUNTIFS($B$4:$B$1463,$B1079,$AG$4:$AG$1463,"&gt;"&amp;$AG1079)+COUNTIFS($B$4:$B1079,$B1079,$AG$4:$AG1079,"="&amp;$AG1079)))</f>
        <v>VENGEANCE|46</v>
      </c>
    </row>
    <row r="1080" spans="1:35" hidden="1">
      <c r="A1080" s="69" t="s">
        <v>109</v>
      </c>
      <c r="B1080" s="69" t="s">
        <v>118</v>
      </c>
      <c r="C1080" s="63" t="s">
        <v>2360</v>
      </c>
      <c r="D1080" s="69"/>
      <c r="E1080" s="68" t="s">
        <v>79</v>
      </c>
      <c r="F1080" s="15" t="str">
        <f>IF($C1080="","",IF($E1080="","-",IFERROR(INDEX(SETUP!$B$55:$B$64,MATCH($E1080,SETUP!$A$55:$A$64,0)),"Other")))</f>
        <v>Control</v>
      </c>
      <c r="G1080" s="70">
        <v>62598</v>
      </c>
      <c r="H1080" s="15" t="str">
        <f>IF($C1080="","",IF($G1080="","-",INDEX(SETUP!$B$26:$B$32,MATCH($G1080,SETUP!$A$26:$A$32,1))))</f>
        <v>62,000 - 62,999</v>
      </c>
      <c r="I1080" s="70">
        <v>3200</v>
      </c>
      <c r="J1080" s="15" t="str">
        <f>IF($C1080="","",IF($I1080="","-",INDEX(SETUP!$B$16:$B$22,MATCH($I1080,SETUP!$A$16:$A$22,1))))</f>
        <v>DEVELOPING</v>
      </c>
      <c r="K1080" s="15" t="str">
        <f>IF($C1080="","",IF($I1080="","-",TEXT(INT($I1080/1000)*1000,"#,##0")&amp;" - "&amp;TEXT(INT($I1080/1000)*1000+999,"#,##0")))</f>
        <v>3,000 - 3,999</v>
      </c>
      <c r="L1080" s="71">
        <v>5</v>
      </c>
      <c r="M1080" s="15" t="str">
        <f>IF($C1080="","",IF($L1080="","-",INDEX(SETUP!$B$36:$B$42,MATCH($L1080,SETUP!$A$36:$A$42,1))))</f>
        <v>5k - 6k</v>
      </c>
      <c r="N1080" s="17">
        <f>IF($C1080="","",IF(OR($G1080="",$I1080=""),"",ROUND(100*(SETUP!$B$4*MIN(1,$I1080/SETUP!$B$9)+SETUP!$B$5*MAX(0,MIN(1,($G1080-SETUP!$B$10)/(SETUP!$B$11-SETUP!$B$10)))+SETUP!$B$6*MIN(1,IF($L1080="",0,$L1080)/SETUP!$B$12)),1)))</f>
        <v>42.3</v>
      </c>
      <c r="O1080" s="15" t="str">
        <f>IF($C1080="","",IF($N1080="","-",INDEX(SETUP!$B$46:$B$51,MATCH($N1080,SETUP!$A$46:$A$51,1))))</f>
        <v>B</v>
      </c>
      <c r="P1080" s="15">
        <f>IF($C1080="","",IF($I1080="","",RANK($I1080,$I$4:$I$1463)+COUNTIF($I$4:$I1080,$I1080)-1))</f>
        <v>823</v>
      </c>
      <c r="Q1080" s="15">
        <f>IF($C1080="","",COUNTIFS($B$4:$B$1463,$B1080,$X$4:$X$1463,"&gt;"&amp;$X1080)+COUNTIFS($B$4:$B1080,$B1080,$X$4:$X1080,"="&amp;$X1080))</f>
        <v>14</v>
      </c>
      <c r="R1080" s="72">
        <f>IF($C1080="","",IF($I1080="","",ROUND(COUNTIF($I$4:$I$1463,"&lt;"&amp;$I1080)/COUNT($I$4:$I$1463),3)))</f>
        <v>0.379</v>
      </c>
      <c r="S1080" s="15" t="str">
        <f>IF($C1080="","",IF($G1080="","Name only",IF(OR($I1080="",$L1080=""),"Partial","Complete")))</f>
        <v>Complete</v>
      </c>
      <c r="T1080" s="41" t="str">
        <f>IF($C1080="","",TRIM(IF(COUNTIF($C$4:$C$1463,$C1080)&gt;1,"Dup name; ","")&amp;IF(AND($G1080&lt;&gt;"",$G1080&lt;55000),"Low CR - verify; ","")&amp;IF(AND($L1080&lt;&gt;"",$L1080&gt;15),"Secondary - verify; ","")&amp;IF($E1080="","No class; ","")))</f>
        <v/>
      </c>
      <c r="U1080" s="68"/>
      <c r="V1080" s="68"/>
      <c r="W1080" s="68"/>
      <c r="X1080" s="73">
        <f t="shared" si="82"/>
        <v>3200</v>
      </c>
      <c r="Y1080" s="41" t="str">
        <f t="shared" si="83"/>
        <v>ZOMBIES|14</v>
      </c>
      <c r="Z1080" s="15">
        <f>IF($C1080="","",IF($G1080="","",RANK($G1080,$G$4:$G$1463)+COUNTIF($G$4:$G1080,$G1080)-1))</f>
        <v>613</v>
      </c>
      <c r="AA1080" s="15">
        <f>IF($C1080="","",IF($N1080="","",RANK($N1080,$N$4:$N$1463)+COUNTIF($N$4:$N1080,$N1080)-1))</f>
        <v>733</v>
      </c>
      <c r="AB1080" s="41" t="str">
        <f>IF($C1080="","",IF($E1080="","",$E1080&amp;"#"&amp;(COUNTIFS($E$4:$E$1463,$E1080,$X$4:$X$1463,"&gt;"&amp;$X1080)+COUNTIFS($E$4:$E1080,$E1080,$X$4:$X1080,"="&amp;$X1080))))</f>
        <v>WARLOCK#202</v>
      </c>
      <c r="AC1080" s="41" t="str">
        <f>IF($C1080="","",$B1080&amp;"@"&amp;(COUNTIFS($B$4:$B$1463,$B1080,$C$4:$C$1463,"&lt;"&amp;$C1080)+COUNTIFS($B$4:$B1080,$B1080,$C$4:$C1080,$C1080)))</f>
        <v>ZOMBIES@75</v>
      </c>
      <c r="AD1080" s="41">
        <f t="shared" si="84"/>
        <v>1077</v>
      </c>
      <c r="AE1080" s="41" t="s">
        <v>2361</v>
      </c>
      <c r="AF1080" s="73">
        <f t="shared" si="85"/>
        <v>62598</v>
      </c>
      <c r="AG1080" s="74">
        <f t="shared" si="86"/>
        <v>5</v>
      </c>
      <c r="AH1080" s="41" t="str">
        <f>IF($C1080="","",$B1080&amp;"|"&amp;(COUNTIFS($B$4:$B$1463,$B1080,$AF$4:$AF$1463,"&gt;"&amp;$AF1080)+COUNTIFS($B$4:$B1080,$B1080,$AF$4:$AF1080,"="&amp;$AF1080)))</f>
        <v>ZOMBIES|13</v>
      </c>
      <c r="AI1080" s="41" t="str">
        <f>IF($C1080="","",$B1080&amp;"|"&amp;(COUNTIFS($B$4:$B$1463,$B1080,$AG$4:$AG$1463,"&gt;"&amp;$AG1080)+COUNTIFS($B$4:$B1080,$B1080,$AG$4:$AG1080,"="&amp;$AG1080)))</f>
        <v>ZOMBIES|13</v>
      </c>
    </row>
    <row r="1081" spans="1:35" hidden="1">
      <c r="A1081" s="69" t="s">
        <v>109</v>
      </c>
      <c r="B1081" s="69" t="s">
        <v>116</v>
      </c>
      <c r="C1081" s="63" t="s">
        <v>2362</v>
      </c>
      <c r="D1081" s="69" t="s">
        <v>530</v>
      </c>
      <c r="E1081" s="68" t="s">
        <v>71</v>
      </c>
      <c r="F1081" s="19" t="str">
        <f>IF($C1081="","",IF($E1081="","-",IFERROR(INDEX(SETUP!$B$55:$B$64,MATCH($E1081,SETUP!$A$55:$A$64,0)),"Other")))</f>
        <v>Frontline</v>
      </c>
      <c r="G1081" s="70">
        <v>63590</v>
      </c>
      <c r="H1081" s="19" t="str">
        <f>IF($C1081="","",IF($G1081="","-",INDEX(SETUP!$B$26:$B$32,MATCH($G1081,SETUP!$A$26:$A$32,1))))</f>
        <v>63,000 - 63,999</v>
      </c>
      <c r="I1081" s="70">
        <v>7759</v>
      </c>
      <c r="J1081" s="19" t="str">
        <f>IF($C1081="","",IF($I1081="","-",INDEX(SETUP!$B$16:$B$22,MATCH($I1081,SETUP!$A$16:$A$22,1))))</f>
        <v>VETERAN</v>
      </c>
      <c r="K1081" s="19" t="str">
        <f>IF($C1081="","",IF($I1081="","-",TEXT(INT($I1081/1000)*1000,"#,##0")&amp;" - "&amp;TEXT(INT($I1081/1000)*1000+999,"#,##0")))</f>
        <v>7,000 - 7,999</v>
      </c>
      <c r="L1081" s="71">
        <v>6.39</v>
      </c>
      <c r="M1081" s="19" t="str">
        <f>IF($C1081="","",IF($L1081="","-",INDEX(SETUP!$B$36:$B$42,MATCH($L1081,SETUP!$A$36:$A$42,1))))</f>
        <v>6k - 8k</v>
      </c>
      <c r="N1081" s="21">
        <f>IF($C1081="","",IF(OR($G1081="",$I1081=""),"",ROUND(100*(SETUP!$B$4*MIN(1,$I1081/SETUP!$B$9)+SETUP!$B$5*MAX(0,MIN(1,($G1081-SETUP!$B$10)/(SETUP!$B$11-SETUP!$B$10)))+SETUP!$B$6*MIN(1,IF($L1081="",0,$L1081)/SETUP!$B$12)),1)))</f>
        <v>67.099999999999994</v>
      </c>
      <c r="O1081" s="19" t="str">
        <f>IF($C1081="","",IF($N1081="","-",INDEX(SETUP!$B$46:$B$51,MATCH($N1081,SETUP!$A$46:$A$51,1))))</f>
        <v>S</v>
      </c>
      <c r="P1081" s="19">
        <f>IF($C1081="","",IF($I1081="","",RANK($I1081,$I$4:$I$1463)+COUNTIF($I$4:$I1081,$I1081)-1))</f>
        <v>158</v>
      </c>
      <c r="Q1081" s="19">
        <f>IF($C1081="","",COUNTIFS($B$4:$B$1463,$B1081,$X$4:$X$1463,"&gt;"&amp;$X1081)+COUNTIFS($B$4:$B1081,$B1081,$X$4:$X1081,"="&amp;$X1081))</f>
        <v>1</v>
      </c>
      <c r="R1081" s="75">
        <f>IF($C1081="","",IF($I1081="","",ROUND(COUNTIF($I$4:$I$1463,"&lt;"&amp;$I1081)/COUNT($I$4:$I$1463),3)))</f>
        <v>0.88100000000000001</v>
      </c>
      <c r="S1081" s="19" t="str">
        <f>IF($C1081="","",IF($G1081="","Name only",IF(OR($I1081="",$L1081=""),"Partial","Complete")))</f>
        <v>Complete</v>
      </c>
      <c r="T1081" s="1" t="str">
        <f>IF($C1081="","",TRIM(IF(COUNTIF($C$4:$C$1463,$C1081)&gt;1,"Dup name; ","")&amp;IF(AND($G1081&lt;&gt;"",$G1081&lt;55000),"Low CR - verify; ","")&amp;IF(AND($L1081&lt;&gt;"",$L1081&gt;15),"Secondary - verify; ","")&amp;IF($E1081="","No class; ","")))</f>
        <v/>
      </c>
      <c r="U1081" s="68"/>
      <c r="V1081" s="68"/>
      <c r="W1081" s="68"/>
      <c r="X1081" s="76">
        <f t="shared" si="82"/>
        <v>7759</v>
      </c>
      <c r="Y1081" s="1" t="str">
        <f t="shared" si="83"/>
        <v>VENGEANCE|1</v>
      </c>
      <c r="Z1081" s="19">
        <f>IF($C1081="","",IF($G1081="","",RANK($G1081,$G$4:$G$1463)+COUNTIF($G$4:$G1081,$G1081)-1))</f>
        <v>172</v>
      </c>
      <c r="AA1081" s="19">
        <f>IF($C1081="","",IF($N1081="","",RANK($N1081,$N$4:$N$1463)+COUNTIF($N$4:$N1081,$N1081)-1))</f>
        <v>156</v>
      </c>
      <c r="AB1081" s="1" t="str">
        <f>IF($C1081="","",IF($E1081="","",$E1081&amp;"#"&amp;(COUNTIFS($E$4:$E$1463,$E1081,$X$4:$X$1463,"&gt;"&amp;$X1081)+COUNTIFS($E$4:$E1081,$E1081,$X$4:$X1081,"="&amp;$X1081))))</f>
        <v>BARBARIAN#35</v>
      </c>
      <c r="AC1081" s="1" t="str">
        <f>IF($C1081="","",$B1081&amp;"@"&amp;(COUNTIFS($B$4:$B$1463,$B1081,$C$4:$C$1463,"&lt;"&amp;$C1081)+COUNTIFS($B$4:$B1081,$B1081,$C$4:$C1081,$C1081)))</f>
        <v>VENGEANCE@72</v>
      </c>
      <c r="AD1081" s="1">
        <f t="shared" si="84"/>
        <v>1078</v>
      </c>
      <c r="AE1081" s="1" t="s">
        <v>2363</v>
      </c>
      <c r="AF1081" s="76">
        <f t="shared" si="85"/>
        <v>63590</v>
      </c>
      <c r="AG1081" s="77">
        <f t="shared" si="86"/>
        <v>6.39</v>
      </c>
      <c r="AH1081" s="1" t="str">
        <f>IF($C1081="","",$B1081&amp;"|"&amp;(COUNTIFS($B$4:$B$1463,$B1081,$AF$4:$AF$1463,"&gt;"&amp;$AF1081)+COUNTIFS($B$4:$B1081,$B1081,$AF$4:$AF1081,"="&amp;$AF1081)))</f>
        <v>VENGEANCE|2</v>
      </c>
      <c r="AI1081" s="1" t="str">
        <f>IF($C1081="","",$B1081&amp;"|"&amp;(COUNTIFS($B$4:$B$1463,$B1081,$AG$4:$AG$1463,"&gt;"&amp;$AG1081)+COUNTIFS($B$4:$B1081,$B1081,$AG$4:$AG1081,"="&amp;$AG1081)))</f>
        <v>VENGEANCE|9</v>
      </c>
    </row>
    <row r="1082" spans="1:35" hidden="1">
      <c r="A1082" s="69" t="s">
        <v>109</v>
      </c>
      <c r="B1082" s="69" t="s">
        <v>113</v>
      </c>
      <c r="C1082" s="63" t="s">
        <v>2364</v>
      </c>
      <c r="D1082" s="69" t="s">
        <v>548</v>
      </c>
      <c r="E1082" s="68" t="s">
        <v>79</v>
      </c>
      <c r="F1082" s="15" t="str">
        <f>IF($C1082="","",IF($E1082="","-",IFERROR(INDEX(SETUP!$B$55:$B$64,MATCH($E1082,SETUP!$A$55:$A$64,0)),"Other")))</f>
        <v>Control</v>
      </c>
      <c r="G1082" s="70">
        <v>62277</v>
      </c>
      <c r="H1082" s="15" t="str">
        <f>IF($C1082="","",IF($G1082="","-",INDEX(SETUP!$B$26:$B$32,MATCH($G1082,SETUP!$A$26:$A$32,1))))</f>
        <v>62,000 - 62,999</v>
      </c>
      <c r="I1082" s="70">
        <v>2568</v>
      </c>
      <c r="J1082" s="15" t="str">
        <f>IF($C1082="","",IF($I1082="","-",INDEX(SETUP!$B$16:$B$22,MATCH($I1082,SETUP!$A$16:$A$22,1))))</f>
        <v>DEVELOPING</v>
      </c>
      <c r="K1082" s="15" t="str">
        <f>IF($C1082="","",IF($I1082="","-",TEXT(INT($I1082/1000)*1000,"#,##0")&amp;" - "&amp;TEXT(INT($I1082/1000)*1000+999,"#,##0")))</f>
        <v>2,000 - 2,999</v>
      </c>
      <c r="L1082" s="71">
        <v>5</v>
      </c>
      <c r="M1082" s="15" t="str">
        <f>IF($C1082="","",IF($L1082="","-",INDEX(SETUP!$B$36:$B$42,MATCH($L1082,SETUP!$A$36:$A$42,1))))</f>
        <v>5k - 6k</v>
      </c>
      <c r="N1082" s="17">
        <f>IF($C1082="","",IF(OR($G1082="",$I1082=""),"",ROUND(100*(SETUP!$B$4*MIN(1,$I1082/SETUP!$B$9)+SETUP!$B$5*MAX(0,MIN(1,($G1082-SETUP!$B$10)/(SETUP!$B$11-SETUP!$B$10)))+SETUP!$B$6*MIN(1,IF($L1082="",0,$L1082)/SETUP!$B$12)),1)))</f>
        <v>38.700000000000003</v>
      </c>
      <c r="O1082" s="15" t="str">
        <f>IF($C1082="","",IF($N1082="","-",INDEX(SETUP!$B$46:$B$51,MATCH($N1082,SETUP!$A$46:$A$51,1))))</f>
        <v>B</v>
      </c>
      <c r="P1082" s="15">
        <f>IF($C1082="","",IF($I1082="","",RANK($I1082,$I$4:$I$1463)+COUNTIF($I$4:$I1082,$I1082)-1))</f>
        <v>988</v>
      </c>
      <c r="Q1082" s="15">
        <f>IF($C1082="","",COUNTIFS($B$4:$B$1463,$B1082,$X$4:$X$1463,"&gt;"&amp;$X1082)+COUNTIFS($B$4:$B1082,$B1082,$X$4:$X1082,"="&amp;$X1082))</f>
        <v>67</v>
      </c>
      <c r="R1082" s="72">
        <f>IF($C1082="","",IF($I1082="","",ROUND(COUNTIF($I$4:$I$1463,"&lt;"&amp;$I1082)/COUNT($I$4:$I$1463),3)))</f>
        <v>0.254</v>
      </c>
      <c r="S1082" s="15" t="str">
        <f>IF($C1082="","",IF($G1082="","Name only",IF(OR($I1082="",$L1082=""),"Partial","Complete")))</f>
        <v>Complete</v>
      </c>
      <c r="T1082" s="41" t="str">
        <f>IF($C1082="","",TRIM(IF(COUNTIF($C$4:$C$1463,$C1082)&gt;1,"Dup name; ","")&amp;IF(AND($G1082&lt;&gt;"",$G1082&lt;55000),"Low CR - verify; ","")&amp;IF(AND($L1082&lt;&gt;"",$L1082&gt;15),"Secondary - verify; ","")&amp;IF($E1082="","No class; ","")))</f>
        <v/>
      </c>
      <c r="U1082" s="68"/>
      <c r="V1082" s="68"/>
      <c r="W1082" s="68"/>
      <c r="X1082" s="73">
        <f t="shared" si="82"/>
        <v>2568</v>
      </c>
      <c r="Y1082" s="41" t="str">
        <f t="shared" si="83"/>
        <v>INVICTUS|67</v>
      </c>
      <c r="Z1082" s="15">
        <f>IF($C1082="","",IF($G1082="","",RANK($G1082,$G$4:$G$1463)+COUNTIF($G$4:$G1082,$G1082)-1))</f>
        <v>729</v>
      </c>
      <c r="AA1082" s="15">
        <f>IF($C1082="","",IF($N1082="","",RANK($N1082,$N$4:$N$1463)+COUNTIF($N$4:$N1082,$N1082)-1))</f>
        <v>870</v>
      </c>
      <c r="AB1082" s="41" t="str">
        <f>IF($C1082="","",IF($E1082="","",$E1082&amp;"#"&amp;(COUNTIFS($E$4:$E$1463,$E1082,$X$4:$X$1463,"&gt;"&amp;$X1082)+COUNTIFS($E$4:$E1082,$E1082,$X$4:$X1082,"="&amp;$X1082))))</f>
        <v>WARLOCK#243</v>
      </c>
      <c r="AC1082" s="41" t="str">
        <f>IF($C1082="","",$B1082&amp;"@"&amp;(COUNTIFS($B$4:$B$1463,$B1082,$C$4:$C$1463,"&lt;"&amp;$C1082)+COUNTIFS($B$4:$B1082,$B1082,$C$4:$C1082,$C1082)))</f>
        <v>INVICTUS@78</v>
      </c>
      <c r="AD1082" s="41">
        <f t="shared" si="84"/>
        <v>1079</v>
      </c>
      <c r="AE1082" s="41" t="s">
        <v>2365</v>
      </c>
      <c r="AF1082" s="73">
        <f t="shared" si="85"/>
        <v>62277</v>
      </c>
      <c r="AG1082" s="74">
        <f t="shared" si="86"/>
        <v>5</v>
      </c>
      <c r="AH1082" s="41" t="str">
        <f>IF($C1082="","",$B1082&amp;"|"&amp;(COUNTIFS($B$4:$B$1463,$B1082,$AF$4:$AF$1463,"&gt;"&amp;$AF1082)+COUNTIFS($B$4:$B1082,$B1082,$AF$4:$AF1082,"="&amp;$AF1082)))</f>
        <v>INVICTUS|45</v>
      </c>
      <c r="AI1082" s="41" t="str">
        <f>IF($C1082="","",$B1082&amp;"|"&amp;(COUNTIFS($B$4:$B$1463,$B1082,$AG$4:$AG$1463,"&gt;"&amp;$AG1082)+COUNTIFS($B$4:$B1082,$B1082,$AG$4:$AG1082,"="&amp;$AG1082)))</f>
        <v>INVICTUS|29</v>
      </c>
    </row>
    <row r="1083" spans="1:35" hidden="1">
      <c r="A1083" s="69" t="s">
        <v>106</v>
      </c>
      <c r="B1083" s="69" t="s">
        <v>105</v>
      </c>
      <c r="C1083" s="63" t="s">
        <v>2366</v>
      </c>
      <c r="D1083" s="69"/>
      <c r="E1083" s="68" t="s">
        <v>72</v>
      </c>
      <c r="F1083" s="19" t="str">
        <f>IF($C1083="","",IF($E1083="","-",IFERROR(INDEX(SETUP!$B$55:$B$64,MATCH($E1083,SETUP!$A$55:$A$64,0)),"Other")))</f>
        <v>Frontline</v>
      </c>
      <c r="G1083" s="70">
        <v>63639</v>
      </c>
      <c r="H1083" s="19" t="str">
        <f>IF($C1083="","",IF($G1083="","-",INDEX(SETUP!$B$26:$B$32,MATCH($G1083,SETUP!$A$26:$A$32,1))))</f>
        <v>63,000 - 63,999</v>
      </c>
      <c r="I1083" s="70">
        <v>7629</v>
      </c>
      <c r="J1083" s="19" t="str">
        <f>IF($C1083="","",IF($I1083="","-",INDEX(SETUP!$B$16:$B$22,MATCH($I1083,SETUP!$A$16:$A$22,1))))</f>
        <v>VETERAN</v>
      </c>
      <c r="K1083" s="19" t="str">
        <f>IF($C1083="","",IF($I1083="","-",TEXT(INT($I1083/1000)*1000,"#,##0")&amp;" - "&amp;TEXT(INT($I1083/1000)*1000+999,"#,##0")))</f>
        <v>7,000 - 7,999</v>
      </c>
      <c r="L1083" s="71">
        <v>5.74</v>
      </c>
      <c r="M1083" s="19" t="str">
        <f>IF($C1083="","",IF($L1083="","-",INDEX(SETUP!$B$36:$B$42,MATCH($L1083,SETUP!$A$36:$A$42,1))))</f>
        <v>5k - 6k</v>
      </c>
      <c r="N1083" s="21">
        <f>IF($C1083="","",IF(OR($G1083="",$I1083=""),"",ROUND(100*(SETUP!$B$4*MIN(1,$I1083/SETUP!$B$9)+SETUP!$B$5*MAX(0,MIN(1,($G1083-SETUP!$B$10)/(SETUP!$B$11-SETUP!$B$10)))+SETUP!$B$6*MIN(1,IF($L1083="",0,$L1083)/SETUP!$B$12)),1)))</f>
        <v>65.599999999999994</v>
      </c>
      <c r="O1083" s="19" t="str">
        <f>IF($C1083="","",IF($N1083="","-",INDEX(SETUP!$B$46:$B$51,MATCH($N1083,SETUP!$A$46:$A$51,1))))</f>
        <v>S</v>
      </c>
      <c r="P1083" s="19">
        <f>IF($C1083="","",IF($I1083="","",RANK($I1083,$I$4:$I$1463)+COUNTIF($I$4:$I1083,$I1083)-1))</f>
        <v>162</v>
      </c>
      <c r="Q1083" s="19">
        <f>IF($C1083="","",COUNTIFS($B$4:$B$1463,$B1083,$X$4:$X$1463,"&gt;"&amp;$X1083)+COUNTIFS($B$4:$B1083,$B1083,$X$4:$X1083,"="&amp;$X1083))</f>
        <v>16</v>
      </c>
      <c r="R1083" s="75">
        <f>IF($C1083="","",IF($I1083="","",ROUND(COUNTIF($I$4:$I$1463,"&lt;"&amp;$I1083)/COUNT($I$4:$I$1463),3)))</f>
        <v>0.878</v>
      </c>
      <c r="S1083" s="19" t="str">
        <f>IF($C1083="","",IF($G1083="","Name only",IF(OR($I1083="",$L1083=""),"Partial","Complete")))</f>
        <v>Complete</v>
      </c>
      <c r="T1083" s="1" t="str">
        <f>IF($C1083="","",TRIM(IF(COUNTIF($C$4:$C$1463,$C1083)&gt;1,"Dup name; ","")&amp;IF(AND($G1083&lt;&gt;"",$G1083&lt;55000),"Low CR - verify; ","")&amp;IF(AND($L1083&lt;&gt;"",$L1083&gt;15),"Secondary - verify; ","")&amp;IF($E1083="","No class; ","")))</f>
        <v/>
      </c>
      <c r="U1083" s="68"/>
      <c r="V1083" s="68"/>
      <c r="W1083" s="68"/>
      <c r="X1083" s="76">
        <f t="shared" si="82"/>
        <v>7629</v>
      </c>
      <c r="Y1083" s="1" t="str">
        <f t="shared" si="83"/>
        <v>LEGENDS|16</v>
      </c>
      <c r="Z1083" s="19">
        <f>IF($C1083="","",IF($G1083="","",RANK($G1083,$G$4:$G$1463)+COUNTIF($G$4:$G1083,$G1083)-1))</f>
        <v>156</v>
      </c>
      <c r="AA1083" s="19">
        <f>IF($C1083="","",IF($N1083="","",RANK($N1083,$N$4:$N$1463)+COUNTIF($N$4:$N1083,$N1083)-1))</f>
        <v>168</v>
      </c>
      <c r="AB1083" s="1" t="str">
        <f>IF($C1083="","",IF($E1083="","",$E1083&amp;"#"&amp;(COUNTIFS($E$4:$E$1463,$E1083,$X$4:$X$1463,"&gt;"&amp;$X1083)+COUNTIFS($E$4:$E1083,$E1083,$X$4:$X1083,"="&amp;$X1083))))</f>
        <v>BLOOD KNIGHT#10</v>
      </c>
      <c r="AC1083" s="1" t="str">
        <f>IF($C1083="","",$B1083&amp;"@"&amp;(COUNTIFS($B$4:$B$1463,$B1083,$C$4:$C$1463,"&lt;"&amp;$C1083)+COUNTIFS($B$4:$B1083,$B1083,$C$4:$C1083,$C1083)))</f>
        <v>LEGENDS@85</v>
      </c>
      <c r="AD1083" s="1">
        <f t="shared" si="84"/>
        <v>1080</v>
      </c>
      <c r="AE1083" s="1" t="s">
        <v>2367</v>
      </c>
      <c r="AF1083" s="76">
        <f t="shared" si="85"/>
        <v>63639</v>
      </c>
      <c r="AG1083" s="77">
        <f t="shared" si="86"/>
        <v>5.74</v>
      </c>
      <c r="AH1083" s="1" t="str">
        <f>IF($C1083="","",$B1083&amp;"|"&amp;(COUNTIFS($B$4:$B$1463,$B1083,$AF$4:$AF$1463,"&gt;"&amp;$AF1083)+COUNTIFS($B$4:$B1083,$B1083,$AF$4:$AF1083,"="&amp;$AF1083)))</f>
        <v>LEGENDS|17</v>
      </c>
      <c r="AI1083" s="1" t="str">
        <f>IF($C1083="","",$B1083&amp;"|"&amp;(COUNTIFS($B$4:$B$1463,$B1083,$AG$4:$AG$1463,"&gt;"&amp;$AG1083)+COUNTIFS($B$4:$B1083,$B1083,$AG$4:$AG1083,"="&amp;$AG1083)))</f>
        <v>LEGENDS|29</v>
      </c>
    </row>
    <row r="1084" spans="1:35" hidden="1">
      <c r="A1084" s="69" t="s">
        <v>106</v>
      </c>
      <c r="B1084" s="69" t="s">
        <v>105</v>
      </c>
      <c r="C1084" s="63" t="s">
        <v>2368</v>
      </c>
      <c r="D1084" s="69"/>
      <c r="E1084" s="68" t="s">
        <v>72</v>
      </c>
      <c r="F1084" s="15" t="str">
        <f>IF($C1084="","",IF($E1084="","-",IFERROR(INDEX(SETUP!$B$55:$B$64,MATCH($E1084,SETUP!$A$55:$A$64,0)),"Other")))</f>
        <v>Frontline</v>
      </c>
      <c r="G1084" s="70">
        <v>62582</v>
      </c>
      <c r="H1084" s="15" t="str">
        <f>IF($C1084="","",IF($G1084="","-",INDEX(SETUP!$B$26:$B$32,MATCH($G1084,SETUP!$A$26:$A$32,1))))</f>
        <v>62,000 - 62,999</v>
      </c>
      <c r="I1084" s="70">
        <v>3630</v>
      </c>
      <c r="J1084" s="15" t="str">
        <f>IF($C1084="","",IF($I1084="","-",INDEX(SETUP!$B$16:$B$22,MATCH($I1084,SETUP!$A$16:$A$22,1))))</f>
        <v>DEVELOPING</v>
      </c>
      <c r="K1084" s="15" t="str">
        <f>IF($C1084="","",IF($I1084="","-",TEXT(INT($I1084/1000)*1000,"#,##0")&amp;" - "&amp;TEXT(INT($I1084/1000)*1000+999,"#,##0")))</f>
        <v>3,000 - 3,999</v>
      </c>
      <c r="L1084" s="71">
        <v>5.19</v>
      </c>
      <c r="M1084" s="15" t="str">
        <f>IF($C1084="","",IF($L1084="","-",INDEX(SETUP!$B$36:$B$42,MATCH($L1084,SETUP!$A$36:$A$42,1))))</f>
        <v>5k - 6k</v>
      </c>
      <c r="N1084" s="17">
        <f>IF($C1084="","",IF(OR($G1084="",$I1084=""),"",ROUND(100*(SETUP!$B$4*MIN(1,$I1084/SETUP!$B$9)+SETUP!$B$5*MAX(0,MIN(1,($G1084-SETUP!$B$10)/(SETUP!$B$11-SETUP!$B$10)))+SETUP!$B$6*MIN(1,IF($L1084="",0,$L1084)/SETUP!$B$12)),1)))</f>
        <v>44.4</v>
      </c>
      <c r="O1084" s="15" t="str">
        <f>IF($C1084="","",IF($N1084="","-",INDEX(SETUP!$B$46:$B$51,MATCH($N1084,SETUP!$A$46:$A$51,1))))</f>
        <v>B</v>
      </c>
      <c r="P1084" s="15">
        <f>IF($C1084="","",IF($I1084="","",RANK($I1084,$I$4:$I$1463)+COUNTIF($I$4:$I1084,$I1084)-1))</f>
        <v>695</v>
      </c>
      <c r="Q1084" s="15">
        <f>IF($C1084="","",COUNTIFS($B$4:$B$1463,$B1084,$X$4:$X$1463,"&gt;"&amp;$X1084)+COUNTIFS($B$4:$B1084,$B1084,$X$4:$X1084,"="&amp;$X1084))</f>
        <v>82</v>
      </c>
      <c r="R1084" s="72">
        <f>IF($C1084="","",IF($I1084="","",ROUND(COUNTIF($I$4:$I$1463,"&lt;"&amp;$I1084)/COUNT($I$4:$I$1463),3)))</f>
        <v>0.47499999999999998</v>
      </c>
      <c r="S1084" s="15" t="str">
        <f>IF($C1084="","",IF($G1084="","Name only",IF(OR($I1084="",$L1084=""),"Partial","Complete")))</f>
        <v>Complete</v>
      </c>
      <c r="T1084" s="41" t="str">
        <f>IF($C1084="","",TRIM(IF(COUNTIF($C$4:$C$1463,$C1084)&gt;1,"Dup name; ","")&amp;IF(AND($G1084&lt;&gt;"",$G1084&lt;55000),"Low CR - verify; ","")&amp;IF(AND($L1084&lt;&gt;"",$L1084&gt;15),"Secondary - verify; ","")&amp;IF($E1084="","No class; ","")))</f>
        <v/>
      </c>
      <c r="U1084" s="68"/>
      <c r="V1084" s="68"/>
      <c r="W1084" s="68"/>
      <c r="X1084" s="73">
        <f t="shared" si="82"/>
        <v>3630</v>
      </c>
      <c r="Y1084" s="41" t="str">
        <f t="shared" si="83"/>
        <v>LEGENDS|82</v>
      </c>
      <c r="Z1084" s="15">
        <f>IF($C1084="","",IF($G1084="","",RANK($G1084,$G$4:$G$1463)+COUNTIF($G$4:$G1084,$G1084)-1))</f>
        <v>617</v>
      </c>
      <c r="AA1084" s="15">
        <f>IF($C1084="","",IF($N1084="","",RANK($N1084,$N$4:$N$1463)+COUNTIF($N$4:$N1084,$N1084)-1))</f>
        <v>650</v>
      </c>
      <c r="AB1084" s="41" t="str">
        <f>IF($C1084="","",IF($E1084="","",$E1084&amp;"#"&amp;(COUNTIFS($E$4:$E$1463,$E1084,$X$4:$X$1463,"&gt;"&amp;$X1084)+COUNTIFS($E$4:$E1084,$E1084,$X$4:$X1084,"="&amp;$X1084))))</f>
        <v>BLOOD KNIGHT#45</v>
      </c>
      <c r="AC1084" s="41" t="str">
        <f>IF($C1084="","",$B1084&amp;"@"&amp;(COUNTIFS($B$4:$B$1463,$B1084,$C$4:$C$1463,"&lt;"&amp;$C1084)+COUNTIFS($B$4:$B1084,$B1084,$C$4:$C1084,$C1084)))</f>
        <v>LEGENDS@86</v>
      </c>
      <c r="AD1084" s="41">
        <f t="shared" si="84"/>
        <v>1081</v>
      </c>
      <c r="AE1084" s="41" t="s">
        <v>2369</v>
      </c>
      <c r="AF1084" s="73">
        <f t="shared" si="85"/>
        <v>62582</v>
      </c>
      <c r="AG1084" s="74">
        <f t="shared" si="86"/>
        <v>5.19</v>
      </c>
      <c r="AH1084" s="41" t="str">
        <f>IF($C1084="","",$B1084&amp;"|"&amp;(COUNTIFS($B$4:$B$1463,$B1084,$AF$4:$AF$1463,"&gt;"&amp;$AF1084)+COUNTIFS($B$4:$B1084,$B1084,$AF$4:$AF1084,"="&amp;$AF1084)))</f>
        <v>LEGENDS|65</v>
      </c>
      <c r="AI1084" s="41" t="str">
        <f>IF($C1084="","",$B1084&amp;"|"&amp;(COUNTIFS($B$4:$B$1463,$B1084,$AG$4:$AG$1463,"&gt;"&amp;$AG1084)+COUNTIFS($B$4:$B1084,$B1084,$AG$4:$AG1084,"="&amp;$AG1084)))</f>
        <v>LEGENDS|57</v>
      </c>
    </row>
    <row r="1085" spans="1:35" hidden="1">
      <c r="A1085" s="69" t="s">
        <v>109</v>
      </c>
      <c r="B1085" s="69" t="s">
        <v>108</v>
      </c>
      <c r="C1085" s="63" t="s">
        <v>2370</v>
      </c>
      <c r="D1085" s="69"/>
      <c r="E1085" s="68" t="s">
        <v>74</v>
      </c>
      <c r="F1085" s="19" t="str">
        <f>IF($C1085="","",IF($E1085="","-",IFERROR(INDEX(SETUP!$B$55:$B$64,MATCH($E1085,SETUP!$A$55:$A$64,0)),"Other")))</f>
        <v>Ranged DPS</v>
      </c>
      <c r="G1085" s="70">
        <v>63161</v>
      </c>
      <c r="H1085" s="19" t="str">
        <f>IF($C1085="","",IF($G1085="","-",INDEX(SETUP!$B$26:$B$32,MATCH($G1085,SETUP!$A$26:$A$32,1))))</f>
        <v>63,000 - 63,999</v>
      </c>
      <c r="I1085" s="70">
        <v>6783</v>
      </c>
      <c r="J1085" s="19" t="str">
        <f>IF($C1085="","",IF($I1085="","-",INDEX(SETUP!$B$16:$B$22,MATCH($I1085,SETUP!$A$16:$A$22,1))))</f>
        <v>VETERAN</v>
      </c>
      <c r="K1085" s="19" t="str">
        <f>IF($C1085="","",IF($I1085="","-",TEXT(INT($I1085/1000)*1000,"#,##0")&amp;" - "&amp;TEXT(INT($I1085/1000)*1000+999,"#,##0")))</f>
        <v>6,000 - 6,999</v>
      </c>
      <c r="L1085" s="71">
        <v>4.7</v>
      </c>
      <c r="M1085" s="19" t="str">
        <f>IF($C1085="","",IF($L1085="","-",INDEX(SETUP!$B$36:$B$42,MATCH($L1085,SETUP!$A$36:$A$42,1))))</f>
        <v>4k - 5k</v>
      </c>
      <c r="N1085" s="21">
        <f>IF($C1085="","",IF(OR($G1085="",$I1085=""),"",ROUND(100*(SETUP!$B$4*MIN(1,$I1085/SETUP!$B$9)+SETUP!$B$5*MAX(0,MIN(1,($G1085-SETUP!$B$10)/(SETUP!$B$11-SETUP!$B$10)))+SETUP!$B$6*MIN(1,IF($L1085="",0,$L1085)/SETUP!$B$12)),1)))</f>
        <v>58.9</v>
      </c>
      <c r="O1085" s="19" t="str">
        <f>IF($C1085="","",IF($N1085="","-",INDEX(SETUP!$B$46:$B$51,MATCH($N1085,SETUP!$A$46:$A$51,1))))</f>
        <v>A</v>
      </c>
      <c r="P1085" s="19">
        <f>IF($C1085="","",IF($I1085="","",RANK($I1085,$I$4:$I$1463)+COUNTIF($I$4:$I1085,$I1085)-1))</f>
        <v>234</v>
      </c>
      <c r="Q1085" s="19">
        <f>IF($C1085="","",COUNTIFS($B$4:$B$1463,$B1085,$X$4:$X$1463,"&gt;"&amp;$X1085)+COUNTIFS($B$4:$B1085,$B1085,$X$4:$X1085,"="&amp;$X1085))</f>
        <v>39</v>
      </c>
      <c r="R1085" s="75">
        <f>IF($C1085="","",IF($I1085="","",ROUND(COUNTIF($I$4:$I$1463,"&lt;"&amp;$I1085)/COUNT($I$4:$I$1463),3)))</f>
        <v>0.82299999999999995</v>
      </c>
      <c r="S1085" s="19" t="str">
        <f>IF($C1085="","",IF($G1085="","Name only",IF(OR($I1085="",$L1085=""),"Partial","Complete")))</f>
        <v>Complete</v>
      </c>
      <c r="T1085" s="1" t="str">
        <f>IF($C1085="","",TRIM(IF(COUNTIF($C$4:$C$1463,$C1085)&gt;1,"Dup name; ","")&amp;IF(AND($G1085&lt;&gt;"",$G1085&lt;55000),"Low CR - verify; ","")&amp;IF(AND($L1085&lt;&gt;"",$L1085&gt;15),"Secondary - verify; ","")&amp;IF($E1085="","No class; ","")))</f>
        <v/>
      </c>
      <c r="U1085" s="68"/>
      <c r="V1085" s="68"/>
      <c r="W1085" s="68"/>
      <c r="X1085" s="76">
        <f t="shared" si="82"/>
        <v>6783</v>
      </c>
      <c r="Y1085" s="1" t="str">
        <f t="shared" si="83"/>
        <v>SBG|39</v>
      </c>
      <c r="Z1085" s="19">
        <f>IF($C1085="","",IF($G1085="","",RANK($G1085,$G$4:$G$1463)+COUNTIF($G$4:$G1085,$G1085)-1))</f>
        <v>339</v>
      </c>
      <c r="AA1085" s="19">
        <f>IF($C1085="","",IF($N1085="","",RANK($N1085,$N$4:$N$1463)+COUNTIF($N$4:$N1085,$N1085)-1))</f>
        <v>249</v>
      </c>
      <c r="AB1085" s="1" t="str">
        <f>IF($C1085="","",IF($E1085="","",$E1085&amp;"#"&amp;(COUNTIFS($E$4:$E$1463,$E1085,$X$4:$X$1463,"&gt;"&amp;$X1085)+COUNTIFS($E$4:$E1085,$E1085,$X$4:$X1085,"="&amp;$X1085))))</f>
        <v>DEMON HUNTER#40</v>
      </c>
      <c r="AC1085" s="1" t="str">
        <f>IF($C1085="","",$B1085&amp;"@"&amp;(COUNTIFS($B$4:$B$1463,$B1085,$C$4:$C$1463,"&lt;"&amp;$C1085)+COUNTIFS($B$4:$B1085,$B1085,$C$4:$C1085,$C1085)))</f>
        <v>SBG@76</v>
      </c>
      <c r="AD1085" s="1">
        <f t="shared" si="84"/>
        <v>1082</v>
      </c>
      <c r="AE1085" s="1" t="s">
        <v>1958</v>
      </c>
      <c r="AF1085" s="76">
        <f t="shared" si="85"/>
        <v>63161</v>
      </c>
      <c r="AG1085" s="77">
        <f t="shared" si="86"/>
        <v>4.7</v>
      </c>
      <c r="AH1085" s="1" t="str">
        <f>IF($C1085="","",$B1085&amp;"|"&amp;(COUNTIFS($B$4:$B$1463,$B1085,$AF$4:$AF$1463,"&gt;"&amp;$AF1085)+COUNTIFS($B$4:$B1085,$B1085,$AF$4:$AF1085,"="&amp;$AF1085)))</f>
        <v>SBG|41</v>
      </c>
      <c r="AI1085" s="1" t="str">
        <f>IF($C1085="","",$B1085&amp;"|"&amp;(COUNTIFS($B$4:$B$1463,$B1085,$AG$4:$AG$1463,"&gt;"&amp;$AG1085)+COUNTIFS($B$4:$B1085,$B1085,$AG$4:$AG1085,"="&amp;$AG1085)))</f>
        <v>SBG|81</v>
      </c>
    </row>
    <row r="1086" spans="1:35" hidden="1">
      <c r="A1086" s="69" t="s">
        <v>109</v>
      </c>
      <c r="B1086" s="69" t="s">
        <v>108</v>
      </c>
      <c r="C1086" s="63" t="s">
        <v>2371</v>
      </c>
      <c r="D1086" s="69"/>
      <c r="E1086" s="68" t="s">
        <v>79</v>
      </c>
      <c r="F1086" s="15" t="str">
        <f>IF($C1086="","",IF($E1086="","-",IFERROR(INDEX(SETUP!$B$55:$B$64,MATCH($E1086,SETUP!$A$55:$A$64,0)),"Other")))</f>
        <v>Control</v>
      </c>
      <c r="G1086" s="70">
        <v>61982</v>
      </c>
      <c r="H1086" s="15" t="str">
        <f>IF($C1086="","",IF($G1086="","-",INDEX(SETUP!$B$26:$B$32,MATCH($G1086,SETUP!$A$26:$A$32,1))))</f>
        <v>61,000 - 61,999</v>
      </c>
      <c r="I1086" s="70">
        <v>5671</v>
      </c>
      <c r="J1086" s="15" t="str">
        <f>IF($C1086="","",IF($I1086="","-",INDEX(SETUP!$B$16:$B$22,MATCH($I1086,SETUP!$A$16:$A$22,1))))</f>
        <v>CORE</v>
      </c>
      <c r="K1086" s="15" t="str">
        <f>IF($C1086="","",IF($I1086="","-",TEXT(INT($I1086/1000)*1000,"#,##0")&amp;" - "&amp;TEXT(INT($I1086/1000)*1000+999,"#,##0")))</f>
        <v>5,000 - 5,999</v>
      </c>
      <c r="L1086" s="71">
        <v>6.2</v>
      </c>
      <c r="M1086" s="15" t="str">
        <f>IF($C1086="","",IF($L1086="","-",INDEX(SETUP!$B$36:$B$42,MATCH($L1086,SETUP!$A$36:$A$42,1))))</f>
        <v>6k - 8k</v>
      </c>
      <c r="N1086" s="17">
        <f>IF($C1086="","",IF(OR($G1086="",$I1086=""),"",ROUND(100*(SETUP!$B$4*MIN(1,$I1086/SETUP!$B$9)+SETUP!$B$5*MAX(0,MIN(1,($G1086-SETUP!$B$10)/(SETUP!$B$11-SETUP!$B$10)))+SETUP!$B$6*MIN(1,IF($L1086="",0,$L1086)/SETUP!$B$12)),1)))</f>
        <v>53.5</v>
      </c>
      <c r="O1086" s="15" t="str">
        <f>IF($C1086="","",IF($N1086="","-",INDEX(SETUP!$B$46:$B$51,MATCH($N1086,SETUP!$A$46:$A$51,1))))</f>
        <v>A</v>
      </c>
      <c r="P1086" s="15">
        <f>IF($C1086="","",IF($I1086="","",RANK($I1086,$I$4:$I$1463)+COUNTIF($I$4:$I1086,$I1086)-1))</f>
        <v>317</v>
      </c>
      <c r="Q1086" s="15">
        <f>IF($C1086="","",COUNTIFS($B$4:$B$1463,$B1086,$X$4:$X$1463,"&gt;"&amp;$X1086)+COUNTIFS($B$4:$B1086,$B1086,$X$4:$X1086,"="&amp;$X1086))</f>
        <v>49</v>
      </c>
      <c r="R1086" s="72">
        <f>IF($C1086="","",IF($I1086="","",ROUND(COUNTIF($I$4:$I$1463,"&lt;"&amp;$I1086)/COUNT($I$4:$I$1463),3)))</f>
        <v>0.76100000000000001</v>
      </c>
      <c r="S1086" s="15" t="str">
        <f>IF($C1086="","",IF($G1086="","Name only",IF(OR($I1086="",$L1086=""),"Partial","Complete")))</f>
        <v>Complete</v>
      </c>
      <c r="T1086" s="41" t="str">
        <f>IF($C1086="","",TRIM(IF(COUNTIF($C$4:$C$1463,$C1086)&gt;1,"Dup name; ","")&amp;IF(AND($G1086&lt;&gt;"",$G1086&lt;55000),"Low CR - verify; ","")&amp;IF(AND($L1086&lt;&gt;"",$L1086&gt;15),"Secondary - verify; ","")&amp;IF($E1086="","No class; ","")))</f>
        <v/>
      </c>
      <c r="U1086" s="68"/>
      <c r="V1086" s="68"/>
      <c r="W1086" s="68"/>
      <c r="X1086" s="73">
        <f t="shared" si="82"/>
        <v>5671</v>
      </c>
      <c r="Y1086" s="41" t="str">
        <f t="shared" si="83"/>
        <v>SBG|49</v>
      </c>
      <c r="Z1086" s="15">
        <f>IF($C1086="","",IF($G1086="","",RANK($G1086,$G$4:$G$1463)+COUNTIF($G$4:$G1086,$G1086)-1))</f>
        <v>840</v>
      </c>
      <c r="AA1086" s="15">
        <f>IF($C1086="","",IF($N1086="","",RANK($N1086,$N$4:$N$1463)+COUNTIF($N$4:$N1086,$N1086)-1))</f>
        <v>353</v>
      </c>
      <c r="AB1086" s="41" t="str">
        <f>IF($C1086="","",IF($E1086="","",$E1086&amp;"#"&amp;(COUNTIFS($E$4:$E$1463,$E1086,$X$4:$X$1463,"&gt;"&amp;$X1086)+COUNTIFS($E$4:$E1086,$E1086,$X$4:$X1086,"="&amp;$X1086))))</f>
        <v>WARLOCK#69</v>
      </c>
      <c r="AC1086" s="41" t="str">
        <f>IF($C1086="","",$B1086&amp;"@"&amp;(COUNTIFS($B$4:$B$1463,$B1086,$C$4:$C$1463,"&lt;"&amp;$C1086)+COUNTIFS($B$4:$B1086,$B1086,$C$4:$C1086,$C1086)))</f>
        <v>SBG@77</v>
      </c>
      <c r="AD1086" s="41">
        <f t="shared" si="84"/>
        <v>1083</v>
      </c>
      <c r="AE1086" s="41" t="s">
        <v>2372</v>
      </c>
      <c r="AF1086" s="73">
        <f t="shared" si="85"/>
        <v>61982</v>
      </c>
      <c r="AG1086" s="74">
        <f t="shared" si="86"/>
        <v>6.2</v>
      </c>
      <c r="AH1086" s="41" t="str">
        <f>IF($C1086="","",$B1086&amp;"|"&amp;(COUNTIFS($B$4:$B$1463,$B1086,$AF$4:$AF$1463,"&gt;"&amp;$AF1086)+COUNTIFS($B$4:$B1086,$B1086,$AF$4:$AF1086,"="&amp;$AF1086)))</f>
        <v>SBG|72</v>
      </c>
      <c r="AI1086" s="41" t="str">
        <f>IF($C1086="","",$B1086&amp;"|"&amp;(COUNTIFS($B$4:$B$1463,$B1086,$AG$4:$AG$1463,"&gt;"&amp;$AG1086)+COUNTIFS($B$4:$B1086,$B1086,$AG$4:$AG1086,"="&amp;$AG1086)))</f>
        <v>SBG|34</v>
      </c>
    </row>
    <row r="1087" spans="1:35" hidden="1">
      <c r="A1087" s="69" t="s">
        <v>109</v>
      </c>
      <c r="B1087" s="69" t="s">
        <v>113</v>
      </c>
      <c r="C1087" s="63" t="s">
        <v>2373</v>
      </c>
      <c r="D1087" s="69" t="s">
        <v>548</v>
      </c>
      <c r="E1087" s="68" t="s">
        <v>77</v>
      </c>
      <c r="F1087" s="19" t="str">
        <f>IF($C1087="","",IF($E1087="","-",IFERROR(INDEX(SETUP!$B$55:$B$64,MATCH($E1087,SETUP!$A$55:$A$64,0)),"Other")))</f>
        <v>Control</v>
      </c>
      <c r="G1087" s="70">
        <v>53466</v>
      </c>
      <c r="H1087" s="19" t="str">
        <f>IF($C1087="","",IF($G1087="","-",INDEX(SETUP!$B$26:$B$32,MATCH($G1087,SETUP!$A$26:$A$32,1))))</f>
        <v>Under 58,000</v>
      </c>
      <c r="I1087" s="70">
        <v>860</v>
      </c>
      <c r="J1087" s="19" t="str">
        <f>IF($C1087="","",IF($I1087="","-",INDEX(SETUP!$B$16:$B$22,MATCH($I1087,SETUP!$A$16:$A$22,1))))</f>
        <v>ROOKIE</v>
      </c>
      <c r="K1087" s="19" t="str">
        <f>IF($C1087="","",IF($I1087="","-",TEXT(INT($I1087/1000)*1000,"#,##0")&amp;" - "&amp;TEXT(INT($I1087/1000)*1000+999,"#,##0")))</f>
        <v>0 - 999</v>
      </c>
      <c r="L1087" s="71">
        <v>2.7</v>
      </c>
      <c r="M1087" s="19" t="str">
        <f>IF($C1087="","",IF($L1087="","-",INDEX(SETUP!$B$36:$B$42,MATCH($L1087,SETUP!$A$36:$A$42,1))))</f>
        <v>Under 3k</v>
      </c>
      <c r="N1087" s="21">
        <f>IF($C1087="","",IF(OR($G1087="",$I1087=""),"",ROUND(100*(SETUP!$B$4*MIN(1,$I1087/SETUP!$B$9)+SETUP!$B$5*MAX(0,MIN(1,($G1087-SETUP!$B$10)/(SETUP!$B$11-SETUP!$B$10)))+SETUP!$B$6*MIN(1,IF($L1087="",0,$L1087)/SETUP!$B$12)),1)))</f>
        <v>8.3000000000000007</v>
      </c>
      <c r="O1087" s="19" t="str">
        <f>IF($C1087="","",IF($N1087="","-",INDEX(SETUP!$B$46:$B$51,MATCH($N1087,SETUP!$A$46:$A$51,1))))</f>
        <v>D</v>
      </c>
      <c r="P1087" s="19">
        <f>IF($C1087="","",IF($I1087="","",RANK($I1087,$I$4:$I$1463)+COUNTIF($I$4:$I1087,$I1087)-1))</f>
        <v>1289</v>
      </c>
      <c r="Q1087" s="19">
        <f>IF($C1087="","",COUNTIFS($B$4:$B$1463,$B1087,$X$4:$X$1463,"&gt;"&amp;$X1087)+COUNTIFS($B$4:$B1087,$B1087,$X$4:$X1087,"="&amp;$X1087))</f>
        <v>98</v>
      </c>
      <c r="R1087" s="75">
        <f>IF($C1087="","",IF($I1087="","",ROUND(COUNTIF($I$4:$I$1463,"&lt;"&amp;$I1087)/COUNT($I$4:$I$1463),3)))</f>
        <v>2.7E-2</v>
      </c>
      <c r="S1087" s="19" t="str">
        <f>IF($C1087="","",IF($G1087="","Name only",IF(OR($I1087="",$L1087=""),"Partial","Complete")))</f>
        <v>Complete</v>
      </c>
      <c r="T1087" s="1" t="str">
        <f>IF($C1087="","",TRIM(IF(COUNTIF($C$4:$C$1463,$C1087)&gt;1,"Dup name; ","")&amp;IF(AND($G1087&lt;&gt;"",$G1087&lt;55000),"Low CR - verify; ","")&amp;IF(AND($L1087&lt;&gt;"",$L1087&gt;15),"Secondary - verify; ","")&amp;IF($E1087="","No class; ","")))</f>
        <v>Low CR - verify;</v>
      </c>
      <c r="U1087" s="68"/>
      <c r="V1087" s="68"/>
      <c r="W1087" s="68"/>
      <c r="X1087" s="76">
        <f t="shared" si="82"/>
        <v>860</v>
      </c>
      <c r="Y1087" s="1" t="str">
        <f t="shared" si="83"/>
        <v>INVICTUS|98</v>
      </c>
      <c r="Z1087" s="19">
        <f>IF($C1087="","",IF($G1087="","",RANK($G1087,$G$4:$G$1463)+COUNTIF($G$4:$G1087,$G1087)-1))</f>
        <v>1324</v>
      </c>
      <c r="AA1087" s="19">
        <f>IF($C1087="","",IF($N1087="","",RANK($N1087,$N$4:$N$1463)+COUNTIF($N$4:$N1087,$N1087)-1))</f>
        <v>1321</v>
      </c>
      <c r="AB1087" s="1" t="str">
        <f>IF($C1087="","",IF($E1087="","",$E1087&amp;"#"&amp;(COUNTIFS($E$4:$E$1463,$E1087,$X$4:$X$1463,"&gt;"&amp;$X1087)+COUNTIFS($E$4:$E1087,$E1087,$X$4:$X1087,"="&amp;$X1087))))</f>
        <v>NECROMANCER#101</v>
      </c>
      <c r="AC1087" s="1" t="str">
        <f>IF($C1087="","",$B1087&amp;"@"&amp;(COUNTIFS($B$4:$B$1463,$B1087,$C$4:$C$1463,"&lt;"&amp;$C1087)+COUNTIFS($B$4:$B1087,$B1087,$C$4:$C1087,$C1087)))</f>
        <v>INVICTUS@79</v>
      </c>
      <c r="AD1087" s="1">
        <f t="shared" si="84"/>
        <v>1084</v>
      </c>
      <c r="AE1087" s="1" t="s">
        <v>2374</v>
      </c>
      <c r="AF1087" s="76">
        <f t="shared" si="85"/>
        <v>53466</v>
      </c>
      <c r="AG1087" s="77">
        <f t="shared" si="86"/>
        <v>2.7</v>
      </c>
      <c r="AH1087" s="1" t="str">
        <f>IF($C1087="","",$B1087&amp;"|"&amp;(COUNTIFS($B$4:$B$1463,$B1087,$AF$4:$AF$1463,"&gt;"&amp;$AF1087)+COUNTIFS($B$4:$B1087,$B1087,$AF$4:$AF1087,"="&amp;$AF1087)))</f>
        <v>INVICTUS|99</v>
      </c>
      <c r="AI1087" s="1" t="str">
        <f>IF($C1087="","",$B1087&amp;"|"&amp;(COUNTIFS($B$4:$B$1463,$B1087,$AG$4:$AG$1463,"&gt;"&amp;$AG1087)+COUNTIFS($B$4:$B1087,$B1087,$AG$4:$AG1087,"="&amp;$AG1087)))</f>
        <v>INVICTUS|97</v>
      </c>
    </row>
    <row r="1088" spans="1:35" hidden="1">
      <c r="A1088" s="69" t="s">
        <v>109</v>
      </c>
      <c r="B1088" s="69" t="s">
        <v>112</v>
      </c>
      <c r="C1088" s="63" t="s">
        <v>2375</v>
      </c>
      <c r="D1088" s="69" t="s">
        <v>567</v>
      </c>
      <c r="E1088" s="68" t="s">
        <v>74</v>
      </c>
      <c r="F1088" s="15" t="str">
        <f>IF($C1088="","",IF($E1088="","-",IFERROR(INDEX(SETUP!$B$55:$B$64,MATCH($E1088,SETUP!$A$55:$A$64,0)),"Other")))</f>
        <v>Ranged DPS</v>
      </c>
      <c r="G1088" s="70">
        <v>63356</v>
      </c>
      <c r="H1088" s="15" t="str">
        <f>IF($C1088="","",IF($G1088="","-",INDEX(SETUP!$B$26:$B$32,MATCH($G1088,SETUP!$A$26:$A$32,1))))</f>
        <v>63,000 - 63,999</v>
      </c>
      <c r="I1088" s="70">
        <v>4613</v>
      </c>
      <c r="J1088" s="15" t="str">
        <f>IF($C1088="","",IF($I1088="","-",INDEX(SETUP!$B$16:$B$22,MATCH($I1088,SETUP!$A$16:$A$22,1))))</f>
        <v>CORE</v>
      </c>
      <c r="K1088" s="15" t="str">
        <f>IF($C1088="","",IF($I1088="","-",TEXT(INT($I1088/1000)*1000,"#,##0")&amp;" - "&amp;TEXT(INT($I1088/1000)*1000+999,"#,##0")))</f>
        <v>4,000 - 4,999</v>
      </c>
      <c r="L1088" s="71">
        <v>5.15</v>
      </c>
      <c r="M1088" s="15" t="str">
        <f>IF($C1088="","",IF($L1088="","-",INDEX(SETUP!$B$36:$B$42,MATCH($L1088,SETUP!$A$36:$A$42,1))))</f>
        <v>5k - 6k</v>
      </c>
      <c r="N1088" s="17">
        <f>IF($C1088="","",IF(OR($G1088="",$I1088=""),"",ROUND(100*(SETUP!$B$4*MIN(1,$I1088/SETUP!$B$9)+SETUP!$B$5*MAX(0,MIN(1,($G1088-SETUP!$B$10)/(SETUP!$B$11-SETUP!$B$10)))+SETUP!$B$6*MIN(1,IF($L1088="",0,$L1088)/SETUP!$B$12)),1)))</f>
        <v>50.7</v>
      </c>
      <c r="O1088" s="15" t="str">
        <f>IF($C1088="","",IF($N1088="","-",INDEX(SETUP!$B$46:$B$51,MATCH($N1088,SETUP!$A$46:$A$51,1))))</f>
        <v>A</v>
      </c>
      <c r="P1088" s="15">
        <f>IF($C1088="","",IF($I1088="","",RANK($I1088,$I$4:$I$1463)+COUNTIF($I$4:$I1088,$I1088)-1))</f>
        <v>468</v>
      </c>
      <c r="Q1088" s="15">
        <f>IF($C1088="","",COUNTIFS($B$4:$B$1463,$B1088,$X$4:$X$1463,"&gt;"&amp;$X1088)+COUNTIFS($B$4:$B1088,$B1088,$X$4:$X1088,"="&amp;$X1088))</f>
        <v>31</v>
      </c>
      <c r="R1088" s="72">
        <f>IF($C1088="","",IF($I1088="","",ROUND(COUNTIF($I$4:$I$1463,"&lt;"&amp;$I1088)/COUNT($I$4:$I$1463),3)))</f>
        <v>0.64700000000000002</v>
      </c>
      <c r="S1088" s="15" t="str">
        <f>IF($C1088="","",IF($G1088="","Name only",IF(OR($I1088="",$L1088=""),"Partial","Complete")))</f>
        <v>Complete</v>
      </c>
      <c r="T1088" s="41" t="str">
        <f>IF($C1088="","",TRIM(IF(COUNTIF($C$4:$C$1463,$C1088)&gt;1,"Dup name; ","")&amp;IF(AND($G1088&lt;&gt;"",$G1088&lt;55000),"Low CR - verify; ","")&amp;IF(AND($L1088&lt;&gt;"",$L1088&gt;15),"Secondary - verify; ","")&amp;IF($E1088="","No class; ","")))</f>
        <v/>
      </c>
      <c r="U1088" s="68"/>
      <c r="V1088" s="68"/>
      <c r="W1088" s="68"/>
      <c r="X1088" s="73">
        <f t="shared" si="82"/>
        <v>4613</v>
      </c>
      <c r="Y1088" s="41" t="str">
        <f t="shared" si="83"/>
        <v>ACHERON|31</v>
      </c>
      <c r="Z1088" s="15">
        <f>IF($C1088="","",IF($G1088="","",RANK($G1088,$G$4:$G$1463)+COUNTIF($G$4:$G1088,$G1088)-1))</f>
        <v>238</v>
      </c>
      <c r="AA1088" s="15">
        <f>IF($C1088="","",IF($N1088="","",RANK($N1088,$N$4:$N$1463)+COUNTIF($N$4:$N1088,$N1088)-1))</f>
        <v>438</v>
      </c>
      <c r="AB1088" s="41" t="str">
        <f>IF($C1088="","",IF($E1088="","",$E1088&amp;"#"&amp;(COUNTIFS($E$4:$E$1463,$E1088,$X$4:$X$1463,"&gt;"&amp;$X1088)+COUNTIFS($E$4:$E1088,$E1088,$X$4:$X1088,"="&amp;$X1088))))</f>
        <v>DEMON HUNTER#78</v>
      </c>
      <c r="AC1088" s="41" t="str">
        <f>IF($C1088="","",$B1088&amp;"@"&amp;(COUNTIFS($B$4:$B$1463,$B1088,$C$4:$C$1463,"&lt;"&amp;$C1088)+COUNTIFS($B$4:$B1088,$B1088,$C$4:$C1088,$C1088)))</f>
        <v>ACHERON@73</v>
      </c>
      <c r="AD1088" s="41">
        <f t="shared" si="84"/>
        <v>1085</v>
      </c>
      <c r="AE1088" s="41" t="s">
        <v>2376</v>
      </c>
      <c r="AF1088" s="73">
        <f t="shared" si="85"/>
        <v>63356</v>
      </c>
      <c r="AG1088" s="74">
        <f t="shared" si="86"/>
        <v>5.15</v>
      </c>
      <c r="AH1088" s="41" t="str">
        <f>IF($C1088="","",$B1088&amp;"|"&amp;(COUNTIFS($B$4:$B$1463,$B1088,$AF$4:$AF$1463,"&gt;"&amp;$AF1088)+COUNTIFS($B$4:$B1088,$B1088,$AF$4:$AF1088,"="&amp;$AF1088)))</f>
        <v>ACHERON|13</v>
      </c>
      <c r="AI1088" s="41" t="str">
        <f>IF($C1088="","",$B1088&amp;"|"&amp;(COUNTIFS($B$4:$B$1463,$B1088,$AG$4:$AG$1463,"&gt;"&amp;$AG1088)+COUNTIFS($B$4:$B1088,$B1088,$AG$4:$AG1088,"="&amp;$AG1088)))</f>
        <v>ACHERON|42</v>
      </c>
    </row>
    <row r="1089" spans="1:35" hidden="1">
      <c r="A1089" s="69" t="s">
        <v>109</v>
      </c>
      <c r="B1089" s="69" t="s">
        <v>116</v>
      </c>
      <c r="C1089" s="63" t="s">
        <v>2377</v>
      </c>
      <c r="D1089" s="69" t="s">
        <v>530</v>
      </c>
      <c r="E1089" s="68"/>
      <c r="F1089" s="19" t="str">
        <f>IF($C1089="","",IF($E1089="","-",IFERROR(INDEX(SETUP!$B$55:$B$64,MATCH($E1089,SETUP!$A$55:$A$64,0)),"Other")))</f>
        <v>-</v>
      </c>
      <c r="G1089" s="70"/>
      <c r="H1089" s="19" t="str">
        <f>IF($C1089="","",IF($G1089="","-",INDEX(SETUP!$B$26:$B$32,MATCH($G1089,SETUP!$A$26:$A$32,1))))</f>
        <v>-</v>
      </c>
      <c r="I1089" s="70"/>
      <c r="J1089" s="19" t="str">
        <f>IF($C1089="","",IF($I1089="","-",INDEX(SETUP!$B$16:$B$22,MATCH($I1089,SETUP!$A$16:$A$22,1))))</f>
        <v>-</v>
      </c>
      <c r="K1089" s="19" t="str">
        <f>IF($C1089="","",IF($I1089="","-",TEXT(INT($I1089/1000)*1000,"#,##0")&amp;" - "&amp;TEXT(INT($I1089/1000)*1000+999,"#,##0")))</f>
        <v>-</v>
      </c>
      <c r="L1089" s="71"/>
      <c r="M1089" s="19" t="str">
        <f>IF($C1089="","",IF($L1089="","-",INDEX(SETUP!$B$36:$B$42,MATCH($L1089,SETUP!$A$36:$A$42,1))))</f>
        <v>-</v>
      </c>
      <c r="N1089" s="21" t="str">
        <f>IF($C1089="","",IF(OR($G1089="",$I1089=""),"",ROUND(100*(SETUP!$B$4*MIN(1,$I1089/SETUP!$B$9)+SETUP!$B$5*MAX(0,MIN(1,($G1089-SETUP!$B$10)/(SETUP!$B$11-SETUP!$B$10)))+SETUP!$B$6*MIN(1,IF($L1089="",0,$L1089)/SETUP!$B$12)),1)))</f>
        <v/>
      </c>
      <c r="O1089" s="19" t="str">
        <f>IF($C1089="","",IF($N1089="","-",INDEX(SETUP!$B$46:$B$51,MATCH($N1089,SETUP!$A$46:$A$51,1))))</f>
        <v>-</v>
      </c>
      <c r="P1089" s="19" t="str">
        <f>IF($C1089="","",IF($I1089="","",RANK($I1089,$I$4:$I$1463)+COUNTIF($I$4:$I1089,$I1089)-1))</f>
        <v/>
      </c>
      <c r="Q1089" s="19">
        <f>IF($C1089="","",COUNTIFS($B$4:$B$1463,$B1089,$X$4:$X$1463,"&gt;"&amp;$X1089)+COUNTIFS($B$4:$B1089,$B1089,$X$4:$X1089,"="&amp;$X1089))</f>
        <v>95</v>
      </c>
      <c r="R1089" s="75" t="str">
        <f>IF($C1089="","",IF($I1089="","",ROUND(COUNTIF($I$4:$I$1463,"&lt;"&amp;$I1089)/COUNT($I$4:$I$1463),3)))</f>
        <v/>
      </c>
      <c r="S1089" s="19" t="str">
        <f>IF($C1089="","",IF($G1089="","Name only",IF(OR($I1089="",$L1089=""),"Partial","Complete")))</f>
        <v>Name only</v>
      </c>
      <c r="T1089" s="1" t="str">
        <f>IF($C1089="","",TRIM(IF(COUNTIF($C$4:$C$1463,$C1089)&gt;1,"Dup name; ","")&amp;IF(AND($G1089&lt;&gt;"",$G1089&lt;55000),"Low CR - verify; ","")&amp;IF(AND($L1089&lt;&gt;"",$L1089&gt;15),"Secondary - verify; ","")&amp;IF($E1089="","No class; ","")))</f>
        <v>No class;</v>
      </c>
      <c r="U1089" s="68"/>
      <c r="V1089" s="68"/>
      <c r="W1089" s="68"/>
      <c r="X1089" s="1">
        <f t="shared" si="82"/>
        <v>-1</v>
      </c>
      <c r="Y1089" s="1" t="str">
        <f t="shared" si="83"/>
        <v>VENGEANCE|95</v>
      </c>
      <c r="Z1089" s="19" t="str">
        <f>IF($C1089="","",IF($G1089="","",RANK($G1089,$G$4:$G$1463)+COUNTIF($G$4:$G1089,$G1089)-1))</f>
        <v/>
      </c>
      <c r="AA1089" s="19" t="str">
        <f>IF($C1089="","",IF($N1089="","",RANK($N1089,$N$4:$N$1463)+COUNTIF($N$4:$N1089,$N1089)-1))</f>
        <v/>
      </c>
      <c r="AB1089" s="1" t="str">
        <f>IF($C1089="","",IF($E1089="","",$E1089&amp;"#"&amp;(COUNTIFS($E$4:$E$1463,$E1089,$X$4:$X$1463,"&gt;"&amp;$X1089)+COUNTIFS($E$4:$E1089,$E1089,$X$4:$X1089,"="&amp;$X1089))))</f>
        <v/>
      </c>
      <c r="AC1089" s="1" t="str">
        <f>IF($C1089="","",$B1089&amp;"@"&amp;(COUNTIFS($B$4:$B$1463,$B1089,$C$4:$C$1463,"&lt;"&amp;$C1089)+COUNTIFS($B$4:$B1089,$B1089,$C$4:$C1089,$C1089)))</f>
        <v>VENGEANCE@73</v>
      </c>
      <c r="AD1089" s="1">
        <f t="shared" si="84"/>
        <v>1086</v>
      </c>
      <c r="AE1089" s="1"/>
      <c r="AF1089" s="1">
        <f t="shared" si="85"/>
        <v>-1</v>
      </c>
      <c r="AG1089" s="1">
        <f t="shared" si="86"/>
        <v>-1</v>
      </c>
      <c r="AH1089" s="1" t="str">
        <f>IF($C1089="","",$B1089&amp;"|"&amp;(COUNTIFS($B$4:$B$1463,$B1089,$AF$4:$AF$1463,"&gt;"&amp;$AF1089)+COUNTIFS($B$4:$B1089,$B1089,$AF$4:$AF1089,"="&amp;$AF1089)))</f>
        <v>VENGEANCE|95</v>
      </c>
      <c r="AI1089" s="1" t="str">
        <f>IF($C1089="","",$B1089&amp;"|"&amp;(COUNTIFS($B$4:$B$1463,$B1089,$AG$4:$AG$1463,"&gt;"&amp;$AG1089)+COUNTIFS($B$4:$B1089,$B1089,$AG$4:$AG1089,"="&amp;$AG1089)))</f>
        <v>VENGEANCE|95</v>
      </c>
    </row>
    <row r="1090" spans="1:35" hidden="1">
      <c r="A1090" s="69" t="s">
        <v>109</v>
      </c>
      <c r="B1090" s="69" t="s">
        <v>114</v>
      </c>
      <c r="C1090" s="63" t="s">
        <v>2378</v>
      </c>
      <c r="D1090" s="69"/>
      <c r="E1090" s="68" t="s">
        <v>74</v>
      </c>
      <c r="F1090" s="15" t="str">
        <f>IF($C1090="","",IF($E1090="","-",IFERROR(INDEX(SETUP!$B$55:$B$64,MATCH($E1090,SETUP!$A$55:$A$64,0)),"Other")))</f>
        <v>Ranged DPS</v>
      </c>
      <c r="G1090" s="70">
        <v>62213</v>
      </c>
      <c r="H1090" s="15" t="str">
        <f>IF($C1090="","",IF($G1090="","-",INDEX(SETUP!$B$26:$B$32,MATCH($G1090,SETUP!$A$26:$A$32,1))))</f>
        <v>62,000 - 62,999</v>
      </c>
      <c r="I1090" s="70">
        <v>5118</v>
      </c>
      <c r="J1090" s="15" t="str">
        <f>IF($C1090="","",IF($I1090="","-",INDEX(SETUP!$B$16:$B$22,MATCH($I1090,SETUP!$A$16:$A$22,1))))</f>
        <v>CORE</v>
      </c>
      <c r="K1090" s="15" t="str">
        <f>IF($C1090="","",IF($I1090="","-",TEXT(INT($I1090/1000)*1000,"#,##0")&amp;" - "&amp;TEXT(INT($I1090/1000)*1000+999,"#,##0")))</f>
        <v>5,000 - 5,999</v>
      </c>
      <c r="L1090" s="71">
        <v>3.55</v>
      </c>
      <c r="M1090" s="15" t="str">
        <f>IF($C1090="","",IF($L1090="","-",INDEX(SETUP!$B$36:$B$42,MATCH($L1090,SETUP!$A$36:$A$42,1))))</f>
        <v>3k - 4k</v>
      </c>
      <c r="N1090" s="17">
        <f>IF($C1090="","",IF(OR($G1090="",$I1090=""),"",ROUND(100*(SETUP!$B$4*MIN(1,$I1090/SETUP!$B$9)+SETUP!$B$5*MAX(0,MIN(1,($G1090-SETUP!$B$10)/(SETUP!$B$11-SETUP!$B$10)))+SETUP!$B$6*MIN(1,IF($L1090="",0,$L1090)/SETUP!$B$12)),1)))</f>
        <v>47.2</v>
      </c>
      <c r="O1090" s="15" t="str">
        <f>IF($C1090="","",IF($N1090="","-",INDEX(SETUP!$B$46:$B$51,MATCH($N1090,SETUP!$A$46:$A$51,1))))</f>
        <v>B</v>
      </c>
      <c r="P1090" s="15">
        <f>IF($C1090="","",IF($I1090="","",RANK($I1090,$I$4:$I$1463)+COUNTIF($I$4:$I1090,$I1090)-1))</f>
        <v>390</v>
      </c>
      <c r="Q1090" s="15">
        <f>IF($C1090="","",COUNTIFS($B$4:$B$1463,$B1090,$X$4:$X$1463,"&gt;"&amp;$X1090)+COUNTIFS($B$4:$B1090,$B1090,$X$4:$X1090,"="&amp;$X1090))</f>
        <v>2</v>
      </c>
      <c r="R1090" s="72">
        <f>IF($C1090="","",IF($I1090="","",ROUND(COUNTIF($I$4:$I$1463,"&lt;"&amp;$I1090)/COUNT($I$4:$I$1463),3)))</f>
        <v>0.70599999999999996</v>
      </c>
      <c r="S1090" s="15" t="str">
        <f>IF($C1090="","",IF($G1090="","Name only",IF(OR($I1090="",$L1090=""),"Partial","Complete")))</f>
        <v>Complete</v>
      </c>
      <c r="T1090" s="41" t="str">
        <f>IF($C1090="","",TRIM(IF(COUNTIF($C$4:$C$1463,$C1090)&gt;1,"Dup name; ","")&amp;IF(AND($G1090&lt;&gt;"",$G1090&lt;55000),"Low CR - verify; ","")&amp;IF(AND($L1090&lt;&gt;"",$L1090&gt;15),"Secondary - verify; ","")&amp;IF($E1090="","No class; ","")))</f>
        <v/>
      </c>
      <c r="U1090" s="68"/>
      <c r="V1090" s="68"/>
      <c r="W1090" s="68"/>
      <c r="X1090" s="73">
        <f t="shared" si="82"/>
        <v>5118</v>
      </c>
      <c r="Y1090" s="41" t="str">
        <f t="shared" si="83"/>
        <v>EMERALD LEAF TRIBE|2</v>
      </c>
      <c r="Z1090" s="15">
        <f>IF($C1090="","",IF($G1090="","",RANK($G1090,$G$4:$G$1463)+COUNTIF($G$4:$G1090,$G1090)-1))</f>
        <v>752</v>
      </c>
      <c r="AA1090" s="15">
        <f>IF($C1090="","",IF($N1090="","",RANK($N1090,$N$4:$N$1463)+COUNTIF($N$4:$N1090,$N1090)-1))</f>
        <v>548</v>
      </c>
      <c r="AB1090" s="41" t="str">
        <f>IF($C1090="","",IF($E1090="","",$E1090&amp;"#"&amp;(COUNTIFS($E$4:$E$1463,$E1090,$X$4:$X$1463,"&gt;"&amp;$X1090)+COUNTIFS($E$4:$E1090,$E1090,$X$4:$X1090,"="&amp;$X1090))))</f>
        <v>DEMON HUNTER#63</v>
      </c>
      <c r="AC1090" s="41" t="str">
        <f>IF($C1090="","",$B1090&amp;"@"&amp;(COUNTIFS($B$4:$B$1463,$B1090,$C$4:$C$1463,"&lt;"&amp;$C1090)+COUNTIFS($B$4:$B1090,$B1090,$C$4:$C1090,$C1090)))</f>
        <v>EMERALD LEAF TRIBE@78</v>
      </c>
      <c r="AD1090" s="41">
        <f t="shared" si="84"/>
        <v>1087</v>
      </c>
      <c r="AE1090" s="41" t="s">
        <v>2379</v>
      </c>
      <c r="AF1090" s="73">
        <f t="shared" si="85"/>
        <v>62213</v>
      </c>
      <c r="AG1090" s="74">
        <f t="shared" si="86"/>
        <v>3.55</v>
      </c>
      <c r="AH1090" s="41" t="str">
        <f>IF($C1090="","",$B1090&amp;"|"&amp;(COUNTIFS($B$4:$B$1463,$B1090,$AF$4:$AF$1463,"&gt;"&amp;$AF1090)+COUNTIFS($B$4:$B1090,$B1090,$AF$4:$AF1090,"="&amp;$AF1090)))</f>
        <v>EMERALD LEAF TRIBE|23</v>
      </c>
      <c r="AI1090" s="41" t="str">
        <f>IF($C1090="","",$B1090&amp;"|"&amp;(COUNTIFS($B$4:$B$1463,$B1090,$AG$4:$AG$1463,"&gt;"&amp;$AG1090)+COUNTIFS($B$4:$B1090,$B1090,$AG$4:$AG1090,"="&amp;$AG1090)))</f>
        <v>EMERALD LEAF TRIBE|50</v>
      </c>
    </row>
    <row r="1091" spans="1:35" hidden="1">
      <c r="A1091" s="69" t="s">
        <v>109</v>
      </c>
      <c r="B1091" s="69" t="s">
        <v>113</v>
      </c>
      <c r="C1091" s="63" t="s">
        <v>2380</v>
      </c>
      <c r="D1091" s="69" t="s">
        <v>548</v>
      </c>
      <c r="E1091" s="68" t="s">
        <v>79</v>
      </c>
      <c r="F1091" s="19" t="str">
        <f>IF($C1091="","",IF($E1091="","-",IFERROR(INDEX(SETUP!$B$55:$B$64,MATCH($E1091,SETUP!$A$55:$A$64,0)),"Other")))</f>
        <v>Control</v>
      </c>
      <c r="G1091" s="70">
        <v>63254</v>
      </c>
      <c r="H1091" s="19" t="str">
        <f>IF($C1091="","",IF($G1091="","-",INDEX(SETUP!$B$26:$B$32,MATCH($G1091,SETUP!$A$26:$A$32,1))))</f>
        <v>63,000 - 63,999</v>
      </c>
      <c r="I1091" s="70">
        <v>4607</v>
      </c>
      <c r="J1091" s="19" t="str">
        <f>IF($C1091="","",IF($I1091="","-",INDEX(SETUP!$B$16:$B$22,MATCH($I1091,SETUP!$A$16:$A$22,1))))</f>
        <v>CORE</v>
      </c>
      <c r="K1091" s="19" t="str">
        <f>IF($C1091="","",IF($I1091="","-",TEXT(INT($I1091/1000)*1000,"#,##0")&amp;" - "&amp;TEXT(INT($I1091/1000)*1000+999,"#,##0")))</f>
        <v>4,000 - 4,999</v>
      </c>
      <c r="L1091" s="71">
        <v>7.15</v>
      </c>
      <c r="M1091" s="19" t="str">
        <f>IF($C1091="","",IF($L1091="","-",INDEX(SETUP!$B$36:$B$42,MATCH($L1091,SETUP!$A$36:$A$42,1))))</f>
        <v>6k - 8k</v>
      </c>
      <c r="N1091" s="21">
        <f>IF($C1091="","",IF(OR($G1091="",$I1091=""),"",ROUND(100*(SETUP!$B$4*MIN(1,$I1091/SETUP!$B$9)+SETUP!$B$5*MAX(0,MIN(1,($G1091-SETUP!$B$10)/(SETUP!$B$11-SETUP!$B$10)))+SETUP!$B$6*MIN(1,IF($L1091="",0,$L1091)/SETUP!$B$12)),1)))</f>
        <v>53.7</v>
      </c>
      <c r="O1091" s="19" t="str">
        <f>IF($C1091="","",IF($N1091="","-",INDEX(SETUP!$B$46:$B$51,MATCH($N1091,SETUP!$A$46:$A$51,1))))</f>
        <v>A</v>
      </c>
      <c r="P1091" s="19">
        <f>IF($C1091="","",IF($I1091="","",RANK($I1091,$I$4:$I$1463)+COUNTIF($I$4:$I1091,$I1091)-1))</f>
        <v>473</v>
      </c>
      <c r="Q1091" s="19">
        <f>IF($C1091="","",COUNTIFS($B$4:$B$1463,$B1091,$X$4:$X$1463,"&gt;"&amp;$X1091)+COUNTIFS($B$4:$B1091,$B1091,$X$4:$X1091,"="&amp;$X1091))</f>
        <v>21</v>
      </c>
      <c r="R1091" s="75">
        <f>IF($C1091="","",IF($I1091="","",ROUND(COUNTIF($I$4:$I$1463,"&lt;"&amp;$I1091)/COUNT($I$4:$I$1463),3)))</f>
        <v>0.64300000000000002</v>
      </c>
      <c r="S1091" s="19" t="str">
        <f>IF($C1091="","",IF($G1091="","Name only",IF(OR($I1091="",$L1091=""),"Partial","Complete")))</f>
        <v>Complete</v>
      </c>
      <c r="T1091" s="1" t="str">
        <f>IF($C1091="","",TRIM(IF(COUNTIF($C$4:$C$1463,$C1091)&gt;1,"Dup name; ","")&amp;IF(AND($G1091&lt;&gt;"",$G1091&lt;55000),"Low CR - verify; ","")&amp;IF(AND($L1091&lt;&gt;"",$L1091&gt;15),"Secondary - verify; ","")&amp;IF($E1091="","No class; ","")))</f>
        <v/>
      </c>
      <c r="U1091" s="68"/>
      <c r="V1091" s="68"/>
      <c r="W1091" s="68"/>
      <c r="X1091" s="76">
        <f t="shared" si="82"/>
        <v>4607</v>
      </c>
      <c r="Y1091" s="1" t="str">
        <f t="shared" si="83"/>
        <v>INVICTUS|21</v>
      </c>
      <c r="Z1091" s="19">
        <f>IF($C1091="","",IF($G1091="","",RANK($G1091,$G$4:$G$1463)+COUNTIF($G$4:$G1091,$G1091)-1))</f>
        <v>288</v>
      </c>
      <c r="AA1091" s="19">
        <f>IF($C1091="","",IF($N1091="","",RANK($N1091,$N$4:$N$1463)+COUNTIF($N$4:$N1091,$N1091)-1))</f>
        <v>345</v>
      </c>
      <c r="AB1091" s="1" t="str">
        <f>IF($C1091="","",IF($E1091="","",$E1091&amp;"#"&amp;(COUNTIFS($E$4:$E$1463,$E1091,$X$4:$X$1463,"&gt;"&amp;$X1091)+COUNTIFS($E$4:$E1091,$E1091,$X$4:$X1091,"="&amp;$X1091))))</f>
        <v>WARLOCK#109</v>
      </c>
      <c r="AC1091" s="1" t="str">
        <f>IF($C1091="","",$B1091&amp;"@"&amp;(COUNTIFS($B$4:$B$1463,$B1091,$C$4:$C$1463,"&lt;"&amp;$C1091)+COUNTIFS($B$4:$B1091,$B1091,$C$4:$C1091,$C1091)))</f>
        <v>INVICTUS@80</v>
      </c>
      <c r="AD1091" s="1">
        <f t="shared" si="84"/>
        <v>1088</v>
      </c>
      <c r="AE1091" s="1" t="s">
        <v>2381</v>
      </c>
      <c r="AF1091" s="76">
        <f t="shared" si="85"/>
        <v>63254</v>
      </c>
      <c r="AG1091" s="77">
        <f t="shared" si="86"/>
        <v>7.15</v>
      </c>
      <c r="AH1091" s="1" t="str">
        <f>IF($C1091="","",$B1091&amp;"|"&amp;(COUNTIFS($B$4:$B$1463,$B1091,$AF$4:$AF$1463,"&gt;"&amp;$AF1091)+COUNTIFS($B$4:$B1091,$B1091,$AF$4:$AF1091,"="&amp;$AF1091)))</f>
        <v>INVICTUS|12</v>
      </c>
      <c r="AI1091" s="1" t="str">
        <f>IF($C1091="","",$B1091&amp;"|"&amp;(COUNTIFS($B$4:$B$1463,$B1091,$AG$4:$AG$1463,"&gt;"&amp;$AG1091)+COUNTIFS($B$4:$B1091,$B1091,$AG$4:$AG1091,"="&amp;$AG1091)))</f>
        <v>INVICTUS|3</v>
      </c>
    </row>
    <row r="1092" spans="1:35" hidden="1">
      <c r="A1092" s="69" t="s">
        <v>109</v>
      </c>
      <c r="B1092" s="69" t="s">
        <v>117</v>
      </c>
      <c r="C1092" s="63" t="s">
        <v>2382</v>
      </c>
      <c r="D1092" s="69"/>
      <c r="E1092" s="68" t="s">
        <v>79</v>
      </c>
      <c r="F1092" s="15" t="str">
        <f>IF($C1092="","",IF($E1092="","-",IFERROR(INDEX(SETUP!$B$55:$B$64,MATCH($E1092,SETUP!$A$55:$A$64,0)),"Other")))</f>
        <v>Control</v>
      </c>
      <c r="G1092" s="70">
        <v>61456</v>
      </c>
      <c r="H1092" s="15" t="str">
        <f>IF($C1092="","",IF($G1092="","-",INDEX(SETUP!$B$26:$B$32,MATCH($G1092,SETUP!$A$26:$A$32,1))))</f>
        <v>61,000 - 61,999</v>
      </c>
      <c r="I1092" s="70">
        <v>2847</v>
      </c>
      <c r="J1092" s="15" t="str">
        <f>IF($C1092="","",IF($I1092="","-",INDEX(SETUP!$B$16:$B$22,MATCH($I1092,SETUP!$A$16:$A$22,1))))</f>
        <v>DEVELOPING</v>
      </c>
      <c r="K1092" s="15" t="str">
        <f>IF($C1092="","",IF($I1092="","-",TEXT(INT($I1092/1000)*1000,"#,##0")&amp;" - "&amp;TEXT(INT($I1092/1000)*1000+999,"#,##0")))</f>
        <v>2,000 - 2,999</v>
      </c>
      <c r="L1092" s="71">
        <v>3</v>
      </c>
      <c r="M1092" s="15" t="str">
        <f>IF($C1092="","",IF($L1092="","-",INDEX(SETUP!$B$36:$B$42,MATCH($L1092,SETUP!$A$36:$A$42,1))))</f>
        <v>3k - 4k</v>
      </c>
      <c r="N1092" s="17">
        <f>IF($C1092="","",IF(OR($G1092="",$I1092=""),"",ROUND(100*(SETUP!$B$4*MIN(1,$I1092/SETUP!$B$9)+SETUP!$B$5*MAX(0,MIN(1,($G1092-SETUP!$B$10)/(SETUP!$B$11-SETUP!$B$10)))+SETUP!$B$6*MIN(1,IF($L1092="",0,$L1092)/SETUP!$B$12)),1)))</f>
        <v>34.4</v>
      </c>
      <c r="O1092" s="15" t="str">
        <f>IF($C1092="","",IF($N1092="","-",INDEX(SETUP!$B$46:$B$51,MATCH($N1092,SETUP!$A$46:$A$51,1))))</f>
        <v>C</v>
      </c>
      <c r="P1092" s="15">
        <f>IF($C1092="","",IF($I1092="","",RANK($I1092,$I$4:$I$1463)+COUNTIF($I$4:$I1092,$I1092)-1))</f>
        <v>922</v>
      </c>
      <c r="Q1092" s="15">
        <f>IF($C1092="","",COUNTIFS($B$4:$B$1463,$B1092,$X$4:$X$1463,"&gt;"&amp;$X1092)+COUNTIFS($B$4:$B1092,$B1092,$X$4:$X1092,"="&amp;$X1092))</f>
        <v>21</v>
      </c>
      <c r="R1092" s="72">
        <f>IF($C1092="","",IF($I1092="","",ROUND(COUNTIF($I$4:$I$1463,"&lt;"&amp;$I1092)/COUNT($I$4:$I$1463),3)))</f>
        <v>0.30399999999999999</v>
      </c>
      <c r="S1092" s="15" t="str">
        <f>IF($C1092="","",IF($G1092="","Name only",IF(OR($I1092="",$L1092=""),"Partial","Complete")))</f>
        <v>Complete</v>
      </c>
      <c r="T1092" s="41" t="str">
        <f>IF($C1092="","",TRIM(IF(COUNTIF($C$4:$C$1463,$C1092)&gt;1,"Dup name; ","")&amp;IF(AND($G1092&lt;&gt;"",$G1092&lt;55000),"Low CR - verify; ","")&amp;IF(AND($L1092&lt;&gt;"",$L1092&gt;15),"Secondary - verify; ","")&amp;IF($E1092="","No class; ","")))</f>
        <v/>
      </c>
      <c r="U1092" s="68"/>
      <c r="V1092" s="68"/>
      <c r="W1092" s="68"/>
      <c r="X1092" s="73">
        <f t="shared" ref="X1092:X1155" si="87">IF($C1092="","",IF($I1092="",-1,$I1092))</f>
        <v>2847</v>
      </c>
      <c r="Y1092" s="41" t="str">
        <f t="shared" ref="Y1092:Y1155" si="88">IF($C1092="","",$B1092&amp;"|"&amp;$Q1092)</f>
        <v>VENDETTA|21</v>
      </c>
      <c r="Z1092" s="15">
        <f>IF($C1092="","",IF($G1092="","",RANK($G1092,$G$4:$G$1463)+COUNTIF($G$4:$G1092,$G1092)-1))</f>
        <v>1013</v>
      </c>
      <c r="AA1092" s="15">
        <f>IF($C1092="","",IF($N1092="","",RANK($N1092,$N$4:$N$1463)+COUNTIF($N$4:$N1092,$N1092)-1))</f>
        <v>1028</v>
      </c>
      <c r="AB1092" s="41" t="str">
        <f>IF($C1092="","",IF($E1092="","",$E1092&amp;"#"&amp;(COUNTIFS($E$4:$E$1463,$E1092,$X$4:$X$1463,"&gt;"&amp;$X1092)+COUNTIFS($E$4:$E1092,$E1092,$X$4:$X1092,"="&amp;$X1092))))</f>
        <v>WARLOCK#228</v>
      </c>
      <c r="AC1092" s="41" t="str">
        <f>IF($C1092="","",$B1092&amp;"@"&amp;(COUNTIFS($B$4:$B$1463,$B1092,$C$4:$C$1463,"&lt;"&amp;$C1092)+COUNTIFS($B$4:$B1092,$B1092,$C$4:$C1092,$C1092)))</f>
        <v>VENDETTA@81</v>
      </c>
      <c r="AD1092" s="41">
        <f t="shared" ref="AD1092:AD1155" si="89">IF($C1092="","",ROW()-4+1)</f>
        <v>1089</v>
      </c>
      <c r="AE1092" s="41" t="s">
        <v>611</v>
      </c>
      <c r="AF1092" s="73">
        <f t="shared" ref="AF1092:AF1155" si="90">IF($C1092="","",IF($G1092="",-1,$G1092))</f>
        <v>61456</v>
      </c>
      <c r="AG1092" s="74">
        <f t="shared" ref="AG1092:AG1155" si="91">IF($C1092="","",IF($L1092="",-1,$L1092))</f>
        <v>3</v>
      </c>
      <c r="AH1092" s="41" t="str">
        <f>IF($C1092="","",$B1092&amp;"|"&amp;(COUNTIFS($B$4:$B$1463,$B1092,$AF$4:$AF$1463,"&gt;"&amp;$AF1092)+COUNTIFS($B$4:$B1092,$B1092,$AF$4:$AF1092,"="&amp;$AF1092)))</f>
        <v>VENDETTA|52</v>
      </c>
      <c r="AI1092" s="41" t="str">
        <f>IF($C1092="","",$B1092&amp;"|"&amp;(COUNTIFS($B$4:$B$1463,$B1092,$AG$4:$AG$1463,"&gt;"&amp;$AG1092)+COUNTIFS($B$4:$B1092,$B1092,$AG$4:$AG1092,"="&amp;$AG1092)))</f>
        <v>VENDETTA|81</v>
      </c>
    </row>
    <row r="1093" spans="1:35" hidden="1">
      <c r="A1093" s="69" t="s">
        <v>109</v>
      </c>
      <c r="B1093" s="69" t="s">
        <v>110</v>
      </c>
      <c r="C1093" s="63" t="s">
        <v>2383</v>
      </c>
      <c r="D1093" s="69"/>
      <c r="E1093" s="68" t="s">
        <v>74</v>
      </c>
      <c r="F1093" s="19" t="str">
        <f>IF($C1093="","",IF($E1093="","-",IFERROR(INDEX(SETUP!$B$55:$B$64,MATCH($E1093,SETUP!$A$55:$A$64,0)),"Other")))</f>
        <v>Ranged DPS</v>
      </c>
      <c r="G1093" s="70">
        <v>62291</v>
      </c>
      <c r="H1093" s="19" t="str">
        <f>IF($C1093="","",IF($G1093="","-",INDEX(SETUP!$B$26:$B$32,MATCH($G1093,SETUP!$A$26:$A$32,1))))</f>
        <v>62,000 - 62,999</v>
      </c>
      <c r="I1093" s="70">
        <v>2951</v>
      </c>
      <c r="J1093" s="19" t="str">
        <f>IF($C1093="","",IF($I1093="","-",INDEX(SETUP!$B$16:$B$22,MATCH($I1093,SETUP!$A$16:$A$22,1))))</f>
        <v>DEVELOPING</v>
      </c>
      <c r="K1093" s="19" t="str">
        <f>IF($C1093="","",IF($I1093="","-",TEXT(INT($I1093/1000)*1000,"#,##0")&amp;" - "&amp;TEXT(INT($I1093/1000)*1000+999,"#,##0")))</f>
        <v>2,000 - 2,999</v>
      </c>
      <c r="L1093" s="71">
        <v>6.3</v>
      </c>
      <c r="M1093" s="19" t="str">
        <f>IF($C1093="","",IF($L1093="","-",INDEX(SETUP!$B$36:$B$42,MATCH($L1093,SETUP!$A$36:$A$42,1))))</f>
        <v>6k - 8k</v>
      </c>
      <c r="N1093" s="21">
        <f>IF($C1093="","",IF(OR($G1093="",$I1093=""),"",ROUND(100*(SETUP!$B$4*MIN(1,$I1093/SETUP!$B$9)+SETUP!$B$5*MAX(0,MIN(1,($G1093-SETUP!$B$10)/(SETUP!$B$11-SETUP!$B$10)))+SETUP!$B$6*MIN(1,IF($L1093="",0,$L1093)/SETUP!$B$12)),1)))</f>
        <v>42.6</v>
      </c>
      <c r="O1093" s="19" t="str">
        <f>IF($C1093="","",IF($N1093="","-",INDEX(SETUP!$B$46:$B$51,MATCH($N1093,SETUP!$A$46:$A$51,1))))</f>
        <v>B</v>
      </c>
      <c r="P1093" s="19">
        <f>IF($C1093="","",IF($I1093="","",RANK($I1093,$I$4:$I$1463)+COUNTIF($I$4:$I1093,$I1093)-1))</f>
        <v>896</v>
      </c>
      <c r="Q1093" s="19">
        <f>IF($C1093="","",COUNTIFS($B$4:$B$1463,$B1093,$X$4:$X$1463,"&gt;"&amp;$X1093)+COUNTIFS($B$4:$B1093,$B1093,$X$4:$X1093,"="&amp;$X1093))</f>
        <v>96</v>
      </c>
      <c r="R1093" s="75">
        <f>IF($C1093="","",IF($I1093="","",ROUND(COUNTIF($I$4:$I$1463,"&lt;"&amp;$I1093)/COUNT($I$4:$I$1463),3)))</f>
        <v>0.32400000000000001</v>
      </c>
      <c r="S1093" s="19" t="str">
        <f>IF($C1093="","",IF($G1093="","Name only",IF(OR($I1093="",$L1093=""),"Partial","Complete")))</f>
        <v>Complete</v>
      </c>
      <c r="T1093" s="1" t="str">
        <f>IF($C1093="","",TRIM(IF(COUNTIF($C$4:$C$1463,$C1093)&gt;1,"Dup name; ","")&amp;IF(AND($G1093&lt;&gt;"",$G1093&lt;55000),"Low CR - verify; ","")&amp;IF(AND($L1093&lt;&gt;"",$L1093&gt;15),"Secondary - verify; ","")&amp;IF($E1093="","No class; ","")))</f>
        <v/>
      </c>
      <c r="U1093" s="68"/>
      <c r="V1093" s="68"/>
      <c r="W1093" s="68"/>
      <c r="X1093" s="76">
        <f t="shared" si="87"/>
        <v>2951</v>
      </c>
      <c r="Y1093" s="1" t="str">
        <f t="shared" si="88"/>
        <v>AZUKI|96</v>
      </c>
      <c r="Z1093" s="19">
        <f>IF($C1093="","",IF($G1093="","",RANK($G1093,$G$4:$G$1463)+COUNTIF($G$4:$G1093,$G1093)-1))</f>
        <v>724</v>
      </c>
      <c r="AA1093" s="19">
        <f>IF($C1093="","",IF($N1093="","",RANK($N1093,$N$4:$N$1463)+COUNTIF($N$4:$N1093,$N1093)-1))</f>
        <v>723</v>
      </c>
      <c r="AB1093" s="1" t="str">
        <f>IF($C1093="","",IF($E1093="","",$E1093&amp;"#"&amp;(COUNTIFS($E$4:$E$1463,$E1093,$X$4:$X$1463,"&gt;"&amp;$X1093)+COUNTIFS($E$4:$E1093,$E1093,$X$4:$X1093,"="&amp;$X1093))))</f>
        <v>DEMON HUNTER#142</v>
      </c>
      <c r="AC1093" s="1" t="str">
        <f>IF($C1093="","",$B1093&amp;"@"&amp;(COUNTIFS($B$4:$B$1463,$B1093,$C$4:$C$1463,"&lt;"&amp;$C1093)+COUNTIFS($B$4:$B1093,$B1093,$C$4:$C1093,$C1093)))</f>
        <v>AZUKI@83</v>
      </c>
      <c r="AD1093" s="1">
        <f t="shared" si="89"/>
        <v>1090</v>
      </c>
      <c r="AE1093" s="1" t="s">
        <v>2384</v>
      </c>
      <c r="AF1093" s="76">
        <f t="shared" si="90"/>
        <v>62291</v>
      </c>
      <c r="AG1093" s="77">
        <f t="shared" si="91"/>
        <v>6.3</v>
      </c>
      <c r="AH1093" s="1" t="str">
        <f>IF($C1093="","",$B1093&amp;"|"&amp;(COUNTIFS($B$4:$B$1463,$B1093,$AF$4:$AF$1463,"&gt;"&amp;$AF1093)+COUNTIFS($B$4:$B1093,$B1093,$AF$4:$AF1093,"="&amp;$AF1093)))</f>
        <v>AZUKI|63</v>
      </c>
      <c r="AI1093" s="1" t="str">
        <f>IF($C1093="","",$B1093&amp;"|"&amp;(COUNTIFS($B$4:$B$1463,$B1093,$AG$4:$AG$1463,"&gt;"&amp;$AG1093)+COUNTIFS($B$4:$B1093,$B1093,$AG$4:$AG1093,"="&amp;$AG1093)))</f>
        <v>AZUKI|38</v>
      </c>
    </row>
    <row r="1094" spans="1:35" hidden="1">
      <c r="A1094" s="69" t="s">
        <v>109</v>
      </c>
      <c r="B1094" s="69" t="s">
        <v>116</v>
      </c>
      <c r="C1094" s="63" t="s">
        <v>2385</v>
      </c>
      <c r="D1094" s="69" t="s">
        <v>530</v>
      </c>
      <c r="E1094" s="68" t="s">
        <v>79</v>
      </c>
      <c r="F1094" s="15" t="str">
        <f>IF($C1094="","",IF($E1094="","-",IFERROR(INDEX(SETUP!$B$55:$B$64,MATCH($E1094,SETUP!$A$55:$A$64,0)),"Other")))</f>
        <v>Control</v>
      </c>
      <c r="G1094" s="70">
        <v>62502</v>
      </c>
      <c r="H1094" s="15" t="str">
        <f>IF($C1094="","",IF($G1094="","-",INDEX(SETUP!$B$26:$B$32,MATCH($G1094,SETUP!$A$26:$A$32,1))))</f>
        <v>62,000 - 62,999</v>
      </c>
      <c r="I1094" s="70">
        <v>5177</v>
      </c>
      <c r="J1094" s="15" t="str">
        <f>IF($C1094="","",IF($I1094="","-",INDEX(SETUP!$B$16:$B$22,MATCH($I1094,SETUP!$A$16:$A$22,1))))</f>
        <v>CORE</v>
      </c>
      <c r="K1094" s="15" t="str">
        <f>IF($C1094="","",IF($I1094="","-",TEXT(INT($I1094/1000)*1000,"#,##0")&amp;" - "&amp;TEXT(INT($I1094/1000)*1000+999,"#,##0")))</f>
        <v>5,000 - 5,999</v>
      </c>
      <c r="L1094" s="71">
        <v>5.8</v>
      </c>
      <c r="M1094" s="15" t="str">
        <f>IF($C1094="","",IF($L1094="","-",INDEX(SETUP!$B$36:$B$42,MATCH($L1094,SETUP!$A$36:$A$42,1))))</f>
        <v>5k - 6k</v>
      </c>
      <c r="N1094" s="17">
        <f>IF($C1094="","",IF(OR($G1094="",$I1094=""),"",ROUND(100*(SETUP!$B$4*MIN(1,$I1094/SETUP!$B$9)+SETUP!$B$5*MAX(0,MIN(1,($G1094-SETUP!$B$10)/(SETUP!$B$11-SETUP!$B$10)))+SETUP!$B$6*MIN(1,IF($L1094="",0,$L1094)/SETUP!$B$12)),1)))</f>
        <v>52</v>
      </c>
      <c r="O1094" s="15" t="str">
        <f>IF($C1094="","",IF($N1094="","-",INDEX(SETUP!$B$46:$B$51,MATCH($N1094,SETUP!$A$46:$A$51,1))))</f>
        <v>A</v>
      </c>
      <c r="P1094" s="15">
        <f>IF($C1094="","",IF($I1094="","",RANK($I1094,$I$4:$I$1463)+COUNTIF($I$4:$I1094,$I1094)-1))</f>
        <v>383</v>
      </c>
      <c r="Q1094" s="15">
        <f>IF($C1094="","",COUNTIFS($B$4:$B$1463,$B1094,$X$4:$X$1463,"&gt;"&amp;$X1094)+COUNTIFS($B$4:$B1094,$B1094,$X$4:$X1094,"="&amp;$X1094))</f>
        <v>14</v>
      </c>
      <c r="R1094" s="72">
        <f>IF($C1094="","",IF($I1094="","",ROUND(COUNTIF($I$4:$I$1463,"&lt;"&amp;$I1094)/COUNT($I$4:$I$1463),3)))</f>
        <v>0.71099999999999997</v>
      </c>
      <c r="S1094" s="15" t="str">
        <f>IF($C1094="","",IF($G1094="","Name only",IF(OR($I1094="",$L1094=""),"Partial","Complete")))</f>
        <v>Complete</v>
      </c>
      <c r="T1094" s="41" t="str">
        <f>IF($C1094="","",TRIM(IF(COUNTIF($C$4:$C$1463,$C1094)&gt;1,"Dup name; ","")&amp;IF(AND($G1094&lt;&gt;"",$G1094&lt;55000),"Low CR - verify; ","")&amp;IF(AND($L1094&lt;&gt;"",$L1094&gt;15),"Secondary - verify; ","")&amp;IF($E1094="","No class; ","")))</f>
        <v/>
      </c>
      <c r="U1094" s="68"/>
      <c r="V1094" s="68"/>
      <c r="W1094" s="68"/>
      <c r="X1094" s="73">
        <f t="shared" si="87"/>
        <v>5177</v>
      </c>
      <c r="Y1094" s="41" t="str">
        <f t="shared" si="88"/>
        <v>VENGEANCE|14</v>
      </c>
      <c r="Z1094" s="15">
        <f>IF($C1094="","",IF($G1094="","",RANK($G1094,$G$4:$G$1463)+COUNTIF($G$4:$G1094,$G1094)-1))</f>
        <v>654</v>
      </c>
      <c r="AA1094" s="15">
        <f>IF($C1094="","",IF($N1094="","",RANK($N1094,$N$4:$N$1463)+COUNTIF($N$4:$N1094,$N1094)-1))</f>
        <v>393</v>
      </c>
      <c r="AB1094" s="41" t="str">
        <f>IF($C1094="","",IF($E1094="","",$E1094&amp;"#"&amp;(COUNTIFS($E$4:$E$1463,$E1094,$X$4:$X$1463,"&gt;"&amp;$X1094)+COUNTIFS($E$4:$E1094,$E1094,$X$4:$X1094,"="&amp;$X1094))))</f>
        <v>WARLOCK#92</v>
      </c>
      <c r="AC1094" s="41" t="str">
        <f>IF($C1094="","",$B1094&amp;"@"&amp;(COUNTIFS($B$4:$B$1463,$B1094,$C$4:$C$1463,"&lt;"&amp;$C1094)+COUNTIFS($B$4:$B1094,$B1094,$C$4:$C1094,$C1094)))</f>
        <v>VENGEANCE@74</v>
      </c>
      <c r="AD1094" s="41">
        <f t="shared" si="89"/>
        <v>1091</v>
      </c>
      <c r="AE1094" s="41" t="s">
        <v>759</v>
      </c>
      <c r="AF1094" s="73">
        <f t="shared" si="90"/>
        <v>62502</v>
      </c>
      <c r="AG1094" s="74">
        <f t="shared" si="91"/>
        <v>5.8</v>
      </c>
      <c r="AH1094" s="41" t="str">
        <f>IF($C1094="","",$B1094&amp;"|"&amp;(COUNTIFS($B$4:$B$1463,$B1094,$AF$4:$AF$1463,"&gt;"&amp;$AF1094)+COUNTIFS($B$4:$B1094,$B1094,$AF$4:$AF1094,"="&amp;$AF1094)))</f>
        <v>VENGEANCE|42</v>
      </c>
      <c r="AI1094" s="41" t="str">
        <f>IF($C1094="","",$B1094&amp;"|"&amp;(COUNTIFS($B$4:$B$1463,$B1094,$AG$4:$AG$1463,"&gt;"&amp;$AG1094)+COUNTIFS($B$4:$B1094,$B1094,$AG$4:$AG1094,"="&amp;$AG1094)))</f>
        <v>VENGEANCE|15</v>
      </c>
    </row>
    <row r="1095" spans="1:35" hidden="1">
      <c r="A1095" s="69" t="s">
        <v>109</v>
      </c>
      <c r="B1095" s="69" t="s">
        <v>115</v>
      </c>
      <c r="C1095" s="63" t="s">
        <v>2386</v>
      </c>
      <c r="D1095" s="69"/>
      <c r="E1095" s="68"/>
      <c r="F1095" s="19" t="str">
        <f>IF($C1095="","",IF($E1095="","-",IFERROR(INDEX(SETUP!$B$55:$B$64,MATCH($E1095,SETUP!$A$55:$A$64,0)),"Other")))</f>
        <v>-</v>
      </c>
      <c r="G1095" s="70"/>
      <c r="H1095" s="19" t="str">
        <f>IF($C1095="","",IF($G1095="","-",INDEX(SETUP!$B$26:$B$32,MATCH($G1095,SETUP!$A$26:$A$32,1))))</f>
        <v>-</v>
      </c>
      <c r="I1095" s="70"/>
      <c r="J1095" s="19" t="str">
        <f>IF($C1095="","",IF($I1095="","-",INDEX(SETUP!$B$16:$B$22,MATCH($I1095,SETUP!$A$16:$A$22,1))))</f>
        <v>-</v>
      </c>
      <c r="K1095" s="19" t="str">
        <f>IF($C1095="","",IF($I1095="","-",TEXT(INT($I1095/1000)*1000,"#,##0")&amp;" - "&amp;TEXT(INT($I1095/1000)*1000+999,"#,##0")))</f>
        <v>-</v>
      </c>
      <c r="L1095" s="71"/>
      <c r="M1095" s="19" t="str">
        <f>IF($C1095="","",IF($L1095="","-",INDEX(SETUP!$B$36:$B$42,MATCH($L1095,SETUP!$A$36:$A$42,1))))</f>
        <v>-</v>
      </c>
      <c r="N1095" s="21" t="str">
        <f>IF($C1095="","",IF(OR($G1095="",$I1095=""),"",ROUND(100*(SETUP!$B$4*MIN(1,$I1095/SETUP!$B$9)+SETUP!$B$5*MAX(0,MIN(1,($G1095-SETUP!$B$10)/(SETUP!$B$11-SETUP!$B$10)))+SETUP!$B$6*MIN(1,IF($L1095="",0,$L1095)/SETUP!$B$12)),1)))</f>
        <v/>
      </c>
      <c r="O1095" s="19" t="str">
        <f>IF($C1095="","",IF($N1095="","-",INDEX(SETUP!$B$46:$B$51,MATCH($N1095,SETUP!$A$46:$A$51,1))))</f>
        <v>-</v>
      </c>
      <c r="P1095" s="19" t="str">
        <f>IF($C1095="","",IF($I1095="","",RANK($I1095,$I$4:$I$1463)+COUNTIF($I$4:$I1095,$I1095)-1))</f>
        <v/>
      </c>
      <c r="Q1095" s="19">
        <f>IF($C1095="","",COUNTIFS($B$4:$B$1463,$B1095,$X$4:$X$1463,"&gt;"&amp;$X1095)+COUNTIFS($B$4:$B1095,$B1095,$X$4:$X1095,"="&amp;$X1095))</f>
        <v>85</v>
      </c>
      <c r="R1095" s="75" t="str">
        <f>IF($C1095="","",IF($I1095="","",ROUND(COUNTIF($I$4:$I$1463,"&lt;"&amp;$I1095)/COUNT($I$4:$I$1463),3)))</f>
        <v/>
      </c>
      <c r="S1095" s="19" t="str">
        <f>IF($C1095="","",IF($G1095="","Name only",IF(OR($I1095="",$L1095=""),"Partial","Complete")))</f>
        <v>Name only</v>
      </c>
      <c r="T1095" s="1" t="str">
        <f>IF($C1095="","",TRIM(IF(COUNTIF($C$4:$C$1463,$C1095)&gt;1,"Dup name; ","")&amp;IF(AND($G1095&lt;&gt;"",$G1095&lt;55000),"Low CR - verify; ","")&amp;IF(AND($L1095&lt;&gt;"",$L1095&gt;15),"Secondary - verify; ","")&amp;IF($E1095="","No class; ","")))</f>
        <v>No class;</v>
      </c>
      <c r="U1095" s="68"/>
      <c r="V1095" s="68"/>
      <c r="W1095" s="68"/>
      <c r="X1095" s="1">
        <f t="shared" si="87"/>
        <v>-1</v>
      </c>
      <c r="Y1095" s="1" t="str">
        <f t="shared" si="88"/>
        <v>SUB ROSA|85</v>
      </c>
      <c r="Z1095" s="19" t="str">
        <f>IF($C1095="","",IF($G1095="","",RANK($G1095,$G$4:$G$1463)+COUNTIF($G$4:$G1095,$G1095)-1))</f>
        <v/>
      </c>
      <c r="AA1095" s="19" t="str">
        <f>IF($C1095="","",IF($N1095="","",RANK($N1095,$N$4:$N$1463)+COUNTIF($N$4:$N1095,$N1095)-1))</f>
        <v/>
      </c>
      <c r="AB1095" s="1" t="str">
        <f>IF($C1095="","",IF($E1095="","",$E1095&amp;"#"&amp;(COUNTIFS($E$4:$E$1463,$E1095,$X$4:$X$1463,"&gt;"&amp;$X1095)+COUNTIFS($E$4:$E1095,$E1095,$X$4:$X1095,"="&amp;$X1095))))</f>
        <v/>
      </c>
      <c r="AC1095" s="1" t="str">
        <f>IF($C1095="","",$B1095&amp;"@"&amp;(COUNTIFS($B$4:$B$1463,$B1095,$C$4:$C$1463,"&lt;"&amp;$C1095)+COUNTIFS($B$4:$B1095,$B1095,$C$4:$C1095,$C1095)))</f>
        <v>SUB ROSA@77</v>
      </c>
      <c r="AD1095" s="1">
        <f t="shared" si="89"/>
        <v>1092</v>
      </c>
      <c r="AE1095" s="1"/>
      <c r="AF1095" s="1">
        <f t="shared" si="90"/>
        <v>-1</v>
      </c>
      <c r="AG1095" s="1">
        <f t="shared" si="91"/>
        <v>-1</v>
      </c>
      <c r="AH1095" s="1" t="str">
        <f>IF($C1095="","",$B1095&amp;"|"&amp;(COUNTIFS($B$4:$B$1463,$B1095,$AF$4:$AF$1463,"&gt;"&amp;$AF1095)+COUNTIFS($B$4:$B1095,$B1095,$AF$4:$AF1095,"="&amp;$AF1095)))</f>
        <v>SUB ROSA|85</v>
      </c>
      <c r="AI1095" s="1" t="str">
        <f>IF($C1095="","",$B1095&amp;"|"&amp;(COUNTIFS($B$4:$B$1463,$B1095,$AG$4:$AG$1463,"&gt;"&amp;$AG1095)+COUNTIFS($B$4:$B1095,$B1095,$AG$4:$AG1095,"="&amp;$AG1095)))</f>
        <v>SUB ROSA|85</v>
      </c>
    </row>
    <row r="1096" spans="1:35" hidden="1">
      <c r="A1096" s="69" t="s">
        <v>106</v>
      </c>
      <c r="B1096" s="69" t="s">
        <v>86</v>
      </c>
      <c r="C1096" s="63" t="s">
        <v>2387</v>
      </c>
      <c r="D1096" s="69"/>
      <c r="E1096" s="68" t="s">
        <v>79</v>
      </c>
      <c r="F1096" s="15" t="str">
        <f>IF($C1096="","",IF($E1096="","-",IFERROR(INDEX(SETUP!$B$55:$B$64,MATCH($E1096,SETUP!$A$55:$A$64,0)),"Other")))</f>
        <v>Control</v>
      </c>
      <c r="G1096" s="70">
        <v>64248</v>
      </c>
      <c r="H1096" s="15" t="str">
        <f>IF($C1096="","",IF($G1096="","-",INDEX(SETUP!$B$26:$B$32,MATCH($G1096,SETUP!$A$26:$A$32,1))))</f>
        <v>64,000 +</v>
      </c>
      <c r="I1096" s="70">
        <v>10132</v>
      </c>
      <c r="J1096" s="15" t="str">
        <f>IF($C1096="","",IF($I1096="","-",INDEX(SETUP!$B$16:$B$22,MATCH($I1096,SETUP!$A$16:$A$22,1))))</f>
        <v>APEX</v>
      </c>
      <c r="K1096" s="15" t="str">
        <f>IF($C1096="","",IF($I1096="","-",TEXT(INT($I1096/1000)*1000,"#,##0")&amp;" - "&amp;TEXT(INT($I1096/1000)*1000+999,"#,##0")))</f>
        <v>10,000 - 10,999</v>
      </c>
      <c r="L1096" s="71">
        <v>6.1</v>
      </c>
      <c r="M1096" s="15" t="str">
        <f>IF($C1096="","",IF($L1096="","-",INDEX(SETUP!$B$36:$B$42,MATCH($L1096,SETUP!$A$36:$A$42,1))))</f>
        <v>6k - 8k</v>
      </c>
      <c r="N1096" s="17">
        <f>IF($C1096="","",IF(OR($G1096="",$I1096=""),"",ROUND(100*(SETUP!$B$4*MIN(1,$I1096/SETUP!$B$9)+SETUP!$B$5*MAX(0,MIN(1,($G1096-SETUP!$B$10)/(SETUP!$B$11-SETUP!$B$10)))+SETUP!$B$6*MIN(1,IF($L1096="",0,$L1096)/SETUP!$B$12)),1)))</f>
        <v>78.7</v>
      </c>
      <c r="O1096" s="15" t="str">
        <f>IF($C1096="","",IF($N1096="","-",INDEX(SETUP!$B$46:$B$51,MATCH($N1096,SETUP!$A$46:$A$51,1))))</f>
        <v>S</v>
      </c>
      <c r="P1096" s="15">
        <f>IF($C1096="","",IF($I1096="","",RANK($I1096,$I$4:$I$1463)+COUNTIF($I$4:$I1096,$I1096)-1))</f>
        <v>44</v>
      </c>
      <c r="Q1096" s="15">
        <f>IF($C1096="","",COUNTIFS($B$4:$B$1463,$B1096,$X$4:$X$1463,"&gt;"&amp;$X1096)+COUNTIFS($B$4:$B1096,$B1096,$X$4:$X1096,"="&amp;$X1096))</f>
        <v>7</v>
      </c>
      <c r="R1096" s="72">
        <f>IF($C1096="","",IF($I1096="","",ROUND(COUNTIF($I$4:$I$1463,"&lt;"&amp;$I1096)/COUNT($I$4:$I$1463),3)))</f>
        <v>0.96699999999999997</v>
      </c>
      <c r="S1096" s="15" t="str">
        <f>IF($C1096="","",IF($G1096="","Name only",IF(OR($I1096="",$L1096=""),"Partial","Complete")))</f>
        <v>Complete</v>
      </c>
      <c r="T1096" s="41" t="str">
        <f>IF($C1096="","",TRIM(IF(COUNTIF($C$4:$C$1463,$C1096)&gt;1,"Dup name; ","")&amp;IF(AND($G1096&lt;&gt;"",$G1096&lt;55000),"Low CR - verify; ","")&amp;IF(AND($L1096&lt;&gt;"",$L1096&gt;15),"Secondary - verify; ","")&amp;IF($E1096="","No class; ","")))</f>
        <v/>
      </c>
      <c r="U1096" s="68"/>
      <c r="V1096" s="68"/>
      <c r="W1096" s="68"/>
      <c r="X1096" s="73">
        <f t="shared" si="87"/>
        <v>10132</v>
      </c>
      <c r="Y1096" s="41" t="str">
        <f t="shared" si="88"/>
        <v>VANGUARD|7</v>
      </c>
      <c r="Z1096" s="15">
        <f>IF($C1096="","",IF($G1096="","",RANK($G1096,$G$4:$G$1463)+COUNTIF($G$4:$G1096,$G1096)-1))</f>
        <v>29</v>
      </c>
      <c r="AA1096" s="15">
        <f>IF($C1096="","",IF($N1096="","",RANK($N1096,$N$4:$N$1463)+COUNTIF($N$4:$N1096,$N1096)-1))</f>
        <v>62</v>
      </c>
      <c r="AB1096" s="41" t="str">
        <f>IF($C1096="","",IF($E1096="","",$E1096&amp;"#"&amp;(COUNTIFS($E$4:$E$1463,$E1096,$X$4:$X$1463,"&gt;"&amp;$X1096)+COUNTIFS($E$4:$E1096,$E1096,$X$4:$X1096,"="&amp;$X1096))))</f>
        <v>WARLOCK#8</v>
      </c>
      <c r="AC1096" s="41" t="str">
        <f>IF($C1096="","",$B1096&amp;"@"&amp;(COUNTIFS($B$4:$B$1463,$B1096,$C$4:$C$1463,"&lt;"&amp;$C1096)+COUNTIFS($B$4:$B1096,$B1096,$C$4:$C1096,$C1096)))</f>
        <v>VANGUARD@80</v>
      </c>
      <c r="AD1096" s="41">
        <f t="shared" si="89"/>
        <v>1093</v>
      </c>
      <c r="AE1096" s="41" t="s">
        <v>1494</v>
      </c>
      <c r="AF1096" s="73">
        <f t="shared" si="90"/>
        <v>64248</v>
      </c>
      <c r="AG1096" s="74">
        <f t="shared" si="91"/>
        <v>6.1</v>
      </c>
      <c r="AH1096" s="41" t="str">
        <f>IF($C1096="","",$B1096&amp;"|"&amp;(COUNTIFS($B$4:$B$1463,$B1096,$AF$4:$AF$1463,"&gt;"&amp;$AF1096)+COUNTIFS($B$4:$B1096,$B1096,$AF$4:$AF1096,"="&amp;$AF1096)))</f>
        <v>VANGUARD|6</v>
      </c>
      <c r="AI1096" s="41" t="str">
        <f>IF($C1096="","",$B1096&amp;"|"&amp;(COUNTIFS($B$4:$B$1463,$B1096,$AG$4:$AG$1463,"&gt;"&amp;$AG1096)+COUNTIFS($B$4:$B1096,$B1096,$AG$4:$AG1096,"="&amp;$AG1096)))</f>
        <v>VANGUARD|41</v>
      </c>
    </row>
    <row r="1097" spans="1:35" hidden="1">
      <c r="A1097" s="69" t="s">
        <v>109</v>
      </c>
      <c r="B1097" s="69" t="s">
        <v>112</v>
      </c>
      <c r="C1097" s="63" t="s">
        <v>2388</v>
      </c>
      <c r="D1097" s="69" t="s">
        <v>567</v>
      </c>
      <c r="E1097" s="68" t="s">
        <v>75</v>
      </c>
      <c r="F1097" s="19" t="str">
        <f>IF($C1097="","",IF($E1097="","-",IFERROR(INDEX(SETUP!$B$55:$B$64,MATCH($E1097,SETUP!$A$55:$A$64,0)),"Other")))</f>
        <v>Support</v>
      </c>
      <c r="G1097" s="70">
        <v>62593</v>
      </c>
      <c r="H1097" s="19" t="str">
        <f>IF($C1097="","",IF($G1097="","-",INDEX(SETUP!$B$26:$B$32,MATCH($G1097,SETUP!$A$26:$A$32,1))))</f>
        <v>62,000 - 62,999</v>
      </c>
      <c r="I1097" s="70">
        <v>2276</v>
      </c>
      <c r="J1097" s="19" t="str">
        <f>IF($C1097="","",IF($I1097="","-",INDEX(SETUP!$B$16:$B$22,MATCH($I1097,SETUP!$A$16:$A$22,1))))</f>
        <v>DEVELOPING</v>
      </c>
      <c r="K1097" s="19" t="str">
        <f>IF($C1097="","",IF($I1097="","-",TEXT(INT($I1097/1000)*1000,"#,##0")&amp;" - "&amp;TEXT(INT($I1097/1000)*1000+999,"#,##0")))</f>
        <v>2,000 - 2,999</v>
      </c>
      <c r="L1097" s="71">
        <v>3.65</v>
      </c>
      <c r="M1097" s="19" t="str">
        <f>IF($C1097="","",IF($L1097="","-",INDEX(SETUP!$B$36:$B$42,MATCH($L1097,SETUP!$A$36:$A$42,1))))</f>
        <v>3k - 4k</v>
      </c>
      <c r="N1097" s="21">
        <f>IF($C1097="","",IF(OR($G1097="",$I1097=""),"",ROUND(100*(SETUP!$B$4*MIN(1,$I1097/SETUP!$B$9)+SETUP!$B$5*MAX(0,MIN(1,($G1097-SETUP!$B$10)/(SETUP!$B$11-SETUP!$B$10)))+SETUP!$B$6*MIN(1,IF($L1097="",0,$L1097)/SETUP!$B$12)),1)))</f>
        <v>36</v>
      </c>
      <c r="O1097" s="19" t="str">
        <f>IF($C1097="","",IF($N1097="","-",INDEX(SETUP!$B$46:$B$51,MATCH($N1097,SETUP!$A$46:$A$51,1))))</f>
        <v>B</v>
      </c>
      <c r="P1097" s="19">
        <f>IF($C1097="","",IF($I1097="","",RANK($I1097,$I$4:$I$1463)+COUNTIF($I$4:$I1097,$I1097)-1))</f>
        <v>1052</v>
      </c>
      <c r="Q1097" s="19">
        <f>IF($C1097="","",COUNTIFS($B$4:$B$1463,$B1097,$X$4:$X$1463,"&gt;"&amp;$X1097)+COUNTIFS($B$4:$B1097,$B1097,$X$4:$X1097,"="&amp;$X1097))</f>
        <v>81</v>
      </c>
      <c r="R1097" s="75">
        <f>IF($C1097="","",IF($I1097="","",ROUND(COUNTIF($I$4:$I$1463,"&lt;"&amp;$I1097)/COUNT($I$4:$I$1463),3)))</f>
        <v>0.20599999999999999</v>
      </c>
      <c r="S1097" s="19" t="str">
        <f>IF($C1097="","",IF($G1097="","Name only",IF(OR($I1097="",$L1097=""),"Partial","Complete")))</f>
        <v>Complete</v>
      </c>
      <c r="T1097" s="1" t="str">
        <f>IF($C1097="","",TRIM(IF(COUNTIF($C$4:$C$1463,$C1097)&gt;1,"Dup name; ","")&amp;IF(AND($G1097&lt;&gt;"",$G1097&lt;55000),"Low CR - verify; ","")&amp;IF(AND($L1097&lt;&gt;"",$L1097&gt;15),"Secondary - verify; ","")&amp;IF($E1097="","No class; ","")))</f>
        <v/>
      </c>
      <c r="U1097" s="68"/>
      <c r="V1097" s="68"/>
      <c r="W1097" s="68"/>
      <c r="X1097" s="76">
        <f t="shared" si="87"/>
        <v>2276</v>
      </c>
      <c r="Y1097" s="1" t="str">
        <f t="shared" si="88"/>
        <v>ACHERON|81</v>
      </c>
      <c r="Z1097" s="19">
        <f>IF($C1097="","",IF($G1097="","",RANK($G1097,$G$4:$G$1463)+COUNTIF($G$4:$G1097,$G1097)-1))</f>
        <v>616</v>
      </c>
      <c r="AA1097" s="19">
        <f>IF($C1097="","",IF($N1097="","",RANK($N1097,$N$4:$N$1463)+COUNTIF($N$4:$N1097,$N1097)-1))</f>
        <v>966</v>
      </c>
      <c r="AB1097" s="1" t="str">
        <f>IF($C1097="","",IF($E1097="","",$E1097&amp;"#"&amp;(COUNTIFS($E$4:$E$1463,$E1097,$X$4:$X$1463,"&gt;"&amp;$X1097)+COUNTIFS($E$4:$E1097,$E1097,$X$4:$X1097,"="&amp;$X1097))))</f>
        <v>DRUID#49</v>
      </c>
      <c r="AC1097" s="1" t="str">
        <f>IF($C1097="","",$B1097&amp;"@"&amp;(COUNTIFS($B$4:$B$1463,$B1097,$C$4:$C$1463,"&lt;"&amp;$C1097)+COUNTIFS($B$4:$B1097,$B1097,$C$4:$C1097,$C1097)))</f>
        <v>ACHERON@74</v>
      </c>
      <c r="AD1097" s="1">
        <f t="shared" si="89"/>
        <v>1094</v>
      </c>
      <c r="AE1097" s="1" t="s">
        <v>2389</v>
      </c>
      <c r="AF1097" s="76">
        <f t="shared" si="90"/>
        <v>62593</v>
      </c>
      <c r="AG1097" s="77">
        <f t="shared" si="91"/>
        <v>3.65</v>
      </c>
      <c r="AH1097" s="1" t="str">
        <f>IF($C1097="","",$B1097&amp;"|"&amp;(COUNTIFS($B$4:$B$1463,$B1097,$AF$4:$AF$1463,"&gt;"&amp;$AF1097)+COUNTIFS($B$4:$B1097,$B1097,$AF$4:$AF1097,"="&amp;$AF1097)))</f>
        <v>ACHERON|49</v>
      </c>
      <c r="AI1097" s="1" t="str">
        <f>IF($C1097="","",$B1097&amp;"|"&amp;(COUNTIFS($B$4:$B$1463,$B1097,$AG$4:$AG$1463,"&gt;"&amp;$AG1097)+COUNTIFS($B$4:$B1097,$B1097,$AG$4:$AG1097,"="&amp;$AG1097)))</f>
        <v>ACHERON|86</v>
      </c>
    </row>
    <row r="1098" spans="1:35" hidden="1">
      <c r="A1098" s="69" t="s">
        <v>109</v>
      </c>
      <c r="B1098" s="69" t="s">
        <v>115</v>
      </c>
      <c r="C1098" s="63" t="s">
        <v>2390</v>
      </c>
      <c r="D1098" s="69"/>
      <c r="E1098" s="68"/>
      <c r="F1098" s="15" t="str">
        <f>IF($C1098="","",IF($E1098="","-",IFERROR(INDEX(SETUP!$B$55:$B$64,MATCH($E1098,SETUP!$A$55:$A$64,0)),"Other")))</f>
        <v>-</v>
      </c>
      <c r="G1098" s="70"/>
      <c r="H1098" s="15" t="str">
        <f>IF($C1098="","",IF($G1098="","-",INDEX(SETUP!$B$26:$B$32,MATCH($G1098,SETUP!$A$26:$A$32,1))))</f>
        <v>-</v>
      </c>
      <c r="I1098" s="70"/>
      <c r="J1098" s="15" t="str">
        <f>IF($C1098="","",IF($I1098="","-",INDEX(SETUP!$B$16:$B$22,MATCH($I1098,SETUP!$A$16:$A$22,1))))</f>
        <v>-</v>
      </c>
      <c r="K1098" s="15" t="str">
        <f>IF($C1098="","",IF($I1098="","-",TEXT(INT($I1098/1000)*1000,"#,##0")&amp;" - "&amp;TEXT(INT($I1098/1000)*1000+999,"#,##0")))</f>
        <v>-</v>
      </c>
      <c r="L1098" s="71"/>
      <c r="M1098" s="15" t="str">
        <f>IF($C1098="","",IF($L1098="","-",INDEX(SETUP!$B$36:$B$42,MATCH($L1098,SETUP!$A$36:$A$42,1))))</f>
        <v>-</v>
      </c>
      <c r="N1098" s="17" t="str">
        <f>IF($C1098="","",IF(OR($G1098="",$I1098=""),"",ROUND(100*(SETUP!$B$4*MIN(1,$I1098/SETUP!$B$9)+SETUP!$B$5*MAX(0,MIN(1,($G1098-SETUP!$B$10)/(SETUP!$B$11-SETUP!$B$10)))+SETUP!$B$6*MIN(1,IF($L1098="",0,$L1098)/SETUP!$B$12)),1)))</f>
        <v/>
      </c>
      <c r="O1098" s="15" t="str">
        <f>IF($C1098="","",IF($N1098="","-",INDEX(SETUP!$B$46:$B$51,MATCH($N1098,SETUP!$A$46:$A$51,1))))</f>
        <v>-</v>
      </c>
      <c r="P1098" s="15" t="str">
        <f>IF($C1098="","",IF($I1098="","",RANK($I1098,$I$4:$I$1463)+COUNTIF($I$4:$I1098,$I1098)-1))</f>
        <v/>
      </c>
      <c r="Q1098" s="15">
        <f>IF($C1098="","",COUNTIFS($B$4:$B$1463,$B1098,$X$4:$X$1463,"&gt;"&amp;$X1098)+COUNTIFS($B$4:$B1098,$B1098,$X$4:$X1098,"="&amp;$X1098))</f>
        <v>86</v>
      </c>
      <c r="R1098" s="72" t="str">
        <f>IF($C1098="","",IF($I1098="","",ROUND(COUNTIF($I$4:$I$1463,"&lt;"&amp;$I1098)/COUNT($I$4:$I$1463),3)))</f>
        <v/>
      </c>
      <c r="S1098" s="15" t="str">
        <f>IF($C1098="","",IF($G1098="","Name only",IF(OR($I1098="",$L1098=""),"Partial","Complete")))</f>
        <v>Name only</v>
      </c>
      <c r="T1098" s="41" t="str">
        <f>IF($C1098="","",TRIM(IF(COUNTIF($C$4:$C$1463,$C1098)&gt;1,"Dup name; ","")&amp;IF(AND($G1098&lt;&gt;"",$G1098&lt;55000),"Low CR - verify; ","")&amp;IF(AND($L1098&lt;&gt;"",$L1098&gt;15),"Secondary - verify; ","")&amp;IF($E1098="","No class; ","")))</f>
        <v>No class;</v>
      </c>
      <c r="U1098" s="68"/>
      <c r="V1098" s="68"/>
      <c r="W1098" s="68"/>
      <c r="X1098" s="41">
        <f t="shared" si="87"/>
        <v>-1</v>
      </c>
      <c r="Y1098" s="41" t="str">
        <f t="shared" si="88"/>
        <v>SUB ROSA|86</v>
      </c>
      <c r="Z1098" s="15" t="str">
        <f>IF($C1098="","",IF($G1098="","",RANK($G1098,$G$4:$G$1463)+COUNTIF($G$4:$G1098,$G1098)-1))</f>
        <v/>
      </c>
      <c r="AA1098" s="15" t="str">
        <f>IF($C1098="","",IF($N1098="","",RANK($N1098,$N$4:$N$1463)+COUNTIF($N$4:$N1098,$N1098)-1))</f>
        <v/>
      </c>
      <c r="AB1098" s="41" t="str">
        <f>IF($C1098="","",IF($E1098="","",$E1098&amp;"#"&amp;(COUNTIFS($E$4:$E$1463,$E1098,$X$4:$X$1463,"&gt;"&amp;$X1098)+COUNTIFS($E$4:$E1098,$E1098,$X$4:$X1098,"="&amp;$X1098))))</f>
        <v/>
      </c>
      <c r="AC1098" s="41" t="str">
        <f>IF($C1098="","",$B1098&amp;"@"&amp;(COUNTIFS($B$4:$B$1463,$B1098,$C$4:$C$1463,"&lt;"&amp;$C1098)+COUNTIFS($B$4:$B1098,$B1098,$C$4:$C1098,$C1098)))</f>
        <v>SUB ROSA@78</v>
      </c>
      <c r="AD1098" s="41">
        <f t="shared" si="89"/>
        <v>1095</v>
      </c>
      <c r="AE1098" s="41"/>
      <c r="AF1098" s="41">
        <f t="shared" si="90"/>
        <v>-1</v>
      </c>
      <c r="AG1098" s="41">
        <f t="shared" si="91"/>
        <v>-1</v>
      </c>
      <c r="AH1098" s="41" t="str">
        <f>IF($C1098="","",$B1098&amp;"|"&amp;(COUNTIFS($B$4:$B$1463,$B1098,$AF$4:$AF$1463,"&gt;"&amp;$AF1098)+COUNTIFS($B$4:$B1098,$B1098,$AF$4:$AF1098,"="&amp;$AF1098)))</f>
        <v>SUB ROSA|86</v>
      </c>
      <c r="AI1098" s="41" t="str">
        <f>IF($C1098="","",$B1098&amp;"|"&amp;(COUNTIFS($B$4:$B$1463,$B1098,$AG$4:$AG$1463,"&gt;"&amp;$AG1098)+COUNTIFS($B$4:$B1098,$B1098,$AG$4:$AG1098,"="&amp;$AG1098)))</f>
        <v>SUB ROSA|86</v>
      </c>
    </row>
    <row r="1099" spans="1:35" hidden="1">
      <c r="A1099" s="69" t="s">
        <v>109</v>
      </c>
      <c r="B1099" s="69" t="s">
        <v>116</v>
      </c>
      <c r="C1099" s="63" t="s">
        <v>2391</v>
      </c>
      <c r="D1099" s="69" t="s">
        <v>530</v>
      </c>
      <c r="E1099" s="68" t="s">
        <v>79</v>
      </c>
      <c r="F1099" s="19" t="str">
        <f>IF($C1099="","",IF($E1099="","-",IFERROR(INDEX(SETUP!$B$55:$B$64,MATCH($E1099,SETUP!$A$55:$A$64,0)),"Other")))</f>
        <v>Control</v>
      </c>
      <c r="G1099" s="70">
        <v>62019</v>
      </c>
      <c r="H1099" s="19" t="str">
        <f>IF($C1099="","",IF($G1099="","-",INDEX(SETUP!$B$26:$B$32,MATCH($G1099,SETUP!$A$26:$A$32,1))))</f>
        <v>62,000 - 62,999</v>
      </c>
      <c r="I1099" s="70">
        <v>2536</v>
      </c>
      <c r="J1099" s="19" t="str">
        <f>IF($C1099="","",IF($I1099="","-",INDEX(SETUP!$B$16:$B$22,MATCH($I1099,SETUP!$A$16:$A$22,1))))</f>
        <v>DEVELOPING</v>
      </c>
      <c r="K1099" s="19" t="str">
        <f>IF($C1099="","",IF($I1099="","-",TEXT(INT($I1099/1000)*1000,"#,##0")&amp;" - "&amp;TEXT(INT($I1099/1000)*1000+999,"#,##0")))</f>
        <v>2,000 - 2,999</v>
      </c>
      <c r="L1099" s="71">
        <v>3.8</v>
      </c>
      <c r="M1099" s="19" t="str">
        <f>IF($C1099="","",IF($L1099="","-",INDEX(SETUP!$B$36:$B$42,MATCH($L1099,SETUP!$A$36:$A$42,1))))</f>
        <v>3k - 4k</v>
      </c>
      <c r="N1099" s="21">
        <f>IF($C1099="","",IF(OR($G1099="",$I1099=""),"",ROUND(100*(SETUP!$B$4*MIN(1,$I1099/SETUP!$B$9)+SETUP!$B$5*MAX(0,MIN(1,($G1099-SETUP!$B$10)/(SETUP!$B$11-SETUP!$B$10)))+SETUP!$B$6*MIN(1,IF($L1099="",0,$L1099)/SETUP!$B$12)),1)))</f>
        <v>35.9</v>
      </c>
      <c r="O1099" s="19" t="str">
        <f>IF($C1099="","",IF($N1099="","-",INDEX(SETUP!$B$46:$B$51,MATCH($N1099,SETUP!$A$46:$A$51,1))))</f>
        <v>B</v>
      </c>
      <c r="P1099" s="19">
        <f>IF($C1099="","",IF($I1099="","",RANK($I1099,$I$4:$I$1463)+COUNTIF($I$4:$I1099,$I1099)-1))</f>
        <v>1000</v>
      </c>
      <c r="Q1099" s="19">
        <f>IF($C1099="","",COUNTIFS($B$4:$B$1463,$B1099,$X$4:$X$1463,"&gt;"&amp;$X1099)+COUNTIFS($B$4:$B1099,$B1099,$X$4:$X1099,"="&amp;$X1099))</f>
        <v>71</v>
      </c>
      <c r="R1099" s="75">
        <f>IF($C1099="","",IF($I1099="","",ROUND(COUNTIF($I$4:$I$1463,"&lt;"&amp;$I1099)/COUNT($I$4:$I$1463),3)))</f>
        <v>0.245</v>
      </c>
      <c r="S1099" s="19" t="str">
        <f>IF($C1099="","",IF($G1099="","Name only",IF(OR($I1099="",$L1099=""),"Partial","Complete")))</f>
        <v>Complete</v>
      </c>
      <c r="T1099" s="1" t="str">
        <f>IF($C1099="","",TRIM(IF(COUNTIF($C$4:$C$1463,$C1099)&gt;1,"Dup name; ","")&amp;IF(AND($G1099&lt;&gt;"",$G1099&lt;55000),"Low CR - verify; ","")&amp;IF(AND($L1099&lt;&gt;"",$L1099&gt;15),"Secondary - verify; ","")&amp;IF($E1099="","No class; ","")))</f>
        <v/>
      </c>
      <c r="U1099" s="68"/>
      <c r="V1099" s="68"/>
      <c r="W1099" s="68"/>
      <c r="X1099" s="76">
        <f t="shared" si="87"/>
        <v>2536</v>
      </c>
      <c r="Y1099" s="1" t="str">
        <f t="shared" si="88"/>
        <v>VENGEANCE|71</v>
      </c>
      <c r="Z1099" s="19">
        <f>IF($C1099="","",IF($G1099="","",RANK($G1099,$G$4:$G$1463)+COUNTIF($G$4:$G1099,$G1099)-1))</f>
        <v>833</v>
      </c>
      <c r="AA1099" s="19">
        <f>IF($C1099="","",IF($N1099="","",RANK($N1099,$N$4:$N$1463)+COUNTIF($N$4:$N1099,$N1099)-1))</f>
        <v>975</v>
      </c>
      <c r="AB1099" s="1" t="str">
        <f>IF($C1099="","",IF($E1099="","",$E1099&amp;"#"&amp;(COUNTIFS($E$4:$E$1463,$E1099,$X$4:$X$1463,"&gt;"&amp;$X1099)+COUNTIFS($E$4:$E1099,$E1099,$X$4:$X1099,"="&amp;$X1099))))</f>
        <v>WARLOCK#248</v>
      </c>
      <c r="AC1099" s="1" t="str">
        <f>IF($C1099="","",$B1099&amp;"@"&amp;(COUNTIFS($B$4:$B$1463,$B1099,$C$4:$C$1463,"&lt;"&amp;$C1099)+COUNTIFS($B$4:$B1099,$B1099,$C$4:$C1099,$C1099)))</f>
        <v>VENGEANCE@75</v>
      </c>
      <c r="AD1099" s="1">
        <f t="shared" si="89"/>
        <v>1096</v>
      </c>
      <c r="AE1099" s="1" t="s">
        <v>531</v>
      </c>
      <c r="AF1099" s="76">
        <f t="shared" si="90"/>
        <v>62019</v>
      </c>
      <c r="AG1099" s="77">
        <f t="shared" si="91"/>
        <v>3.8</v>
      </c>
      <c r="AH1099" s="1" t="str">
        <f>IF($C1099="","",$B1099&amp;"|"&amp;(COUNTIFS($B$4:$B$1463,$B1099,$AF$4:$AF$1463,"&gt;"&amp;$AF1099)+COUNTIFS($B$4:$B1099,$B1099,$AF$4:$AF1099,"="&amp;$AF1099)))</f>
        <v>VENGEANCE|50</v>
      </c>
      <c r="AI1099" s="1" t="str">
        <f>IF($C1099="","",$B1099&amp;"|"&amp;(COUNTIFS($B$4:$B$1463,$B1099,$AG$4:$AG$1463,"&gt;"&amp;$AG1099)+COUNTIFS($B$4:$B1099,$B1099,$AG$4:$AG1099,"="&amp;$AG1099)))</f>
        <v>VENGEANCE|71</v>
      </c>
    </row>
    <row r="1100" spans="1:35" hidden="1">
      <c r="A1100" s="69" t="s">
        <v>109</v>
      </c>
      <c r="B1100" s="69" t="s">
        <v>113</v>
      </c>
      <c r="C1100" s="63" t="s">
        <v>2392</v>
      </c>
      <c r="D1100" s="69" t="s">
        <v>548</v>
      </c>
      <c r="E1100" s="68" t="s">
        <v>75</v>
      </c>
      <c r="F1100" s="15" t="str">
        <f>IF($C1100="","",IF($E1100="","-",IFERROR(INDEX(SETUP!$B$55:$B$64,MATCH($E1100,SETUP!$A$55:$A$64,0)),"Other")))</f>
        <v>Support</v>
      </c>
      <c r="G1100" s="70">
        <v>62736</v>
      </c>
      <c r="H1100" s="15" t="str">
        <f>IF($C1100="","",IF($G1100="","-",INDEX(SETUP!$B$26:$B$32,MATCH($G1100,SETUP!$A$26:$A$32,1))))</f>
        <v>62,000 - 62,999</v>
      </c>
      <c r="I1100" s="70">
        <v>3040</v>
      </c>
      <c r="J1100" s="15" t="str">
        <f>IF($C1100="","",IF($I1100="","-",INDEX(SETUP!$B$16:$B$22,MATCH($I1100,SETUP!$A$16:$A$22,1))))</f>
        <v>DEVELOPING</v>
      </c>
      <c r="K1100" s="15" t="str">
        <f>IF($C1100="","",IF($I1100="","-",TEXT(INT($I1100/1000)*1000,"#,##0")&amp;" - "&amp;TEXT(INT($I1100/1000)*1000+999,"#,##0")))</f>
        <v>3,000 - 3,999</v>
      </c>
      <c r="L1100" s="71">
        <v>3.1</v>
      </c>
      <c r="M1100" s="15" t="str">
        <f>IF($C1100="","",IF($L1100="","-",INDEX(SETUP!$B$36:$B$42,MATCH($L1100,SETUP!$A$36:$A$42,1))))</f>
        <v>3k - 4k</v>
      </c>
      <c r="N1100" s="17">
        <f>IF($C1100="","",IF(OR($G1100="",$I1100=""),"",ROUND(100*(SETUP!$B$4*MIN(1,$I1100/SETUP!$B$9)+SETUP!$B$5*MAX(0,MIN(1,($G1100-SETUP!$B$10)/(SETUP!$B$11-SETUP!$B$10)))+SETUP!$B$6*MIN(1,IF($L1100="",0,$L1100)/SETUP!$B$12)),1)))</f>
        <v>38.799999999999997</v>
      </c>
      <c r="O1100" s="15" t="str">
        <f>IF($C1100="","",IF($N1100="","-",INDEX(SETUP!$B$46:$B$51,MATCH($N1100,SETUP!$A$46:$A$51,1))))</f>
        <v>B</v>
      </c>
      <c r="P1100" s="15">
        <f>IF($C1100="","",IF($I1100="","",RANK($I1100,$I$4:$I$1463)+COUNTIF($I$4:$I1100,$I1100)-1))</f>
        <v>864</v>
      </c>
      <c r="Q1100" s="15">
        <f>IF($C1100="","",COUNTIFS($B$4:$B$1463,$B1100,$X$4:$X$1463,"&gt;"&amp;$X1100)+COUNTIFS($B$4:$B1100,$B1100,$X$4:$X1100,"="&amp;$X1100))</f>
        <v>50</v>
      </c>
      <c r="R1100" s="72">
        <f>IF($C1100="","",IF($I1100="","",ROUND(COUNTIF($I$4:$I$1463,"&lt;"&amp;$I1100)/COUNT($I$4:$I$1463),3)))</f>
        <v>0.34799999999999998</v>
      </c>
      <c r="S1100" s="15" t="str">
        <f>IF($C1100="","",IF($G1100="","Name only",IF(OR($I1100="",$L1100=""),"Partial","Complete")))</f>
        <v>Complete</v>
      </c>
      <c r="T1100" s="41" t="str">
        <f>IF($C1100="","",TRIM(IF(COUNTIF($C$4:$C$1463,$C1100)&gt;1,"Dup name; ","")&amp;IF(AND($G1100&lt;&gt;"",$G1100&lt;55000),"Low CR - verify; ","")&amp;IF(AND($L1100&lt;&gt;"",$L1100&gt;15),"Secondary - verify; ","")&amp;IF($E1100="","No class; ","")))</f>
        <v/>
      </c>
      <c r="U1100" s="68"/>
      <c r="V1100" s="68"/>
      <c r="W1100" s="68"/>
      <c r="X1100" s="73">
        <f t="shared" si="87"/>
        <v>3040</v>
      </c>
      <c r="Y1100" s="41" t="str">
        <f t="shared" si="88"/>
        <v>INVICTUS|50</v>
      </c>
      <c r="Z1100" s="15">
        <f>IF($C1100="","",IF($G1100="","",RANK($G1100,$G$4:$G$1463)+COUNTIF($G$4:$G1100,$G1100)-1))</f>
        <v>551</v>
      </c>
      <c r="AA1100" s="15">
        <f>IF($C1100="","",IF($N1100="","",RANK($N1100,$N$4:$N$1463)+COUNTIF($N$4:$N1100,$N1100)-1))</f>
        <v>867</v>
      </c>
      <c r="AB1100" s="41" t="str">
        <f>IF($C1100="","",IF($E1100="","",$E1100&amp;"#"&amp;(COUNTIFS($E$4:$E$1463,$E1100,$X$4:$X$1463,"&gt;"&amp;$X1100)+COUNTIFS($E$4:$E1100,$E1100,$X$4:$X1100,"="&amp;$X1100))))</f>
        <v>DRUID#40</v>
      </c>
      <c r="AC1100" s="41" t="str">
        <f>IF($C1100="","",$B1100&amp;"@"&amp;(COUNTIFS($B$4:$B$1463,$B1100,$C$4:$C$1463,"&lt;"&amp;$C1100)+COUNTIFS($B$4:$B1100,$B1100,$C$4:$C1100,$C1100)))</f>
        <v>INVICTUS@81</v>
      </c>
      <c r="AD1100" s="41">
        <f t="shared" si="89"/>
        <v>1097</v>
      </c>
      <c r="AE1100" s="41" t="s">
        <v>2393</v>
      </c>
      <c r="AF1100" s="73">
        <f t="shared" si="90"/>
        <v>62736</v>
      </c>
      <c r="AG1100" s="74">
        <f t="shared" si="91"/>
        <v>3.1</v>
      </c>
      <c r="AH1100" s="41" t="str">
        <f>IF($C1100="","",$B1100&amp;"|"&amp;(COUNTIFS($B$4:$B$1463,$B1100,$AF$4:$AF$1463,"&gt;"&amp;$AF1100)+COUNTIFS($B$4:$B1100,$B1100,$AF$4:$AF1100,"="&amp;$AF1100)))</f>
        <v>INVICTUS|30</v>
      </c>
      <c r="AI1100" s="41" t="str">
        <f>IF($C1100="","",$B1100&amp;"|"&amp;(COUNTIFS($B$4:$B$1463,$B1100,$AG$4:$AG$1463,"&gt;"&amp;$AG1100)+COUNTIFS($B$4:$B1100,$B1100,$AG$4:$AG1100,"="&amp;$AG1100)))</f>
        <v>INVICTUS|92</v>
      </c>
    </row>
    <row r="1101" spans="1:35" hidden="1">
      <c r="A1101" s="69" t="s">
        <v>109</v>
      </c>
      <c r="B1101" s="69" t="s">
        <v>110</v>
      </c>
      <c r="C1101" s="63" t="s">
        <v>2394</v>
      </c>
      <c r="D1101" s="69"/>
      <c r="E1101" s="68" t="s">
        <v>73</v>
      </c>
      <c r="F1101" s="19" t="str">
        <f>IF($C1101="","",IF($E1101="","-",IFERROR(INDEX(SETUP!$B$55:$B$64,MATCH($E1101,SETUP!$A$55:$A$64,0)),"Other")))</f>
        <v>Frontline</v>
      </c>
      <c r="G1101" s="70">
        <v>64447</v>
      </c>
      <c r="H1101" s="19" t="str">
        <f>IF($C1101="","",IF($G1101="","-",INDEX(SETUP!$B$26:$B$32,MATCH($G1101,SETUP!$A$26:$A$32,1))))</f>
        <v>64,000 +</v>
      </c>
      <c r="I1101" s="70">
        <v>11213</v>
      </c>
      <c r="J1101" s="19" t="str">
        <f>IF($C1101="","",IF($I1101="","-",INDEX(SETUP!$B$16:$B$22,MATCH($I1101,SETUP!$A$16:$A$22,1))))</f>
        <v>APEX</v>
      </c>
      <c r="K1101" s="19" t="str">
        <f>IF($C1101="","",IF($I1101="","-",TEXT(INT($I1101/1000)*1000,"#,##0")&amp;" - "&amp;TEXT(INT($I1101/1000)*1000+999,"#,##0")))</f>
        <v>11,000 - 11,999</v>
      </c>
      <c r="L1101" s="71">
        <v>8.5</v>
      </c>
      <c r="M1101" s="19" t="str">
        <f>IF($C1101="","",IF($L1101="","-",INDEX(SETUP!$B$36:$B$42,MATCH($L1101,SETUP!$A$36:$A$42,1))))</f>
        <v>8k - 10k</v>
      </c>
      <c r="N1101" s="21">
        <f>IF($C1101="","",IF(OR($G1101="",$I1101=""),"",ROUND(100*(SETUP!$B$4*MIN(1,$I1101/SETUP!$B$9)+SETUP!$B$5*MAX(0,MIN(1,($G1101-SETUP!$B$10)/(SETUP!$B$11-SETUP!$B$10)))+SETUP!$B$6*MIN(1,IF($L1101="",0,$L1101)/SETUP!$B$12)),1)))</f>
        <v>88</v>
      </c>
      <c r="O1101" s="19" t="str">
        <f>IF($C1101="","",IF($N1101="","-",INDEX(SETUP!$B$46:$B$51,MATCH($N1101,SETUP!$A$46:$A$51,1))))</f>
        <v>S+</v>
      </c>
      <c r="P1101" s="19">
        <f>IF($C1101="","",IF($I1101="","",RANK($I1101,$I$4:$I$1463)+COUNTIF($I$4:$I1101,$I1101)-1))</f>
        <v>11</v>
      </c>
      <c r="Q1101" s="19">
        <f>IF($C1101="","",COUNTIFS($B$4:$B$1463,$B1101,$X$4:$X$1463,"&gt;"&amp;$X1101)+COUNTIFS($B$4:$B1101,$B1101,$X$4:$X1101,"="&amp;$X1101))</f>
        <v>6</v>
      </c>
      <c r="R1101" s="75">
        <f>IF($C1101="","",IF($I1101="","",ROUND(COUNTIF($I$4:$I$1463,"&lt;"&amp;$I1101)/COUNT($I$4:$I$1463),3)))</f>
        <v>0.99199999999999999</v>
      </c>
      <c r="S1101" s="19" t="str">
        <f>IF($C1101="","",IF($G1101="","Name only",IF(OR($I1101="",$L1101=""),"Partial","Complete")))</f>
        <v>Complete</v>
      </c>
      <c r="T1101" s="1" t="str">
        <f>IF($C1101="","",TRIM(IF(COUNTIF($C$4:$C$1463,$C1101)&gt;1,"Dup name; ","")&amp;IF(AND($G1101&lt;&gt;"",$G1101&lt;55000),"Low CR - verify; ","")&amp;IF(AND($L1101&lt;&gt;"",$L1101&gt;15),"Secondary - verify; ","")&amp;IF($E1101="","No class; ","")))</f>
        <v/>
      </c>
      <c r="U1101" s="68"/>
      <c r="V1101" s="68"/>
      <c r="W1101" s="68"/>
      <c r="X1101" s="76">
        <f t="shared" si="87"/>
        <v>11213</v>
      </c>
      <c r="Y1101" s="1" t="str">
        <f t="shared" si="88"/>
        <v>AZUKI|6</v>
      </c>
      <c r="Z1101" s="19">
        <f>IF($C1101="","",IF($G1101="","",RANK($G1101,$G$4:$G$1463)+COUNTIF($G$4:$G1101,$G1101)-1))</f>
        <v>3</v>
      </c>
      <c r="AA1101" s="19">
        <f>IF($C1101="","",IF($N1101="","",RANK($N1101,$N$4:$N$1463)+COUNTIF($N$4:$N1101,$N1101)-1))</f>
        <v>12</v>
      </c>
      <c r="AB1101" s="1" t="str">
        <f>IF($C1101="","",IF($E1101="","",$E1101&amp;"#"&amp;(COUNTIFS($E$4:$E$1463,$E1101,$X$4:$X$1463,"&gt;"&amp;$X1101)+COUNTIFS($E$4:$E1101,$E1101,$X$4:$X1101,"="&amp;$X1101))))</f>
        <v>CRUSADER#4</v>
      </c>
      <c r="AC1101" s="1" t="str">
        <f>IF($C1101="","",$B1101&amp;"@"&amp;(COUNTIFS($B$4:$B$1463,$B1101,$C$4:$C$1463,"&lt;"&amp;$C1101)+COUNTIFS($B$4:$B1101,$B1101,$C$4:$C1101,$C1101)))</f>
        <v>AZUKI@84</v>
      </c>
      <c r="AD1101" s="1">
        <f t="shared" si="89"/>
        <v>1098</v>
      </c>
      <c r="AE1101" s="1" t="s">
        <v>2395</v>
      </c>
      <c r="AF1101" s="76">
        <f t="shared" si="90"/>
        <v>64447</v>
      </c>
      <c r="AG1101" s="77">
        <f t="shared" si="91"/>
        <v>8.5</v>
      </c>
      <c r="AH1101" s="1" t="str">
        <f>IF($C1101="","",$B1101&amp;"|"&amp;(COUNTIFS($B$4:$B$1463,$B1101,$AF$4:$AF$1463,"&gt;"&amp;$AF1101)+COUNTIFS($B$4:$B1101,$B1101,$AF$4:$AF1101,"="&amp;$AF1101)))</f>
        <v>AZUKI|2</v>
      </c>
      <c r="AI1101" s="1" t="str">
        <f>IF($C1101="","",$B1101&amp;"|"&amp;(COUNTIFS($B$4:$B$1463,$B1101,$AG$4:$AG$1463,"&gt;"&amp;$AG1101)+COUNTIFS($B$4:$B1101,$B1101,$AG$4:$AG1101,"="&amp;$AG1101)))</f>
        <v>AZUKI|12</v>
      </c>
    </row>
    <row r="1102" spans="1:35" hidden="1">
      <c r="A1102" s="69" t="s">
        <v>109</v>
      </c>
      <c r="B1102" s="69" t="s">
        <v>116</v>
      </c>
      <c r="C1102" s="63" t="s">
        <v>2396</v>
      </c>
      <c r="D1102" s="69" t="s">
        <v>530</v>
      </c>
      <c r="E1102" s="68" t="s">
        <v>79</v>
      </c>
      <c r="F1102" s="15" t="str">
        <f>IF($C1102="","",IF($E1102="","-",IFERROR(INDEX(SETUP!$B$55:$B$64,MATCH($E1102,SETUP!$A$55:$A$64,0)),"Other")))</f>
        <v>Control</v>
      </c>
      <c r="G1102" s="70">
        <v>62021</v>
      </c>
      <c r="H1102" s="15" t="str">
        <f>IF($C1102="","",IF($G1102="","-",INDEX(SETUP!$B$26:$B$32,MATCH($G1102,SETUP!$A$26:$A$32,1))))</f>
        <v>62,000 - 62,999</v>
      </c>
      <c r="I1102" s="70">
        <v>4030</v>
      </c>
      <c r="J1102" s="15" t="str">
        <f>IF($C1102="","",IF($I1102="","-",INDEX(SETUP!$B$16:$B$22,MATCH($I1102,SETUP!$A$16:$A$22,1))))</f>
        <v>CORE</v>
      </c>
      <c r="K1102" s="15" t="str">
        <f>IF($C1102="","",IF($I1102="","-",TEXT(INT($I1102/1000)*1000,"#,##0")&amp;" - "&amp;TEXT(INT($I1102/1000)*1000+999,"#,##0")))</f>
        <v>4,000 - 4,999</v>
      </c>
      <c r="L1102" s="71">
        <v>5.0999999999999996</v>
      </c>
      <c r="M1102" s="15" t="str">
        <f>IF($C1102="","",IF($L1102="","-",INDEX(SETUP!$B$36:$B$42,MATCH($L1102,SETUP!$A$36:$A$42,1))))</f>
        <v>5k - 6k</v>
      </c>
      <c r="N1102" s="17">
        <f>IF($C1102="","",IF(OR($G1102="",$I1102=""),"",ROUND(100*(SETUP!$B$4*MIN(1,$I1102/SETUP!$B$9)+SETUP!$B$5*MAX(0,MIN(1,($G1102-SETUP!$B$10)/(SETUP!$B$11-SETUP!$B$10)))+SETUP!$B$6*MIN(1,IF($L1102="",0,$L1102)/SETUP!$B$12)),1)))</f>
        <v>44.6</v>
      </c>
      <c r="O1102" s="15" t="str">
        <f>IF($C1102="","",IF($N1102="","-",INDEX(SETUP!$B$46:$B$51,MATCH($N1102,SETUP!$A$46:$A$51,1))))</f>
        <v>B</v>
      </c>
      <c r="P1102" s="15">
        <f>IF($C1102="","",IF($I1102="","",RANK($I1102,$I$4:$I$1463)+COUNTIF($I$4:$I1102,$I1102)-1))</f>
        <v>594</v>
      </c>
      <c r="Q1102" s="15">
        <f>IF($C1102="","",COUNTIFS($B$4:$B$1463,$B1102,$X$4:$X$1463,"&gt;"&amp;$X1102)+COUNTIFS($B$4:$B1102,$B1102,$X$4:$X1102,"="&amp;$X1102))</f>
        <v>32</v>
      </c>
      <c r="R1102" s="72">
        <f>IF($C1102="","",IF($I1102="","",ROUND(COUNTIF($I$4:$I$1463,"&lt;"&amp;$I1102)/COUNT($I$4:$I$1463),3)))</f>
        <v>0.55200000000000005</v>
      </c>
      <c r="S1102" s="15" t="str">
        <f>IF($C1102="","",IF($G1102="","Name only",IF(OR($I1102="",$L1102=""),"Partial","Complete")))</f>
        <v>Complete</v>
      </c>
      <c r="T1102" s="41" t="str">
        <f>IF($C1102="","",TRIM(IF(COUNTIF($C$4:$C$1463,$C1102)&gt;1,"Dup name; ","")&amp;IF(AND($G1102&lt;&gt;"",$G1102&lt;55000),"Low CR - verify; ","")&amp;IF(AND($L1102&lt;&gt;"",$L1102&gt;15),"Secondary - verify; ","")&amp;IF($E1102="","No class; ","")))</f>
        <v/>
      </c>
      <c r="U1102" s="68"/>
      <c r="V1102" s="68"/>
      <c r="W1102" s="68"/>
      <c r="X1102" s="73">
        <f t="shared" si="87"/>
        <v>4030</v>
      </c>
      <c r="Y1102" s="41" t="str">
        <f t="shared" si="88"/>
        <v>VENGEANCE|32</v>
      </c>
      <c r="Z1102" s="15">
        <f>IF($C1102="","",IF($G1102="","",RANK($G1102,$G$4:$G$1463)+COUNTIF($G$4:$G1102,$G1102)-1))</f>
        <v>831</v>
      </c>
      <c r="AA1102" s="15">
        <f>IF($C1102="","",IF($N1102="","",RANK($N1102,$N$4:$N$1463)+COUNTIF($N$4:$N1102,$N1102)-1))</f>
        <v>638</v>
      </c>
      <c r="AB1102" s="41" t="str">
        <f>IF($C1102="","",IF($E1102="","",$E1102&amp;"#"&amp;(COUNTIFS($E$4:$E$1463,$E1102,$X$4:$X$1463,"&gt;"&amp;$X1102)+COUNTIFS($E$4:$E1102,$E1102,$X$4:$X1102,"="&amp;$X1102))))</f>
        <v>WARLOCK#138</v>
      </c>
      <c r="AC1102" s="41" t="str">
        <f>IF($C1102="","",$B1102&amp;"@"&amp;(COUNTIFS($B$4:$B$1463,$B1102,$C$4:$C$1463,"&lt;"&amp;$C1102)+COUNTIFS($B$4:$B1102,$B1102,$C$4:$C1102,$C1102)))</f>
        <v>VENGEANCE@76</v>
      </c>
      <c r="AD1102" s="41">
        <f t="shared" si="89"/>
        <v>1099</v>
      </c>
      <c r="AE1102" s="41" t="s">
        <v>559</v>
      </c>
      <c r="AF1102" s="73">
        <f t="shared" si="90"/>
        <v>62021</v>
      </c>
      <c r="AG1102" s="74">
        <f t="shared" si="91"/>
        <v>5.0999999999999996</v>
      </c>
      <c r="AH1102" s="41" t="str">
        <f>IF($C1102="","",$B1102&amp;"|"&amp;(COUNTIFS($B$4:$B$1463,$B1102,$AF$4:$AF$1463,"&gt;"&amp;$AF1102)+COUNTIFS($B$4:$B1102,$B1102,$AF$4:$AF1102,"="&amp;$AF1102)))</f>
        <v>VENGEANCE|49</v>
      </c>
      <c r="AI1102" s="41" t="str">
        <f>IF($C1102="","",$B1102&amp;"|"&amp;(COUNTIFS($B$4:$B$1463,$B1102,$AG$4:$AG$1463,"&gt;"&amp;$AG1102)+COUNTIFS($B$4:$B1102,$B1102,$AG$4:$AG1102,"="&amp;$AG1102)))</f>
        <v>VENGEANCE|29</v>
      </c>
    </row>
    <row r="1103" spans="1:35" hidden="1">
      <c r="A1103" s="69" t="s">
        <v>109</v>
      </c>
      <c r="B1103" s="69" t="s">
        <v>112</v>
      </c>
      <c r="C1103" s="63" t="s">
        <v>2397</v>
      </c>
      <c r="D1103" s="69" t="s">
        <v>567</v>
      </c>
      <c r="E1103" s="68" t="s">
        <v>74</v>
      </c>
      <c r="F1103" s="19" t="str">
        <f>IF($C1103="","",IF($E1103="","-",IFERROR(INDEX(SETUP!$B$55:$B$64,MATCH($E1103,SETUP!$A$55:$A$64,0)),"Other")))</f>
        <v>Ranged DPS</v>
      </c>
      <c r="G1103" s="70">
        <v>64111</v>
      </c>
      <c r="H1103" s="19" t="str">
        <f>IF($C1103="","",IF($G1103="","-",INDEX(SETUP!$B$26:$B$32,MATCH($G1103,SETUP!$A$26:$A$32,1))))</f>
        <v>64,000 +</v>
      </c>
      <c r="I1103" s="70">
        <v>8735</v>
      </c>
      <c r="J1103" s="19" t="str">
        <f>IF($C1103="","",IF($I1103="","-",INDEX(SETUP!$B$16:$B$22,MATCH($I1103,SETUP!$A$16:$A$22,1))))</f>
        <v>ELITE</v>
      </c>
      <c r="K1103" s="19" t="str">
        <f>IF($C1103="","",IF($I1103="","-",TEXT(INT($I1103/1000)*1000,"#,##0")&amp;" - "&amp;TEXT(INT($I1103/1000)*1000+999,"#,##0")))</f>
        <v>8,000 - 8,999</v>
      </c>
      <c r="L1103" s="71">
        <v>5.55</v>
      </c>
      <c r="M1103" s="19" t="str">
        <f>IF($C1103="","",IF($L1103="","-",INDEX(SETUP!$B$36:$B$42,MATCH($L1103,SETUP!$A$36:$A$42,1))))</f>
        <v>5k - 6k</v>
      </c>
      <c r="N1103" s="21">
        <f>IF($C1103="","",IF(OR($G1103="",$I1103=""),"",ROUND(100*(SETUP!$B$4*MIN(1,$I1103/SETUP!$B$9)+SETUP!$B$5*MAX(0,MIN(1,($G1103-SETUP!$B$10)/(SETUP!$B$11-SETUP!$B$10)))+SETUP!$B$6*MIN(1,IF($L1103="",0,$L1103)/SETUP!$B$12)),1)))</f>
        <v>71.400000000000006</v>
      </c>
      <c r="O1103" s="19" t="str">
        <f>IF($C1103="","",IF($N1103="","-",INDEX(SETUP!$B$46:$B$51,MATCH($N1103,SETUP!$A$46:$A$51,1))))</f>
        <v>S</v>
      </c>
      <c r="P1103" s="19">
        <f>IF($C1103="","",IF($I1103="","",RANK($I1103,$I$4:$I$1463)+COUNTIF($I$4:$I1103,$I1103)-1))</f>
        <v>105</v>
      </c>
      <c r="Q1103" s="19">
        <f>IF($C1103="","",COUNTIFS($B$4:$B$1463,$B1103,$X$4:$X$1463,"&gt;"&amp;$X1103)+COUNTIFS($B$4:$B1103,$B1103,$X$4:$X1103,"="&amp;$X1103))</f>
        <v>4</v>
      </c>
      <c r="R1103" s="75">
        <f>IF($C1103="","",IF($I1103="","",ROUND(COUNTIF($I$4:$I$1463,"&lt;"&amp;$I1103)/COUNT($I$4:$I$1463),3)))</f>
        <v>0.92100000000000004</v>
      </c>
      <c r="S1103" s="19" t="str">
        <f>IF($C1103="","",IF($G1103="","Name only",IF(OR($I1103="",$L1103=""),"Partial","Complete")))</f>
        <v>Complete</v>
      </c>
      <c r="T1103" s="1" t="str">
        <f>IF($C1103="","",TRIM(IF(COUNTIF($C$4:$C$1463,$C1103)&gt;1,"Dup name; ","")&amp;IF(AND($G1103&lt;&gt;"",$G1103&lt;55000),"Low CR - verify; ","")&amp;IF(AND($L1103&lt;&gt;"",$L1103&gt;15),"Secondary - verify; ","")&amp;IF($E1103="","No class; ","")))</f>
        <v/>
      </c>
      <c r="U1103" s="68"/>
      <c r="V1103" s="68"/>
      <c r="W1103" s="68"/>
      <c r="X1103" s="76">
        <f t="shared" si="87"/>
        <v>8735</v>
      </c>
      <c r="Y1103" s="1" t="str">
        <f t="shared" si="88"/>
        <v>ACHERON|4</v>
      </c>
      <c r="Z1103" s="19">
        <f>IF($C1103="","",IF($G1103="","",RANK($G1103,$G$4:$G$1463)+COUNTIF($G$4:$G1103,$G1103)-1))</f>
        <v>58</v>
      </c>
      <c r="AA1103" s="19">
        <f>IF($C1103="","",IF($N1103="","",RANK($N1103,$N$4:$N$1463)+COUNTIF($N$4:$N1103,$N1103)-1))</f>
        <v>118</v>
      </c>
      <c r="AB1103" s="1" t="str">
        <f>IF($C1103="","",IF($E1103="","",$E1103&amp;"#"&amp;(COUNTIFS($E$4:$E$1463,$E1103,$X$4:$X$1463,"&gt;"&amp;$X1103)+COUNTIFS($E$4:$E1103,$E1103,$X$4:$X1103,"="&amp;$X1103))))</f>
        <v>DEMON HUNTER#19</v>
      </c>
      <c r="AC1103" s="1" t="str">
        <f>IF($C1103="","",$B1103&amp;"@"&amp;(COUNTIFS($B$4:$B$1463,$B1103,$C$4:$C$1463,"&lt;"&amp;$C1103)+COUNTIFS($B$4:$B1103,$B1103,$C$4:$C1103,$C1103)))</f>
        <v>ACHERON@75</v>
      </c>
      <c r="AD1103" s="1">
        <f t="shared" si="89"/>
        <v>1100</v>
      </c>
      <c r="AE1103" s="1" t="s">
        <v>2398</v>
      </c>
      <c r="AF1103" s="76">
        <f t="shared" si="90"/>
        <v>64111</v>
      </c>
      <c r="AG1103" s="77">
        <f t="shared" si="91"/>
        <v>5.55</v>
      </c>
      <c r="AH1103" s="1" t="str">
        <f>IF($C1103="","",$B1103&amp;"|"&amp;(COUNTIFS($B$4:$B$1463,$B1103,$AF$4:$AF$1463,"&gt;"&amp;$AF1103)+COUNTIFS($B$4:$B1103,$B1103,$AF$4:$AF1103,"="&amp;$AF1103)))</f>
        <v>ACHERON|4</v>
      </c>
      <c r="AI1103" s="1" t="str">
        <f>IF($C1103="","",$B1103&amp;"|"&amp;(COUNTIFS($B$4:$B$1463,$B1103,$AG$4:$AG$1463,"&gt;"&amp;$AG1103)+COUNTIFS($B$4:$B1103,$B1103,$AG$4:$AG1103,"="&amp;$AG1103)))</f>
        <v>ACHERON|29</v>
      </c>
    </row>
    <row r="1104" spans="1:35" hidden="1">
      <c r="A1104" s="69" t="s">
        <v>106</v>
      </c>
      <c r="B1104" s="69" t="s">
        <v>105</v>
      </c>
      <c r="C1104" s="63" t="s">
        <v>2399</v>
      </c>
      <c r="D1104" s="69"/>
      <c r="E1104" s="68" t="s">
        <v>79</v>
      </c>
      <c r="F1104" s="15" t="str">
        <f>IF($C1104="","",IF($E1104="","-",IFERROR(INDEX(SETUP!$B$55:$B$64,MATCH($E1104,SETUP!$A$55:$A$64,0)),"Other")))</f>
        <v>Control</v>
      </c>
      <c r="G1104" s="70">
        <v>60456</v>
      </c>
      <c r="H1104" s="15" t="str">
        <f>IF($C1104="","",IF($G1104="","-",INDEX(SETUP!$B$26:$B$32,MATCH($G1104,SETUP!$A$26:$A$32,1))))</f>
        <v>60,000 - 60,999</v>
      </c>
      <c r="I1104" s="70">
        <v>3870</v>
      </c>
      <c r="J1104" s="15" t="str">
        <f>IF($C1104="","",IF($I1104="","-",INDEX(SETUP!$B$16:$B$22,MATCH($I1104,SETUP!$A$16:$A$22,1))))</f>
        <v>DEVELOPING</v>
      </c>
      <c r="K1104" s="15" t="str">
        <f>IF($C1104="","",IF($I1104="","-",TEXT(INT($I1104/1000)*1000,"#,##0")&amp;" - "&amp;TEXT(INT($I1104/1000)*1000+999,"#,##0")))</f>
        <v>3,000 - 3,999</v>
      </c>
      <c r="L1104" s="71">
        <v>4.99</v>
      </c>
      <c r="M1104" s="15" t="str">
        <f>IF($C1104="","",IF($L1104="","-",INDEX(SETUP!$B$36:$B$42,MATCH($L1104,SETUP!$A$36:$A$42,1))))</f>
        <v>4k - 5k</v>
      </c>
      <c r="N1104" s="17">
        <f>IF($C1104="","",IF(OR($G1104="",$I1104=""),"",ROUND(100*(SETUP!$B$4*MIN(1,$I1104/SETUP!$B$9)+SETUP!$B$5*MAX(0,MIN(1,($G1104-SETUP!$B$10)/(SETUP!$B$11-SETUP!$B$10)))+SETUP!$B$6*MIN(1,IF($L1104="",0,$L1104)/SETUP!$B$12)),1)))</f>
        <v>39.6</v>
      </c>
      <c r="O1104" s="15" t="str">
        <f>IF($C1104="","",IF($N1104="","-",INDEX(SETUP!$B$46:$B$51,MATCH($N1104,SETUP!$A$46:$A$51,1))))</f>
        <v>B</v>
      </c>
      <c r="P1104" s="15">
        <f>IF($C1104="","",IF($I1104="","",RANK($I1104,$I$4:$I$1463)+COUNTIF($I$4:$I1104,$I1104)-1))</f>
        <v>629</v>
      </c>
      <c r="Q1104" s="15">
        <f>IF($C1104="","",COUNTIFS($B$4:$B$1463,$B1104,$X$4:$X$1463,"&gt;"&amp;$X1104)+COUNTIFS($B$4:$B1104,$B1104,$X$4:$X1104,"="&amp;$X1104))</f>
        <v>75</v>
      </c>
      <c r="R1104" s="72">
        <f>IF($C1104="","",IF($I1104="","",ROUND(COUNTIF($I$4:$I$1463,"&lt;"&amp;$I1104)/COUNT($I$4:$I$1463),3)))</f>
        <v>0.52500000000000002</v>
      </c>
      <c r="S1104" s="15" t="str">
        <f>IF($C1104="","",IF($G1104="","Name only",IF(OR($I1104="",$L1104=""),"Partial","Complete")))</f>
        <v>Complete</v>
      </c>
      <c r="T1104" s="41" t="str">
        <f>IF($C1104="","",TRIM(IF(COUNTIF($C$4:$C$1463,$C1104)&gt;1,"Dup name; ","")&amp;IF(AND($G1104&lt;&gt;"",$G1104&lt;55000),"Low CR - verify; ","")&amp;IF(AND($L1104&lt;&gt;"",$L1104&gt;15),"Secondary - verify; ","")&amp;IF($E1104="","No class; ","")))</f>
        <v/>
      </c>
      <c r="U1104" s="68"/>
      <c r="V1104" s="68"/>
      <c r="W1104" s="68"/>
      <c r="X1104" s="73">
        <f t="shared" si="87"/>
        <v>3870</v>
      </c>
      <c r="Y1104" s="41" t="str">
        <f t="shared" si="88"/>
        <v>LEGENDS|75</v>
      </c>
      <c r="Z1104" s="15">
        <f>IF($C1104="","",IF($G1104="","",RANK($G1104,$G$4:$G$1463)+COUNTIF($G$4:$G1104,$G1104)-1))</f>
        <v>1211</v>
      </c>
      <c r="AA1104" s="15">
        <f>IF($C1104="","",IF($N1104="","",RANK($N1104,$N$4:$N$1463)+COUNTIF($N$4:$N1104,$N1104)-1))</f>
        <v>839</v>
      </c>
      <c r="AB1104" s="41" t="str">
        <f>IF($C1104="","",IF($E1104="","",$E1104&amp;"#"&amp;(COUNTIFS($E$4:$E$1463,$E1104,$X$4:$X$1463,"&gt;"&amp;$X1104)+COUNTIFS($E$4:$E1104,$E1104,$X$4:$X1104,"="&amp;$X1104))))</f>
        <v>WARLOCK#150</v>
      </c>
      <c r="AC1104" s="41" t="str">
        <f>IF($C1104="","",$B1104&amp;"@"&amp;(COUNTIFS($B$4:$B$1463,$B1104,$C$4:$C$1463,"&lt;"&amp;$C1104)+COUNTIFS($B$4:$B1104,$B1104,$C$4:$C1104,$C1104)))</f>
        <v>LEGENDS@87</v>
      </c>
      <c r="AD1104" s="41">
        <f t="shared" si="89"/>
        <v>1101</v>
      </c>
      <c r="AE1104" s="41" t="s">
        <v>2400</v>
      </c>
      <c r="AF1104" s="73">
        <f t="shared" si="90"/>
        <v>60456</v>
      </c>
      <c r="AG1104" s="74">
        <f t="shared" si="91"/>
        <v>4.99</v>
      </c>
      <c r="AH1104" s="41" t="str">
        <f>IF($C1104="","",$B1104&amp;"|"&amp;(COUNTIFS($B$4:$B$1463,$B1104,$AF$4:$AF$1463,"&gt;"&amp;$AF1104)+COUNTIFS($B$4:$B1104,$B1104,$AF$4:$AF1104,"="&amp;$AF1104)))</f>
        <v>LEGENDS|96</v>
      </c>
      <c r="AI1104" s="41" t="str">
        <f>IF($C1104="","",$B1104&amp;"|"&amp;(COUNTIFS($B$4:$B$1463,$B1104,$AG$4:$AG$1463,"&gt;"&amp;$AG1104)+COUNTIFS($B$4:$B1104,$B1104,$AG$4:$AG1104,"="&amp;$AG1104)))</f>
        <v>LEGENDS|64</v>
      </c>
    </row>
    <row r="1105" spans="1:35" hidden="1">
      <c r="A1105" s="69" t="s">
        <v>109</v>
      </c>
      <c r="B1105" s="69" t="s">
        <v>110</v>
      </c>
      <c r="C1105" s="63" t="s">
        <v>2401</v>
      </c>
      <c r="D1105" s="69"/>
      <c r="E1105" s="68" t="s">
        <v>79</v>
      </c>
      <c r="F1105" s="19" t="str">
        <f>IF($C1105="","",IF($E1105="","-",IFERROR(INDEX(SETUP!$B$55:$B$64,MATCH($E1105,SETUP!$A$55:$A$64,0)),"Other")))</f>
        <v>Control</v>
      </c>
      <c r="G1105" s="70">
        <v>59982</v>
      </c>
      <c r="H1105" s="19" t="str">
        <f>IF($C1105="","",IF($G1105="","-",INDEX(SETUP!$B$26:$B$32,MATCH($G1105,SETUP!$A$26:$A$32,1))))</f>
        <v>58,000 - 59,999</v>
      </c>
      <c r="I1105" s="70">
        <v>3027</v>
      </c>
      <c r="J1105" s="19" t="str">
        <f>IF($C1105="","",IF($I1105="","-",INDEX(SETUP!$B$16:$B$22,MATCH($I1105,SETUP!$A$16:$A$22,1))))</f>
        <v>DEVELOPING</v>
      </c>
      <c r="K1105" s="19" t="str">
        <f>IF($C1105="","",IF($I1105="","-",TEXT(INT($I1105/1000)*1000,"#,##0")&amp;" - "&amp;TEXT(INT($I1105/1000)*1000+999,"#,##0")))</f>
        <v>3,000 - 3,999</v>
      </c>
      <c r="L1105" s="71">
        <v>3.65</v>
      </c>
      <c r="M1105" s="19" t="str">
        <f>IF($C1105="","",IF($L1105="","-",INDEX(SETUP!$B$36:$B$42,MATCH($L1105,SETUP!$A$36:$A$42,1))))</f>
        <v>3k - 4k</v>
      </c>
      <c r="N1105" s="21">
        <f>IF($C1105="","",IF(OR($G1105="",$I1105=""),"",ROUND(100*(SETUP!$B$4*MIN(1,$I1105/SETUP!$B$9)+SETUP!$B$5*MAX(0,MIN(1,($G1105-SETUP!$B$10)/(SETUP!$B$11-SETUP!$B$10)))+SETUP!$B$6*MIN(1,IF($L1105="",0,$L1105)/SETUP!$B$12)),1)))</f>
        <v>32.4</v>
      </c>
      <c r="O1105" s="19" t="str">
        <f>IF($C1105="","",IF($N1105="","-",INDEX(SETUP!$B$46:$B$51,MATCH($N1105,SETUP!$A$46:$A$51,1))))</f>
        <v>C</v>
      </c>
      <c r="P1105" s="19">
        <f>IF($C1105="","",IF($I1105="","",RANK($I1105,$I$4:$I$1463)+COUNTIF($I$4:$I1105,$I1105)-1))</f>
        <v>870</v>
      </c>
      <c r="Q1105" s="19">
        <f>IF($C1105="","",COUNTIFS($B$4:$B$1463,$B1105,$X$4:$X$1463,"&gt;"&amp;$X1105)+COUNTIFS($B$4:$B1105,$B1105,$X$4:$X1105,"="&amp;$X1105))</f>
        <v>91</v>
      </c>
      <c r="R1105" s="75">
        <f>IF($C1105="","",IF($I1105="","",ROUND(COUNTIF($I$4:$I$1463,"&lt;"&amp;$I1105)/COUNT($I$4:$I$1463),3)))</f>
        <v>0.34300000000000003</v>
      </c>
      <c r="S1105" s="19" t="str">
        <f>IF($C1105="","",IF($G1105="","Name only",IF(OR($I1105="",$L1105=""),"Partial","Complete")))</f>
        <v>Complete</v>
      </c>
      <c r="T1105" s="1" t="str">
        <f>IF($C1105="","",TRIM(IF(COUNTIF($C$4:$C$1463,$C1105)&gt;1,"Dup name; ","")&amp;IF(AND($G1105&lt;&gt;"",$G1105&lt;55000),"Low CR - verify; ","")&amp;IF(AND($L1105&lt;&gt;"",$L1105&gt;15),"Secondary - verify; ","")&amp;IF($E1105="","No class; ","")))</f>
        <v/>
      </c>
      <c r="U1105" s="68"/>
      <c r="V1105" s="68"/>
      <c r="W1105" s="68"/>
      <c r="X1105" s="76">
        <f t="shared" si="87"/>
        <v>3027</v>
      </c>
      <c r="Y1105" s="1" t="str">
        <f t="shared" si="88"/>
        <v>AZUKI|91</v>
      </c>
      <c r="Z1105" s="19">
        <f>IF($C1105="","",IF($G1105="","",RANK($G1105,$G$4:$G$1463)+COUNTIF($G$4:$G1105,$G1105)-1))</f>
        <v>1237</v>
      </c>
      <c r="AA1105" s="19">
        <f>IF($C1105="","",IF($N1105="","",RANK($N1105,$N$4:$N$1463)+COUNTIF($N$4:$N1105,$N1105)-1))</f>
        <v>1089</v>
      </c>
      <c r="AB1105" s="1" t="str">
        <f>IF($C1105="","",IF($E1105="","",$E1105&amp;"#"&amp;(COUNTIFS($E$4:$E$1463,$E1105,$X$4:$X$1463,"&gt;"&amp;$X1105)+COUNTIFS($E$4:$E1105,$E1105,$X$4:$X1105,"="&amp;$X1105))))</f>
        <v>WARLOCK#215</v>
      </c>
      <c r="AC1105" s="1" t="str">
        <f>IF($C1105="","",$B1105&amp;"@"&amp;(COUNTIFS($B$4:$B$1463,$B1105,$C$4:$C$1463,"&lt;"&amp;$C1105)+COUNTIFS($B$4:$B1105,$B1105,$C$4:$C1105,$C1105)))</f>
        <v>AZUKI@85</v>
      </c>
      <c r="AD1105" s="1">
        <f t="shared" si="89"/>
        <v>1102</v>
      </c>
      <c r="AE1105" s="1" t="s">
        <v>2402</v>
      </c>
      <c r="AF1105" s="76">
        <f t="shared" si="90"/>
        <v>59982</v>
      </c>
      <c r="AG1105" s="77">
        <f t="shared" si="91"/>
        <v>3.65</v>
      </c>
      <c r="AH1105" s="1" t="str">
        <f>IF($C1105="","",$B1105&amp;"|"&amp;(COUNTIFS($B$4:$B$1463,$B1105,$AF$4:$AF$1463,"&gt;"&amp;$AF1105)+COUNTIFS($B$4:$B1105,$B1105,$AF$4:$AF1105,"="&amp;$AF1105)))</f>
        <v>AZUKI|100</v>
      </c>
      <c r="AI1105" s="1" t="str">
        <f>IF($C1105="","",$B1105&amp;"|"&amp;(COUNTIFS($B$4:$B$1463,$B1105,$AG$4:$AG$1463,"&gt;"&amp;$AG1105)+COUNTIFS($B$4:$B1105,$B1105,$AG$4:$AG1105,"="&amp;$AG1105)))</f>
        <v>AZUKI|100</v>
      </c>
    </row>
    <row r="1106" spans="1:35" hidden="1">
      <c r="A1106" s="69" t="s">
        <v>109</v>
      </c>
      <c r="B1106" s="69" t="s">
        <v>113</v>
      </c>
      <c r="C1106" s="63" t="s">
        <v>2403</v>
      </c>
      <c r="D1106" s="69" t="s">
        <v>548</v>
      </c>
      <c r="E1106" s="68" t="s">
        <v>74</v>
      </c>
      <c r="F1106" s="15" t="str">
        <f>IF($C1106="","",IF($E1106="","-",IFERROR(INDEX(SETUP!$B$55:$B$64,MATCH($E1106,SETUP!$A$55:$A$64,0)),"Other")))</f>
        <v>Ranged DPS</v>
      </c>
      <c r="G1106" s="70">
        <v>63510</v>
      </c>
      <c r="H1106" s="15" t="str">
        <f>IF($C1106="","",IF($G1106="","-",INDEX(SETUP!$B$26:$B$32,MATCH($G1106,SETUP!$A$26:$A$32,1))))</f>
        <v>63,000 - 63,999</v>
      </c>
      <c r="I1106" s="70">
        <v>5274</v>
      </c>
      <c r="J1106" s="15" t="str">
        <f>IF($C1106="","",IF($I1106="","-",INDEX(SETUP!$B$16:$B$22,MATCH($I1106,SETUP!$A$16:$A$22,1))))</f>
        <v>CORE</v>
      </c>
      <c r="K1106" s="15" t="str">
        <f>IF($C1106="","",IF($I1106="","-",TEXT(INT($I1106/1000)*1000,"#,##0")&amp;" - "&amp;TEXT(INT($I1106/1000)*1000+999,"#,##0")))</f>
        <v>5,000 - 5,999</v>
      </c>
      <c r="L1106" s="71">
        <v>5</v>
      </c>
      <c r="M1106" s="15" t="str">
        <f>IF($C1106="","",IF($L1106="","-",INDEX(SETUP!$B$36:$B$42,MATCH($L1106,SETUP!$A$36:$A$42,1))))</f>
        <v>5k - 6k</v>
      </c>
      <c r="N1106" s="17">
        <f>IF($C1106="","",IF(OR($G1106="",$I1106=""),"",ROUND(100*(SETUP!$B$4*MIN(1,$I1106/SETUP!$B$9)+SETUP!$B$5*MAX(0,MIN(1,($G1106-SETUP!$B$10)/(SETUP!$B$11-SETUP!$B$10)))+SETUP!$B$6*MIN(1,IF($L1106="",0,$L1106)/SETUP!$B$12)),1)))</f>
        <v>53.7</v>
      </c>
      <c r="O1106" s="15" t="str">
        <f>IF($C1106="","",IF($N1106="","-",INDEX(SETUP!$B$46:$B$51,MATCH($N1106,SETUP!$A$46:$A$51,1))))</f>
        <v>A</v>
      </c>
      <c r="P1106" s="15">
        <f>IF($C1106="","",IF($I1106="","",RANK($I1106,$I$4:$I$1463)+COUNTIF($I$4:$I1106,$I1106)-1))</f>
        <v>366</v>
      </c>
      <c r="Q1106" s="15">
        <f>IF($C1106="","",COUNTIFS($B$4:$B$1463,$B1106,$X$4:$X$1463,"&gt;"&amp;$X1106)+COUNTIFS($B$4:$B1106,$B1106,$X$4:$X1106,"="&amp;$X1106))</f>
        <v>14</v>
      </c>
      <c r="R1106" s="72">
        <f>IF($C1106="","",IF($I1106="","",ROUND(COUNTIF($I$4:$I$1463,"&lt;"&amp;$I1106)/COUNT($I$4:$I$1463),3)))</f>
        <v>0.72399999999999998</v>
      </c>
      <c r="S1106" s="15" t="str">
        <f>IF($C1106="","",IF($G1106="","Name only",IF(OR($I1106="",$L1106=""),"Partial","Complete")))</f>
        <v>Complete</v>
      </c>
      <c r="T1106" s="41" t="str">
        <f>IF($C1106="","",TRIM(IF(COUNTIF($C$4:$C$1463,$C1106)&gt;1,"Dup name; ","")&amp;IF(AND($G1106&lt;&gt;"",$G1106&lt;55000),"Low CR - verify; ","")&amp;IF(AND($L1106&lt;&gt;"",$L1106&gt;15),"Secondary - verify; ","")&amp;IF($E1106="","No class; ","")))</f>
        <v/>
      </c>
      <c r="U1106" s="68"/>
      <c r="V1106" s="68"/>
      <c r="W1106" s="68"/>
      <c r="X1106" s="73">
        <f t="shared" si="87"/>
        <v>5274</v>
      </c>
      <c r="Y1106" s="41" t="str">
        <f t="shared" si="88"/>
        <v>INVICTUS|14</v>
      </c>
      <c r="Z1106" s="15">
        <f>IF($C1106="","",IF($G1106="","",RANK($G1106,$G$4:$G$1463)+COUNTIF($G$4:$G1106,$G1106)-1))</f>
        <v>190</v>
      </c>
      <c r="AA1106" s="15">
        <f>IF($C1106="","",IF($N1106="","",RANK($N1106,$N$4:$N$1463)+COUNTIF($N$4:$N1106,$N1106)-1))</f>
        <v>346</v>
      </c>
      <c r="AB1106" s="41" t="str">
        <f>IF($C1106="","",IF($E1106="","",$E1106&amp;"#"&amp;(COUNTIFS($E$4:$E$1463,$E1106,$X$4:$X$1463,"&gt;"&amp;$X1106)+COUNTIFS($E$4:$E1106,$E1106,$X$4:$X1106,"="&amp;$X1106))))</f>
        <v>DEMON HUNTER#58</v>
      </c>
      <c r="AC1106" s="41" t="str">
        <f>IF($C1106="","",$B1106&amp;"@"&amp;(COUNTIFS($B$4:$B$1463,$B1106,$C$4:$C$1463,"&lt;"&amp;$C1106)+COUNTIFS($B$4:$B1106,$B1106,$C$4:$C1106,$C1106)))</f>
        <v>INVICTUS@82</v>
      </c>
      <c r="AD1106" s="41">
        <f t="shared" si="89"/>
        <v>1103</v>
      </c>
      <c r="AE1106" s="41" t="s">
        <v>2404</v>
      </c>
      <c r="AF1106" s="73">
        <f t="shared" si="90"/>
        <v>63510</v>
      </c>
      <c r="AG1106" s="74">
        <f t="shared" si="91"/>
        <v>5</v>
      </c>
      <c r="AH1106" s="41" t="str">
        <f>IF($C1106="","",$B1106&amp;"|"&amp;(COUNTIFS($B$4:$B$1463,$B1106,$AF$4:$AF$1463,"&gt;"&amp;$AF1106)+COUNTIFS($B$4:$B1106,$B1106,$AF$4:$AF1106,"="&amp;$AF1106)))</f>
        <v>INVICTUS|6</v>
      </c>
      <c r="AI1106" s="41" t="str">
        <f>IF($C1106="","",$B1106&amp;"|"&amp;(COUNTIFS($B$4:$B$1463,$B1106,$AG$4:$AG$1463,"&gt;"&amp;$AG1106)+COUNTIFS($B$4:$B1106,$B1106,$AG$4:$AG1106,"="&amp;$AG1106)))</f>
        <v>INVICTUS|30</v>
      </c>
    </row>
    <row r="1107" spans="1:35" hidden="1">
      <c r="A1107" s="69" t="s">
        <v>109</v>
      </c>
      <c r="B1107" s="69" t="s">
        <v>118</v>
      </c>
      <c r="C1107" s="63" t="s">
        <v>2405</v>
      </c>
      <c r="D1107" s="69"/>
      <c r="E1107" s="68" t="s">
        <v>79</v>
      </c>
      <c r="F1107" s="19" t="str">
        <f>IF($C1107="","",IF($E1107="","-",IFERROR(INDEX(SETUP!$B$55:$B$64,MATCH($E1107,SETUP!$A$55:$A$64,0)),"Other")))</f>
        <v>Control</v>
      </c>
      <c r="G1107" s="70">
        <v>62736</v>
      </c>
      <c r="H1107" s="19" t="str">
        <f>IF($C1107="","",IF($G1107="","-",INDEX(SETUP!$B$26:$B$32,MATCH($G1107,SETUP!$A$26:$A$32,1))))</f>
        <v>62,000 - 62,999</v>
      </c>
      <c r="I1107" s="70">
        <v>3455</v>
      </c>
      <c r="J1107" s="19" t="str">
        <f>IF($C1107="","",IF($I1107="","-",INDEX(SETUP!$B$16:$B$22,MATCH($I1107,SETUP!$A$16:$A$22,1))))</f>
        <v>DEVELOPING</v>
      </c>
      <c r="K1107" s="19" t="str">
        <f>IF($C1107="","",IF($I1107="","-",TEXT(INT($I1107/1000)*1000,"#,##0")&amp;" - "&amp;TEXT(INT($I1107/1000)*1000+999,"#,##0")))</f>
        <v>3,000 - 3,999</v>
      </c>
      <c r="L1107" s="71">
        <v>4.5999999999999996</v>
      </c>
      <c r="M1107" s="19" t="str">
        <f>IF($C1107="","",IF($L1107="","-",INDEX(SETUP!$B$36:$B$42,MATCH($L1107,SETUP!$A$36:$A$42,1))))</f>
        <v>4k - 5k</v>
      </c>
      <c r="N1107" s="21">
        <f>IF($C1107="","",IF(OR($G1107="",$I1107=""),"",ROUND(100*(SETUP!$B$4*MIN(1,$I1107/SETUP!$B$9)+SETUP!$B$5*MAX(0,MIN(1,($G1107-SETUP!$B$10)/(SETUP!$B$11-SETUP!$B$10)))+SETUP!$B$6*MIN(1,IF($L1107="",0,$L1107)/SETUP!$B$12)),1)))</f>
        <v>43.1</v>
      </c>
      <c r="O1107" s="19" t="str">
        <f>IF($C1107="","",IF($N1107="","-",INDEX(SETUP!$B$46:$B$51,MATCH($N1107,SETUP!$A$46:$A$51,1))))</f>
        <v>B</v>
      </c>
      <c r="P1107" s="19">
        <f>IF($C1107="","",IF($I1107="","",RANK($I1107,$I$4:$I$1463)+COUNTIF($I$4:$I1107,$I1107)-1))</f>
        <v>743</v>
      </c>
      <c r="Q1107" s="19">
        <f>IF($C1107="","",COUNTIFS($B$4:$B$1463,$B1107,$X$4:$X$1463,"&gt;"&amp;$X1107)+COUNTIFS($B$4:$B1107,$B1107,$X$4:$X1107,"="&amp;$X1107))</f>
        <v>11</v>
      </c>
      <c r="R1107" s="75">
        <f>IF($C1107="","",IF($I1107="","",ROUND(COUNTIF($I$4:$I$1463,"&lt;"&amp;$I1107)/COUNT($I$4:$I$1463),3)))</f>
        <v>0.439</v>
      </c>
      <c r="S1107" s="19" t="str">
        <f>IF($C1107="","",IF($G1107="","Name only",IF(OR($I1107="",$L1107=""),"Partial","Complete")))</f>
        <v>Complete</v>
      </c>
      <c r="T1107" s="1" t="str">
        <f>IF($C1107="","",TRIM(IF(COUNTIF($C$4:$C$1463,$C1107)&gt;1,"Dup name; ","")&amp;IF(AND($G1107&lt;&gt;"",$G1107&lt;55000),"Low CR - verify; ","")&amp;IF(AND($L1107&lt;&gt;"",$L1107&gt;15),"Secondary - verify; ","")&amp;IF($E1107="","No class; ","")))</f>
        <v/>
      </c>
      <c r="U1107" s="68"/>
      <c r="V1107" s="68"/>
      <c r="W1107" s="68"/>
      <c r="X1107" s="76">
        <f t="shared" si="87"/>
        <v>3455</v>
      </c>
      <c r="Y1107" s="1" t="str">
        <f t="shared" si="88"/>
        <v>ZOMBIES|11</v>
      </c>
      <c r="Z1107" s="19">
        <f>IF($C1107="","",IF($G1107="","",RANK($G1107,$G$4:$G$1463)+COUNTIF($G$4:$G1107,$G1107)-1))</f>
        <v>552</v>
      </c>
      <c r="AA1107" s="19">
        <f>IF($C1107="","",IF($N1107="","",RANK($N1107,$N$4:$N$1463)+COUNTIF($N$4:$N1107,$N1107)-1))</f>
        <v>702</v>
      </c>
      <c r="AB1107" s="1" t="str">
        <f>IF($C1107="","",IF($E1107="","",$E1107&amp;"#"&amp;(COUNTIFS($E$4:$E$1463,$E1107,$X$4:$X$1463,"&gt;"&amp;$X1107)+COUNTIFS($E$4:$E1107,$E1107,$X$4:$X1107,"="&amp;$X1107))))</f>
        <v>WARLOCK#182</v>
      </c>
      <c r="AC1107" s="1" t="str">
        <f>IF($C1107="","",$B1107&amp;"@"&amp;(COUNTIFS($B$4:$B$1463,$B1107,$C$4:$C$1463,"&lt;"&amp;$C1107)+COUNTIFS($B$4:$B1107,$B1107,$C$4:$C1107,$C1107)))</f>
        <v>ZOMBIES@76</v>
      </c>
      <c r="AD1107" s="1">
        <f t="shared" si="89"/>
        <v>1104</v>
      </c>
      <c r="AE1107" s="1" t="s">
        <v>671</v>
      </c>
      <c r="AF1107" s="76">
        <f t="shared" si="90"/>
        <v>62736</v>
      </c>
      <c r="AG1107" s="77">
        <f t="shared" si="91"/>
        <v>4.5999999999999996</v>
      </c>
      <c r="AH1107" s="1" t="str">
        <f>IF($C1107="","",$B1107&amp;"|"&amp;(COUNTIFS($B$4:$B$1463,$B1107,$AF$4:$AF$1463,"&gt;"&amp;$AF1107)+COUNTIFS($B$4:$B1107,$B1107,$AF$4:$AF1107,"="&amp;$AF1107)))</f>
        <v>ZOMBIES|9</v>
      </c>
      <c r="AI1107" s="1" t="str">
        <f>IF($C1107="","",$B1107&amp;"|"&amp;(COUNTIFS($B$4:$B$1463,$B1107,$AG$4:$AG$1463,"&gt;"&amp;$AG1107)+COUNTIFS($B$4:$B1107,$B1107,$AG$4:$AG1107,"="&amp;$AG1107)))</f>
        <v>ZOMBIES|16</v>
      </c>
    </row>
    <row r="1108" spans="1:35">
      <c r="A1108" s="69" t="s">
        <v>104</v>
      </c>
      <c r="B1108" s="69" t="s">
        <v>66</v>
      </c>
      <c r="C1108" s="63" t="s">
        <v>2316</v>
      </c>
      <c r="D1108" s="69"/>
      <c r="E1108" s="68" t="s">
        <v>79</v>
      </c>
      <c r="F1108" s="19" t="str">
        <f>IF($C1108="","",IF($E1108="","-",IFERROR(INDEX(SETUP!$B$55:$B$64,MATCH($E1108,SETUP!$A$55:$A$64,0)),"Other")))</f>
        <v>Control</v>
      </c>
      <c r="G1108" s="70">
        <v>62022</v>
      </c>
      <c r="H1108" s="19" t="str">
        <f>IF($C1108="","",IF($G1108="","-",INDEX(SETUP!$B$26:$B$32,MATCH($G1108,SETUP!$A$26:$A$32,1))))</f>
        <v>62,000 - 62,999</v>
      </c>
      <c r="I1108" s="70">
        <v>3338</v>
      </c>
      <c r="J1108" s="19" t="str">
        <f>IF($C1108="","",IF($I1108="","-",INDEX(SETUP!$B$16:$B$22,MATCH($I1108,SETUP!$A$16:$A$22,1))))</f>
        <v>DEVELOPING</v>
      </c>
      <c r="K1108" s="19" t="str">
        <f>IF($C1108="","",IF($I1108="","-",TEXT(INT($I1108/1000)*1000,"#,##0")&amp;" - "&amp;TEXT(INT($I1108/1000)*1000+999,"#,##0")))</f>
        <v>3,000 - 3,999</v>
      </c>
      <c r="L1108" s="71">
        <v>3.52</v>
      </c>
      <c r="M1108" s="19" t="str">
        <f>IF($C1108="","",IF($L1108="","-",INDEX(SETUP!$B$36:$B$42,MATCH($L1108,SETUP!$A$36:$A$42,1))))</f>
        <v>3k - 4k</v>
      </c>
      <c r="N1108" s="21">
        <f>IF($C1108="","",IF(OR($G1108="",$I1108=""),"",ROUND(100*(SETUP!$B$4*MIN(1,$I1108/SETUP!$B$9)+SETUP!$B$5*MAX(0,MIN(1,($G1108-SETUP!$B$10)/(SETUP!$B$11-SETUP!$B$10)))+SETUP!$B$6*MIN(1,IF($L1108="",0,$L1108)/SETUP!$B$12)),1)))</f>
        <v>38.9</v>
      </c>
      <c r="O1108" s="19" t="str">
        <f>IF($C1108="","",IF($N1108="","-",INDEX(SETUP!$B$46:$B$51,MATCH($N1108,SETUP!$A$46:$A$51,1))))</f>
        <v>B</v>
      </c>
      <c r="P1108" s="19">
        <f>IF($C1108="","",IF($I1108="","",RANK($I1108,$I$4:$I$1463)+COUNTIF($I$4:$I1108,$I1108)-1))</f>
        <v>776</v>
      </c>
      <c r="Q1108" s="19">
        <f>IF($C1108="","",COUNTIFS($B$4:$B$1463,$B1108,$X$4:$X$1463,"&gt;"&amp;$X1108)+COUNTIFS($B$4:$B1108,$B1108,$X$4:$X1108,"="&amp;$X1108))</f>
        <v>77</v>
      </c>
      <c r="R1108" s="75">
        <f>IF($C1108="","",IF($I1108="","",ROUND(COUNTIF($I$4:$I$1463,"&lt;"&amp;$I1108)/COUNT($I$4:$I$1463),3)))</f>
        <v>0.41399999999999998</v>
      </c>
      <c r="S1108" s="19" t="str">
        <f>IF($C1108="","",IF($G1108="","Name only",IF(OR($I1108="",$L1108=""),"Partial","Complete")))</f>
        <v>Complete</v>
      </c>
      <c r="T1108" s="1" t="str">
        <f>IF($C1108="","",TRIM(IF(COUNTIF($C$4:$C$1463,$C1108)&gt;1,"Dup name; ","")&amp;IF(AND($G1108&lt;&gt;"",$G1108&lt;55000),"Low CR - verify; ","")&amp;IF(AND($L1108&lt;&gt;"",$L1108&gt;15),"Secondary - verify; ","")&amp;IF($E1108="","No class; ","")))</f>
        <v/>
      </c>
      <c r="U1108" s="68" t="s">
        <v>269</v>
      </c>
      <c r="V1108" s="68" t="s">
        <v>66</v>
      </c>
      <c r="W1108" s="68" t="s">
        <v>285</v>
      </c>
      <c r="X1108" s="73">
        <f t="shared" si="87"/>
        <v>3338</v>
      </c>
      <c r="Y1108" s="41" t="str">
        <f t="shared" si="88"/>
        <v>FUCT|77</v>
      </c>
      <c r="Z1108" s="15">
        <f>IF($C1108="","",IF($G1108="","",RANK($G1108,$G$4:$G$1463)+COUNTIF($G$4:$G1108,$G1108)-1))</f>
        <v>830</v>
      </c>
      <c r="AA1108" s="15">
        <f>IF($C1108="","",IF($N1108="","",RANK($N1108,$N$4:$N$1463)+COUNTIF($N$4:$N1108,$N1108)-1))</f>
        <v>865</v>
      </c>
      <c r="AB1108" s="41" t="str">
        <f>IF($C1108="","",IF($E1108="","",$E1108&amp;"#"&amp;(COUNTIFS($E$4:$E$1463,$E1108,$X$4:$X$1463,"&gt;"&amp;$X1108)+COUNTIFS($E$4:$E1108,$E1108,$X$4:$X1108,"="&amp;$X1108))))</f>
        <v>WARLOCK#189</v>
      </c>
      <c r="AC1108" s="41" t="str">
        <f>IF($C1108="","",$B1108&amp;"@"&amp;(COUNTIFS($B$4:$B$1463,$B1108,$C$4:$C$1463,"&lt;"&amp;$C1108)+COUNTIFS($B$4:$B1108,$B1108,$C$4:$C1108,$C1108)))</f>
        <v>FUCT@81</v>
      </c>
      <c r="AD1108" s="41">
        <f t="shared" si="89"/>
        <v>1105</v>
      </c>
      <c r="AE1108" s="41" t="s">
        <v>2407</v>
      </c>
      <c r="AF1108" s="73">
        <f t="shared" si="90"/>
        <v>62022</v>
      </c>
      <c r="AG1108" s="74">
        <f t="shared" si="91"/>
        <v>3.52</v>
      </c>
      <c r="AH1108" s="41" t="str">
        <f>IF($C1108="","",$B1108&amp;"|"&amp;(COUNTIFS($B$4:$B$1463,$B1108,$AF$4:$AF$1463,"&gt;"&amp;$AF1108)+COUNTIFS($B$4:$B1108,$B1108,$AF$4:$AF1108,"="&amp;$AF1108)))</f>
        <v>FUCT|79</v>
      </c>
      <c r="AI1108" s="41" t="str">
        <f>IF($C1108="","",$B1108&amp;"|"&amp;(COUNTIFS($B$4:$B$1463,$B1108,$AG$4:$AG$1463,"&gt;"&amp;$AG1108)+COUNTIFS($B$4:$B1108,$B1108,$AG$4:$AG1108,"="&amp;$AG1108)))</f>
        <v>FUCT|96</v>
      </c>
    </row>
    <row r="1109" spans="1:35" hidden="1">
      <c r="A1109" s="69" t="s">
        <v>106</v>
      </c>
      <c r="B1109" s="69" t="s">
        <v>107</v>
      </c>
      <c r="C1109" s="63" t="s">
        <v>2408</v>
      </c>
      <c r="D1109" s="69"/>
      <c r="E1109" s="68" t="s">
        <v>79</v>
      </c>
      <c r="F1109" s="19" t="str">
        <f>IF($C1109="","",IF($E1109="","-",IFERROR(INDEX(SETUP!$B$55:$B$64,MATCH($E1109,SETUP!$A$55:$A$64,0)),"Other")))</f>
        <v>Control</v>
      </c>
      <c r="G1109" s="70">
        <v>62414</v>
      </c>
      <c r="H1109" s="19" t="str">
        <f>IF($C1109="","",IF($G1109="","-",INDEX(SETUP!$B$26:$B$32,MATCH($G1109,SETUP!$A$26:$A$32,1))))</f>
        <v>62,000 - 62,999</v>
      </c>
      <c r="I1109" s="70">
        <v>5620</v>
      </c>
      <c r="J1109" s="19" t="str">
        <f>IF($C1109="","",IF($I1109="","-",INDEX(SETUP!$B$16:$B$22,MATCH($I1109,SETUP!$A$16:$A$22,1))))</f>
        <v>CORE</v>
      </c>
      <c r="K1109" s="19" t="str">
        <f>IF($C1109="","",IF($I1109="","-",TEXT(INT($I1109/1000)*1000,"#,##0")&amp;" - "&amp;TEXT(INT($I1109/1000)*1000+999,"#,##0")))</f>
        <v>5,000 - 5,999</v>
      </c>
      <c r="L1109" s="71">
        <v>6.8</v>
      </c>
      <c r="M1109" s="19" t="str">
        <f>IF($C1109="","",IF($L1109="","-",INDEX(SETUP!$B$36:$B$42,MATCH($L1109,SETUP!$A$36:$A$42,1))))</f>
        <v>6k - 8k</v>
      </c>
      <c r="N1109" s="21">
        <f>IF($C1109="","",IF(OR($G1109="",$I1109=""),"",ROUND(100*(SETUP!$B$4*MIN(1,$I1109/SETUP!$B$9)+SETUP!$B$5*MAX(0,MIN(1,($G1109-SETUP!$B$10)/(SETUP!$B$11-SETUP!$B$10)))+SETUP!$B$6*MIN(1,IF($L1109="",0,$L1109)/SETUP!$B$12)),1)))</f>
        <v>55.4</v>
      </c>
      <c r="O1109" s="19" t="str">
        <f>IF($C1109="","",IF($N1109="","-",INDEX(SETUP!$B$46:$B$51,MATCH($N1109,SETUP!$A$46:$A$51,1))))</f>
        <v>A</v>
      </c>
      <c r="P1109" s="19">
        <f>IF($C1109="","",IF($I1109="","",RANK($I1109,$I$4:$I$1463)+COUNTIF($I$4:$I1109,$I1109)-1))</f>
        <v>323</v>
      </c>
      <c r="Q1109" s="19">
        <f>IF($C1109="","",COUNTIFS($B$4:$B$1463,$B1109,$X$4:$X$1463,"&gt;"&amp;$X1109)+COUNTIFS($B$4:$B1109,$B1109,$X$4:$X1109,"="&amp;$X1109))</f>
        <v>22</v>
      </c>
      <c r="R1109" s="75">
        <f>IF($C1109="","",IF($I1109="","",ROUND(COUNTIF($I$4:$I$1463,"&lt;"&amp;$I1109)/COUNT($I$4:$I$1463),3)))</f>
        <v>0.75600000000000001</v>
      </c>
      <c r="S1109" s="19" t="str">
        <f>IF($C1109="","",IF($G1109="","Name only",IF(OR($I1109="",$L1109=""),"Partial","Complete")))</f>
        <v>Complete</v>
      </c>
      <c r="T1109" s="1" t="str">
        <f>IF($C1109="","",TRIM(IF(COUNTIF($C$4:$C$1463,$C1109)&gt;1,"Dup name; ","")&amp;IF(AND($G1109&lt;&gt;"",$G1109&lt;55000),"Low CR - verify; ","")&amp;IF(AND($L1109&lt;&gt;"",$L1109&gt;15),"Secondary - verify; ","")&amp;IF($E1109="","No class; ","")))</f>
        <v/>
      </c>
      <c r="U1109" s="68"/>
      <c r="V1109" s="68"/>
      <c r="W1109" s="68"/>
      <c r="X1109" s="76">
        <f t="shared" si="87"/>
        <v>5620</v>
      </c>
      <c r="Y1109" s="1" t="str">
        <f t="shared" si="88"/>
        <v>UNDYING|22</v>
      </c>
      <c r="Z1109" s="19">
        <f>IF($C1109="","",IF($G1109="","",RANK($G1109,$G$4:$G$1463)+COUNTIF($G$4:$G1109,$G1109)-1))</f>
        <v>682</v>
      </c>
      <c r="AA1109" s="19">
        <f>IF($C1109="","",IF($N1109="","",RANK($N1109,$N$4:$N$1463)+COUNTIF($N$4:$N1109,$N1109)-1))</f>
        <v>309</v>
      </c>
      <c r="AB1109" s="1" t="str">
        <f>IF($C1109="","",IF($E1109="","",$E1109&amp;"#"&amp;(COUNTIFS($E$4:$E$1463,$E1109,$X$4:$X$1463,"&gt;"&amp;$X1109)+COUNTIFS($E$4:$E1109,$E1109,$X$4:$X1109,"="&amp;$X1109))))</f>
        <v>WARLOCK#71</v>
      </c>
      <c r="AC1109" s="1" t="str">
        <f>IF($C1109="","",$B1109&amp;"@"&amp;(COUNTIFS($B$4:$B$1463,$B1109,$C$4:$C$1463,"&lt;"&amp;$C1109)+COUNTIFS($B$4:$B1109,$B1109,$C$4:$C1109,$C1109)))</f>
        <v>UNDYING@84</v>
      </c>
      <c r="AD1109" s="1">
        <f t="shared" si="89"/>
        <v>1106</v>
      </c>
      <c r="AE1109" s="1" t="s">
        <v>2409</v>
      </c>
      <c r="AF1109" s="76">
        <f t="shared" si="90"/>
        <v>62414</v>
      </c>
      <c r="AG1109" s="77">
        <f t="shared" si="91"/>
        <v>6.8</v>
      </c>
      <c r="AH1109" s="1" t="str">
        <f>IF($C1109="","",$B1109&amp;"|"&amp;(COUNTIFS($B$4:$B$1463,$B1109,$AF$4:$AF$1463,"&gt;"&amp;$AF1109)+COUNTIFS($B$4:$B1109,$B1109,$AF$4:$AF1109,"="&amp;$AF1109)))</f>
        <v>UNDYING|68</v>
      </c>
      <c r="AI1109" s="1" t="str">
        <f>IF($C1109="","",$B1109&amp;"|"&amp;(COUNTIFS($B$4:$B$1463,$B1109,$AG$4:$AG$1463,"&gt;"&amp;$AG1109)+COUNTIFS($B$4:$B1109,$B1109,$AG$4:$AG1109,"="&amp;$AG1109)))</f>
        <v>UNDYING|9</v>
      </c>
    </row>
    <row r="1110" spans="1:35" hidden="1">
      <c r="A1110" s="69" t="s">
        <v>109</v>
      </c>
      <c r="B1110" s="69" t="s">
        <v>112</v>
      </c>
      <c r="C1110" s="63" t="s">
        <v>2410</v>
      </c>
      <c r="D1110" s="69" t="s">
        <v>567</v>
      </c>
      <c r="E1110" s="68" t="s">
        <v>72</v>
      </c>
      <c r="F1110" s="15" t="str">
        <f>IF($C1110="","",IF($E1110="","-",IFERROR(INDEX(SETUP!$B$55:$B$64,MATCH($E1110,SETUP!$A$55:$A$64,0)),"Other")))</f>
        <v>Frontline</v>
      </c>
      <c r="G1110" s="70">
        <v>64165</v>
      </c>
      <c r="H1110" s="15" t="str">
        <f>IF($C1110="","",IF($G1110="","-",INDEX(SETUP!$B$26:$B$32,MATCH($G1110,SETUP!$A$26:$A$32,1))))</f>
        <v>64,000 +</v>
      </c>
      <c r="I1110" s="70">
        <v>10705</v>
      </c>
      <c r="J1110" s="15" t="str">
        <f>IF($C1110="","",IF($I1110="","-",INDEX(SETUP!$B$16:$B$22,MATCH($I1110,SETUP!$A$16:$A$22,1))))</f>
        <v>APEX</v>
      </c>
      <c r="K1110" s="15" t="str">
        <f>IF($C1110="","",IF($I1110="","-",TEXT(INT($I1110/1000)*1000,"#,##0")&amp;" - "&amp;TEXT(INT($I1110/1000)*1000+999,"#,##0")))</f>
        <v>10,000 - 10,999</v>
      </c>
      <c r="L1110" s="71">
        <v>9.4</v>
      </c>
      <c r="M1110" s="15" t="str">
        <f>IF($C1110="","",IF($L1110="","-",INDEX(SETUP!$B$36:$B$42,MATCH($L1110,SETUP!$A$36:$A$42,1))))</f>
        <v>8k - 10k</v>
      </c>
      <c r="N1110" s="17">
        <f>IF($C1110="","",IF(OR($G1110="",$I1110=""),"",ROUND(100*(SETUP!$B$4*MIN(1,$I1110/SETUP!$B$9)+SETUP!$B$5*MAX(0,MIN(1,($G1110-SETUP!$B$10)/(SETUP!$B$11-SETUP!$B$10)))+SETUP!$B$6*MIN(1,IF($L1110="",0,$L1110)/SETUP!$B$12)),1)))</f>
        <v>86.5</v>
      </c>
      <c r="O1110" s="15" t="str">
        <f>IF($C1110="","",IF($N1110="","-",INDEX(SETUP!$B$46:$B$51,MATCH($N1110,SETUP!$A$46:$A$51,1))))</f>
        <v>S+</v>
      </c>
      <c r="P1110" s="15">
        <f>IF($C1110="","",IF($I1110="","",RANK($I1110,$I$4:$I$1463)+COUNTIF($I$4:$I1110,$I1110)-1))</f>
        <v>19</v>
      </c>
      <c r="Q1110" s="15">
        <f>IF($C1110="","",COUNTIFS($B$4:$B$1463,$B1110,$X$4:$X$1463,"&gt;"&amp;$X1110)+COUNTIFS($B$4:$B1110,$B1110,$X$4:$X1110,"="&amp;$X1110))</f>
        <v>1</v>
      </c>
      <c r="R1110" s="72">
        <f>IF($C1110="","",IF($I1110="","",ROUND(COUNTIF($I$4:$I$1463,"&lt;"&amp;$I1110)/COUNT($I$4:$I$1463),3)))</f>
        <v>0.98599999999999999</v>
      </c>
      <c r="S1110" s="15" t="str">
        <f>IF($C1110="","",IF($G1110="","Name only",IF(OR($I1110="",$L1110=""),"Partial","Complete")))</f>
        <v>Complete</v>
      </c>
      <c r="T1110" s="41" t="str">
        <f>IF($C1110="","",TRIM(IF(COUNTIF($C$4:$C$1463,$C1110)&gt;1,"Dup name; ","")&amp;IF(AND($G1110&lt;&gt;"",$G1110&lt;55000),"Low CR - verify; ","")&amp;IF(AND($L1110&lt;&gt;"",$L1110&gt;15),"Secondary - verify; ","")&amp;IF($E1110="","No class; ","")))</f>
        <v/>
      </c>
      <c r="U1110" s="68"/>
      <c r="V1110" s="68"/>
      <c r="W1110" s="68"/>
      <c r="X1110" s="73">
        <f t="shared" si="87"/>
        <v>10705</v>
      </c>
      <c r="Y1110" s="41" t="str">
        <f t="shared" si="88"/>
        <v>ACHERON|1</v>
      </c>
      <c r="Z1110" s="15">
        <f>IF($C1110="","",IF($G1110="","",RANK($G1110,$G$4:$G$1463)+COUNTIF($G$4:$G1110,$G1110)-1))</f>
        <v>51</v>
      </c>
      <c r="AA1110" s="15">
        <f>IF($C1110="","",IF($N1110="","",RANK($N1110,$N$4:$N$1463)+COUNTIF($N$4:$N1110,$N1110)-1))</f>
        <v>17</v>
      </c>
      <c r="AB1110" s="41" t="str">
        <f>IF($C1110="","",IF($E1110="","",$E1110&amp;"#"&amp;(COUNTIFS($E$4:$E$1463,$E1110,$X$4:$X$1463,"&gt;"&amp;$X1110)+COUNTIFS($E$4:$E1110,$E1110,$X$4:$X1110,"="&amp;$X1110))))</f>
        <v>BLOOD KNIGHT#2</v>
      </c>
      <c r="AC1110" s="41" t="str">
        <f>IF($C1110="","",$B1110&amp;"@"&amp;(COUNTIFS($B$4:$B$1463,$B1110,$C$4:$C$1463,"&lt;"&amp;$C1110)+COUNTIFS($B$4:$B1110,$B1110,$C$4:$C1110,$C1110)))</f>
        <v>ACHERON@69</v>
      </c>
      <c r="AD1110" s="41">
        <f t="shared" si="89"/>
        <v>1107</v>
      </c>
      <c r="AE1110" s="41" t="s">
        <v>2411</v>
      </c>
      <c r="AF1110" s="73">
        <f t="shared" si="90"/>
        <v>64165</v>
      </c>
      <c r="AG1110" s="74">
        <f t="shared" si="91"/>
        <v>9.4</v>
      </c>
      <c r="AH1110" s="41" t="str">
        <f>IF($C1110="","",$B1110&amp;"|"&amp;(COUNTIFS($B$4:$B$1463,$B1110,$AF$4:$AF$1463,"&gt;"&amp;$AF1110)+COUNTIFS($B$4:$B1110,$B1110,$AF$4:$AF1110,"="&amp;$AF1110)))</f>
        <v>ACHERON|3</v>
      </c>
      <c r="AI1110" s="41" t="str">
        <f>IF($C1110="","",$B1110&amp;"|"&amp;(COUNTIFS($B$4:$B$1463,$B1110,$AG$4:$AG$1463,"&gt;"&amp;$AG1110)+COUNTIFS($B$4:$B1110,$B1110,$AG$4:$AG1110,"="&amp;$AG1110)))</f>
        <v>ACHERON|2</v>
      </c>
    </row>
    <row r="1111" spans="1:35" hidden="1">
      <c r="A1111" s="69" t="s">
        <v>109</v>
      </c>
      <c r="B1111" s="69" t="s">
        <v>112</v>
      </c>
      <c r="C1111" s="63" t="s">
        <v>2412</v>
      </c>
      <c r="D1111" s="69" t="s">
        <v>567</v>
      </c>
      <c r="E1111" s="68" t="s">
        <v>79</v>
      </c>
      <c r="F1111" s="19" t="str">
        <f>IF($C1111="","",IF($E1111="","-",IFERROR(INDEX(SETUP!$B$55:$B$64,MATCH($E1111,SETUP!$A$55:$A$64,0)),"Other")))</f>
        <v>Control</v>
      </c>
      <c r="G1111" s="70">
        <v>62666</v>
      </c>
      <c r="H1111" s="19" t="str">
        <f>IF($C1111="","",IF($G1111="","-",INDEX(SETUP!$B$26:$B$32,MATCH($G1111,SETUP!$A$26:$A$32,1))))</f>
        <v>62,000 - 62,999</v>
      </c>
      <c r="I1111" s="70">
        <v>3544</v>
      </c>
      <c r="J1111" s="19" t="str">
        <f>IF($C1111="","",IF($I1111="","-",INDEX(SETUP!$B$16:$B$22,MATCH($I1111,SETUP!$A$16:$A$22,1))))</f>
        <v>DEVELOPING</v>
      </c>
      <c r="K1111" s="19" t="str">
        <f>IF($C1111="","",IF($I1111="","-",TEXT(INT($I1111/1000)*1000,"#,##0")&amp;" - "&amp;TEXT(INT($I1111/1000)*1000+999,"#,##0")))</f>
        <v>3,000 - 3,999</v>
      </c>
      <c r="L1111" s="71">
        <v>4.55</v>
      </c>
      <c r="M1111" s="19" t="str">
        <f>IF($C1111="","",IF($L1111="","-",INDEX(SETUP!$B$36:$B$42,MATCH($L1111,SETUP!$A$36:$A$42,1))))</f>
        <v>4k - 5k</v>
      </c>
      <c r="N1111" s="21">
        <f>IF($C1111="","",IF(OR($G1111="",$I1111=""),"",ROUND(100*(SETUP!$B$4*MIN(1,$I1111/SETUP!$B$9)+SETUP!$B$5*MAX(0,MIN(1,($G1111-SETUP!$B$10)/(SETUP!$B$11-SETUP!$B$10)))+SETUP!$B$6*MIN(1,IF($L1111="",0,$L1111)/SETUP!$B$12)),1)))</f>
        <v>43.2</v>
      </c>
      <c r="O1111" s="19" t="str">
        <f>IF($C1111="","",IF($N1111="","-",INDEX(SETUP!$B$46:$B$51,MATCH($N1111,SETUP!$A$46:$A$51,1))))</f>
        <v>B</v>
      </c>
      <c r="P1111" s="19">
        <f>IF($C1111="","",IF($I1111="","",RANK($I1111,$I$4:$I$1463)+COUNTIF($I$4:$I1111,$I1111)-1))</f>
        <v>716</v>
      </c>
      <c r="Q1111" s="19">
        <f>IF($C1111="","",COUNTIFS($B$4:$B$1463,$B1111,$X$4:$X$1463,"&gt;"&amp;$X1111)+COUNTIFS($B$4:$B1111,$B1111,$X$4:$X1111,"="&amp;$X1111))</f>
        <v>51</v>
      </c>
      <c r="R1111" s="75">
        <f>IF($C1111="","",IF($I1111="","",ROUND(COUNTIF($I$4:$I$1463,"&lt;"&amp;$I1111)/COUNT($I$4:$I$1463),3)))</f>
        <v>0.46</v>
      </c>
      <c r="S1111" s="19" t="str">
        <f>IF($C1111="","",IF($G1111="","Name only",IF(OR($I1111="",$L1111=""),"Partial","Complete")))</f>
        <v>Complete</v>
      </c>
      <c r="T1111" s="1" t="str">
        <f>IF($C1111="","",TRIM(IF(COUNTIF($C$4:$C$1463,$C1111)&gt;1,"Dup name; ","")&amp;IF(AND($G1111&lt;&gt;"",$G1111&lt;55000),"Low CR - verify; ","")&amp;IF(AND($L1111&lt;&gt;"",$L1111&gt;15),"Secondary - verify; ","")&amp;IF($E1111="","No class; ","")))</f>
        <v/>
      </c>
      <c r="U1111" s="68"/>
      <c r="V1111" s="68"/>
      <c r="W1111" s="68"/>
      <c r="X1111" s="76">
        <f t="shared" si="87"/>
        <v>3544</v>
      </c>
      <c r="Y1111" s="1" t="str">
        <f t="shared" si="88"/>
        <v>ACHERON|51</v>
      </c>
      <c r="Z1111" s="19">
        <f>IF($C1111="","",IF($G1111="","",RANK($G1111,$G$4:$G$1463)+COUNTIF($G$4:$G1111,$G1111)-1))</f>
        <v>581</v>
      </c>
      <c r="AA1111" s="19">
        <f>IF($C1111="","",IF($N1111="","",RANK($N1111,$N$4:$N$1463)+COUNTIF($N$4:$N1111,$N1111)-1))</f>
        <v>696</v>
      </c>
      <c r="AB1111" s="1" t="str">
        <f>IF($C1111="","",IF($E1111="","",$E1111&amp;"#"&amp;(COUNTIFS($E$4:$E$1463,$E1111,$X$4:$X$1463,"&gt;"&amp;$X1111)+COUNTIFS($E$4:$E1111,$E1111,$X$4:$X1111,"="&amp;$X1111))))</f>
        <v>WARLOCK#178</v>
      </c>
      <c r="AC1111" s="1" t="str">
        <f>IF($C1111="","",$B1111&amp;"@"&amp;(COUNTIFS($B$4:$B$1463,$B1111,$C$4:$C$1463,"&lt;"&amp;$C1111)+COUNTIFS($B$4:$B1111,$B1111,$C$4:$C1111,$C1111)))</f>
        <v>ACHERON@70</v>
      </c>
      <c r="AD1111" s="1">
        <f t="shared" si="89"/>
        <v>1108</v>
      </c>
      <c r="AE1111" s="1" t="s">
        <v>2413</v>
      </c>
      <c r="AF1111" s="76">
        <f t="shared" si="90"/>
        <v>62666</v>
      </c>
      <c r="AG1111" s="77">
        <f t="shared" si="91"/>
        <v>4.55</v>
      </c>
      <c r="AH1111" s="1" t="str">
        <f>IF($C1111="","",$B1111&amp;"|"&amp;(COUNTIFS($B$4:$B$1463,$B1111,$AF$4:$AF$1463,"&gt;"&amp;$AF1111)+COUNTIFS($B$4:$B1111,$B1111,$AF$4:$AF1111,"="&amp;$AF1111)))</f>
        <v>ACHERON|47</v>
      </c>
      <c r="AI1111" s="1" t="str">
        <f>IF($C1111="","",$B1111&amp;"|"&amp;(COUNTIFS($B$4:$B$1463,$B1111,$AG$4:$AG$1463,"&gt;"&amp;$AG1111)+COUNTIFS($B$4:$B1111,$B1111,$AG$4:$AG1111,"="&amp;$AG1111)))</f>
        <v>ACHERON|63</v>
      </c>
    </row>
    <row r="1112" spans="1:35" hidden="1">
      <c r="A1112" s="69" t="s">
        <v>109</v>
      </c>
      <c r="B1112" s="69" t="s">
        <v>108</v>
      </c>
      <c r="C1112" s="63" t="s">
        <v>2414</v>
      </c>
      <c r="D1112" s="69"/>
      <c r="E1112" s="68" t="s">
        <v>79</v>
      </c>
      <c r="F1112" s="15" t="str">
        <f>IF($C1112="","",IF($E1112="","-",IFERROR(INDEX(SETUP!$B$55:$B$64,MATCH($E1112,SETUP!$A$55:$A$64,0)),"Other")))</f>
        <v>Control</v>
      </c>
      <c r="G1112" s="70">
        <v>63410</v>
      </c>
      <c r="H1112" s="15" t="str">
        <f>IF($C1112="","",IF($G1112="","-",INDEX(SETUP!$B$26:$B$32,MATCH($G1112,SETUP!$A$26:$A$32,1))))</f>
        <v>63,000 - 63,999</v>
      </c>
      <c r="I1112" s="70">
        <v>5031</v>
      </c>
      <c r="J1112" s="15" t="str">
        <f>IF($C1112="","",IF($I1112="","-",INDEX(SETUP!$B$16:$B$22,MATCH($I1112,SETUP!$A$16:$A$22,1))))</f>
        <v>CORE</v>
      </c>
      <c r="K1112" s="15" t="str">
        <f>IF($C1112="","",IF($I1112="","-",TEXT(INT($I1112/1000)*1000,"#,##0")&amp;" - "&amp;TEXT(INT($I1112/1000)*1000+999,"#,##0")))</f>
        <v>5,000 - 5,999</v>
      </c>
      <c r="L1112" s="71">
        <v>5.6</v>
      </c>
      <c r="M1112" s="15" t="str">
        <f>IF($C1112="","",IF($L1112="","-",INDEX(SETUP!$B$36:$B$42,MATCH($L1112,SETUP!$A$36:$A$42,1))))</f>
        <v>5k - 6k</v>
      </c>
      <c r="N1112" s="17">
        <f>IF($C1112="","",IF(OR($G1112="",$I1112=""),"",ROUND(100*(SETUP!$B$4*MIN(1,$I1112/SETUP!$B$9)+SETUP!$B$5*MAX(0,MIN(1,($G1112-SETUP!$B$10)/(SETUP!$B$11-SETUP!$B$10)))+SETUP!$B$6*MIN(1,IF($L1112="",0,$L1112)/SETUP!$B$12)),1)))</f>
        <v>53.4</v>
      </c>
      <c r="O1112" s="15" t="str">
        <f>IF($C1112="","",IF($N1112="","-",INDEX(SETUP!$B$46:$B$51,MATCH($N1112,SETUP!$A$46:$A$51,1))))</f>
        <v>A</v>
      </c>
      <c r="P1112" s="15">
        <f>IF($C1112="","",IF($I1112="","",RANK($I1112,$I$4:$I$1463)+COUNTIF($I$4:$I1112,$I1112)-1))</f>
        <v>409</v>
      </c>
      <c r="Q1112" s="15">
        <f>IF($C1112="","",COUNTIFS($B$4:$B$1463,$B1112,$X$4:$X$1463,"&gt;"&amp;$X1112)+COUNTIFS($B$4:$B1112,$B1112,$X$4:$X1112,"="&amp;$X1112))</f>
        <v>57</v>
      </c>
      <c r="R1112" s="72">
        <f>IF($C1112="","",IF($I1112="","",ROUND(COUNTIF($I$4:$I$1463,"&lt;"&amp;$I1112)/COUNT($I$4:$I$1463),3)))</f>
        <v>0.69099999999999995</v>
      </c>
      <c r="S1112" s="15" t="str">
        <f>IF($C1112="","",IF($G1112="","Name only",IF(OR($I1112="",$L1112=""),"Partial","Complete")))</f>
        <v>Complete</v>
      </c>
      <c r="T1112" s="41" t="str">
        <f>IF($C1112="","",TRIM(IF(COUNTIF($C$4:$C$1463,$C1112)&gt;1,"Dup name; ","")&amp;IF(AND($G1112&lt;&gt;"",$G1112&lt;55000),"Low CR - verify; ","")&amp;IF(AND($L1112&lt;&gt;"",$L1112&gt;15),"Secondary - verify; ","")&amp;IF($E1112="","No class; ","")))</f>
        <v/>
      </c>
      <c r="U1112" s="68"/>
      <c r="V1112" s="68"/>
      <c r="W1112" s="68"/>
      <c r="X1112" s="73">
        <f t="shared" si="87"/>
        <v>5031</v>
      </c>
      <c r="Y1112" s="41" t="str">
        <f t="shared" si="88"/>
        <v>SBG|57</v>
      </c>
      <c r="Z1112" s="15">
        <f>IF($C1112="","",IF($G1112="","",RANK($G1112,$G$4:$G$1463)+COUNTIF($G$4:$G1112,$G1112)-1))</f>
        <v>217</v>
      </c>
      <c r="AA1112" s="15">
        <f>IF($C1112="","",IF($N1112="","",RANK($N1112,$N$4:$N$1463)+COUNTIF($N$4:$N1112,$N1112)-1))</f>
        <v>359</v>
      </c>
      <c r="AB1112" s="41" t="str">
        <f>IF($C1112="","",IF($E1112="","",$E1112&amp;"#"&amp;(COUNTIFS($E$4:$E$1463,$E1112,$X$4:$X$1463,"&gt;"&amp;$X1112)+COUNTIFS($E$4:$E1112,$E1112,$X$4:$X1112,"="&amp;$X1112))))</f>
        <v>WARLOCK#95</v>
      </c>
      <c r="AC1112" s="41" t="str">
        <f>IF($C1112="","",$B1112&amp;"@"&amp;(COUNTIFS($B$4:$B$1463,$B1112,$C$4:$C$1463,"&lt;"&amp;$C1112)+COUNTIFS($B$4:$B1112,$B1112,$C$4:$C1112,$C1112)))</f>
        <v>SBG@78</v>
      </c>
      <c r="AD1112" s="41">
        <f t="shared" si="89"/>
        <v>1109</v>
      </c>
      <c r="AE1112" s="41" t="s">
        <v>2415</v>
      </c>
      <c r="AF1112" s="73">
        <f t="shared" si="90"/>
        <v>63410</v>
      </c>
      <c r="AG1112" s="74">
        <f t="shared" si="91"/>
        <v>5.6</v>
      </c>
      <c r="AH1112" s="41" t="str">
        <f>IF($C1112="","",$B1112&amp;"|"&amp;(COUNTIFS($B$4:$B$1463,$B1112,$AF$4:$AF$1463,"&gt;"&amp;$AF1112)+COUNTIFS($B$4:$B1112,$B1112,$AF$4:$AF1112,"="&amp;$AF1112)))</f>
        <v>SBG|31</v>
      </c>
      <c r="AI1112" s="41" t="str">
        <f>IF($C1112="","",$B1112&amp;"|"&amp;(COUNTIFS($B$4:$B$1463,$B1112,$AG$4:$AG$1463,"&gt;"&amp;$AG1112)+COUNTIFS($B$4:$B1112,$B1112,$AG$4:$AG1112,"="&amp;$AG1112)))</f>
        <v>SBG|55</v>
      </c>
    </row>
    <row r="1113" spans="1:35" hidden="1">
      <c r="A1113" s="69" t="s">
        <v>106</v>
      </c>
      <c r="B1113" s="69" t="s">
        <v>86</v>
      </c>
      <c r="C1113" s="63" t="s">
        <v>2416</v>
      </c>
      <c r="D1113" s="69"/>
      <c r="E1113" s="68" t="s">
        <v>71</v>
      </c>
      <c r="F1113" s="19" t="str">
        <f>IF($C1113="","",IF($E1113="","-",IFERROR(INDEX(SETUP!$B$55:$B$64,MATCH($E1113,SETUP!$A$55:$A$64,0)),"Other")))</f>
        <v>Frontline</v>
      </c>
      <c r="G1113" s="70">
        <v>64366</v>
      </c>
      <c r="H1113" s="19" t="str">
        <f>IF($C1113="","",IF($G1113="","-",INDEX(SETUP!$B$26:$B$32,MATCH($G1113,SETUP!$A$26:$A$32,1))))</f>
        <v>64,000 +</v>
      </c>
      <c r="I1113" s="70">
        <v>10188</v>
      </c>
      <c r="J1113" s="19" t="str">
        <f>IF($C1113="","",IF($I1113="","-",INDEX(SETUP!$B$16:$B$22,MATCH($I1113,SETUP!$A$16:$A$22,1))))</f>
        <v>APEX</v>
      </c>
      <c r="K1113" s="19" t="str">
        <f>IF($C1113="","",IF($I1113="","-",TEXT(INT($I1113/1000)*1000,"#,##0")&amp;" - "&amp;TEXT(INT($I1113/1000)*1000+999,"#,##0")))</f>
        <v>10,000 - 10,999</v>
      </c>
      <c r="L1113" s="71">
        <v>6.85</v>
      </c>
      <c r="M1113" s="19" t="str">
        <f>IF($C1113="","",IF($L1113="","-",INDEX(SETUP!$B$36:$B$42,MATCH($L1113,SETUP!$A$36:$A$42,1))))</f>
        <v>6k - 8k</v>
      </c>
      <c r="N1113" s="21">
        <f>IF($C1113="","",IF(OR($G1113="",$I1113=""),"",ROUND(100*(SETUP!$B$4*MIN(1,$I1113/SETUP!$B$9)+SETUP!$B$5*MAX(0,MIN(1,($G1113-SETUP!$B$10)/(SETUP!$B$11-SETUP!$B$10)))+SETUP!$B$6*MIN(1,IF($L1113="",0,$L1113)/SETUP!$B$12)),1)))</f>
        <v>80.5</v>
      </c>
      <c r="O1113" s="19" t="str">
        <f>IF($C1113="","",IF($N1113="","-",INDEX(SETUP!$B$46:$B$51,MATCH($N1113,SETUP!$A$46:$A$51,1))))</f>
        <v>S+</v>
      </c>
      <c r="P1113" s="19">
        <f>IF($C1113="","",IF($I1113="","",RANK($I1113,$I$4:$I$1463)+COUNTIF($I$4:$I1113,$I1113)-1))</f>
        <v>40</v>
      </c>
      <c r="Q1113" s="19">
        <f>IF($C1113="","",COUNTIFS($B$4:$B$1463,$B1113,$X$4:$X$1463,"&gt;"&amp;$X1113)+COUNTIFS($B$4:$B1113,$B1113,$X$4:$X1113,"="&amp;$X1113))</f>
        <v>5</v>
      </c>
      <c r="R1113" s="75">
        <f>IF($C1113="","",IF($I1113="","",ROUND(COUNTIF($I$4:$I$1463,"&lt;"&amp;$I1113)/COUNT($I$4:$I$1463),3)))</f>
        <v>0.97</v>
      </c>
      <c r="S1113" s="19" t="str">
        <f>IF($C1113="","",IF($G1113="","Name only",IF(OR($I1113="",$L1113=""),"Partial","Complete")))</f>
        <v>Complete</v>
      </c>
      <c r="T1113" s="1" t="str">
        <f>IF($C1113="","",TRIM(IF(COUNTIF($C$4:$C$1463,$C1113)&gt;1,"Dup name; ","")&amp;IF(AND($G1113&lt;&gt;"",$G1113&lt;55000),"Low CR - verify; ","")&amp;IF(AND($L1113&lt;&gt;"",$L1113&gt;15),"Secondary - verify; ","")&amp;IF($E1113="","No class; ","")))</f>
        <v/>
      </c>
      <c r="U1113" s="68"/>
      <c r="V1113" s="68"/>
      <c r="W1113" s="68"/>
      <c r="X1113" s="76">
        <f t="shared" si="87"/>
        <v>10188</v>
      </c>
      <c r="Y1113" s="1" t="str">
        <f t="shared" si="88"/>
        <v>VANGUARD|5</v>
      </c>
      <c r="Z1113" s="19">
        <f>IF($C1113="","",IF($G1113="","",RANK($G1113,$G$4:$G$1463)+COUNTIF($G$4:$G1113,$G1113)-1))</f>
        <v>12</v>
      </c>
      <c r="AA1113" s="19">
        <f>IF($C1113="","",IF($N1113="","",RANK($N1113,$N$4:$N$1463)+COUNTIF($N$4:$N1113,$N1113)-1))</f>
        <v>46</v>
      </c>
      <c r="AB1113" s="1" t="str">
        <f>IF($C1113="","",IF($E1113="","",$E1113&amp;"#"&amp;(COUNTIFS($E$4:$E$1463,$E1113,$X$4:$X$1463,"&gt;"&amp;$X1113)+COUNTIFS($E$4:$E1113,$E1113,$X$4:$X1113,"="&amp;$X1113))))</f>
        <v>BARBARIAN#10</v>
      </c>
      <c r="AC1113" s="1" t="str">
        <f>IF($C1113="","",$B1113&amp;"@"&amp;(COUNTIFS($B$4:$B$1463,$B1113,$C$4:$C$1463,"&lt;"&amp;$C1113)+COUNTIFS($B$4:$B1113,$B1113,$C$4:$C1113,$C1113)))</f>
        <v>VANGUARD@81</v>
      </c>
      <c r="AD1113" s="1">
        <f t="shared" si="89"/>
        <v>1110</v>
      </c>
      <c r="AE1113" s="1" t="s">
        <v>2417</v>
      </c>
      <c r="AF1113" s="76">
        <f t="shared" si="90"/>
        <v>64366</v>
      </c>
      <c r="AG1113" s="77">
        <f t="shared" si="91"/>
        <v>6.85</v>
      </c>
      <c r="AH1113" s="1" t="str">
        <f>IF($C1113="","",$B1113&amp;"|"&amp;(COUNTIFS($B$4:$B$1463,$B1113,$AF$4:$AF$1463,"&gt;"&amp;$AF1113)+COUNTIFS($B$4:$B1113,$B1113,$AF$4:$AF1113,"="&amp;$AF1113)))</f>
        <v>VANGUARD|1</v>
      </c>
      <c r="AI1113" s="1" t="str">
        <f>IF($C1113="","",$B1113&amp;"|"&amp;(COUNTIFS($B$4:$B$1463,$B1113,$AG$4:$AG$1463,"&gt;"&amp;$AG1113)+COUNTIFS($B$4:$B1113,$B1113,$AG$4:$AG1113,"="&amp;$AG1113)))</f>
        <v>VANGUARD|21</v>
      </c>
    </row>
    <row r="1114" spans="1:35" hidden="1">
      <c r="A1114" s="69" t="s">
        <v>109</v>
      </c>
      <c r="B1114" s="69" t="s">
        <v>113</v>
      </c>
      <c r="C1114" s="63" t="s">
        <v>2418</v>
      </c>
      <c r="D1114" s="69" t="s">
        <v>548</v>
      </c>
      <c r="E1114" s="68" t="s">
        <v>74</v>
      </c>
      <c r="F1114" s="15" t="str">
        <f>IF($C1114="","",IF($E1114="","-",IFERROR(INDEX(SETUP!$B$55:$B$64,MATCH($E1114,SETUP!$A$55:$A$64,0)),"Other")))</f>
        <v>Ranged DPS</v>
      </c>
      <c r="G1114" s="70">
        <v>62649</v>
      </c>
      <c r="H1114" s="15" t="str">
        <f>IF($C1114="","",IF($G1114="","-",INDEX(SETUP!$B$26:$B$32,MATCH($G1114,SETUP!$A$26:$A$32,1))))</f>
        <v>62,000 - 62,999</v>
      </c>
      <c r="I1114" s="70">
        <v>2314</v>
      </c>
      <c r="J1114" s="15" t="str">
        <f>IF($C1114="","",IF($I1114="","-",INDEX(SETUP!$B$16:$B$22,MATCH($I1114,SETUP!$A$16:$A$22,1))))</f>
        <v>DEVELOPING</v>
      </c>
      <c r="K1114" s="15" t="str">
        <f>IF($C1114="","",IF($I1114="","-",TEXT(INT($I1114/1000)*1000,"#,##0")&amp;" - "&amp;TEXT(INT($I1114/1000)*1000+999,"#,##0")))</f>
        <v>2,000 - 2,999</v>
      </c>
      <c r="L1114" s="71">
        <v>4.3</v>
      </c>
      <c r="M1114" s="15" t="str">
        <f>IF($C1114="","",IF($L1114="","-",INDEX(SETUP!$B$36:$B$42,MATCH($L1114,SETUP!$A$36:$A$42,1))))</f>
        <v>4k - 5k</v>
      </c>
      <c r="N1114" s="17">
        <f>IF($C1114="","",IF(OR($G1114="",$I1114=""),"",ROUND(100*(SETUP!$B$4*MIN(1,$I1114/SETUP!$B$9)+SETUP!$B$5*MAX(0,MIN(1,($G1114-SETUP!$B$10)/(SETUP!$B$11-SETUP!$B$10)))+SETUP!$B$6*MIN(1,IF($L1114="",0,$L1114)/SETUP!$B$12)),1)))</f>
        <v>37.4</v>
      </c>
      <c r="O1114" s="15" t="str">
        <f>IF($C1114="","",IF($N1114="","-",INDEX(SETUP!$B$46:$B$51,MATCH($N1114,SETUP!$A$46:$A$51,1))))</f>
        <v>B</v>
      </c>
      <c r="P1114" s="15">
        <f>IF($C1114="","",IF($I1114="","",RANK($I1114,$I$4:$I$1463)+COUNTIF($I$4:$I1114,$I1114)-1))</f>
        <v>1039</v>
      </c>
      <c r="Q1114" s="15">
        <f>IF($C1114="","",COUNTIFS($B$4:$B$1463,$B1114,$X$4:$X$1463,"&gt;"&amp;$X1114)+COUNTIFS($B$4:$B1114,$B1114,$X$4:$X1114,"="&amp;$X1114))</f>
        <v>72</v>
      </c>
      <c r="R1114" s="72">
        <f>IF($C1114="","",IF($I1114="","",ROUND(COUNTIF($I$4:$I$1463,"&lt;"&amp;$I1114)/COUNT($I$4:$I$1463),3)))</f>
        <v>0.216</v>
      </c>
      <c r="S1114" s="15" t="str">
        <f>IF($C1114="","",IF($G1114="","Name only",IF(OR($I1114="",$L1114=""),"Partial","Complete")))</f>
        <v>Complete</v>
      </c>
      <c r="T1114" s="41" t="str">
        <f>IF($C1114="","",TRIM(IF(COUNTIF($C$4:$C$1463,$C1114)&gt;1,"Dup name; ","")&amp;IF(AND($G1114&lt;&gt;"",$G1114&lt;55000),"Low CR - verify; ","")&amp;IF(AND($L1114&lt;&gt;"",$L1114&gt;15),"Secondary - verify; ","")&amp;IF($E1114="","No class; ","")))</f>
        <v/>
      </c>
      <c r="U1114" s="68"/>
      <c r="V1114" s="68"/>
      <c r="W1114" s="68"/>
      <c r="X1114" s="73">
        <f t="shared" si="87"/>
        <v>2314</v>
      </c>
      <c r="Y1114" s="41" t="str">
        <f t="shared" si="88"/>
        <v>INVICTUS|72</v>
      </c>
      <c r="Z1114" s="15">
        <f>IF($C1114="","",IF($G1114="","",RANK($G1114,$G$4:$G$1463)+COUNTIF($G$4:$G1114,$G1114)-1))</f>
        <v>587</v>
      </c>
      <c r="AA1114" s="15">
        <f>IF($C1114="","",IF($N1114="","",RANK($N1114,$N$4:$N$1463)+COUNTIF($N$4:$N1114,$N1114)-1))</f>
        <v>915</v>
      </c>
      <c r="AB1114" s="41" t="str">
        <f>IF($C1114="","",IF($E1114="","",$E1114&amp;"#"&amp;(COUNTIFS($E$4:$E$1463,$E1114,$X$4:$X$1463,"&gt;"&amp;$X1114)+COUNTIFS($E$4:$E1114,$E1114,$X$4:$X1114,"="&amp;$X1114))))</f>
        <v>DEMON HUNTER#163</v>
      </c>
      <c r="AC1114" s="41" t="str">
        <f>IF($C1114="","",$B1114&amp;"@"&amp;(COUNTIFS($B$4:$B$1463,$B1114,$C$4:$C$1463,"&lt;"&amp;$C1114)+COUNTIFS($B$4:$B1114,$B1114,$C$4:$C1114,$C1114)))</f>
        <v>INVICTUS@83</v>
      </c>
      <c r="AD1114" s="41">
        <f t="shared" si="89"/>
        <v>1111</v>
      </c>
      <c r="AE1114" s="41" t="s">
        <v>2419</v>
      </c>
      <c r="AF1114" s="73">
        <f t="shared" si="90"/>
        <v>62649</v>
      </c>
      <c r="AG1114" s="74">
        <f t="shared" si="91"/>
        <v>4.3</v>
      </c>
      <c r="AH1114" s="41" t="str">
        <f>IF($C1114="","",$B1114&amp;"|"&amp;(COUNTIFS($B$4:$B$1463,$B1114,$AF$4:$AF$1463,"&gt;"&amp;$AF1114)+COUNTIFS($B$4:$B1114,$B1114,$AF$4:$AF1114,"="&amp;$AF1114)))</f>
        <v>INVICTUS|34</v>
      </c>
      <c r="AI1114" s="41" t="str">
        <f>IF($C1114="","",$B1114&amp;"|"&amp;(COUNTIFS($B$4:$B$1463,$B1114,$AG$4:$AG$1463,"&gt;"&amp;$AG1114)+COUNTIFS($B$4:$B1114,$B1114,$AG$4:$AG1114,"="&amp;$AG1114)))</f>
        <v>INVICTUS|51</v>
      </c>
    </row>
    <row r="1115" spans="1:35" hidden="1">
      <c r="A1115" s="69" t="s">
        <v>109</v>
      </c>
      <c r="B1115" s="69" t="s">
        <v>116</v>
      </c>
      <c r="C1115" s="63" t="s">
        <v>2420</v>
      </c>
      <c r="D1115" s="69" t="s">
        <v>530</v>
      </c>
      <c r="E1115" s="68" t="s">
        <v>73</v>
      </c>
      <c r="F1115" s="19" t="str">
        <f>IF($C1115="","",IF($E1115="","-",IFERROR(INDEX(SETUP!$B$55:$B$64,MATCH($E1115,SETUP!$A$55:$A$64,0)),"Other")))</f>
        <v>Frontline</v>
      </c>
      <c r="G1115" s="70">
        <v>60655</v>
      </c>
      <c r="H1115" s="19" t="str">
        <f>IF($C1115="","",IF($G1115="","-",INDEX(SETUP!$B$26:$B$32,MATCH($G1115,SETUP!$A$26:$A$32,1))))</f>
        <v>60,000 - 60,999</v>
      </c>
      <c r="I1115" s="70">
        <v>1304</v>
      </c>
      <c r="J1115" s="19" t="str">
        <f>IF($C1115="","",IF($I1115="","-",INDEX(SETUP!$B$16:$B$22,MATCH($I1115,SETUP!$A$16:$A$22,1))))</f>
        <v>ROOKIE</v>
      </c>
      <c r="K1115" s="19" t="str">
        <f>IF($C1115="","",IF($I1115="","-",TEXT(INT($I1115/1000)*1000,"#,##0")&amp;" - "&amp;TEXT(INT($I1115/1000)*1000+999,"#,##0")))</f>
        <v>1,000 - 1,999</v>
      </c>
      <c r="L1115" s="71">
        <v>3.2</v>
      </c>
      <c r="M1115" s="19" t="str">
        <f>IF($C1115="","",IF($L1115="","-",INDEX(SETUP!$B$36:$B$42,MATCH($L1115,SETUP!$A$36:$A$42,1))))</f>
        <v>3k - 4k</v>
      </c>
      <c r="N1115" s="21">
        <f>IF($C1115="","",IF(OR($G1115="",$I1115=""),"",ROUND(100*(SETUP!$B$4*MIN(1,$I1115/SETUP!$B$9)+SETUP!$B$5*MAX(0,MIN(1,($G1115-SETUP!$B$10)/(SETUP!$B$11-SETUP!$B$10)))+SETUP!$B$6*MIN(1,IF($L1115="",0,$L1115)/SETUP!$B$12)),1)))</f>
        <v>25.9</v>
      </c>
      <c r="O1115" s="19" t="str">
        <f>IF($C1115="","",IF($N1115="","-",INDEX(SETUP!$B$46:$B$51,MATCH($N1115,SETUP!$A$46:$A$51,1))))</f>
        <v>C</v>
      </c>
      <c r="P1115" s="19">
        <f>IF($C1115="","",IF($I1115="","",RANK($I1115,$I$4:$I$1463)+COUNTIF($I$4:$I1115,$I1115)-1))</f>
        <v>1229</v>
      </c>
      <c r="Q1115" s="19">
        <f>IF($C1115="","",COUNTIFS($B$4:$B$1463,$B1115,$X$4:$X$1463,"&gt;"&amp;$X1115)+COUNTIFS($B$4:$B1115,$B1115,$X$4:$X1115,"="&amp;$X1115))</f>
        <v>93</v>
      </c>
      <c r="R1115" s="75">
        <f>IF($C1115="","",IF($I1115="","",ROUND(COUNTIF($I$4:$I$1463,"&lt;"&amp;$I1115)/COUNT($I$4:$I$1463),3)))</f>
        <v>7.1999999999999995E-2</v>
      </c>
      <c r="S1115" s="19" t="str">
        <f>IF($C1115="","",IF($G1115="","Name only",IF(OR($I1115="",$L1115=""),"Partial","Complete")))</f>
        <v>Complete</v>
      </c>
      <c r="T1115" s="1" t="str">
        <f>IF($C1115="","",TRIM(IF(COUNTIF($C$4:$C$1463,$C1115)&gt;1,"Dup name; ","")&amp;IF(AND($G1115&lt;&gt;"",$G1115&lt;55000),"Low CR - verify; ","")&amp;IF(AND($L1115&lt;&gt;"",$L1115&gt;15),"Secondary - verify; ","")&amp;IF($E1115="","No class; ","")))</f>
        <v/>
      </c>
      <c r="U1115" s="68"/>
      <c r="V1115" s="68"/>
      <c r="W1115" s="68"/>
      <c r="X1115" s="76">
        <f t="shared" si="87"/>
        <v>1304</v>
      </c>
      <c r="Y1115" s="1" t="str">
        <f t="shared" si="88"/>
        <v>VENGEANCE|93</v>
      </c>
      <c r="Z1115" s="19">
        <f>IF($C1115="","",IF($G1115="","",RANK($G1115,$G$4:$G$1463)+COUNTIF($G$4:$G1115,$G1115)-1))</f>
        <v>1188</v>
      </c>
      <c r="AA1115" s="19">
        <f>IF($C1115="","",IF($N1115="","",RANK($N1115,$N$4:$N$1463)+COUNTIF($N$4:$N1115,$N1115)-1))</f>
        <v>1227</v>
      </c>
      <c r="AB1115" s="1" t="str">
        <f>IF($C1115="","",IF($E1115="","",$E1115&amp;"#"&amp;(COUNTIFS($E$4:$E$1463,$E1115,$X$4:$X$1463,"&gt;"&amp;$X1115)+COUNTIFS($E$4:$E1115,$E1115,$X$4:$X1115,"="&amp;$X1115))))</f>
        <v>CRUSADER#119</v>
      </c>
      <c r="AC1115" s="1" t="str">
        <f>IF($C1115="","",$B1115&amp;"@"&amp;(COUNTIFS($B$4:$B$1463,$B1115,$C$4:$C$1463,"&lt;"&amp;$C1115)+COUNTIFS($B$4:$B1115,$B1115,$C$4:$C1115,$C1115)))</f>
        <v>VENGEANCE@77</v>
      </c>
      <c r="AD1115" s="1">
        <f t="shared" si="89"/>
        <v>1112</v>
      </c>
      <c r="AE1115" s="1" t="s">
        <v>685</v>
      </c>
      <c r="AF1115" s="76">
        <f t="shared" si="90"/>
        <v>60655</v>
      </c>
      <c r="AG1115" s="77">
        <f t="shared" si="91"/>
        <v>3.2</v>
      </c>
      <c r="AH1115" s="1" t="str">
        <f>IF($C1115="","",$B1115&amp;"|"&amp;(COUNTIFS($B$4:$B$1463,$B1115,$AF$4:$AF$1463,"&gt;"&amp;$AF1115)+COUNTIFS($B$4:$B1115,$B1115,$AF$4:$AF1115,"="&amp;$AF1115)))</f>
        <v>VENGEANCE|81</v>
      </c>
      <c r="AI1115" s="1" t="str">
        <f>IF($C1115="","",$B1115&amp;"|"&amp;(COUNTIFS($B$4:$B$1463,$B1115,$AG$4:$AG$1463,"&gt;"&amp;$AG1115)+COUNTIFS($B$4:$B1115,$B1115,$AG$4:$AG1115,"="&amp;$AG1115)))</f>
        <v>VENGEANCE|91</v>
      </c>
    </row>
    <row r="1116" spans="1:35" hidden="1">
      <c r="A1116" s="69" t="s">
        <v>109</v>
      </c>
      <c r="B1116" s="69" t="s">
        <v>117</v>
      </c>
      <c r="C1116" s="63" t="s">
        <v>2421</v>
      </c>
      <c r="D1116" s="69"/>
      <c r="E1116" s="68" t="s">
        <v>71</v>
      </c>
      <c r="F1116" s="15" t="str">
        <f>IF($C1116="","",IF($E1116="","-",IFERROR(INDEX(SETUP!$B$55:$B$64,MATCH($E1116,SETUP!$A$55:$A$64,0)),"Other")))</f>
        <v>Frontline</v>
      </c>
      <c r="G1116" s="70">
        <v>62559</v>
      </c>
      <c r="H1116" s="15" t="str">
        <f>IF($C1116="","",IF($G1116="","-",INDEX(SETUP!$B$26:$B$32,MATCH($G1116,SETUP!$A$26:$A$32,1))))</f>
        <v>62,000 - 62,999</v>
      </c>
      <c r="I1116" s="70">
        <v>2528</v>
      </c>
      <c r="J1116" s="15" t="str">
        <f>IF($C1116="","",IF($I1116="","-",INDEX(SETUP!$B$16:$B$22,MATCH($I1116,SETUP!$A$16:$A$22,1))))</f>
        <v>DEVELOPING</v>
      </c>
      <c r="K1116" s="15" t="str">
        <f>IF($C1116="","",IF($I1116="","-",TEXT(INT($I1116/1000)*1000,"#,##0")&amp;" - "&amp;TEXT(INT($I1116/1000)*1000+999,"#,##0")))</f>
        <v>2,000 - 2,999</v>
      </c>
      <c r="L1116" s="71">
        <v>4.9000000000000004</v>
      </c>
      <c r="M1116" s="15" t="str">
        <f>IF($C1116="","",IF($L1116="","-",INDEX(SETUP!$B$36:$B$42,MATCH($L1116,SETUP!$A$36:$A$42,1))))</f>
        <v>4k - 5k</v>
      </c>
      <c r="N1116" s="17">
        <f>IF($C1116="","",IF(OR($G1116="",$I1116=""),"",ROUND(100*(SETUP!$B$4*MIN(1,$I1116/SETUP!$B$9)+SETUP!$B$5*MAX(0,MIN(1,($G1116-SETUP!$B$10)/(SETUP!$B$11-SETUP!$B$10)))+SETUP!$B$6*MIN(1,IF($L1116="",0,$L1116)/SETUP!$B$12)),1)))</f>
        <v>39.1</v>
      </c>
      <c r="O1116" s="15" t="str">
        <f>IF($C1116="","",IF($N1116="","-",INDEX(SETUP!$B$46:$B$51,MATCH($N1116,SETUP!$A$46:$A$51,1))))</f>
        <v>B</v>
      </c>
      <c r="P1116" s="15">
        <f>IF($C1116="","",IF($I1116="","",RANK($I1116,$I$4:$I$1463)+COUNTIF($I$4:$I1116,$I1116)-1))</f>
        <v>1002</v>
      </c>
      <c r="Q1116" s="15">
        <f>IF($C1116="","",COUNTIFS($B$4:$B$1463,$B1116,$X$4:$X$1463,"&gt;"&amp;$X1116)+COUNTIFS($B$4:$B1116,$B1116,$X$4:$X1116,"="&amp;$X1116))</f>
        <v>30</v>
      </c>
      <c r="R1116" s="72">
        <f>IF($C1116="","",IF($I1116="","",ROUND(COUNTIF($I$4:$I$1463,"&lt;"&amp;$I1116)/COUNT($I$4:$I$1463),3)))</f>
        <v>0.24399999999999999</v>
      </c>
      <c r="S1116" s="15" t="str">
        <f>IF($C1116="","",IF($G1116="","Name only",IF(OR($I1116="",$L1116=""),"Partial","Complete")))</f>
        <v>Complete</v>
      </c>
      <c r="T1116" s="41" t="str">
        <f>IF($C1116="","",TRIM(IF(COUNTIF($C$4:$C$1463,$C1116)&gt;1,"Dup name; ","")&amp;IF(AND($G1116&lt;&gt;"",$G1116&lt;55000),"Low CR - verify; ","")&amp;IF(AND($L1116&lt;&gt;"",$L1116&gt;15),"Secondary - verify; ","")&amp;IF($E1116="","No class; ","")))</f>
        <v/>
      </c>
      <c r="U1116" s="68"/>
      <c r="V1116" s="68"/>
      <c r="W1116" s="68"/>
      <c r="X1116" s="73">
        <f t="shared" si="87"/>
        <v>2528</v>
      </c>
      <c r="Y1116" s="41" t="str">
        <f t="shared" si="88"/>
        <v>VENDETTA|30</v>
      </c>
      <c r="Z1116" s="15">
        <f>IF($C1116="","",IF($G1116="","",RANK($G1116,$G$4:$G$1463)+COUNTIF($G$4:$G1116,$G1116)-1))</f>
        <v>630</v>
      </c>
      <c r="AA1116" s="15">
        <f>IF($C1116="","",IF($N1116="","",RANK($N1116,$N$4:$N$1463)+COUNTIF($N$4:$N1116,$N1116)-1))</f>
        <v>857</v>
      </c>
      <c r="AB1116" s="41" t="str">
        <f>IF($C1116="","",IF($E1116="","",$E1116&amp;"#"&amp;(COUNTIFS($E$4:$E$1463,$E1116,$X$4:$X$1463,"&gt;"&amp;$X1116)+COUNTIFS($E$4:$E1116,$E1116,$X$4:$X1116,"="&amp;$X1116))))</f>
        <v>BARBARIAN#169</v>
      </c>
      <c r="AC1116" s="41" t="str">
        <f>IF($C1116="","",$B1116&amp;"@"&amp;(COUNTIFS($B$4:$B$1463,$B1116,$C$4:$C$1463,"&lt;"&amp;$C1116)+COUNTIFS($B$4:$B1116,$B1116,$C$4:$C1116,$C1116)))</f>
        <v>VENDETTA@82</v>
      </c>
      <c r="AD1116" s="41">
        <f t="shared" si="89"/>
        <v>1113</v>
      </c>
      <c r="AE1116" s="41" t="s">
        <v>2422</v>
      </c>
      <c r="AF1116" s="73">
        <f t="shared" si="90"/>
        <v>62559</v>
      </c>
      <c r="AG1116" s="74">
        <f t="shared" si="91"/>
        <v>4.9000000000000004</v>
      </c>
      <c r="AH1116" s="41" t="str">
        <f>IF($C1116="","",$B1116&amp;"|"&amp;(COUNTIFS($B$4:$B$1463,$B1116,$AF$4:$AF$1463,"&gt;"&amp;$AF1116)+COUNTIFS($B$4:$B1116,$B1116,$AF$4:$AF1116,"="&amp;$AF1116)))</f>
        <v>VENDETTA|15</v>
      </c>
      <c r="AI1116" s="41" t="str">
        <f>IF($C1116="","",$B1116&amp;"|"&amp;(COUNTIFS($B$4:$B$1463,$B1116,$AG$4:$AG$1463,"&gt;"&amp;$AG1116)+COUNTIFS($B$4:$B1116,$B1116,$AG$4:$AG1116,"="&amp;$AG1116)))</f>
        <v>VENDETTA|12</v>
      </c>
    </row>
    <row r="1117" spans="1:35" hidden="1">
      <c r="A1117" s="69" t="s">
        <v>109</v>
      </c>
      <c r="B1117" s="69" t="s">
        <v>114</v>
      </c>
      <c r="C1117" s="63" t="s">
        <v>2423</v>
      </c>
      <c r="D1117" s="69"/>
      <c r="E1117" s="68" t="s">
        <v>75</v>
      </c>
      <c r="F1117" s="19" t="str">
        <f>IF($C1117="","",IF($E1117="","-",IFERROR(INDEX(SETUP!$B$55:$B$64,MATCH($E1117,SETUP!$A$55:$A$64,0)),"Other")))</f>
        <v>Support</v>
      </c>
      <c r="G1117" s="70">
        <v>60485</v>
      </c>
      <c r="H1117" s="19" t="str">
        <f>IF($C1117="","",IF($G1117="","-",INDEX(SETUP!$B$26:$B$32,MATCH($G1117,SETUP!$A$26:$A$32,1))))</f>
        <v>60,000 - 60,999</v>
      </c>
      <c r="I1117" s="70">
        <v>920</v>
      </c>
      <c r="J1117" s="19" t="str">
        <f>IF($C1117="","",IF($I1117="","-",INDEX(SETUP!$B$16:$B$22,MATCH($I1117,SETUP!$A$16:$A$22,1))))</f>
        <v>ROOKIE</v>
      </c>
      <c r="K1117" s="19" t="str">
        <f>IF($C1117="","",IF($I1117="","-",TEXT(INT($I1117/1000)*1000,"#,##0")&amp;" - "&amp;TEXT(INT($I1117/1000)*1000+999,"#,##0")))</f>
        <v>0 - 999</v>
      </c>
      <c r="L1117" s="71">
        <v>3</v>
      </c>
      <c r="M1117" s="19" t="str">
        <f>IF($C1117="","",IF($L1117="","-",INDEX(SETUP!$B$36:$B$42,MATCH($L1117,SETUP!$A$36:$A$42,1))))</f>
        <v>3k - 4k</v>
      </c>
      <c r="N1117" s="21">
        <f>IF($C1117="","",IF(OR($G1117="",$I1117=""),"",ROUND(100*(SETUP!$B$4*MIN(1,$I1117/SETUP!$B$9)+SETUP!$B$5*MAX(0,MIN(1,($G1117-SETUP!$B$10)/(SETUP!$B$11-SETUP!$B$10)))+SETUP!$B$6*MIN(1,IF($L1117="",0,$L1117)/SETUP!$B$12)),1)))</f>
        <v>23.5</v>
      </c>
      <c r="O1117" s="19" t="str">
        <f>IF($C1117="","",IF($N1117="","-",INDEX(SETUP!$B$46:$B$51,MATCH($N1117,SETUP!$A$46:$A$51,1))))</f>
        <v>C</v>
      </c>
      <c r="P1117" s="19">
        <f>IF($C1117="","",IF($I1117="","",RANK($I1117,$I$4:$I$1463)+COUNTIF($I$4:$I1117,$I1117)-1))</f>
        <v>1283</v>
      </c>
      <c r="Q1117" s="19">
        <f>IF($C1117="","",COUNTIFS($B$4:$B$1463,$B1117,$X$4:$X$1463,"&gt;"&amp;$X1117)+COUNTIFS($B$4:$B1117,$B1117,$X$4:$X1117,"="&amp;$X1117))</f>
        <v>86</v>
      </c>
      <c r="R1117" s="75">
        <f>IF($C1117="","",IF($I1117="","",ROUND(COUNTIF($I$4:$I$1463,"&lt;"&amp;$I1117)/COUNT($I$4:$I$1463),3)))</f>
        <v>3.2000000000000001E-2</v>
      </c>
      <c r="S1117" s="19" t="str">
        <f>IF($C1117="","",IF($G1117="","Name only",IF(OR($I1117="",$L1117=""),"Partial","Complete")))</f>
        <v>Complete</v>
      </c>
      <c r="T1117" s="1" t="str">
        <f>IF($C1117="","",TRIM(IF(COUNTIF($C$4:$C$1463,$C1117)&gt;1,"Dup name; ","")&amp;IF(AND($G1117&lt;&gt;"",$G1117&lt;55000),"Low CR - verify; ","")&amp;IF(AND($L1117&lt;&gt;"",$L1117&gt;15),"Secondary - verify; ","")&amp;IF($E1117="","No class; ","")))</f>
        <v/>
      </c>
      <c r="U1117" s="68"/>
      <c r="V1117" s="68"/>
      <c r="W1117" s="68"/>
      <c r="X1117" s="76">
        <f t="shared" si="87"/>
        <v>920</v>
      </c>
      <c r="Y1117" s="1" t="str">
        <f t="shared" si="88"/>
        <v>EMERALD LEAF TRIBE|86</v>
      </c>
      <c r="Z1117" s="19">
        <f>IF($C1117="","",IF($G1117="","",RANK($G1117,$G$4:$G$1463)+COUNTIF($G$4:$G1117,$G1117)-1))</f>
        <v>1207</v>
      </c>
      <c r="AA1117" s="19">
        <f>IF($C1117="","",IF($N1117="","",RANK($N1117,$N$4:$N$1463)+COUNTIF($N$4:$N1117,$N1117)-1))</f>
        <v>1264</v>
      </c>
      <c r="AB1117" s="1" t="str">
        <f>IF($C1117="","",IF($E1117="","",$E1117&amp;"#"&amp;(COUNTIFS($E$4:$E$1463,$E1117,$X$4:$X$1463,"&gt;"&amp;$X1117)+COUNTIFS($E$4:$E1117,$E1117,$X$4:$X1117,"="&amp;$X1117))))</f>
        <v>DRUID#69</v>
      </c>
      <c r="AC1117" s="1" t="str">
        <f>IF($C1117="","",$B1117&amp;"@"&amp;(COUNTIFS($B$4:$B$1463,$B1117,$C$4:$C$1463,"&lt;"&amp;$C1117)+COUNTIFS($B$4:$B1117,$B1117,$C$4:$C1117,$C1117)))</f>
        <v>EMERALD LEAF TRIBE@79</v>
      </c>
      <c r="AD1117" s="1">
        <f t="shared" si="89"/>
        <v>1114</v>
      </c>
      <c r="AE1117" s="1" t="s">
        <v>2424</v>
      </c>
      <c r="AF1117" s="76">
        <f t="shared" si="90"/>
        <v>60485</v>
      </c>
      <c r="AG1117" s="77">
        <f t="shared" si="91"/>
        <v>3</v>
      </c>
      <c r="AH1117" s="1" t="str">
        <f>IF($C1117="","",$B1117&amp;"|"&amp;(COUNTIFS($B$4:$B$1463,$B1117,$AF$4:$AF$1463,"&gt;"&amp;$AF1117)+COUNTIFS($B$4:$B1117,$B1117,$AF$4:$AF1117,"="&amp;$AF1117)))</f>
        <v>EMERALD LEAF TRIBE|70</v>
      </c>
      <c r="AI1117" s="1" t="str">
        <f>IF($C1117="","",$B1117&amp;"|"&amp;(COUNTIFS($B$4:$B$1463,$B1117,$AG$4:$AG$1463,"&gt;"&amp;$AG1117)+COUNTIFS($B$4:$B1117,$B1117,$AG$4:$AG1117,"="&amp;$AG1117)))</f>
        <v>EMERALD LEAF TRIBE|80</v>
      </c>
    </row>
    <row r="1118" spans="1:35" hidden="1">
      <c r="A1118" s="69" t="s">
        <v>109</v>
      </c>
      <c r="B1118" s="69" t="s">
        <v>116</v>
      </c>
      <c r="C1118" s="63" t="s">
        <v>2425</v>
      </c>
      <c r="D1118" s="69" t="s">
        <v>530</v>
      </c>
      <c r="E1118" s="68" t="s">
        <v>74</v>
      </c>
      <c r="F1118" s="15" t="str">
        <f>IF($C1118="","",IF($E1118="","-",IFERROR(INDEX(SETUP!$B$55:$B$64,MATCH($E1118,SETUP!$A$55:$A$64,0)),"Other")))</f>
        <v>Ranged DPS</v>
      </c>
      <c r="G1118" s="70">
        <v>63213</v>
      </c>
      <c r="H1118" s="15" t="str">
        <f>IF($C1118="","",IF($G1118="","-",INDEX(SETUP!$B$26:$B$32,MATCH($G1118,SETUP!$A$26:$A$32,1))))</f>
        <v>63,000 - 63,999</v>
      </c>
      <c r="I1118" s="70">
        <v>4911</v>
      </c>
      <c r="J1118" s="15" t="str">
        <f>IF($C1118="","",IF($I1118="","-",INDEX(SETUP!$B$16:$B$22,MATCH($I1118,SETUP!$A$16:$A$22,1))))</f>
        <v>CORE</v>
      </c>
      <c r="K1118" s="15" t="str">
        <f>IF($C1118="","",IF($I1118="","-",TEXT(INT($I1118/1000)*1000,"#,##0")&amp;" - "&amp;TEXT(INT($I1118/1000)*1000+999,"#,##0")))</f>
        <v>4,000 - 4,999</v>
      </c>
      <c r="L1118" s="71">
        <v>8.1999999999999993</v>
      </c>
      <c r="M1118" s="15" t="str">
        <f>IF($C1118="","",IF($L1118="","-",INDEX(SETUP!$B$36:$B$42,MATCH($L1118,SETUP!$A$36:$A$42,1))))</f>
        <v>8k - 10k</v>
      </c>
      <c r="N1118" s="17">
        <f>IF($C1118="","",IF(OR($G1118="",$I1118=""),"",ROUND(100*(SETUP!$B$4*MIN(1,$I1118/SETUP!$B$9)+SETUP!$B$5*MAX(0,MIN(1,($G1118-SETUP!$B$10)/(SETUP!$B$11-SETUP!$B$10)))+SETUP!$B$6*MIN(1,IF($L1118="",0,$L1118)/SETUP!$B$12)),1)))</f>
        <v>56.7</v>
      </c>
      <c r="O1118" s="15" t="str">
        <f>IF($C1118="","",IF($N1118="","-",INDEX(SETUP!$B$46:$B$51,MATCH($N1118,SETUP!$A$46:$A$51,1))))</f>
        <v>A</v>
      </c>
      <c r="P1118" s="15">
        <f>IF($C1118="","",IF($I1118="","",RANK($I1118,$I$4:$I$1463)+COUNTIF($I$4:$I1118,$I1118)-1))</f>
        <v>427</v>
      </c>
      <c r="Q1118" s="15">
        <f>IF($C1118="","",COUNTIFS($B$4:$B$1463,$B1118,$X$4:$X$1463,"&gt;"&amp;$X1118)+COUNTIFS($B$4:$B1118,$B1118,$X$4:$X1118,"="&amp;$X1118))</f>
        <v>16</v>
      </c>
      <c r="R1118" s="72">
        <f>IF($C1118="","",IF($I1118="","",ROUND(COUNTIF($I$4:$I$1463,"&lt;"&amp;$I1118)/COUNT($I$4:$I$1463),3)))</f>
        <v>0.67800000000000005</v>
      </c>
      <c r="S1118" s="15" t="str">
        <f>IF($C1118="","",IF($G1118="","Name only",IF(OR($I1118="",$L1118=""),"Partial","Complete")))</f>
        <v>Complete</v>
      </c>
      <c r="T1118" s="41" t="str">
        <f>IF($C1118="","",TRIM(IF(COUNTIF($C$4:$C$1463,$C1118)&gt;1,"Dup name; ","")&amp;IF(AND($G1118&lt;&gt;"",$G1118&lt;55000),"Low CR - verify; ","")&amp;IF(AND($L1118&lt;&gt;"",$L1118&gt;15),"Secondary - verify; ","")&amp;IF($E1118="","No class; ","")))</f>
        <v/>
      </c>
      <c r="U1118" s="68"/>
      <c r="V1118" s="68"/>
      <c r="W1118" s="68"/>
      <c r="X1118" s="73">
        <f t="shared" si="87"/>
        <v>4911</v>
      </c>
      <c r="Y1118" s="41" t="str">
        <f t="shared" si="88"/>
        <v>VENGEANCE|16</v>
      </c>
      <c r="Z1118" s="15">
        <f>IF($C1118="","",IF($G1118="","",RANK($G1118,$G$4:$G$1463)+COUNTIF($G$4:$G1118,$G1118)-1))</f>
        <v>308</v>
      </c>
      <c r="AA1118" s="15">
        <f>IF($C1118="","",IF($N1118="","",RANK($N1118,$N$4:$N$1463)+COUNTIF($N$4:$N1118,$N1118)-1))</f>
        <v>286</v>
      </c>
      <c r="AB1118" s="41" t="str">
        <f>IF($C1118="","",IF($E1118="","",$E1118&amp;"#"&amp;(COUNTIFS($E$4:$E$1463,$E1118,$X$4:$X$1463,"&gt;"&amp;$X1118)+COUNTIFS($E$4:$E1118,$E1118,$X$4:$X1118,"="&amp;$X1118))))</f>
        <v>DEMON HUNTER#72</v>
      </c>
      <c r="AC1118" s="41" t="str">
        <f>IF($C1118="","",$B1118&amp;"@"&amp;(COUNTIFS($B$4:$B$1463,$B1118,$C$4:$C$1463,"&lt;"&amp;$C1118)+COUNTIFS($B$4:$B1118,$B1118,$C$4:$C1118,$C1118)))</f>
        <v>VENGEANCE@78</v>
      </c>
      <c r="AD1118" s="41">
        <f t="shared" si="89"/>
        <v>1115</v>
      </c>
      <c r="AE1118" s="41" t="s">
        <v>2426</v>
      </c>
      <c r="AF1118" s="73">
        <f t="shared" si="90"/>
        <v>63213</v>
      </c>
      <c r="AG1118" s="74">
        <f t="shared" si="91"/>
        <v>8.1999999999999993</v>
      </c>
      <c r="AH1118" s="41" t="str">
        <f>IF($C1118="","",$B1118&amp;"|"&amp;(COUNTIFS($B$4:$B$1463,$B1118,$AF$4:$AF$1463,"&gt;"&amp;$AF1118)+COUNTIFS($B$4:$B1118,$B1118,$AF$4:$AF1118,"="&amp;$AF1118)))</f>
        <v>VENGEANCE|10</v>
      </c>
      <c r="AI1118" s="41" t="str">
        <f>IF($C1118="","",$B1118&amp;"|"&amp;(COUNTIFS($B$4:$B$1463,$B1118,$AG$4:$AG$1463,"&gt;"&amp;$AG1118)+COUNTIFS($B$4:$B1118,$B1118,$AG$4:$AG1118,"="&amp;$AG1118)))</f>
        <v>VENGEANCE|4</v>
      </c>
    </row>
    <row r="1119" spans="1:35" hidden="1">
      <c r="A1119" s="69" t="s">
        <v>109</v>
      </c>
      <c r="B1119" s="69" t="s">
        <v>112</v>
      </c>
      <c r="C1119" s="63" t="s">
        <v>2427</v>
      </c>
      <c r="D1119" s="69" t="s">
        <v>567</v>
      </c>
      <c r="E1119" s="68" t="s">
        <v>74</v>
      </c>
      <c r="F1119" s="19" t="str">
        <f>IF($C1119="","",IF($E1119="","-",IFERROR(INDEX(SETUP!$B$55:$B$64,MATCH($E1119,SETUP!$A$55:$A$64,0)),"Other")))</f>
        <v>Ranged DPS</v>
      </c>
      <c r="G1119" s="70">
        <v>61441</v>
      </c>
      <c r="H1119" s="19" t="str">
        <f>IF($C1119="","",IF($G1119="","-",INDEX(SETUP!$B$26:$B$32,MATCH($G1119,SETUP!$A$26:$A$32,1))))</f>
        <v>61,000 - 61,999</v>
      </c>
      <c r="I1119" s="70">
        <v>2828</v>
      </c>
      <c r="J1119" s="19" t="str">
        <f>IF($C1119="","",IF($I1119="","-",INDEX(SETUP!$B$16:$B$22,MATCH($I1119,SETUP!$A$16:$A$22,1))))</f>
        <v>DEVELOPING</v>
      </c>
      <c r="K1119" s="19" t="str">
        <f>IF($C1119="","",IF($I1119="","-",TEXT(INT($I1119/1000)*1000,"#,##0")&amp;" - "&amp;TEXT(INT($I1119/1000)*1000+999,"#,##0")))</f>
        <v>2,000 - 2,999</v>
      </c>
      <c r="L1119" s="71">
        <v>4.67</v>
      </c>
      <c r="M1119" s="19" t="str">
        <f>IF($C1119="","",IF($L1119="","-",INDEX(SETUP!$B$36:$B$42,MATCH($L1119,SETUP!$A$36:$A$42,1))))</f>
        <v>4k - 5k</v>
      </c>
      <c r="N1119" s="21">
        <f>IF($C1119="","",IF(OR($G1119="",$I1119=""),"",ROUND(100*(SETUP!$B$4*MIN(1,$I1119/SETUP!$B$9)+SETUP!$B$5*MAX(0,MIN(1,($G1119-SETUP!$B$10)/(SETUP!$B$11-SETUP!$B$10)))+SETUP!$B$6*MIN(1,IF($L1119="",0,$L1119)/SETUP!$B$12)),1)))</f>
        <v>37.1</v>
      </c>
      <c r="O1119" s="19" t="str">
        <f>IF($C1119="","",IF($N1119="","-",INDEX(SETUP!$B$46:$B$51,MATCH($N1119,SETUP!$A$46:$A$51,1))))</f>
        <v>B</v>
      </c>
      <c r="P1119" s="19">
        <f>IF($C1119="","",IF($I1119="","",RANK($I1119,$I$4:$I$1463)+COUNTIF($I$4:$I1119,$I1119)-1))</f>
        <v>929</v>
      </c>
      <c r="Q1119" s="19">
        <f>IF($C1119="","",COUNTIFS($B$4:$B$1463,$B1119,$X$4:$X$1463,"&gt;"&amp;$X1119)+COUNTIFS($B$4:$B1119,$B1119,$X$4:$X1119,"="&amp;$X1119))</f>
        <v>72</v>
      </c>
      <c r="R1119" s="75">
        <f>IF($C1119="","",IF($I1119="","",ROUND(COUNTIF($I$4:$I$1463,"&lt;"&amp;$I1119)/COUNT($I$4:$I$1463),3)))</f>
        <v>0.29899999999999999</v>
      </c>
      <c r="S1119" s="19" t="str">
        <f>IF($C1119="","",IF($G1119="","Name only",IF(OR($I1119="",$L1119=""),"Partial","Complete")))</f>
        <v>Complete</v>
      </c>
      <c r="T1119" s="1" t="str">
        <f>IF($C1119="","",TRIM(IF(COUNTIF($C$4:$C$1463,$C1119)&gt;1,"Dup name; ","")&amp;IF(AND($G1119&lt;&gt;"",$G1119&lt;55000),"Low CR - verify; ","")&amp;IF(AND($L1119&lt;&gt;"",$L1119&gt;15),"Secondary - verify; ","")&amp;IF($E1119="","No class; ","")))</f>
        <v/>
      </c>
      <c r="U1119" s="68"/>
      <c r="V1119" s="68"/>
      <c r="W1119" s="68"/>
      <c r="X1119" s="76">
        <f t="shared" si="87"/>
        <v>2828</v>
      </c>
      <c r="Y1119" s="1" t="str">
        <f t="shared" si="88"/>
        <v>ACHERON|72</v>
      </c>
      <c r="Z1119" s="19">
        <f>IF($C1119="","",IF($G1119="","",RANK($G1119,$G$4:$G$1463)+COUNTIF($G$4:$G1119,$G1119)-1))</f>
        <v>1016</v>
      </c>
      <c r="AA1119" s="19">
        <f>IF($C1119="","",IF($N1119="","",RANK($N1119,$N$4:$N$1463)+COUNTIF($N$4:$N1119,$N1119)-1))</f>
        <v>928</v>
      </c>
      <c r="AB1119" s="1" t="str">
        <f>IF($C1119="","",IF($E1119="","",$E1119&amp;"#"&amp;(COUNTIFS($E$4:$E$1463,$E1119,$X$4:$X$1463,"&gt;"&amp;$X1119)+COUNTIFS($E$4:$E1119,$E1119,$X$4:$X1119,"="&amp;$X1119))))</f>
        <v>DEMON HUNTER#147</v>
      </c>
      <c r="AC1119" s="1" t="str">
        <f>IF($C1119="","",$B1119&amp;"@"&amp;(COUNTIFS($B$4:$B$1463,$B1119,$C$4:$C$1463,"&lt;"&amp;$C1119)+COUNTIFS($B$4:$B1119,$B1119,$C$4:$C1119,$C1119)))</f>
        <v>ACHERON@76</v>
      </c>
      <c r="AD1119" s="1">
        <f t="shared" si="89"/>
        <v>1116</v>
      </c>
      <c r="AE1119" s="1" t="s">
        <v>2428</v>
      </c>
      <c r="AF1119" s="76">
        <f t="shared" si="90"/>
        <v>61441</v>
      </c>
      <c r="AG1119" s="77">
        <f t="shared" si="91"/>
        <v>4.67</v>
      </c>
      <c r="AH1119" s="1" t="str">
        <f>IF($C1119="","",$B1119&amp;"|"&amp;(COUNTIFS($B$4:$B$1463,$B1119,$AF$4:$AF$1463,"&gt;"&amp;$AF1119)+COUNTIFS($B$4:$B1119,$B1119,$AF$4:$AF1119,"="&amp;$AF1119)))</f>
        <v>ACHERON|81</v>
      </c>
      <c r="AI1119" s="1" t="str">
        <f>IF($C1119="","",$B1119&amp;"|"&amp;(COUNTIFS($B$4:$B$1463,$B1119,$AG$4:$AG$1463,"&gt;"&amp;$AG1119)+COUNTIFS($B$4:$B1119,$B1119,$AG$4:$AG1119,"="&amp;$AG1119)))</f>
        <v>ACHERON|55</v>
      </c>
    </row>
    <row r="1120" spans="1:35" hidden="1">
      <c r="A1120" s="69" t="s">
        <v>109</v>
      </c>
      <c r="B1120" s="69" t="s">
        <v>116</v>
      </c>
      <c r="C1120" s="63" t="s">
        <v>2429</v>
      </c>
      <c r="D1120" s="69" t="s">
        <v>530</v>
      </c>
      <c r="E1120" s="68" t="s">
        <v>77</v>
      </c>
      <c r="F1120" s="15" t="str">
        <f>IF($C1120="","",IF($E1120="","-",IFERROR(INDEX(SETUP!$B$55:$B$64,MATCH($E1120,SETUP!$A$55:$A$64,0)),"Other")))</f>
        <v>Control</v>
      </c>
      <c r="G1120" s="70">
        <v>62691</v>
      </c>
      <c r="H1120" s="15" t="str">
        <f>IF($C1120="","",IF($G1120="","-",INDEX(SETUP!$B$26:$B$32,MATCH($G1120,SETUP!$A$26:$A$32,1))))</f>
        <v>62,000 - 62,999</v>
      </c>
      <c r="I1120" s="70">
        <v>5268</v>
      </c>
      <c r="J1120" s="15" t="str">
        <f>IF($C1120="","",IF($I1120="","-",INDEX(SETUP!$B$16:$B$22,MATCH($I1120,SETUP!$A$16:$A$22,1))))</f>
        <v>CORE</v>
      </c>
      <c r="K1120" s="15" t="str">
        <f>IF($C1120="","",IF($I1120="","-",TEXT(INT($I1120/1000)*1000,"#,##0")&amp;" - "&amp;TEXT(INT($I1120/1000)*1000+999,"#,##0")))</f>
        <v>5,000 - 5,999</v>
      </c>
      <c r="L1120" s="71">
        <v>4.8</v>
      </c>
      <c r="M1120" s="15" t="str">
        <f>IF($C1120="","",IF($L1120="","-",INDEX(SETUP!$B$36:$B$42,MATCH($L1120,SETUP!$A$36:$A$42,1))))</f>
        <v>4k - 5k</v>
      </c>
      <c r="N1120" s="17">
        <f>IF($C1120="","",IF(OR($G1120="",$I1120=""),"",ROUND(100*(SETUP!$B$4*MIN(1,$I1120/SETUP!$B$9)+SETUP!$B$5*MAX(0,MIN(1,($G1120-SETUP!$B$10)/(SETUP!$B$11-SETUP!$B$10)))+SETUP!$B$6*MIN(1,IF($L1120="",0,$L1120)/SETUP!$B$12)),1)))</f>
        <v>51.2</v>
      </c>
      <c r="O1120" s="15" t="str">
        <f>IF($C1120="","",IF($N1120="","-",INDEX(SETUP!$B$46:$B$51,MATCH($N1120,SETUP!$A$46:$A$51,1))))</f>
        <v>A</v>
      </c>
      <c r="P1120" s="15">
        <f>IF($C1120="","",IF($I1120="","",RANK($I1120,$I$4:$I$1463)+COUNTIF($I$4:$I1120,$I1120)-1))</f>
        <v>368</v>
      </c>
      <c r="Q1120" s="15">
        <f>IF($C1120="","",COUNTIFS($B$4:$B$1463,$B1120,$X$4:$X$1463,"&gt;"&amp;$X1120)+COUNTIFS($B$4:$B1120,$B1120,$X$4:$X1120,"="&amp;$X1120))</f>
        <v>12</v>
      </c>
      <c r="R1120" s="72">
        <f>IF($C1120="","",IF($I1120="","",ROUND(COUNTIF($I$4:$I$1463,"&lt;"&amp;$I1120)/COUNT($I$4:$I$1463),3)))</f>
        <v>0.72199999999999998</v>
      </c>
      <c r="S1120" s="15" t="str">
        <f>IF($C1120="","",IF($G1120="","Name only",IF(OR($I1120="",$L1120=""),"Partial","Complete")))</f>
        <v>Complete</v>
      </c>
      <c r="T1120" s="41" t="str">
        <f>IF($C1120="","",TRIM(IF(COUNTIF($C$4:$C$1463,$C1120)&gt;1,"Dup name; ","")&amp;IF(AND($G1120&lt;&gt;"",$G1120&lt;55000),"Low CR - verify; ","")&amp;IF(AND($L1120&lt;&gt;"",$L1120&gt;15),"Secondary - verify; ","")&amp;IF($E1120="","No class; ","")))</f>
        <v/>
      </c>
      <c r="U1120" s="68"/>
      <c r="V1120" s="68"/>
      <c r="W1120" s="68"/>
      <c r="X1120" s="73">
        <f t="shared" si="87"/>
        <v>5268</v>
      </c>
      <c r="Y1120" s="41" t="str">
        <f t="shared" si="88"/>
        <v>VENGEANCE|12</v>
      </c>
      <c r="Z1120" s="15">
        <f>IF($C1120="","",IF($G1120="","",RANK($G1120,$G$4:$G$1463)+COUNTIF($G$4:$G1120,$G1120)-1))</f>
        <v>569</v>
      </c>
      <c r="AA1120" s="15">
        <f>IF($C1120="","",IF($N1120="","",RANK($N1120,$N$4:$N$1463)+COUNTIF($N$4:$N1120,$N1120)-1))</f>
        <v>420</v>
      </c>
      <c r="AB1120" s="41" t="str">
        <f>IF($C1120="","",IF($E1120="","",$E1120&amp;"#"&amp;(COUNTIFS($E$4:$E$1463,$E1120,$X$4:$X$1463,"&gt;"&amp;$X1120)+COUNTIFS($E$4:$E1120,$E1120,$X$4:$X1120,"="&amp;$X1120))))</f>
        <v>NECROMANCER#18</v>
      </c>
      <c r="AC1120" s="41" t="str">
        <f>IF($C1120="","",$B1120&amp;"@"&amp;(COUNTIFS($B$4:$B$1463,$B1120,$C$4:$C$1463,"&lt;"&amp;$C1120)+COUNTIFS($B$4:$B1120,$B1120,$C$4:$C1120,$C1120)))</f>
        <v>VENGEANCE@79</v>
      </c>
      <c r="AD1120" s="41">
        <f t="shared" si="89"/>
        <v>1117</v>
      </c>
      <c r="AE1120" s="41" t="s">
        <v>986</v>
      </c>
      <c r="AF1120" s="73">
        <f t="shared" si="90"/>
        <v>62691</v>
      </c>
      <c r="AG1120" s="74">
        <f t="shared" si="91"/>
        <v>4.8</v>
      </c>
      <c r="AH1120" s="41" t="str">
        <f>IF($C1120="","",$B1120&amp;"|"&amp;(COUNTIFS($B$4:$B$1463,$B1120,$AF$4:$AF$1463,"&gt;"&amp;$AF1120)+COUNTIFS($B$4:$B1120,$B1120,$AF$4:$AF1120,"="&amp;$AF1120)))</f>
        <v>VENGEANCE|32</v>
      </c>
      <c r="AI1120" s="41" t="str">
        <f>IF($C1120="","",$B1120&amp;"|"&amp;(COUNTIFS($B$4:$B$1463,$B1120,$AG$4:$AG$1463,"&gt;"&amp;$AG1120)+COUNTIFS($B$4:$B1120,$B1120,$AG$4:$AG1120,"="&amp;$AG1120)))</f>
        <v>VENGEANCE|42</v>
      </c>
    </row>
    <row r="1121" spans="1:35" hidden="1">
      <c r="A1121" s="69" t="s">
        <v>109</v>
      </c>
      <c r="B1121" s="69" t="s">
        <v>117</v>
      </c>
      <c r="C1121" s="63" t="s">
        <v>2430</v>
      </c>
      <c r="D1121" s="69"/>
      <c r="E1121" s="68" t="s">
        <v>75</v>
      </c>
      <c r="F1121" s="19" t="str">
        <f>IF($C1121="","",IF($E1121="","-",IFERROR(INDEX(SETUP!$B$55:$B$64,MATCH($E1121,SETUP!$A$55:$A$64,0)),"Other")))</f>
        <v>Support</v>
      </c>
      <c r="G1121" s="70">
        <v>62160</v>
      </c>
      <c r="H1121" s="19" t="str">
        <f>IF($C1121="","",IF($G1121="","-",INDEX(SETUP!$B$26:$B$32,MATCH($G1121,SETUP!$A$26:$A$32,1))))</f>
        <v>62,000 - 62,999</v>
      </c>
      <c r="I1121" s="70">
        <v>3894</v>
      </c>
      <c r="J1121" s="19" t="str">
        <f>IF($C1121="","",IF($I1121="","-",INDEX(SETUP!$B$16:$B$22,MATCH($I1121,SETUP!$A$16:$A$22,1))))</f>
        <v>DEVELOPING</v>
      </c>
      <c r="K1121" s="19" t="str">
        <f>IF($C1121="","",IF($I1121="","-",TEXT(INT($I1121/1000)*1000,"#,##0")&amp;" - "&amp;TEXT(INT($I1121/1000)*1000+999,"#,##0")))</f>
        <v>3,000 - 3,999</v>
      </c>
      <c r="L1121" s="71">
        <v>5</v>
      </c>
      <c r="M1121" s="19" t="str">
        <f>IF($C1121="","",IF($L1121="","-",INDEX(SETUP!$B$36:$B$42,MATCH($L1121,SETUP!$A$36:$A$42,1))))</f>
        <v>5k - 6k</v>
      </c>
      <c r="N1121" s="21">
        <f>IF($C1121="","",IF(OR($G1121="",$I1121=""),"",ROUND(100*(SETUP!$B$4*MIN(1,$I1121/SETUP!$B$9)+SETUP!$B$5*MAX(0,MIN(1,($G1121-SETUP!$B$10)/(SETUP!$B$11-SETUP!$B$10)))+SETUP!$B$6*MIN(1,IF($L1121="",0,$L1121)/SETUP!$B$12)),1)))</f>
        <v>44.2</v>
      </c>
      <c r="O1121" s="19" t="str">
        <f>IF($C1121="","",IF($N1121="","-",INDEX(SETUP!$B$46:$B$51,MATCH($N1121,SETUP!$A$46:$A$51,1))))</f>
        <v>B</v>
      </c>
      <c r="P1121" s="19">
        <f>IF($C1121="","",IF($I1121="","",RANK($I1121,$I$4:$I$1463)+COUNTIF($I$4:$I1121,$I1121)-1))</f>
        <v>625</v>
      </c>
      <c r="Q1121" s="19">
        <f>IF($C1121="","",COUNTIFS($B$4:$B$1463,$B1121,$X$4:$X$1463,"&gt;"&amp;$X1121)+COUNTIFS($B$4:$B1121,$B1121,$X$4:$X1121,"="&amp;$X1121))</f>
        <v>2</v>
      </c>
      <c r="R1121" s="75">
        <f>IF($C1121="","",IF($I1121="","",ROUND(COUNTIF($I$4:$I$1463,"&lt;"&amp;$I1121)/COUNT($I$4:$I$1463),3)))</f>
        <v>0.52800000000000002</v>
      </c>
      <c r="S1121" s="19" t="str">
        <f>IF($C1121="","",IF($G1121="","Name only",IF(OR($I1121="",$L1121=""),"Partial","Complete")))</f>
        <v>Complete</v>
      </c>
      <c r="T1121" s="1" t="str">
        <f>IF($C1121="","",TRIM(IF(COUNTIF($C$4:$C$1463,$C1121)&gt;1,"Dup name; ","")&amp;IF(AND($G1121&lt;&gt;"",$G1121&lt;55000),"Low CR - verify; ","")&amp;IF(AND($L1121&lt;&gt;"",$L1121&gt;15),"Secondary - verify; ","")&amp;IF($E1121="","No class; ","")))</f>
        <v/>
      </c>
      <c r="U1121" s="68"/>
      <c r="V1121" s="68"/>
      <c r="W1121" s="68"/>
      <c r="X1121" s="76">
        <f t="shared" si="87"/>
        <v>3894</v>
      </c>
      <c r="Y1121" s="1" t="str">
        <f t="shared" si="88"/>
        <v>VENDETTA|2</v>
      </c>
      <c r="Z1121" s="19">
        <f>IF($C1121="","",IF($G1121="","",RANK($G1121,$G$4:$G$1463)+COUNTIF($G$4:$G1121,$G1121)-1))</f>
        <v>771</v>
      </c>
      <c r="AA1121" s="19">
        <f>IF($C1121="","",IF($N1121="","",RANK($N1121,$N$4:$N$1463)+COUNTIF($N$4:$N1121,$N1121)-1))</f>
        <v>660</v>
      </c>
      <c r="AB1121" s="1" t="str">
        <f>IF($C1121="","",IF($E1121="","",$E1121&amp;"#"&amp;(COUNTIFS($E$4:$E$1463,$E1121,$X$4:$X$1463,"&gt;"&amp;$X1121)+COUNTIFS($E$4:$E1121,$E1121,$X$4:$X1121,"="&amp;$X1121))))</f>
        <v>DRUID#30</v>
      </c>
      <c r="AC1121" s="1" t="str">
        <f>IF($C1121="","",$B1121&amp;"@"&amp;(COUNTIFS($B$4:$B$1463,$B1121,$C$4:$C$1463,"&lt;"&amp;$C1121)+COUNTIFS($B$4:$B1121,$B1121,$C$4:$C1121,$C1121)))</f>
        <v>VENDETTA@83</v>
      </c>
      <c r="AD1121" s="1">
        <f t="shared" si="89"/>
        <v>1118</v>
      </c>
      <c r="AE1121" s="1" t="s">
        <v>2431</v>
      </c>
      <c r="AF1121" s="76">
        <f t="shared" si="90"/>
        <v>62160</v>
      </c>
      <c r="AG1121" s="77">
        <f t="shared" si="91"/>
        <v>5</v>
      </c>
      <c r="AH1121" s="1" t="str">
        <f>IF($C1121="","",$B1121&amp;"|"&amp;(COUNTIFS($B$4:$B$1463,$B1121,$AF$4:$AF$1463,"&gt;"&amp;$AF1121)+COUNTIFS($B$4:$B1121,$B1121,$AF$4:$AF1121,"="&amp;$AF1121)))</f>
        <v>VENDETTA|32</v>
      </c>
      <c r="AI1121" s="1" t="str">
        <f>IF($C1121="","",$B1121&amp;"|"&amp;(COUNTIFS($B$4:$B$1463,$B1121,$AG$4:$AG$1463,"&gt;"&amp;$AG1121)+COUNTIFS($B$4:$B1121,$B1121,$AG$4:$AG1121,"="&amp;$AG1121)))</f>
        <v>VENDETTA|10</v>
      </c>
    </row>
    <row r="1122" spans="1:35" hidden="1">
      <c r="A1122" s="69" t="s">
        <v>106</v>
      </c>
      <c r="B1122" s="69" t="s">
        <v>86</v>
      </c>
      <c r="C1122" s="63" t="s">
        <v>2432</v>
      </c>
      <c r="D1122" s="69"/>
      <c r="E1122" s="68" t="s">
        <v>74</v>
      </c>
      <c r="F1122" s="15" t="str">
        <f>IF($C1122="","",IF($E1122="","-",IFERROR(INDEX(SETUP!$B$55:$B$64,MATCH($E1122,SETUP!$A$55:$A$64,0)),"Other")))</f>
        <v>Ranged DPS</v>
      </c>
      <c r="G1122" s="70">
        <v>64241</v>
      </c>
      <c r="H1122" s="15" t="str">
        <f>IF($C1122="","",IF($G1122="","-",INDEX(SETUP!$B$26:$B$32,MATCH($G1122,SETUP!$A$26:$A$32,1))))</f>
        <v>64,000 +</v>
      </c>
      <c r="I1122" s="70">
        <v>10216</v>
      </c>
      <c r="J1122" s="15" t="str">
        <f>IF($C1122="","",IF($I1122="","-",INDEX(SETUP!$B$16:$B$22,MATCH($I1122,SETUP!$A$16:$A$22,1))))</f>
        <v>APEX</v>
      </c>
      <c r="K1122" s="15" t="str">
        <f>IF($C1122="","",IF($I1122="","-",TEXT(INT($I1122/1000)*1000,"#,##0")&amp;" - "&amp;TEXT(INT($I1122/1000)*1000+999,"#,##0")))</f>
        <v>10,000 - 10,999</v>
      </c>
      <c r="L1122" s="71">
        <v>8.9499999999999993</v>
      </c>
      <c r="M1122" s="15" t="str">
        <f>IF($C1122="","",IF($L1122="","-",INDEX(SETUP!$B$36:$B$42,MATCH($L1122,SETUP!$A$36:$A$42,1))))</f>
        <v>8k - 10k</v>
      </c>
      <c r="N1122" s="17">
        <f>IF($C1122="","",IF(OR($G1122="",$I1122=""),"",ROUND(100*(SETUP!$B$4*MIN(1,$I1122/SETUP!$B$9)+SETUP!$B$5*MAX(0,MIN(1,($G1122-SETUP!$B$10)/(SETUP!$B$11-SETUP!$B$10)))+SETUP!$B$6*MIN(1,IF($L1122="",0,$L1122)/SETUP!$B$12)),1)))</f>
        <v>83.8</v>
      </c>
      <c r="O1122" s="15" t="str">
        <f>IF($C1122="","",IF($N1122="","-",INDEX(SETUP!$B$46:$B$51,MATCH($N1122,SETUP!$A$46:$A$51,1))))</f>
        <v>S+</v>
      </c>
      <c r="P1122" s="15">
        <f>IF($C1122="","",IF($I1122="","",RANK($I1122,$I$4:$I$1463)+COUNTIF($I$4:$I1122,$I1122)-1))</f>
        <v>39</v>
      </c>
      <c r="Q1122" s="15">
        <f>IF($C1122="","",COUNTIFS($B$4:$B$1463,$B1122,$X$4:$X$1463,"&gt;"&amp;$X1122)+COUNTIFS($B$4:$B1122,$B1122,$X$4:$X1122,"="&amp;$X1122))</f>
        <v>4</v>
      </c>
      <c r="R1122" s="72">
        <f>IF($C1122="","",IF($I1122="","",ROUND(COUNTIF($I$4:$I$1463,"&lt;"&amp;$I1122)/COUNT($I$4:$I$1463),3)))</f>
        <v>0.97099999999999997</v>
      </c>
      <c r="S1122" s="15" t="str">
        <f>IF($C1122="","",IF($G1122="","Name only",IF(OR($I1122="",$L1122=""),"Partial","Complete")))</f>
        <v>Complete</v>
      </c>
      <c r="T1122" s="41" t="str">
        <f>IF($C1122="","",TRIM(IF(COUNTIF($C$4:$C$1463,$C1122)&gt;1,"Dup name; ","")&amp;IF(AND($G1122&lt;&gt;"",$G1122&lt;55000),"Low CR - verify; ","")&amp;IF(AND($L1122&lt;&gt;"",$L1122&gt;15),"Secondary - verify; ","")&amp;IF($E1122="","No class; ","")))</f>
        <v/>
      </c>
      <c r="U1122" s="68"/>
      <c r="V1122" s="68"/>
      <c r="W1122" s="68"/>
      <c r="X1122" s="73">
        <f t="shared" si="87"/>
        <v>10216</v>
      </c>
      <c r="Y1122" s="41" t="str">
        <f t="shared" si="88"/>
        <v>VANGUARD|4</v>
      </c>
      <c r="Z1122" s="15">
        <f>IF($C1122="","",IF($G1122="","",RANK($G1122,$G$4:$G$1463)+COUNTIF($G$4:$G1122,$G1122)-1))</f>
        <v>32</v>
      </c>
      <c r="AA1122" s="15">
        <f>IF($C1122="","",IF($N1122="","",RANK($N1122,$N$4:$N$1463)+COUNTIF($N$4:$N1122,$N1122)-1))</f>
        <v>27</v>
      </c>
      <c r="AB1122" s="41" t="str">
        <f>IF($C1122="","",IF($E1122="","",$E1122&amp;"#"&amp;(COUNTIFS($E$4:$E$1463,$E1122,$X$4:$X$1463,"&gt;"&amp;$X1122)+COUNTIFS($E$4:$E1122,$E1122,$X$4:$X1122,"="&amp;$X1122))))</f>
        <v>DEMON HUNTER#8</v>
      </c>
      <c r="AC1122" s="41" t="str">
        <f>IF($C1122="","",$B1122&amp;"@"&amp;(COUNTIFS($B$4:$B$1463,$B1122,$C$4:$C$1463,"&lt;"&amp;$C1122)+COUNTIFS($B$4:$B1122,$B1122,$C$4:$C1122,$C1122)))</f>
        <v>VANGUARD@82</v>
      </c>
      <c r="AD1122" s="41">
        <f t="shared" si="89"/>
        <v>1119</v>
      </c>
      <c r="AE1122" s="41" t="s">
        <v>2433</v>
      </c>
      <c r="AF1122" s="73">
        <f t="shared" si="90"/>
        <v>64241</v>
      </c>
      <c r="AG1122" s="74">
        <f t="shared" si="91"/>
        <v>8.9499999999999993</v>
      </c>
      <c r="AH1122" s="41" t="str">
        <f>IF($C1122="","",$B1122&amp;"|"&amp;(COUNTIFS($B$4:$B$1463,$B1122,$AF$4:$AF$1463,"&gt;"&amp;$AF1122)+COUNTIFS($B$4:$B1122,$B1122,$AF$4:$AF1122,"="&amp;$AF1122)))</f>
        <v>VANGUARD|7</v>
      </c>
      <c r="AI1122" s="41" t="str">
        <f>IF($C1122="","",$B1122&amp;"|"&amp;(COUNTIFS($B$4:$B$1463,$B1122,$AG$4:$AG$1463,"&gt;"&amp;$AG1122)+COUNTIFS($B$4:$B1122,$B1122,$AG$4:$AG1122,"="&amp;$AG1122)))</f>
        <v>VANGUARD|11</v>
      </c>
    </row>
    <row r="1123" spans="1:35" hidden="1">
      <c r="A1123" s="69" t="s">
        <v>109</v>
      </c>
      <c r="B1123" s="69" t="s">
        <v>111</v>
      </c>
      <c r="C1123" s="63" t="s">
        <v>2434</v>
      </c>
      <c r="D1123" s="69" t="s">
        <v>527</v>
      </c>
      <c r="E1123" s="68" t="s">
        <v>72</v>
      </c>
      <c r="F1123" s="19" t="str">
        <f>IF($C1123="","",IF($E1123="","-",IFERROR(INDEX(SETUP!$B$55:$B$64,MATCH($E1123,SETUP!$A$55:$A$64,0)),"Other")))</f>
        <v>Frontline</v>
      </c>
      <c r="G1123" s="70">
        <v>62326</v>
      </c>
      <c r="H1123" s="19" t="str">
        <f>IF($C1123="","",IF($G1123="","-",INDEX(SETUP!$B$26:$B$32,MATCH($G1123,SETUP!$A$26:$A$32,1))))</f>
        <v>62,000 - 62,999</v>
      </c>
      <c r="I1123" s="70">
        <v>3175</v>
      </c>
      <c r="J1123" s="19" t="str">
        <f>IF($C1123="","",IF($I1123="","-",INDEX(SETUP!$B$16:$B$22,MATCH($I1123,SETUP!$A$16:$A$22,1))))</f>
        <v>DEVELOPING</v>
      </c>
      <c r="K1123" s="19" t="str">
        <f>IF($C1123="","",IF($I1123="","-",TEXT(INT($I1123/1000)*1000,"#,##0")&amp;" - "&amp;TEXT(INT($I1123/1000)*1000+999,"#,##0")))</f>
        <v>3,000 - 3,999</v>
      </c>
      <c r="L1123" s="71">
        <v>5.15</v>
      </c>
      <c r="M1123" s="19" t="str">
        <f>IF($C1123="","",IF($L1123="","-",INDEX(SETUP!$B$36:$B$42,MATCH($L1123,SETUP!$A$36:$A$42,1))))</f>
        <v>5k - 6k</v>
      </c>
      <c r="N1123" s="21">
        <f>IF($C1123="","",IF(OR($G1123="",$I1123=""),"",ROUND(100*(SETUP!$B$4*MIN(1,$I1123/SETUP!$B$9)+SETUP!$B$5*MAX(0,MIN(1,($G1123-SETUP!$B$10)/(SETUP!$B$11-SETUP!$B$10)))+SETUP!$B$6*MIN(1,IF($L1123="",0,$L1123)/SETUP!$B$12)),1)))</f>
        <v>41.7</v>
      </c>
      <c r="O1123" s="19" t="str">
        <f>IF($C1123="","",IF($N1123="","-",INDEX(SETUP!$B$46:$B$51,MATCH($N1123,SETUP!$A$46:$A$51,1))))</f>
        <v>B</v>
      </c>
      <c r="P1123" s="19">
        <f>IF($C1123="","",IF($I1123="","",RANK($I1123,$I$4:$I$1463)+COUNTIF($I$4:$I1123,$I1123)-1))</f>
        <v>828</v>
      </c>
      <c r="Q1123" s="19">
        <f>IF($C1123="","",COUNTIFS($B$4:$B$1463,$B1123,$X$4:$X$1463,"&gt;"&amp;$X1123)+COUNTIFS($B$4:$B1123,$B1123,$X$4:$X1123,"="&amp;$X1123))</f>
        <v>85</v>
      </c>
      <c r="R1123" s="75">
        <f>IF($C1123="","",IF($I1123="","",ROUND(COUNTIF($I$4:$I$1463,"&lt;"&amp;$I1123)/COUNT($I$4:$I$1463),3)))</f>
        <v>0.375</v>
      </c>
      <c r="S1123" s="19" t="str">
        <f>IF($C1123="","",IF($G1123="","Name only",IF(OR($I1123="",$L1123=""),"Partial","Complete")))</f>
        <v>Complete</v>
      </c>
      <c r="T1123" s="1" t="str">
        <f>IF($C1123="","",TRIM(IF(COUNTIF($C$4:$C$1463,$C1123)&gt;1,"Dup name; ","")&amp;IF(AND($G1123&lt;&gt;"",$G1123&lt;55000),"Low CR - verify; ","")&amp;IF(AND($L1123&lt;&gt;"",$L1123&gt;15),"Secondary - verify; ","")&amp;IF($E1123="","No class; ","")))</f>
        <v/>
      </c>
      <c r="U1123" s="68"/>
      <c r="V1123" s="68"/>
      <c r="W1123" s="68"/>
      <c r="X1123" s="76">
        <f t="shared" si="87"/>
        <v>3175</v>
      </c>
      <c r="Y1123" s="1" t="str">
        <f t="shared" si="88"/>
        <v>RECKONING|85</v>
      </c>
      <c r="Z1123" s="19">
        <f>IF($C1123="","",IF($G1123="","",RANK($G1123,$G$4:$G$1463)+COUNTIF($G$4:$G1123,$G1123)-1))</f>
        <v>716</v>
      </c>
      <c r="AA1123" s="19">
        <f>IF($C1123="","",IF($N1123="","",RANK($N1123,$N$4:$N$1463)+COUNTIF($N$4:$N1123,$N1123)-1))</f>
        <v>752</v>
      </c>
      <c r="AB1123" s="1" t="str">
        <f>IF($C1123="","",IF($E1123="","",$E1123&amp;"#"&amp;(COUNTIFS($E$4:$E$1463,$E1123,$X$4:$X$1463,"&gt;"&amp;$X1123)+COUNTIFS($E$4:$E1123,$E1123,$X$4:$X1123,"="&amp;$X1123))))</f>
        <v>BLOOD KNIGHT#57</v>
      </c>
      <c r="AC1123" s="1" t="str">
        <f>IF($C1123="","",$B1123&amp;"@"&amp;(COUNTIFS($B$4:$B$1463,$B1123,$C$4:$C$1463,"&lt;"&amp;$C1123)+COUNTIFS($B$4:$B1123,$B1123,$C$4:$C1123,$C1123)))</f>
        <v>RECKONING@80</v>
      </c>
      <c r="AD1123" s="1">
        <f t="shared" si="89"/>
        <v>1120</v>
      </c>
      <c r="AE1123" s="1" t="s">
        <v>2435</v>
      </c>
      <c r="AF1123" s="76">
        <f t="shared" si="90"/>
        <v>62326</v>
      </c>
      <c r="AG1123" s="77">
        <f t="shared" si="91"/>
        <v>5.15</v>
      </c>
      <c r="AH1123" s="1" t="str">
        <f>IF($C1123="","",$B1123&amp;"|"&amp;(COUNTIFS($B$4:$B$1463,$B1123,$AF$4:$AF$1463,"&gt;"&amp;$AF1123)+COUNTIFS($B$4:$B1123,$B1123,$AF$4:$AF1123,"="&amp;$AF1123)))</f>
        <v>RECKONING|65</v>
      </c>
      <c r="AI1123" s="1" t="str">
        <f>IF($C1123="","",$B1123&amp;"|"&amp;(COUNTIFS($B$4:$B$1463,$B1123,$AG$4:$AG$1463,"&gt;"&amp;$AG1123)+COUNTIFS($B$4:$B1123,$B1123,$AG$4:$AG1123,"="&amp;$AG1123)))</f>
        <v>RECKONING|58</v>
      </c>
    </row>
    <row r="1124" spans="1:35" hidden="1">
      <c r="A1124" s="69" t="s">
        <v>109</v>
      </c>
      <c r="B1124" s="69" t="s">
        <v>118</v>
      </c>
      <c r="C1124" s="63" t="s">
        <v>2436</v>
      </c>
      <c r="D1124" s="69"/>
      <c r="E1124" s="68" t="s">
        <v>75</v>
      </c>
      <c r="F1124" s="15" t="str">
        <f>IF($C1124="","",IF($E1124="","-",IFERROR(INDEX(SETUP!$B$55:$B$64,MATCH($E1124,SETUP!$A$55:$A$64,0)),"Other")))</f>
        <v>Support</v>
      </c>
      <c r="G1124" s="70">
        <v>60166</v>
      </c>
      <c r="H1124" s="15" t="str">
        <f>IF($C1124="","",IF($G1124="","-",INDEX(SETUP!$B$26:$B$32,MATCH($G1124,SETUP!$A$26:$A$32,1))))</f>
        <v>60,000 - 60,999</v>
      </c>
      <c r="I1124" s="70">
        <v>1170</v>
      </c>
      <c r="J1124" s="15" t="str">
        <f>IF($C1124="","",IF($I1124="","-",INDEX(SETUP!$B$16:$B$22,MATCH($I1124,SETUP!$A$16:$A$22,1))))</f>
        <v>ROOKIE</v>
      </c>
      <c r="K1124" s="15" t="str">
        <f>IF($C1124="","",IF($I1124="","-",TEXT(INT($I1124/1000)*1000,"#,##0")&amp;" - "&amp;TEXT(INT($I1124/1000)*1000+999,"#,##0")))</f>
        <v>1,000 - 1,999</v>
      </c>
      <c r="L1124" s="71">
        <v>4</v>
      </c>
      <c r="M1124" s="15" t="str">
        <f>IF($C1124="","",IF($L1124="","-",INDEX(SETUP!$B$36:$B$42,MATCH($L1124,SETUP!$A$36:$A$42,1))))</f>
        <v>4k - 5k</v>
      </c>
      <c r="N1124" s="17">
        <f>IF($C1124="","",IF(OR($G1124="",$I1124=""),"",ROUND(100*(SETUP!$B$4*MIN(1,$I1124/SETUP!$B$9)+SETUP!$B$5*MAX(0,MIN(1,($G1124-SETUP!$B$10)/(SETUP!$B$11-SETUP!$B$10)))+SETUP!$B$6*MIN(1,IF($L1124="",0,$L1124)/SETUP!$B$12)),1)))</f>
        <v>25.4</v>
      </c>
      <c r="O1124" s="15" t="str">
        <f>IF($C1124="","",IF($N1124="","-",INDEX(SETUP!$B$46:$B$51,MATCH($N1124,SETUP!$A$46:$A$51,1))))</f>
        <v>C</v>
      </c>
      <c r="P1124" s="15">
        <f>IF($C1124="","",IF($I1124="","",RANK($I1124,$I$4:$I$1463)+COUNTIF($I$4:$I1124,$I1124)-1))</f>
        <v>1246</v>
      </c>
      <c r="Q1124" s="15">
        <f>IF($C1124="","",COUNTIFS($B$4:$B$1463,$B1124,$X$4:$X$1463,"&gt;"&amp;$X1124)+COUNTIFS($B$4:$B1124,$B1124,$X$4:$X1124,"="&amp;$X1124))</f>
        <v>73</v>
      </c>
      <c r="R1124" s="72">
        <f>IF($C1124="","",IF($I1124="","",ROUND(COUNTIF($I$4:$I$1463,"&lt;"&amp;$I1124)/COUNT($I$4:$I$1463),3)))</f>
        <v>0.06</v>
      </c>
      <c r="S1124" s="15" t="str">
        <f>IF($C1124="","",IF($G1124="","Name only",IF(OR($I1124="",$L1124=""),"Partial","Complete")))</f>
        <v>Complete</v>
      </c>
      <c r="T1124" s="41" t="str">
        <f>IF($C1124="","",TRIM(IF(COUNTIF($C$4:$C$1463,$C1124)&gt;1,"Dup name; ","")&amp;IF(AND($G1124&lt;&gt;"",$G1124&lt;55000),"Low CR - verify; ","")&amp;IF(AND($L1124&lt;&gt;"",$L1124&gt;15),"Secondary - verify; ","")&amp;IF($E1124="","No class; ","")))</f>
        <v/>
      </c>
      <c r="U1124" s="68"/>
      <c r="V1124" s="68"/>
      <c r="W1124" s="68"/>
      <c r="X1124" s="73">
        <f t="shared" si="87"/>
        <v>1170</v>
      </c>
      <c r="Y1124" s="41" t="str">
        <f t="shared" si="88"/>
        <v>ZOMBIES|73</v>
      </c>
      <c r="Z1124" s="15">
        <f>IF($C1124="","",IF($G1124="","",RANK($G1124,$G$4:$G$1463)+COUNTIF($G$4:$G1124,$G1124)-1))</f>
        <v>1229</v>
      </c>
      <c r="AA1124" s="15">
        <f>IF($C1124="","",IF($N1124="","",RANK($N1124,$N$4:$N$1463)+COUNTIF($N$4:$N1124,$N1124)-1))</f>
        <v>1240</v>
      </c>
      <c r="AB1124" s="41" t="str">
        <f>IF($C1124="","",IF($E1124="","",$E1124&amp;"#"&amp;(COUNTIFS($E$4:$E$1463,$E1124,$X$4:$X$1463,"&gt;"&amp;$X1124)+COUNTIFS($E$4:$E1124,$E1124,$X$4:$X1124,"="&amp;$X1124))))</f>
        <v>DRUID#65</v>
      </c>
      <c r="AC1124" s="41" t="str">
        <f>IF($C1124="","",$B1124&amp;"@"&amp;(COUNTIFS($B$4:$B$1463,$B1124,$C$4:$C$1463,"&lt;"&amp;$C1124)+COUNTIFS($B$4:$B1124,$B1124,$C$4:$C1124,$C1124)))</f>
        <v>ZOMBIES@77</v>
      </c>
      <c r="AD1124" s="41">
        <f t="shared" si="89"/>
        <v>1121</v>
      </c>
      <c r="AE1124" s="41" t="s">
        <v>851</v>
      </c>
      <c r="AF1124" s="73">
        <f t="shared" si="90"/>
        <v>60166</v>
      </c>
      <c r="AG1124" s="74">
        <f t="shared" si="91"/>
        <v>4</v>
      </c>
      <c r="AH1124" s="41" t="str">
        <f>IF($C1124="","",$B1124&amp;"|"&amp;(COUNTIFS($B$4:$B$1463,$B1124,$AF$4:$AF$1463,"&gt;"&amp;$AF1124)+COUNTIFS($B$4:$B1124,$B1124,$AF$4:$AF1124,"="&amp;$AF1124)))</f>
        <v>ZOMBIES|77</v>
      </c>
      <c r="AI1124" s="41" t="str">
        <f>IF($C1124="","",$B1124&amp;"|"&amp;(COUNTIFS($B$4:$B$1463,$B1124,$AG$4:$AG$1463,"&gt;"&amp;$AG1124)+COUNTIFS($B$4:$B1124,$B1124,$AG$4:$AG1124,"="&amp;$AG1124)))</f>
        <v>ZOMBIES|30</v>
      </c>
    </row>
    <row r="1125" spans="1:35" hidden="1">
      <c r="A1125" s="69" t="s">
        <v>109</v>
      </c>
      <c r="B1125" s="69" t="s">
        <v>113</v>
      </c>
      <c r="C1125" s="63" t="s">
        <v>2437</v>
      </c>
      <c r="D1125" s="69" t="s">
        <v>548</v>
      </c>
      <c r="E1125" s="68" t="s">
        <v>72</v>
      </c>
      <c r="F1125" s="19" t="str">
        <f>IF($C1125="","",IF($E1125="","-",IFERROR(INDEX(SETUP!$B$55:$B$64,MATCH($E1125,SETUP!$A$55:$A$64,0)),"Other")))</f>
        <v>Frontline</v>
      </c>
      <c r="G1125" s="70">
        <v>61529</v>
      </c>
      <c r="H1125" s="19" t="str">
        <f>IF($C1125="","",IF($G1125="","-",INDEX(SETUP!$B$26:$B$32,MATCH($G1125,SETUP!$A$26:$A$32,1))))</f>
        <v>61,000 - 61,999</v>
      </c>
      <c r="I1125" s="70">
        <v>1000</v>
      </c>
      <c r="J1125" s="19" t="str">
        <f>IF($C1125="","",IF($I1125="","-",INDEX(SETUP!$B$16:$B$22,MATCH($I1125,SETUP!$A$16:$A$22,1))))</f>
        <v>ROOKIE</v>
      </c>
      <c r="K1125" s="19" t="str">
        <f>IF($C1125="","",IF($I1125="","-",TEXT(INT($I1125/1000)*1000,"#,##0")&amp;" - "&amp;TEXT(INT($I1125/1000)*1000+999,"#,##0")))</f>
        <v>1,000 - 1,999</v>
      </c>
      <c r="L1125" s="71">
        <v>3</v>
      </c>
      <c r="M1125" s="19" t="str">
        <f>IF($C1125="","",IF($L1125="","-",INDEX(SETUP!$B$36:$B$42,MATCH($L1125,SETUP!$A$36:$A$42,1))))</f>
        <v>3k - 4k</v>
      </c>
      <c r="N1125" s="21">
        <f>IF($C1125="","",IF(OR($G1125="",$I1125=""),"",ROUND(100*(SETUP!$B$4*MIN(1,$I1125/SETUP!$B$9)+SETUP!$B$5*MAX(0,MIN(1,($G1125-SETUP!$B$10)/(SETUP!$B$11-SETUP!$B$10)))+SETUP!$B$6*MIN(1,IF($L1125="",0,$L1125)/SETUP!$B$12)),1)))</f>
        <v>26.5</v>
      </c>
      <c r="O1125" s="19" t="str">
        <f>IF($C1125="","",IF($N1125="","-",INDEX(SETUP!$B$46:$B$51,MATCH($N1125,SETUP!$A$46:$A$51,1))))</f>
        <v>C</v>
      </c>
      <c r="P1125" s="19">
        <f>IF($C1125="","",IF($I1125="","",RANK($I1125,$I$4:$I$1463)+COUNTIF($I$4:$I1125,$I1125)-1))</f>
        <v>1273</v>
      </c>
      <c r="Q1125" s="19">
        <f>IF($C1125="","",COUNTIFS($B$4:$B$1463,$B1125,$X$4:$X$1463,"&gt;"&amp;$X1125)+COUNTIFS($B$4:$B1125,$B1125,$X$4:$X1125,"="&amp;$X1125))</f>
        <v>96</v>
      </c>
      <c r="R1125" s="75">
        <f>IF($C1125="","",IF($I1125="","",ROUND(COUNTIF($I$4:$I$1463,"&lt;"&amp;$I1125)/COUNT($I$4:$I$1463),3)))</f>
        <v>3.9E-2</v>
      </c>
      <c r="S1125" s="19" t="str">
        <f>IF($C1125="","",IF($G1125="","Name only",IF(OR($I1125="",$L1125=""),"Partial","Complete")))</f>
        <v>Complete</v>
      </c>
      <c r="T1125" s="1" t="str">
        <f>IF($C1125="","",TRIM(IF(COUNTIF($C$4:$C$1463,$C1125)&gt;1,"Dup name; ","")&amp;IF(AND($G1125&lt;&gt;"",$G1125&lt;55000),"Low CR - verify; ","")&amp;IF(AND($L1125&lt;&gt;"",$L1125&gt;15),"Secondary - verify; ","")&amp;IF($E1125="","No class; ","")))</f>
        <v/>
      </c>
      <c r="U1125" s="68"/>
      <c r="V1125" s="68"/>
      <c r="W1125" s="68"/>
      <c r="X1125" s="76">
        <f t="shared" si="87"/>
        <v>1000</v>
      </c>
      <c r="Y1125" s="1" t="str">
        <f t="shared" si="88"/>
        <v>INVICTUS|96</v>
      </c>
      <c r="Z1125" s="19">
        <f>IF($C1125="","",IF($G1125="","",RANK($G1125,$G$4:$G$1463)+COUNTIF($G$4:$G1125,$G1125)-1))</f>
        <v>999</v>
      </c>
      <c r="AA1125" s="19">
        <f>IF($C1125="","",IF($N1125="","",RANK($N1125,$N$4:$N$1463)+COUNTIF($N$4:$N1125,$N1125)-1))</f>
        <v>1218</v>
      </c>
      <c r="AB1125" s="1" t="str">
        <f>IF($C1125="","",IF($E1125="","",$E1125&amp;"#"&amp;(COUNTIFS($E$4:$E$1463,$E1125,$X$4:$X$1463,"&gt;"&amp;$X1125)+COUNTIFS($E$4:$E1125,$E1125,$X$4:$X1125,"="&amp;$X1125))))</f>
        <v>BLOOD KNIGHT#92</v>
      </c>
      <c r="AC1125" s="1" t="str">
        <f>IF($C1125="","",$B1125&amp;"@"&amp;(COUNTIFS($B$4:$B$1463,$B1125,$C$4:$C$1463,"&lt;"&amp;$C1125)+COUNTIFS($B$4:$B1125,$B1125,$C$4:$C1125,$C1125)))</f>
        <v>INVICTUS@84</v>
      </c>
      <c r="AD1125" s="1">
        <f t="shared" si="89"/>
        <v>1122</v>
      </c>
      <c r="AE1125" s="1" t="s">
        <v>2438</v>
      </c>
      <c r="AF1125" s="76">
        <f t="shared" si="90"/>
        <v>61529</v>
      </c>
      <c r="AG1125" s="77">
        <f t="shared" si="91"/>
        <v>3</v>
      </c>
      <c r="AH1125" s="1" t="str">
        <f>IF($C1125="","",$B1125&amp;"|"&amp;(COUNTIFS($B$4:$B$1463,$B1125,$AF$4:$AF$1463,"&gt;"&amp;$AF1125)+COUNTIFS($B$4:$B1125,$B1125,$AF$4:$AF1125,"="&amp;$AF1125)))</f>
        <v>INVICTUS|70</v>
      </c>
      <c r="AI1125" s="1" t="str">
        <f>IF($C1125="","",$B1125&amp;"|"&amp;(COUNTIFS($B$4:$B$1463,$B1125,$AG$4:$AG$1463,"&gt;"&amp;$AG1125)+COUNTIFS($B$4:$B1125,$B1125,$AG$4:$AG1125,"="&amp;$AG1125)))</f>
        <v>INVICTUS|95</v>
      </c>
    </row>
    <row r="1126" spans="1:35" hidden="1">
      <c r="A1126" s="69" t="s">
        <v>109</v>
      </c>
      <c r="B1126" s="69" t="s">
        <v>113</v>
      </c>
      <c r="C1126" s="63" t="s">
        <v>2439</v>
      </c>
      <c r="D1126" s="69" t="s">
        <v>548</v>
      </c>
      <c r="E1126" s="68" t="s">
        <v>74</v>
      </c>
      <c r="F1126" s="15" t="str">
        <f>IF($C1126="","",IF($E1126="","-",IFERROR(INDEX(SETUP!$B$55:$B$64,MATCH($E1126,SETUP!$A$55:$A$64,0)),"Other")))</f>
        <v>Ranged DPS</v>
      </c>
      <c r="G1126" s="70">
        <v>62453</v>
      </c>
      <c r="H1126" s="15" t="str">
        <f>IF($C1126="","",IF($G1126="","-",INDEX(SETUP!$B$26:$B$32,MATCH($G1126,SETUP!$A$26:$A$32,1))))</f>
        <v>62,000 - 62,999</v>
      </c>
      <c r="I1126" s="70">
        <v>2037</v>
      </c>
      <c r="J1126" s="15" t="str">
        <f>IF($C1126="","",IF($I1126="","-",INDEX(SETUP!$B$16:$B$22,MATCH($I1126,SETUP!$A$16:$A$22,1))))</f>
        <v>DEVELOPING</v>
      </c>
      <c r="K1126" s="15" t="str">
        <f>IF($C1126="","",IF($I1126="","-",TEXT(INT($I1126/1000)*1000,"#,##0")&amp;" - "&amp;TEXT(INT($I1126/1000)*1000+999,"#,##0")))</f>
        <v>2,000 - 2,999</v>
      </c>
      <c r="L1126" s="71">
        <v>3.4</v>
      </c>
      <c r="M1126" s="15" t="str">
        <f>IF($C1126="","",IF($L1126="","-",INDEX(SETUP!$B$36:$B$42,MATCH($L1126,SETUP!$A$36:$A$42,1))))</f>
        <v>3k - 4k</v>
      </c>
      <c r="N1126" s="17">
        <f>IF($C1126="","",IF(OR($G1126="",$I1126=""),"",ROUND(100*(SETUP!$B$4*MIN(1,$I1126/SETUP!$B$9)+SETUP!$B$5*MAX(0,MIN(1,($G1126-SETUP!$B$10)/(SETUP!$B$11-SETUP!$B$10)))+SETUP!$B$6*MIN(1,IF($L1126="",0,$L1126)/SETUP!$B$12)),1)))</f>
        <v>34.200000000000003</v>
      </c>
      <c r="O1126" s="15" t="str">
        <f>IF($C1126="","",IF($N1126="","-",INDEX(SETUP!$B$46:$B$51,MATCH($N1126,SETUP!$A$46:$A$51,1))))</f>
        <v>C</v>
      </c>
      <c r="P1126" s="15">
        <f>IF($C1126="","",IF($I1126="","",RANK($I1126,$I$4:$I$1463)+COUNTIF($I$4:$I1126,$I1126)-1))</f>
        <v>1105</v>
      </c>
      <c r="Q1126" s="15">
        <f>IF($C1126="","",COUNTIFS($B$4:$B$1463,$B1126,$X$4:$X$1463,"&gt;"&amp;$X1126)+COUNTIFS($B$4:$B1126,$B1126,$X$4:$X1126,"="&amp;$X1126))</f>
        <v>80</v>
      </c>
      <c r="R1126" s="72">
        <f>IF($C1126="","",IF($I1126="","",ROUND(COUNTIF($I$4:$I$1463,"&lt;"&amp;$I1126)/COUNT($I$4:$I$1463),3)))</f>
        <v>0.16600000000000001</v>
      </c>
      <c r="S1126" s="15" t="str">
        <f>IF($C1126="","",IF($G1126="","Name only",IF(OR($I1126="",$L1126=""),"Partial","Complete")))</f>
        <v>Complete</v>
      </c>
      <c r="T1126" s="41" t="str">
        <f>IF($C1126="","",TRIM(IF(COUNTIF($C$4:$C$1463,$C1126)&gt;1,"Dup name; ","")&amp;IF(AND($G1126&lt;&gt;"",$G1126&lt;55000),"Low CR - verify; ","")&amp;IF(AND($L1126&lt;&gt;"",$L1126&gt;15),"Secondary - verify; ","")&amp;IF($E1126="","No class; ","")))</f>
        <v/>
      </c>
      <c r="U1126" s="68"/>
      <c r="V1126" s="68"/>
      <c r="W1126" s="68"/>
      <c r="X1126" s="73">
        <f t="shared" si="87"/>
        <v>2037</v>
      </c>
      <c r="Y1126" s="41" t="str">
        <f t="shared" si="88"/>
        <v>INVICTUS|80</v>
      </c>
      <c r="Z1126" s="15">
        <f>IF($C1126="","",IF($G1126="","",RANK($G1126,$G$4:$G$1463)+COUNTIF($G$4:$G1126,$G1126)-1))</f>
        <v>669</v>
      </c>
      <c r="AA1126" s="15">
        <f>IF($C1126="","",IF($N1126="","",RANK($N1126,$N$4:$N$1463)+COUNTIF($N$4:$N1126,$N1126)-1))</f>
        <v>1040</v>
      </c>
      <c r="AB1126" s="41" t="str">
        <f>IF($C1126="","",IF($E1126="","",$E1126&amp;"#"&amp;(COUNTIFS($E$4:$E$1463,$E1126,$X$4:$X$1463,"&gt;"&amp;$X1126)+COUNTIFS($E$4:$E1126,$E1126,$X$4:$X1126,"="&amp;$X1126))))</f>
        <v>DEMON HUNTER#170</v>
      </c>
      <c r="AC1126" s="41" t="str">
        <f>IF($C1126="","",$B1126&amp;"@"&amp;(COUNTIFS($B$4:$B$1463,$B1126,$C$4:$C$1463,"&lt;"&amp;$C1126)+COUNTIFS($B$4:$B1126,$B1126,$C$4:$C1126,$C1126)))</f>
        <v>INVICTUS@85</v>
      </c>
      <c r="AD1126" s="41">
        <f t="shared" si="89"/>
        <v>1123</v>
      </c>
      <c r="AE1126" s="41" t="s">
        <v>2440</v>
      </c>
      <c r="AF1126" s="73">
        <f t="shared" si="90"/>
        <v>62453</v>
      </c>
      <c r="AG1126" s="74">
        <f t="shared" si="91"/>
        <v>3.4</v>
      </c>
      <c r="AH1126" s="41" t="str">
        <f>IF($C1126="","",$B1126&amp;"|"&amp;(COUNTIFS($B$4:$B$1463,$B1126,$AF$4:$AF$1463,"&gt;"&amp;$AF1126)+COUNTIFS($B$4:$B1126,$B1126,$AF$4:$AF1126,"="&amp;$AF1126)))</f>
        <v>INVICTUS|39</v>
      </c>
      <c r="AI1126" s="41" t="str">
        <f>IF($C1126="","",$B1126&amp;"|"&amp;(COUNTIFS($B$4:$B$1463,$B1126,$AG$4:$AG$1463,"&gt;"&amp;$AG1126)+COUNTIFS($B$4:$B1126,$B1126,$AG$4:$AG1126,"="&amp;$AG1126)))</f>
        <v>INVICTUS|83</v>
      </c>
    </row>
    <row r="1127" spans="1:35" hidden="1">
      <c r="A1127" s="69" t="s">
        <v>109</v>
      </c>
      <c r="B1127" s="69" t="s">
        <v>113</v>
      </c>
      <c r="C1127" s="63" t="s">
        <v>2441</v>
      </c>
      <c r="D1127" s="69" t="s">
        <v>548</v>
      </c>
      <c r="E1127" s="68" t="s">
        <v>76</v>
      </c>
      <c r="F1127" s="19" t="str">
        <f>IF($C1127="","",IF($E1127="","-",IFERROR(INDEX(SETUP!$B$55:$B$64,MATCH($E1127,SETUP!$A$55:$A$64,0)),"Other")))</f>
        <v>Support</v>
      </c>
      <c r="G1127" s="70">
        <v>61372</v>
      </c>
      <c r="H1127" s="19" t="str">
        <f>IF($C1127="","",IF($G1127="","-",INDEX(SETUP!$B$26:$B$32,MATCH($G1127,SETUP!$A$26:$A$32,1))))</f>
        <v>61,000 - 61,999</v>
      </c>
      <c r="I1127" s="70">
        <v>3154</v>
      </c>
      <c r="J1127" s="19" t="str">
        <f>IF($C1127="","",IF($I1127="","-",INDEX(SETUP!$B$16:$B$22,MATCH($I1127,SETUP!$A$16:$A$22,1))))</f>
        <v>DEVELOPING</v>
      </c>
      <c r="K1127" s="19" t="str">
        <f>IF($C1127="","",IF($I1127="","-",TEXT(INT($I1127/1000)*1000,"#,##0")&amp;" - "&amp;TEXT(INT($I1127/1000)*1000+999,"#,##0")))</f>
        <v>3,000 - 3,999</v>
      </c>
      <c r="L1127" s="71">
        <v>5.13</v>
      </c>
      <c r="M1127" s="19" t="str">
        <f>IF($C1127="","",IF($L1127="","-",INDEX(SETUP!$B$36:$B$42,MATCH($L1127,SETUP!$A$36:$A$42,1))))</f>
        <v>5k - 6k</v>
      </c>
      <c r="N1127" s="21">
        <f>IF($C1127="","",IF(OR($G1127="",$I1127=""),"",ROUND(100*(SETUP!$B$4*MIN(1,$I1127/SETUP!$B$9)+SETUP!$B$5*MAX(0,MIN(1,($G1127-SETUP!$B$10)/(SETUP!$B$11-SETUP!$B$10)))+SETUP!$B$6*MIN(1,IF($L1127="",0,$L1127)/SETUP!$B$12)),1)))</f>
        <v>39.1</v>
      </c>
      <c r="O1127" s="19" t="str">
        <f>IF($C1127="","",IF($N1127="","-",INDEX(SETUP!$B$46:$B$51,MATCH($N1127,SETUP!$A$46:$A$51,1))))</f>
        <v>B</v>
      </c>
      <c r="P1127" s="19">
        <f>IF($C1127="","",IF($I1127="","",RANK($I1127,$I$4:$I$1463)+COUNTIF($I$4:$I1127,$I1127)-1))</f>
        <v>836</v>
      </c>
      <c r="Q1127" s="19">
        <f>IF($C1127="","",COUNTIFS($B$4:$B$1463,$B1127,$X$4:$X$1463,"&gt;"&amp;$X1127)+COUNTIFS($B$4:$B1127,$B1127,$X$4:$X1127,"="&amp;$X1127))</f>
        <v>47</v>
      </c>
      <c r="R1127" s="75">
        <f>IF($C1127="","",IF($I1127="","",ROUND(COUNTIF($I$4:$I$1463,"&lt;"&amp;$I1127)/COUNT($I$4:$I$1463),3)))</f>
        <v>0.36899999999999999</v>
      </c>
      <c r="S1127" s="19" t="str">
        <f>IF($C1127="","",IF($G1127="","Name only",IF(OR($I1127="",$L1127=""),"Partial","Complete")))</f>
        <v>Complete</v>
      </c>
      <c r="T1127" s="1" t="str">
        <f>IF($C1127="","",TRIM(IF(COUNTIF($C$4:$C$1463,$C1127)&gt;1,"Dup name; ","")&amp;IF(AND($G1127&lt;&gt;"",$G1127&lt;55000),"Low CR - verify; ","")&amp;IF(AND($L1127&lt;&gt;"",$L1127&gt;15),"Secondary - verify; ","")&amp;IF($E1127="","No class; ","")))</f>
        <v/>
      </c>
      <c r="U1127" s="68"/>
      <c r="V1127" s="68"/>
      <c r="W1127" s="68"/>
      <c r="X1127" s="76">
        <f t="shared" si="87"/>
        <v>3154</v>
      </c>
      <c r="Y1127" s="1" t="str">
        <f t="shared" si="88"/>
        <v>INVICTUS|47</v>
      </c>
      <c r="Z1127" s="19">
        <f>IF($C1127="","",IF($G1127="","",RANK($G1127,$G$4:$G$1463)+COUNTIF($G$4:$G1127,$G1127)-1))</f>
        <v>1045</v>
      </c>
      <c r="AA1127" s="19">
        <f>IF($C1127="","",IF($N1127="","",RANK($N1127,$N$4:$N$1463)+COUNTIF($N$4:$N1127,$N1127)-1))</f>
        <v>858</v>
      </c>
      <c r="AB1127" s="1" t="str">
        <f>IF($C1127="","",IF($E1127="","",$E1127&amp;"#"&amp;(COUNTIFS($E$4:$E$1463,$E1127,$X$4:$X$1463,"&gt;"&amp;$X1127)+COUNTIFS($E$4:$E1127,$E1127,$X$4:$X1127,"="&amp;$X1127))))</f>
        <v>MONK#30</v>
      </c>
      <c r="AC1127" s="1" t="str">
        <f>IF($C1127="","",$B1127&amp;"@"&amp;(COUNTIFS($B$4:$B$1463,$B1127,$C$4:$C$1463,"&lt;"&amp;$C1127)+COUNTIFS($B$4:$B1127,$B1127,$C$4:$C1127,$C1127)))</f>
        <v>INVICTUS@86</v>
      </c>
      <c r="AD1127" s="1">
        <f t="shared" si="89"/>
        <v>1124</v>
      </c>
      <c r="AE1127" s="1" t="s">
        <v>2442</v>
      </c>
      <c r="AF1127" s="76">
        <f t="shared" si="90"/>
        <v>61372</v>
      </c>
      <c r="AG1127" s="77">
        <f t="shared" si="91"/>
        <v>5.13</v>
      </c>
      <c r="AH1127" s="1" t="str">
        <f>IF($C1127="","",$B1127&amp;"|"&amp;(COUNTIFS($B$4:$B$1463,$B1127,$AF$4:$AF$1463,"&gt;"&amp;$AF1127)+COUNTIFS($B$4:$B1127,$B1127,$AF$4:$AF1127,"="&amp;$AF1127)))</f>
        <v>INVICTUS|76</v>
      </c>
      <c r="AI1127" s="1" t="str">
        <f>IF($C1127="","",$B1127&amp;"|"&amp;(COUNTIFS($B$4:$B$1463,$B1127,$AG$4:$AG$1463,"&gt;"&amp;$AG1127)+COUNTIFS($B$4:$B1127,$B1127,$AG$4:$AG1127,"="&amp;$AG1127)))</f>
        <v>INVICTUS|26</v>
      </c>
    </row>
    <row r="1128" spans="1:35" hidden="1">
      <c r="A1128" s="69" t="s">
        <v>109</v>
      </c>
      <c r="B1128" s="69" t="s">
        <v>116</v>
      </c>
      <c r="C1128" s="63" t="s">
        <v>2443</v>
      </c>
      <c r="D1128" s="69" t="s">
        <v>530</v>
      </c>
      <c r="E1128" s="68" t="s">
        <v>74</v>
      </c>
      <c r="F1128" s="15" t="str">
        <f>IF($C1128="","",IF($E1128="","-",IFERROR(INDEX(SETUP!$B$55:$B$64,MATCH($E1128,SETUP!$A$55:$A$64,0)),"Other")))</f>
        <v>Ranged DPS</v>
      </c>
      <c r="G1128" s="70">
        <v>63432</v>
      </c>
      <c r="H1128" s="15" t="str">
        <f>IF($C1128="","",IF($G1128="","-",INDEX(SETUP!$B$26:$B$32,MATCH($G1128,SETUP!$A$26:$A$32,1))))</f>
        <v>63,000 - 63,999</v>
      </c>
      <c r="I1128" s="70">
        <v>7544</v>
      </c>
      <c r="J1128" s="15" t="str">
        <f>IF($C1128="","",IF($I1128="","-",INDEX(SETUP!$B$16:$B$22,MATCH($I1128,SETUP!$A$16:$A$22,1))))</f>
        <v>VETERAN</v>
      </c>
      <c r="K1128" s="15" t="str">
        <f>IF($C1128="","",IF($I1128="","-",TEXT(INT($I1128/1000)*1000,"#,##0")&amp;" - "&amp;TEXT(INT($I1128/1000)*1000+999,"#,##0")))</f>
        <v>7,000 - 7,999</v>
      </c>
      <c r="L1128" s="71">
        <v>7.4</v>
      </c>
      <c r="M1128" s="15" t="str">
        <f>IF($C1128="","",IF($L1128="","-",INDEX(SETUP!$B$36:$B$42,MATCH($L1128,SETUP!$A$36:$A$42,1))))</f>
        <v>6k - 8k</v>
      </c>
      <c r="N1128" s="17">
        <f>IF($C1128="","",IF(OR($G1128="",$I1128=""),"",ROUND(100*(SETUP!$B$4*MIN(1,$I1128/SETUP!$B$9)+SETUP!$B$5*MAX(0,MIN(1,($G1128-SETUP!$B$10)/(SETUP!$B$11-SETUP!$B$10)))+SETUP!$B$6*MIN(1,IF($L1128="",0,$L1128)/SETUP!$B$12)),1)))</f>
        <v>67.5</v>
      </c>
      <c r="O1128" s="15" t="str">
        <f>IF($C1128="","",IF($N1128="","-",INDEX(SETUP!$B$46:$B$51,MATCH($N1128,SETUP!$A$46:$A$51,1))))</f>
        <v>S</v>
      </c>
      <c r="P1128" s="15">
        <f>IF($C1128="","",IF($I1128="","",RANK($I1128,$I$4:$I$1463)+COUNTIF($I$4:$I1128,$I1128)-1))</f>
        <v>164</v>
      </c>
      <c r="Q1128" s="15">
        <f>IF($C1128="","",COUNTIFS($B$4:$B$1463,$B1128,$X$4:$X$1463,"&gt;"&amp;$X1128)+COUNTIFS($B$4:$B1128,$B1128,$X$4:$X1128,"="&amp;$X1128))</f>
        <v>3</v>
      </c>
      <c r="R1128" s="72">
        <f>IF($C1128="","",IF($I1128="","",ROUND(COUNTIF($I$4:$I$1463,"&lt;"&amp;$I1128)/COUNT($I$4:$I$1463),3)))</f>
        <v>0.876</v>
      </c>
      <c r="S1128" s="15" t="str">
        <f>IF($C1128="","",IF($G1128="","Name only",IF(OR($I1128="",$L1128=""),"Partial","Complete")))</f>
        <v>Complete</v>
      </c>
      <c r="T1128" s="41" t="str">
        <f>IF($C1128="","",TRIM(IF(COUNTIF($C$4:$C$1463,$C1128)&gt;1,"Dup name; ","")&amp;IF(AND($G1128&lt;&gt;"",$G1128&lt;55000),"Low CR - verify; ","")&amp;IF(AND($L1128&lt;&gt;"",$L1128&gt;15),"Secondary - verify; ","")&amp;IF($E1128="","No class; ","")))</f>
        <v/>
      </c>
      <c r="U1128" s="68"/>
      <c r="V1128" s="68"/>
      <c r="W1128" s="68"/>
      <c r="X1128" s="73">
        <f t="shared" si="87"/>
        <v>7544</v>
      </c>
      <c r="Y1128" s="41" t="str">
        <f t="shared" si="88"/>
        <v>VENGEANCE|3</v>
      </c>
      <c r="Z1128" s="15">
        <f>IF($C1128="","",IF($G1128="","",RANK($G1128,$G$4:$G$1463)+COUNTIF($G$4:$G1128,$G1128)-1))</f>
        <v>210</v>
      </c>
      <c r="AA1128" s="15">
        <f>IF($C1128="","",IF($N1128="","",RANK($N1128,$N$4:$N$1463)+COUNTIF($N$4:$N1128,$N1128)-1))</f>
        <v>153</v>
      </c>
      <c r="AB1128" s="41" t="str">
        <f>IF($C1128="","",IF($E1128="","",$E1128&amp;"#"&amp;(COUNTIFS($E$4:$E$1463,$E1128,$X$4:$X$1463,"&gt;"&amp;$X1128)+COUNTIFS($E$4:$E1128,$E1128,$X$4:$X1128,"="&amp;$X1128))))</f>
        <v>DEMON HUNTER#30</v>
      </c>
      <c r="AC1128" s="41" t="str">
        <f>IF($C1128="","",$B1128&amp;"@"&amp;(COUNTIFS($B$4:$B$1463,$B1128,$C$4:$C$1463,"&lt;"&amp;$C1128)+COUNTIFS($B$4:$B1128,$B1128,$C$4:$C1128,$C1128)))</f>
        <v>VENGEANCE@80</v>
      </c>
      <c r="AD1128" s="41">
        <f t="shared" si="89"/>
        <v>1125</v>
      </c>
      <c r="AE1128" s="41" t="s">
        <v>2444</v>
      </c>
      <c r="AF1128" s="73">
        <f t="shared" si="90"/>
        <v>63432</v>
      </c>
      <c r="AG1128" s="74">
        <f t="shared" si="91"/>
        <v>7.4</v>
      </c>
      <c r="AH1128" s="41" t="str">
        <f>IF($C1128="","",$B1128&amp;"|"&amp;(COUNTIFS($B$4:$B$1463,$B1128,$AF$4:$AF$1463,"&gt;"&amp;$AF1128)+COUNTIFS($B$4:$B1128,$B1128,$AF$4:$AF1128,"="&amp;$AF1128)))</f>
        <v>VENGEANCE|5</v>
      </c>
      <c r="AI1128" s="41" t="str">
        <f>IF($C1128="","",$B1128&amp;"|"&amp;(COUNTIFS($B$4:$B$1463,$B1128,$AG$4:$AG$1463,"&gt;"&amp;$AG1128)+COUNTIFS($B$4:$B1128,$B1128,$AG$4:$AG1128,"="&amp;$AG1128)))</f>
        <v>VENGEANCE|6</v>
      </c>
    </row>
    <row r="1129" spans="1:35" hidden="1">
      <c r="A1129" s="69" t="s">
        <v>106</v>
      </c>
      <c r="B1129" s="69" t="s">
        <v>105</v>
      </c>
      <c r="C1129" s="63" t="s">
        <v>2445</v>
      </c>
      <c r="D1129" s="69" t="s">
        <v>691</v>
      </c>
      <c r="E1129" s="68" t="s">
        <v>79</v>
      </c>
      <c r="F1129" s="19" t="str">
        <f>IF($C1129="","",IF($E1129="","-",IFERROR(INDEX(SETUP!$B$55:$B$64,MATCH($E1129,SETUP!$A$55:$A$64,0)),"Other")))</f>
        <v>Control</v>
      </c>
      <c r="G1129" s="70">
        <v>63307</v>
      </c>
      <c r="H1129" s="19" t="str">
        <f>IF($C1129="","",IF($G1129="","-",INDEX(SETUP!$B$26:$B$32,MATCH($G1129,SETUP!$A$26:$A$32,1))))</f>
        <v>63,000 - 63,999</v>
      </c>
      <c r="I1129" s="70">
        <v>5314</v>
      </c>
      <c r="J1129" s="19" t="str">
        <f>IF($C1129="","",IF($I1129="","-",INDEX(SETUP!$B$16:$B$22,MATCH($I1129,SETUP!$A$16:$A$22,1))))</f>
        <v>CORE</v>
      </c>
      <c r="K1129" s="19" t="str">
        <f>IF($C1129="","",IF($I1129="","-",TEXT(INT($I1129/1000)*1000,"#,##0")&amp;" - "&amp;TEXT(INT($I1129/1000)*1000+999,"#,##0")))</f>
        <v>5,000 - 5,999</v>
      </c>
      <c r="L1129" s="71">
        <v>5.64</v>
      </c>
      <c r="M1129" s="19" t="str">
        <f>IF($C1129="","",IF($L1129="","-",INDEX(SETUP!$B$36:$B$42,MATCH($L1129,SETUP!$A$36:$A$42,1))))</f>
        <v>5k - 6k</v>
      </c>
      <c r="N1129" s="21">
        <f>IF($C1129="","",IF(OR($G1129="",$I1129=""),"",ROUND(100*(SETUP!$B$4*MIN(1,$I1129/SETUP!$B$9)+SETUP!$B$5*MAX(0,MIN(1,($G1129-SETUP!$B$10)/(SETUP!$B$11-SETUP!$B$10)))+SETUP!$B$6*MIN(1,IF($L1129="",0,$L1129)/SETUP!$B$12)),1)))</f>
        <v>54.5</v>
      </c>
      <c r="O1129" s="19" t="str">
        <f>IF($C1129="","",IF($N1129="","-",INDEX(SETUP!$B$46:$B$51,MATCH($N1129,SETUP!$A$46:$A$51,1))))</f>
        <v>A</v>
      </c>
      <c r="P1129" s="19">
        <f>IF($C1129="","",IF($I1129="","",RANK($I1129,$I$4:$I$1463)+COUNTIF($I$4:$I1129,$I1129)-1))</f>
        <v>360</v>
      </c>
      <c r="Q1129" s="19">
        <f>IF($C1129="","",COUNTIFS($B$4:$B$1463,$B1129,$X$4:$X$1463,"&gt;"&amp;$X1129)+COUNTIFS($B$4:$B1129,$B1129,$X$4:$X1129,"="&amp;$X1129))</f>
        <v>44</v>
      </c>
      <c r="R1129" s="75">
        <f>IF($C1129="","",IF($I1129="","",ROUND(COUNTIF($I$4:$I$1463,"&lt;"&amp;$I1129)/COUNT($I$4:$I$1463),3)))</f>
        <v>0.72799999999999998</v>
      </c>
      <c r="S1129" s="19" t="str">
        <f>IF($C1129="","",IF($G1129="","Name only",IF(OR($I1129="",$L1129=""),"Partial","Complete")))</f>
        <v>Complete</v>
      </c>
      <c r="T1129" s="1" t="str">
        <f>IF($C1129="","",TRIM(IF(COUNTIF($C$4:$C$1463,$C1129)&gt;1,"Dup name; ","")&amp;IF(AND($G1129&lt;&gt;"",$G1129&lt;55000),"Low CR - verify; ","")&amp;IF(AND($L1129&lt;&gt;"",$L1129&gt;15),"Secondary - verify; ","")&amp;IF($E1129="","No class; ","")))</f>
        <v/>
      </c>
      <c r="U1129" s="68"/>
      <c r="V1129" s="68"/>
      <c r="W1129" s="68"/>
      <c r="X1129" s="76">
        <f t="shared" si="87"/>
        <v>5314</v>
      </c>
      <c r="Y1129" s="1" t="str">
        <f t="shared" si="88"/>
        <v>LEGENDS|44</v>
      </c>
      <c r="Z1129" s="19">
        <f>IF($C1129="","",IF($G1129="","",RANK($G1129,$G$4:$G$1463)+COUNTIF($G$4:$G1129,$G1129)-1))</f>
        <v>258</v>
      </c>
      <c r="AA1129" s="19">
        <f>IF($C1129="","",IF($N1129="","",RANK($N1129,$N$4:$N$1463)+COUNTIF($N$4:$N1129,$N1129)-1))</f>
        <v>330</v>
      </c>
      <c r="AB1129" s="1" t="str">
        <f>IF($C1129="","",IF($E1129="","",$E1129&amp;"#"&amp;(COUNTIFS($E$4:$E$1463,$E1129,$X$4:$X$1463,"&gt;"&amp;$X1129)+COUNTIFS($E$4:$E1129,$E1129,$X$4:$X1129,"="&amp;$X1129))))</f>
        <v>WARLOCK#84</v>
      </c>
      <c r="AC1129" s="1" t="str">
        <f>IF($C1129="","",$B1129&amp;"@"&amp;(COUNTIFS($B$4:$B$1463,$B1129,$C$4:$C$1463,"&lt;"&amp;$C1129)+COUNTIFS($B$4:$B1129,$B1129,$C$4:$C1129,$C1129)))</f>
        <v>LEGENDS@88</v>
      </c>
      <c r="AD1129" s="1">
        <f t="shared" si="89"/>
        <v>1126</v>
      </c>
      <c r="AE1129" s="1" t="s">
        <v>2446</v>
      </c>
      <c r="AF1129" s="76">
        <f t="shared" si="90"/>
        <v>63307</v>
      </c>
      <c r="AG1129" s="77">
        <f t="shared" si="91"/>
        <v>5.64</v>
      </c>
      <c r="AH1129" s="1" t="str">
        <f>IF($C1129="","",$B1129&amp;"|"&amp;(COUNTIFS($B$4:$B$1463,$B1129,$AF$4:$AF$1463,"&gt;"&amp;$AF1129)+COUNTIFS($B$4:$B1129,$B1129,$AF$4:$AF1129,"="&amp;$AF1129)))</f>
        <v>LEGENDS|34</v>
      </c>
      <c r="AI1129" s="1" t="str">
        <f>IF($C1129="","",$B1129&amp;"|"&amp;(COUNTIFS($B$4:$B$1463,$B1129,$AG$4:$AG$1463,"&gt;"&amp;$AG1129)+COUNTIFS($B$4:$B1129,$B1129,$AG$4:$AG1129,"="&amp;$AG1129)))</f>
        <v>LEGENDS|32</v>
      </c>
    </row>
    <row r="1130" spans="1:35" hidden="1">
      <c r="A1130" s="69" t="s">
        <v>109</v>
      </c>
      <c r="B1130" s="69" t="s">
        <v>108</v>
      </c>
      <c r="C1130" s="63" t="s">
        <v>2447</v>
      </c>
      <c r="D1130" s="69"/>
      <c r="E1130" s="68" t="s">
        <v>79</v>
      </c>
      <c r="F1130" s="15" t="str">
        <f>IF($C1130="","",IF($E1130="","-",IFERROR(INDEX(SETUP!$B$55:$B$64,MATCH($E1130,SETUP!$A$55:$A$64,0)),"Other")))</f>
        <v>Control</v>
      </c>
      <c r="G1130" s="70">
        <v>64228</v>
      </c>
      <c r="H1130" s="15" t="str">
        <f>IF($C1130="","",IF($G1130="","-",INDEX(SETUP!$B$26:$B$32,MATCH($G1130,SETUP!$A$26:$A$32,1))))</f>
        <v>64,000 +</v>
      </c>
      <c r="I1130" s="70">
        <v>10047</v>
      </c>
      <c r="J1130" s="15" t="str">
        <f>IF($C1130="","",IF($I1130="","-",INDEX(SETUP!$B$16:$B$22,MATCH($I1130,SETUP!$A$16:$A$22,1))))</f>
        <v>APEX</v>
      </c>
      <c r="K1130" s="15" t="str">
        <f>IF($C1130="","",IF($I1130="","-",TEXT(INT($I1130/1000)*1000,"#,##0")&amp;" - "&amp;TEXT(INT($I1130/1000)*1000+999,"#,##0")))</f>
        <v>10,000 - 10,999</v>
      </c>
      <c r="L1130" s="71">
        <v>8.6</v>
      </c>
      <c r="M1130" s="15" t="str">
        <f>IF($C1130="","",IF($L1130="","-",INDEX(SETUP!$B$36:$B$42,MATCH($L1130,SETUP!$A$36:$A$42,1))))</f>
        <v>8k - 10k</v>
      </c>
      <c r="N1130" s="17">
        <f>IF($C1130="","",IF(OR($G1130="",$I1130=""),"",ROUND(100*(SETUP!$B$4*MIN(1,$I1130/SETUP!$B$9)+SETUP!$B$5*MAX(0,MIN(1,($G1130-SETUP!$B$10)/(SETUP!$B$11-SETUP!$B$10)))+SETUP!$B$6*MIN(1,IF($L1130="",0,$L1130)/SETUP!$B$12)),1)))</f>
        <v>82.5</v>
      </c>
      <c r="O1130" s="15" t="str">
        <f>IF($C1130="","",IF($N1130="","-",INDEX(SETUP!$B$46:$B$51,MATCH($N1130,SETUP!$A$46:$A$51,1))))</f>
        <v>S+</v>
      </c>
      <c r="P1130" s="15">
        <f>IF($C1130="","",IF($I1130="","",RANK($I1130,$I$4:$I$1463)+COUNTIF($I$4:$I1130,$I1130)-1))</f>
        <v>50</v>
      </c>
      <c r="Q1130" s="15">
        <f>IF($C1130="","",COUNTIFS($B$4:$B$1463,$B1130,$X$4:$X$1463,"&gt;"&amp;$X1130)+COUNTIFS($B$4:$B1130,$B1130,$X$4:$X1130,"="&amp;$X1130))</f>
        <v>9</v>
      </c>
      <c r="R1130" s="72">
        <f>IF($C1130="","",IF($I1130="","",ROUND(COUNTIF($I$4:$I$1463,"&lt;"&amp;$I1130)/COUNT($I$4:$I$1463),3)))</f>
        <v>0.96199999999999997</v>
      </c>
      <c r="S1130" s="15" t="str">
        <f>IF($C1130="","",IF($G1130="","Name only",IF(OR($I1130="",$L1130=""),"Partial","Complete")))</f>
        <v>Complete</v>
      </c>
      <c r="T1130" s="41" t="str">
        <f>IF($C1130="","",TRIM(IF(COUNTIF($C$4:$C$1463,$C1130)&gt;1,"Dup name; ","")&amp;IF(AND($G1130&lt;&gt;"",$G1130&lt;55000),"Low CR - verify; ","")&amp;IF(AND($L1130&lt;&gt;"",$L1130&gt;15),"Secondary - verify; ","")&amp;IF($E1130="","No class; ","")))</f>
        <v/>
      </c>
      <c r="U1130" s="68"/>
      <c r="V1130" s="68"/>
      <c r="W1130" s="68"/>
      <c r="X1130" s="73">
        <f t="shared" si="87"/>
        <v>10047</v>
      </c>
      <c r="Y1130" s="41" t="str">
        <f t="shared" si="88"/>
        <v>SBG|9</v>
      </c>
      <c r="Z1130" s="15">
        <f>IF($C1130="","",IF($G1130="","",RANK($G1130,$G$4:$G$1463)+COUNTIF($G$4:$G1130,$G1130)-1))</f>
        <v>34</v>
      </c>
      <c r="AA1130" s="15">
        <f>IF($C1130="","",IF($N1130="","",RANK($N1130,$N$4:$N$1463)+COUNTIF($N$4:$N1130,$N1130)-1))</f>
        <v>35</v>
      </c>
      <c r="AB1130" s="41" t="str">
        <f>IF($C1130="","",IF($E1130="","",$E1130&amp;"#"&amp;(COUNTIFS($E$4:$E$1463,$E1130,$X$4:$X$1463,"&gt;"&amp;$X1130)+COUNTIFS($E$4:$E1130,$E1130,$X$4:$X1130,"="&amp;$X1130))))</f>
        <v>WARLOCK#9</v>
      </c>
      <c r="AC1130" s="41" t="str">
        <f>IF($C1130="","",$B1130&amp;"@"&amp;(COUNTIFS($B$4:$B$1463,$B1130,$C$4:$C$1463,"&lt;"&amp;$C1130)+COUNTIFS($B$4:$B1130,$B1130,$C$4:$C1130,$C1130)))</f>
        <v>SBG@79</v>
      </c>
      <c r="AD1130" s="41">
        <f t="shared" si="89"/>
        <v>1127</v>
      </c>
      <c r="AE1130" s="41" t="s">
        <v>2448</v>
      </c>
      <c r="AF1130" s="73">
        <f t="shared" si="90"/>
        <v>64228</v>
      </c>
      <c r="AG1130" s="74">
        <f t="shared" si="91"/>
        <v>8.6</v>
      </c>
      <c r="AH1130" s="41" t="str">
        <f>IF($C1130="","",$B1130&amp;"|"&amp;(COUNTIFS($B$4:$B$1463,$B1130,$AF$4:$AF$1463,"&gt;"&amp;$AF1130)+COUNTIFS($B$4:$B1130,$B1130,$AF$4:$AF1130,"="&amp;$AF1130)))</f>
        <v>SBG|9</v>
      </c>
      <c r="AI1130" s="41" t="str">
        <f>IF($C1130="","",$B1130&amp;"|"&amp;(COUNTIFS($B$4:$B$1463,$B1130,$AG$4:$AG$1463,"&gt;"&amp;$AG1130)+COUNTIFS($B$4:$B1130,$B1130,$AG$4:$AG1130,"="&amp;$AG1130)))</f>
        <v>SBG|8</v>
      </c>
    </row>
    <row r="1131" spans="1:35" hidden="1">
      <c r="A1131" s="69" t="s">
        <v>109</v>
      </c>
      <c r="B1131" s="69" t="s">
        <v>110</v>
      </c>
      <c r="C1131" s="63" t="s">
        <v>2449</v>
      </c>
      <c r="D1131" s="69"/>
      <c r="E1131" s="68" t="s">
        <v>74</v>
      </c>
      <c r="F1131" s="19" t="str">
        <f>IF($C1131="","",IF($E1131="","-",IFERROR(INDEX(SETUP!$B$55:$B$64,MATCH($E1131,SETUP!$A$55:$A$64,0)),"Other")))</f>
        <v>Ranged DPS</v>
      </c>
      <c r="G1131" s="70">
        <v>60814</v>
      </c>
      <c r="H1131" s="19" t="str">
        <f>IF($C1131="","",IF($G1131="","-",INDEX(SETUP!$B$26:$B$32,MATCH($G1131,SETUP!$A$26:$A$32,1))))</f>
        <v>60,000 - 60,999</v>
      </c>
      <c r="I1131" s="70">
        <v>4939</v>
      </c>
      <c r="J1131" s="19" t="str">
        <f>IF($C1131="","",IF($I1131="","-",INDEX(SETUP!$B$16:$B$22,MATCH($I1131,SETUP!$A$16:$A$22,1))))</f>
        <v>CORE</v>
      </c>
      <c r="K1131" s="19" t="str">
        <f>IF($C1131="","",IF($I1131="","-",TEXT(INT($I1131/1000)*1000,"#,##0")&amp;" - "&amp;TEXT(INT($I1131/1000)*1000+999,"#,##0")))</f>
        <v>4,000 - 4,999</v>
      </c>
      <c r="L1131" s="71">
        <v>5</v>
      </c>
      <c r="M1131" s="19" t="str">
        <f>IF($C1131="","",IF($L1131="","-",INDEX(SETUP!$B$36:$B$42,MATCH($L1131,SETUP!$A$36:$A$42,1))))</f>
        <v>5k - 6k</v>
      </c>
      <c r="N1131" s="21">
        <f>IF($C1131="","",IF(OR($G1131="",$I1131=""),"",ROUND(100*(SETUP!$B$4*MIN(1,$I1131/SETUP!$B$9)+SETUP!$B$5*MAX(0,MIN(1,($G1131-SETUP!$B$10)/(SETUP!$B$11-SETUP!$B$10)))+SETUP!$B$6*MIN(1,IF($L1131="",0,$L1131)/SETUP!$B$12)),1)))</f>
        <v>45.2</v>
      </c>
      <c r="O1131" s="19" t="str">
        <f>IF($C1131="","",IF($N1131="","-",INDEX(SETUP!$B$46:$B$51,MATCH($N1131,SETUP!$A$46:$A$51,1))))</f>
        <v>B</v>
      </c>
      <c r="P1131" s="19">
        <f>IF($C1131="","",IF($I1131="","",RANK($I1131,$I$4:$I$1463)+COUNTIF($I$4:$I1131,$I1131)-1))</f>
        <v>425</v>
      </c>
      <c r="Q1131" s="19">
        <f>IF($C1131="","",COUNTIFS($B$4:$B$1463,$B1131,$X$4:$X$1463,"&gt;"&amp;$X1131)+COUNTIFS($B$4:$B1131,$B1131,$X$4:$X1131,"="&amp;$X1131))</f>
        <v>52</v>
      </c>
      <c r="R1131" s="75">
        <f>IF($C1131="","",IF($I1131="","",ROUND(COUNTIF($I$4:$I$1463,"&lt;"&amp;$I1131)/COUNT($I$4:$I$1463),3)))</f>
        <v>0.67900000000000005</v>
      </c>
      <c r="S1131" s="19" t="str">
        <f>IF($C1131="","",IF($G1131="","Name only",IF(OR($I1131="",$L1131=""),"Partial","Complete")))</f>
        <v>Complete</v>
      </c>
      <c r="T1131" s="1" t="str">
        <f>IF($C1131="","",TRIM(IF(COUNTIF($C$4:$C$1463,$C1131)&gt;1,"Dup name; ","")&amp;IF(AND($G1131&lt;&gt;"",$G1131&lt;55000),"Low CR - verify; ","")&amp;IF(AND($L1131&lt;&gt;"",$L1131&gt;15),"Secondary - verify; ","")&amp;IF($E1131="","No class; ","")))</f>
        <v/>
      </c>
      <c r="U1131" s="68"/>
      <c r="V1131" s="68"/>
      <c r="W1131" s="68"/>
      <c r="X1131" s="76">
        <f t="shared" si="87"/>
        <v>4939</v>
      </c>
      <c r="Y1131" s="1" t="str">
        <f t="shared" si="88"/>
        <v>AZUKI|52</v>
      </c>
      <c r="Z1131" s="19">
        <f>IF($C1131="","",IF($G1131="","",RANK($G1131,$G$4:$G$1463)+COUNTIF($G$4:$G1131,$G1131)-1))</f>
        <v>1170</v>
      </c>
      <c r="AA1131" s="19">
        <f>IF($C1131="","",IF($N1131="","",RANK($N1131,$N$4:$N$1463)+COUNTIF($N$4:$N1131,$N1131)-1))</f>
        <v>617</v>
      </c>
      <c r="AB1131" s="1" t="str">
        <f>IF($C1131="","",IF($E1131="","",$E1131&amp;"#"&amp;(COUNTIFS($E$4:$E$1463,$E1131,$X$4:$X$1463,"&gt;"&amp;$X1131)+COUNTIFS($E$4:$E1131,$E1131,$X$4:$X1131,"="&amp;$X1131))))</f>
        <v>DEMON HUNTER#71</v>
      </c>
      <c r="AC1131" s="1" t="str">
        <f>IF($C1131="","",$B1131&amp;"@"&amp;(COUNTIFS($B$4:$B$1463,$B1131,$C$4:$C$1463,"&lt;"&amp;$C1131)+COUNTIFS($B$4:$B1131,$B1131,$C$4:$C1131,$C1131)))</f>
        <v>AZUKI@87</v>
      </c>
      <c r="AD1131" s="1">
        <f t="shared" si="89"/>
        <v>1128</v>
      </c>
      <c r="AE1131" s="1" t="s">
        <v>790</v>
      </c>
      <c r="AF1131" s="76">
        <f t="shared" si="90"/>
        <v>60814</v>
      </c>
      <c r="AG1131" s="77">
        <f t="shared" si="91"/>
        <v>5</v>
      </c>
      <c r="AH1131" s="1" t="str">
        <f>IF($C1131="","",$B1131&amp;"|"&amp;(COUNTIFS($B$4:$B$1463,$B1131,$AF$4:$AF$1463,"&gt;"&amp;$AF1131)+COUNTIFS($B$4:$B1131,$B1131,$AF$4:$AF1131,"="&amp;$AF1131)))</f>
        <v>AZUKI|96</v>
      </c>
      <c r="AI1131" s="1" t="str">
        <f>IF($C1131="","",$B1131&amp;"|"&amp;(COUNTIFS($B$4:$B$1463,$B1131,$AG$4:$AG$1463,"&gt;"&amp;$AG1131)+COUNTIFS($B$4:$B1131,$B1131,$AG$4:$AG1131,"="&amp;$AG1131)))</f>
        <v>AZUKI|70</v>
      </c>
    </row>
    <row r="1132" spans="1:35" hidden="1">
      <c r="A1132" s="69" t="s">
        <v>109</v>
      </c>
      <c r="B1132" s="69" t="s">
        <v>112</v>
      </c>
      <c r="C1132" s="63" t="s">
        <v>2450</v>
      </c>
      <c r="D1132" s="69" t="s">
        <v>567</v>
      </c>
      <c r="E1132" s="68" t="s">
        <v>77</v>
      </c>
      <c r="F1132" s="15" t="str">
        <f>IF($C1132="","",IF($E1132="","-",IFERROR(INDEX(SETUP!$B$55:$B$64,MATCH($E1132,SETUP!$A$55:$A$64,0)),"Other")))</f>
        <v>Control</v>
      </c>
      <c r="G1132" s="70">
        <v>62459</v>
      </c>
      <c r="H1132" s="15" t="str">
        <f>IF($C1132="","",IF($G1132="","-",INDEX(SETUP!$B$26:$B$32,MATCH($G1132,SETUP!$A$26:$A$32,1))))</f>
        <v>62,000 - 62,999</v>
      </c>
      <c r="I1132" s="70">
        <v>2544</v>
      </c>
      <c r="J1132" s="15" t="str">
        <f>IF($C1132="","",IF($I1132="","-",INDEX(SETUP!$B$16:$B$22,MATCH($I1132,SETUP!$A$16:$A$22,1))))</f>
        <v>DEVELOPING</v>
      </c>
      <c r="K1132" s="15" t="str">
        <f>IF($C1132="","",IF($I1132="","-",TEXT(INT($I1132/1000)*1000,"#,##0")&amp;" - "&amp;TEXT(INT($I1132/1000)*1000+999,"#,##0")))</f>
        <v>2,000 - 2,999</v>
      </c>
      <c r="L1132" s="71">
        <v>5.3</v>
      </c>
      <c r="M1132" s="15" t="str">
        <f>IF($C1132="","",IF($L1132="","-",INDEX(SETUP!$B$36:$B$42,MATCH($L1132,SETUP!$A$36:$A$42,1))))</f>
        <v>5k - 6k</v>
      </c>
      <c r="N1132" s="17">
        <f>IF($C1132="","",IF(OR($G1132="",$I1132=""),"",ROUND(100*(SETUP!$B$4*MIN(1,$I1132/SETUP!$B$9)+SETUP!$B$5*MAX(0,MIN(1,($G1132-SETUP!$B$10)/(SETUP!$B$11-SETUP!$B$10)))+SETUP!$B$6*MIN(1,IF($L1132="",0,$L1132)/SETUP!$B$12)),1)))</f>
        <v>39.6</v>
      </c>
      <c r="O1132" s="15" t="str">
        <f>IF($C1132="","",IF($N1132="","-",INDEX(SETUP!$B$46:$B$51,MATCH($N1132,SETUP!$A$46:$A$51,1))))</f>
        <v>B</v>
      </c>
      <c r="P1132" s="15">
        <f>IF($C1132="","",IF($I1132="","",RANK($I1132,$I$4:$I$1463)+COUNTIF($I$4:$I1132,$I1132)-1))</f>
        <v>996</v>
      </c>
      <c r="Q1132" s="15">
        <f>IF($C1132="","",COUNTIFS($B$4:$B$1463,$B1132,$X$4:$X$1463,"&gt;"&amp;$X1132)+COUNTIFS($B$4:$B1132,$B1132,$X$4:$X1132,"="&amp;$X1132))</f>
        <v>77</v>
      </c>
      <c r="R1132" s="72">
        <f>IF($C1132="","",IF($I1132="","",ROUND(COUNTIF($I$4:$I$1463,"&lt;"&amp;$I1132)/COUNT($I$4:$I$1463),3)))</f>
        <v>0.248</v>
      </c>
      <c r="S1132" s="15" t="str">
        <f>IF($C1132="","",IF($G1132="","Name only",IF(OR($I1132="",$L1132=""),"Partial","Complete")))</f>
        <v>Complete</v>
      </c>
      <c r="T1132" s="41" t="str">
        <f>IF($C1132="","",TRIM(IF(COUNTIF($C$4:$C$1463,$C1132)&gt;1,"Dup name; ","")&amp;IF(AND($G1132&lt;&gt;"",$G1132&lt;55000),"Low CR - verify; ","")&amp;IF(AND($L1132&lt;&gt;"",$L1132&gt;15),"Secondary - verify; ","")&amp;IF($E1132="","No class; ","")))</f>
        <v/>
      </c>
      <c r="U1132" s="68"/>
      <c r="V1132" s="68"/>
      <c r="W1132" s="68"/>
      <c r="X1132" s="73">
        <f t="shared" si="87"/>
        <v>2544</v>
      </c>
      <c r="Y1132" s="41" t="str">
        <f t="shared" si="88"/>
        <v>ACHERON|77</v>
      </c>
      <c r="Z1132" s="15">
        <f>IF($C1132="","",IF($G1132="","",RANK($G1132,$G$4:$G$1463)+COUNTIF($G$4:$G1132,$G1132)-1))</f>
        <v>665</v>
      </c>
      <c r="AA1132" s="15">
        <f>IF($C1132="","",IF($N1132="","",RANK($N1132,$N$4:$N$1463)+COUNTIF($N$4:$N1132,$N1132)-1))</f>
        <v>840</v>
      </c>
      <c r="AB1132" s="41" t="str">
        <f>IF($C1132="","",IF($E1132="","",$E1132&amp;"#"&amp;(COUNTIFS($E$4:$E$1463,$E1132,$X$4:$X$1463,"&gt;"&amp;$X1132)+COUNTIFS($E$4:$E1132,$E1132,$X$4:$X1132,"="&amp;$X1132))))</f>
        <v>NECROMANCER#64</v>
      </c>
      <c r="AC1132" s="41" t="str">
        <f>IF($C1132="","",$B1132&amp;"@"&amp;(COUNTIFS($B$4:$B$1463,$B1132,$C$4:$C$1463,"&lt;"&amp;$C1132)+COUNTIFS($B$4:$B1132,$B1132,$C$4:$C1132,$C1132)))</f>
        <v>ACHERON@77</v>
      </c>
      <c r="AD1132" s="41">
        <f t="shared" si="89"/>
        <v>1129</v>
      </c>
      <c r="AE1132" s="41" t="s">
        <v>2451</v>
      </c>
      <c r="AF1132" s="73">
        <f t="shared" si="90"/>
        <v>62459</v>
      </c>
      <c r="AG1132" s="74">
        <f t="shared" si="91"/>
        <v>5.3</v>
      </c>
      <c r="AH1132" s="41" t="str">
        <f>IF($C1132="","",$B1132&amp;"|"&amp;(COUNTIFS($B$4:$B$1463,$B1132,$AF$4:$AF$1463,"&gt;"&amp;$AF1132)+COUNTIFS($B$4:$B1132,$B1132,$AF$4:$AF1132,"="&amp;$AF1132)))</f>
        <v>ACHERON|51</v>
      </c>
      <c r="AI1132" s="41" t="str">
        <f>IF($C1132="","",$B1132&amp;"|"&amp;(COUNTIFS($B$4:$B$1463,$B1132,$AG$4:$AG$1463,"&gt;"&amp;$AG1132)+COUNTIFS($B$4:$B1132,$B1132,$AG$4:$AG1132,"="&amp;$AG1132)))</f>
        <v>ACHERON|38</v>
      </c>
    </row>
    <row r="1133" spans="1:35">
      <c r="A1133" s="69" t="s">
        <v>104</v>
      </c>
      <c r="B1133" s="69" t="s">
        <v>66</v>
      </c>
      <c r="C1133" s="63" t="s">
        <v>391</v>
      </c>
      <c r="D1133" s="69" t="s">
        <v>1019</v>
      </c>
      <c r="E1133" s="68" t="s">
        <v>73</v>
      </c>
      <c r="F1133" s="15" t="str">
        <f>IF($C1133="","",IF($E1133="","-",IFERROR(INDEX(SETUP!$B$55:$B$64,MATCH($E1133,SETUP!$A$55:$A$64,0)),"Other")))</f>
        <v>Frontline</v>
      </c>
      <c r="G1133" s="70">
        <v>63732</v>
      </c>
      <c r="H1133" s="15" t="str">
        <f>IF($C1133="","",IF($G1133="","-",INDEX(SETUP!$B$26:$B$32,MATCH($G1133,SETUP!$A$26:$A$32,1))))</f>
        <v>63,000 - 63,999</v>
      </c>
      <c r="I1133" s="70">
        <v>5492</v>
      </c>
      <c r="J1133" s="15" t="str">
        <f>IF($C1133="","",IF($I1133="","-",INDEX(SETUP!$B$16:$B$22,MATCH($I1133,SETUP!$A$16:$A$22,1))))</f>
        <v>CORE</v>
      </c>
      <c r="K1133" s="15" t="str">
        <f>IF($C1133="","",IF($I1133="","-",TEXT(INT($I1133/1000)*1000,"#,##0")&amp;" - "&amp;TEXT(INT($I1133/1000)*1000+999,"#,##0")))</f>
        <v>5,000 - 5,999</v>
      </c>
      <c r="L1133" s="71">
        <v>5.33</v>
      </c>
      <c r="M1133" s="15" t="str">
        <f>IF($C1133="","",IF($L1133="","-",INDEX(SETUP!$B$36:$B$42,MATCH($L1133,SETUP!$A$36:$A$42,1))))</f>
        <v>5k - 6k</v>
      </c>
      <c r="N1133" s="17">
        <f>IF($C1133="","",IF(OR($G1133="",$I1133=""),"",ROUND(100*(SETUP!$B$4*MIN(1,$I1133/SETUP!$B$9)+SETUP!$B$5*MAX(0,MIN(1,($G1133-SETUP!$B$10)/(SETUP!$B$11-SETUP!$B$10)))+SETUP!$B$6*MIN(1,IF($L1133="",0,$L1133)/SETUP!$B$12)),1)))</f>
        <v>55.8</v>
      </c>
      <c r="O1133" s="15" t="str">
        <f>IF($C1133="","",IF($N1133="","-",INDEX(SETUP!$B$46:$B$51,MATCH($N1133,SETUP!$A$46:$A$51,1))))</f>
        <v>A</v>
      </c>
      <c r="P1133" s="15">
        <f>IF($C1133="","",IF($I1133="","",RANK($I1133,$I$4:$I$1463)+COUNTIF($I$4:$I1133,$I1133)-1))</f>
        <v>337</v>
      </c>
      <c r="Q1133" s="15">
        <f>IF($C1133="","",COUNTIFS($B$4:$B$1463,$B1133,$X$4:$X$1463,"&gt;"&amp;$X1133)+COUNTIFS($B$4:$B1133,$B1133,$X$4:$X1133,"="&amp;$X1133))</f>
        <v>35</v>
      </c>
      <c r="R1133" s="72">
        <f>IF($C1133="","",IF($I1133="","",ROUND(COUNTIF($I$4:$I$1463,"&lt;"&amp;$I1133)/COUNT($I$4:$I$1463),3)))</f>
        <v>0.746</v>
      </c>
      <c r="S1133" s="15" t="str">
        <f>IF($C1133="","",IF($G1133="","Name only",IF(OR($I1133="",$L1133=""),"Partial","Complete")))</f>
        <v>Complete</v>
      </c>
      <c r="T1133" s="41" t="str">
        <f>IF($C1133="","",TRIM(IF(COUNTIF($C$4:$C$1463,$C1133)&gt;1,"Dup name; ","")&amp;IF(AND($G1133&lt;&gt;"",$G1133&lt;55000),"Low CR - verify; ","")&amp;IF(AND($L1133&lt;&gt;"",$L1133&gt;15),"Secondary - verify; ","")&amp;IF($E1133="","No class; ","")))</f>
        <v/>
      </c>
      <c r="U1133" s="68" t="s">
        <v>274</v>
      </c>
      <c r="V1133" s="68" t="s">
        <v>388</v>
      </c>
      <c r="W1133" s="68" t="s">
        <v>285</v>
      </c>
      <c r="X1133" s="76">
        <f t="shared" si="87"/>
        <v>5492</v>
      </c>
      <c r="Y1133" s="1" t="str">
        <f t="shared" si="88"/>
        <v>FUCT|35</v>
      </c>
      <c r="Z1133" s="19">
        <f>IF($C1133="","",IF($G1133="","",RANK($G1133,$G$4:$G$1463)+COUNTIF($G$4:$G1133,$G1133)-1))</f>
        <v>130</v>
      </c>
      <c r="AA1133" s="19">
        <f>IF($C1133="","",IF($N1133="","",RANK($N1133,$N$4:$N$1463)+COUNTIF($N$4:$N1133,$N1133)-1))</f>
        <v>298</v>
      </c>
      <c r="AB1133" s="1" t="str">
        <f>IF($C1133="","",IF($E1133="","",$E1133&amp;"#"&amp;(COUNTIFS($E$4:$E$1463,$E1133,$X$4:$X$1463,"&gt;"&amp;$X1133)+COUNTIFS($E$4:$E1133,$E1133,$X$4:$X1133,"="&amp;$X1133))))</f>
        <v>CRUSADER#46</v>
      </c>
      <c r="AC1133" s="1" t="str">
        <f>IF($C1133="","",$B1133&amp;"@"&amp;(COUNTIFS($B$4:$B$1463,$B1133,$C$4:$C$1463,"&lt;"&amp;$C1133)+COUNTIFS($B$4:$B1133,$B1133,$C$4:$C1133,$C1133)))</f>
        <v>FUCT@82</v>
      </c>
      <c r="AD1133" s="1">
        <f t="shared" si="89"/>
        <v>1130</v>
      </c>
      <c r="AE1133" s="1" t="s">
        <v>2453</v>
      </c>
      <c r="AF1133" s="76">
        <f t="shared" si="90"/>
        <v>63732</v>
      </c>
      <c r="AG1133" s="77">
        <f t="shared" si="91"/>
        <v>5.33</v>
      </c>
      <c r="AH1133" s="1" t="str">
        <f>IF($C1133="","",$B1133&amp;"|"&amp;(COUNTIFS($B$4:$B$1463,$B1133,$AF$4:$AF$1463,"&gt;"&amp;$AF1133)+COUNTIFS($B$4:$B1133,$B1133,$AF$4:$AF1133,"="&amp;$AF1133)))</f>
        <v>FUCT|15</v>
      </c>
      <c r="AI1133" s="1" t="str">
        <f>IF($C1133="","",$B1133&amp;"|"&amp;(COUNTIFS($B$4:$B$1463,$B1133,$AG$4:$AG$1463,"&gt;"&amp;$AG1133)+COUNTIFS($B$4:$B1133,$B1133,$AG$4:$AG1133,"="&amp;$AG1133)))</f>
        <v>FUCT|34</v>
      </c>
    </row>
    <row r="1134" spans="1:35" hidden="1">
      <c r="A1134" s="69" t="s">
        <v>109</v>
      </c>
      <c r="B1134" s="69" t="s">
        <v>116</v>
      </c>
      <c r="C1134" s="63" t="s">
        <v>2454</v>
      </c>
      <c r="D1134" s="69" t="s">
        <v>530</v>
      </c>
      <c r="E1134" s="68" t="s">
        <v>74</v>
      </c>
      <c r="F1134" s="15" t="str">
        <f>IF($C1134="","",IF($E1134="","-",IFERROR(INDEX(SETUP!$B$55:$B$64,MATCH($E1134,SETUP!$A$55:$A$64,0)),"Other")))</f>
        <v>Ranged DPS</v>
      </c>
      <c r="G1134" s="70">
        <v>61071</v>
      </c>
      <c r="H1134" s="15" t="str">
        <f>IF($C1134="","",IF($G1134="","-",INDEX(SETUP!$B$26:$B$32,MATCH($G1134,SETUP!$A$26:$A$32,1))))</f>
        <v>61,000 - 61,999</v>
      </c>
      <c r="I1134" s="70">
        <v>3302</v>
      </c>
      <c r="J1134" s="15" t="str">
        <f>IF($C1134="","",IF($I1134="","-",INDEX(SETUP!$B$16:$B$22,MATCH($I1134,SETUP!$A$16:$A$22,1))))</f>
        <v>DEVELOPING</v>
      </c>
      <c r="K1134" s="15" t="str">
        <f>IF($C1134="","",IF($I1134="","-",TEXT(INT($I1134/1000)*1000,"#,##0")&amp;" - "&amp;TEXT(INT($I1134/1000)*1000+999,"#,##0")))</f>
        <v>3,000 - 3,999</v>
      </c>
      <c r="L1134" s="71">
        <v>3.6</v>
      </c>
      <c r="M1134" s="15" t="str">
        <f>IF($C1134="","",IF($L1134="","-",INDEX(SETUP!$B$36:$B$42,MATCH($L1134,SETUP!$A$36:$A$42,1))))</f>
        <v>3k - 4k</v>
      </c>
      <c r="N1134" s="17">
        <f>IF($C1134="","",IF(OR($G1134="",$I1134=""),"",ROUND(100*(SETUP!$B$4*MIN(1,$I1134/SETUP!$B$9)+SETUP!$B$5*MAX(0,MIN(1,($G1134-SETUP!$B$10)/(SETUP!$B$11-SETUP!$B$10)))+SETUP!$B$6*MIN(1,IF($L1134="",0,$L1134)/SETUP!$B$12)),1)))</f>
        <v>36.4</v>
      </c>
      <c r="O1134" s="15" t="str">
        <f>IF($C1134="","",IF($N1134="","-",INDEX(SETUP!$B$46:$B$51,MATCH($N1134,SETUP!$A$46:$A$51,1))))</f>
        <v>B</v>
      </c>
      <c r="P1134" s="15">
        <f>IF($C1134="","",IF($I1134="","",RANK($I1134,$I$4:$I$1463)+COUNTIF($I$4:$I1134,$I1134)-1))</f>
        <v>791</v>
      </c>
      <c r="Q1134" s="15">
        <f>IF($C1134="","",COUNTIFS($B$4:$B$1463,$B1134,$X$4:$X$1463,"&gt;"&amp;$X1134)+COUNTIFS($B$4:$B1134,$B1134,$X$4:$X1134,"="&amp;$X1134))</f>
        <v>50</v>
      </c>
      <c r="R1134" s="72">
        <f>IF($C1134="","",IF($I1134="","",ROUND(COUNTIF($I$4:$I$1463,"&lt;"&amp;$I1134)/COUNT($I$4:$I$1463),3)))</f>
        <v>0.40300000000000002</v>
      </c>
      <c r="S1134" s="15" t="str">
        <f>IF($C1134="","",IF($G1134="","Name only",IF(OR($I1134="",$L1134=""),"Partial","Complete")))</f>
        <v>Complete</v>
      </c>
      <c r="T1134" s="41" t="str">
        <f>IF($C1134="","",TRIM(IF(COUNTIF($C$4:$C$1463,$C1134)&gt;1,"Dup name; ","")&amp;IF(AND($G1134&lt;&gt;"",$G1134&lt;55000),"Low CR - verify; ","")&amp;IF(AND($L1134&lt;&gt;"",$L1134&gt;15),"Secondary - verify; ","")&amp;IF($E1134="","No class; ","")))</f>
        <v/>
      </c>
      <c r="U1134" s="68"/>
      <c r="V1134" s="68"/>
      <c r="W1134" s="68"/>
      <c r="X1134" s="73">
        <f t="shared" si="87"/>
        <v>3302</v>
      </c>
      <c r="Y1134" s="41" t="str">
        <f t="shared" si="88"/>
        <v>VENGEANCE|50</v>
      </c>
      <c r="Z1134" s="15">
        <f>IF($C1134="","",IF($G1134="","",RANK($G1134,$G$4:$G$1463)+COUNTIF($G$4:$G1134,$G1134)-1))</f>
        <v>1121</v>
      </c>
      <c r="AA1134" s="15">
        <f>IF($C1134="","",IF($N1134="","",RANK($N1134,$N$4:$N$1463)+COUNTIF($N$4:$N1134,$N1134)-1))</f>
        <v>954</v>
      </c>
      <c r="AB1134" s="41" t="str">
        <f>IF($C1134="","",IF($E1134="","",$E1134&amp;"#"&amp;(COUNTIFS($E$4:$E$1463,$E1134,$X$4:$X$1463,"&gt;"&amp;$X1134)+COUNTIFS($E$4:$E1134,$E1134,$X$4:$X1134,"="&amp;$X1134))))</f>
        <v>DEMON HUNTER#127</v>
      </c>
      <c r="AC1134" s="41" t="str">
        <f>IF($C1134="","",$B1134&amp;"@"&amp;(COUNTIFS($B$4:$B$1463,$B1134,$C$4:$C$1463,"&lt;"&amp;$C1134)+COUNTIFS($B$4:$B1134,$B1134,$C$4:$C1134,$C1134)))</f>
        <v>VENGEANCE@81</v>
      </c>
      <c r="AD1134" s="41">
        <f t="shared" si="89"/>
        <v>1131</v>
      </c>
      <c r="AE1134" s="41" t="s">
        <v>925</v>
      </c>
      <c r="AF1134" s="73">
        <f t="shared" si="90"/>
        <v>61071</v>
      </c>
      <c r="AG1134" s="74">
        <f t="shared" si="91"/>
        <v>3.6</v>
      </c>
      <c r="AH1134" s="41" t="str">
        <f>IF($C1134="","",$B1134&amp;"|"&amp;(COUNTIFS($B$4:$B$1463,$B1134,$AF$4:$AF$1463,"&gt;"&amp;$AF1134)+COUNTIFS($B$4:$B1134,$B1134,$AF$4:$AF1134,"="&amp;$AF1134)))</f>
        <v>VENGEANCE|75</v>
      </c>
      <c r="AI1134" s="41" t="str">
        <f>IF($C1134="","",$B1134&amp;"|"&amp;(COUNTIFS($B$4:$B$1463,$B1134,$AG$4:$AG$1463,"&gt;"&amp;$AG1134)+COUNTIFS($B$4:$B1134,$B1134,$AG$4:$AG1134,"="&amp;$AG1134)))</f>
        <v>VENGEANCE|79</v>
      </c>
    </row>
    <row r="1135" spans="1:35" hidden="1">
      <c r="A1135" s="69" t="s">
        <v>106</v>
      </c>
      <c r="B1135" s="69" t="s">
        <v>107</v>
      </c>
      <c r="C1135" s="63" t="s">
        <v>2455</v>
      </c>
      <c r="D1135" s="69"/>
      <c r="E1135" s="68" t="s">
        <v>79</v>
      </c>
      <c r="F1135" s="19" t="str">
        <f>IF($C1135="","",IF($E1135="","-",IFERROR(INDEX(SETUP!$B$55:$B$64,MATCH($E1135,SETUP!$A$55:$A$64,0)),"Other")))</f>
        <v>Control</v>
      </c>
      <c r="G1135" s="70">
        <v>63927</v>
      </c>
      <c r="H1135" s="19" t="str">
        <f>IF($C1135="","",IF($G1135="","-",INDEX(SETUP!$B$26:$B$32,MATCH($G1135,SETUP!$A$26:$A$32,1))))</f>
        <v>63,000 - 63,999</v>
      </c>
      <c r="I1135" s="70">
        <v>8315</v>
      </c>
      <c r="J1135" s="19" t="str">
        <f>IF($C1135="","",IF($I1135="","-",INDEX(SETUP!$B$16:$B$22,MATCH($I1135,SETUP!$A$16:$A$22,1))))</f>
        <v>ELITE</v>
      </c>
      <c r="K1135" s="19" t="str">
        <f>IF($C1135="","",IF($I1135="","-",TEXT(INT($I1135/1000)*1000,"#,##0")&amp;" - "&amp;TEXT(INT($I1135/1000)*1000+999,"#,##0")))</f>
        <v>8,000 - 8,999</v>
      </c>
      <c r="L1135" s="71">
        <v>9.1999999999999993</v>
      </c>
      <c r="M1135" s="19" t="str">
        <f>IF($C1135="","",IF($L1135="","-",INDEX(SETUP!$B$36:$B$42,MATCH($L1135,SETUP!$A$36:$A$42,1))))</f>
        <v>8k - 10k</v>
      </c>
      <c r="N1135" s="21">
        <f>IF($C1135="","",IF(OR($G1135="",$I1135=""),"",ROUND(100*(SETUP!$B$4*MIN(1,$I1135/SETUP!$B$9)+SETUP!$B$5*MAX(0,MIN(1,($G1135-SETUP!$B$10)/(SETUP!$B$11-SETUP!$B$10)))+SETUP!$B$6*MIN(1,IF($L1135="",0,$L1135)/SETUP!$B$12)),1)))</f>
        <v>75.099999999999994</v>
      </c>
      <c r="O1135" s="19" t="str">
        <f>IF($C1135="","",IF($N1135="","-",INDEX(SETUP!$B$46:$B$51,MATCH($N1135,SETUP!$A$46:$A$51,1))))</f>
        <v>S</v>
      </c>
      <c r="P1135" s="19">
        <f>IF($C1135="","",IF($I1135="","",RANK($I1135,$I$4:$I$1463)+COUNTIF($I$4:$I1135,$I1135)-1))</f>
        <v>132</v>
      </c>
      <c r="Q1135" s="19">
        <f>IF($C1135="","",COUNTIFS($B$4:$B$1463,$B1135,$X$4:$X$1463,"&gt;"&amp;$X1135)+COUNTIFS($B$4:$B1135,$B1135,$X$4:$X1135,"="&amp;$X1135))</f>
        <v>6</v>
      </c>
      <c r="R1135" s="75">
        <f>IF($C1135="","",IF($I1135="","",ROUND(COUNTIF($I$4:$I$1463,"&lt;"&amp;$I1135)/COUNT($I$4:$I$1463),3)))</f>
        <v>0.9</v>
      </c>
      <c r="S1135" s="19" t="str">
        <f>IF($C1135="","",IF($G1135="","Name only",IF(OR($I1135="",$L1135=""),"Partial","Complete")))</f>
        <v>Complete</v>
      </c>
      <c r="T1135" s="1" t="str">
        <f>IF($C1135="","",TRIM(IF(COUNTIF($C$4:$C$1463,$C1135)&gt;1,"Dup name; ","")&amp;IF(AND($G1135&lt;&gt;"",$G1135&lt;55000),"Low CR - verify; ","")&amp;IF(AND($L1135&lt;&gt;"",$L1135&gt;15),"Secondary - verify; ","")&amp;IF($E1135="","No class; ","")))</f>
        <v/>
      </c>
      <c r="U1135" s="68"/>
      <c r="V1135" s="68"/>
      <c r="W1135" s="68"/>
      <c r="X1135" s="76">
        <f t="shared" si="87"/>
        <v>8315</v>
      </c>
      <c r="Y1135" s="1" t="str">
        <f t="shared" si="88"/>
        <v>UNDYING|6</v>
      </c>
      <c r="Z1135" s="19">
        <f>IF($C1135="","",IF($G1135="","",RANK($G1135,$G$4:$G$1463)+COUNTIF($G$4:$G1135,$G1135)-1))</f>
        <v>90</v>
      </c>
      <c r="AA1135" s="19">
        <f>IF($C1135="","",IF($N1135="","",RANK($N1135,$N$4:$N$1463)+COUNTIF($N$4:$N1135,$N1135)-1))</f>
        <v>89</v>
      </c>
      <c r="AB1135" s="1" t="str">
        <f>IF($C1135="","",IF($E1135="","",$E1135&amp;"#"&amp;(COUNTIFS($E$4:$E$1463,$E1135,$X$4:$X$1463,"&gt;"&amp;$X1135)+COUNTIFS($E$4:$E1135,$E1135,$X$4:$X1135,"="&amp;$X1135))))</f>
        <v>WARLOCK#29</v>
      </c>
      <c r="AC1135" s="1" t="str">
        <f>IF($C1135="","",$B1135&amp;"@"&amp;(COUNTIFS($B$4:$B$1463,$B1135,$C$4:$C$1463,"&lt;"&amp;$C1135)+COUNTIFS($B$4:$B1135,$B1135,$C$4:$C1135,$C1135)))</f>
        <v>UNDYING@88</v>
      </c>
      <c r="AD1135" s="1">
        <f t="shared" si="89"/>
        <v>1132</v>
      </c>
      <c r="AE1135" s="1" t="s">
        <v>2456</v>
      </c>
      <c r="AF1135" s="76">
        <f t="shared" si="90"/>
        <v>63927</v>
      </c>
      <c r="AG1135" s="77">
        <f t="shared" si="91"/>
        <v>9.1999999999999993</v>
      </c>
      <c r="AH1135" s="1" t="str">
        <f>IF($C1135="","",$B1135&amp;"|"&amp;(COUNTIFS($B$4:$B$1463,$B1135,$AF$4:$AF$1463,"&gt;"&amp;$AF1135)+COUNTIFS($B$4:$B1135,$B1135,$AF$4:$AF1135,"="&amp;$AF1135)))</f>
        <v>UNDYING|4</v>
      </c>
      <c r="AI1135" s="1" t="str">
        <f>IF($C1135="","",$B1135&amp;"|"&amp;(COUNTIFS($B$4:$B$1463,$B1135,$AG$4:$AG$1463,"&gt;"&amp;$AG1135)+COUNTIFS($B$4:$B1135,$B1135,$AG$4:$AG1135,"="&amp;$AG1135)))</f>
        <v>UNDYING|1</v>
      </c>
    </row>
    <row r="1136" spans="1:35">
      <c r="A1136" s="69" t="s">
        <v>104</v>
      </c>
      <c r="B1136" s="69" t="s">
        <v>66</v>
      </c>
      <c r="C1136" s="63" t="s">
        <v>2339</v>
      </c>
      <c r="D1136" s="69"/>
      <c r="E1136" s="68" t="s">
        <v>79</v>
      </c>
      <c r="F1136" s="19" t="str">
        <f>IF($C1136="","",IF($E1136="","-",IFERROR(INDEX(SETUP!$B$55:$B$64,MATCH($E1136,SETUP!$A$55:$A$64,0)),"Other")))</f>
        <v>Control</v>
      </c>
      <c r="G1136" s="70">
        <v>63196</v>
      </c>
      <c r="H1136" s="19" t="str">
        <f>IF($C1136="","",IF($G1136="","-",INDEX(SETUP!$B$26:$B$32,MATCH($G1136,SETUP!$A$26:$A$32,1))))</f>
        <v>63,000 - 63,999</v>
      </c>
      <c r="I1136" s="70">
        <v>7419</v>
      </c>
      <c r="J1136" s="19" t="str">
        <f>IF($C1136="","",IF($I1136="","-",INDEX(SETUP!$B$16:$B$22,MATCH($I1136,SETUP!$A$16:$A$22,1))))</f>
        <v>VETERAN</v>
      </c>
      <c r="K1136" s="19" t="str">
        <f>IF($C1136="","",IF($I1136="","-",TEXT(INT($I1136/1000)*1000,"#,##0")&amp;" - "&amp;TEXT(INT($I1136/1000)*1000+999,"#,##0")))</f>
        <v>7,000 - 7,999</v>
      </c>
      <c r="L1136" s="71">
        <v>5.2</v>
      </c>
      <c r="M1136" s="19" t="str">
        <f>IF($C1136="","",IF($L1136="","-",INDEX(SETUP!$B$36:$B$42,MATCH($L1136,SETUP!$A$36:$A$42,1))))</f>
        <v>5k - 6k</v>
      </c>
      <c r="N1136" s="21">
        <f>IF($C1136="","",IF(OR($G1136="",$I1136=""),"",ROUND(100*(SETUP!$B$4*MIN(1,$I1136/SETUP!$B$9)+SETUP!$B$5*MAX(0,MIN(1,($G1136-SETUP!$B$10)/(SETUP!$B$11-SETUP!$B$10)))+SETUP!$B$6*MIN(1,IF($L1136="",0,$L1136)/SETUP!$B$12)),1)))</f>
        <v>62.6</v>
      </c>
      <c r="O1136" s="19" t="str">
        <f>IF($C1136="","",IF($N1136="","-",INDEX(SETUP!$B$46:$B$51,MATCH($N1136,SETUP!$A$46:$A$51,1))))</f>
        <v>A</v>
      </c>
      <c r="P1136" s="19">
        <f>IF($C1136="","",IF($I1136="","",RANK($I1136,$I$4:$I$1463)+COUNTIF($I$4:$I1136,$I1136)-1))</f>
        <v>180</v>
      </c>
      <c r="Q1136" s="19">
        <f>IF($C1136="","",COUNTIFS($B$4:$B$1463,$B1136,$X$4:$X$1463,"&gt;"&amp;$X1136)+COUNTIFS($B$4:$B1136,$B1136,$X$4:$X1136,"="&amp;$X1136))</f>
        <v>19</v>
      </c>
      <c r="R1136" s="75">
        <f>IF($C1136="","",IF($I1136="","",ROUND(COUNTIF($I$4:$I$1463,"&lt;"&amp;$I1136)/COUNT($I$4:$I$1463),3)))</f>
        <v>0.86399999999999999</v>
      </c>
      <c r="S1136" s="19" t="str">
        <f>IF($C1136="","",IF($G1136="","Name only",IF(OR($I1136="",$L1136=""),"Partial","Complete")))</f>
        <v>Complete</v>
      </c>
      <c r="T1136" s="1" t="str">
        <f>IF($C1136="","",TRIM(IF(COUNTIF($C$4:$C$1463,$C1136)&gt;1,"Dup name; ","")&amp;IF(AND($G1136&lt;&gt;"",$G1136&lt;55000),"Low CR - verify; ","")&amp;IF(AND($L1136&lt;&gt;"",$L1136&gt;15),"Secondary - verify; ","")&amp;IF($E1136="","No class; ","")))</f>
        <v/>
      </c>
      <c r="U1136" s="68"/>
      <c r="V1136" s="68"/>
      <c r="W1136" s="68"/>
      <c r="X1136" s="73">
        <f t="shared" si="87"/>
        <v>7419</v>
      </c>
      <c r="Y1136" s="41" t="str">
        <f t="shared" si="88"/>
        <v>FUCT|19</v>
      </c>
      <c r="Z1136" s="15">
        <f>IF($C1136="","",IF($G1136="","",RANK($G1136,$G$4:$G$1463)+COUNTIF($G$4:$G1136,$G1136)-1))</f>
        <v>318</v>
      </c>
      <c r="AA1136" s="15">
        <f>IF($C1136="","",IF($N1136="","",RANK($N1136,$N$4:$N$1463)+COUNTIF($N$4:$N1136,$N1136)-1))</f>
        <v>207</v>
      </c>
      <c r="AB1136" s="41" t="str">
        <f>IF($C1136="","",IF($E1136="","",$E1136&amp;"#"&amp;(COUNTIFS($E$4:$E$1463,$E1136,$X$4:$X$1463,"&gt;"&amp;$X1136)+COUNTIFS($E$4:$E1136,$E1136,$X$4:$X1136,"="&amp;$X1136))))</f>
        <v>WARLOCK#36</v>
      </c>
      <c r="AC1136" s="41" t="str">
        <f>IF($C1136="","",$B1136&amp;"@"&amp;(COUNTIFS($B$4:$B$1463,$B1136,$C$4:$C$1463,"&lt;"&amp;$C1136)+COUNTIFS($B$4:$B1136,$B1136,$C$4:$C1136,$C1136)))</f>
        <v>FUCT@83</v>
      </c>
      <c r="AD1136" s="41">
        <f t="shared" si="89"/>
        <v>1133</v>
      </c>
      <c r="AE1136" s="41" t="s">
        <v>2458</v>
      </c>
      <c r="AF1136" s="73">
        <f t="shared" si="90"/>
        <v>63196</v>
      </c>
      <c r="AG1136" s="74">
        <f t="shared" si="91"/>
        <v>5.2</v>
      </c>
      <c r="AH1136" s="41" t="str">
        <f>IF($C1136="","",$B1136&amp;"|"&amp;(COUNTIFS($B$4:$B$1463,$B1136,$AF$4:$AF$1463,"&gt;"&amp;$AF1136)+COUNTIFS($B$4:$B1136,$B1136,$AF$4:$AF1136,"="&amp;$AF1136)))</f>
        <v>FUCT|31</v>
      </c>
      <c r="AI1136" s="41" t="str">
        <f>IF($C1136="","",$B1136&amp;"|"&amp;(COUNTIFS($B$4:$B$1463,$B1136,$AG$4:$AG$1463,"&gt;"&amp;$AG1136)+COUNTIFS($B$4:$B1136,$B1136,$AG$4:$AG1136,"="&amp;$AG1136)))</f>
        <v>FUCT|39</v>
      </c>
    </row>
    <row r="1137" spans="1:35" hidden="1">
      <c r="A1137" s="69" t="s">
        <v>109</v>
      </c>
      <c r="B1137" s="69" t="s">
        <v>113</v>
      </c>
      <c r="C1137" s="63" t="s">
        <v>2459</v>
      </c>
      <c r="D1137" s="69" t="s">
        <v>548</v>
      </c>
      <c r="E1137" s="68" t="s">
        <v>71</v>
      </c>
      <c r="F1137" s="19" t="str">
        <f>IF($C1137="","",IF($E1137="","-",IFERROR(INDEX(SETUP!$B$55:$B$64,MATCH($E1137,SETUP!$A$55:$A$64,0)),"Other")))</f>
        <v>Frontline</v>
      </c>
      <c r="G1137" s="70">
        <v>62824</v>
      </c>
      <c r="H1137" s="19" t="str">
        <f>IF($C1137="","",IF($G1137="","-",INDEX(SETUP!$B$26:$B$32,MATCH($G1137,SETUP!$A$26:$A$32,1))))</f>
        <v>62,000 - 62,999</v>
      </c>
      <c r="I1137" s="70">
        <v>3032</v>
      </c>
      <c r="J1137" s="19" t="str">
        <f>IF($C1137="","",IF($I1137="","-",INDEX(SETUP!$B$16:$B$22,MATCH($I1137,SETUP!$A$16:$A$22,1))))</f>
        <v>DEVELOPING</v>
      </c>
      <c r="K1137" s="19" t="str">
        <f>IF($C1137="","",IF($I1137="","-",TEXT(INT($I1137/1000)*1000,"#,##0")&amp;" - "&amp;TEXT(INT($I1137/1000)*1000+999,"#,##0")))</f>
        <v>3,000 - 3,999</v>
      </c>
      <c r="L1137" s="71">
        <v>4.95</v>
      </c>
      <c r="M1137" s="19" t="str">
        <f>IF($C1137="","",IF($L1137="","-",INDEX(SETUP!$B$36:$B$42,MATCH($L1137,SETUP!$A$36:$A$42,1))))</f>
        <v>4k - 5k</v>
      </c>
      <c r="N1137" s="21">
        <f>IF($C1137="","",IF(OR($G1137="",$I1137=""),"",ROUND(100*(SETUP!$B$4*MIN(1,$I1137/SETUP!$B$9)+SETUP!$B$5*MAX(0,MIN(1,($G1137-SETUP!$B$10)/(SETUP!$B$11-SETUP!$B$10)))+SETUP!$B$6*MIN(1,IF($L1137="",0,$L1137)/SETUP!$B$12)),1)))</f>
        <v>42.1</v>
      </c>
      <c r="O1137" s="19" t="str">
        <f>IF($C1137="","",IF($N1137="","-",INDEX(SETUP!$B$46:$B$51,MATCH($N1137,SETUP!$A$46:$A$51,1))))</f>
        <v>B</v>
      </c>
      <c r="P1137" s="19">
        <f>IF($C1137="","",IF($I1137="","",RANK($I1137,$I$4:$I$1463)+COUNTIF($I$4:$I1137,$I1137)-1))</f>
        <v>866</v>
      </c>
      <c r="Q1137" s="19">
        <f>IF($C1137="","",COUNTIFS($B$4:$B$1463,$B1137,$X$4:$X$1463,"&gt;"&amp;$X1137)+COUNTIFS($B$4:$B1137,$B1137,$X$4:$X1137,"="&amp;$X1137))</f>
        <v>51</v>
      </c>
      <c r="R1137" s="75">
        <f>IF($C1137="","",IF($I1137="","",ROUND(COUNTIF($I$4:$I$1463,"&lt;"&amp;$I1137)/COUNT($I$4:$I$1463),3)))</f>
        <v>0.34599999999999997</v>
      </c>
      <c r="S1137" s="19" t="str">
        <f>IF($C1137="","",IF($G1137="","Name only",IF(OR($I1137="",$L1137=""),"Partial","Complete")))</f>
        <v>Complete</v>
      </c>
      <c r="T1137" s="1" t="str">
        <f>IF($C1137="","",TRIM(IF(COUNTIF($C$4:$C$1463,$C1137)&gt;1,"Dup name; ","")&amp;IF(AND($G1137&lt;&gt;"",$G1137&lt;55000),"Low CR - verify; ","")&amp;IF(AND($L1137&lt;&gt;"",$L1137&gt;15),"Secondary - verify; ","")&amp;IF($E1137="","No class; ","")))</f>
        <v/>
      </c>
      <c r="U1137" s="68"/>
      <c r="V1137" s="68"/>
      <c r="W1137" s="68"/>
      <c r="X1137" s="76">
        <f t="shared" si="87"/>
        <v>3032</v>
      </c>
      <c r="Y1137" s="1" t="str">
        <f t="shared" si="88"/>
        <v>INVICTUS|51</v>
      </c>
      <c r="Z1137" s="19">
        <f>IF($C1137="","",IF($G1137="","",RANK($G1137,$G$4:$G$1463)+COUNTIF($G$4:$G1137,$G1137)-1))</f>
        <v>508</v>
      </c>
      <c r="AA1137" s="19">
        <f>IF($C1137="","",IF($N1137="","",RANK($N1137,$N$4:$N$1463)+COUNTIF($N$4:$N1137,$N1137)-1))</f>
        <v>740</v>
      </c>
      <c r="AB1137" s="1" t="str">
        <f>IF($C1137="","",IF($E1137="","",$E1137&amp;"#"&amp;(COUNTIFS($E$4:$E$1463,$E1137,$X$4:$X$1463,"&gt;"&amp;$X1137)+COUNTIFS($E$4:$E1137,$E1137,$X$4:$X1137,"="&amp;$X1137))))</f>
        <v>BARBARIAN#152</v>
      </c>
      <c r="AC1137" s="1" t="str">
        <f>IF($C1137="","",$B1137&amp;"@"&amp;(COUNTIFS($B$4:$B$1463,$B1137,$C$4:$C$1463,"&lt;"&amp;$C1137)+COUNTIFS($B$4:$B1137,$B1137,$C$4:$C1137,$C1137)))</f>
        <v>INVICTUS@87</v>
      </c>
      <c r="AD1137" s="1">
        <f t="shared" si="89"/>
        <v>1134</v>
      </c>
      <c r="AE1137" s="1" t="s">
        <v>2460</v>
      </c>
      <c r="AF1137" s="76">
        <f t="shared" si="90"/>
        <v>62824</v>
      </c>
      <c r="AG1137" s="77">
        <f t="shared" si="91"/>
        <v>4.95</v>
      </c>
      <c r="AH1137" s="1" t="str">
        <f>IF($C1137="","",$B1137&amp;"|"&amp;(COUNTIFS($B$4:$B$1463,$B1137,$AF$4:$AF$1463,"&gt;"&amp;$AF1137)+COUNTIFS($B$4:$B1137,$B1137,$AF$4:$AF1137,"="&amp;$AF1137)))</f>
        <v>INVICTUS|28</v>
      </c>
      <c r="AI1137" s="1" t="str">
        <f>IF($C1137="","",$B1137&amp;"|"&amp;(COUNTIFS($B$4:$B$1463,$B1137,$AG$4:$AG$1463,"&gt;"&amp;$AG1137)+COUNTIFS($B$4:$B1137,$B1137,$AG$4:$AG1137,"="&amp;$AG1137)))</f>
        <v>INVICTUS|34</v>
      </c>
    </row>
    <row r="1138" spans="1:35">
      <c r="A1138" s="69" t="s">
        <v>104</v>
      </c>
      <c r="B1138" s="69" t="s">
        <v>66</v>
      </c>
      <c r="C1138" s="63" t="s">
        <v>2342</v>
      </c>
      <c r="D1138" s="69"/>
      <c r="E1138" s="68" t="s">
        <v>74</v>
      </c>
      <c r="F1138" s="15" t="str">
        <f>IF($C1138="","",IF($E1138="","-",IFERROR(INDEX(SETUP!$B$55:$B$64,MATCH($E1138,SETUP!$A$55:$A$64,0)),"Other")))</f>
        <v>Ranged DPS</v>
      </c>
      <c r="G1138" s="70">
        <v>63291</v>
      </c>
      <c r="H1138" s="15" t="str">
        <f>IF($C1138="","",IF($G1138="","-",INDEX(SETUP!$B$26:$B$32,MATCH($G1138,SETUP!$A$26:$A$32,1))))</f>
        <v>63,000 - 63,999</v>
      </c>
      <c r="I1138" s="70">
        <v>10332</v>
      </c>
      <c r="J1138" s="15" t="str">
        <f>IF($C1138="","",IF($I1138="","-",INDEX(SETUP!$B$16:$B$22,MATCH($I1138,SETUP!$A$16:$A$22,1))))</f>
        <v>APEX</v>
      </c>
      <c r="K1138" s="15" t="str">
        <f>IF($C1138="","",IF($I1138="","-",TEXT(INT($I1138/1000)*1000,"#,##0")&amp;" - "&amp;TEXT(INT($I1138/1000)*1000+999,"#,##0")))</f>
        <v>10,000 - 10,999</v>
      </c>
      <c r="L1138" s="71">
        <v>10.5</v>
      </c>
      <c r="M1138" s="15" t="str">
        <f>IF($C1138="","",IF($L1138="","-",INDEX(SETUP!$B$36:$B$42,MATCH($L1138,SETUP!$A$36:$A$42,1))))</f>
        <v>10k +</v>
      </c>
      <c r="N1138" s="17">
        <f>IF($C1138="","",IF(OR($G1138="",$I1138=""),"",ROUND(100*(SETUP!$B$4*MIN(1,$I1138/SETUP!$B$9)+SETUP!$B$5*MAX(0,MIN(1,($G1138-SETUP!$B$10)/(SETUP!$B$11-SETUP!$B$10)))+SETUP!$B$6*MIN(1,IF($L1138="",0,$L1138)/SETUP!$B$12)),1)))</f>
        <v>84.4</v>
      </c>
      <c r="O1138" s="15" t="str">
        <f>IF($C1138="","",IF($N1138="","-",INDEX(SETUP!$B$46:$B$51,MATCH($N1138,SETUP!$A$46:$A$51,1))))</f>
        <v>S+</v>
      </c>
      <c r="P1138" s="15">
        <f>IF($C1138="","",IF($I1138="","",RANK($I1138,$I$4:$I$1463)+COUNTIF($I$4:$I1138,$I1138)-1))</f>
        <v>33</v>
      </c>
      <c r="Q1138" s="15">
        <f>IF($C1138="","",COUNTIFS($B$4:$B$1463,$B1138,$X$4:$X$1463,"&gt;"&amp;$X1138)+COUNTIFS($B$4:$B1138,$B1138,$X$4:$X1138,"="&amp;$X1138))</f>
        <v>3</v>
      </c>
      <c r="R1138" s="72">
        <f>IF($C1138="","",IF($I1138="","",ROUND(COUNTIF($I$4:$I$1463,"&lt;"&amp;$I1138)/COUNT($I$4:$I$1463),3)))</f>
        <v>0.97499999999999998</v>
      </c>
      <c r="S1138" s="15" t="str">
        <f>IF($C1138="","",IF($G1138="","Name only",IF(OR($I1138="",$L1138=""),"Partial","Complete")))</f>
        <v>Complete</v>
      </c>
      <c r="T1138" s="41" t="str">
        <f>IF($C1138="","",TRIM(IF(COUNTIF($C$4:$C$1463,$C1138)&gt;1,"Dup name; ","")&amp;IF(AND($G1138&lt;&gt;"",$G1138&lt;55000),"Low CR - verify; ","")&amp;IF(AND($L1138&lt;&gt;"",$L1138&gt;15),"Secondary - verify; ","")&amp;IF($E1138="","No class; ","")))</f>
        <v/>
      </c>
      <c r="U1138" s="68"/>
      <c r="V1138" s="68"/>
      <c r="W1138" s="68"/>
      <c r="X1138" s="73">
        <f t="shared" si="87"/>
        <v>10332</v>
      </c>
      <c r="Y1138" s="41" t="str">
        <f t="shared" si="88"/>
        <v>FUCT|3</v>
      </c>
      <c r="Z1138" s="15">
        <f>IF($C1138="","",IF($G1138="","",RANK($G1138,$G$4:$G$1463)+COUNTIF($G$4:$G1138,$G1138)-1))</f>
        <v>265</v>
      </c>
      <c r="AA1138" s="15">
        <f>IF($C1138="","",IF($N1138="","",RANK($N1138,$N$4:$N$1463)+COUNTIF($N$4:$N1138,$N1138)-1))</f>
        <v>24</v>
      </c>
      <c r="AB1138" s="41" t="str">
        <f>IF($C1138="","",IF($E1138="","",$E1138&amp;"#"&amp;(COUNTIFS($E$4:$E$1463,$E1138,$X$4:$X$1463,"&gt;"&amp;$X1138)+COUNTIFS($E$4:$E1138,$E1138,$X$4:$X1138,"="&amp;$X1138))))</f>
        <v>DEMON HUNTER#6</v>
      </c>
      <c r="AC1138" s="41" t="str">
        <f>IF($C1138="","",$B1138&amp;"@"&amp;(COUNTIFS($B$4:$B$1463,$B1138,$C$4:$C$1463,"&lt;"&amp;$C1138)+COUNTIFS($B$4:$B1138,$B1138,$C$4:$C1138,$C1138)))</f>
        <v>FUCT@84</v>
      </c>
      <c r="AD1138" s="41">
        <f t="shared" si="89"/>
        <v>1135</v>
      </c>
      <c r="AE1138" s="41" t="s">
        <v>2461</v>
      </c>
      <c r="AF1138" s="73">
        <f t="shared" si="90"/>
        <v>63291</v>
      </c>
      <c r="AG1138" s="74">
        <f t="shared" si="91"/>
        <v>10.5</v>
      </c>
      <c r="AH1138" s="41" t="str">
        <f>IF($C1138="","",$B1138&amp;"|"&amp;(COUNTIFS($B$4:$B$1463,$B1138,$AF$4:$AF$1463,"&gt;"&amp;$AF1138)+COUNTIFS($B$4:$B1138,$B1138,$AF$4:$AF1138,"="&amp;$AF1138)))</f>
        <v>FUCT|25</v>
      </c>
      <c r="AI1138" s="41" t="str">
        <f>IF($C1138="","",$B1138&amp;"|"&amp;(COUNTIFS($B$4:$B$1463,$B1138,$AG$4:$AG$1463,"&gt;"&amp;$AG1138)+COUNTIFS($B$4:$B1138,$B1138,$AG$4:$AG1138,"="&amp;$AG1138)))</f>
        <v>FUCT|1</v>
      </c>
    </row>
    <row r="1139" spans="1:35" hidden="1">
      <c r="A1139" s="69" t="s">
        <v>106</v>
      </c>
      <c r="B1139" s="69" t="s">
        <v>105</v>
      </c>
      <c r="C1139" s="63" t="s">
        <v>2462</v>
      </c>
      <c r="D1139" s="69"/>
      <c r="E1139" s="68" t="s">
        <v>76</v>
      </c>
      <c r="F1139" s="19" t="str">
        <f>IF($C1139="","",IF($E1139="","-",IFERROR(INDEX(SETUP!$B$55:$B$64,MATCH($E1139,SETUP!$A$55:$A$64,0)),"Other")))</f>
        <v>Support</v>
      </c>
      <c r="G1139" s="70">
        <v>63008</v>
      </c>
      <c r="H1139" s="19" t="str">
        <f>IF($C1139="","",IF($G1139="","-",INDEX(SETUP!$B$26:$B$32,MATCH($G1139,SETUP!$A$26:$A$32,1))))</f>
        <v>63,000 - 63,999</v>
      </c>
      <c r="I1139" s="70">
        <v>4518</v>
      </c>
      <c r="J1139" s="19" t="str">
        <f>IF($C1139="","",IF($I1139="","-",INDEX(SETUP!$B$16:$B$22,MATCH($I1139,SETUP!$A$16:$A$22,1))))</f>
        <v>CORE</v>
      </c>
      <c r="K1139" s="19" t="str">
        <f>IF($C1139="","",IF($I1139="","-",TEXT(INT($I1139/1000)*1000,"#,##0")&amp;" - "&amp;TEXT(INT($I1139/1000)*1000+999,"#,##0")))</f>
        <v>4,000 - 4,999</v>
      </c>
      <c r="L1139" s="71">
        <v>4.5199999999999996</v>
      </c>
      <c r="M1139" s="19" t="str">
        <f>IF($C1139="","",IF($L1139="","-",INDEX(SETUP!$B$36:$B$42,MATCH($L1139,SETUP!$A$36:$A$42,1))))</f>
        <v>4k - 5k</v>
      </c>
      <c r="N1139" s="21">
        <f>IF($C1139="","",IF(OR($G1139="",$I1139=""),"",ROUND(100*(SETUP!$B$4*MIN(1,$I1139/SETUP!$B$9)+SETUP!$B$5*MAX(0,MIN(1,($G1139-SETUP!$B$10)/(SETUP!$B$11-SETUP!$B$10)))+SETUP!$B$6*MIN(1,IF($L1139="",0,$L1139)/SETUP!$B$12)),1)))</f>
        <v>48.3</v>
      </c>
      <c r="O1139" s="19" t="str">
        <f>IF($C1139="","",IF($N1139="","-",INDEX(SETUP!$B$46:$B$51,MATCH($N1139,SETUP!$A$46:$A$51,1))))</f>
        <v>B</v>
      </c>
      <c r="P1139" s="19">
        <f>IF($C1139="","",IF($I1139="","",RANK($I1139,$I$4:$I$1463)+COUNTIF($I$4:$I1139,$I1139)-1))</f>
        <v>492</v>
      </c>
      <c r="Q1139" s="19">
        <f>IF($C1139="","",COUNTIFS($B$4:$B$1463,$B1139,$X$4:$X$1463,"&gt;"&amp;$X1139)+COUNTIFS($B$4:$B1139,$B1139,$X$4:$X1139,"="&amp;$X1139))</f>
        <v>64</v>
      </c>
      <c r="R1139" s="75">
        <f>IF($C1139="","",IF($I1139="","",ROUND(COUNTIF($I$4:$I$1463,"&lt;"&amp;$I1139)/COUNT($I$4:$I$1463),3)))</f>
        <v>0.629</v>
      </c>
      <c r="S1139" s="19" t="str">
        <f>IF($C1139="","",IF($G1139="","Name only",IF(OR($I1139="",$L1139=""),"Partial","Complete")))</f>
        <v>Complete</v>
      </c>
      <c r="T1139" s="1" t="str">
        <f>IF($C1139="","",TRIM(IF(COUNTIF($C$4:$C$1463,$C1139)&gt;1,"Dup name; ","")&amp;IF(AND($G1139&lt;&gt;"",$G1139&lt;55000),"Low CR - verify; ","")&amp;IF(AND($L1139&lt;&gt;"",$L1139&gt;15),"Secondary - verify; ","")&amp;IF($E1139="","No class; ","")))</f>
        <v/>
      </c>
      <c r="U1139" s="68"/>
      <c r="V1139" s="68"/>
      <c r="W1139" s="68"/>
      <c r="X1139" s="76">
        <f t="shared" si="87"/>
        <v>4518</v>
      </c>
      <c r="Y1139" s="1" t="str">
        <f t="shared" si="88"/>
        <v>LEGENDS|64</v>
      </c>
      <c r="Z1139" s="19">
        <f>IF($C1139="","",IF($G1139="","",RANK($G1139,$G$4:$G$1463)+COUNTIF($G$4:$G1139,$G1139)-1))</f>
        <v>424</v>
      </c>
      <c r="AA1139" s="19">
        <f>IF($C1139="","",IF($N1139="","",RANK($N1139,$N$4:$N$1463)+COUNTIF($N$4:$N1139,$N1139)-1))</f>
        <v>510</v>
      </c>
      <c r="AB1139" s="1" t="str">
        <f>IF($C1139="","",IF($E1139="","",$E1139&amp;"#"&amp;(COUNTIFS($E$4:$E$1463,$E1139,$X$4:$X$1463,"&gt;"&amp;$X1139)+COUNTIFS($E$4:$E1139,$E1139,$X$4:$X1139,"="&amp;$X1139))))</f>
        <v>MONK#18</v>
      </c>
      <c r="AC1139" s="1" t="str">
        <f>IF($C1139="","",$B1139&amp;"@"&amp;(COUNTIFS($B$4:$B$1463,$B1139,$C$4:$C$1463,"&lt;"&amp;$C1139)+COUNTIFS($B$4:$B1139,$B1139,$C$4:$C1139,$C1139)))</f>
        <v>LEGENDS@89</v>
      </c>
      <c r="AD1139" s="1">
        <f t="shared" si="89"/>
        <v>1136</v>
      </c>
      <c r="AE1139" s="1" t="s">
        <v>2463</v>
      </c>
      <c r="AF1139" s="76">
        <f t="shared" si="90"/>
        <v>63008</v>
      </c>
      <c r="AG1139" s="77">
        <f t="shared" si="91"/>
        <v>4.5199999999999996</v>
      </c>
      <c r="AH1139" s="1" t="str">
        <f>IF($C1139="","",$B1139&amp;"|"&amp;(COUNTIFS($B$4:$B$1463,$B1139,$AF$4:$AF$1463,"&gt;"&amp;$AF1139)+COUNTIFS($B$4:$B1139,$B1139,$AF$4:$AF1139,"="&amp;$AF1139)))</f>
        <v>LEGENDS|51</v>
      </c>
      <c r="AI1139" s="1" t="str">
        <f>IF($C1139="","",$B1139&amp;"|"&amp;(COUNTIFS($B$4:$B$1463,$B1139,$AG$4:$AG$1463,"&gt;"&amp;$AG1139)+COUNTIFS($B$4:$B1139,$B1139,$AG$4:$AG1139,"="&amp;$AG1139)))</f>
        <v>LEGENDS|77</v>
      </c>
    </row>
    <row r="1140" spans="1:35" hidden="1">
      <c r="A1140" s="69" t="s">
        <v>106</v>
      </c>
      <c r="B1140" s="69" t="s">
        <v>107</v>
      </c>
      <c r="C1140" s="63" t="s">
        <v>2464</v>
      </c>
      <c r="D1140" s="69"/>
      <c r="E1140" s="68" t="s">
        <v>75</v>
      </c>
      <c r="F1140" s="15" t="str">
        <f>IF($C1140="","",IF($E1140="","-",IFERROR(INDEX(SETUP!$B$55:$B$64,MATCH($E1140,SETUP!$A$55:$A$64,0)),"Other")))</f>
        <v>Support</v>
      </c>
      <c r="G1140" s="70">
        <v>63164</v>
      </c>
      <c r="H1140" s="15" t="str">
        <f>IF($C1140="","",IF($G1140="","-",INDEX(SETUP!$B$26:$B$32,MATCH($G1140,SETUP!$A$26:$A$32,1))))</f>
        <v>63,000 - 63,999</v>
      </c>
      <c r="I1140" s="70">
        <v>4238</v>
      </c>
      <c r="J1140" s="15" t="str">
        <f>IF($C1140="","",IF($I1140="","-",INDEX(SETUP!$B$16:$B$22,MATCH($I1140,SETUP!$A$16:$A$22,1))))</f>
        <v>CORE</v>
      </c>
      <c r="K1140" s="15" t="str">
        <f>IF($C1140="","",IF($I1140="","-",TEXT(INT($I1140/1000)*1000,"#,##0")&amp;" - "&amp;TEXT(INT($I1140/1000)*1000+999,"#,##0")))</f>
        <v>4,000 - 4,999</v>
      </c>
      <c r="L1140" s="71">
        <v>4.5</v>
      </c>
      <c r="M1140" s="15" t="str">
        <f>IF($C1140="","",IF($L1140="","-",INDEX(SETUP!$B$36:$B$42,MATCH($L1140,SETUP!$A$36:$A$42,1))))</f>
        <v>4k - 5k</v>
      </c>
      <c r="N1140" s="17">
        <f>IF($C1140="","",IF(OR($G1140="",$I1140=""),"",ROUND(100*(SETUP!$B$4*MIN(1,$I1140/SETUP!$B$9)+SETUP!$B$5*MAX(0,MIN(1,($G1140-SETUP!$B$10)/(SETUP!$B$11-SETUP!$B$10)))+SETUP!$B$6*MIN(1,IF($L1140="",0,$L1140)/SETUP!$B$12)),1)))</f>
        <v>47.5</v>
      </c>
      <c r="O1140" s="15" t="str">
        <f>IF($C1140="","",IF($N1140="","-",INDEX(SETUP!$B$46:$B$51,MATCH($N1140,SETUP!$A$46:$A$51,1))))</f>
        <v>B</v>
      </c>
      <c r="P1140" s="15">
        <f>IF($C1140="","",IF($I1140="","",RANK($I1140,$I$4:$I$1463)+COUNTIF($I$4:$I1140,$I1140)-1))</f>
        <v>547</v>
      </c>
      <c r="Q1140" s="15">
        <f>IF($C1140="","",COUNTIFS($B$4:$B$1463,$B1140,$X$4:$X$1463,"&gt;"&amp;$X1140)+COUNTIFS($B$4:$B1140,$B1140,$X$4:$X1140,"="&amp;$X1140))</f>
        <v>46</v>
      </c>
      <c r="R1140" s="72">
        <f>IF($C1140="","",IF($I1140="","",ROUND(COUNTIF($I$4:$I$1463,"&lt;"&amp;$I1140)/COUNT($I$4:$I$1463),3)))</f>
        <v>0.58699999999999997</v>
      </c>
      <c r="S1140" s="15" t="str">
        <f>IF($C1140="","",IF($G1140="","Name only",IF(OR($I1140="",$L1140=""),"Partial","Complete")))</f>
        <v>Complete</v>
      </c>
      <c r="T1140" s="41" t="str">
        <f>IF($C1140="","",TRIM(IF(COUNTIF($C$4:$C$1463,$C1140)&gt;1,"Dup name; ","")&amp;IF(AND($G1140&lt;&gt;"",$G1140&lt;55000),"Low CR - verify; ","")&amp;IF(AND($L1140&lt;&gt;"",$L1140&gt;15),"Secondary - verify; ","")&amp;IF($E1140="","No class; ","")))</f>
        <v/>
      </c>
      <c r="U1140" s="68"/>
      <c r="V1140" s="68"/>
      <c r="W1140" s="68"/>
      <c r="X1140" s="73">
        <f t="shared" si="87"/>
        <v>4238</v>
      </c>
      <c r="Y1140" s="41" t="str">
        <f t="shared" si="88"/>
        <v>UNDYING|46</v>
      </c>
      <c r="Z1140" s="15">
        <f>IF($C1140="","",IF($G1140="","",RANK($G1140,$G$4:$G$1463)+COUNTIF($G$4:$G1140,$G1140)-1))</f>
        <v>338</v>
      </c>
      <c r="AA1140" s="15">
        <f>IF($C1140="","",IF($N1140="","",RANK($N1140,$N$4:$N$1463)+COUNTIF($N$4:$N1140,$N1140)-1))</f>
        <v>537</v>
      </c>
      <c r="AB1140" s="41" t="str">
        <f>IF($C1140="","",IF($E1140="","",$E1140&amp;"#"&amp;(COUNTIFS($E$4:$E$1463,$E1140,$X$4:$X$1463,"&gt;"&amp;$X1140)+COUNTIFS($E$4:$E1140,$E1140,$X$4:$X1140,"="&amp;$X1140))))</f>
        <v>DRUID#27</v>
      </c>
      <c r="AC1140" s="41" t="str">
        <f>IF($C1140="","",$B1140&amp;"@"&amp;(COUNTIFS($B$4:$B$1463,$B1140,$C$4:$C$1463,"&lt;"&amp;$C1140)+COUNTIFS($B$4:$B1140,$B1140,$C$4:$C1140,$C1140)))</f>
        <v>UNDYING@89</v>
      </c>
      <c r="AD1140" s="41">
        <f t="shared" si="89"/>
        <v>1137</v>
      </c>
      <c r="AE1140" s="41" t="s">
        <v>630</v>
      </c>
      <c r="AF1140" s="73">
        <f t="shared" si="90"/>
        <v>63164</v>
      </c>
      <c r="AG1140" s="74">
        <f t="shared" si="91"/>
        <v>4.5</v>
      </c>
      <c r="AH1140" s="41" t="str">
        <f>IF($C1140="","",$B1140&amp;"|"&amp;(COUNTIFS($B$4:$B$1463,$B1140,$AF$4:$AF$1463,"&gt;"&amp;$AF1140)+COUNTIFS($B$4:$B1140,$B1140,$AF$4:$AF1140,"="&amp;$AF1140)))</f>
        <v>UNDYING|34</v>
      </c>
      <c r="AI1140" s="41" t="str">
        <f>IF($C1140="","",$B1140&amp;"|"&amp;(COUNTIFS($B$4:$B$1463,$B1140,$AG$4:$AG$1463,"&gt;"&amp;$AG1140)+COUNTIFS($B$4:$B1140,$B1140,$AG$4:$AG1140,"="&amp;$AG1140)))</f>
        <v>UNDYING|70</v>
      </c>
    </row>
    <row r="1141" spans="1:35" hidden="1">
      <c r="A1141" s="69" t="s">
        <v>109</v>
      </c>
      <c r="B1141" s="69" t="s">
        <v>118</v>
      </c>
      <c r="C1141" s="63" t="s">
        <v>2465</v>
      </c>
      <c r="D1141" s="69"/>
      <c r="E1141" s="68" t="s">
        <v>79</v>
      </c>
      <c r="F1141" s="19" t="str">
        <f>IF($C1141="","",IF($E1141="","-",IFERROR(INDEX(SETUP!$B$55:$B$64,MATCH($E1141,SETUP!$A$55:$A$64,0)),"Other")))</f>
        <v>Control</v>
      </c>
      <c r="G1141" s="70">
        <v>54663</v>
      </c>
      <c r="H1141" s="19" t="str">
        <f>IF($C1141="","",IF($G1141="","-",INDEX(SETUP!$B$26:$B$32,MATCH($G1141,SETUP!$A$26:$A$32,1))))</f>
        <v>Under 58,000</v>
      </c>
      <c r="I1141" s="70">
        <v>1066</v>
      </c>
      <c r="J1141" s="19" t="str">
        <f>IF($C1141="","",IF($I1141="","-",INDEX(SETUP!$B$16:$B$22,MATCH($I1141,SETUP!$A$16:$A$22,1))))</f>
        <v>ROOKIE</v>
      </c>
      <c r="K1141" s="19" t="str">
        <f>IF($C1141="","",IF($I1141="","-",TEXT(INT($I1141/1000)*1000,"#,##0")&amp;" - "&amp;TEXT(INT($I1141/1000)*1000+999,"#,##0")))</f>
        <v>1,000 - 1,999</v>
      </c>
      <c r="L1141" s="71">
        <v>2</v>
      </c>
      <c r="M1141" s="19" t="str">
        <f>IF($C1141="","",IF($L1141="","-",INDEX(SETUP!$B$36:$B$42,MATCH($L1141,SETUP!$A$36:$A$42,1))))</f>
        <v>Under 3k</v>
      </c>
      <c r="N1141" s="21">
        <f>IF($C1141="","",IF(OR($G1141="",$I1141=""),"",ROUND(100*(SETUP!$B$4*MIN(1,$I1141/SETUP!$B$9)+SETUP!$B$5*MAX(0,MIN(1,($G1141-SETUP!$B$10)/(SETUP!$B$11-SETUP!$B$10)))+SETUP!$B$6*MIN(1,IF($L1141="",0,$L1141)/SETUP!$B$12)),1)))</f>
        <v>8</v>
      </c>
      <c r="O1141" s="19" t="str">
        <f>IF($C1141="","",IF($N1141="","-",INDEX(SETUP!$B$46:$B$51,MATCH($N1141,SETUP!$A$46:$A$51,1))))</f>
        <v>D</v>
      </c>
      <c r="P1141" s="19">
        <f>IF($C1141="","",IF($I1141="","",RANK($I1141,$I$4:$I$1463)+COUNTIF($I$4:$I1141,$I1141)-1))</f>
        <v>1261</v>
      </c>
      <c r="Q1141" s="19">
        <f>IF($C1141="","",COUNTIFS($B$4:$B$1463,$B1141,$X$4:$X$1463,"&gt;"&amp;$X1141)+COUNTIFS($B$4:$B1141,$B1141,$X$4:$X1141,"="&amp;$X1141))</f>
        <v>79</v>
      </c>
      <c r="R1141" s="75">
        <f>IF($C1141="","",IF($I1141="","",ROUND(COUNTIF($I$4:$I$1463,"&lt;"&amp;$I1141)/COUNT($I$4:$I$1463),3)))</f>
        <v>4.8000000000000001E-2</v>
      </c>
      <c r="S1141" s="19" t="str">
        <f>IF($C1141="","",IF($G1141="","Name only",IF(OR($I1141="",$L1141=""),"Partial","Complete")))</f>
        <v>Complete</v>
      </c>
      <c r="T1141" s="1" t="str">
        <f>IF($C1141="","",TRIM(IF(COUNTIF($C$4:$C$1463,$C1141)&gt;1,"Dup name; ","")&amp;IF(AND($G1141&lt;&gt;"",$G1141&lt;55000),"Low CR - verify; ","")&amp;IF(AND($L1141&lt;&gt;"",$L1141&gt;15),"Secondary - verify; ","")&amp;IF($E1141="","No class; ","")))</f>
        <v>Low CR - verify;</v>
      </c>
      <c r="U1141" s="68"/>
      <c r="V1141" s="68"/>
      <c r="W1141" s="68"/>
      <c r="X1141" s="76">
        <f t="shared" si="87"/>
        <v>1066</v>
      </c>
      <c r="Y1141" s="1" t="str">
        <f t="shared" si="88"/>
        <v>ZOMBIES|79</v>
      </c>
      <c r="Z1141" s="19">
        <f>IF($C1141="","",IF($G1141="","",RANK($G1141,$G$4:$G$1463)+COUNTIF($G$4:$G1141,$G1141)-1))</f>
        <v>1320</v>
      </c>
      <c r="AA1141" s="19">
        <f>IF($C1141="","",IF($N1141="","",RANK($N1141,$N$4:$N$1463)+COUNTIF($N$4:$N1141,$N1141)-1))</f>
        <v>1323</v>
      </c>
      <c r="AB1141" s="1" t="str">
        <f>IF($C1141="","",IF($E1141="","",$E1141&amp;"#"&amp;(COUNTIFS($E$4:$E$1463,$E1141,$X$4:$X$1463,"&gt;"&amp;$X1141)+COUNTIFS($E$4:$E1141,$E1141,$X$4:$X1141,"="&amp;$X1141))))</f>
        <v>WARLOCK#310</v>
      </c>
      <c r="AC1141" s="1" t="str">
        <f>IF($C1141="","",$B1141&amp;"@"&amp;(COUNTIFS($B$4:$B$1463,$B1141,$C$4:$C$1463,"&lt;"&amp;$C1141)+COUNTIFS($B$4:$B1141,$B1141,$C$4:$C1141,$C1141)))</f>
        <v>ZOMBIES@78</v>
      </c>
      <c r="AD1141" s="1">
        <f t="shared" si="89"/>
        <v>1138</v>
      </c>
      <c r="AE1141" s="1" t="s">
        <v>1366</v>
      </c>
      <c r="AF1141" s="76">
        <f t="shared" si="90"/>
        <v>54663</v>
      </c>
      <c r="AG1141" s="77">
        <f t="shared" si="91"/>
        <v>2</v>
      </c>
      <c r="AH1141" s="1" t="str">
        <f>IF($C1141="","",$B1141&amp;"|"&amp;(COUNTIFS($B$4:$B$1463,$B1141,$AF$4:$AF$1463,"&gt;"&amp;$AF1141)+COUNTIFS($B$4:$B1141,$B1141,$AF$4:$AF1141,"="&amp;$AF1141)))</f>
        <v>ZOMBIES|98</v>
      </c>
      <c r="AI1141" s="1" t="str">
        <f>IF($C1141="","",$B1141&amp;"|"&amp;(COUNTIFS($B$4:$B$1463,$B1141,$AG$4:$AG$1463,"&gt;"&amp;$AG1141)+COUNTIFS($B$4:$B1141,$B1141,$AG$4:$AG1141,"="&amp;$AG1141)))</f>
        <v>ZOMBIES|97</v>
      </c>
    </row>
    <row r="1142" spans="1:35" hidden="1">
      <c r="A1142" s="69" t="s">
        <v>109</v>
      </c>
      <c r="B1142" s="69" t="s">
        <v>118</v>
      </c>
      <c r="C1142" s="63" t="s">
        <v>2466</v>
      </c>
      <c r="D1142" s="69"/>
      <c r="E1142" s="68" t="s">
        <v>71</v>
      </c>
      <c r="F1142" s="15" t="str">
        <f>IF($C1142="","",IF($E1142="","-",IFERROR(INDEX(SETUP!$B$55:$B$64,MATCH($E1142,SETUP!$A$55:$A$64,0)),"Other")))</f>
        <v>Frontline</v>
      </c>
      <c r="G1142" s="70">
        <v>61161</v>
      </c>
      <c r="H1142" s="15" t="str">
        <f>IF($C1142="","",IF($G1142="","-",INDEX(SETUP!$B$26:$B$32,MATCH($G1142,SETUP!$A$26:$A$32,1))))</f>
        <v>61,000 - 61,999</v>
      </c>
      <c r="I1142" s="70">
        <v>1253</v>
      </c>
      <c r="J1142" s="15" t="str">
        <f>IF($C1142="","",IF($I1142="","-",INDEX(SETUP!$B$16:$B$22,MATCH($I1142,SETUP!$A$16:$A$22,1))))</f>
        <v>ROOKIE</v>
      </c>
      <c r="K1142" s="15" t="str">
        <f>IF($C1142="","",IF($I1142="","-",TEXT(INT($I1142/1000)*1000,"#,##0")&amp;" - "&amp;TEXT(INT($I1142/1000)*1000+999,"#,##0")))</f>
        <v>1,000 - 1,999</v>
      </c>
      <c r="L1142" s="71">
        <v>3</v>
      </c>
      <c r="M1142" s="15" t="str">
        <f>IF($C1142="","",IF($L1142="","-",INDEX(SETUP!$B$36:$B$42,MATCH($L1142,SETUP!$A$36:$A$42,1))))</f>
        <v>3k - 4k</v>
      </c>
      <c r="N1142" s="17">
        <f>IF($C1142="","",IF(OR($G1142="",$I1142=""),"",ROUND(100*(SETUP!$B$4*MIN(1,$I1142/SETUP!$B$9)+SETUP!$B$5*MAX(0,MIN(1,($G1142-SETUP!$B$10)/(SETUP!$B$11-SETUP!$B$10)))+SETUP!$B$6*MIN(1,IF($L1142="",0,$L1142)/SETUP!$B$12)),1)))</f>
        <v>26.7</v>
      </c>
      <c r="O1142" s="15" t="str">
        <f>IF($C1142="","",IF($N1142="","-",INDEX(SETUP!$B$46:$B$51,MATCH($N1142,SETUP!$A$46:$A$51,1))))</f>
        <v>C</v>
      </c>
      <c r="P1142" s="15">
        <f>IF($C1142="","",IF($I1142="","",RANK($I1142,$I$4:$I$1463)+COUNTIF($I$4:$I1142,$I1142)-1))</f>
        <v>1234</v>
      </c>
      <c r="Q1142" s="15">
        <f>IF($C1142="","",COUNTIFS($B$4:$B$1463,$B1142,$X$4:$X$1463,"&gt;"&amp;$X1142)+COUNTIFS($B$4:$B1142,$B1142,$X$4:$X1142,"="&amp;$X1142))</f>
        <v>69</v>
      </c>
      <c r="R1142" s="72">
        <f>IF($C1142="","",IF($I1142="","",ROUND(COUNTIF($I$4:$I$1463,"&lt;"&amp;$I1142)/COUNT($I$4:$I$1463),3)))</f>
        <v>6.9000000000000006E-2</v>
      </c>
      <c r="S1142" s="15" t="str">
        <f>IF($C1142="","",IF($G1142="","Name only",IF(OR($I1142="",$L1142=""),"Partial","Complete")))</f>
        <v>Complete</v>
      </c>
      <c r="T1142" s="41" t="str">
        <f>IF($C1142="","",TRIM(IF(COUNTIF($C$4:$C$1463,$C1142)&gt;1,"Dup name; ","")&amp;IF(AND($G1142&lt;&gt;"",$G1142&lt;55000),"Low CR - verify; ","")&amp;IF(AND($L1142&lt;&gt;"",$L1142&gt;15),"Secondary - verify; ","")&amp;IF($E1142="","No class; ","")))</f>
        <v/>
      </c>
      <c r="U1142" s="68"/>
      <c r="V1142" s="68"/>
      <c r="W1142" s="68"/>
      <c r="X1142" s="73">
        <f t="shared" si="87"/>
        <v>1253</v>
      </c>
      <c r="Y1142" s="41" t="str">
        <f t="shared" si="88"/>
        <v>ZOMBIES|69</v>
      </c>
      <c r="Z1142" s="15">
        <f>IF($C1142="","",IF($G1142="","",RANK($G1142,$G$4:$G$1463)+COUNTIF($G$4:$G1142,$G1142)-1))</f>
        <v>1105</v>
      </c>
      <c r="AA1142" s="15">
        <f>IF($C1142="","",IF($N1142="","",RANK($N1142,$N$4:$N$1463)+COUNTIF($N$4:$N1142,$N1142)-1))</f>
        <v>1215</v>
      </c>
      <c r="AB1142" s="41" t="str">
        <f>IF($C1142="","",IF($E1142="","",$E1142&amp;"#"&amp;(COUNTIFS($E$4:$E$1463,$E1142,$X$4:$X$1463,"&gt;"&amp;$X1142)+COUNTIFS($E$4:$E1142,$E1142,$X$4:$X1142,"="&amp;$X1142))))</f>
        <v>BARBARIAN#206</v>
      </c>
      <c r="AC1142" s="41" t="str">
        <f>IF($C1142="","",$B1142&amp;"@"&amp;(COUNTIFS($B$4:$B$1463,$B1142,$C$4:$C$1463,"&lt;"&amp;$C1142)+COUNTIFS($B$4:$B1142,$B1142,$C$4:$C1142,$C1142)))</f>
        <v>ZOMBIES@79</v>
      </c>
      <c r="AD1142" s="41">
        <f t="shared" si="89"/>
        <v>1139</v>
      </c>
      <c r="AE1142" s="41" t="s">
        <v>611</v>
      </c>
      <c r="AF1142" s="73">
        <f t="shared" si="90"/>
        <v>61161</v>
      </c>
      <c r="AG1142" s="74">
        <f t="shared" si="91"/>
        <v>3</v>
      </c>
      <c r="AH1142" s="41" t="str">
        <f>IF($C1142="","",$B1142&amp;"|"&amp;(COUNTIFS($B$4:$B$1463,$B1142,$AF$4:$AF$1463,"&gt;"&amp;$AF1142)+COUNTIFS($B$4:$B1142,$B1142,$AF$4:$AF1142,"="&amp;$AF1142)))</f>
        <v>ZOMBIES|49</v>
      </c>
      <c r="AI1142" s="41" t="str">
        <f>IF($C1142="","",$B1142&amp;"|"&amp;(COUNTIFS($B$4:$B$1463,$B1142,$AG$4:$AG$1463,"&gt;"&amp;$AG1142)+COUNTIFS($B$4:$B1142,$B1142,$AG$4:$AG1142,"="&amp;$AG1142)))</f>
        <v>ZOMBIES|75</v>
      </c>
    </row>
    <row r="1143" spans="1:35" hidden="1">
      <c r="A1143" s="69" t="s">
        <v>109</v>
      </c>
      <c r="B1143" s="69" t="s">
        <v>118</v>
      </c>
      <c r="C1143" s="63" t="s">
        <v>2467</v>
      </c>
      <c r="D1143" s="69"/>
      <c r="E1143" s="68" t="s">
        <v>73</v>
      </c>
      <c r="F1143" s="19" t="str">
        <f>IF($C1143="","",IF($E1143="","-",IFERROR(INDEX(SETUP!$B$55:$B$64,MATCH($E1143,SETUP!$A$55:$A$64,0)),"Other")))</f>
        <v>Frontline</v>
      </c>
      <c r="G1143" s="70">
        <v>61394</v>
      </c>
      <c r="H1143" s="19" t="str">
        <f>IF($C1143="","",IF($G1143="","-",INDEX(SETUP!$B$26:$B$32,MATCH($G1143,SETUP!$A$26:$A$32,1))))</f>
        <v>61,000 - 61,999</v>
      </c>
      <c r="I1143" s="70">
        <v>2529</v>
      </c>
      <c r="J1143" s="19" t="str">
        <f>IF($C1143="","",IF($I1143="","-",INDEX(SETUP!$B$16:$B$22,MATCH($I1143,SETUP!$A$16:$A$22,1))))</f>
        <v>DEVELOPING</v>
      </c>
      <c r="K1143" s="19" t="str">
        <f>IF($C1143="","",IF($I1143="","-",TEXT(INT($I1143/1000)*1000,"#,##0")&amp;" - "&amp;TEXT(INT($I1143/1000)*1000+999,"#,##0")))</f>
        <v>2,000 - 2,999</v>
      </c>
      <c r="L1143" s="71">
        <v>4.55</v>
      </c>
      <c r="M1143" s="19" t="str">
        <f>IF($C1143="","",IF($L1143="","-",INDEX(SETUP!$B$36:$B$42,MATCH($L1143,SETUP!$A$36:$A$42,1))))</f>
        <v>4k - 5k</v>
      </c>
      <c r="N1143" s="21">
        <f>IF($C1143="","",IF(OR($G1143="",$I1143=""),"",ROUND(100*(SETUP!$B$4*MIN(1,$I1143/SETUP!$B$9)+SETUP!$B$5*MAX(0,MIN(1,($G1143-SETUP!$B$10)/(SETUP!$B$11-SETUP!$B$10)))+SETUP!$B$6*MIN(1,IF($L1143="",0,$L1143)/SETUP!$B$12)),1)))</f>
        <v>35.4</v>
      </c>
      <c r="O1143" s="19" t="str">
        <f>IF($C1143="","",IF($N1143="","-",INDEX(SETUP!$B$46:$B$51,MATCH($N1143,SETUP!$A$46:$A$51,1))))</f>
        <v>B</v>
      </c>
      <c r="P1143" s="19">
        <f>IF($C1143="","",IF($I1143="","",RANK($I1143,$I$4:$I$1463)+COUNTIF($I$4:$I1143,$I1143)-1))</f>
        <v>1001</v>
      </c>
      <c r="Q1143" s="19">
        <f>IF($C1143="","",COUNTIFS($B$4:$B$1463,$B1143,$X$4:$X$1463,"&gt;"&amp;$X1143)+COUNTIFS($B$4:$B1143,$B1143,$X$4:$X1143,"="&amp;$X1143))</f>
        <v>23</v>
      </c>
      <c r="R1143" s="75">
        <f>IF($C1143="","",IF($I1143="","",ROUND(COUNTIF($I$4:$I$1463,"&lt;"&amp;$I1143)/COUNT($I$4:$I$1463),3)))</f>
        <v>0.245</v>
      </c>
      <c r="S1143" s="19" t="str">
        <f>IF($C1143="","",IF($G1143="","Name only",IF(OR($I1143="",$L1143=""),"Partial","Complete")))</f>
        <v>Complete</v>
      </c>
      <c r="T1143" s="1" t="str">
        <f>IF($C1143="","",TRIM(IF(COUNTIF($C$4:$C$1463,$C1143)&gt;1,"Dup name; ","")&amp;IF(AND($G1143&lt;&gt;"",$G1143&lt;55000),"Low CR - verify; ","")&amp;IF(AND($L1143&lt;&gt;"",$L1143&gt;15),"Secondary - verify; ","")&amp;IF($E1143="","No class; ","")))</f>
        <v/>
      </c>
      <c r="U1143" s="68"/>
      <c r="V1143" s="68"/>
      <c r="W1143" s="68"/>
      <c r="X1143" s="76">
        <f t="shared" si="87"/>
        <v>2529</v>
      </c>
      <c r="Y1143" s="1" t="str">
        <f t="shared" si="88"/>
        <v>ZOMBIES|23</v>
      </c>
      <c r="Z1143" s="19">
        <f>IF($C1143="","",IF($G1143="","",RANK($G1143,$G$4:$G$1463)+COUNTIF($G$4:$G1143,$G1143)-1))</f>
        <v>1034</v>
      </c>
      <c r="AA1143" s="19">
        <f>IF($C1143="","",IF($N1143="","",RANK($N1143,$N$4:$N$1463)+COUNTIF($N$4:$N1143,$N1143)-1))</f>
        <v>994</v>
      </c>
      <c r="AB1143" s="1" t="str">
        <f>IF($C1143="","",IF($E1143="","",$E1143&amp;"#"&amp;(COUNTIFS($E$4:$E$1463,$E1143,$X$4:$X$1463,"&gt;"&amp;$X1143)+COUNTIFS($E$4:$E1143,$E1143,$X$4:$X1143,"="&amp;$X1143))))</f>
        <v>CRUSADER#99</v>
      </c>
      <c r="AC1143" s="1" t="str">
        <f>IF($C1143="","",$B1143&amp;"@"&amp;(COUNTIFS($B$4:$B$1463,$B1143,$C$4:$C$1463,"&lt;"&amp;$C1143)+COUNTIFS($B$4:$B1143,$B1143,$C$4:$C1143,$C1143)))</f>
        <v>ZOMBIES@80</v>
      </c>
      <c r="AD1143" s="1">
        <f t="shared" si="89"/>
        <v>1140</v>
      </c>
      <c r="AE1143" s="1" t="s">
        <v>2468</v>
      </c>
      <c r="AF1143" s="76">
        <f t="shared" si="90"/>
        <v>61394</v>
      </c>
      <c r="AG1143" s="77">
        <f t="shared" si="91"/>
        <v>4.55</v>
      </c>
      <c r="AH1143" s="1" t="str">
        <f>IF($C1143="","",$B1143&amp;"|"&amp;(COUNTIFS($B$4:$B$1463,$B1143,$AF$4:$AF$1463,"&gt;"&amp;$AF1143)+COUNTIFS($B$4:$B1143,$B1143,$AF$4:$AF1143,"="&amp;$AF1143)))</f>
        <v>ZOMBIES|41</v>
      </c>
      <c r="AI1143" s="1" t="str">
        <f>IF($C1143="","",$B1143&amp;"|"&amp;(COUNTIFS($B$4:$B$1463,$B1143,$AG$4:$AG$1463,"&gt;"&amp;$AG1143)+COUNTIFS($B$4:$B1143,$B1143,$AG$4:$AG1143,"="&amp;$AG1143)))</f>
        <v>ZOMBIES|18</v>
      </c>
    </row>
    <row r="1144" spans="1:35" hidden="1">
      <c r="A1144" s="69" t="s">
        <v>109</v>
      </c>
      <c r="B1144" s="69" t="s">
        <v>112</v>
      </c>
      <c r="C1144" s="63" t="s">
        <v>2469</v>
      </c>
      <c r="D1144" s="69" t="s">
        <v>567</v>
      </c>
      <c r="E1144" s="68" t="s">
        <v>72</v>
      </c>
      <c r="F1144" s="15" t="str">
        <f>IF($C1144="","",IF($E1144="","-",IFERROR(INDEX(SETUP!$B$55:$B$64,MATCH($E1144,SETUP!$A$55:$A$64,0)),"Other")))</f>
        <v>Frontline</v>
      </c>
      <c r="G1144" s="70">
        <v>62171</v>
      </c>
      <c r="H1144" s="15" t="str">
        <f>IF($C1144="","",IF($G1144="","-",INDEX(SETUP!$B$26:$B$32,MATCH($G1144,SETUP!$A$26:$A$32,1))))</f>
        <v>62,000 - 62,999</v>
      </c>
      <c r="I1144" s="70">
        <v>7221</v>
      </c>
      <c r="J1144" s="15" t="str">
        <f>IF($C1144="","",IF($I1144="","-",INDEX(SETUP!$B$16:$B$22,MATCH($I1144,SETUP!$A$16:$A$22,1))))</f>
        <v>VETERAN</v>
      </c>
      <c r="K1144" s="15" t="str">
        <f>IF($C1144="","",IF($I1144="","-",TEXT(INT($I1144/1000)*1000,"#,##0")&amp;" - "&amp;TEXT(INT($I1144/1000)*1000+999,"#,##0")))</f>
        <v>7,000 - 7,999</v>
      </c>
      <c r="L1144" s="71">
        <v>5.0999999999999996</v>
      </c>
      <c r="M1144" s="15" t="str">
        <f>IF($C1144="","",IF($L1144="","-",INDEX(SETUP!$B$36:$B$42,MATCH($L1144,SETUP!$A$36:$A$42,1))))</f>
        <v>5k - 6k</v>
      </c>
      <c r="N1144" s="17">
        <f>IF($C1144="","",IF(OR($G1144="",$I1144=""),"",ROUND(100*(SETUP!$B$4*MIN(1,$I1144/SETUP!$B$9)+SETUP!$B$5*MAX(0,MIN(1,($G1144-SETUP!$B$10)/(SETUP!$B$11-SETUP!$B$10)))+SETUP!$B$6*MIN(1,IF($L1144="",0,$L1144)/SETUP!$B$12)),1)))</f>
        <v>58.9</v>
      </c>
      <c r="O1144" s="15" t="str">
        <f>IF($C1144="","",IF($N1144="","-",INDEX(SETUP!$B$46:$B$51,MATCH($N1144,SETUP!$A$46:$A$51,1))))</f>
        <v>A</v>
      </c>
      <c r="P1144" s="15">
        <f>IF($C1144="","",IF($I1144="","",RANK($I1144,$I$4:$I$1463)+COUNTIF($I$4:$I1144,$I1144)-1))</f>
        <v>202</v>
      </c>
      <c r="Q1144" s="15">
        <f>IF($C1144="","",COUNTIFS($B$4:$B$1463,$B1144,$X$4:$X$1463,"&gt;"&amp;$X1144)+COUNTIFS($B$4:$B1144,$B1144,$X$4:$X1144,"="&amp;$X1144))</f>
        <v>9</v>
      </c>
      <c r="R1144" s="72">
        <f>IF($C1144="","",IF($I1144="","",ROUND(COUNTIF($I$4:$I$1463,"&lt;"&amp;$I1144)/COUNT($I$4:$I$1463),3)))</f>
        <v>0.84799999999999998</v>
      </c>
      <c r="S1144" s="15" t="str">
        <f>IF($C1144="","",IF($G1144="","Name only",IF(OR($I1144="",$L1144=""),"Partial","Complete")))</f>
        <v>Complete</v>
      </c>
      <c r="T1144" s="41" t="str">
        <f>IF($C1144="","",TRIM(IF(COUNTIF($C$4:$C$1463,$C1144)&gt;1,"Dup name; ","")&amp;IF(AND($G1144&lt;&gt;"",$G1144&lt;55000),"Low CR - verify; ","")&amp;IF(AND($L1144&lt;&gt;"",$L1144&gt;15),"Secondary - verify; ","")&amp;IF($E1144="","No class; ","")))</f>
        <v/>
      </c>
      <c r="U1144" s="68"/>
      <c r="V1144" s="68"/>
      <c r="W1144" s="68"/>
      <c r="X1144" s="73">
        <f t="shared" si="87"/>
        <v>7221</v>
      </c>
      <c r="Y1144" s="41" t="str">
        <f t="shared" si="88"/>
        <v>ACHERON|9</v>
      </c>
      <c r="Z1144" s="15">
        <f>IF($C1144="","",IF($G1144="","",RANK($G1144,$G$4:$G$1463)+COUNTIF($G$4:$G1144,$G1144)-1))</f>
        <v>768</v>
      </c>
      <c r="AA1144" s="15">
        <f>IF($C1144="","",IF($N1144="","",RANK($N1144,$N$4:$N$1463)+COUNTIF($N$4:$N1144,$N1144)-1))</f>
        <v>250</v>
      </c>
      <c r="AB1144" s="41" t="str">
        <f>IF($C1144="","",IF($E1144="","",$E1144&amp;"#"&amp;(COUNTIFS($E$4:$E$1463,$E1144,$X$4:$X$1463,"&gt;"&amp;$X1144)+COUNTIFS($E$4:$E1144,$E1144,$X$4:$X1144,"="&amp;$X1144))))</f>
        <v>BLOOD KNIGHT#11</v>
      </c>
      <c r="AC1144" s="41" t="str">
        <f>IF($C1144="","",$B1144&amp;"@"&amp;(COUNTIFS($B$4:$B$1463,$B1144,$C$4:$C$1463,"&lt;"&amp;$C1144)+COUNTIFS($B$4:$B1144,$B1144,$C$4:$C1144,$C1144)))</f>
        <v>ACHERON@78</v>
      </c>
      <c r="AD1144" s="41">
        <f t="shared" si="89"/>
        <v>1141</v>
      </c>
      <c r="AE1144" s="41" t="s">
        <v>2470</v>
      </c>
      <c r="AF1144" s="73">
        <f t="shared" si="90"/>
        <v>62171</v>
      </c>
      <c r="AG1144" s="74">
        <f t="shared" si="91"/>
        <v>5.0999999999999996</v>
      </c>
      <c r="AH1144" s="41" t="str">
        <f>IF($C1144="","",$B1144&amp;"|"&amp;(COUNTIFS($B$4:$B$1463,$B1144,$AF$4:$AF$1463,"&gt;"&amp;$AF1144)+COUNTIFS($B$4:$B1144,$B1144,$AF$4:$AF1144,"="&amp;$AF1144)))</f>
        <v>ACHERON|61</v>
      </c>
      <c r="AI1144" s="41" t="str">
        <f>IF($C1144="","",$B1144&amp;"|"&amp;(COUNTIFS($B$4:$B$1463,$B1144,$AG$4:$AG$1463,"&gt;"&amp;$AG1144)+COUNTIFS($B$4:$B1144,$B1144,$AG$4:$AG1144,"="&amp;$AG1144)))</f>
        <v>ACHERON|43</v>
      </c>
    </row>
    <row r="1145" spans="1:35" hidden="1">
      <c r="A1145" s="69" t="s">
        <v>109</v>
      </c>
      <c r="B1145" s="69" t="s">
        <v>118</v>
      </c>
      <c r="C1145" s="63" t="s">
        <v>2471</v>
      </c>
      <c r="D1145" s="69"/>
      <c r="E1145" s="68" t="s">
        <v>75</v>
      </c>
      <c r="F1145" s="19" t="str">
        <f>IF($C1145="","",IF($E1145="","-",IFERROR(INDEX(SETUP!$B$55:$B$64,MATCH($E1145,SETUP!$A$55:$A$64,0)),"Other")))</f>
        <v>Support</v>
      </c>
      <c r="G1145" s="70">
        <v>63698</v>
      </c>
      <c r="H1145" s="19" t="str">
        <f>IF($C1145="","",IF($G1145="","-",INDEX(SETUP!$B$26:$B$32,MATCH($G1145,SETUP!$A$26:$A$32,1))))</f>
        <v>63,000 - 63,999</v>
      </c>
      <c r="I1145" s="70">
        <v>8652</v>
      </c>
      <c r="J1145" s="19" t="str">
        <f>IF($C1145="","",IF($I1145="","-",INDEX(SETUP!$B$16:$B$22,MATCH($I1145,SETUP!$A$16:$A$22,1))))</f>
        <v>ELITE</v>
      </c>
      <c r="K1145" s="19" t="str">
        <f>IF($C1145="","",IF($I1145="","-",TEXT(INT($I1145/1000)*1000,"#,##0")&amp;" - "&amp;TEXT(INT($I1145/1000)*1000+999,"#,##0")))</f>
        <v>8,000 - 8,999</v>
      </c>
      <c r="L1145" s="71">
        <v>6.25</v>
      </c>
      <c r="M1145" s="19" t="str">
        <f>IF($C1145="","",IF($L1145="","-",INDEX(SETUP!$B$36:$B$42,MATCH($L1145,SETUP!$A$36:$A$42,1))))</f>
        <v>6k - 8k</v>
      </c>
      <c r="N1145" s="21">
        <f>IF($C1145="","",IF(OR($G1145="",$I1145=""),"",ROUND(100*(SETUP!$B$4*MIN(1,$I1145/SETUP!$B$9)+SETUP!$B$5*MAX(0,MIN(1,($G1145-SETUP!$B$10)/(SETUP!$B$11-SETUP!$B$10)))+SETUP!$B$6*MIN(1,IF($L1145="",0,$L1145)/SETUP!$B$12)),1)))</f>
        <v>71.099999999999994</v>
      </c>
      <c r="O1145" s="19" t="str">
        <f>IF($C1145="","",IF($N1145="","-",INDEX(SETUP!$B$46:$B$51,MATCH($N1145,SETUP!$A$46:$A$51,1))))</f>
        <v>S</v>
      </c>
      <c r="P1145" s="19">
        <f>IF($C1145="","",IF($I1145="","",RANK($I1145,$I$4:$I$1463)+COUNTIF($I$4:$I1145,$I1145)-1))</f>
        <v>112</v>
      </c>
      <c r="Q1145" s="19">
        <f>IF($C1145="","",COUNTIFS($B$4:$B$1463,$B1145,$X$4:$X$1463,"&gt;"&amp;$X1145)+COUNTIFS($B$4:$B1145,$B1145,$X$4:$X1145,"="&amp;$X1145))</f>
        <v>1</v>
      </c>
      <c r="R1145" s="75">
        <f>IF($C1145="","",IF($I1145="","",ROUND(COUNTIF($I$4:$I$1463,"&lt;"&amp;$I1145)/COUNT($I$4:$I$1463),3)))</f>
        <v>0.91500000000000004</v>
      </c>
      <c r="S1145" s="19" t="str">
        <f>IF($C1145="","",IF($G1145="","Name only",IF(OR($I1145="",$L1145=""),"Partial","Complete")))</f>
        <v>Complete</v>
      </c>
      <c r="T1145" s="1" t="str">
        <f>IF($C1145="","",TRIM(IF(COUNTIF($C$4:$C$1463,$C1145)&gt;1,"Dup name; ","")&amp;IF(AND($G1145&lt;&gt;"",$G1145&lt;55000),"Low CR - verify; ","")&amp;IF(AND($L1145&lt;&gt;"",$L1145&gt;15),"Secondary - verify; ","")&amp;IF($E1145="","No class; ","")))</f>
        <v/>
      </c>
      <c r="U1145" s="68"/>
      <c r="V1145" s="68"/>
      <c r="W1145" s="68"/>
      <c r="X1145" s="76">
        <f t="shared" si="87"/>
        <v>8652</v>
      </c>
      <c r="Y1145" s="1" t="str">
        <f t="shared" si="88"/>
        <v>ZOMBIES|1</v>
      </c>
      <c r="Z1145" s="19">
        <f>IF($C1145="","",IF($G1145="","",RANK($G1145,$G$4:$G$1463)+COUNTIF($G$4:$G1145,$G1145)-1))</f>
        <v>139</v>
      </c>
      <c r="AA1145" s="19">
        <f>IF($C1145="","",IF($N1145="","",RANK($N1145,$N$4:$N$1463)+COUNTIF($N$4:$N1145,$N1145)-1))</f>
        <v>120</v>
      </c>
      <c r="AB1145" s="1" t="str">
        <f>IF($C1145="","",IF($E1145="","",$E1145&amp;"#"&amp;(COUNTIFS($E$4:$E$1463,$E1145,$X$4:$X$1463,"&gt;"&amp;$X1145)+COUNTIFS($E$4:$E1145,$E1145,$X$4:$X1145,"="&amp;$X1145))))</f>
        <v>DRUID#6</v>
      </c>
      <c r="AC1145" s="1" t="str">
        <f>IF($C1145="","",$B1145&amp;"@"&amp;(COUNTIFS($B$4:$B$1463,$B1145,$C$4:$C$1463,"&lt;"&amp;$C1145)+COUNTIFS($B$4:$B1145,$B1145,$C$4:$C1145,$C1145)))</f>
        <v>ZOMBIES@81</v>
      </c>
      <c r="AD1145" s="1">
        <f t="shared" si="89"/>
        <v>1142</v>
      </c>
      <c r="AE1145" s="1" t="s">
        <v>2472</v>
      </c>
      <c r="AF1145" s="76">
        <f t="shared" si="90"/>
        <v>63698</v>
      </c>
      <c r="AG1145" s="77">
        <f t="shared" si="91"/>
        <v>6.25</v>
      </c>
      <c r="AH1145" s="1" t="str">
        <f>IF($C1145="","",$B1145&amp;"|"&amp;(COUNTIFS($B$4:$B$1463,$B1145,$AF$4:$AF$1463,"&gt;"&amp;$AF1145)+COUNTIFS($B$4:$B1145,$B1145,$AF$4:$AF1145,"="&amp;$AF1145)))</f>
        <v>ZOMBIES|1</v>
      </c>
      <c r="AI1145" s="1" t="str">
        <f>IF($C1145="","",$B1145&amp;"|"&amp;(COUNTIFS($B$4:$B$1463,$B1145,$AG$4:$AG$1463,"&gt;"&amp;$AG1145)+COUNTIFS($B$4:$B1145,$B1145,$AG$4:$AG1145,"="&amp;$AG1145)))</f>
        <v>ZOMBIES|4</v>
      </c>
    </row>
    <row r="1146" spans="1:35" hidden="1">
      <c r="A1146" s="69" t="s">
        <v>109</v>
      </c>
      <c r="B1146" s="69" t="s">
        <v>111</v>
      </c>
      <c r="C1146" s="63" t="s">
        <v>2473</v>
      </c>
      <c r="D1146" s="69" t="s">
        <v>527</v>
      </c>
      <c r="E1146" s="68" t="s">
        <v>76</v>
      </c>
      <c r="F1146" s="15" t="str">
        <f>IF($C1146="","",IF($E1146="","-",IFERROR(INDEX(SETUP!$B$55:$B$64,MATCH($E1146,SETUP!$A$55:$A$64,0)),"Other")))</f>
        <v>Support</v>
      </c>
      <c r="G1146" s="70">
        <v>62021</v>
      </c>
      <c r="H1146" s="15" t="str">
        <f>IF($C1146="","",IF($G1146="","-",INDEX(SETUP!$B$26:$B$32,MATCH($G1146,SETUP!$A$26:$A$32,1))))</f>
        <v>62,000 - 62,999</v>
      </c>
      <c r="I1146" s="70">
        <v>1310</v>
      </c>
      <c r="J1146" s="15" t="str">
        <f>IF($C1146="","",IF($I1146="","-",INDEX(SETUP!$B$16:$B$22,MATCH($I1146,SETUP!$A$16:$A$22,1))))</f>
        <v>ROOKIE</v>
      </c>
      <c r="K1146" s="15" t="str">
        <f>IF($C1146="","",IF($I1146="","-",TEXT(INT($I1146/1000)*1000,"#,##0")&amp;" - "&amp;TEXT(INT($I1146/1000)*1000+999,"#,##0")))</f>
        <v>1,000 - 1,999</v>
      </c>
      <c r="L1146" s="71">
        <v>4.95</v>
      </c>
      <c r="M1146" s="15" t="str">
        <f>IF($C1146="","",IF($L1146="","-",INDEX(SETUP!$B$36:$B$42,MATCH($L1146,SETUP!$A$36:$A$42,1))))</f>
        <v>4k - 5k</v>
      </c>
      <c r="N1146" s="17">
        <f>IF($C1146="","",IF(OR($G1146="",$I1146=""),"",ROUND(100*(SETUP!$B$4*MIN(1,$I1146/SETUP!$B$9)+SETUP!$B$5*MAX(0,MIN(1,($G1146-SETUP!$B$10)/(SETUP!$B$11-SETUP!$B$10)))+SETUP!$B$6*MIN(1,IF($L1146="",0,$L1146)/SETUP!$B$12)),1)))</f>
        <v>32.4</v>
      </c>
      <c r="O1146" s="15" t="str">
        <f>IF($C1146="","",IF($N1146="","-",INDEX(SETUP!$B$46:$B$51,MATCH($N1146,SETUP!$A$46:$A$51,1))))</f>
        <v>C</v>
      </c>
      <c r="P1146" s="15">
        <f>IF($C1146="","",IF($I1146="","",RANK($I1146,$I$4:$I$1463)+COUNTIF($I$4:$I1146,$I1146)-1))</f>
        <v>1228</v>
      </c>
      <c r="Q1146" s="15">
        <f>IF($C1146="","",COUNTIFS($B$4:$B$1463,$B1146,$X$4:$X$1463,"&gt;"&amp;$X1146)+COUNTIFS($B$4:$B1146,$B1146,$X$4:$X1146,"="&amp;$X1146))</f>
        <v>97</v>
      </c>
      <c r="R1146" s="72">
        <f>IF($C1146="","",IF($I1146="","",ROUND(COUNTIF($I$4:$I$1463,"&lt;"&amp;$I1146)/COUNT($I$4:$I$1463),3)))</f>
        <v>7.2999999999999995E-2</v>
      </c>
      <c r="S1146" s="15" t="str">
        <f>IF($C1146="","",IF($G1146="","Name only",IF(OR($I1146="",$L1146=""),"Partial","Complete")))</f>
        <v>Complete</v>
      </c>
      <c r="T1146" s="41" t="str">
        <f>IF($C1146="","",TRIM(IF(COUNTIF($C$4:$C$1463,$C1146)&gt;1,"Dup name; ","")&amp;IF(AND($G1146&lt;&gt;"",$G1146&lt;55000),"Low CR - verify; ","")&amp;IF(AND($L1146&lt;&gt;"",$L1146&gt;15),"Secondary - verify; ","")&amp;IF($E1146="","No class; ","")))</f>
        <v/>
      </c>
      <c r="U1146" s="68"/>
      <c r="V1146" s="68"/>
      <c r="W1146" s="68"/>
      <c r="X1146" s="73">
        <f t="shared" si="87"/>
        <v>1310</v>
      </c>
      <c r="Y1146" s="41" t="str">
        <f t="shared" si="88"/>
        <v>RECKONING|97</v>
      </c>
      <c r="Z1146" s="15">
        <f>IF($C1146="","",IF($G1146="","",RANK($G1146,$G$4:$G$1463)+COUNTIF($G$4:$G1146,$G1146)-1))</f>
        <v>832</v>
      </c>
      <c r="AA1146" s="15">
        <f>IF($C1146="","",IF($N1146="","",RANK($N1146,$N$4:$N$1463)+COUNTIF($N$4:$N1146,$N1146)-1))</f>
        <v>1090</v>
      </c>
      <c r="AB1146" s="41" t="str">
        <f>IF($C1146="","",IF($E1146="","",$E1146&amp;"#"&amp;(COUNTIFS($E$4:$E$1463,$E1146,$X$4:$X$1463,"&gt;"&amp;$X1146)+COUNTIFS($E$4:$E1146,$E1146,$X$4:$X1146,"="&amp;$X1146))))</f>
        <v>MONK#39</v>
      </c>
      <c r="AC1146" s="41" t="str">
        <f>IF($C1146="","",$B1146&amp;"@"&amp;(COUNTIFS($B$4:$B$1463,$B1146,$C$4:$C$1463,"&lt;"&amp;$C1146)+COUNTIFS($B$4:$B1146,$B1146,$C$4:$C1146,$C1146)))</f>
        <v>RECKONING@81</v>
      </c>
      <c r="AD1146" s="41">
        <f t="shared" si="89"/>
        <v>1143</v>
      </c>
      <c r="AE1146" s="41" t="s">
        <v>2474</v>
      </c>
      <c r="AF1146" s="73">
        <f t="shared" si="90"/>
        <v>62021</v>
      </c>
      <c r="AG1146" s="74">
        <f t="shared" si="91"/>
        <v>4.95</v>
      </c>
      <c r="AH1146" s="41" t="str">
        <f>IF($C1146="","",$B1146&amp;"|"&amp;(COUNTIFS($B$4:$B$1463,$B1146,$AF$4:$AF$1463,"&gt;"&amp;$AF1146)+COUNTIFS($B$4:$B1146,$B1146,$AF$4:$AF1146,"="&amp;$AF1146)))</f>
        <v>RECKONING|73</v>
      </c>
      <c r="AI1146" s="41" t="str">
        <f>IF($C1146="","",$B1146&amp;"|"&amp;(COUNTIFS($B$4:$B$1463,$B1146,$AG$4:$AG$1463,"&gt;"&amp;$AG1146)+COUNTIFS($B$4:$B1146,$B1146,$AG$4:$AG1146,"="&amp;$AG1146)))</f>
        <v>RECKONING|71</v>
      </c>
    </row>
    <row r="1147" spans="1:35" hidden="1">
      <c r="A1147" s="69" t="s">
        <v>109</v>
      </c>
      <c r="B1147" s="69" t="s">
        <v>111</v>
      </c>
      <c r="C1147" s="63" t="s">
        <v>2475</v>
      </c>
      <c r="D1147" s="69" t="s">
        <v>527</v>
      </c>
      <c r="E1147" s="68" t="s">
        <v>79</v>
      </c>
      <c r="F1147" s="19" t="str">
        <f>IF($C1147="","",IF($E1147="","-",IFERROR(INDEX(SETUP!$B$55:$B$64,MATCH($E1147,SETUP!$A$55:$A$64,0)),"Other")))</f>
        <v>Control</v>
      </c>
      <c r="G1147" s="70">
        <v>63369</v>
      </c>
      <c r="H1147" s="19" t="str">
        <f>IF($C1147="","",IF($G1147="","-",INDEX(SETUP!$B$26:$B$32,MATCH($G1147,SETUP!$A$26:$A$32,1))))</f>
        <v>63,000 - 63,999</v>
      </c>
      <c r="I1147" s="70">
        <v>6173</v>
      </c>
      <c r="J1147" s="19" t="str">
        <f>IF($C1147="","",IF($I1147="","-",INDEX(SETUP!$B$16:$B$22,MATCH($I1147,SETUP!$A$16:$A$22,1))))</f>
        <v>VETERAN</v>
      </c>
      <c r="K1147" s="19" t="str">
        <f>IF($C1147="","",IF($I1147="","-",TEXT(INT($I1147/1000)*1000,"#,##0")&amp;" - "&amp;TEXT(INT($I1147/1000)*1000+999,"#,##0")))</f>
        <v>6,000 - 6,999</v>
      </c>
      <c r="L1147" s="71">
        <v>4.95</v>
      </c>
      <c r="M1147" s="19" t="str">
        <f>IF($C1147="","",IF($L1147="","-",INDEX(SETUP!$B$36:$B$42,MATCH($L1147,SETUP!$A$36:$A$42,1))))</f>
        <v>4k - 5k</v>
      </c>
      <c r="N1147" s="21">
        <f>IF($C1147="","",IF(OR($G1147="",$I1147=""),"",ROUND(100*(SETUP!$B$4*MIN(1,$I1147/SETUP!$B$9)+SETUP!$B$5*MAX(0,MIN(1,($G1147-SETUP!$B$10)/(SETUP!$B$11-SETUP!$B$10)))+SETUP!$B$6*MIN(1,IF($L1147="",0,$L1147)/SETUP!$B$12)),1)))</f>
        <v>57.2</v>
      </c>
      <c r="O1147" s="19" t="str">
        <f>IF($C1147="","",IF($N1147="","-",INDEX(SETUP!$B$46:$B$51,MATCH($N1147,SETUP!$A$46:$A$51,1))))</f>
        <v>A</v>
      </c>
      <c r="P1147" s="19">
        <f>IF($C1147="","",IF($I1147="","",RANK($I1147,$I$4:$I$1463)+COUNTIF($I$4:$I1147,$I1147)-1))</f>
        <v>269</v>
      </c>
      <c r="Q1147" s="19">
        <f>IF($C1147="","",COUNTIFS($B$4:$B$1463,$B1147,$X$4:$X$1463,"&gt;"&amp;$X1147)+COUNTIFS($B$4:$B1147,$B1147,$X$4:$X1147,"="&amp;$X1147))</f>
        <v>31</v>
      </c>
      <c r="R1147" s="75">
        <f>IF($C1147="","",IF($I1147="","",ROUND(COUNTIF($I$4:$I$1463,"&lt;"&amp;$I1147)/COUNT($I$4:$I$1463),3)))</f>
        <v>0.79700000000000004</v>
      </c>
      <c r="S1147" s="19" t="str">
        <f>IF($C1147="","",IF($G1147="","Name only",IF(OR($I1147="",$L1147=""),"Partial","Complete")))</f>
        <v>Complete</v>
      </c>
      <c r="T1147" s="1" t="str">
        <f>IF($C1147="","",TRIM(IF(COUNTIF($C$4:$C$1463,$C1147)&gt;1,"Dup name; ","")&amp;IF(AND($G1147&lt;&gt;"",$G1147&lt;55000),"Low CR - verify; ","")&amp;IF(AND($L1147&lt;&gt;"",$L1147&gt;15),"Secondary - verify; ","")&amp;IF($E1147="","No class; ","")))</f>
        <v/>
      </c>
      <c r="U1147" s="68"/>
      <c r="V1147" s="68"/>
      <c r="W1147" s="68"/>
      <c r="X1147" s="76">
        <f t="shared" si="87"/>
        <v>6173</v>
      </c>
      <c r="Y1147" s="1" t="str">
        <f t="shared" si="88"/>
        <v>RECKONING|31</v>
      </c>
      <c r="Z1147" s="19">
        <f>IF($C1147="","",IF($G1147="","",RANK($G1147,$G$4:$G$1463)+COUNTIF($G$4:$G1147,$G1147)-1))</f>
        <v>234</v>
      </c>
      <c r="AA1147" s="19">
        <f>IF($C1147="","",IF($N1147="","",RANK($N1147,$N$4:$N$1463)+COUNTIF($N$4:$N1147,$N1147)-1))</f>
        <v>276</v>
      </c>
      <c r="AB1147" s="1" t="str">
        <f>IF($C1147="","",IF($E1147="","",$E1147&amp;"#"&amp;(COUNTIFS($E$4:$E$1463,$E1147,$X$4:$X$1463,"&gt;"&amp;$X1147)+COUNTIFS($E$4:$E1147,$E1147,$X$4:$X1147,"="&amp;$X1147))))</f>
        <v>WARLOCK#57</v>
      </c>
      <c r="AC1147" s="1" t="str">
        <f>IF($C1147="","",$B1147&amp;"@"&amp;(COUNTIFS($B$4:$B$1463,$B1147,$C$4:$C$1463,"&lt;"&amp;$C1147)+COUNTIFS($B$4:$B1147,$B1147,$C$4:$C1147,$C1147)))</f>
        <v>RECKONING@82</v>
      </c>
      <c r="AD1147" s="1">
        <f t="shared" si="89"/>
        <v>1144</v>
      </c>
      <c r="AE1147" s="1" t="s">
        <v>2476</v>
      </c>
      <c r="AF1147" s="76">
        <f t="shared" si="90"/>
        <v>63369</v>
      </c>
      <c r="AG1147" s="77">
        <f t="shared" si="91"/>
        <v>4.95</v>
      </c>
      <c r="AH1147" s="1" t="str">
        <f>IF($C1147="","",$B1147&amp;"|"&amp;(COUNTIFS($B$4:$B$1463,$B1147,$AF$4:$AF$1463,"&gt;"&amp;$AF1147)+COUNTIFS($B$4:$B1147,$B1147,$AF$4:$AF1147,"="&amp;$AF1147)))</f>
        <v>RECKONING|26</v>
      </c>
      <c r="AI1147" s="1" t="str">
        <f>IF($C1147="","",$B1147&amp;"|"&amp;(COUNTIFS($B$4:$B$1463,$B1147,$AG$4:$AG$1463,"&gt;"&amp;$AG1147)+COUNTIFS($B$4:$B1147,$B1147,$AG$4:$AG1147,"="&amp;$AG1147)))</f>
        <v>RECKONING|72</v>
      </c>
    </row>
    <row r="1148" spans="1:35" hidden="1">
      <c r="A1148" s="69" t="s">
        <v>109</v>
      </c>
      <c r="B1148" s="69" t="s">
        <v>111</v>
      </c>
      <c r="C1148" s="63" t="s">
        <v>2477</v>
      </c>
      <c r="D1148" s="69" t="s">
        <v>527</v>
      </c>
      <c r="E1148" s="68" t="s">
        <v>71</v>
      </c>
      <c r="F1148" s="15" t="str">
        <f>IF($C1148="","",IF($E1148="","-",IFERROR(INDEX(SETUP!$B$55:$B$64,MATCH($E1148,SETUP!$A$55:$A$64,0)),"Other")))</f>
        <v>Frontline</v>
      </c>
      <c r="G1148" s="70">
        <v>62819</v>
      </c>
      <c r="H1148" s="15" t="str">
        <f>IF($C1148="","",IF($G1148="","-",INDEX(SETUP!$B$26:$B$32,MATCH($G1148,SETUP!$A$26:$A$32,1))))</f>
        <v>62,000 - 62,999</v>
      </c>
      <c r="I1148" s="70">
        <v>3285</v>
      </c>
      <c r="J1148" s="15" t="str">
        <f>IF($C1148="","",IF($I1148="","-",INDEX(SETUP!$B$16:$B$22,MATCH($I1148,SETUP!$A$16:$A$22,1))))</f>
        <v>DEVELOPING</v>
      </c>
      <c r="K1148" s="15" t="str">
        <f>IF($C1148="","",IF($I1148="","-",TEXT(INT($I1148/1000)*1000,"#,##0")&amp;" - "&amp;TEXT(INT($I1148/1000)*1000+999,"#,##0")))</f>
        <v>3,000 - 3,999</v>
      </c>
      <c r="L1148" s="71">
        <v>5.3</v>
      </c>
      <c r="M1148" s="15" t="str">
        <f>IF($C1148="","",IF($L1148="","-",INDEX(SETUP!$B$36:$B$42,MATCH($L1148,SETUP!$A$36:$A$42,1))))</f>
        <v>5k - 6k</v>
      </c>
      <c r="N1148" s="17">
        <f>IF($C1148="","",IF(OR($G1148="",$I1148=""),"",ROUND(100*(SETUP!$B$4*MIN(1,$I1148/SETUP!$B$9)+SETUP!$B$5*MAX(0,MIN(1,($G1148-SETUP!$B$10)/(SETUP!$B$11-SETUP!$B$10)))+SETUP!$B$6*MIN(1,IF($L1148="",0,$L1148)/SETUP!$B$12)),1)))</f>
        <v>43.7</v>
      </c>
      <c r="O1148" s="15" t="str">
        <f>IF($C1148="","",IF($N1148="","-",INDEX(SETUP!$B$46:$B$51,MATCH($N1148,SETUP!$A$46:$A$51,1))))</f>
        <v>B</v>
      </c>
      <c r="P1148" s="15">
        <f>IF($C1148="","",IF($I1148="","",RANK($I1148,$I$4:$I$1463)+COUNTIF($I$4:$I1148,$I1148)-1))</f>
        <v>800</v>
      </c>
      <c r="Q1148" s="15">
        <f>IF($C1148="","",COUNTIFS($B$4:$B$1463,$B1148,$X$4:$X$1463,"&gt;"&amp;$X1148)+COUNTIFS($B$4:$B1148,$B1148,$X$4:$X1148,"="&amp;$X1148))</f>
        <v>83</v>
      </c>
      <c r="R1148" s="72">
        <f>IF($C1148="","",IF($I1148="","",ROUND(COUNTIF($I$4:$I$1463,"&lt;"&amp;$I1148)/COUNT($I$4:$I$1463),3)))</f>
        <v>0.39600000000000002</v>
      </c>
      <c r="S1148" s="15" t="str">
        <f>IF($C1148="","",IF($G1148="","Name only",IF(OR($I1148="",$L1148=""),"Partial","Complete")))</f>
        <v>Complete</v>
      </c>
      <c r="T1148" s="41" t="str">
        <f>IF($C1148="","",TRIM(IF(COUNTIF($C$4:$C$1463,$C1148)&gt;1,"Dup name; ","")&amp;IF(AND($G1148&lt;&gt;"",$G1148&lt;55000),"Low CR - verify; ","")&amp;IF(AND($L1148&lt;&gt;"",$L1148&gt;15),"Secondary - verify; ","")&amp;IF($E1148="","No class; ","")))</f>
        <v/>
      </c>
      <c r="U1148" s="68"/>
      <c r="V1148" s="68"/>
      <c r="W1148" s="68"/>
      <c r="X1148" s="73">
        <f t="shared" si="87"/>
        <v>3285</v>
      </c>
      <c r="Y1148" s="41" t="str">
        <f t="shared" si="88"/>
        <v>RECKONING|83</v>
      </c>
      <c r="Z1148" s="15">
        <f>IF($C1148="","",IF($G1148="","",RANK($G1148,$G$4:$G$1463)+COUNTIF($G$4:$G1148,$G1148)-1))</f>
        <v>511</v>
      </c>
      <c r="AA1148" s="15">
        <f>IF($C1148="","",IF($N1148="","",RANK($N1148,$N$4:$N$1463)+COUNTIF($N$4:$N1148,$N1148)-1))</f>
        <v>682</v>
      </c>
      <c r="AB1148" s="41" t="str">
        <f>IF($C1148="","",IF($E1148="","",$E1148&amp;"#"&amp;(COUNTIFS($E$4:$E$1463,$E1148,$X$4:$X$1463,"&gt;"&amp;$X1148)+COUNTIFS($E$4:$E1148,$E1148,$X$4:$X1148,"="&amp;$X1148))))</f>
        <v>BARBARIAN#141</v>
      </c>
      <c r="AC1148" s="41" t="str">
        <f>IF($C1148="","",$B1148&amp;"@"&amp;(COUNTIFS($B$4:$B$1463,$B1148,$C$4:$C$1463,"&lt;"&amp;$C1148)+COUNTIFS($B$4:$B1148,$B1148,$C$4:$C1148,$C1148)))</f>
        <v>RECKONING@83</v>
      </c>
      <c r="AD1148" s="41">
        <f t="shared" si="89"/>
        <v>1145</v>
      </c>
      <c r="AE1148" s="41" t="s">
        <v>1755</v>
      </c>
      <c r="AF1148" s="73">
        <f t="shared" si="90"/>
        <v>62819</v>
      </c>
      <c r="AG1148" s="74">
        <f t="shared" si="91"/>
        <v>5.3</v>
      </c>
      <c r="AH1148" s="41" t="str">
        <f>IF($C1148="","",$B1148&amp;"|"&amp;(COUNTIFS($B$4:$B$1463,$B1148,$AF$4:$AF$1463,"&gt;"&amp;$AF1148)+COUNTIFS($B$4:$B1148,$B1148,$AF$4:$AF1148,"="&amp;$AF1148)))</f>
        <v>RECKONING|48</v>
      </c>
      <c r="AI1148" s="41" t="str">
        <f>IF($C1148="","",$B1148&amp;"|"&amp;(COUNTIFS($B$4:$B$1463,$B1148,$AG$4:$AG$1463,"&gt;"&amp;$AG1148)+COUNTIFS($B$4:$B1148,$B1148,$AG$4:$AG1148,"="&amp;$AG1148)))</f>
        <v>RECKONING|56</v>
      </c>
    </row>
    <row r="1149" spans="1:35" hidden="1">
      <c r="A1149" s="69" t="s">
        <v>106</v>
      </c>
      <c r="B1149" s="69" t="s">
        <v>107</v>
      </c>
      <c r="C1149" s="63" t="s">
        <v>2478</v>
      </c>
      <c r="D1149" s="69"/>
      <c r="E1149" s="68" t="s">
        <v>74</v>
      </c>
      <c r="F1149" s="19" t="str">
        <f>IF($C1149="","",IF($E1149="","-",IFERROR(INDEX(SETUP!$B$55:$B$64,MATCH($E1149,SETUP!$A$55:$A$64,0)),"Other")))</f>
        <v>Ranged DPS</v>
      </c>
      <c r="G1149" s="70">
        <v>62205</v>
      </c>
      <c r="H1149" s="19" t="str">
        <f>IF($C1149="","",IF($G1149="","-",INDEX(SETUP!$B$26:$B$32,MATCH($G1149,SETUP!$A$26:$A$32,1))))</f>
        <v>62,000 - 62,999</v>
      </c>
      <c r="I1149" s="70">
        <v>4086</v>
      </c>
      <c r="J1149" s="19" t="str">
        <f>IF($C1149="","",IF($I1149="","-",INDEX(SETUP!$B$16:$B$22,MATCH($I1149,SETUP!$A$16:$A$22,1))))</f>
        <v>CORE</v>
      </c>
      <c r="K1149" s="19" t="str">
        <f>IF($C1149="","",IF($I1149="","-",TEXT(INT($I1149/1000)*1000,"#,##0")&amp;" - "&amp;TEXT(INT($I1149/1000)*1000+999,"#,##0")))</f>
        <v>4,000 - 4,999</v>
      </c>
      <c r="L1149" s="71">
        <v>5.3</v>
      </c>
      <c r="M1149" s="19" t="str">
        <f>IF($C1149="","",IF($L1149="","-",INDEX(SETUP!$B$36:$B$42,MATCH($L1149,SETUP!$A$36:$A$42,1))))</f>
        <v>5k - 6k</v>
      </c>
      <c r="N1149" s="21">
        <f>IF($C1149="","",IF(OR($G1149="",$I1149=""),"",ROUND(100*(SETUP!$B$4*MIN(1,$I1149/SETUP!$B$9)+SETUP!$B$5*MAX(0,MIN(1,($G1149-SETUP!$B$10)/(SETUP!$B$11-SETUP!$B$10)))+SETUP!$B$6*MIN(1,IF($L1149="",0,$L1149)/SETUP!$B$12)),1)))</f>
        <v>45.6</v>
      </c>
      <c r="O1149" s="19" t="str">
        <f>IF($C1149="","",IF($N1149="","-",INDEX(SETUP!$B$46:$B$51,MATCH($N1149,SETUP!$A$46:$A$51,1))))</f>
        <v>B</v>
      </c>
      <c r="P1149" s="19">
        <f>IF($C1149="","",IF($I1149="","",RANK($I1149,$I$4:$I$1463)+COUNTIF($I$4:$I1149,$I1149)-1))</f>
        <v>578</v>
      </c>
      <c r="Q1149" s="19">
        <f>IF($C1149="","",COUNTIFS($B$4:$B$1463,$B1149,$X$4:$X$1463,"&gt;"&amp;$X1149)+COUNTIFS($B$4:$B1149,$B1149,$X$4:$X1149,"="&amp;$X1149))</f>
        <v>50</v>
      </c>
      <c r="R1149" s="75">
        <f>IF($C1149="","",IF($I1149="","",ROUND(COUNTIF($I$4:$I$1463,"&lt;"&amp;$I1149)/COUNT($I$4:$I$1463),3)))</f>
        <v>0.56399999999999995</v>
      </c>
      <c r="S1149" s="19" t="str">
        <f>IF($C1149="","",IF($G1149="","Name only",IF(OR($I1149="",$L1149=""),"Partial","Complete")))</f>
        <v>Complete</v>
      </c>
      <c r="T1149" s="1" t="str">
        <f>IF($C1149="","",TRIM(IF(COUNTIF($C$4:$C$1463,$C1149)&gt;1,"Dup name; ","")&amp;IF(AND($G1149&lt;&gt;"",$G1149&lt;55000),"Low CR - verify; ","")&amp;IF(AND($L1149&lt;&gt;"",$L1149&gt;15),"Secondary - verify; ","")&amp;IF($E1149="","No class; ","")))</f>
        <v/>
      </c>
      <c r="U1149" s="68"/>
      <c r="V1149" s="68"/>
      <c r="W1149" s="68"/>
      <c r="X1149" s="76">
        <f t="shared" si="87"/>
        <v>4086</v>
      </c>
      <c r="Y1149" s="1" t="str">
        <f t="shared" si="88"/>
        <v>UNDYING|50</v>
      </c>
      <c r="Z1149" s="19">
        <f>IF($C1149="","",IF($G1149="","",RANK($G1149,$G$4:$G$1463)+COUNTIF($G$4:$G1149,$G1149)-1))</f>
        <v>756</v>
      </c>
      <c r="AA1149" s="19">
        <f>IF($C1149="","",IF($N1149="","",RANK($N1149,$N$4:$N$1463)+COUNTIF($N$4:$N1149,$N1149)-1))</f>
        <v>602</v>
      </c>
      <c r="AB1149" s="1" t="str">
        <f>IF($C1149="","",IF($E1149="","",$E1149&amp;"#"&amp;(COUNTIFS($E$4:$E$1463,$E1149,$X$4:$X$1463,"&gt;"&amp;$X1149)+COUNTIFS($E$4:$E1149,$E1149,$X$4:$X1149,"="&amp;$X1149))))</f>
        <v>DEMON HUNTER#91</v>
      </c>
      <c r="AC1149" s="1" t="str">
        <f>IF($C1149="","",$B1149&amp;"@"&amp;(COUNTIFS($B$4:$B$1463,$B1149,$C$4:$C$1463,"&lt;"&amp;$C1149)+COUNTIFS($B$4:$B1149,$B1149,$C$4:$C1149,$C1149)))</f>
        <v>UNDYING@90</v>
      </c>
      <c r="AD1149" s="1">
        <f t="shared" si="89"/>
        <v>1146</v>
      </c>
      <c r="AE1149" s="1" t="s">
        <v>580</v>
      </c>
      <c r="AF1149" s="76">
        <f t="shared" si="90"/>
        <v>62205</v>
      </c>
      <c r="AG1149" s="77">
        <f t="shared" si="91"/>
        <v>5.3</v>
      </c>
      <c r="AH1149" s="1" t="str">
        <f>IF($C1149="","",$B1149&amp;"|"&amp;(COUNTIFS($B$4:$B$1463,$B1149,$AF$4:$AF$1463,"&gt;"&amp;$AF1149)+COUNTIFS($B$4:$B1149,$B1149,$AF$4:$AF1149,"="&amp;$AF1149)))</f>
        <v>UNDYING|73</v>
      </c>
      <c r="AI1149" s="1" t="str">
        <f>IF($C1149="","",$B1149&amp;"|"&amp;(COUNTIFS($B$4:$B$1463,$B1149,$AG$4:$AG$1463,"&gt;"&amp;$AG1149)+COUNTIFS($B$4:$B1149,$B1149,$AG$4:$AG1149,"="&amp;$AG1149)))</f>
        <v>UNDYING|43</v>
      </c>
    </row>
    <row r="1150" spans="1:35" hidden="1">
      <c r="A1150" s="69" t="s">
        <v>109</v>
      </c>
      <c r="B1150" s="69" t="s">
        <v>116</v>
      </c>
      <c r="C1150" s="63" t="s">
        <v>2479</v>
      </c>
      <c r="D1150" s="69" t="s">
        <v>530</v>
      </c>
      <c r="E1150" s="68" t="s">
        <v>76</v>
      </c>
      <c r="F1150" s="15" t="str">
        <f>IF($C1150="","",IF($E1150="","-",IFERROR(INDEX(SETUP!$B$55:$B$64,MATCH($E1150,SETUP!$A$55:$A$64,0)),"Other")))</f>
        <v>Support</v>
      </c>
      <c r="G1150" s="70">
        <v>63037</v>
      </c>
      <c r="H1150" s="15" t="str">
        <f>IF($C1150="","",IF($G1150="","-",INDEX(SETUP!$B$26:$B$32,MATCH($G1150,SETUP!$A$26:$A$32,1))))</f>
        <v>63,000 - 63,999</v>
      </c>
      <c r="I1150" s="70">
        <v>3762</v>
      </c>
      <c r="J1150" s="15" t="str">
        <f>IF($C1150="","",IF($I1150="","-",INDEX(SETUP!$B$16:$B$22,MATCH($I1150,SETUP!$A$16:$A$22,1))))</f>
        <v>DEVELOPING</v>
      </c>
      <c r="K1150" s="15" t="str">
        <f>IF($C1150="","",IF($I1150="","-",TEXT(INT($I1150/1000)*1000,"#,##0")&amp;" - "&amp;TEXT(INT($I1150/1000)*1000+999,"#,##0")))</f>
        <v>3,000 - 3,999</v>
      </c>
      <c r="L1150" s="71">
        <v>5.3</v>
      </c>
      <c r="M1150" s="15" t="str">
        <f>IF($C1150="","",IF($L1150="","-",INDEX(SETUP!$B$36:$B$42,MATCH($L1150,SETUP!$A$36:$A$42,1))))</f>
        <v>5k - 6k</v>
      </c>
      <c r="N1150" s="17">
        <f>IF($C1150="","",IF(OR($G1150="",$I1150=""),"",ROUND(100*(SETUP!$B$4*MIN(1,$I1150/SETUP!$B$9)+SETUP!$B$5*MAX(0,MIN(1,($G1150-SETUP!$B$10)/(SETUP!$B$11-SETUP!$B$10)))+SETUP!$B$6*MIN(1,IF($L1150="",0,$L1150)/SETUP!$B$12)),1)))</f>
        <v>46.4</v>
      </c>
      <c r="O1150" s="15" t="str">
        <f>IF($C1150="","",IF($N1150="","-",INDEX(SETUP!$B$46:$B$51,MATCH($N1150,SETUP!$A$46:$A$51,1))))</f>
        <v>B</v>
      </c>
      <c r="P1150" s="15">
        <f>IF($C1150="","",IF($I1150="","",RANK($I1150,$I$4:$I$1463)+COUNTIF($I$4:$I1150,$I1150)-1))</f>
        <v>660</v>
      </c>
      <c r="Q1150" s="15">
        <f>IF($C1150="","",COUNTIFS($B$4:$B$1463,$B1150,$X$4:$X$1463,"&gt;"&amp;$X1150)+COUNTIFS($B$4:$B1150,$B1150,$X$4:$X1150,"="&amp;$X1150))</f>
        <v>38</v>
      </c>
      <c r="R1150" s="72">
        <f>IF($C1150="","",IF($I1150="","",ROUND(COUNTIF($I$4:$I$1463,"&lt;"&amp;$I1150)/COUNT($I$4:$I$1463),3)))</f>
        <v>0.502</v>
      </c>
      <c r="S1150" s="15" t="str">
        <f>IF($C1150="","",IF($G1150="","Name only",IF(OR($I1150="",$L1150=""),"Partial","Complete")))</f>
        <v>Complete</v>
      </c>
      <c r="T1150" s="41" t="str">
        <f>IF($C1150="","",TRIM(IF(COUNTIF($C$4:$C$1463,$C1150)&gt;1,"Dup name; ","")&amp;IF(AND($G1150&lt;&gt;"",$G1150&lt;55000),"Low CR - verify; ","")&amp;IF(AND($L1150&lt;&gt;"",$L1150&gt;15),"Secondary - verify; ","")&amp;IF($E1150="","No class; ","")))</f>
        <v/>
      </c>
      <c r="U1150" s="68"/>
      <c r="V1150" s="68"/>
      <c r="W1150" s="68"/>
      <c r="X1150" s="73">
        <f t="shared" si="87"/>
        <v>3762</v>
      </c>
      <c r="Y1150" s="41" t="str">
        <f t="shared" si="88"/>
        <v>VENGEANCE|38</v>
      </c>
      <c r="Z1150" s="15">
        <f>IF($C1150="","",IF($G1150="","",RANK($G1150,$G$4:$G$1463)+COUNTIF($G$4:$G1150,$G1150)-1))</f>
        <v>408</v>
      </c>
      <c r="AA1150" s="15">
        <f>IF($C1150="","",IF($N1150="","",RANK($N1150,$N$4:$N$1463)+COUNTIF($N$4:$N1150,$N1150)-1))</f>
        <v>574</v>
      </c>
      <c r="AB1150" s="41" t="str">
        <f>IF($C1150="","",IF($E1150="","",$E1150&amp;"#"&amp;(COUNTIFS($E$4:$E$1463,$E1150,$X$4:$X$1463,"&gt;"&amp;$X1150)+COUNTIFS($E$4:$E1150,$E1150,$X$4:$X1150,"="&amp;$X1150))))</f>
        <v>MONK#24</v>
      </c>
      <c r="AC1150" s="41" t="str">
        <f>IF($C1150="","",$B1150&amp;"@"&amp;(COUNTIFS($B$4:$B$1463,$B1150,$C$4:$C$1463,"&lt;"&amp;$C1150)+COUNTIFS($B$4:$B1150,$B1150,$C$4:$C1150,$C1150)))</f>
        <v>VENGEANCE@82</v>
      </c>
      <c r="AD1150" s="41">
        <f t="shared" si="89"/>
        <v>1147</v>
      </c>
      <c r="AE1150" s="41" t="s">
        <v>580</v>
      </c>
      <c r="AF1150" s="73">
        <f t="shared" si="90"/>
        <v>63037</v>
      </c>
      <c r="AG1150" s="74">
        <f t="shared" si="91"/>
        <v>5.3</v>
      </c>
      <c r="AH1150" s="41" t="str">
        <f>IF($C1150="","",$B1150&amp;"|"&amp;(COUNTIFS($B$4:$B$1463,$B1150,$AF$4:$AF$1463,"&gt;"&amp;$AF1150)+COUNTIFS($B$4:$B1150,$B1150,$AF$4:$AF1150,"="&amp;$AF1150)))</f>
        <v>VENGEANCE|22</v>
      </c>
      <c r="AI1150" s="41" t="str">
        <f>IF($C1150="","",$B1150&amp;"|"&amp;(COUNTIFS($B$4:$B$1463,$B1150,$AG$4:$AG$1463,"&gt;"&amp;$AG1150)+COUNTIFS($B$4:$B1150,$B1150,$AG$4:$AG1150,"="&amp;$AG1150)))</f>
        <v>VENGEANCE|24</v>
      </c>
    </row>
    <row r="1151" spans="1:35" hidden="1">
      <c r="A1151" s="69" t="s">
        <v>109</v>
      </c>
      <c r="B1151" s="69" t="s">
        <v>110</v>
      </c>
      <c r="C1151" s="63" t="s">
        <v>2480</v>
      </c>
      <c r="D1151" s="69" t="s">
        <v>604</v>
      </c>
      <c r="E1151" s="68" t="s">
        <v>73</v>
      </c>
      <c r="F1151" s="19" t="str">
        <f>IF($C1151="","",IF($E1151="","-",IFERROR(INDEX(SETUP!$B$55:$B$64,MATCH($E1151,SETUP!$A$55:$A$64,0)),"Other")))</f>
        <v>Frontline</v>
      </c>
      <c r="G1151" s="70">
        <v>60436</v>
      </c>
      <c r="H1151" s="19" t="str">
        <f>IF($C1151="","",IF($G1151="","-",INDEX(SETUP!$B$26:$B$32,MATCH($G1151,SETUP!$A$26:$A$32,1))))</f>
        <v>60,000 - 60,999</v>
      </c>
      <c r="I1151" s="70">
        <v>6132</v>
      </c>
      <c r="J1151" s="19" t="str">
        <f>IF($C1151="","",IF($I1151="","-",INDEX(SETUP!$B$16:$B$22,MATCH($I1151,SETUP!$A$16:$A$22,1))))</f>
        <v>VETERAN</v>
      </c>
      <c r="K1151" s="19" t="str">
        <f>IF($C1151="","",IF($I1151="","-",TEXT(INT($I1151/1000)*1000,"#,##0")&amp;" - "&amp;TEXT(INT($I1151/1000)*1000+999,"#,##0")))</f>
        <v>6,000 - 6,999</v>
      </c>
      <c r="L1151" s="71">
        <v>7.5</v>
      </c>
      <c r="M1151" s="19" t="str">
        <f>IF($C1151="","",IF($L1151="","-",INDEX(SETUP!$B$36:$B$42,MATCH($L1151,SETUP!$A$36:$A$42,1))))</f>
        <v>6k - 8k</v>
      </c>
      <c r="N1151" s="21">
        <f>IF($C1151="","",IF(OR($G1151="",$I1151=""),"",ROUND(100*(SETUP!$B$4*MIN(1,$I1151/SETUP!$B$9)+SETUP!$B$5*MAX(0,MIN(1,($G1151-SETUP!$B$10)/(SETUP!$B$11-SETUP!$B$10)))+SETUP!$B$6*MIN(1,IF($L1151="",0,$L1151)/SETUP!$B$12)),1)))</f>
        <v>53.6</v>
      </c>
      <c r="O1151" s="19" t="str">
        <f>IF($C1151="","",IF($N1151="","-",INDEX(SETUP!$B$46:$B$51,MATCH($N1151,SETUP!$A$46:$A$51,1))))</f>
        <v>A</v>
      </c>
      <c r="P1151" s="19">
        <f>IF($C1151="","",IF($I1151="","",RANK($I1151,$I$4:$I$1463)+COUNTIF($I$4:$I1151,$I1151)-1))</f>
        <v>275</v>
      </c>
      <c r="Q1151" s="19">
        <f>IF($C1151="","",COUNTIFS($B$4:$B$1463,$B1151,$X$4:$X$1463,"&gt;"&amp;$X1151)+COUNTIFS($B$4:$B1151,$B1151,$X$4:$X1151,"="&amp;$X1151))</f>
        <v>34</v>
      </c>
      <c r="R1151" s="75">
        <f>IF($C1151="","",IF($I1151="","",ROUND(COUNTIF($I$4:$I$1463,"&lt;"&amp;$I1151)/COUNT($I$4:$I$1463),3)))</f>
        <v>0.79200000000000004</v>
      </c>
      <c r="S1151" s="19" t="str">
        <f>IF($C1151="","",IF($G1151="","Name only",IF(OR($I1151="",$L1151=""),"Partial","Complete")))</f>
        <v>Complete</v>
      </c>
      <c r="T1151" s="1" t="str">
        <f>IF($C1151="","",TRIM(IF(COUNTIF($C$4:$C$1463,$C1151)&gt;1,"Dup name; ","")&amp;IF(AND($G1151&lt;&gt;"",$G1151&lt;55000),"Low CR - verify; ","")&amp;IF(AND($L1151&lt;&gt;"",$L1151&gt;15),"Secondary - verify; ","")&amp;IF($E1151="","No class; ","")))</f>
        <v/>
      </c>
      <c r="U1151" s="68"/>
      <c r="V1151" s="68"/>
      <c r="W1151" s="68"/>
      <c r="X1151" s="76">
        <f t="shared" si="87"/>
        <v>6132</v>
      </c>
      <c r="Y1151" s="1" t="str">
        <f t="shared" si="88"/>
        <v>AZUKI|34</v>
      </c>
      <c r="Z1151" s="19">
        <f>IF($C1151="","",IF($G1151="","",RANK($G1151,$G$4:$G$1463)+COUNTIF($G$4:$G1151,$G1151)-1))</f>
        <v>1213</v>
      </c>
      <c r="AA1151" s="19">
        <f>IF($C1151="","",IF($N1151="","",RANK($N1151,$N$4:$N$1463)+COUNTIF($N$4:$N1151,$N1151)-1))</f>
        <v>349</v>
      </c>
      <c r="AB1151" s="1" t="str">
        <f>IF($C1151="","",IF($E1151="","",$E1151&amp;"#"&amp;(COUNTIFS($E$4:$E$1463,$E1151,$X$4:$X$1463,"&gt;"&amp;$X1151)+COUNTIFS($E$4:$E1151,$E1151,$X$4:$X1151,"="&amp;$X1151))))</f>
        <v>CRUSADER#38</v>
      </c>
      <c r="AC1151" s="1" t="str">
        <f>IF($C1151="","",$B1151&amp;"@"&amp;(COUNTIFS($B$4:$B$1463,$B1151,$C$4:$C$1463,"&lt;"&amp;$C1151)+COUNTIFS($B$4:$B1151,$B1151,$C$4:$C1151,$C1151)))</f>
        <v>AZUKI@88</v>
      </c>
      <c r="AD1151" s="1">
        <f t="shared" si="89"/>
        <v>1148</v>
      </c>
      <c r="AE1151" s="1" t="s">
        <v>2481</v>
      </c>
      <c r="AF1151" s="76">
        <f t="shared" si="90"/>
        <v>60436</v>
      </c>
      <c r="AG1151" s="77">
        <f t="shared" si="91"/>
        <v>7.5</v>
      </c>
      <c r="AH1151" s="1" t="str">
        <f>IF($C1151="","",$B1151&amp;"|"&amp;(COUNTIFS($B$4:$B$1463,$B1151,$AF$4:$AF$1463,"&gt;"&amp;$AF1151)+COUNTIFS($B$4:$B1151,$B1151,$AF$4:$AF1151,"="&amp;$AF1151)))</f>
        <v>AZUKI|99</v>
      </c>
      <c r="AI1151" s="1" t="str">
        <f>IF($C1151="","",$B1151&amp;"|"&amp;(COUNTIFS($B$4:$B$1463,$B1151,$AG$4:$AG$1463,"&gt;"&amp;$AG1151)+COUNTIFS($B$4:$B1151,$B1151,$AG$4:$AG1151,"="&amp;$AG1151)))</f>
        <v>AZUKI|22</v>
      </c>
    </row>
    <row r="1152" spans="1:35" hidden="1">
      <c r="A1152" s="69" t="s">
        <v>106</v>
      </c>
      <c r="B1152" s="69" t="s">
        <v>105</v>
      </c>
      <c r="C1152" s="63" t="s">
        <v>2482</v>
      </c>
      <c r="D1152" s="69"/>
      <c r="E1152" s="68" t="s">
        <v>71</v>
      </c>
      <c r="F1152" s="15" t="str">
        <f>IF($C1152="","",IF($E1152="","-",IFERROR(INDEX(SETUP!$B$55:$B$64,MATCH($E1152,SETUP!$A$55:$A$64,0)),"Other")))</f>
        <v>Frontline</v>
      </c>
      <c r="G1152" s="70">
        <v>63671</v>
      </c>
      <c r="H1152" s="15" t="str">
        <f>IF($C1152="","",IF($G1152="","-",INDEX(SETUP!$B$26:$B$32,MATCH($G1152,SETUP!$A$26:$A$32,1))))</f>
        <v>63,000 - 63,999</v>
      </c>
      <c r="I1152" s="70">
        <v>5436</v>
      </c>
      <c r="J1152" s="15" t="str">
        <f>IF($C1152="","",IF($I1152="","-",INDEX(SETUP!$B$16:$B$22,MATCH($I1152,SETUP!$A$16:$A$22,1))))</f>
        <v>CORE</v>
      </c>
      <c r="K1152" s="15" t="str">
        <f>IF($C1152="","",IF($I1152="","-",TEXT(INT($I1152/1000)*1000,"#,##0")&amp;" - "&amp;TEXT(INT($I1152/1000)*1000+999,"#,##0")))</f>
        <v>5,000 - 5,999</v>
      </c>
      <c r="L1152" s="71">
        <v>5.48</v>
      </c>
      <c r="M1152" s="15" t="str">
        <f>IF($C1152="","",IF($L1152="","-",INDEX(SETUP!$B$36:$B$42,MATCH($L1152,SETUP!$A$36:$A$42,1))))</f>
        <v>5k - 6k</v>
      </c>
      <c r="N1152" s="17">
        <f>IF($C1152="","",IF(OR($G1152="",$I1152=""),"",ROUND(100*(SETUP!$B$4*MIN(1,$I1152/SETUP!$B$9)+SETUP!$B$5*MAX(0,MIN(1,($G1152-SETUP!$B$10)/(SETUP!$B$11-SETUP!$B$10)))+SETUP!$B$6*MIN(1,IF($L1152="",0,$L1152)/SETUP!$B$12)),1)))</f>
        <v>55.7</v>
      </c>
      <c r="O1152" s="15" t="str">
        <f>IF($C1152="","",IF($N1152="","-",INDEX(SETUP!$B$46:$B$51,MATCH($N1152,SETUP!$A$46:$A$51,1))))</f>
        <v>A</v>
      </c>
      <c r="P1152" s="15">
        <f>IF($C1152="","",IF($I1152="","",RANK($I1152,$I$4:$I$1463)+COUNTIF($I$4:$I1152,$I1152)-1))</f>
        <v>343</v>
      </c>
      <c r="Q1152" s="15">
        <f>IF($C1152="","",COUNTIFS($B$4:$B$1463,$B1152,$X$4:$X$1463,"&gt;"&amp;$X1152)+COUNTIFS($B$4:$B1152,$B1152,$X$4:$X1152,"="&amp;$X1152))</f>
        <v>40</v>
      </c>
      <c r="R1152" s="72">
        <f>IF($C1152="","",IF($I1152="","",ROUND(COUNTIF($I$4:$I$1463,"&lt;"&amp;$I1152)/COUNT($I$4:$I$1463),3)))</f>
        <v>0.74099999999999999</v>
      </c>
      <c r="S1152" s="15" t="str">
        <f>IF($C1152="","",IF($G1152="","Name only",IF(OR($I1152="",$L1152=""),"Partial","Complete")))</f>
        <v>Complete</v>
      </c>
      <c r="T1152" s="41" t="str">
        <f>IF($C1152="","",TRIM(IF(COUNTIF($C$4:$C$1463,$C1152)&gt;1,"Dup name; ","")&amp;IF(AND($G1152&lt;&gt;"",$G1152&lt;55000),"Low CR - verify; ","")&amp;IF(AND($L1152&lt;&gt;"",$L1152&gt;15),"Secondary - verify; ","")&amp;IF($E1152="","No class; ","")))</f>
        <v/>
      </c>
      <c r="U1152" s="68"/>
      <c r="V1152" s="68"/>
      <c r="W1152" s="68"/>
      <c r="X1152" s="73">
        <f t="shared" si="87"/>
        <v>5436</v>
      </c>
      <c r="Y1152" s="41" t="str">
        <f t="shared" si="88"/>
        <v>LEGENDS|40</v>
      </c>
      <c r="Z1152" s="15">
        <f>IF($C1152="","",IF($G1152="","",RANK($G1152,$G$4:$G$1463)+COUNTIF($G$4:$G1152,$G1152)-1))</f>
        <v>144</v>
      </c>
      <c r="AA1152" s="15">
        <f>IF($C1152="","",IF($N1152="","",RANK($N1152,$N$4:$N$1463)+COUNTIF($N$4:$N1152,$N1152)-1))</f>
        <v>303</v>
      </c>
      <c r="AB1152" s="41" t="str">
        <f>IF($C1152="","",IF($E1152="","",$E1152&amp;"#"&amp;(COUNTIFS($E$4:$E$1463,$E1152,$X$4:$X$1463,"&gt;"&amp;$X1152)+COUNTIFS($E$4:$E1152,$E1152,$X$4:$X1152,"="&amp;$X1152))))</f>
        <v>BARBARIAN#69</v>
      </c>
      <c r="AC1152" s="41" t="str">
        <f>IF($C1152="","",$B1152&amp;"@"&amp;(COUNTIFS($B$4:$B$1463,$B1152,$C$4:$C$1463,"&lt;"&amp;$C1152)+COUNTIFS($B$4:$B1152,$B1152,$C$4:$C1152,$C1152)))</f>
        <v>LEGENDS@90</v>
      </c>
      <c r="AD1152" s="41">
        <f t="shared" si="89"/>
        <v>1149</v>
      </c>
      <c r="AE1152" s="41" t="s">
        <v>2483</v>
      </c>
      <c r="AF1152" s="73">
        <f t="shared" si="90"/>
        <v>63671</v>
      </c>
      <c r="AG1152" s="74">
        <f t="shared" si="91"/>
        <v>5.48</v>
      </c>
      <c r="AH1152" s="41" t="str">
        <f>IF($C1152="","",$B1152&amp;"|"&amp;(COUNTIFS($B$4:$B$1463,$B1152,$AF$4:$AF$1463,"&gt;"&amp;$AF1152)+COUNTIFS($B$4:$B1152,$B1152,$AF$4:$AF1152,"="&amp;$AF1152)))</f>
        <v>LEGENDS|15</v>
      </c>
      <c r="AI1152" s="41" t="str">
        <f>IF($C1152="","",$B1152&amp;"|"&amp;(COUNTIFS($B$4:$B$1463,$B1152,$AG$4:$AG$1463,"&gt;"&amp;$AG1152)+COUNTIFS($B$4:$B1152,$B1152,$AG$4:$AG1152,"="&amp;$AG1152)))</f>
        <v>LEGENDS|40</v>
      </c>
    </row>
    <row r="1153" spans="1:35" hidden="1">
      <c r="A1153" s="69" t="s">
        <v>109</v>
      </c>
      <c r="B1153" s="69" t="s">
        <v>114</v>
      </c>
      <c r="C1153" s="63" t="s">
        <v>2484</v>
      </c>
      <c r="D1153" s="69"/>
      <c r="E1153" s="68" t="s">
        <v>79</v>
      </c>
      <c r="F1153" s="19" t="str">
        <f>IF($C1153="","",IF($E1153="","-",IFERROR(INDEX(SETUP!$B$55:$B$64,MATCH($E1153,SETUP!$A$55:$A$64,0)),"Other")))</f>
        <v>Control</v>
      </c>
      <c r="G1153" s="70">
        <v>61510</v>
      </c>
      <c r="H1153" s="19" t="str">
        <f>IF($C1153="","",IF($G1153="","-",INDEX(SETUP!$B$26:$B$32,MATCH($G1153,SETUP!$A$26:$A$32,1))))</f>
        <v>61,000 - 61,999</v>
      </c>
      <c r="I1153" s="70">
        <v>2480</v>
      </c>
      <c r="J1153" s="19" t="str">
        <f>IF($C1153="","",IF($I1153="","-",INDEX(SETUP!$B$16:$B$22,MATCH($I1153,SETUP!$A$16:$A$22,1))))</f>
        <v>DEVELOPING</v>
      </c>
      <c r="K1153" s="19" t="str">
        <f>IF($C1153="","",IF($I1153="","-",TEXT(INT($I1153/1000)*1000,"#,##0")&amp;" - "&amp;TEXT(INT($I1153/1000)*1000+999,"#,##0")))</f>
        <v>2,000 - 2,999</v>
      </c>
      <c r="L1153" s="71">
        <v>3.8</v>
      </c>
      <c r="M1153" s="19" t="str">
        <f>IF($C1153="","",IF($L1153="","-",INDEX(SETUP!$B$36:$B$42,MATCH($L1153,SETUP!$A$36:$A$42,1))))</f>
        <v>3k - 4k</v>
      </c>
      <c r="N1153" s="21">
        <f>IF($C1153="","",IF(OR($G1153="",$I1153=""),"",ROUND(100*(SETUP!$B$4*MIN(1,$I1153/SETUP!$B$9)+SETUP!$B$5*MAX(0,MIN(1,($G1153-SETUP!$B$10)/(SETUP!$B$11-SETUP!$B$10)))+SETUP!$B$6*MIN(1,IF($L1153="",0,$L1153)/SETUP!$B$12)),1)))</f>
        <v>34.299999999999997</v>
      </c>
      <c r="O1153" s="19" t="str">
        <f>IF($C1153="","",IF($N1153="","-",INDEX(SETUP!$B$46:$B$51,MATCH($N1153,SETUP!$A$46:$A$51,1))))</f>
        <v>C</v>
      </c>
      <c r="P1153" s="19">
        <f>IF($C1153="","",IF($I1153="","",RANK($I1153,$I$4:$I$1463)+COUNTIF($I$4:$I1153,$I1153)-1))</f>
        <v>1013</v>
      </c>
      <c r="Q1153" s="19">
        <f>IF($C1153="","",COUNTIFS($B$4:$B$1463,$B1153,$X$4:$X$1463,"&gt;"&amp;$X1153)+COUNTIFS($B$4:$B1153,$B1153,$X$4:$X1153,"="&amp;$X1153))</f>
        <v>42</v>
      </c>
      <c r="R1153" s="75">
        <f>IF($C1153="","",IF($I1153="","",ROUND(COUNTIF($I$4:$I$1463,"&lt;"&amp;$I1153)/COUNT($I$4:$I$1463),3)))</f>
        <v>0.23499999999999999</v>
      </c>
      <c r="S1153" s="19" t="str">
        <f>IF($C1153="","",IF($G1153="","Name only",IF(OR($I1153="",$L1153=""),"Partial","Complete")))</f>
        <v>Complete</v>
      </c>
      <c r="T1153" s="1" t="str">
        <f>IF($C1153="","",TRIM(IF(COUNTIF($C$4:$C$1463,$C1153)&gt;1,"Dup name; ","")&amp;IF(AND($G1153&lt;&gt;"",$G1153&lt;55000),"Low CR - verify; ","")&amp;IF(AND($L1153&lt;&gt;"",$L1153&gt;15),"Secondary - verify; ","")&amp;IF($E1153="","No class; ","")))</f>
        <v/>
      </c>
      <c r="U1153" s="68"/>
      <c r="V1153" s="68"/>
      <c r="W1153" s="68"/>
      <c r="X1153" s="76">
        <f t="shared" si="87"/>
        <v>2480</v>
      </c>
      <c r="Y1153" s="1" t="str">
        <f t="shared" si="88"/>
        <v>EMERALD LEAF TRIBE|42</v>
      </c>
      <c r="Z1153" s="19">
        <f>IF($C1153="","",IF($G1153="","",RANK($G1153,$G$4:$G$1463)+COUNTIF($G$4:$G1153,$G1153)-1))</f>
        <v>1002</v>
      </c>
      <c r="AA1153" s="19">
        <f>IF($C1153="","",IF($N1153="","",RANK($N1153,$N$4:$N$1463)+COUNTIF($N$4:$N1153,$N1153)-1))</f>
        <v>1037</v>
      </c>
      <c r="AB1153" s="1" t="str">
        <f>IF($C1153="","",IF($E1153="","",$E1153&amp;"#"&amp;(COUNTIFS($E$4:$E$1463,$E1153,$X$4:$X$1463,"&gt;"&amp;$X1153)+COUNTIFS($E$4:$E1153,$E1153,$X$4:$X1153,"="&amp;$X1153))))</f>
        <v>WARLOCK#253</v>
      </c>
      <c r="AC1153" s="1" t="str">
        <f>IF($C1153="","",$B1153&amp;"@"&amp;(COUNTIFS($B$4:$B$1463,$B1153,$C$4:$C$1463,"&lt;"&amp;$C1153)+COUNTIFS($B$4:$B1153,$B1153,$C$4:$C1153,$C1153)))</f>
        <v>EMERALD LEAF TRIBE@80</v>
      </c>
      <c r="AD1153" s="1">
        <f t="shared" si="89"/>
        <v>1150</v>
      </c>
      <c r="AE1153" s="1" t="s">
        <v>2485</v>
      </c>
      <c r="AF1153" s="76">
        <f t="shared" si="90"/>
        <v>61510</v>
      </c>
      <c r="AG1153" s="77">
        <f t="shared" si="91"/>
        <v>3.8</v>
      </c>
      <c r="AH1153" s="1" t="str">
        <f>IF($C1153="","",$B1153&amp;"|"&amp;(COUNTIFS($B$4:$B$1463,$B1153,$AF$4:$AF$1463,"&gt;"&amp;$AF1153)+COUNTIFS($B$4:$B1153,$B1153,$AF$4:$AF1153,"="&amp;$AF1153)))</f>
        <v>EMERALD LEAF TRIBE|43</v>
      </c>
      <c r="AI1153" s="1" t="str">
        <f>IF($C1153="","",$B1153&amp;"|"&amp;(COUNTIFS($B$4:$B$1463,$B1153,$AG$4:$AG$1463,"&gt;"&amp;$AG1153)+COUNTIFS($B$4:$B1153,$B1153,$AG$4:$AG1153,"="&amp;$AG1153)))</f>
        <v>EMERALD LEAF TRIBE|40</v>
      </c>
    </row>
    <row r="1154" spans="1:35" hidden="1">
      <c r="A1154" s="69" t="s">
        <v>109</v>
      </c>
      <c r="B1154" s="69" t="s">
        <v>116</v>
      </c>
      <c r="C1154" s="63" t="s">
        <v>2486</v>
      </c>
      <c r="D1154" s="69" t="s">
        <v>530</v>
      </c>
      <c r="E1154" s="68" t="s">
        <v>74</v>
      </c>
      <c r="F1154" s="15" t="str">
        <f>IF($C1154="","",IF($E1154="","-",IFERROR(INDEX(SETUP!$B$55:$B$64,MATCH($E1154,SETUP!$A$55:$A$64,0)),"Other")))</f>
        <v>Ranged DPS</v>
      </c>
      <c r="G1154" s="70">
        <v>63525</v>
      </c>
      <c r="H1154" s="15" t="str">
        <f>IF($C1154="","",IF($G1154="","-",INDEX(SETUP!$B$26:$B$32,MATCH($G1154,SETUP!$A$26:$A$32,1))))</f>
        <v>63,000 - 63,999</v>
      </c>
      <c r="I1154" s="70">
        <v>5909</v>
      </c>
      <c r="J1154" s="15" t="str">
        <f>IF($C1154="","",IF($I1154="","-",INDEX(SETUP!$B$16:$B$22,MATCH($I1154,SETUP!$A$16:$A$22,1))))</f>
        <v>CORE</v>
      </c>
      <c r="K1154" s="15" t="str">
        <f>IF($C1154="","",IF($I1154="","-",TEXT(INT($I1154/1000)*1000,"#,##0")&amp;" - "&amp;TEXT(INT($I1154/1000)*1000+999,"#,##0")))</f>
        <v>5,000 - 5,999</v>
      </c>
      <c r="L1154" s="71">
        <v>8.35</v>
      </c>
      <c r="M1154" s="15" t="str">
        <f>IF($C1154="","",IF($L1154="","-",INDEX(SETUP!$B$36:$B$42,MATCH($L1154,SETUP!$A$36:$A$42,1))))</f>
        <v>8k - 10k</v>
      </c>
      <c r="N1154" s="17">
        <f>IF($C1154="","",IF(OR($G1154="",$I1154=""),"",ROUND(100*(SETUP!$B$4*MIN(1,$I1154/SETUP!$B$9)+SETUP!$B$5*MAX(0,MIN(1,($G1154-SETUP!$B$10)/(SETUP!$B$11-SETUP!$B$10)))+SETUP!$B$6*MIN(1,IF($L1154="",0,$L1154)/SETUP!$B$12)),1)))</f>
        <v>62.1</v>
      </c>
      <c r="O1154" s="15" t="str">
        <f>IF($C1154="","",IF($N1154="","-",INDEX(SETUP!$B$46:$B$51,MATCH($N1154,SETUP!$A$46:$A$51,1))))</f>
        <v>A</v>
      </c>
      <c r="P1154" s="15">
        <f>IF($C1154="","",IF($I1154="","",RANK($I1154,$I$4:$I$1463)+COUNTIF($I$4:$I1154,$I1154)-1))</f>
        <v>297</v>
      </c>
      <c r="Q1154" s="15">
        <f>IF($C1154="","",COUNTIFS($B$4:$B$1463,$B1154,$X$4:$X$1463,"&gt;"&amp;$X1154)+COUNTIFS($B$4:$B1154,$B1154,$X$4:$X1154,"="&amp;$X1154))</f>
        <v>7</v>
      </c>
      <c r="R1154" s="72">
        <f>IF($C1154="","",IF($I1154="","",ROUND(COUNTIF($I$4:$I$1463,"&lt;"&amp;$I1154)/COUNT($I$4:$I$1463),3)))</f>
        <v>0.77600000000000002</v>
      </c>
      <c r="S1154" s="15" t="str">
        <f>IF($C1154="","",IF($G1154="","Name only",IF(OR($I1154="",$L1154=""),"Partial","Complete")))</f>
        <v>Complete</v>
      </c>
      <c r="T1154" s="41" t="str">
        <f>IF($C1154="","",TRIM(IF(COUNTIF($C$4:$C$1463,$C1154)&gt;1,"Dup name; ","")&amp;IF(AND($G1154&lt;&gt;"",$G1154&lt;55000),"Low CR - verify; ","")&amp;IF(AND($L1154&lt;&gt;"",$L1154&gt;15),"Secondary - verify; ","")&amp;IF($E1154="","No class; ","")))</f>
        <v/>
      </c>
      <c r="U1154" s="68"/>
      <c r="V1154" s="68"/>
      <c r="W1154" s="68"/>
      <c r="X1154" s="73">
        <f t="shared" si="87"/>
        <v>5909</v>
      </c>
      <c r="Y1154" s="41" t="str">
        <f t="shared" si="88"/>
        <v>VENGEANCE|7</v>
      </c>
      <c r="Z1154" s="15">
        <f>IF($C1154="","",IF($G1154="","",RANK($G1154,$G$4:$G$1463)+COUNTIF($G$4:$G1154,$G1154)-1))</f>
        <v>184</v>
      </c>
      <c r="AA1154" s="15">
        <f>IF($C1154="","",IF($N1154="","",RANK($N1154,$N$4:$N$1463)+COUNTIF($N$4:$N1154,$N1154)-1))</f>
        <v>215</v>
      </c>
      <c r="AB1154" s="41" t="str">
        <f>IF($C1154="","",IF($E1154="","",$E1154&amp;"#"&amp;(COUNTIFS($E$4:$E$1463,$E1154,$X$4:$X$1463,"&gt;"&amp;$X1154)+COUNTIFS($E$4:$E1154,$E1154,$X$4:$X1154,"="&amp;$X1154))))</f>
        <v>DEMON HUNTER#49</v>
      </c>
      <c r="AC1154" s="41" t="str">
        <f>IF($C1154="","",$B1154&amp;"@"&amp;(COUNTIFS($B$4:$B$1463,$B1154,$C$4:$C$1463,"&lt;"&amp;$C1154)+COUNTIFS($B$4:$B1154,$B1154,$C$4:$C1154,$C1154)))</f>
        <v>VENGEANCE@83</v>
      </c>
      <c r="AD1154" s="41">
        <f t="shared" si="89"/>
        <v>1151</v>
      </c>
      <c r="AE1154" s="41" t="s">
        <v>2487</v>
      </c>
      <c r="AF1154" s="73">
        <f t="shared" si="90"/>
        <v>63525</v>
      </c>
      <c r="AG1154" s="74">
        <f t="shared" si="91"/>
        <v>8.35</v>
      </c>
      <c r="AH1154" s="41" t="str">
        <f>IF($C1154="","",$B1154&amp;"|"&amp;(COUNTIFS($B$4:$B$1463,$B1154,$AF$4:$AF$1463,"&gt;"&amp;$AF1154)+COUNTIFS($B$4:$B1154,$B1154,$AF$4:$AF1154,"="&amp;$AF1154)))</f>
        <v>VENGEANCE|3</v>
      </c>
      <c r="AI1154" s="41" t="str">
        <f>IF($C1154="","",$B1154&amp;"|"&amp;(COUNTIFS($B$4:$B$1463,$B1154,$AG$4:$AG$1463,"&gt;"&amp;$AG1154)+COUNTIFS($B$4:$B1154,$B1154,$AG$4:$AG1154,"="&amp;$AG1154)))</f>
        <v>VENGEANCE|2</v>
      </c>
    </row>
    <row r="1155" spans="1:35" hidden="1">
      <c r="A1155" s="69" t="s">
        <v>106</v>
      </c>
      <c r="B1155" s="69" t="s">
        <v>86</v>
      </c>
      <c r="C1155" s="63" t="s">
        <v>2488</v>
      </c>
      <c r="D1155" s="69"/>
      <c r="E1155" s="68" t="s">
        <v>73</v>
      </c>
      <c r="F1155" s="19" t="str">
        <f>IF($C1155="","",IF($E1155="","-",IFERROR(INDEX(SETUP!$B$55:$B$64,MATCH($E1155,SETUP!$A$55:$A$64,0)),"Other")))</f>
        <v>Frontline</v>
      </c>
      <c r="G1155" s="70">
        <v>62898</v>
      </c>
      <c r="H1155" s="19" t="str">
        <f>IF($C1155="","",IF($G1155="","-",INDEX(SETUP!$B$26:$B$32,MATCH($G1155,SETUP!$A$26:$A$32,1))))</f>
        <v>62,000 - 62,999</v>
      </c>
      <c r="I1155" s="70">
        <v>7346</v>
      </c>
      <c r="J1155" s="19" t="str">
        <f>IF($C1155="","",IF($I1155="","-",INDEX(SETUP!$B$16:$B$22,MATCH($I1155,SETUP!$A$16:$A$22,1))))</f>
        <v>VETERAN</v>
      </c>
      <c r="K1155" s="19" t="str">
        <f>IF($C1155="","",IF($I1155="","-",TEXT(INT($I1155/1000)*1000,"#,##0")&amp;" - "&amp;TEXT(INT($I1155/1000)*1000+999,"#,##0")))</f>
        <v>7,000 - 7,999</v>
      </c>
      <c r="L1155" s="71">
        <v>6.33</v>
      </c>
      <c r="M1155" s="19" t="str">
        <f>IF($C1155="","",IF($L1155="","-",INDEX(SETUP!$B$36:$B$42,MATCH($L1155,SETUP!$A$36:$A$42,1))))</f>
        <v>6k - 8k</v>
      </c>
      <c r="N1155" s="21">
        <f>IF($C1155="","",IF(OR($G1155="",$I1155=""),"",ROUND(100*(SETUP!$B$4*MIN(1,$I1155/SETUP!$B$9)+SETUP!$B$5*MAX(0,MIN(1,($G1155-SETUP!$B$10)/(SETUP!$B$11-SETUP!$B$10)))+SETUP!$B$6*MIN(1,IF($L1155="",0,$L1155)/SETUP!$B$12)),1)))</f>
        <v>63.4</v>
      </c>
      <c r="O1155" s="19" t="str">
        <f>IF($C1155="","",IF($N1155="","-",INDEX(SETUP!$B$46:$B$51,MATCH($N1155,SETUP!$A$46:$A$51,1))))</f>
        <v>A</v>
      </c>
      <c r="P1155" s="19">
        <f>IF($C1155="","",IF($I1155="","",RANK($I1155,$I$4:$I$1463)+COUNTIF($I$4:$I1155,$I1155)-1))</f>
        <v>189</v>
      </c>
      <c r="Q1155" s="19">
        <f>IF($C1155="","",COUNTIFS($B$4:$B$1463,$B1155,$X$4:$X$1463,"&gt;"&amp;$X1155)+COUNTIFS($B$4:$B1155,$B1155,$X$4:$X1155,"="&amp;$X1155))</f>
        <v>41</v>
      </c>
      <c r="R1155" s="75">
        <f>IF($C1155="","",IF($I1155="","",ROUND(COUNTIF($I$4:$I$1463,"&lt;"&amp;$I1155)/COUNT($I$4:$I$1463),3)))</f>
        <v>0.85699999999999998</v>
      </c>
      <c r="S1155" s="19" t="str">
        <f>IF($C1155="","",IF($G1155="","Name only",IF(OR($I1155="",$L1155=""),"Partial","Complete")))</f>
        <v>Complete</v>
      </c>
      <c r="T1155" s="1" t="str">
        <f>IF($C1155="","",TRIM(IF(COUNTIF($C$4:$C$1463,$C1155)&gt;1,"Dup name; ","")&amp;IF(AND($G1155&lt;&gt;"",$G1155&lt;55000),"Low CR - verify; ","")&amp;IF(AND($L1155&lt;&gt;"",$L1155&gt;15),"Secondary - verify; ","")&amp;IF($E1155="","No class; ","")))</f>
        <v/>
      </c>
      <c r="U1155" s="68"/>
      <c r="V1155" s="68"/>
      <c r="W1155" s="68"/>
      <c r="X1155" s="76">
        <f t="shared" si="87"/>
        <v>7346</v>
      </c>
      <c r="Y1155" s="1" t="str">
        <f t="shared" si="88"/>
        <v>VANGUARD|41</v>
      </c>
      <c r="Z1155" s="19">
        <f>IF($C1155="","",IF($G1155="","",RANK($G1155,$G$4:$G$1463)+COUNTIF($G$4:$G1155,$G1155)-1))</f>
        <v>476</v>
      </c>
      <c r="AA1155" s="19">
        <f>IF($C1155="","",IF($N1155="","",RANK($N1155,$N$4:$N$1463)+COUNTIF($N$4:$N1155,$N1155)-1))</f>
        <v>199</v>
      </c>
      <c r="AB1155" s="1" t="str">
        <f>IF($C1155="","",IF($E1155="","",$E1155&amp;"#"&amp;(COUNTIFS($E$4:$E$1463,$E1155,$X$4:$X$1463,"&gt;"&amp;$X1155)+COUNTIFS($E$4:$E1155,$E1155,$X$4:$X1155,"="&amp;$X1155))))</f>
        <v>CRUSADER#27</v>
      </c>
      <c r="AC1155" s="1" t="str">
        <f>IF($C1155="","",$B1155&amp;"@"&amp;(COUNTIFS($B$4:$B$1463,$B1155,$C$4:$C$1463,"&lt;"&amp;$C1155)+COUNTIFS($B$4:$B1155,$B1155,$C$4:$C1155,$C1155)))</f>
        <v>VANGUARD@83</v>
      </c>
      <c r="AD1155" s="1">
        <f t="shared" si="89"/>
        <v>1152</v>
      </c>
      <c r="AE1155" s="1" t="s">
        <v>2489</v>
      </c>
      <c r="AF1155" s="76">
        <f t="shared" si="90"/>
        <v>62898</v>
      </c>
      <c r="AG1155" s="77">
        <f t="shared" si="91"/>
        <v>6.33</v>
      </c>
      <c r="AH1155" s="1" t="str">
        <f>IF($C1155="","",$B1155&amp;"|"&amp;(COUNTIFS($B$4:$B$1463,$B1155,$AF$4:$AF$1463,"&gt;"&amp;$AF1155)+COUNTIFS($B$4:$B1155,$B1155,$AF$4:$AF1155,"="&amp;$AF1155)))</f>
        <v>VANGUARD|68</v>
      </c>
      <c r="AI1155" s="1" t="str">
        <f>IF($C1155="","",$B1155&amp;"|"&amp;(COUNTIFS($B$4:$B$1463,$B1155,$AG$4:$AG$1463,"&gt;"&amp;$AG1155)+COUNTIFS($B$4:$B1155,$B1155,$AG$4:$AG1155,"="&amp;$AG1155)))</f>
        <v>VANGUARD|36</v>
      </c>
    </row>
    <row r="1156" spans="1:35" hidden="1">
      <c r="A1156" s="69" t="s">
        <v>106</v>
      </c>
      <c r="B1156" s="69" t="s">
        <v>86</v>
      </c>
      <c r="C1156" s="63" t="s">
        <v>2490</v>
      </c>
      <c r="D1156" s="69"/>
      <c r="E1156" s="68" t="s">
        <v>74</v>
      </c>
      <c r="F1156" s="15" t="str">
        <f>IF($C1156="","",IF($E1156="","-",IFERROR(INDEX(SETUP!$B$55:$B$64,MATCH($E1156,SETUP!$A$55:$A$64,0)),"Other")))</f>
        <v>Ranged DPS</v>
      </c>
      <c r="G1156" s="70">
        <v>64360</v>
      </c>
      <c r="H1156" s="15" t="str">
        <f>IF($C1156="","",IF($G1156="","-",INDEX(SETUP!$B$26:$B$32,MATCH($G1156,SETUP!$A$26:$A$32,1))))</f>
        <v>64,000 +</v>
      </c>
      <c r="I1156" s="70">
        <v>9437</v>
      </c>
      <c r="J1156" s="15" t="str">
        <f>IF($C1156="","",IF($I1156="","-",INDEX(SETUP!$B$16:$B$22,MATCH($I1156,SETUP!$A$16:$A$22,1))))</f>
        <v>ELITE</v>
      </c>
      <c r="K1156" s="15" t="str">
        <f>IF($C1156="","",IF($I1156="","-",TEXT(INT($I1156/1000)*1000,"#,##0")&amp;" - "&amp;TEXT(INT($I1156/1000)*1000+999,"#,##0")))</f>
        <v>9,000 - 9,999</v>
      </c>
      <c r="L1156" s="71">
        <v>5.8</v>
      </c>
      <c r="M1156" s="15" t="str">
        <f>IF($C1156="","",IF($L1156="","-",INDEX(SETUP!$B$36:$B$42,MATCH($L1156,SETUP!$A$36:$A$42,1))))</f>
        <v>5k - 6k</v>
      </c>
      <c r="N1156" s="17">
        <f>IF($C1156="","",IF(OR($G1156="",$I1156=""),"",ROUND(100*(SETUP!$B$4*MIN(1,$I1156/SETUP!$B$9)+SETUP!$B$5*MAX(0,MIN(1,($G1156-SETUP!$B$10)/(SETUP!$B$11-SETUP!$B$10)))+SETUP!$B$6*MIN(1,IF($L1156="",0,$L1156)/SETUP!$B$12)),1)))</f>
        <v>75.5</v>
      </c>
      <c r="O1156" s="15" t="str">
        <f>IF($C1156="","",IF($N1156="","-",INDEX(SETUP!$B$46:$B$51,MATCH($N1156,SETUP!$A$46:$A$51,1))))</f>
        <v>S</v>
      </c>
      <c r="P1156" s="15">
        <f>IF($C1156="","",IF($I1156="","",RANK($I1156,$I$4:$I$1463)+COUNTIF($I$4:$I1156,$I1156)-1))</f>
        <v>73</v>
      </c>
      <c r="Q1156" s="15">
        <f>IF($C1156="","",COUNTIFS($B$4:$B$1463,$B1156,$X$4:$X$1463,"&gt;"&amp;$X1156)+COUNTIFS($B$4:$B1156,$B1156,$X$4:$X1156,"="&amp;$X1156))</f>
        <v>17</v>
      </c>
      <c r="R1156" s="72">
        <f>IF($C1156="","",IF($I1156="","",ROUND(COUNTIF($I$4:$I$1463,"&lt;"&amp;$I1156)/COUNT($I$4:$I$1463),3)))</f>
        <v>0.94499999999999995</v>
      </c>
      <c r="S1156" s="15" t="str">
        <f>IF($C1156="","",IF($G1156="","Name only",IF(OR($I1156="",$L1156=""),"Partial","Complete")))</f>
        <v>Complete</v>
      </c>
      <c r="T1156" s="41" t="str">
        <f>IF($C1156="","",TRIM(IF(COUNTIF($C$4:$C$1463,$C1156)&gt;1,"Dup name; ","")&amp;IF(AND($G1156&lt;&gt;"",$G1156&lt;55000),"Low CR - verify; ","")&amp;IF(AND($L1156&lt;&gt;"",$L1156&gt;15),"Secondary - verify; ","")&amp;IF($E1156="","No class; ","")))</f>
        <v/>
      </c>
      <c r="U1156" s="68"/>
      <c r="V1156" s="68"/>
      <c r="W1156" s="68"/>
      <c r="X1156" s="73">
        <f t="shared" ref="X1156:X1219" si="92">IF($C1156="","",IF($I1156="",-1,$I1156))</f>
        <v>9437</v>
      </c>
      <c r="Y1156" s="41" t="str">
        <f t="shared" ref="Y1156:Y1219" si="93">IF($C1156="","",$B1156&amp;"|"&amp;$Q1156)</f>
        <v>VANGUARD|17</v>
      </c>
      <c r="Z1156" s="15">
        <f>IF($C1156="","",IF($G1156="","",RANK($G1156,$G$4:$G$1463)+COUNTIF($G$4:$G1156,$G1156)-1))</f>
        <v>13</v>
      </c>
      <c r="AA1156" s="15">
        <f>IF($C1156="","",IF($N1156="","",RANK($N1156,$N$4:$N$1463)+COUNTIF($N$4:$N1156,$N1156)-1))</f>
        <v>86</v>
      </c>
      <c r="AB1156" s="41" t="str">
        <f>IF($C1156="","",IF($E1156="","",$E1156&amp;"#"&amp;(COUNTIFS($E$4:$E$1463,$E1156,$X$4:$X$1463,"&gt;"&amp;$X1156)+COUNTIFS($E$4:$E1156,$E1156,$X$4:$X1156,"="&amp;$X1156))))</f>
        <v>DEMON HUNTER#11</v>
      </c>
      <c r="AC1156" s="41" t="str">
        <f>IF($C1156="","",$B1156&amp;"@"&amp;(COUNTIFS($B$4:$B$1463,$B1156,$C$4:$C$1463,"&lt;"&amp;$C1156)+COUNTIFS($B$4:$B1156,$B1156,$C$4:$C1156,$C1156)))</f>
        <v>VANGUARD@84</v>
      </c>
      <c r="AD1156" s="41">
        <f t="shared" ref="AD1156:AD1219" si="94">IF($C1156="","",ROW()-4+1)</f>
        <v>1153</v>
      </c>
      <c r="AE1156" s="41" t="s">
        <v>759</v>
      </c>
      <c r="AF1156" s="73">
        <f t="shared" ref="AF1156:AF1219" si="95">IF($C1156="","",IF($G1156="",-1,$G1156))</f>
        <v>64360</v>
      </c>
      <c r="AG1156" s="74">
        <f t="shared" ref="AG1156:AG1219" si="96">IF($C1156="","",IF($L1156="",-1,$L1156))</f>
        <v>5.8</v>
      </c>
      <c r="AH1156" s="41" t="str">
        <f>IF($C1156="","",$B1156&amp;"|"&amp;(COUNTIFS($B$4:$B$1463,$B1156,$AF$4:$AF$1463,"&gt;"&amp;$AF1156)+COUNTIFS($B$4:$B1156,$B1156,$AF$4:$AF1156,"="&amp;$AF1156)))</f>
        <v>VANGUARD|2</v>
      </c>
      <c r="AI1156" s="41" t="str">
        <f>IF($C1156="","",$B1156&amp;"|"&amp;(COUNTIFS($B$4:$B$1463,$B1156,$AG$4:$AG$1463,"&gt;"&amp;$AG1156)+COUNTIFS($B$4:$B1156,$B1156,$AG$4:$AG1156,"="&amp;$AG1156)))</f>
        <v>VANGUARD|46</v>
      </c>
    </row>
    <row r="1157" spans="1:35" hidden="1">
      <c r="A1157" s="69" t="s">
        <v>109</v>
      </c>
      <c r="B1157" s="69" t="s">
        <v>114</v>
      </c>
      <c r="C1157" s="63" t="s">
        <v>2491</v>
      </c>
      <c r="D1157" s="69"/>
      <c r="E1157" s="68" t="s">
        <v>75</v>
      </c>
      <c r="F1157" s="19" t="str">
        <f>IF($C1157="","",IF($E1157="","-",IFERROR(INDEX(SETUP!$B$55:$B$64,MATCH($E1157,SETUP!$A$55:$A$64,0)),"Other")))</f>
        <v>Support</v>
      </c>
      <c r="G1157" s="70">
        <v>60578</v>
      </c>
      <c r="H1157" s="19" t="str">
        <f>IF($C1157="","",IF($G1157="","-",INDEX(SETUP!$B$26:$B$32,MATCH($G1157,SETUP!$A$26:$A$32,1))))</f>
        <v>60,000 - 60,999</v>
      </c>
      <c r="I1157" s="70">
        <v>740</v>
      </c>
      <c r="J1157" s="19" t="str">
        <f>IF($C1157="","",IF($I1157="","-",INDEX(SETUP!$B$16:$B$22,MATCH($I1157,SETUP!$A$16:$A$22,1))))</f>
        <v>ROOKIE</v>
      </c>
      <c r="K1157" s="19" t="str">
        <f>IF($C1157="","",IF($I1157="","-",TEXT(INT($I1157/1000)*1000,"#,##0")&amp;" - "&amp;TEXT(INT($I1157/1000)*1000+999,"#,##0")))</f>
        <v>0 - 999</v>
      </c>
      <c r="L1157" s="71">
        <v>2.85</v>
      </c>
      <c r="M1157" s="19" t="str">
        <f>IF($C1157="","",IF($L1157="","-",INDEX(SETUP!$B$36:$B$42,MATCH($L1157,SETUP!$A$36:$A$42,1))))</f>
        <v>Under 3k</v>
      </c>
      <c r="N1157" s="21">
        <f>IF($C1157="","",IF(OR($G1157="",$I1157=""),"",ROUND(100*(SETUP!$B$4*MIN(1,$I1157/SETUP!$B$9)+SETUP!$B$5*MAX(0,MIN(1,($G1157-SETUP!$B$10)/(SETUP!$B$11-SETUP!$B$10)))+SETUP!$B$6*MIN(1,IF($L1157="",0,$L1157)/SETUP!$B$12)),1)))</f>
        <v>22.7</v>
      </c>
      <c r="O1157" s="19" t="str">
        <f>IF($C1157="","",IF($N1157="","-",INDEX(SETUP!$B$46:$B$51,MATCH($N1157,SETUP!$A$46:$A$51,1))))</f>
        <v>C</v>
      </c>
      <c r="P1157" s="19">
        <f>IF($C1157="","",IF($I1157="","",RANK($I1157,$I$4:$I$1463)+COUNTIF($I$4:$I1157,$I1157)-1))</f>
        <v>1302</v>
      </c>
      <c r="Q1157" s="19">
        <f>IF($C1157="","",COUNTIFS($B$4:$B$1463,$B1157,$X$4:$X$1463,"&gt;"&amp;$X1157)+COUNTIFS($B$4:$B1157,$B1157,$X$4:$X1157,"="&amp;$X1157))</f>
        <v>90</v>
      </c>
      <c r="R1157" s="75">
        <f>IF($C1157="","",IF($I1157="","",ROUND(COUNTIF($I$4:$I$1463,"&lt;"&amp;$I1157)/COUNT($I$4:$I$1463),3)))</f>
        <v>1.7000000000000001E-2</v>
      </c>
      <c r="S1157" s="19" t="str">
        <f>IF($C1157="","",IF($G1157="","Name only",IF(OR($I1157="",$L1157=""),"Partial","Complete")))</f>
        <v>Complete</v>
      </c>
      <c r="T1157" s="1" t="str">
        <f>IF($C1157="","",TRIM(IF(COUNTIF($C$4:$C$1463,$C1157)&gt;1,"Dup name; ","")&amp;IF(AND($G1157&lt;&gt;"",$G1157&lt;55000),"Low CR - verify; ","")&amp;IF(AND($L1157&lt;&gt;"",$L1157&gt;15),"Secondary - verify; ","")&amp;IF($E1157="","No class; ","")))</f>
        <v/>
      </c>
      <c r="U1157" s="68"/>
      <c r="V1157" s="68"/>
      <c r="W1157" s="68"/>
      <c r="X1157" s="76">
        <f t="shared" si="92"/>
        <v>740</v>
      </c>
      <c r="Y1157" s="1" t="str">
        <f t="shared" si="93"/>
        <v>EMERALD LEAF TRIBE|90</v>
      </c>
      <c r="Z1157" s="19">
        <f>IF($C1157="","",IF($G1157="","",RANK($G1157,$G$4:$G$1463)+COUNTIF($G$4:$G1157,$G1157)-1))</f>
        <v>1197</v>
      </c>
      <c r="AA1157" s="19">
        <f>IF($C1157="","",IF($N1157="","",RANK($N1157,$N$4:$N$1463)+COUNTIF($N$4:$N1157,$N1157)-1))</f>
        <v>1272</v>
      </c>
      <c r="AB1157" s="1" t="str">
        <f>IF($C1157="","",IF($E1157="","",$E1157&amp;"#"&amp;(COUNTIFS($E$4:$E$1463,$E1157,$X$4:$X$1463,"&gt;"&amp;$X1157)+COUNTIFS($E$4:$E1157,$E1157,$X$4:$X1157,"="&amp;$X1157))))</f>
        <v>DRUID#71</v>
      </c>
      <c r="AC1157" s="1" t="str">
        <f>IF($C1157="","",$B1157&amp;"@"&amp;(COUNTIFS($B$4:$B$1463,$B1157,$C$4:$C$1463,"&lt;"&amp;$C1157)+COUNTIFS($B$4:$B1157,$B1157,$C$4:$C1157,$C1157)))</f>
        <v>EMERALD LEAF TRIBE@81</v>
      </c>
      <c r="AD1157" s="1">
        <f t="shared" si="94"/>
        <v>1154</v>
      </c>
      <c r="AE1157" s="1" t="s">
        <v>2492</v>
      </c>
      <c r="AF1157" s="76">
        <f t="shared" si="95"/>
        <v>60578</v>
      </c>
      <c r="AG1157" s="77">
        <f t="shared" si="96"/>
        <v>2.85</v>
      </c>
      <c r="AH1157" s="1" t="str">
        <f>IF($C1157="","",$B1157&amp;"|"&amp;(COUNTIFS($B$4:$B$1463,$B1157,$AF$4:$AF$1463,"&gt;"&amp;$AF1157)+COUNTIFS($B$4:$B1157,$B1157,$AF$4:$AF1157,"="&amp;$AF1157)))</f>
        <v>EMERALD LEAF TRIBE|69</v>
      </c>
      <c r="AI1157" s="1" t="str">
        <f>IF($C1157="","",$B1157&amp;"|"&amp;(COUNTIFS($B$4:$B$1463,$B1157,$AG$4:$AG$1463,"&gt;"&amp;$AG1157)+COUNTIFS($B$4:$B1157,$B1157,$AG$4:$AG1157,"="&amp;$AG1157)))</f>
        <v>EMERALD LEAF TRIBE|87</v>
      </c>
    </row>
    <row r="1158" spans="1:35" hidden="1">
      <c r="A1158" s="69" t="s">
        <v>106</v>
      </c>
      <c r="B1158" s="69" t="s">
        <v>107</v>
      </c>
      <c r="C1158" s="63" t="s">
        <v>2493</v>
      </c>
      <c r="D1158" s="69"/>
      <c r="E1158" s="68" t="s">
        <v>79</v>
      </c>
      <c r="F1158" s="15" t="str">
        <f>IF($C1158="","",IF($E1158="","-",IFERROR(INDEX(SETUP!$B$55:$B$64,MATCH($E1158,SETUP!$A$55:$A$64,0)),"Other")))</f>
        <v>Control</v>
      </c>
      <c r="G1158" s="70">
        <v>62675</v>
      </c>
      <c r="H1158" s="15" t="str">
        <f>IF($C1158="","",IF($G1158="","-",INDEX(SETUP!$B$26:$B$32,MATCH($G1158,SETUP!$A$26:$A$32,1))))</f>
        <v>62,000 - 62,999</v>
      </c>
      <c r="I1158" s="70">
        <v>2670</v>
      </c>
      <c r="J1158" s="15" t="str">
        <f>IF($C1158="","",IF($I1158="","-",INDEX(SETUP!$B$16:$B$22,MATCH($I1158,SETUP!$A$16:$A$22,1))))</f>
        <v>DEVELOPING</v>
      </c>
      <c r="K1158" s="15" t="str">
        <f>IF($C1158="","",IF($I1158="","-",TEXT(INT($I1158/1000)*1000,"#,##0")&amp;" - "&amp;TEXT(INT($I1158/1000)*1000+999,"#,##0")))</f>
        <v>2,000 - 2,999</v>
      </c>
      <c r="L1158" s="71">
        <v>4</v>
      </c>
      <c r="M1158" s="15" t="str">
        <f>IF($C1158="","",IF($L1158="","-",INDEX(SETUP!$B$36:$B$42,MATCH($L1158,SETUP!$A$36:$A$42,1))))</f>
        <v>4k - 5k</v>
      </c>
      <c r="N1158" s="17">
        <f>IF($C1158="","",IF(OR($G1158="",$I1158=""),"",ROUND(100*(SETUP!$B$4*MIN(1,$I1158/SETUP!$B$9)+SETUP!$B$5*MAX(0,MIN(1,($G1158-SETUP!$B$10)/(SETUP!$B$11-SETUP!$B$10)))+SETUP!$B$6*MIN(1,IF($L1158="",0,$L1158)/SETUP!$B$12)),1)))</f>
        <v>38.5</v>
      </c>
      <c r="O1158" s="15" t="str">
        <f>IF($C1158="","",IF($N1158="","-",INDEX(SETUP!$B$46:$B$51,MATCH($N1158,SETUP!$A$46:$A$51,1))))</f>
        <v>B</v>
      </c>
      <c r="P1158" s="15">
        <f>IF($C1158="","",IF($I1158="","",RANK($I1158,$I$4:$I$1463)+COUNTIF($I$4:$I1158,$I1158)-1))</f>
        <v>962</v>
      </c>
      <c r="Q1158" s="15">
        <f>IF($C1158="","",COUNTIFS($B$4:$B$1463,$B1158,$X$4:$X$1463,"&gt;"&amp;$X1158)+COUNTIFS($B$4:$B1158,$B1158,$X$4:$X1158,"="&amp;$X1158))</f>
        <v>88</v>
      </c>
      <c r="R1158" s="72">
        <f>IF($C1158="","",IF($I1158="","",ROUND(COUNTIF($I$4:$I$1463,"&lt;"&amp;$I1158)/COUNT($I$4:$I$1463),3)))</f>
        <v>0.27400000000000002</v>
      </c>
      <c r="S1158" s="15" t="str">
        <f>IF($C1158="","",IF($G1158="","Name only",IF(OR($I1158="",$L1158=""),"Partial","Complete")))</f>
        <v>Complete</v>
      </c>
      <c r="T1158" s="41" t="str">
        <f>IF($C1158="","",TRIM(IF(COUNTIF($C$4:$C$1463,$C1158)&gt;1,"Dup name; ","")&amp;IF(AND($G1158&lt;&gt;"",$G1158&lt;55000),"Low CR - verify; ","")&amp;IF(AND($L1158&lt;&gt;"",$L1158&gt;15),"Secondary - verify; ","")&amp;IF($E1158="","No class; ","")))</f>
        <v/>
      </c>
      <c r="U1158" s="68"/>
      <c r="V1158" s="68"/>
      <c r="W1158" s="68"/>
      <c r="X1158" s="73">
        <f t="shared" si="92"/>
        <v>2670</v>
      </c>
      <c r="Y1158" s="41" t="str">
        <f t="shared" si="93"/>
        <v>UNDYING|88</v>
      </c>
      <c r="Z1158" s="15">
        <f>IF($C1158="","",IF($G1158="","",RANK($G1158,$G$4:$G$1463)+COUNTIF($G$4:$G1158,$G1158)-1))</f>
        <v>574</v>
      </c>
      <c r="AA1158" s="15">
        <f>IF($C1158="","",IF($N1158="","",RANK($N1158,$N$4:$N$1463)+COUNTIF($N$4:$N1158,$N1158)-1))</f>
        <v>886</v>
      </c>
      <c r="AB1158" s="41" t="str">
        <f>IF($C1158="","",IF($E1158="","",$E1158&amp;"#"&amp;(COUNTIFS($E$4:$E$1463,$E1158,$X$4:$X$1463,"&gt;"&amp;$X1158)+COUNTIFS($E$4:$E1158,$E1158,$X$4:$X1158,"="&amp;$X1158))))</f>
        <v>WARLOCK#239</v>
      </c>
      <c r="AC1158" s="41" t="str">
        <f>IF($C1158="","",$B1158&amp;"@"&amp;(COUNTIFS($B$4:$B$1463,$B1158,$C$4:$C$1463,"&lt;"&amp;$C1158)+COUNTIFS($B$4:$B1158,$B1158,$C$4:$C1158,$C1158)))</f>
        <v>UNDYING@91</v>
      </c>
      <c r="AD1158" s="41">
        <f t="shared" si="94"/>
        <v>1155</v>
      </c>
      <c r="AE1158" s="41" t="s">
        <v>1081</v>
      </c>
      <c r="AF1158" s="73">
        <f t="shared" si="95"/>
        <v>62675</v>
      </c>
      <c r="AG1158" s="74">
        <f t="shared" si="96"/>
        <v>4</v>
      </c>
      <c r="AH1158" s="41" t="str">
        <f>IF($C1158="","",$B1158&amp;"|"&amp;(COUNTIFS($B$4:$B$1463,$B1158,$AF$4:$AF$1463,"&gt;"&amp;$AF1158)+COUNTIFS($B$4:$B1158,$B1158,$AF$4:$AF1158,"="&amp;$AF1158)))</f>
        <v>UNDYING|57</v>
      </c>
      <c r="AI1158" s="41" t="str">
        <f>IF($C1158="","",$B1158&amp;"|"&amp;(COUNTIFS($B$4:$B$1463,$B1158,$AG$4:$AG$1463,"&gt;"&amp;$AG1158)+COUNTIFS($B$4:$B1158,$B1158,$AG$4:$AG1158,"="&amp;$AG1158)))</f>
        <v>UNDYING|79</v>
      </c>
    </row>
    <row r="1159" spans="1:35" hidden="1">
      <c r="A1159" s="69" t="s">
        <v>109</v>
      </c>
      <c r="B1159" s="69" t="s">
        <v>115</v>
      </c>
      <c r="C1159" s="63" t="s">
        <v>2494</v>
      </c>
      <c r="D1159" s="69"/>
      <c r="E1159" s="68"/>
      <c r="F1159" s="19" t="str">
        <f>IF($C1159="","",IF($E1159="","-",IFERROR(INDEX(SETUP!$B$55:$B$64,MATCH($E1159,SETUP!$A$55:$A$64,0)),"Other")))</f>
        <v>-</v>
      </c>
      <c r="G1159" s="70"/>
      <c r="H1159" s="19" t="str">
        <f>IF($C1159="","",IF($G1159="","-",INDEX(SETUP!$B$26:$B$32,MATCH($G1159,SETUP!$A$26:$A$32,1))))</f>
        <v>-</v>
      </c>
      <c r="I1159" s="70"/>
      <c r="J1159" s="19" t="str">
        <f>IF($C1159="","",IF($I1159="","-",INDEX(SETUP!$B$16:$B$22,MATCH($I1159,SETUP!$A$16:$A$22,1))))</f>
        <v>-</v>
      </c>
      <c r="K1159" s="19" t="str">
        <f>IF($C1159="","",IF($I1159="","-",TEXT(INT($I1159/1000)*1000,"#,##0")&amp;" - "&amp;TEXT(INT($I1159/1000)*1000+999,"#,##0")))</f>
        <v>-</v>
      </c>
      <c r="L1159" s="71"/>
      <c r="M1159" s="19" t="str">
        <f>IF($C1159="","",IF($L1159="","-",INDEX(SETUP!$B$36:$B$42,MATCH($L1159,SETUP!$A$36:$A$42,1))))</f>
        <v>-</v>
      </c>
      <c r="N1159" s="21" t="str">
        <f>IF($C1159="","",IF(OR($G1159="",$I1159=""),"",ROUND(100*(SETUP!$B$4*MIN(1,$I1159/SETUP!$B$9)+SETUP!$B$5*MAX(0,MIN(1,($G1159-SETUP!$B$10)/(SETUP!$B$11-SETUP!$B$10)))+SETUP!$B$6*MIN(1,IF($L1159="",0,$L1159)/SETUP!$B$12)),1)))</f>
        <v/>
      </c>
      <c r="O1159" s="19" t="str">
        <f>IF($C1159="","",IF($N1159="","-",INDEX(SETUP!$B$46:$B$51,MATCH($N1159,SETUP!$A$46:$A$51,1))))</f>
        <v>-</v>
      </c>
      <c r="P1159" s="19" t="str">
        <f>IF($C1159="","",IF($I1159="","",RANK($I1159,$I$4:$I$1463)+COUNTIF($I$4:$I1159,$I1159)-1))</f>
        <v/>
      </c>
      <c r="Q1159" s="19">
        <f>IF($C1159="","",COUNTIFS($B$4:$B$1463,$B1159,$X$4:$X$1463,"&gt;"&amp;$X1159)+COUNTIFS($B$4:$B1159,$B1159,$X$4:$X1159,"="&amp;$X1159))</f>
        <v>87</v>
      </c>
      <c r="R1159" s="75" t="str">
        <f>IF($C1159="","",IF($I1159="","",ROUND(COUNTIF($I$4:$I$1463,"&lt;"&amp;$I1159)/COUNT($I$4:$I$1463),3)))</f>
        <v/>
      </c>
      <c r="S1159" s="19" t="str">
        <f>IF($C1159="","",IF($G1159="","Name only",IF(OR($I1159="",$L1159=""),"Partial","Complete")))</f>
        <v>Name only</v>
      </c>
      <c r="T1159" s="1" t="str">
        <f>IF($C1159="","",TRIM(IF(COUNTIF($C$4:$C$1463,$C1159)&gt;1,"Dup name; ","")&amp;IF(AND($G1159&lt;&gt;"",$G1159&lt;55000),"Low CR - verify; ","")&amp;IF(AND($L1159&lt;&gt;"",$L1159&gt;15),"Secondary - verify; ","")&amp;IF($E1159="","No class; ","")))</f>
        <v>No class;</v>
      </c>
      <c r="U1159" s="68"/>
      <c r="V1159" s="68"/>
      <c r="W1159" s="68"/>
      <c r="X1159" s="1">
        <f t="shared" si="92"/>
        <v>-1</v>
      </c>
      <c r="Y1159" s="1" t="str">
        <f t="shared" si="93"/>
        <v>SUB ROSA|87</v>
      </c>
      <c r="Z1159" s="19" t="str">
        <f>IF($C1159="","",IF($G1159="","",RANK($G1159,$G$4:$G$1463)+COUNTIF($G$4:$G1159,$G1159)-1))</f>
        <v/>
      </c>
      <c r="AA1159" s="19" t="str">
        <f>IF($C1159="","",IF($N1159="","",RANK($N1159,$N$4:$N$1463)+COUNTIF($N$4:$N1159,$N1159)-1))</f>
        <v/>
      </c>
      <c r="AB1159" s="1" t="str">
        <f>IF($C1159="","",IF($E1159="","",$E1159&amp;"#"&amp;(COUNTIFS($E$4:$E$1463,$E1159,$X$4:$X$1463,"&gt;"&amp;$X1159)+COUNTIFS($E$4:$E1159,$E1159,$X$4:$X1159,"="&amp;$X1159))))</f>
        <v/>
      </c>
      <c r="AC1159" s="1" t="str">
        <f>IF($C1159="","",$B1159&amp;"@"&amp;(COUNTIFS($B$4:$B$1463,$B1159,$C$4:$C$1463,"&lt;"&amp;$C1159)+COUNTIFS($B$4:$B1159,$B1159,$C$4:$C1159,$C1159)))</f>
        <v>SUB ROSA@80</v>
      </c>
      <c r="AD1159" s="1">
        <f t="shared" si="94"/>
        <v>1156</v>
      </c>
      <c r="AE1159" s="1"/>
      <c r="AF1159" s="1">
        <f t="shared" si="95"/>
        <v>-1</v>
      </c>
      <c r="AG1159" s="1">
        <f t="shared" si="96"/>
        <v>-1</v>
      </c>
      <c r="AH1159" s="1" t="str">
        <f>IF($C1159="","",$B1159&amp;"|"&amp;(COUNTIFS($B$4:$B$1463,$B1159,$AF$4:$AF$1463,"&gt;"&amp;$AF1159)+COUNTIFS($B$4:$B1159,$B1159,$AF$4:$AF1159,"="&amp;$AF1159)))</f>
        <v>SUB ROSA|87</v>
      </c>
      <c r="AI1159" s="1" t="str">
        <f>IF($C1159="","",$B1159&amp;"|"&amp;(COUNTIFS($B$4:$B$1463,$B1159,$AG$4:$AG$1463,"&gt;"&amp;$AG1159)+COUNTIFS($B$4:$B1159,$B1159,$AG$4:$AG1159,"="&amp;$AG1159)))</f>
        <v>SUB ROSA|87</v>
      </c>
    </row>
    <row r="1160" spans="1:35" hidden="1">
      <c r="A1160" s="69" t="s">
        <v>109</v>
      </c>
      <c r="B1160" s="69" t="s">
        <v>115</v>
      </c>
      <c r="C1160" s="63" t="s">
        <v>2495</v>
      </c>
      <c r="D1160" s="69"/>
      <c r="E1160" s="68" t="s">
        <v>74</v>
      </c>
      <c r="F1160" s="15" t="str">
        <f>IF($C1160="","",IF($E1160="","-",IFERROR(INDEX(SETUP!$B$55:$B$64,MATCH($E1160,SETUP!$A$55:$A$64,0)),"Other")))</f>
        <v>Ranged DPS</v>
      </c>
      <c r="G1160" s="70">
        <v>63574</v>
      </c>
      <c r="H1160" s="15" t="str">
        <f>IF($C1160="","",IF($G1160="","-",INDEX(SETUP!$B$26:$B$32,MATCH($G1160,SETUP!$A$26:$A$32,1))))</f>
        <v>63,000 - 63,999</v>
      </c>
      <c r="I1160" s="70">
        <v>6342</v>
      </c>
      <c r="J1160" s="15" t="str">
        <f>IF($C1160="","",IF($I1160="","-",INDEX(SETUP!$B$16:$B$22,MATCH($I1160,SETUP!$A$16:$A$22,1))))</f>
        <v>VETERAN</v>
      </c>
      <c r="K1160" s="15" t="str">
        <f>IF($C1160="","",IF($I1160="","-",TEXT(INT($I1160/1000)*1000,"#,##0")&amp;" - "&amp;TEXT(INT($I1160/1000)*1000+999,"#,##0")))</f>
        <v>6,000 - 6,999</v>
      </c>
      <c r="L1160" s="71">
        <v>7.96</v>
      </c>
      <c r="M1160" s="15" t="str">
        <f>IF($C1160="","",IF($L1160="","-",INDEX(SETUP!$B$36:$B$42,MATCH($L1160,SETUP!$A$36:$A$42,1))))</f>
        <v>6k - 8k</v>
      </c>
      <c r="N1160" s="17">
        <f>IF($C1160="","",IF(OR($G1160="",$I1160=""),"",ROUND(100*(SETUP!$B$4*MIN(1,$I1160/SETUP!$B$9)+SETUP!$B$5*MAX(0,MIN(1,($G1160-SETUP!$B$10)/(SETUP!$B$11-SETUP!$B$10)))+SETUP!$B$6*MIN(1,IF($L1160="",0,$L1160)/SETUP!$B$12)),1)))</f>
        <v>63.5</v>
      </c>
      <c r="O1160" s="15" t="str">
        <f>IF($C1160="","",IF($N1160="","-",INDEX(SETUP!$B$46:$B$51,MATCH($N1160,SETUP!$A$46:$A$51,1))))</f>
        <v>A</v>
      </c>
      <c r="P1160" s="15">
        <f>IF($C1160="","",IF($I1160="","",RANK($I1160,$I$4:$I$1463)+COUNTIF($I$4:$I1160,$I1160)-1))</f>
        <v>255</v>
      </c>
      <c r="Q1160" s="15">
        <f>IF($C1160="","",COUNTIFS($B$4:$B$1463,$B1160,$X$4:$X$1463,"&gt;"&amp;$X1160)+COUNTIFS($B$4:$B1160,$B1160,$X$4:$X1160,"="&amp;$X1160))</f>
        <v>6</v>
      </c>
      <c r="R1160" s="72">
        <f>IF($C1160="","",IF($I1160="","",ROUND(COUNTIF($I$4:$I$1463,"&lt;"&amp;$I1160)/COUNT($I$4:$I$1463),3)))</f>
        <v>0.80800000000000005</v>
      </c>
      <c r="S1160" s="15" t="str">
        <f>IF($C1160="","",IF($G1160="","Name only",IF(OR($I1160="",$L1160=""),"Partial","Complete")))</f>
        <v>Complete</v>
      </c>
      <c r="T1160" s="41" t="str">
        <f>IF($C1160="","",TRIM(IF(COUNTIF($C$4:$C$1463,$C1160)&gt;1,"Dup name; ","")&amp;IF(AND($G1160&lt;&gt;"",$G1160&lt;55000),"Low CR - verify; ","")&amp;IF(AND($L1160&lt;&gt;"",$L1160&gt;15),"Secondary - verify; ","")&amp;IF($E1160="","No class; ","")))</f>
        <v/>
      </c>
      <c r="U1160" s="68"/>
      <c r="V1160" s="68"/>
      <c r="W1160" s="68"/>
      <c r="X1160" s="73">
        <f t="shared" si="92"/>
        <v>6342</v>
      </c>
      <c r="Y1160" s="41" t="str">
        <f t="shared" si="93"/>
        <v>SUB ROSA|6</v>
      </c>
      <c r="Z1160" s="15">
        <f>IF($C1160="","",IF($G1160="","",RANK($G1160,$G$4:$G$1463)+COUNTIF($G$4:$G1160,$G1160)-1))</f>
        <v>173</v>
      </c>
      <c r="AA1160" s="15">
        <f>IF($C1160="","",IF($N1160="","",RANK($N1160,$N$4:$N$1463)+COUNTIF($N$4:$N1160,$N1160)-1))</f>
        <v>196</v>
      </c>
      <c r="AB1160" s="41" t="str">
        <f>IF($C1160="","",IF($E1160="","",$E1160&amp;"#"&amp;(COUNTIFS($E$4:$E$1463,$E1160,$X$4:$X$1463,"&gt;"&amp;$X1160)+COUNTIFS($E$4:$E1160,$E1160,$X$4:$X1160,"="&amp;$X1160))))</f>
        <v>DEMON HUNTER#43</v>
      </c>
      <c r="AC1160" s="41" t="str">
        <f>IF($C1160="","",$B1160&amp;"@"&amp;(COUNTIFS($B$4:$B$1463,$B1160,$C$4:$C$1463,"&lt;"&amp;$C1160)+COUNTIFS($B$4:$B1160,$B1160,$C$4:$C1160,$C1160)))</f>
        <v>SUB ROSA@81</v>
      </c>
      <c r="AD1160" s="41">
        <f t="shared" si="94"/>
        <v>1157</v>
      </c>
      <c r="AE1160" s="41" t="s">
        <v>2496</v>
      </c>
      <c r="AF1160" s="73">
        <f t="shared" si="95"/>
        <v>63574</v>
      </c>
      <c r="AG1160" s="74">
        <f t="shared" si="96"/>
        <v>7.96</v>
      </c>
      <c r="AH1160" s="41" t="str">
        <f>IF($C1160="","",$B1160&amp;"|"&amp;(COUNTIFS($B$4:$B$1463,$B1160,$AF$4:$AF$1463,"&gt;"&amp;$AF1160)+COUNTIFS($B$4:$B1160,$B1160,$AF$4:$AF1160,"="&amp;$AF1160)))</f>
        <v>SUB ROSA|4</v>
      </c>
      <c r="AI1160" s="41" t="str">
        <f>IF($C1160="","",$B1160&amp;"|"&amp;(COUNTIFS($B$4:$B$1463,$B1160,$AG$4:$AG$1463,"&gt;"&amp;$AG1160)+COUNTIFS($B$4:$B1160,$B1160,$AG$4:$AG1160,"="&amp;$AG1160)))</f>
        <v>SUB ROSA|1</v>
      </c>
    </row>
    <row r="1161" spans="1:35" hidden="1">
      <c r="A1161" s="69" t="s">
        <v>106</v>
      </c>
      <c r="B1161" s="69" t="s">
        <v>105</v>
      </c>
      <c r="C1161" s="63" t="s">
        <v>2497</v>
      </c>
      <c r="D1161" s="69"/>
      <c r="E1161" s="68" t="s">
        <v>79</v>
      </c>
      <c r="F1161" s="19" t="str">
        <f>IF($C1161="","",IF($E1161="","-",IFERROR(INDEX(SETUP!$B$55:$B$64,MATCH($E1161,SETUP!$A$55:$A$64,0)),"Other")))</f>
        <v>Control</v>
      </c>
      <c r="G1161" s="70">
        <v>62048</v>
      </c>
      <c r="H1161" s="19" t="str">
        <f>IF($C1161="","",IF($G1161="","-",INDEX(SETUP!$B$26:$B$32,MATCH($G1161,SETUP!$A$26:$A$32,1))))</f>
        <v>62,000 - 62,999</v>
      </c>
      <c r="I1161" s="70">
        <v>4222</v>
      </c>
      <c r="J1161" s="19" t="str">
        <f>IF($C1161="","",IF($I1161="","-",INDEX(SETUP!$B$16:$B$22,MATCH($I1161,SETUP!$A$16:$A$22,1))))</f>
        <v>CORE</v>
      </c>
      <c r="K1161" s="19" t="str">
        <f>IF($C1161="","",IF($I1161="","-",TEXT(INT($I1161/1000)*1000,"#,##0")&amp;" - "&amp;TEXT(INT($I1161/1000)*1000+999,"#,##0")))</f>
        <v>4,000 - 4,999</v>
      </c>
      <c r="L1161" s="71">
        <v>5.71</v>
      </c>
      <c r="M1161" s="19" t="str">
        <f>IF($C1161="","",IF($L1161="","-",INDEX(SETUP!$B$36:$B$42,MATCH($L1161,SETUP!$A$36:$A$42,1))))</f>
        <v>5k - 6k</v>
      </c>
      <c r="N1161" s="21">
        <f>IF($C1161="","",IF(OR($G1161="",$I1161=""),"",ROUND(100*(SETUP!$B$4*MIN(1,$I1161/SETUP!$B$9)+SETUP!$B$5*MAX(0,MIN(1,($G1161-SETUP!$B$10)/(SETUP!$B$11-SETUP!$B$10)))+SETUP!$B$6*MIN(1,IF($L1161="",0,$L1161)/SETUP!$B$12)),1)))</f>
        <v>46.5</v>
      </c>
      <c r="O1161" s="19" t="str">
        <f>IF($C1161="","",IF($N1161="","-",INDEX(SETUP!$B$46:$B$51,MATCH($N1161,SETUP!$A$46:$A$51,1))))</f>
        <v>B</v>
      </c>
      <c r="P1161" s="19">
        <f>IF($C1161="","",IF($I1161="","",RANK($I1161,$I$4:$I$1463)+COUNTIF($I$4:$I1161,$I1161)-1))</f>
        <v>552</v>
      </c>
      <c r="Q1161" s="19">
        <f>IF($C1161="","",COUNTIFS($B$4:$B$1463,$B1161,$X$4:$X$1463,"&gt;"&amp;$X1161)+COUNTIFS($B$4:$B1161,$B1161,$X$4:$X1161,"="&amp;$X1161))</f>
        <v>71</v>
      </c>
      <c r="R1161" s="75">
        <f>IF($C1161="","",IF($I1161="","",ROUND(COUNTIF($I$4:$I$1463,"&lt;"&amp;$I1161)/COUNT($I$4:$I$1463),3)))</f>
        <v>0.58299999999999996</v>
      </c>
      <c r="S1161" s="19" t="str">
        <f>IF($C1161="","",IF($G1161="","Name only",IF(OR($I1161="",$L1161=""),"Partial","Complete")))</f>
        <v>Complete</v>
      </c>
      <c r="T1161" s="1" t="str">
        <f>IF($C1161="","",TRIM(IF(COUNTIF($C$4:$C$1463,$C1161)&gt;1,"Dup name; ","")&amp;IF(AND($G1161&lt;&gt;"",$G1161&lt;55000),"Low CR - verify; ","")&amp;IF(AND($L1161&lt;&gt;"",$L1161&gt;15),"Secondary - verify; ","")&amp;IF($E1161="","No class; ","")))</f>
        <v/>
      </c>
      <c r="U1161" s="68"/>
      <c r="V1161" s="68"/>
      <c r="W1161" s="68"/>
      <c r="X1161" s="76">
        <f t="shared" si="92"/>
        <v>4222</v>
      </c>
      <c r="Y1161" s="1" t="str">
        <f t="shared" si="93"/>
        <v>LEGENDS|71</v>
      </c>
      <c r="Z1161" s="19">
        <f>IF($C1161="","",IF($G1161="","",RANK($G1161,$G$4:$G$1463)+COUNTIF($G$4:$G1161,$G1161)-1))</f>
        <v>816</v>
      </c>
      <c r="AA1161" s="19">
        <f>IF($C1161="","",IF($N1161="","",RANK($N1161,$N$4:$N$1463)+COUNTIF($N$4:$N1161,$N1161)-1))</f>
        <v>572</v>
      </c>
      <c r="AB1161" s="1" t="str">
        <f>IF($C1161="","",IF($E1161="","",$E1161&amp;"#"&amp;(COUNTIFS($E$4:$E$1463,$E1161,$X$4:$X$1463,"&gt;"&amp;$X1161)+COUNTIFS($E$4:$E1161,$E1161,$X$4:$X1161,"="&amp;$X1161))))</f>
        <v>WARLOCK#130</v>
      </c>
      <c r="AC1161" s="1" t="str">
        <f>IF($C1161="","",$B1161&amp;"@"&amp;(COUNTIFS($B$4:$B$1463,$B1161,$C$4:$C$1463,"&lt;"&amp;$C1161)+COUNTIFS($B$4:$B1161,$B1161,$C$4:$C1161,$C1161)))</f>
        <v>LEGENDS@91</v>
      </c>
      <c r="AD1161" s="1">
        <f t="shared" si="94"/>
        <v>1158</v>
      </c>
      <c r="AE1161" s="1" t="s">
        <v>2498</v>
      </c>
      <c r="AF1161" s="76">
        <f t="shared" si="95"/>
        <v>62048</v>
      </c>
      <c r="AG1161" s="77">
        <f t="shared" si="96"/>
        <v>5.71</v>
      </c>
      <c r="AH1161" s="1" t="str">
        <f>IF($C1161="","",$B1161&amp;"|"&amp;(COUNTIFS($B$4:$B$1463,$B1161,$AF$4:$AF$1463,"&gt;"&amp;$AF1161)+COUNTIFS($B$4:$B1161,$B1161,$AF$4:$AF1161,"="&amp;$AF1161)))</f>
        <v>LEGENDS|80</v>
      </c>
      <c r="AI1161" s="1" t="str">
        <f>IF($C1161="","",$B1161&amp;"|"&amp;(COUNTIFS($B$4:$B$1463,$B1161,$AG$4:$AG$1463,"&gt;"&amp;$AG1161)+COUNTIFS($B$4:$B1161,$B1161,$AG$4:$AG1161,"="&amp;$AG1161)))</f>
        <v>LEGENDS|30</v>
      </c>
    </row>
    <row r="1162" spans="1:35" hidden="1">
      <c r="A1162" s="69" t="s">
        <v>109</v>
      </c>
      <c r="B1162" s="69" t="s">
        <v>118</v>
      </c>
      <c r="C1162" s="63" t="s">
        <v>2499</v>
      </c>
      <c r="D1162" s="69"/>
      <c r="E1162" s="68" t="s">
        <v>74</v>
      </c>
      <c r="F1162" s="15" t="str">
        <f>IF($C1162="","",IF($E1162="","-",IFERROR(INDEX(SETUP!$B$55:$B$64,MATCH($E1162,SETUP!$A$55:$A$64,0)),"Other")))</f>
        <v>Ranged DPS</v>
      </c>
      <c r="G1162" s="70">
        <v>61850</v>
      </c>
      <c r="H1162" s="15" t="str">
        <f>IF($C1162="","",IF($G1162="","-",INDEX(SETUP!$B$26:$B$32,MATCH($G1162,SETUP!$A$26:$A$32,1))))</f>
        <v>61,000 - 61,999</v>
      </c>
      <c r="I1162" s="70">
        <v>2466</v>
      </c>
      <c r="J1162" s="15" t="str">
        <f>IF($C1162="","",IF($I1162="","-",INDEX(SETUP!$B$16:$B$22,MATCH($I1162,SETUP!$A$16:$A$22,1))))</f>
        <v>DEVELOPING</v>
      </c>
      <c r="K1162" s="15" t="str">
        <f>IF($C1162="","",IF($I1162="","-",TEXT(INT($I1162/1000)*1000,"#,##0")&amp;" - "&amp;TEXT(INT($I1162/1000)*1000+999,"#,##0")))</f>
        <v>2,000 - 2,999</v>
      </c>
      <c r="L1162" s="71">
        <v>3.4</v>
      </c>
      <c r="M1162" s="15" t="str">
        <f>IF($C1162="","",IF($L1162="","-",INDEX(SETUP!$B$36:$B$42,MATCH($L1162,SETUP!$A$36:$A$42,1))))</f>
        <v>3k - 4k</v>
      </c>
      <c r="N1162" s="17">
        <f>IF($C1162="","",IF(OR($G1162="",$I1162=""),"",ROUND(100*(SETUP!$B$4*MIN(1,$I1162/SETUP!$B$9)+SETUP!$B$5*MAX(0,MIN(1,($G1162-SETUP!$B$10)/(SETUP!$B$11-SETUP!$B$10)))+SETUP!$B$6*MIN(1,IF($L1162="",0,$L1162)/SETUP!$B$12)),1)))</f>
        <v>34.5</v>
      </c>
      <c r="O1162" s="15" t="str">
        <f>IF($C1162="","",IF($N1162="","-",INDEX(SETUP!$B$46:$B$51,MATCH($N1162,SETUP!$A$46:$A$51,1))))</f>
        <v>C</v>
      </c>
      <c r="P1162" s="15">
        <f>IF($C1162="","",IF($I1162="","",RANK($I1162,$I$4:$I$1463)+COUNTIF($I$4:$I1162,$I1162)-1))</f>
        <v>1016</v>
      </c>
      <c r="Q1162" s="15">
        <f>IF($C1162="","",COUNTIFS($B$4:$B$1463,$B1162,$X$4:$X$1463,"&gt;"&amp;$X1162)+COUNTIFS($B$4:$B1162,$B1162,$X$4:$X1162,"="&amp;$X1162))</f>
        <v>26</v>
      </c>
      <c r="R1162" s="72">
        <f>IF($C1162="","",IF($I1162="","",ROUND(COUNTIF($I$4:$I$1463,"&lt;"&amp;$I1162)/COUNT($I$4:$I$1463),3)))</f>
        <v>0.23300000000000001</v>
      </c>
      <c r="S1162" s="15" t="str">
        <f>IF($C1162="","",IF($G1162="","Name only",IF(OR($I1162="",$L1162=""),"Partial","Complete")))</f>
        <v>Complete</v>
      </c>
      <c r="T1162" s="41" t="str">
        <f>IF($C1162="","",TRIM(IF(COUNTIF($C$4:$C$1463,$C1162)&gt;1,"Dup name; ","")&amp;IF(AND($G1162&lt;&gt;"",$G1162&lt;55000),"Low CR - verify; ","")&amp;IF(AND($L1162&lt;&gt;"",$L1162&gt;15),"Secondary - verify; ","")&amp;IF($E1162="","No class; ","")))</f>
        <v/>
      </c>
      <c r="U1162" s="68"/>
      <c r="V1162" s="68"/>
      <c r="W1162" s="68"/>
      <c r="X1162" s="73">
        <f t="shared" si="92"/>
        <v>2466</v>
      </c>
      <c r="Y1162" s="41" t="str">
        <f t="shared" si="93"/>
        <v>ZOMBIES|26</v>
      </c>
      <c r="Z1162" s="15">
        <f>IF($C1162="","",IF($G1162="","",RANK($G1162,$G$4:$G$1463)+COUNTIF($G$4:$G1162,$G1162)-1))</f>
        <v>896</v>
      </c>
      <c r="AA1162" s="15">
        <f>IF($C1162="","",IF($N1162="","",RANK($N1162,$N$4:$N$1463)+COUNTIF($N$4:$N1162,$N1162)-1))</f>
        <v>1022</v>
      </c>
      <c r="AB1162" s="41" t="str">
        <f>IF($C1162="","",IF($E1162="","",$E1162&amp;"#"&amp;(COUNTIFS($E$4:$E$1463,$E1162,$X$4:$X$1463,"&gt;"&amp;$X1162)+COUNTIFS($E$4:$E1162,$E1162,$X$4:$X1162,"="&amp;$X1162))))</f>
        <v>DEMON HUNTER#162</v>
      </c>
      <c r="AC1162" s="41" t="str">
        <f>IF($C1162="","",$B1162&amp;"@"&amp;(COUNTIFS($B$4:$B$1463,$B1162,$C$4:$C$1463,"&lt;"&amp;$C1162)+COUNTIFS($B$4:$B1162,$B1162,$C$4:$C1162,$C1162)))</f>
        <v>ZOMBIES@82</v>
      </c>
      <c r="AD1162" s="41">
        <f t="shared" si="94"/>
        <v>1159</v>
      </c>
      <c r="AE1162" s="41" t="s">
        <v>642</v>
      </c>
      <c r="AF1162" s="73">
        <f t="shared" si="95"/>
        <v>61850</v>
      </c>
      <c r="AG1162" s="74">
        <f t="shared" si="96"/>
        <v>3.4</v>
      </c>
      <c r="AH1162" s="41" t="str">
        <f>IF($C1162="","",$B1162&amp;"|"&amp;(COUNTIFS($B$4:$B$1463,$B1162,$AF$4:$AF$1463,"&gt;"&amp;$AF1162)+COUNTIFS($B$4:$B1162,$B1162,$AF$4:$AF1162,"="&amp;$AF1162)))</f>
        <v>ZOMBIES|31</v>
      </c>
      <c r="AI1162" s="41" t="str">
        <f>IF($C1162="","",$B1162&amp;"|"&amp;(COUNTIFS($B$4:$B$1463,$B1162,$AG$4:$AG$1463,"&gt;"&amp;$AG1162)+COUNTIFS($B$4:$B1162,$B1162,$AG$4:$AG1162,"="&amp;$AG1162)))</f>
        <v>ZOMBIES|53</v>
      </c>
    </row>
    <row r="1163" spans="1:35" hidden="1">
      <c r="A1163" s="69" t="s">
        <v>109</v>
      </c>
      <c r="B1163" s="69" t="s">
        <v>112</v>
      </c>
      <c r="C1163" s="63" t="s">
        <v>2500</v>
      </c>
      <c r="D1163" s="69" t="s">
        <v>567</v>
      </c>
      <c r="E1163" s="68" t="s">
        <v>79</v>
      </c>
      <c r="F1163" s="19" t="str">
        <f>IF($C1163="","",IF($E1163="","-",IFERROR(INDEX(SETUP!$B$55:$B$64,MATCH($E1163,SETUP!$A$55:$A$64,0)),"Other")))</f>
        <v>Control</v>
      </c>
      <c r="G1163" s="70">
        <v>63217</v>
      </c>
      <c r="H1163" s="19" t="str">
        <f>IF($C1163="","",IF($G1163="","-",INDEX(SETUP!$B$26:$B$32,MATCH($G1163,SETUP!$A$26:$A$32,1))))</f>
        <v>63,000 - 63,999</v>
      </c>
      <c r="I1163" s="70">
        <v>5821</v>
      </c>
      <c r="J1163" s="19" t="str">
        <f>IF($C1163="","",IF($I1163="","-",INDEX(SETUP!$B$16:$B$22,MATCH($I1163,SETUP!$A$16:$A$22,1))))</f>
        <v>CORE</v>
      </c>
      <c r="K1163" s="19" t="str">
        <f>IF($C1163="","",IF($I1163="","-",TEXT(INT($I1163/1000)*1000,"#,##0")&amp;" - "&amp;TEXT(INT($I1163/1000)*1000+999,"#,##0")))</f>
        <v>5,000 - 5,999</v>
      </c>
      <c r="L1163" s="71">
        <v>7.95</v>
      </c>
      <c r="M1163" s="19" t="str">
        <f>IF($C1163="","",IF($L1163="","-",INDEX(SETUP!$B$36:$B$42,MATCH($L1163,SETUP!$A$36:$A$42,1))))</f>
        <v>6k - 8k</v>
      </c>
      <c r="N1163" s="21">
        <f>IF($C1163="","",IF(OR($G1163="",$I1163=""),"",ROUND(100*(SETUP!$B$4*MIN(1,$I1163/SETUP!$B$9)+SETUP!$B$5*MAX(0,MIN(1,($G1163-SETUP!$B$10)/(SETUP!$B$11-SETUP!$B$10)))+SETUP!$B$6*MIN(1,IF($L1163="",0,$L1163)/SETUP!$B$12)),1)))</f>
        <v>60.3</v>
      </c>
      <c r="O1163" s="19" t="str">
        <f>IF($C1163="","",IF($N1163="","-",INDEX(SETUP!$B$46:$B$51,MATCH($N1163,SETUP!$A$46:$A$51,1))))</f>
        <v>A</v>
      </c>
      <c r="P1163" s="19">
        <f>IF($C1163="","",IF($I1163="","",RANK($I1163,$I$4:$I$1463)+COUNTIF($I$4:$I1163,$I1163)-1))</f>
        <v>304</v>
      </c>
      <c r="Q1163" s="19">
        <f>IF($C1163="","",COUNTIFS($B$4:$B$1463,$B1163,$X$4:$X$1463,"&gt;"&amp;$X1163)+COUNTIFS($B$4:$B1163,$B1163,$X$4:$X1163,"="&amp;$X1163))</f>
        <v>15</v>
      </c>
      <c r="R1163" s="75">
        <f>IF($C1163="","",IF($I1163="","",ROUND(COUNTIF($I$4:$I$1463,"&lt;"&amp;$I1163)/COUNT($I$4:$I$1463),3)))</f>
        <v>0.77100000000000002</v>
      </c>
      <c r="S1163" s="19" t="str">
        <f>IF($C1163="","",IF($G1163="","Name only",IF(OR($I1163="",$L1163=""),"Partial","Complete")))</f>
        <v>Complete</v>
      </c>
      <c r="T1163" s="1" t="str">
        <f>IF($C1163="","",TRIM(IF(COUNTIF($C$4:$C$1463,$C1163)&gt;1,"Dup name; ","")&amp;IF(AND($G1163&lt;&gt;"",$G1163&lt;55000),"Low CR - verify; ","")&amp;IF(AND($L1163&lt;&gt;"",$L1163&gt;15),"Secondary - verify; ","")&amp;IF($E1163="","No class; ","")))</f>
        <v/>
      </c>
      <c r="U1163" s="68"/>
      <c r="V1163" s="68"/>
      <c r="W1163" s="68"/>
      <c r="X1163" s="76">
        <f t="shared" si="92"/>
        <v>5821</v>
      </c>
      <c r="Y1163" s="1" t="str">
        <f t="shared" si="93"/>
        <v>ACHERON|15</v>
      </c>
      <c r="Z1163" s="19">
        <f>IF($C1163="","",IF($G1163="","",RANK($G1163,$G$4:$G$1463)+COUNTIF($G$4:$G1163,$G1163)-1))</f>
        <v>306</v>
      </c>
      <c r="AA1163" s="19">
        <f>IF($C1163="","",IF($N1163="","",RANK($N1163,$N$4:$N$1463)+COUNTIF($N$4:$N1163,$N1163)-1))</f>
        <v>232</v>
      </c>
      <c r="AB1163" s="1" t="str">
        <f>IF($C1163="","",IF($E1163="","",$E1163&amp;"#"&amp;(COUNTIFS($E$4:$E$1463,$E1163,$X$4:$X$1463,"&gt;"&amp;$X1163)+COUNTIFS($E$4:$E1163,$E1163,$X$4:$X1163,"="&amp;$X1163))))</f>
        <v>WARLOCK#64</v>
      </c>
      <c r="AC1163" s="1" t="str">
        <f>IF($C1163="","",$B1163&amp;"@"&amp;(COUNTIFS($B$4:$B$1463,$B1163,$C$4:$C$1463,"&lt;"&amp;$C1163)+COUNTIFS($B$4:$B1163,$B1163,$C$4:$C1163,$C1163)))</f>
        <v>ACHERON@79</v>
      </c>
      <c r="AD1163" s="1">
        <f t="shared" si="94"/>
        <v>1160</v>
      </c>
      <c r="AE1163" s="1" t="s">
        <v>2501</v>
      </c>
      <c r="AF1163" s="76">
        <f t="shared" si="95"/>
        <v>63217</v>
      </c>
      <c r="AG1163" s="77">
        <f t="shared" si="96"/>
        <v>7.95</v>
      </c>
      <c r="AH1163" s="1" t="str">
        <f>IF($C1163="","",$B1163&amp;"|"&amp;(COUNTIFS($B$4:$B$1463,$B1163,$AF$4:$AF$1463,"&gt;"&amp;$AF1163)+COUNTIFS($B$4:$B1163,$B1163,$AF$4:$AF1163,"="&amp;$AF1163)))</f>
        <v>ACHERON|22</v>
      </c>
      <c r="AI1163" s="1" t="str">
        <f>IF($C1163="","",$B1163&amp;"|"&amp;(COUNTIFS($B$4:$B$1463,$B1163,$AG$4:$AG$1463,"&gt;"&amp;$AG1163)+COUNTIFS($B$4:$B1163,$B1163,$AG$4:$AG1163,"="&amp;$AG1163)))</f>
        <v>ACHERON|5</v>
      </c>
    </row>
    <row r="1164" spans="1:35" hidden="1">
      <c r="A1164" s="69" t="s">
        <v>109</v>
      </c>
      <c r="B1164" s="69" t="s">
        <v>117</v>
      </c>
      <c r="C1164" s="63" t="s">
        <v>2502</v>
      </c>
      <c r="D1164" s="69"/>
      <c r="E1164" s="68" t="s">
        <v>79</v>
      </c>
      <c r="F1164" s="15" t="str">
        <f>IF($C1164="","",IF($E1164="","-",IFERROR(INDEX(SETUP!$B$55:$B$64,MATCH($E1164,SETUP!$A$55:$A$64,0)),"Other")))</f>
        <v>Control</v>
      </c>
      <c r="G1164" s="70">
        <v>61554</v>
      </c>
      <c r="H1164" s="15" t="str">
        <f>IF($C1164="","",IF($G1164="","-",INDEX(SETUP!$B$26:$B$32,MATCH($G1164,SETUP!$A$26:$A$32,1))))</f>
        <v>61,000 - 61,999</v>
      </c>
      <c r="I1164" s="70">
        <v>1990</v>
      </c>
      <c r="J1164" s="15" t="str">
        <f>IF($C1164="","",IF($I1164="","-",INDEX(SETUP!$B$16:$B$22,MATCH($I1164,SETUP!$A$16:$A$22,1))))</f>
        <v>ROOKIE</v>
      </c>
      <c r="K1164" s="15" t="str">
        <f>IF($C1164="","",IF($I1164="","-",TEXT(INT($I1164/1000)*1000,"#,##0")&amp;" - "&amp;TEXT(INT($I1164/1000)*1000+999,"#,##0")))</f>
        <v>1,000 - 1,999</v>
      </c>
      <c r="L1164" s="71">
        <v>3.9</v>
      </c>
      <c r="M1164" s="15" t="str">
        <f>IF($C1164="","",IF($L1164="","-",INDEX(SETUP!$B$36:$B$42,MATCH($L1164,SETUP!$A$36:$A$42,1))))</f>
        <v>3k - 4k</v>
      </c>
      <c r="N1164" s="17">
        <f>IF($C1164="","",IF(OR($G1164="",$I1164=""),"",ROUND(100*(SETUP!$B$4*MIN(1,$I1164/SETUP!$B$9)+SETUP!$B$5*MAX(0,MIN(1,($G1164-SETUP!$B$10)/(SETUP!$B$11-SETUP!$B$10)))+SETUP!$B$6*MIN(1,IF($L1164="",0,$L1164)/SETUP!$B$12)),1)))</f>
        <v>32.4</v>
      </c>
      <c r="O1164" s="15" t="str">
        <f>IF($C1164="","",IF($N1164="","-",INDEX(SETUP!$B$46:$B$51,MATCH($N1164,SETUP!$A$46:$A$51,1))))</f>
        <v>C</v>
      </c>
      <c r="P1164" s="15">
        <f>IF($C1164="","",IF($I1164="","",RANK($I1164,$I$4:$I$1463)+COUNTIF($I$4:$I1164,$I1164)-1))</f>
        <v>1119</v>
      </c>
      <c r="Q1164" s="15">
        <f>IF($C1164="","",COUNTIFS($B$4:$B$1463,$B1164,$X$4:$X$1463,"&gt;"&amp;$X1164)+COUNTIFS($B$4:$B1164,$B1164,$X$4:$X1164,"="&amp;$X1164))</f>
        <v>48</v>
      </c>
      <c r="R1164" s="72">
        <f>IF($C1164="","",IF($I1164="","",ROUND(COUNTIF($I$4:$I$1463,"&lt;"&amp;$I1164)/COUNT($I$4:$I$1463),3)))</f>
        <v>0.155</v>
      </c>
      <c r="S1164" s="15" t="str">
        <f>IF($C1164="","",IF($G1164="","Name only",IF(OR($I1164="",$L1164=""),"Partial","Complete")))</f>
        <v>Complete</v>
      </c>
      <c r="T1164" s="41" t="str">
        <f>IF($C1164="","",TRIM(IF(COUNTIF($C$4:$C$1463,$C1164)&gt;1,"Dup name; ","")&amp;IF(AND($G1164&lt;&gt;"",$G1164&lt;55000),"Low CR - verify; ","")&amp;IF(AND($L1164&lt;&gt;"",$L1164&gt;15),"Secondary - verify; ","")&amp;IF($E1164="","No class; ","")))</f>
        <v/>
      </c>
      <c r="U1164" s="68"/>
      <c r="V1164" s="68"/>
      <c r="W1164" s="68"/>
      <c r="X1164" s="73">
        <f t="shared" si="92"/>
        <v>1990</v>
      </c>
      <c r="Y1164" s="41" t="str">
        <f t="shared" si="93"/>
        <v>VENDETTA|48</v>
      </c>
      <c r="Z1164" s="15">
        <f>IF($C1164="","",IF($G1164="","",RANK($G1164,$G$4:$G$1463)+COUNTIF($G$4:$G1164,$G1164)-1))</f>
        <v>990</v>
      </c>
      <c r="AA1164" s="15">
        <f>IF($C1164="","",IF($N1164="","",RANK($N1164,$N$4:$N$1463)+COUNTIF($N$4:$N1164,$N1164)-1))</f>
        <v>1091</v>
      </c>
      <c r="AB1164" s="41" t="str">
        <f>IF($C1164="","",IF($E1164="","",$E1164&amp;"#"&amp;(COUNTIFS($E$4:$E$1463,$E1164,$X$4:$X$1463,"&gt;"&amp;$X1164)+COUNTIFS($E$4:$E1164,$E1164,$X$4:$X1164,"="&amp;$X1164))))</f>
        <v>WARLOCK#281</v>
      </c>
      <c r="AC1164" s="41" t="str">
        <f>IF($C1164="","",$B1164&amp;"@"&amp;(COUNTIFS($B$4:$B$1463,$B1164,$C$4:$C$1463,"&lt;"&amp;$C1164)+COUNTIFS($B$4:$B1164,$B1164,$C$4:$C1164,$C1164)))</f>
        <v>VENDETTA@84</v>
      </c>
      <c r="AD1164" s="41">
        <f t="shared" si="94"/>
        <v>1161</v>
      </c>
      <c r="AE1164" s="41" t="s">
        <v>1829</v>
      </c>
      <c r="AF1164" s="73">
        <f t="shared" si="95"/>
        <v>61554</v>
      </c>
      <c r="AG1164" s="74">
        <f t="shared" si="96"/>
        <v>3.9</v>
      </c>
      <c r="AH1164" s="41" t="str">
        <f>IF($C1164="","",$B1164&amp;"|"&amp;(COUNTIFS($B$4:$B$1463,$B1164,$AF$4:$AF$1463,"&gt;"&amp;$AF1164)+COUNTIFS($B$4:$B1164,$B1164,$AF$4:$AF1164,"="&amp;$AF1164)))</f>
        <v>VENDETTA|48</v>
      </c>
      <c r="AI1164" s="41" t="str">
        <f>IF($C1164="","",$B1164&amp;"|"&amp;(COUNTIFS($B$4:$B$1463,$B1164,$AG$4:$AG$1463,"&gt;"&amp;$AG1164)+COUNTIFS($B$4:$B1164,$B1164,$AG$4:$AG1164,"="&amp;$AG1164)))</f>
        <v>VENDETTA|44</v>
      </c>
    </row>
    <row r="1165" spans="1:35" hidden="1">
      <c r="A1165" s="69" t="s">
        <v>109</v>
      </c>
      <c r="B1165" s="69" t="s">
        <v>118</v>
      </c>
      <c r="C1165" s="63" t="s">
        <v>2503</v>
      </c>
      <c r="D1165" s="69"/>
      <c r="E1165" s="68" t="s">
        <v>75</v>
      </c>
      <c r="F1165" s="19" t="str">
        <f>IF($C1165="","",IF($E1165="","-",IFERROR(INDEX(SETUP!$B$55:$B$64,MATCH($E1165,SETUP!$A$55:$A$64,0)),"Other")))</f>
        <v>Support</v>
      </c>
      <c r="G1165" s="70">
        <v>62389</v>
      </c>
      <c r="H1165" s="19" t="str">
        <f>IF($C1165="","",IF($G1165="","-",INDEX(SETUP!$B$26:$B$32,MATCH($G1165,SETUP!$A$26:$A$32,1))))</f>
        <v>62,000 - 62,999</v>
      </c>
      <c r="I1165" s="70">
        <v>1780</v>
      </c>
      <c r="J1165" s="19" t="str">
        <f>IF($C1165="","",IF($I1165="","-",INDEX(SETUP!$B$16:$B$22,MATCH($I1165,SETUP!$A$16:$A$22,1))))</f>
        <v>ROOKIE</v>
      </c>
      <c r="K1165" s="19" t="str">
        <f>IF($C1165="","",IF($I1165="","-",TEXT(INT($I1165/1000)*1000,"#,##0")&amp;" - "&amp;TEXT(INT($I1165/1000)*1000+999,"#,##0")))</f>
        <v>1,000 - 1,999</v>
      </c>
      <c r="L1165" s="71">
        <v>3.8</v>
      </c>
      <c r="M1165" s="19" t="str">
        <f>IF($C1165="","",IF($L1165="","-",INDEX(SETUP!$B$36:$B$42,MATCH($L1165,SETUP!$A$36:$A$42,1))))</f>
        <v>3k - 4k</v>
      </c>
      <c r="N1165" s="21">
        <f>IF($C1165="","",IF(OR($G1165="",$I1165=""),"",ROUND(100*(SETUP!$B$4*MIN(1,$I1165/SETUP!$B$9)+SETUP!$B$5*MAX(0,MIN(1,($G1165-SETUP!$B$10)/(SETUP!$B$11-SETUP!$B$10)))+SETUP!$B$6*MIN(1,IF($L1165="",0,$L1165)/SETUP!$B$12)),1)))</f>
        <v>33.5</v>
      </c>
      <c r="O1165" s="19" t="str">
        <f>IF($C1165="","",IF($N1165="","-",INDEX(SETUP!$B$46:$B$51,MATCH($N1165,SETUP!$A$46:$A$51,1))))</f>
        <v>C</v>
      </c>
      <c r="P1165" s="19">
        <f>IF($C1165="","",IF($I1165="","",RANK($I1165,$I$4:$I$1463)+COUNTIF($I$4:$I1165,$I1165)-1))</f>
        <v>1150</v>
      </c>
      <c r="Q1165" s="19">
        <f>IF($C1165="","",COUNTIFS($B$4:$B$1463,$B1165,$X$4:$X$1463,"&gt;"&amp;$X1165)+COUNTIFS($B$4:$B1165,$B1165,$X$4:$X1165,"="&amp;$X1165))</f>
        <v>48</v>
      </c>
      <c r="R1165" s="75">
        <f>IF($C1165="","",IF($I1165="","",ROUND(COUNTIF($I$4:$I$1463,"&lt;"&amp;$I1165)/COUNT($I$4:$I$1463),3)))</f>
        <v>0.13200000000000001</v>
      </c>
      <c r="S1165" s="19" t="str">
        <f>IF($C1165="","",IF($G1165="","Name only",IF(OR($I1165="",$L1165=""),"Partial","Complete")))</f>
        <v>Complete</v>
      </c>
      <c r="T1165" s="1" t="str">
        <f>IF($C1165="","",TRIM(IF(COUNTIF($C$4:$C$1463,$C1165)&gt;1,"Dup name; ","")&amp;IF(AND($G1165&lt;&gt;"",$G1165&lt;55000),"Low CR - verify; ","")&amp;IF(AND($L1165&lt;&gt;"",$L1165&gt;15),"Secondary - verify; ","")&amp;IF($E1165="","No class; ","")))</f>
        <v/>
      </c>
      <c r="U1165" s="68"/>
      <c r="V1165" s="68"/>
      <c r="W1165" s="68"/>
      <c r="X1165" s="76">
        <f t="shared" si="92"/>
        <v>1780</v>
      </c>
      <c r="Y1165" s="1" t="str">
        <f t="shared" si="93"/>
        <v>ZOMBIES|48</v>
      </c>
      <c r="Z1165" s="19">
        <f>IF($C1165="","",IF($G1165="","",RANK($G1165,$G$4:$G$1463)+COUNTIF($G$4:$G1165,$G1165)-1))</f>
        <v>698</v>
      </c>
      <c r="AA1165" s="19">
        <f>IF($C1165="","",IF($N1165="","",RANK($N1165,$N$4:$N$1463)+COUNTIF($N$4:$N1165,$N1165)-1))</f>
        <v>1056</v>
      </c>
      <c r="AB1165" s="1" t="str">
        <f>IF($C1165="","",IF($E1165="","",$E1165&amp;"#"&amp;(COUNTIFS($E$4:$E$1463,$E1165,$X$4:$X$1463,"&gt;"&amp;$X1165)+COUNTIFS($E$4:$E1165,$E1165,$X$4:$X1165,"="&amp;$X1165))))</f>
        <v>DRUID#52</v>
      </c>
      <c r="AC1165" s="1" t="str">
        <f>IF($C1165="","",$B1165&amp;"@"&amp;(COUNTIFS($B$4:$B$1463,$B1165,$C$4:$C$1463,"&lt;"&amp;$C1165)+COUNTIFS($B$4:$B1165,$B1165,$C$4:$C1165,$C1165)))</f>
        <v>ZOMBIES@83</v>
      </c>
      <c r="AD1165" s="1">
        <f t="shared" si="94"/>
        <v>1162</v>
      </c>
      <c r="AE1165" s="1" t="s">
        <v>2504</v>
      </c>
      <c r="AF1165" s="76">
        <f t="shared" si="95"/>
        <v>62389</v>
      </c>
      <c r="AG1165" s="77">
        <f t="shared" si="96"/>
        <v>3.8</v>
      </c>
      <c r="AH1165" s="1" t="str">
        <f>IF($C1165="","",$B1165&amp;"|"&amp;(COUNTIFS($B$4:$B$1463,$B1165,$AF$4:$AF$1463,"&gt;"&amp;$AF1165)+COUNTIFS($B$4:$B1165,$B1165,$AF$4:$AF1165,"="&amp;$AF1165)))</f>
        <v>ZOMBIES|21</v>
      </c>
      <c r="AI1165" s="1" t="str">
        <f>IF($C1165="","",$B1165&amp;"|"&amp;(COUNTIFS($B$4:$B$1463,$B1165,$AG$4:$AG$1463,"&gt;"&amp;$AG1165)+COUNTIFS($B$4:$B1165,$B1165,$AG$4:$AG1165,"="&amp;$AG1165)))</f>
        <v>ZOMBIES|42</v>
      </c>
    </row>
    <row r="1166" spans="1:35" hidden="1">
      <c r="A1166" s="69" t="s">
        <v>106</v>
      </c>
      <c r="B1166" s="69" t="s">
        <v>105</v>
      </c>
      <c r="C1166" s="63" t="s">
        <v>2505</v>
      </c>
      <c r="D1166" s="69"/>
      <c r="E1166" s="68" t="s">
        <v>76</v>
      </c>
      <c r="F1166" s="15" t="str">
        <f>IF($C1166="","",IF($E1166="","-",IFERROR(INDEX(SETUP!$B$55:$B$64,MATCH($E1166,SETUP!$A$55:$A$64,0)),"Other")))</f>
        <v>Support</v>
      </c>
      <c r="G1166" s="70">
        <v>63567</v>
      </c>
      <c r="H1166" s="15" t="str">
        <f>IF($C1166="","",IF($G1166="","-",INDEX(SETUP!$B$26:$B$32,MATCH($G1166,SETUP!$A$26:$A$32,1))))</f>
        <v>63,000 - 63,999</v>
      </c>
      <c r="I1166" s="70">
        <v>5093</v>
      </c>
      <c r="J1166" s="15" t="str">
        <f>IF($C1166="","",IF($I1166="","-",INDEX(SETUP!$B$16:$B$22,MATCH($I1166,SETUP!$A$16:$A$22,1))))</f>
        <v>CORE</v>
      </c>
      <c r="K1166" s="15" t="str">
        <f>IF($C1166="","",IF($I1166="","-",TEXT(INT($I1166/1000)*1000,"#,##0")&amp;" - "&amp;TEXT(INT($I1166/1000)*1000+999,"#,##0")))</f>
        <v>5,000 - 5,999</v>
      </c>
      <c r="L1166" s="71">
        <v>5.26</v>
      </c>
      <c r="M1166" s="15" t="str">
        <f>IF($C1166="","",IF($L1166="","-",INDEX(SETUP!$B$36:$B$42,MATCH($L1166,SETUP!$A$36:$A$42,1))))</f>
        <v>5k - 6k</v>
      </c>
      <c r="N1166" s="17">
        <f>IF($C1166="","",IF(OR($G1166="",$I1166=""),"",ROUND(100*(SETUP!$B$4*MIN(1,$I1166/SETUP!$B$9)+SETUP!$B$5*MAX(0,MIN(1,($G1166-SETUP!$B$10)/(SETUP!$B$11-SETUP!$B$10)))+SETUP!$B$6*MIN(1,IF($L1166="",0,$L1166)/SETUP!$B$12)),1)))</f>
        <v>53.5</v>
      </c>
      <c r="O1166" s="15" t="str">
        <f>IF($C1166="","",IF($N1166="","-",INDEX(SETUP!$B$46:$B$51,MATCH($N1166,SETUP!$A$46:$A$51,1))))</f>
        <v>A</v>
      </c>
      <c r="P1166" s="15">
        <f>IF($C1166="","",IF($I1166="","",RANK($I1166,$I$4:$I$1463)+COUNTIF($I$4:$I1166,$I1166)-1))</f>
        <v>398</v>
      </c>
      <c r="Q1166" s="15">
        <f>IF($C1166="","",COUNTIFS($B$4:$B$1463,$B1166,$X$4:$X$1463,"&gt;"&amp;$X1166)+COUNTIFS($B$4:$B1166,$B1166,$X$4:$X1166,"="&amp;$X1166))</f>
        <v>50</v>
      </c>
      <c r="R1166" s="72">
        <f>IF($C1166="","",IF($I1166="","",ROUND(COUNTIF($I$4:$I$1463,"&lt;"&amp;$I1166)/COUNT($I$4:$I$1463),3)))</f>
        <v>0.7</v>
      </c>
      <c r="S1166" s="15" t="str">
        <f>IF($C1166="","",IF($G1166="","Name only",IF(OR($I1166="",$L1166=""),"Partial","Complete")))</f>
        <v>Complete</v>
      </c>
      <c r="T1166" s="41" t="str">
        <f>IF($C1166="","",TRIM(IF(COUNTIF($C$4:$C$1463,$C1166)&gt;1,"Dup name; ","")&amp;IF(AND($G1166&lt;&gt;"",$G1166&lt;55000),"Low CR - verify; ","")&amp;IF(AND($L1166&lt;&gt;"",$L1166&gt;15),"Secondary - verify; ","")&amp;IF($E1166="","No class; ","")))</f>
        <v/>
      </c>
      <c r="U1166" s="68"/>
      <c r="V1166" s="68"/>
      <c r="W1166" s="68"/>
      <c r="X1166" s="73">
        <f t="shared" si="92"/>
        <v>5093</v>
      </c>
      <c r="Y1166" s="41" t="str">
        <f t="shared" si="93"/>
        <v>LEGENDS|50</v>
      </c>
      <c r="Z1166" s="15">
        <f>IF($C1166="","",IF($G1166="","",RANK($G1166,$G$4:$G$1463)+COUNTIF($G$4:$G1166,$G1166)-1))</f>
        <v>174</v>
      </c>
      <c r="AA1166" s="15">
        <f>IF($C1166="","",IF($N1166="","",RANK($N1166,$N$4:$N$1463)+COUNTIF($N$4:$N1166,$N1166)-1))</f>
        <v>354</v>
      </c>
      <c r="AB1166" s="41" t="str">
        <f>IF($C1166="","",IF($E1166="","",$E1166&amp;"#"&amp;(COUNTIFS($E$4:$E$1463,$E1166,$X$4:$X$1463,"&gt;"&amp;$X1166)+COUNTIFS($E$4:$E1166,$E1166,$X$4:$X1166,"="&amp;$X1166))))</f>
        <v>MONK#11</v>
      </c>
      <c r="AC1166" s="41" t="str">
        <f>IF($C1166="","",$B1166&amp;"@"&amp;(COUNTIFS($B$4:$B$1463,$B1166,$C$4:$C$1463,"&lt;"&amp;$C1166)+COUNTIFS($B$4:$B1166,$B1166,$C$4:$C1166,$C1166)))</f>
        <v>LEGENDS@92</v>
      </c>
      <c r="AD1166" s="41">
        <f t="shared" si="94"/>
        <v>1163</v>
      </c>
      <c r="AE1166" s="41" t="s">
        <v>2506</v>
      </c>
      <c r="AF1166" s="73">
        <f t="shared" si="95"/>
        <v>63567</v>
      </c>
      <c r="AG1166" s="74">
        <f t="shared" si="96"/>
        <v>5.26</v>
      </c>
      <c r="AH1166" s="41" t="str">
        <f>IF($C1166="","",$B1166&amp;"|"&amp;(COUNTIFS($B$4:$B$1463,$B1166,$AF$4:$AF$1463,"&gt;"&amp;$AF1166)+COUNTIFS($B$4:$B1166,$B1166,$AF$4:$AF1166,"="&amp;$AF1166)))</f>
        <v>LEGENDS|21</v>
      </c>
      <c r="AI1166" s="41" t="str">
        <f>IF($C1166="","",$B1166&amp;"|"&amp;(COUNTIFS($B$4:$B$1463,$B1166,$AG$4:$AG$1463,"&gt;"&amp;$AG1166)+COUNTIFS($B$4:$B1166,$B1166,$AG$4:$AG1166,"="&amp;$AG1166)))</f>
        <v>LEGENDS|53</v>
      </c>
    </row>
    <row r="1167" spans="1:35" hidden="1">
      <c r="A1167" s="69" t="s">
        <v>109</v>
      </c>
      <c r="B1167" s="69" t="s">
        <v>114</v>
      </c>
      <c r="C1167" s="63" t="s">
        <v>2507</v>
      </c>
      <c r="D1167" s="69"/>
      <c r="E1167" s="68" t="s">
        <v>79</v>
      </c>
      <c r="F1167" s="19" t="str">
        <f>IF($C1167="","",IF($E1167="","-",IFERROR(INDEX(SETUP!$B$55:$B$64,MATCH($E1167,SETUP!$A$55:$A$64,0)),"Other")))</f>
        <v>Control</v>
      </c>
      <c r="G1167" s="70">
        <v>61713</v>
      </c>
      <c r="H1167" s="19" t="str">
        <f>IF($C1167="","",IF($G1167="","-",INDEX(SETUP!$B$26:$B$32,MATCH($G1167,SETUP!$A$26:$A$32,1))))</f>
        <v>61,000 - 61,999</v>
      </c>
      <c r="I1167" s="70">
        <v>1662</v>
      </c>
      <c r="J1167" s="19" t="str">
        <f>IF($C1167="","",IF($I1167="","-",INDEX(SETUP!$B$16:$B$22,MATCH($I1167,SETUP!$A$16:$A$22,1))))</f>
        <v>ROOKIE</v>
      </c>
      <c r="K1167" s="19" t="str">
        <f>IF($C1167="","",IF($I1167="","-",TEXT(INT($I1167/1000)*1000,"#,##0")&amp;" - "&amp;TEXT(INT($I1167/1000)*1000+999,"#,##0")))</f>
        <v>1,000 - 1,999</v>
      </c>
      <c r="L1167" s="71">
        <v>2.75</v>
      </c>
      <c r="M1167" s="19" t="str">
        <f>IF($C1167="","",IF($L1167="","-",INDEX(SETUP!$B$36:$B$42,MATCH($L1167,SETUP!$A$36:$A$42,1))))</f>
        <v>Under 3k</v>
      </c>
      <c r="N1167" s="21">
        <f>IF($C1167="","",IF(OR($G1167="",$I1167=""),"",ROUND(100*(SETUP!$B$4*MIN(1,$I1167/SETUP!$B$9)+SETUP!$B$5*MAX(0,MIN(1,($G1167-SETUP!$B$10)/(SETUP!$B$11-SETUP!$B$10)))+SETUP!$B$6*MIN(1,IF($L1167="",0,$L1167)/SETUP!$B$12)),1)))</f>
        <v>29.5</v>
      </c>
      <c r="O1167" s="19" t="str">
        <f>IF($C1167="","",IF($N1167="","-",INDEX(SETUP!$B$46:$B$51,MATCH($N1167,SETUP!$A$46:$A$51,1))))</f>
        <v>C</v>
      </c>
      <c r="P1167" s="19">
        <f>IF($C1167="","",IF($I1167="","",RANK($I1167,$I$4:$I$1463)+COUNTIF($I$4:$I1167,$I1167)-1))</f>
        <v>1167</v>
      </c>
      <c r="Q1167" s="19">
        <f>IF($C1167="","",COUNTIFS($B$4:$B$1463,$B1167,$X$4:$X$1463,"&gt;"&amp;$X1167)+COUNTIFS($B$4:$B1167,$B1167,$X$4:$X1167,"="&amp;$X1167))</f>
        <v>64</v>
      </c>
      <c r="R1167" s="75">
        <f>IF($C1167="","",IF($I1167="","",ROUND(COUNTIF($I$4:$I$1463,"&lt;"&amp;$I1167)/COUNT($I$4:$I$1463),3)))</f>
        <v>0.11899999999999999</v>
      </c>
      <c r="S1167" s="19" t="str">
        <f>IF($C1167="","",IF($G1167="","Name only",IF(OR($I1167="",$L1167=""),"Partial","Complete")))</f>
        <v>Complete</v>
      </c>
      <c r="T1167" s="1" t="str">
        <f>IF($C1167="","",TRIM(IF(COUNTIF($C$4:$C$1463,$C1167)&gt;1,"Dup name; ","")&amp;IF(AND($G1167&lt;&gt;"",$G1167&lt;55000),"Low CR - verify; ","")&amp;IF(AND($L1167&lt;&gt;"",$L1167&gt;15),"Secondary - verify; ","")&amp;IF($E1167="","No class; ","")))</f>
        <v/>
      </c>
      <c r="U1167" s="68"/>
      <c r="V1167" s="68"/>
      <c r="W1167" s="68"/>
      <c r="X1167" s="76">
        <f t="shared" si="92"/>
        <v>1662</v>
      </c>
      <c r="Y1167" s="1" t="str">
        <f t="shared" si="93"/>
        <v>EMERALD LEAF TRIBE|64</v>
      </c>
      <c r="Z1167" s="19">
        <f>IF($C1167="","",IF($G1167="","",RANK($G1167,$G$4:$G$1463)+COUNTIF($G$4:$G1167,$G1167)-1))</f>
        <v>939</v>
      </c>
      <c r="AA1167" s="19">
        <f>IF($C1167="","",IF($N1167="","",RANK($N1167,$N$4:$N$1463)+COUNTIF($N$4:$N1167,$N1167)-1))</f>
        <v>1159</v>
      </c>
      <c r="AB1167" s="1" t="str">
        <f>IF($C1167="","",IF($E1167="","",$E1167&amp;"#"&amp;(COUNTIFS($E$4:$E$1463,$E1167,$X$4:$X$1463,"&gt;"&amp;$X1167)+COUNTIFS($E$4:$E1167,$E1167,$X$4:$X1167,"="&amp;$X1167))))</f>
        <v>WARLOCK#288</v>
      </c>
      <c r="AC1167" s="1" t="str">
        <f>IF($C1167="","",$B1167&amp;"@"&amp;(COUNTIFS($B$4:$B$1463,$B1167,$C$4:$C$1463,"&lt;"&amp;$C1167)+COUNTIFS($B$4:$B1167,$B1167,$C$4:$C1167,$C1167)))</f>
        <v>EMERALD LEAF TRIBE@82</v>
      </c>
      <c r="AD1167" s="1">
        <f t="shared" si="94"/>
        <v>1164</v>
      </c>
      <c r="AE1167" s="1" t="s">
        <v>2508</v>
      </c>
      <c r="AF1167" s="76">
        <f t="shared" si="95"/>
        <v>61713</v>
      </c>
      <c r="AG1167" s="77">
        <f t="shared" si="96"/>
        <v>2.75</v>
      </c>
      <c r="AH1167" s="1" t="str">
        <f>IF($C1167="","",$B1167&amp;"|"&amp;(COUNTIFS($B$4:$B$1463,$B1167,$AF$4:$AF$1463,"&gt;"&amp;$AF1167)+COUNTIFS($B$4:$B1167,$B1167,$AF$4:$AF1167,"="&amp;$AF1167)))</f>
        <v>EMERALD LEAF TRIBE|36</v>
      </c>
      <c r="AI1167" s="1" t="str">
        <f>IF($C1167="","",$B1167&amp;"|"&amp;(COUNTIFS($B$4:$B$1463,$B1167,$AG$4:$AG$1463,"&gt;"&amp;$AG1167)+COUNTIFS($B$4:$B1167,$B1167,$AG$4:$AG1167,"="&amp;$AG1167)))</f>
        <v>EMERALD LEAF TRIBE|90</v>
      </c>
    </row>
    <row r="1168" spans="1:35" hidden="1">
      <c r="A1168" s="69" t="s">
        <v>109</v>
      </c>
      <c r="B1168" s="69" t="s">
        <v>114</v>
      </c>
      <c r="C1168" s="63" t="s">
        <v>2509</v>
      </c>
      <c r="D1168" s="69"/>
      <c r="E1168" s="68" t="s">
        <v>77</v>
      </c>
      <c r="F1168" s="15" t="str">
        <f>IF($C1168="","",IF($E1168="","-",IFERROR(INDEX(SETUP!$B$55:$B$64,MATCH($E1168,SETUP!$A$55:$A$64,0)),"Other")))</f>
        <v>Control</v>
      </c>
      <c r="G1168" s="70">
        <v>62089</v>
      </c>
      <c r="H1168" s="15" t="str">
        <f>IF($C1168="","",IF($G1168="","-",INDEX(SETUP!$B$26:$B$32,MATCH($G1168,SETUP!$A$26:$A$32,1))))</f>
        <v>62,000 - 62,999</v>
      </c>
      <c r="I1168" s="70">
        <v>540</v>
      </c>
      <c r="J1168" s="15" t="str">
        <f>IF($C1168="","",IF($I1168="","-",INDEX(SETUP!$B$16:$B$22,MATCH($I1168,SETUP!$A$16:$A$22,1))))</f>
        <v>ROOKIE</v>
      </c>
      <c r="K1168" s="15" t="str">
        <f>IF($C1168="","",IF($I1168="","-",TEXT(INT($I1168/1000)*1000,"#,##0")&amp;" - "&amp;TEXT(INT($I1168/1000)*1000+999,"#,##0")))</f>
        <v>0 - 999</v>
      </c>
      <c r="L1168" s="71">
        <v>2.6</v>
      </c>
      <c r="M1168" s="15" t="str">
        <f>IF($C1168="","",IF($L1168="","-",INDEX(SETUP!$B$36:$B$42,MATCH($L1168,SETUP!$A$36:$A$42,1))))</f>
        <v>Under 3k</v>
      </c>
      <c r="N1168" s="17">
        <f>IF($C1168="","",IF(OR($G1168="",$I1168=""),"",ROUND(100*(SETUP!$B$4*MIN(1,$I1168/SETUP!$B$9)+SETUP!$B$5*MAX(0,MIN(1,($G1168-SETUP!$B$10)/(SETUP!$B$11-SETUP!$B$10)))+SETUP!$B$6*MIN(1,IF($L1168="",0,$L1168)/SETUP!$B$12)),1)))</f>
        <v>25.3</v>
      </c>
      <c r="O1168" s="15" t="str">
        <f>IF($C1168="","",IF($N1168="","-",INDEX(SETUP!$B$46:$B$51,MATCH($N1168,SETUP!$A$46:$A$51,1))))</f>
        <v>C</v>
      </c>
      <c r="P1168" s="15">
        <f>IF($C1168="","",IF($I1168="","",RANK($I1168,$I$4:$I$1463)+COUNTIF($I$4:$I1168,$I1168)-1))</f>
        <v>1316</v>
      </c>
      <c r="Q1168" s="15">
        <f>IF($C1168="","",COUNTIFS($B$4:$B$1463,$B1168,$X$4:$X$1463,"&gt;"&amp;$X1168)+COUNTIFS($B$4:$B1168,$B1168,$X$4:$X1168,"="&amp;$X1168))</f>
        <v>96</v>
      </c>
      <c r="R1168" s="72">
        <f>IF($C1168="","",IF($I1168="","",ROUND(COUNTIF($I$4:$I$1463,"&lt;"&amp;$I1168)/COUNT($I$4:$I$1463),3)))</f>
        <v>7.0000000000000001E-3</v>
      </c>
      <c r="S1168" s="15" t="str">
        <f>IF($C1168="","",IF($G1168="","Name only",IF(OR($I1168="",$L1168=""),"Partial","Complete")))</f>
        <v>Complete</v>
      </c>
      <c r="T1168" s="41" t="str">
        <f>IF($C1168="","",TRIM(IF(COUNTIF($C$4:$C$1463,$C1168)&gt;1,"Dup name; ","")&amp;IF(AND($G1168&lt;&gt;"",$G1168&lt;55000),"Low CR - verify; ","")&amp;IF(AND($L1168&lt;&gt;"",$L1168&gt;15),"Secondary - verify; ","")&amp;IF($E1168="","No class; ","")))</f>
        <v/>
      </c>
      <c r="U1168" s="68"/>
      <c r="V1168" s="68"/>
      <c r="W1168" s="68"/>
      <c r="X1168" s="73">
        <f t="shared" si="92"/>
        <v>540</v>
      </c>
      <c r="Y1168" s="41" t="str">
        <f t="shared" si="93"/>
        <v>EMERALD LEAF TRIBE|96</v>
      </c>
      <c r="Z1168" s="15">
        <f>IF($C1168="","",IF($G1168="","",RANK($G1168,$G$4:$G$1463)+COUNTIF($G$4:$G1168,$G1168)-1))</f>
        <v>802</v>
      </c>
      <c r="AA1168" s="15">
        <f>IF($C1168="","",IF($N1168="","",RANK($N1168,$N$4:$N$1463)+COUNTIF($N$4:$N1168,$N1168)-1))</f>
        <v>1241</v>
      </c>
      <c r="AB1168" s="41" t="str">
        <f>IF($C1168="","",IF($E1168="","",$E1168&amp;"#"&amp;(COUNTIFS($E$4:$E$1463,$E1168,$X$4:$X$1463,"&gt;"&amp;$X1168)+COUNTIFS($E$4:$E1168,$E1168,$X$4:$X1168,"="&amp;$X1168))))</f>
        <v>NECROMANCER#107</v>
      </c>
      <c r="AC1168" s="41" t="str">
        <f>IF($C1168="","",$B1168&amp;"@"&amp;(COUNTIFS($B$4:$B$1463,$B1168,$C$4:$C$1463,"&lt;"&amp;$C1168)+COUNTIFS($B$4:$B1168,$B1168,$C$4:$C1168,$C1168)))</f>
        <v>EMERALD LEAF TRIBE@83</v>
      </c>
      <c r="AD1168" s="41">
        <f t="shared" si="94"/>
        <v>1165</v>
      </c>
      <c r="AE1168" s="41" t="s">
        <v>2510</v>
      </c>
      <c r="AF1168" s="73">
        <f t="shared" si="95"/>
        <v>62089</v>
      </c>
      <c r="AG1168" s="74">
        <f t="shared" si="96"/>
        <v>2.6</v>
      </c>
      <c r="AH1168" s="41" t="str">
        <f>IF($C1168="","",$B1168&amp;"|"&amp;(COUNTIFS($B$4:$B$1463,$B1168,$AF$4:$AF$1463,"&gt;"&amp;$AF1168)+COUNTIFS($B$4:$B1168,$B1168,$AF$4:$AF1168,"="&amp;$AF1168)))</f>
        <v>EMERALD LEAF TRIBE|24</v>
      </c>
      <c r="AI1168" s="41" t="str">
        <f>IF($C1168="","",$B1168&amp;"|"&amp;(COUNTIFS($B$4:$B$1463,$B1168,$AG$4:$AG$1463,"&gt;"&amp;$AG1168)+COUNTIFS($B$4:$B1168,$B1168,$AG$4:$AG1168,"="&amp;$AG1168)))</f>
        <v>EMERALD LEAF TRIBE|92</v>
      </c>
    </row>
    <row r="1169" spans="1:35" hidden="1">
      <c r="A1169" s="69" t="s">
        <v>106</v>
      </c>
      <c r="B1169" s="69" t="s">
        <v>86</v>
      </c>
      <c r="C1169" s="63" t="s">
        <v>2511</v>
      </c>
      <c r="D1169" s="69"/>
      <c r="E1169" s="68" t="s">
        <v>74</v>
      </c>
      <c r="F1169" s="19" t="str">
        <f>IF($C1169="","",IF($E1169="","-",IFERROR(INDEX(SETUP!$B$55:$B$64,MATCH($E1169,SETUP!$A$55:$A$64,0)),"Other")))</f>
        <v>Ranged DPS</v>
      </c>
      <c r="G1169" s="70">
        <v>61620</v>
      </c>
      <c r="H1169" s="19" t="str">
        <f>IF($C1169="","",IF($G1169="","-",INDEX(SETUP!$B$26:$B$32,MATCH($G1169,SETUP!$A$26:$A$32,1))))</f>
        <v>61,000 - 61,999</v>
      </c>
      <c r="I1169" s="70">
        <v>4440</v>
      </c>
      <c r="J1169" s="19" t="str">
        <f>IF($C1169="","",IF($I1169="","-",INDEX(SETUP!$B$16:$B$22,MATCH($I1169,SETUP!$A$16:$A$22,1))))</f>
        <v>CORE</v>
      </c>
      <c r="K1169" s="19" t="str">
        <f>IF($C1169="","",IF($I1169="","-",TEXT(INT($I1169/1000)*1000,"#,##0")&amp;" - "&amp;TEXT(INT($I1169/1000)*1000+999,"#,##0")))</f>
        <v>4,000 - 4,999</v>
      </c>
      <c r="L1169" s="71">
        <v>4.8</v>
      </c>
      <c r="M1169" s="19" t="str">
        <f>IF($C1169="","",IF($L1169="","-",INDEX(SETUP!$B$36:$B$42,MATCH($L1169,SETUP!$A$36:$A$42,1))))</f>
        <v>4k - 5k</v>
      </c>
      <c r="N1169" s="21">
        <f>IF($C1169="","",IF(OR($G1169="",$I1169=""),"",ROUND(100*(SETUP!$B$4*MIN(1,$I1169/SETUP!$B$9)+SETUP!$B$5*MAX(0,MIN(1,($G1169-SETUP!$B$10)/(SETUP!$B$11-SETUP!$B$10)))+SETUP!$B$6*MIN(1,IF($L1169="",0,$L1169)/SETUP!$B$12)),1)))</f>
        <v>44.8</v>
      </c>
      <c r="O1169" s="19" t="str">
        <f>IF($C1169="","",IF($N1169="","-",INDEX(SETUP!$B$46:$B$51,MATCH($N1169,SETUP!$A$46:$A$51,1))))</f>
        <v>B</v>
      </c>
      <c r="P1169" s="19">
        <f>IF($C1169="","",IF($I1169="","",RANK($I1169,$I$4:$I$1463)+COUNTIF($I$4:$I1169,$I1169)-1))</f>
        <v>506</v>
      </c>
      <c r="Q1169" s="19">
        <f>IF($C1169="","",COUNTIFS($B$4:$B$1463,$B1169,$X$4:$X$1463,"&gt;"&amp;$X1169)+COUNTIFS($B$4:$B1169,$B1169,$X$4:$X1169,"="&amp;$X1169))</f>
        <v>75</v>
      </c>
      <c r="R1169" s="75">
        <f>IF($C1169="","",IF($I1169="","",ROUND(COUNTIF($I$4:$I$1463,"&lt;"&amp;$I1169)/COUNT($I$4:$I$1463),3)))</f>
        <v>0.61799999999999999</v>
      </c>
      <c r="S1169" s="19" t="str">
        <f>IF($C1169="","",IF($G1169="","Name only",IF(OR($I1169="",$L1169=""),"Partial","Complete")))</f>
        <v>Complete</v>
      </c>
      <c r="T1169" s="1" t="str">
        <f>IF($C1169="","",TRIM(IF(COUNTIF($C$4:$C$1463,$C1169)&gt;1,"Dup name; ","")&amp;IF(AND($G1169&lt;&gt;"",$G1169&lt;55000),"Low CR - verify; ","")&amp;IF(AND($L1169&lt;&gt;"",$L1169&gt;15),"Secondary - verify; ","")&amp;IF($E1169="","No class; ","")))</f>
        <v/>
      </c>
      <c r="U1169" s="68"/>
      <c r="V1169" s="68"/>
      <c r="W1169" s="68"/>
      <c r="X1169" s="76">
        <f t="shared" si="92"/>
        <v>4440</v>
      </c>
      <c r="Y1169" s="1" t="str">
        <f t="shared" si="93"/>
        <v>VANGUARD|75</v>
      </c>
      <c r="Z1169" s="19">
        <f>IF($C1169="","",IF($G1169="","",RANK($G1169,$G$4:$G$1463)+COUNTIF($G$4:$G1169,$G1169)-1))</f>
        <v>972</v>
      </c>
      <c r="AA1169" s="19">
        <f>IF($C1169="","",IF($N1169="","",RANK($N1169,$N$4:$N$1463)+COUNTIF($N$4:$N1169,$N1169)-1))</f>
        <v>632</v>
      </c>
      <c r="AB1169" s="1" t="str">
        <f>IF($C1169="","",IF($E1169="","",$E1169&amp;"#"&amp;(COUNTIFS($E$4:$E$1463,$E1169,$X$4:$X$1463,"&gt;"&amp;$X1169)+COUNTIFS($E$4:$E1169,$E1169,$X$4:$X1169,"="&amp;$X1169))))</f>
        <v>DEMON HUNTER#85</v>
      </c>
      <c r="AC1169" s="1" t="str">
        <f>IF($C1169="","",$B1169&amp;"@"&amp;(COUNTIFS($B$4:$B$1463,$B1169,$C$4:$C$1463,"&lt;"&amp;$C1169)+COUNTIFS($B$4:$B1169,$B1169,$C$4:$C1169,$C1169)))</f>
        <v>VANGUARD@85</v>
      </c>
      <c r="AD1169" s="1">
        <f t="shared" si="94"/>
        <v>1166</v>
      </c>
      <c r="AE1169" s="1" t="s">
        <v>986</v>
      </c>
      <c r="AF1169" s="76">
        <f t="shared" si="95"/>
        <v>61620</v>
      </c>
      <c r="AG1169" s="77">
        <f t="shared" si="96"/>
        <v>4.8</v>
      </c>
      <c r="AH1169" s="1" t="str">
        <f>IF($C1169="","",$B1169&amp;"|"&amp;(COUNTIFS($B$4:$B$1463,$B1169,$AF$4:$AF$1463,"&gt;"&amp;$AF1169)+COUNTIFS($B$4:$B1169,$B1169,$AF$4:$AF1169,"="&amp;$AF1169)))</f>
        <v>VANGUARD|89</v>
      </c>
      <c r="AI1169" s="1" t="str">
        <f>IF($C1169="","",$B1169&amp;"|"&amp;(COUNTIFS($B$4:$B$1463,$B1169,$AG$4:$AG$1463,"&gt;"&amp;$AG1169)+COUNTIFS($B$4:$B1169,$B1169,$AG$4:$AG1169,"="&amp;$AG1169)))</f>
        <v>VANGUARD|73</v>
      </c>
    </row>
    <row r="1170" spans="1:35" hidden="1">
      <c r="A1170" s="69" t="s">
        <v>109</v>
      </c>
      <c r="B1170" s="69" t="s">
        <v>116</v>
      </c>
      <c r="C1170" s="63" t="s">
        <v>2512</v>
      </c>
      <c r="D1170" s="69" t="s">
        <v>530</v>
      </c>
      <c r="E1170" s="68" t="s">
        <v>78</v>
      </c>
      <c r="F1170" s="15" t="str">
        <f>IF($C1170="","",IF($E1170="","-",IFERROR(INDEX(SETUP!$B$55:$B$64,MATCH($E1170,SETUP!$A$55:$A$64,0)),"Other")))</f>
        <v>Melee DPS</v>
      </c>
      <c r="G1170" s="70">
        <v>60289</v>
      </c>
      <c r="H1170" s="15" t="str">
        <f>IF($C1170="","",IF($G1170="","-",INDEX(SETUP!$B$26:$B$32,MATCH($G1170,SETUP!$A$26:$A$32,1))))</f>
        <v>60,000 - 60,999</v>
      </c>
      <c r="I1170" s="70">
        <v>3172</v>
      </c>
      <c r="J1170" s="15" t="str">
        <f>IF($C1170="","",IF($I1170="","-",INDEX(SETUP!$B$16:$B$22,MATCH($I1170,SETUP!$A$16:$A$22,1))))</f>
        <v>DEVELOPING</v>
      </c>
      <c r="K1170" s="15" t="str">
        <f>IF($C1170="","",IF($I1170="","-",TEXT(INT($I1170/1000)*1000,"#,##0")&amp;" - "&amp;TEXT(INT($I1170/1000)*1000+999,"#,##0")))</f>
        <v>3,000 - 3,999</v>
      </c>
      <c r="L1170" s="71">
        <v>3.35</v>
      </c>
      <c r="M1170" s="15" t="str">
        <f>IF($C1170="","",IF($L1170="","-",INDEX(SETUP!$B$36:$B$42,MATCH($L1170,SETUP!$A$36:$A$42,1))))</f>
        <v>3k - 4k</v>
      </c>
      <c r="N1170" s="17">
        <f>IF($C1170="","",IF(OR($G1170="",$I1170=""),"",ROUND(100*(SETUP!$B$4*MIN(1,$I1170/SETUP!$B$9)+SETUP!$B$5*MAX(0,MIN(1,($G1170-SETUP!$B$10)/(SETUP!$B$11-SETUP!$B$10)))+SETUP!$B$6*MIN(1,IF($L1170="",0,$L1170)/SETUP!$B$12)),1)))</f>
        <v>33.299999999999997</v>
      </c>
      <c r="O1170" s="15" t="str">
        <f>IF($C1170="","",IF($N1170="","-",INDEX(SETUP!$B$46:$B$51,MATCH($N1170,SETUP!$A$46:$A$51,1))))</f>
        <v>C</v>
      </c>
      <c r="P1170" s="15">
        <f>IF($C1170="","",IF($I1170="","",RANK($I1170,$I$4:$I$1463)+COUNTIF($I$4:$I1170,$I1170)-1))</f>
        <v>831</v>
      </c>
      <c r="Q1170" s="15">
        <f>IF($C1170="","",COUNTIFS($B$4:$B$1463,$B1170,$X$4:$X$1463,"&gt;"&amp;$X1170)+COUNTIFS($B$4:$B1170,$B1170,$X$4:$X1170,"="&amp;$X1170))</f>
        <v>55</v>
      </c>
      <c r="R1170" s="72">
        <f>IF($C1170="","",IF($I1170="","",ROUND(COUNTIF($I$4:$I$1463,"&lt;"&amp;$I1170)/COUNT($I$4:$I$1463),3)))</f>
        <v>0.373</v>
      </c>
      <c r="S1170" s="15" t="str">
        <f>IF($C1170="","",IF($G1170="","Name only",IF(OR($I1170="",$L1170=""),"Partial","Complete")))</f>
        <v>Complete</v>
      </c>
      <c r="T1170" s="41" t="str">
        <f>IF($C1170="","",TRIM(IF(COUNTIF($C$4:$C$1463,$C1170)&gt;1,"Dup name; ","")&amp;IF(AND($G1170&lt;&gt;"",$G1170&lt;55000),"Low CR - verify; ","")&amp;IF(AND($L1170&lt;&gt;"",$L1170&gt;15),"Secondary - verify; ","")&amp;IF($E1170="","No class; ","")))</f>
        <v/>
      </c>
      <c r="U1170" s="68"/>
      <c r="V1170" s="68"/>
      <c r="W1170" s="68"/>
      <c r="X1170" s="73">
        <f t="shared" si="92"/>
        <v>3172</v>
      </c>
      <c r="Y1170" s="41" t="str">
        <f t="shared" si="93"/>
        <v>VENGEANCE|55</v>
      </c>
      <c r="Z1170" s="15">
        <f>IF($C1170="","",IF($G1170="","",RANK($G1170,$G$4:$G$1463)+COUNTIF($G$4:$G1170,$G1170)-1))</f>
        <v>1221</v>
      </c>
      <c r="AA1170" s="15">
        <f>IF($C1170="","",IF($N1170="","",RANK($N1170,$N$4:$N$1463)+COUNTIF($N$4:$N1170,$N1170)-1))</f>
        <v>1060</v>
      </c>
      <c r="AB1170" s="41" t="str">
        <f>IF($C1170="","",IF($E1170="","",$E1170&amp;"#"&amp;(COUNTIFS($E$4:$E$1463,$E1170,$X$4:$X$1463,"&gt;"&amp;$X1170)+COUNTIFS($E$4:$E1170,$E1170,$X$4:$X1170,"="&amp;$X1170))))</f>
        <v>TEMPEST#32</v>
      </c>
      <c r="AC1170" s="41" t="str">
        <f>IF($C1170="","",$B1170&amp;"@"&amp;(COUNTIFS($B$4:$B$1463,$B1170,$C$4:$C$1463,"&lt;"&amp;$C1170)+COUNTIFS($B$4:$B1170,$B1170,$C$4:$C1170,$C1170)))</f>
        <v>VENGEANCE@84</v>
      </c>
      <c r="AD1170" s="41">
        <f t="shared" si="94"/>
        <v>1167</v>
      </c>
      <c r="AE1170" s="41" t="s">
        <v>2513</v>
      </c>
      <c r="AF1170" s="73">
        <f t="shared" si="95"/>
        <v>60289</v>
      </c>
      <c r="AG1170" s="74">
        <f t="shared" si="96"/>
        <v>3.35</v>
      </c>
      <c r="AH1170" s="41" t="str">
        <f>IF($C1170="","",$B1170&amp;"|"&amp;(COUNTIFS($B$4:$B$1463,$B1170,$AF$4:$AF$1463,"&gt;"&amp;$AF1170)+COUNTIFS($B$4:$B1170,$B1170,$AF$4:$AF1170,"="&amp;$AF1170)))</f>
        <v>VENGEANCE|84</v>
      </c>
      <c r="AI1170" s="41" t="str">
        <f>IF($C1170="","",$B1170&amp;"|"&amp;(COUNTIFS($B$4:$B$1463,$B1170,$AG$4:$AG$1463,"&gt;"&amp;$AG1170)+COUNTIFS($B$4:$B1170,$B1170,$AG$4:$AG1170,"="&amp;$AG1170)))</f>
        <v>VENGEANCE|88</v>
      </c>
    </row>
    <row r="1171" spans="1:35">
      <c r="A1171" s="69" t="s">
        <v>104</v>
      </c>
      <c r="B1171" s="69" t="s">
        <v>66</v>
      </c>
      <c r="C1171" s="63" t="s">
        <v>2912</v>
      </c>
      <c r="D1171" s="69"/>
      <c r="E1171" s="68" t="s">
        <v>77</v>
      </c>
      <c r="F1171" s="15" t="str">
        <f>IF($C1171="","",IF($E1171="","-",IFERROR(INDEX(SETUP!$B$55:$B$64,MATCH($E1171,SETUP!$A$55:$A$64,0)),"Other")))</f>
        <v>Control</v>
      </c>
      <c r="G1171" s="70">
        <v>63255</v>
      </c>
      <c r="H1171" s="15" t="str">
        <f>IF($C1171="","",IF($G1171="","-",INDEX(SETUP!$B$26:$B$32,MATCH($G1171,SETUP!$A$26:$A$32,1))))</f>
        <v>63,000 - 63,999</v>
      </c>
      <c r="I1171" s="70">
        <v>5557</v>
      </c>
      <c r="J1171" s="15" t="str">
        <f>IF($C1171="","",IF($I1171="","-",INDEX(SETUP!$B$16:$B$22,MATCH($I1171,SETUP!$A$16:$A$22,1))))</f>
        <v>CORE</v>
      </c>
      <c r="K1171" s="15" t="str">
        <f>IF($C1171="","",IF($I1171="","-",TEXT(INT($I1171/1000)*1000,"#,##0")&amp;" - "&amp;TEXT(INT($I1171/1000)*1000+999,"#,##0")))</f>
        <v>5,000 - 5,999</v>
      </c>
      <c r="L1171" s="71">
        <v>5.26</v>
      </c>
      <c r="M1171" s="15" t="str">
        <f>IF($C1171="","",IF($L1171="","-",INDEX(SETUP!$B$36:$B$42,MATCH($L1171,SETUP!$A$36:$A$42,1))))</f>
        <v>5k - 6k</v>
      </c>
      <c r="N1171" s="17">
        <f>IF($C1171="","",IF(OR($G1171="",$I1171=""),"",ROUND(100*(SETUP!$B$4*MIN(1,$I1171/SETUP!$B$9)+SETUP!$B$5*MAX(0,MIN(1,($G1171-SETUP!$B$10)/(SETUP!$B$11-SETUP!$B$10)))+SETUP!$B$6*MIN(1,IF($L1171="",0,$L1171)/SETUP!$B$12)),1)))</f>
        <v>54.7</v>
      </c>
      <c r="O1171" s="15" t="str">
        <f>IF($C1171="","",IF($N1171="","-",INDEX(SETUP!$B$46:$B$51,MATCH($N1171,SETUP!$A$46:$A$51,1))))</f>
        <v>A</v>
      </c>
      <c r="P1171" s="15">
        <f>IF($C1171="","",IF($I1171="","",RANK($I1171,$I$4:$I$1463)+COUNTIF($I$4:$I1171,$I1171)-1))</f>
        <v>330</v>
      </c>
      <c r="Q1171" s="15">
        <f>IF($C1171="","",COUNTIFS($B$4:$B$1463,$B1171,$X$4:$X$1463,"&gt;"&amp;$X1171)+COUNTIFS($B$4:$B1171,$B1171,$X$4:$X1171,"="&amp;$X1171))</f>
        <v>33</v>
      </c>
      <c r="R1171" s="72">
        <f>IF($C1171="","",IF($I1171="","",ROUND(COUNTIF($I$4:$I$1463,"&lt;"&amp;$I1171)/COUNT($I$4:$I$1463),3)))</f>
        <v>0.751</v>
      </c>
      <c r="S1171" s="15" t="str">
        <f>IF($C1171="","",IF($G1171="","Name only",IF(OR($I1171="",$L1171=""),"Partial","Complete")))</f>
        <v>Complete</v>
      </c>
      <c r="T1171" s="41" t="str">
        <f>IF($C1171="","",TRIM(IF(COUNTIF($C$4:$C$1463,$C1171)&gt;1,"Dup name; ","")&amp;IF(AND($G1171&lt;&gt;"",$G1171&lt;55000),"Low CR - verify; ","")&amp;IF(AND($L1171&lt;&gt;"",$L1171&gt;15),"Secondary - verify; ","")&amp;IF($E1171="","No class; ","")))</f>
        <v/>
      </c>
      <c r="U1171" s="68" t="s">
        <v>66</v>
      </c>
      <c r="V1171" s="68" t="s">
        <v>66</v>
      </c>
      <c r="W1171" s="68" t="s">
        <v>285</v>
      </c>
      <c r="X1171" s="76">
        <f t="shared" si="92"/>
        <v>5557</v>
      </c>
      <c r="Y1171" s="1" t="str">
        <f t="shared" si="93"/>
        <v>FUCT|33</v>
      </c>
      <c r="Z1171" s="19">
        <f>IF($C1171="","",IF($G1171="","",RANK($G1171,$G$4:$G$1463)+COUNTIF($G$4:$G1171,$G1171)-1))</f>
        <v>287</v>
      </c>
      <c r="AA1171" s="19">
        <f>IF($C1171="","",IF($N1171="","",RANK($N1171,$N$4:$N$1463)+COUNTIF($N$4:$N1171,$N1171)-1))</f>
        <v>325</v>
      </c>
      <c r="AB1171" s="1" t="str">
        <f>IF($C1171="","",IF($E1171="","",$E1171&amp;"#"&amp;(COUNTIFS($E$4:$E$1463,$E1171,$X$4:$X$1463,"&gt;"&amp;$X1171)+COUNTIFS($E$4:$E1171,$E1171,$X$4:$X1171,"="&amp;$X1171))))</f>
        <v>NECROMANCER#14</v>
      </c>
      <c r="AC1171" s="1" t="str">
        <f>IF($C1171="","",$B1171&amp;"@"&amp;(COUNTIFS($B$4:$B$1463,$B1171,$C$4:$C$1463,"&lt;"&amp;$C1171)+COUNTIFS($B$4:$B1171,$B1171,$C$4:$C1171,$C1171)))</f>
        <v>FUCT@85</v>
      </c>
      <c r="AD1171" s="1">
        <f t="shared" si="94"/>
        <v>1168</v>
      </c>
      <c r="AE1171" s="1" t="s">
        <v>2515</v>
      </c>
      <c r="AF1171" s="76">
        <f t="shared" si="95"/>
        <v>63255</v>
      </c>
      <c r="AG1171" s="77">
        <f t="shared" si="96"/>
        <v>5.26</v>
      </c>
      <c r="AH1171" s="1" t="str">
        <f>IF($C1171="","",$B1171&amp;"|"&amp;(COUNTIFS($B$4:$B$1463,$B1171,$AF$4:$AF$1463,"&gt;"&amp;$AF1171)+COUNTIFS($B$4:$B1171,$B1171,$AF$4:$AF1171,"="&amp;$AF1171)))</f>
        <v>FUCT|28</v>
      </c>
      <c r="AI1171" s="1" t="str">
        <f>IF($C1171="","",$B1171&amp;"|"&amp;(COUNTIFS($B$4:$B$1463,$B1171,$AG$4:$AG$1463,"&gt;"&amp;$AG1171)+COUNTIFS($B$4:$B1171,$B1171,$AG$4:$AG1171,"="&amp;$AG1171)))</f>
        <v>FUCT|38</v>
      </c>
    </row>
    <row r="1172" spans="1:35" hidden="1">
      <c r="A1172" s="69" t="s">
        <v>106</v>
      </c>
      <c r="B1172" s="69" t="s">
        <v>86</v>
      </c>
      <c r="C1172" s="63" t="s">
        <v>2516</v>
      </c>
      <c r="D1172" s="69"/>
      <c r="E1172" s="68" t="s">
        <v>74</v>
      </c>
      <c r="F1172" s="15" t="str">
        <f>IF($C1172="","",IF($E1172="","-",IFERROR(INDEX(SETUP!$B$55:$B$64,MATCH($E1172,SETUP!$A$55:$A$64,0)),"Other")))</f>
        <v>Ranged DPS</v>
      </c>
      <c r="G1172" s="70">
        <v>62901</v>
      </c>
      <c r="H1172" s="15" t="str">
        <f>IF($C1172="","",IF($G1172="","-",INDEX(SETUP!$B$26:$B$32,MATCH($G1172,SETUP!$A$26:$A$32,1))))</f>
        <v>62,000 - 62,999</v>
      </c>
      <c r="I1172" s="70">
        <v>2770</v>
      </c>
      <c r="J1172" s="15" t="str">
        <f>IF($C1172="","",IF($I1172="","-",INDEX(SETUP!$B$16:$B$22,MATCH($I1172,SETUP!$A$16:$A$22,1))))</f>
        <v>DEVELOPING</v>
      </c>
      <c r="K1172" s="15" t="str">
        <f>IF($C1172="","",IF($I1172="","-",TEXT(INT($I1172/1000)*1000,"#,##0")&amp;" - "&amp;TEXT(INT($I1172/1000)*1000+999,"#,##0")))</f>
        <v>2,000 - 2,999</v>
      </c>
      <c r="L1172" s="71">
        <v>4.5999999999999996</v>
      </c>
      <c r="M1172" s="15" t="str">
        <f>IF($C1172="","",IF($L1172="","-",INDEX(SETUP!$B$36:$B$42,MATCH($L1172,SETUP!$A$36:$A$42,1))))</f>
        <v>4k - 5k</v>
      </c>
      <c r="N1172" s="17">
        <f>IF($C1172="","",IF(OR($G1172="",$I1172=""),"",ROUND(100*(SETUP!$B$4*MIN(1,$I1172/SETUP!$B$9)+SETUP!$B$5*MAX(0,MIN(1,($G1172-SETUP!$B$10)/(SETUP!$B$11-SETUP!$B$10)))+SETUP!$B$6*MIN(1,IF($L1172="",0,$L1172)/SETUP!$B$12)),1)))</f>
        <v>40.6</v>
      </c>
      <c r="O1172" s="15" t="str">
        <f>IF($C1172="","",IF($N1172="","-",INDEX(SETUP!$B$46:$B$51,MATCH($N1172,SETUP!$A$46:$A$51,1))))</f>
        <v>B</v>
      </c>
      <c r="P1172" s="15">
        <f>IF($C1172="","",IF($I1172="","",RANK($I1172,$I$4:$I$1463)+COUNTIF($I$4:$I1172,$I1172)-1))</f>
        <v>939</v>
      </c>
      <c r="Q1172" s="15">
        <f>IF($C1172="","",COUNTIFS($B$4:$B$1463,$B1172,$X$4:$X$1463,"&gt;"&amp;$X1172)+COUNTIFS($B$4:$B1172,$B1172,$X$4:$X1172,"="&amp;$X1172))</f>
        <v>91</v>
      </c>
      <c r="R1172" s="72">
        <f>IF($C1172="","",IF($I1172="","",ROUND(COUNTIF($I$4:$I$1463,"&lt;"&amp;$I1172)/COUNT($I$4:$I$1463),3)))</f>
        <v>0.29099999999999998</v>
      </c>
      <c r="S1172" s="15" t="str">
        <f>IF($C1172="","",IF($G1172="","Name only",IF(OR($I1172="",$L1172=""),"Partial","Complete")))</f>
        <v>Complete</v>
      </c>
      <c r="T1172" s="41" t="str">
        <f>IF($C1172="","",TRIM(IF(COUNTIF($C$4:$C$1463,$C1172)&gt;1,"Dup name; ","")&amp;IF(AND($G1172&lt;&gt;"",$G1172&lt;55000),"Low CR - verify; ","")&amp;IF(AND($L1172&lt;&gt;"",$L1172&gt;15),"Secondary - verify; ","")&amp;IF($E1172="","No class; ","")))</f>
        <v/>
      </c>
      <c r="U1172" s="68"/>
      <c r="V1172" s="68"/>
      <c r="W1172" s="68"/>
      <c r="X1172" s="73">
        <f t="shared" si="92"/>
        <v>2770</v>
      </c>
      <c r="Y1172" s="41" t="str">
        <f t="shared" si="93"/>
        <v>VANGUARD|91</v>
      </c>
      <c r="Z1172" s="15">
        <f>IF($C1172="","",IF($G1172="","",RANK($G1172,$G$4:$G$1463)+COUNTIF($G$4:$G1172,$G1172)-1))</f>
        <v>473</v>
      </c>
      <c r="AA1172" s="15">
        <f>IF($C1172="","",IF($N1172="","",RANK($N1172,$N$4:$N$1463)+COUNTIF($N$4:$N1172,$N1172)-1))</f>
        <v>800</v>
      </c>
      <c r="AB1172" s="41" t="str">
        <f>IF($C1172="","",IF($E1172="","",$E1172&amp;"#"&amp;(COUNTIFS($E$4:$E$1463,$E1172,$X$4:$X$1463,"&gt;"&amp;$X1172)+COUNTIFS($E$4:$E1172,$E1172,$X$4:$X1172,"="&amp;$X1172))))</f>
        <v>DEMON HUNTER#151</v>
      </c>
      <c r="AC1172" s="41" t="str">
        <f>IF($C1172="","",$B1172&amp;"@"&amp;(COUNTIFS($B$4:$B$1463,$B1172,$C$4:$C$1463,"&lt;"&amp;$C1172)+COUNTIFS($B$4:$B1172,$B1172,$C$4:$C1172,$C1172)))</f>
        <v>VANGUARD@86</v>
      </c>
      <c r="AD1172" s="41">
        <f t="shared" si="94"/>
        <v>1169</v>
      </c>
      <c r="AE1172" s="41" t="s">
        <v>553</v>
      </c>
      <c r="AF1172" s="73">
        <f t="shared" si="95"/>
        <v>62901</v>
      </c>
      <c r="AG1172" s="74">
        <f t="shared" si="96"/>
        <v>4.5999999999999996</v>
      </c>
      <c r="AH1172" s="41" t="str">
        <f>IF($C1172="","",$B1172&amp;"|"&amp;(COUNTIFS($B$4:$B$1463,$B1172,$AF$4:$AF$1463,"&gt;"&amp;$AF1172)+COUNTIFS($B$4:$B1172,$B1172,$AF$4:$AF1172,"="&amp;$AF1172)))</f>
        <v>VANGUARD|66</v>
      </c>
      <c r="AI1172" s="41" t="str">
        <f>IF($C1172="","",$B1172&amp;"|"&amp;(COUNTIFS($B$4:$B$1463,$B1172,$AG$4:$AG$1463,"&gt;"&amp;$AG1172)+COUNTIFS($B$4:$B1172,$B1172,$AG$4:$AG1172,"="&amp;$AG1172)))</f>
        <v>VANGUARD|79</v>
      </c>
    </row>
    <row r="1173" spans="1:35" hidden="1">
      <c r="A1173" s="69" t="s">
        <v>109</v>
      </c>
      <c r="B1173" s="69" t="s">
        <v>114</v>
      </c>
      <c r="C1173" s="63" t="s">
        <v>2517</v>
      </c>
      <c r="D1173" s="69"/>
      <c r="E1173" s="68" t="s">
        <v>74</v>
      </c>
      <c r="F1173" s="19" t="str">
        <f>IF($C1173="","",IF($E1173="","-",IFERROR(INDEX(SETUP!$B$55:$B$64,MATCH($E1173,SETUP!$A$55:$A$64,0)),"Other")))</f>
        <v>Ranged DPS</v>
      </c>
      <c r="G1173" s="70">
        <v>59529</v>
      </c>
      <c r="H1173" s="19" t="str">
        <f>IF($C1173="","",IF($G1173="","-",INDEX(SETUP!$B$26:$B$32,MATCH($G1173,SETUP!$A$26:$A$32,1))))</f>
        <v>58,000 - 59,999</v>
      </c>
      <c r="I1173" s="70">
        <v>1230</v>
      </c>
      <c r="J1173" s="19" t="str">
        <f>IF($C1173="","",IF($I1173="","-",INDEX(SETUP!$B$16:$B$22,MATCH($I1173,SETUP!$A$16:$A$22,1))))</f>
        <v>ROOKIE</v>
      </c>
      <c r="K1173" s="19" t="str">
        <f>IF($C1173="","",IF($I1173="","-",TEXT(INT($I1173/1000)*1000,"#,##0")&amp;" - "&amp;TEXT(INT($I1173/1000)*1000+999,"#,##0")))</f>
        <v>1,000 - 1,999</v>
      </c>
      <c r="L1173" s="71">
        <v>3.75</v>
      </c>
      <c r="M1173" s="19" t="str">
        <f>IF($C1173="","",IF($L1173="","-",INDEX(SETUP!$B$36:$B$42,MATCH($L1173,SETUP!$A$36:$A$42,1))))</f>
        <v>3k - 4k</v>
      </c>
      <c r="N1173" s="21">
        <f>IF($C1173="","",IF(OR($G1173="",$I1173=""),"",ROUND(100*(SETUP!$B$4*MIN(1,$I1173/SETUP!$B$9)+SETUP!$B$5*MAX(0,MIN(1,($G1173-SETUP!$B$10)/(SETUP!$B$11-SETUP!$B$10)))+SETUP!$B$6*MIN(1,IF($L1173="",0,$L1173)/SETUP!$B$12)),1)))</f>
        <v>23.5</v>
      </c>
      <c r="O1173" s="19" t="str">
        <f>IF($C1173="","",IF($N1173="","-",INDEX(SETUP!$B$46:$B$51,MATCH($N1173,SETUP!$A$46:$A$51,1))))</f>
        <v>C</v>
      </c>
      <c r="P1173" s="19">
        <f>IF($C1173="","",IF($I1173="","",RANK($I1173,$I$4:$I$1463)+COUNTIF($I$4:$I1173,$I1173)-1))</f>
        <v>1240</v>
      </c>
      <c r="Q1173" s="19">
        <f>IF($C1173="","",COUNTIFS($B$4:$B$1463,$B1173,$X$4:$X$1463,"&gt;"&amp;$X1173)+COUNTIFS($B$4:$B1173,$B1173,$X$4:$X1173,"="&amp;$X1173))</f>
        <v>78</v>
      </c>
      <c r="R1173" s="75">
        <f>IF($C1173="","",IF($I1173="","",ROUND(COUNTIF($I$4:$I$1463,"&lt;"&amp;$I1173)/COUNT($I$4:$I$1463),3)))</f>
        <v>6.4000000000000001E-2</v>
      </c>
      <c r="S1173" s="19" t="str">
        <f>IF($C1173="","",IF($G1173="","Name only",IF(OR($I1173="",$L1173=""),"Partial","Complete")))</f>
        <v>Complete</v>
      </c>
      <c r="T1173" s="1" t="str">
        <f>IF($C1173="","",TRIM(IF(COUNTIF($C$4:$C$1463,$C1173)&gt;1,"Dup name; ","")&amp;IF(AND($G1173&lt;&gt;"",$G1173&lt;55000),"Low CR - verify; ","")&amp;IF(AND($L1173&lt;&gt;"",$L1173&gt;15),"Secondary - verify; ","")&amp;IF($E1173="","No class; ","")))</f>
        <v/>
      </c>
      <c r="U1173" s="68"/>
      <c r="V1173" s="68"/>
      <c r="W1173" s="68"/>
      <c r="X1173" s="76">
        <f t="shared" si="92"/>
        <v>1230</v>
      </c>
      <c r="Y1173" s="1" t="str">
        <f t="shared" si="93"/>
        <v>EMERALD LEAF TRIBE|78</v>
      </c>
      <c r="Z1173" s="19">
        <f>IF($C1173="","",IF($G1173="","",RANK($G1173,$G$4:$G$1463)+COUNTIF($G$4:$G1173,$G1173)-1))</f>
        <v>1261</v>
      </c>
      <c r="AA1173" s="19">
        <f>IF($C1173="","",IF($N1173="","",RANK($N1173,$N$4:$N$1463)+COUNTIF($N$4:$N1173,$N1173)-1))</f>
        <v>1265</v>
      </c>
      <c r="AB1173" s="1" t="str">
        <f>IF($C1173="","",IF($E1173="","",$E1173&amp;"#"&amp;(COUNTIFS($E$4:$E$1463,$E1173,$X$4:$X$1463,"&gt;"&amp;$X1173)+COUNTIFS($E$4:$E1173,$E1173,$X$4:$X1173,"="&amp;$X1173))))</f>
        <v>DEMON HUNTER#182</v>
      </c>
      <c r="AC1173" s="1" t="str">
        <f>IF($C1173="","",$B1173&amp;"@"&amp;(COUNTIFS($B$4:$B$1463,$B1173,$C$4:$C$1463,"&lt;"&amp;$C1173)+COUNTIFS($B$4:$B1173,$B1173,$C$4:$C1173,$C1173)))</f>
        <v>EMERALD LEAF TRIBE@84</v>
      </c>
      <c r="AD1173" s="1">
        <f t="shared" si="94"/>
        <v>1170</v>
      </c>
      <c r="AE1173" s="1" t="s">
        <v>2518</v>
      </c>
      <c r="AF1173" s="76">
        <f t="shared" si="95"/>
        <v>59529</v>
      </c>
      <c r="AG1173" s="77">
        <f t="shared" si="96"/>
        <v>3.75</v>
      </c>
      <c r="AH1173" s="1" t="str">
        <f>IF($C1173="","",$B1173&amp;"|"&amp;(COUNTIFS($B$4:$B$1463,$B1173,$AF$4:$AF$1463,"&gt;"&amp;$AF1173)+COUNTIFS($B$4:$B1173,$B1173,$AF$4:$AF1173,"="&amp;$AF1173)))</f>
        <v>EMERALD LEAF TRIBE|78</v>
      </c>
      <c r="AI1173" s="1" t="str">
        <f>IF($C1173="","",$B1173&amp;"|"&amp;(COUNTIFS($B$4:$B$1463,$B1173,$AG$4:$AG$1463,"&gt;"&amp;$AG1173)+COUNTIFS($B$4:$B1173,$B1173,$AG$4:$AG1173,"="&amp;$AG1173)))</f>
        <v>EMERALD LEAF TRIBE|44</v>
      </c>
    </row>
    <row r="1174" spans="1:35" hidden="1">
      <c r="A1174" s="69" t="s">
        <v>109</v>
      </c>
      <c r="B1174" s="69" t="s">
        <v>114</v>
      </c>
      <c r="C1174" s="63" t="s">
        <v>2519</v>
      </c>
      <c r="D1174" s="69"/>
      <c r="E1174" s="68" t="s">
        <v>78</v>
      </c>
      <c r="F1174" s="15" t="str">
        <f>IF($C1174="","",IF($E1174="","-",IFERROR(INDEX(SETUP!$B$55:$B$64,MATCH($E1174,SETUP!$A$55:$A$64,0)),"Other")))</f>
        <v>Melee DPS</v>
      </c>
      <c r="G1174" s="70">
        <v>59591</v>
      </c>
      <c r="H1174" s="15" t="str">
        <f>IF($C1174="","",IF($G1174="","-",INDEX(SETUP!$B$26:$B$32,MATCH($G1174,SETUP!$A$26:$A$32,1))))</f>
        <v>58,000 - 59,999</v>
      </c>
      <c r="I1174" s="70">
        <v>2190</v>
      </c>
      <c r="J1174" s="15" t="str">
        <f>IF($C1174="","",IF($I1174="","-",INDEX(SETUP!$B$16:$B$22,MATCH($I1174,SETUP!$A$16:$A$22,1))))</f>
        <v>DEVELOPING</v>
      </c>
      <c r="K1174" s="15" t="str">
        <f>IF($C1174="","",IF($I1174="","-",TEXT(INT($I1174/1000)*1000,"#,##0")&amp;" - "&amp;TEXT(INT($I1174/1000)*1000+999,"#,##0")))</f>
        <v>2,000 - 2,999</v>
      </c>
      <c r="L1174" s="71">
        <v>3.8</v>
      </c>
      <c r="M1174" s="15" t="str">
        <f>IF($C1174="","",IF($L1174="","-",INDEX(SETUP!$B$36:$B$42,MATCH($L1174,SETUP!$A$36:$A$42,1))))</f>
        <v>3k - 4k</v>
      </c>
      <c r="N1174" s="17">
        <f>IF($C1174="","",IF(OR($G1174="",$I1174=""),"",ROUND(100*(SETUP!$B$4*MIN(1,$I1174/SETUP!$B$9)+SETUP!$B$5*MAX(0,MIN(1,($G1174-SETUP!$B$10)/(SETUP!$B$11-SETUP!$B$10)))+SETUP!$B$6*MIN(1,IF($L1174="",0,$L1174)/SETUP!$B$12)),1)))</f>
        <v>28</v>
      </c>
      <c r="O1174" s="15" t="str">
        <f>IF($C1174="","",IF($N1174="","-",INDEX(SETUP!$B$46:$B$51,MATCH($N1174,SETUP!$A$46:$A$51,1))))</f>
        <v>C</v>
      </c>
      <c r="P1174" s="15">
        <f>IF($C1174="","",IF($I1174="","",RANK($I1174,$I$4:$I$1463)+COUNTIF($I$4:$I1174,$I1174)-1))</f>
        <v>1069</v>
      </c>
      <c r="Q1174" s="15">
        <f>IF($C1174="","",COUNTIFS($B$4:$B$1463,$B1174,$X$4:$X$1463,"&gt;"&amp;$X1174)+COUNTIFS($B$4:$B1174,$B1174,$X$4:$X1174,"="&amp;$X1174))</f>
        <v>48</v>
      </c>
      <c r="R1174" s="72">
        <f>IF($C1174="","",IF($I1174="","",ROUND(COUNTIF($I$4:$I$1463,"&lt;"&amp;$I1174)/COUNT($I$4:$I$1463),3)))</f>
        <v>0.193</v>
      </c>
      <c r="S1174" s="15" t="str">
        <f>IF($C1174="","",IF($G1174="","Name only",IF(OR($I1174="",$L1174=""),"Partial","Complete")))</f>
        <v>Complete</v>
      </c>
      <c r="T1174" s="41" t="str">
        <f>IF($C1174="","",TRIM(IF(COUNTIF($C$4:$C$1463,$C1174)&gt;1,"Dup name; ","")&amp;IF(AND($G1174&lt;&gt;"",$G1174&lt;55000),"Low CR - verify; ","")&amp;IF(AND($L1174&lt;&gt;"",$L1174&gt;15),"Secondary - verify; ","")&amp;IF($E1174="","No class; ","")))</f>
        <v/>
      </c>
      <c r="U1174" s="68"/>
      <c r="V1174" s="68"/>
      <c r="W1174" s="68"/>
      <c r="X1174" s="73">
        <f t="shared" si="92"/>
        <v>2190</v>
      </c>
      <c r="Y1174" s="41" t="str">
        <f t="shared" si="93"/>
        <v>EMERALD LEAF TRIBE|48</v>
      </c>
      <c r="Z1174" s="15">
        <f>IF($C1174="","",IF($G1174="","",RANK($G1174,$G$4:$G$1463)+COUNTIF($G$4:$G1174,$G1174)-1))</f>
        <v>1259</v>
      </c>
      <c r="AA1174" s="15">
        <f>IF($C1174="","",IF($N1174="","",RANK($N1174,$N$4:$N$1463)+COUNTIF($N$4:$N1174,$N1174)-1))</f>
        <v>1190</v>
      </c>
      <c r="AB1174" s="41" t="str">
        <f>IF($C1174="","",IF($E1174="","",$E1174&amp;"#"&amp;(COUNTIFS($E$4:$E$1463,$E1174,$X$4:$X$1463,"&gt;"&amp;$X1174)+COUNTIFS($E$4:$E1174,$E1174,$X$4:$X1174,"="&amp;$X1174))))</f>
        <v>TEMPEST#47</v>
      </c>
      <c r="AC1174" s="41" t="str">
        <f>IF($C1174="","",$B1174&amp;"@"&amp;(COUNTIFS($B$4:$B$1463,$B1174,$C$4:$C$1463,"&lt;"&amp;$C1174)+COUNTIFS($B$4:$B1174,$B1174,$C$4:$C1174,$C1174)))</f>
        <v>EMERALD LEAF TRIBE@85</v>
      </c>
      <c r="AD1174" s="41">
        <f t="shared" si="94"/>
        <v>1171</v>
      </c>
      <c r="AE1174" s="41" t="s">
        <v>2520</v>
      </c>
      <c r="AF1174" s="73">
        <f t="shared" si="95"/>
        <v>59591</v>
      </c>
      <c r="AG1174" s="74">
        <f t="shared" si="96"/>
        <v>3.8</v>
      </c>
      <c r="AH1174" s="41" t="str">
        <f>IF($C1174="","",$B1174&amp;"|"&amp;(COUNTIFS($B$4:$B$1463,$B1174,$AF$4:$AF$1463,"&gt;"&amp;$AF1174)+COUNTIFS($B$4:$B1174,$B1174,$AF$4:$AF1174,"="&amp;$AF1174)))</f>
        <v>EMERALD LEAF TRIBE|77</v>
      </c>
      <c r="AI1174" s="41" t="str">
        <f>IF($C1174="","",$B1174&amp;"|"&amp;(COUNTIFS($B$4:$B$1463,$B1174,$AG$4:$AG$1463,"&gt;"&amp;$AG1174)+COUNTIFS($B$4:$B1174,$B1174,$AG$4:$AG1174,"="&amp;$AG1174)))</f>
        <v>EMERALD LEAF TRIBE|41</v>
      </c>
    </row>
    <row r="1175" spans="1:35" hidden="1">
      <c r="A1175" s="69" t="s">
        <v>109</v>
      </c>
      <c r="B1175" s="69" t="s">
        <v>110</v>
      </c>
      <c r="C1175" s="63" t="s">
        <v>2521</v>
      </c>
      <c r="D1175" s="69"/>
      <c r="E1175" s="68" t="s">
        <v>80</v>
      </c>
      <c r="F1175" s="19" t="str">
        <f>IF($C1175="","",IF($E1175="","-",IFERROR(INDEX(SETUP!$B$55:$B$64,MATCH($E1175,SETUP!$A$55:$A$64,0)),"Other")))</f>
        <v>Ranged DPS</v>
      </c>
      <c r="G1175" s="70">
        <v>63892</v>
      </c>
      <c r="H1175" s="19" t="str">
        <f>IF($C1175="","",IF($G1175="","-",INDEX(SETUP!$B$26:$B$32,MATCH($G1175,SETUP!$A$26:$A$32,1))))</f>
        <v>63,000 - 63,999</v>
      </c>
      <c r="I1175" s="70">
        <v>8685</v>
      </c>
      <c r="J1175" s="19" t="str">
        <f>IF($C1175="","",IF($I1175="","-",INDEX(SETUP!$B$16:$B$22,MATCH($I1175,SETUP!$A$16:$A$22,1))))</f>
        <v>ELITE</v>
      </c>
      <c r="K1175" s="19" t="str">
        <f>IF($C1175="","",IF($I1175="","-",TEXT(INT($I1175/1000)*1000,"#,##0")&amp;" - "&amp;TEXT(INT($I1175/1000)*1000+999,"#,##0")))</f>
        <v>8,000 - 8,999</v>
      </c>
      <c r="L1175" s="71">
        <v>8.4499999999999993</v>
      </c>
      <c r="M1175" s="19" t="str">
        <f>IF($C1175="","",IF($L1175="","-",INDEX(SETUP!$B$36:$B$42,MATCH($L1175,SETUP!$A$36:$A$42,1))))</f>
        <v>8k - 10k</v>
      </c>
      <c r="N1175" s="21">
        <f>IF($C1175="","",IF(OR($G1175="",$I1175=""),"",ROUND(100*(SETUP!$B$4*MIN(1,$I1175/SETUP!$B$9)+SETUP!$B$5*MAX(0,MIN(1,($G1175-SETUP!$B$10)/(SETUP!$B$11-SETUP!$B$10)))+SETUP!$B$6*MIN(1,IF($L1175="",0,$L1175)/SETUP!$B$12)),1)))</f>
        <v>75.400000000000006</v>
      </c>
      <c r="O1175" s="19" t="str">
        <f>IF($C1175="","",IF($N1175="","-",INDEX(SETUP!$B$46:$B$51,MATCH($N1175,SETUP!$A$46:$A$51,1))))</f>
        <v>S</v>
      </c>
      <c r="P1175" s="19">
        <f>IF($C1175="","",IF($I1175="","",RANK($I1175,$I$4:$I$1463)+COUNTIF($I$4:$I1175,$I1175)-1))</f>
        <v>109</v>
      </c>
      <c r="Q1175" s="19">
        <f>IF($C1175="","",COUNTIFS($B$4:$B$1463,$B1175,$X$4:$X$1463,"&gt;"&amp;$X1175)+COUNTIFS($B$4:$B1175,$B1175,$X$4:$X1175,"="&amp;$X1175))</f>
        <v>21</v>
      </c>
      <c r="R1175" s="75">
        <f>IF($C1175="","",IF($I1175="","",ROUND(COUNTIF($I$4:$I$1463,"&lt;"&amp;$I1175)/COUNT($I$4:$I$1463),3)))</f>
        <v>0.91700000000000004</v>
      </c>
      <c r="S1175" s="19" t="str">
        <f>IF($C1175="","",IF($G1175="","Name only",IF(OR($I1175="",$L1175=""),"Partial","Complete")))</f>
        <v>Complete</v>
      </c>
      <c r="T1175" s="1" t="str">
        <f>IF($C1175="","",TRIM(IF(COUNTIF($C$4:$C$1463,$C1175)&gt;1,"Dup name; ","")&amp;IF(AND($G1175&lt;&gt;"",$G1175&lt;55000),"Low CR - verify; ","")&amp;IF(AND($L1175&lt;&gt;"",$L1175&gt;15),"Secondary - verify; ","")&amp;IF($E1175="","No class; ","")))</f>
        <v/>
      </c>
      <c r="U1175" s="68"/>
      <c r="V1175" s="68"/>
      <c r="W1175" s="68"/>
      <c r="X1175" s="76">
        <f t="shared" si="92"/>
        <v>8685</v>
      </c>
      <c r="Y1175" s="1" t="str">
        <f t="shared" si="93"/>
        <v>AZUKI|21</v>
      </c>
      <c r="Z1175" s="19">
        <f>IF($C1175="","",IF($G1175="","",RANK($G1175,$G$4:$G$1463)+COUNTIF($G$4:$G1175,$G1175)-1))</f>
        <v>98</v>
      </c>
      <c r="AA1175" s="19">
        <f>IF($C1175="","",IF($N1175="","",RANK($N1175,$N$4:$N$1463)+COUNTIF($N$4:$N1175,$N1175)-1))</f>
        <v>87</v>
      </c>
      <c r="AB1175" s="1" t="str">
        <f>IF($C1175="","",IF($E1175="","",$E1175&amp;"#"&amp;(COUNTIFS($E$4:$E$1463,$E1175,$X$4:$X$1463,"&gt;"&amp;$X1175)+COUNTIFS($E$4:$E1175,$E1175,$X$4:$X1175,"="&amp;$X1175))))</f>
        <v>WIZARD#6</v>
      </c>
      <c r="AC1175" s="1" t="str">
        <f>IF($C1175="","",$B1175&amp;"@"&amp;(COUNTIFS($B$4:$B$1463,$B1175,$C$4:$C$1463,"&lt;"&amp;$C1175)+COUNTIFS($B$4:$B1175,$B1175,$C$4:$C1175,$C1175)))</f>
        <v>AZUKI@89</v>
      </c>
      <c r="AD1175" s="1">
        <f t="shared" si="94"/>
        <v>1172</v>
      </c>
      <c r="AE1175" s="1" t="s">
        <v>2522</v>
      </c>
      <c r="AF1175" s="76">
        <f t="shared" si="95"/>
        <v>63892</v>
      </c>
      <c r="AG1175" s="77">
        <f t="shared" si="96"/>
        <v>8.4499999999999993</v>
      </c>
      <c r="AH1175" s="1" t="str">
        <f>IF($C1175="","",$B1175&amp;"|"&amp;(COUNTIFS($B$4:$B$1463,$B1175,$AF$4:$AF$1463,"&gt;"&amp;$AF1175)+COUNTIFS($B$4:$B1175,$B1175,$AF$4:$AF1175,"="&amp;$AF1175)))</f>
        <v>AZUKI|21</v>
      </c>
      <c r="AI1175" s="1" t="str">
        <f>IF($C1175="","",$B1175&amp;"|"&amp;(COUNTIFS($B$4:$B$1463,$B1175,$AG$4:$AG$1463,"&gt;"&amp;$AG1175)+COUNTIFS($B$4:$B1175,$B1175,$AG$4:$AG1175,"="&amp;$AG1175)))</f>
        <v>AZUKI|13</v>
      </c>
    </row>
    <row r="1176" spans="1:35" hidden="1">
      <c r="A1176" s="69" t="s">
        <v>109</v>
      </c>
      <c r="B1176" s="69" t="s">
        <v>115</v>
      </c>
      <c r="C1176" s="63" t="s">
        <v>2523</v>
      </c>
      <c r="D1176" s="69"/>
      <c r="E1176" s="68"/>
      <c r="F1176" s="15" t="str">
        <f>IF($C1176="","",IF($E1176="","-",IFERROR(INDEX(SETUP!$B$55:$B$64,MATCH($E1176,SETUP!$A$55:$A$64,0)),"Other")))</f>
        <v>-</v>
      </c>
      <c r="G1176" s="70"/>
      <c r="H1176" s="15" t="str">
        <f>IF($C1176="","",IF($G1176="","-",INDEX(SETUP!$B$26:$B$32,MATCH($G1176,SETUP!$A$26:$A$32,1))))</f>
        <v>-</v>
      </c>
      <c r="I1176" s="70"/>
      <c r="J1176" s="15" t="str">
        <f>IF($C1176="","",IF($I1176="","-",INDEX(SETUP!$B$16:$B$22,MATCH($I1176,SETUP!$A$16:$A$22,1))))</f>
        <v>-</v>
      </c>
      <c r="K1176" s="15" t="str">
        <f>IF($C1176="","",IF($I1176="","-",TEXT(INT($I1176/1000)*1000,"#,##0")&amp;" - "&amp;TEXT(INT($I1176/1000)*1000+999,"#,##0")))</f>
        <v>-</v>
      </c>
      <c r="L1176" s="71"/>
      <c r="M1176" s="15" t="str">
        <f>IF($C1176="","",IF($L1176="","-",INDEX(SETUP!$B$36:$B$42,MATCH($L1176,SETUP!$A$36:$A$42,1))))</f>
        <v>-</v>
      </c>
      <c r="N1176" s="17" t="str">
        <f>IF($C1176="","",IF(OR($G1176="",$I1176=""),"",ROUND(100*(SETUP!$B$4*MIN(1,$I1176/SETUP!$B$9)+SETUP!$B$5*MAX(0,MIN(1,($G1176-SETUP!$B$10)/(SETUP!$B$11-SETUP!$B$10)))+SETUP!$B$6*MIN(1,IF($L1176="",0,$L1176)/SETUP!$B$12)),1)))</f>
        <v/>
      </c>
      <c r="O1176" s="15" t="str">
        <f>IF($C1176="","",IF($N1176="","-",INDEX(SETUP!$B$46:$B$51,MATCH($N1176,SETUP!$A$46:$A$51,1))))</f>
        <v>-</v>
      </c>
      <c r="P1176" s="15" t="str">
        <f>IF($C1176="","",IF($I1176="","",RANK($I1176,$I$4:$I$1463)+COUNTIF($I$4:$I1176,$I1176)-1))</f>
        <v/>
      </c>
      <c r="Q1176" s="15">
        <f>IF($C1176="","",COUNTIFS($B$4:$B$1463,$B1176,$X$4:$X$1463,"&gt;"&amp;$X1176)+COUNTIFS($B$4:$B1176,$B1176,$X$4:$X1176,"="&amp;$X1176))</f>
        <v>88</v>
      </c>
      <c r="R1176" s="72" t="str">
        <f>IF($C1176="","",IF($I1176="","",ROUND(COUNTIF($I$4:$I$1463,"&lt;"&amp;$I1176)/COUNT($I$4:$I$1463),3)))</f>
        <v/>
      </c>
      <c r="S1176" s="15" t="str">
        <f>IF($C1176="","",IF($G1176="","Name only",IF(OR($I1176="",$L1176=""),"Partial","Complete")))</f>
        <v>Name only</v>
      </c>
      <c r="T1176" s="41" t="str">
        <f>IF($C1176="","",TRIM(IF(COUNTIF($C$4:$C$1463,$C1176)&gt;1,"Dup name; ","")&amp;IF(AND($G1176&lt;&gt;"",$G1176&lt;55000),"Low CR - verify; ","")&amp;IF(AND($L1176&lt;&gt;"",$L1176&gt;15),"Secondary - verify; ","")&amp;IF($E1176="","No class; ","")))</f>
        <v>No class;</v>
      </c>
      <c r="U1176" s="68"/>
      <c r="V1176" s="68"/>
      <c r="W1176" s="68"/>
      <c r="X1176" s="41">
        <f t="shared" si="92"/>
        <v>-1</v>
      </c>
      <c r="Y1176" s="41" t="str">
        <f t="shared" si="93"/>
        <v>SUB ROSA|88</v>
      </c>
      <c r="Z1176" s="15" t="str">
        <f>IF($C1176="","",IF($G1176="","",RANK($G1176,$G$4:$G$1463)+COUNTIF($G$4:$G1176,$G1176)-1))</f>
        <v/>
      </c>
      <c r="AA1176" s="15" t="str">
        <f>IF($C1176="","",IF($N1176="","",RANK($N1176,$N$4:$N$1463)+COUNTIF($N$4:$N1176,$N1176)-1))</f>
        <v/>
      </c>
      <c r="AB1176" s="41" t="str">
        <f>IF($C1176="","",IF($E1176="","",$E1176&amp;"#"&amp;(COUNTIFS($E$4:$E$1463,$E1176,$X$4:$X$1463,"&gt;"&amp;$X1176)+COUNTIFS($E$4:$E1176,$E1176,$X$4:$X1176,"="&amp;$X1176))))</f>
        <v/>
      </c>
      <c r="AC1176" s="41" t="str">
        <f>IF($C1176="","",$B1176&amp;"@"&amp;(COUNTIFS($B$4:$B$1463,$B1176,$C$4:$C$1463,"&lt;"&amp;$C1176)+COUNTIFS($B$4:$B1176,$B1176,$C$4:$C1176,$C1176)))</f>
        <v>SUB ROSA@82</v>
      </c>
      <c r="AD1176" s="41">
        <f t="shared" si="94"/>
        <v>1173</v>
      </c>
      <c r="AE1176" s="41"/>
      <c r="AF1176" s="41">
        <f t="shared" si="95"/>
        <v>-1</v>
      </c>
      <c r="AG1176" s="41">
        <f t="shared" si="96"/>
        <v>-1</v>
      </c>
      <c r="AH1176" s="41" t="str">
        <f>IF($C1176="","",$B1176&amp;"|"&amp;(COUNTIFS($B$4:$B$1463,$B1176,$AF$4:$AF$1463,"&gt;"&amp;$AF1176)+COUNTIFS($B$4:$B1176,$B1176,$AF$4:$AF1176,"="&amp;$AF1176)))</f>
        <v>SUB ROSA|88</v>
      </c>
      <c r="AI1176" s="41" t="str">
        <f>IF($C1176="","",$B1176&amp;"|"&amp;(COUNTIFS($B$4:$B$1463,$B1176,$AG$4:$AG$1463,"&gt;"&amp;$AG1176)+COUNTIFS($B$4:$B1176,$B1176,$AG$4:$AG1176,"="&amp;$AG1176)))</f>
        <v>SUB ROSA|88</v>
      </c>
    </row>
    <row r="1177" spans="1:35" hidden="1">
      <c r="A1177" s="69" t="s">
        <v>109</v>
      </c>
      <c r="B1177" s="69" t="s">
        <v>118</v>
      </c>
      <c r="C1177" s="63" t="s">
        <v>2524</v>
      </c>
      <c r="D1177" s="69"/>
      <c r="E1177" s="68" t="s">
        <v>74</v>
      </c>
      <c r="F1177" s="19" t="str">
        <f>IF($C1177="","",IF($E1177="","-",IFERROR(INDEX(SETUP!$B$55:$B$64,MATCH($E1177,SETUP!$A$55:$A$64,0)),"Other")))</f>
        <v>Ranged DPS</v>
      </c>
      <c r="G1177" s="70">
        <v>60824</v>
      </c>
      <c r="H1177" s="19" t="str">
        <f>IF($C1177="","",IF($G1177="","-",INDEX(SETUP!$B$26:$B$32,MATCH($G1177,SETUP!$A$26:$A$32,1))))</f>
        <v>60,000 - 60,999</v>
      </c>
      <c r="I1177" s="70">
        <v>760</v>
      </c>
      <c r="J1177" s="19" t="str">
        <f>IF($C1177="","",IF($I1177="","-",INDEX(SETUP!$B$16:$B$22,MATCH($I1177,SETUP!$A$16:$A$22,1))))</f>
        <v>ROOKIE</v>
      </c>
      <c r="K1177" s="19" t="str">
        <f>IF($C1177="","",IF($I1177="","-",TEXT(INT($I1177/1000)*1000,"#,##0")&amp;" - "&amp;TEXT(INT($I1177/1000)*1000+999,"#,##0")))</f>
        <v>0 - 999</v>
      </c>
      <c r="L1177" s="71">
        <v>2.8</v>
      </c>
      <c r="M1177" s="19" t="str">
        <f>IF($C1177="","",IF($L1177="","-",INDEX(SETUP!$B$36:$B$42,MATCH($L1177,SETUP!$A$36:$A$42,1))))</f>
        <v>Under 3k</v>
      </c>
      <c r="N1177" s="21">
        <f>IF($C1177="","",IF(OR($G1177="",$I1177=""),"",ROUND(100*(SETUP!$B$4*MIN(1,$I1177/SETUP!$B$9)+SETUP!$B$5*MAX(0,MIN(1,($G1177-SETUP!$B$10)/(SETUP!$B$11-SETUP!$B$10)))+SETUP!$B$6*MIN(1,IF($L1177="",0,$L1177)/SETUP!$B$12)),1)))</f>
        <v>23.3</v>
      </c>
      <c r="O1177" s="19" t="str">
        <f>IF($C1177="","",IF($N1177="","-",INDEX(SETUP!$B$46:$B$51,MATCH($N1177,SETUP!$A$46:$A$51,1))))</f>
        <v>C</v>
      </c>
      <c r="P1177" s="19">
        <f>IF($C1177="","",IF($I1177="","",RANK($I1177,$I$4:$I$1463)+COUNTIF($I$4:$I1177,$I1177)-1))</f>
        <v>1298</v>
      </c>
      <c r="Q1177" s="19">
        <f>IF($C1177="","",COUNTIFS($B$4:$B$1463,$B1177,$X$4:$X$1463,"&gt;"&amp;$X1177)+COUNTIFS($B$4:$B1177,$B1177,$X$4:$X1177,"="&amp;$X1177))</f>
        <v>90</v>
      </c>
      <c r="R1177" s="75">
        <f>IF($C1177="","",IF($I1177="","",ROUND(COUNTIF($I$4:$I$1463,"&lt;"&amp;$I1177)/COUNT($I$4:$I$1463),3)))</f>
        <v>0.02</v>
      </c>
      <c r="S1177" s="19" t="str">
        <f>IF($C1177="","",IF($G1177="","Name only",IF(OR($I1177="",$L1177=""),"Partial","Complete")))</f>
        <v>Complete</v>
      </c>
      <c r="T1177" s="1" t="str">
        <f>IF($C1177="","",TRIM(IF(COUNTIF($C$4:$C$1463,$C1177)&gt;1,"Dup name; ","")&amp;IF(AND($G1177&lt;&gt;"",$G1177&lt;55000),"Low CR - verify; ","")&amp;IF(AND($L1177&lt;&gt;"",$L1177&gt;15),"Secondary - verify; ","")&amp;IF($E1177="","No class; ","")))</f>
        <v/>
      </c>
      <c r="U1177" s="68"/>
      <c r="V1177" s="68"/>
      <c r="W1177" s="68"/>
      <c r="X1177" s="76">
        <f t="shared" si="92"/>
        <v>760</v>
      </c>
      <c r="Y1177" s="1" t="str">
        <f t="shared" si="93"/>
        <v>ZOMBIES|90</v>
      </c>
      <c r="Z1177" s="19">
        <f>IF($C1177="","",IF($G1177="","",RANK($G1177,$G$4:$G$1463)+COUNTIF($G$4:$G1177,$G1177)-1))</f>
        <v>1168</v>
      </c>
      <c r="AA1177" s="19">
        <f>IF($C1177="","",IF($N1177="","",RANK($N1177,$N$4:$N$1463)+COUNTIF($N$4:$N1177,$N1177)-1))</f>
        <v>1267</v>
      </c>
      <c r="AB1177" s="1" t="str">
        <f>IF($C1177="","",IF($E1177="","",$E1177&amp;"#"&amp;(COUNTIFS($E$4:$E$1463,$E1177,$X$4:$X$1463,"&gt;"&amp;$X1177)+COUNTIFS($E$4:$E1177,$E1177,$X$4:$X1177,"="&amp;$X1177))))</f>
        <v>DEMON HUNTER#186</v>
      </c>
      <c r="AC1177" s="1" t="str">
        <f>IF($C1177="","",$B1177&amp;"@"&amp;(COUNTIFS($B$4:$B$1463,$B1177,$C$4:$C$1463,"&lt;"&amp;$C1177)+COUNTIFS($B$4:$B1177,$B1177,$C$4:$C1177,$C1177)))</f>
        <v>ZOMBIES@84</v>
      </c>
      <c r="AD1177" s="1">
        <f t="shared" si="94"/>
        <v>1174</v>
      </c>
      <c r="AE1177" s="1" t="s">
        <v>1458</v>
      </c>
      <c r="AF1177" s="76">
        <f t="shared" si="95"/>
        <v>60824</v>
      </c>
      <c r="AG1177" s="77">
        <f t="shared" si="96"/>
        <v>2.8</v>
      </c>
      <c r="AH1177" s="1" t="str">
        <f>IF($C1177="","",$B1177&amp;"|"&amp;(COUNTIFS($B$4:$B$1463,$B1177,$AF$4:$AF$1463,"&gt;"&amp;$AF1177)+COUNTIFS($B$4:$B1177,$B1177,$AF$4:$AF1177,"="&amp;$AF1177)))</f>
        <v>ZOMBIES|63</v>
      </c>
      <c r="AI1177" s="1" t="str">
        <f>IF($C1177="","",$B1177&amp;"|"&amp;(COUNTIFS($B$4:$B$1463,$B1177,$AG$4:$AG$1463,"&gt;"&amp;$AG1177)+COUNTIFS($B$4:$B1177,$B1177,$AG$4:$AG1177,"="&amp;$AG1177)))</f>
        <v>ZOMBIES|83</v>
      </c>
    </row>
    <row r="1178" spans="1:35" hidden="1">
      <c r="A1178" s="69" t="s">
        <v>106</v>
      </c>
      <c r="B1178" s="69" t="s">
        <v>86</v>
      </c>
      <c r="C1178" s="63" t="s">
        <v>2525</v>
      </c>
      <c r="D1178" s="69"/>
      <c r="E1178" s="68" t="s">
        <v>74</v>
      </c>
      <c r="F1178" s="15" t="str">
        <f>IF($C1178="","",IF($E1178="","-",IFERROR(INDEX(SETUP!$B$55:$B$64,MATCH($E1178,SETUP!$A$55:$A$64,0)),"Other")))</f>
        <v>Ranged DPS</v>
      </c>
      <c r="G1178" s="70">
        <v>63168</v>
      </c>
      <c r="H1178" s="15" t="str">
        <f>IF($C1178="","",IF($G1178="","-",INDEX(SETUP!$B$26:$B$32,MATCH($G1178,SETUP!$A$26:$A$32,1))))</f>
        <v>63,000 - 63,999</v>
      </c>
      <c r="I1178" s="70">
        <v>3803</v>
      </c>
      <c r="J1178" s="15" t="str">
        <f>IF($C1178="","",IF($I1178="","-",INDEX(SETUP!$B$16:$B$22,MATCH($I1178,SETUP!$A$16:$A$22,1))))</f>
        <v>DEVELOPING</v>
      </c>
      <c r="K1178" s="15" t="str">
        <f>IF($C1178="","",IF($I1178="","-",TEXT(INT($I1178/1000)*1000,"#,##0")&amp;" - "&amp;TEXT(INT($I1178/1000)*1000+999,"#,##0")))</f>
        <v>3,000 - 3,999</v>
      </c>
      <c r="L1178" s="71">
        <v>4.5</v>
      </c>
      <c r="M1178" s="15" t="str">
        <f>IF($C1178="","",IF($L1178="","-",INDEX(SETUP!$B$36:$B$42,MATCH($L1178,SETUP!$A$36:$A$42,1))))</f>
        <v>4k - 5k</v>
      </c>
      <c r="N1178" s="17">
        <f>IF($C1178="","",IF(OR($G1178="",$I1178=""),"",ROUND(100*(SETUP!$B$4*MIN(1,$I1178/SETUP!$B$9)+SETUP!$B$5*MAX(0,MIN(1,($G1178-SETUP!$B$10)/(SETUP!$B$11-SETUP!$B$10)))+SETUP!$B$6*MIN(1,IF($L1178="",0,$L1178)/SETUP!$B$12)),1)))</f>
        <v>45.6</v>
      </c>
      <c r="O1178" s="15" t="str">
        <f>IF($C1178="","",IF($N1178="","-",INDEX(SETUP!$B$46:$B$51,MATCH($N1178,SETUP!$A$46:$A$51,1))))</f>
        <v>B</v>
      </c>
      <c r="P1178" s="15">
        <f>IF($C1178="","",IF($I1178="","",RANK($I1178,$I$4:$I$1463)+COUNTIF($I$4:$I1178,$I1178)-1))</f>
        <v>647</v>
      </c>
      <c r="Q1178" s="15">
        <f>IF($C1178="","",COUNTIFS($B$4:$B$1463,$B1178,$X$4:$X$1463,"&gt;"&amp;$X1178)+COUNTIFS($B$4:$B1178,$B1178,$X$4:$X1178,"="&amp;$X1178))</f>
        <v>81</v>
      </c>
      <c r="R1178" s="72">
        <f>IF($C1178="","",IF($I1178="","",ROUND(COUNTIF($I$4:$I$1463,"&lt;"&amp;$I1178)/COUNT($I$4:$I$1463),3)))</f>
        <v>0.51200000000000001</v>
      </c>
      <c r="S1178" s="15" t="str">
        <f>IF($C1178="","",IF($G1178="","Name only",IF(OR($I1178="",$L1178=""),"Partial","Complete")))</f>
        <v>Complete</v>
      </c>
      <c r="T1178" s="41" t="str">
        <f>IF($C1178="","",TRIM(IF(COUNTIF($C$4:$C$1463,$C1178)&gt;1,"Dup name; ","")&amp;IF(AND($G1178&lt;&gt;"",$G1178&lt;55000),"Low CR - verify; ","")&amp;IF(AND($L1178&lt;&gt;"",$L1178&gt;15),"Secondary - verify; ","")&amp;IF($E1178="","No class; ","")))</f>
        <v/>
      </c>
      <c r="U1178" s="68"/>
      <c r="V1178" s="68"/>
      <c r="W1178" s="68"/>
      <c r="X1178" s="73">
        <f t="shared" si="92"/>
        <v>3803</v>
      </c>
      <c r="Y1178" s="41" t="str">
        <f t="shared" si="93"/>
        <v>VANGUARD|81</v>
      </c>
      <c r="Z1178" s="15">
        <f>IF($C1178="","",IF($G1178="","",RANK($G1178,$G$4:$G$1463)+COUNTIF($G$4:$G1178,$G1178)-1))</f>
        <v>335</v>
      </c>
      <c r="AA1178" s="15">
        <f>IF($C1178="","",IF($N1178="","",RANK($N1178,$N$4:$N$1463)+COUNTIF($N$4:$N1178,$N1178)-1))</f>
        <v>603</v>
      </c>
      <c r="AB1178" s="41" t="str">
        <f>IF($C1178="","",IF($E1178="","",$E1178&amp;"#"&amp;(COUNTIFS($E$4:$E$1463,$E1178,$X$4:$X$1463,"&gt;"&amp;$X1178)+COUNTIFS($E$4:$E1178,$E1178,$X$4:$X1178,"="&amp;$X1178))))</f>
        <v>DEMON HUNTER#106</v>
      </c>
      <c r="AC1178" s="41" t="str">
        <f>IF($C1178="","",$B1178&amp;"@"&amp;(COUNTIFS($B$4:$B$1463,$B1178,$C$4:$C$1463,"&lt;"&amp;$C1178)+COUNTIFS($B$4:$B1178,$B1178,$C$4:$C1178,$C1178)))</f>
        <v>VANGUARD@87</v>
      </c>
      <c r="AD1178" s="41">
        <f t="shared" si="94"/>
        <v>1175</v>
      </c>
      <c r="AE1178" s="41" t="s">
        <v>630</v>
      </c>
      <c r="AF1178" s="73">
        <f t="shared" si="95"/>
        <v>63168</v>
      </c>
      <c r="AG1178" s="74">
        <f t="shared" si="96"/>
        <v>4.5</v>
      </c>
      <c r="AH1178" s="41" t="str">
        <f>IF($C1178="","",$B1178&amp;"|"&amp;(COUNTIFS($B$4:$B$1463,$B1178,$AF$4:$AF$1463,"&gt;"&amp;$AF1178)+COUNTIFS($B$4:$B1178,$B1178,$AF$4:$AF1178,"="&amp;$AF1178)))</f>
        <v>VANGUARD|53</v>
      </c>
      <c r="AI1178" s="41" t="str">
        <f>IF($C1178="","",$B1178&amp;"|"&amp;(COUNTIFS($B$4:$B$1463,$B1178,$AG$4:$AG$1463,"&gt;"&amp;$AG1178)+COUNTIFS($B$4:$B1178,$B1178,$AG$4:$AG1178,"="&amp;$AG1178)))</f>
        <v>VANGUARD|80</v>
      </c>
    </row>
    <row r="1179" spans="1:35" hidden="1">
      <c r="A1179" s="69" t="s">
        <v>106</v>
      </c>
      <c r="B1179" s="69" t="s">
        <v>86</v>
      </c>
      <c r="C1179" s="63" t="s">
        <v>2526</v>
      </c>
      <c r="D1179" s="69"/>
      <c r="E1179" s="68" t="s">
        <v>78</v>
      </c>
      <c r="F1179" s="19" t="str">
        <f>IF($C1179="","",IF($E1179="","-",IFERROR(INDEX(SETUP!$B$55:$B$64,MATCH($E1179,SETUP!$A$55:$A$64,0)),"Other")))</f>
        <v>Melee DPS</v>
      </c>
      <c r="G1179" s="70">
        <v>64003</v>
      </c>
      <c r="H1179" s="19" t="str">
        <f>IF($C1179="","",IF($G1179="","-",INDEX(SETUP!$B$26:$B$32,MATCH($G1179,SETUP!$A$26:$A$32,1))))</f>
        <v>64,000 +</v>
      </c>
      <c r="I1179" s="70">
        <v>8068</v>
      </c>
      <c r="J1179" s="19" t="str">
        <f>IF($C1179="","",IF($I1179="","-",INDEX(SETUP!$B$16:$B$22,MATCH($I1179,SETUP!$A$16:$A$22,1))))</f>
        <v>ELITE</v>
      </c>
      <c r="K1179" s="19" t="str">
        <f>IF($C1179="","",IF($I1179="","-",TEXT(INT($I1179/1000)*1000,"#,##0")&amp;" - "&amp;TEXT(INT($I1179/1000)*1000+999,"#,##0")))</f>
        <v>8,000 - 8,999</v>
      </c>
      <c r="L1179" s="71">
        <v>5.55</v>
      </c>
      <c r="M1179" s="19" t="str">
        <f>IF($C1179="","",IF($L1179="","-",INDEX(SETUP!$B$36:$B$42,MATCH($L1179,SETUP!$A$36:$A$42,1))))</f>
        <v>5k - 6k</v>
      </c>
      <c r="N1179" s="21">
        <f>IF($C1179="","",IF(OR($G1179="",$I1179=""),"",ROUND(100*(SETUP!$B$4*MIN(1,$I1179/SETUP!$B$9)+SETUP!$B$5*MAX(0,MIN(1,($G1179-SETUP!$B$10)/(SETUP!$B$11-SETUP!$B$10)))+SETUP!$B$6*MIN(1,IF($L1179="",0,$L1179)/SETUP!$B$12)),1)))</f>
        <v>68.2</v>
      </c>
      <c r="O1179" s="19" t="str">
        <f>IF($C1179="","",IF($N1179="","-",INDEX(SETUP!$B$46:$B$51,MATCH($N1179,SETUP!$A$46:$A$51,1))))</f>
        <v>S</v>
      </c>
      <c r="P1179" s="19">
        <f>IF($C1179="","",IF($I1179="","",RANK($I1179,$I$4:$I$1463)+COUNTIF($I$4:$I1179,$I1179)-1))</f>
        <v>144</v>
      </c>
      <c r="Q1179" s="19">
        <f>IF($C1179="","",COUNTIFS($B$4:$B$1463,$B1179,$X$4:$X$1463,"&gt;"&amp;$X1179)+COUNTIFS($B$4:$B1179,$B1179,$X$4:$X1179,"="&amp;$X1179))</f>
        <v>32</v>
      </c>
      <c r="R1179" s="75">
        <f>IF($C1179="","",IF($I1179="","",ROUND(COUNTIF($I$4:$I$1463,"&lt;"&amp;$I1179)/COUNT($I$4:$I$1463),3)))</f>
        <v>0.89100000000000001</v>
      </c>
      <c r="S1179" s="19" t="str">
        <f>IF($C1179="","",IF($G1179="","Name only",IF(OR($I1179="",$L1179=""),"Partial","Complete")))</f>
        <v>Complete</v>
      </c>
      <c r="T1179" s="1" t="str">
        <f>IF($C1179="","",TRIM(IF(COUNTIF($C$4:$C$1463,$C1179)&gt;1,"Dup name; ","")&amp;IF(AND($G1179&lt;&gt;"",$G1179&lt;55000),"Low CR - verify; ","")&amp;IF(AND($L1179&lt;&gt;"",$L1179&gt;15),"Secondary - verify; ","")&amp;IF($E1179="","No class; ","")))</f>
        <v/>
      </c>
      <c r="U1179" s="68"/>
      <c r="V1179" s="68"/>
      <c r="W1179" s="68"/>
      <c r="X1179" s="76">
        <f t="shared" si="92"/>
        <v>8068</v>
      </c>
      <c r="Y1179" s="1" t="str">
        <f t="shared" si="93"/>
        <v>VANGUARD|32</v>
      </c>
      <c r="Z1179" s="19">
        <f>IF($C1179="","",IF($G1179="","",RANK($G1179,$G$4:$G$1463)+COUNTIF($G$4:$G1179,$G1179)-1))</f>
        <v>73</v>
      </c>
      <c r="AA1179" s="19">
        <f>IF($C1179="","",IF($N1179="","",RANK($N1179,$N$4:$N$1463)+COUNTIF($N$4:$N1179,$N1179)-1))</f>
        <v>145</v>
      </c>
      <c r="AB1179" s="1" t="str">
        <f>IF($C1179="","",IF($E1179="","",$E1179&amp;"#"&amp;(COUNTIFS($E$4:$E$1463,$E1179,$X$4:$X$1463,"&gt;"&amp;$X1179)+COUNTIFS($E$4:$E1179,$E1179,$X$4:$X1179,"="&amp;$X1179))))</f>
        <v>TEMPEST#4</v>
      </c>
      <c r="AC1179" s="1" t="str">
        <f>IF($C1179="","",$B1179&amp;"@"&amp;(COUNTIFS($B$4:$B$1463,$B1179,$C$4:$C$1463,"&lt;"&amp;$C1179)+COUNTIFS($B$4:$B1179,$B1179,$C$4:$C1179,$C1179)))</f>
        <v>VANGUARD@88</v>
      </c>
      <c r="AD1179" s="1">
        <f t="shared" si="94"/>
        <v>1176</v>
      </c>
      <c r="AE1179" s="1" t="s">
        <v>2527</v>
      </c>
      <c r="AF1179" s="76">
        <f t="shared" si="95"/>
        <v>64003</v>
      </c>
      <c r="AG1179" s="77">
        <f t="shared" si="96"/>
        <v>5.55</v>
      </c>
      <c r="AH1179" s="1" t="str">
        <f>IF($C1179="","",$B1179&amp;"|"&amp;(COUNTIFS($B$4:$B$1463,$B1179,$AF$4:$AF$1463,"&gt;"&amp;$AF1179)+COUNTIFS($B$4:$B1179,$B1179,$AF$4:$AF1179,"="&amp;$AF1179)))</f>
        <v>VANGUARD|18</v>
      </c>
      <c r="AI1179" s="1" t="str">
        <f>IF($C1179="","",$B1179&amp;"|"&amp;(COUNTIFS($B$4:$B$1463,$B1179,$AG$4:$AG$1463,"&gt;"&amp;$AG1179)+COUNTIFS($B$4:$B1179,$B1179,$AG$4:$AG1179,"="&amp;$AG1179)))</f>
        <v>VANGUARD|53</v>
      </c>
    </row>
    <row r="1180" spans="1:35" hidden="1">
      <c r="A1180" s="69" t="s">
        <v>109</v>
      </c>
      <c r="B1180" s="69" t="s">
        <v>110</v>
      </c>
      <c r="C1180" s="63" t="s">
        <v>2528</v>
      </c>
      <c r="D1180" s="69"/>
      <c r="E1180" s="68" t="s">
        <v>72</v>
      </c>
      <c r="F1180" s="15" t="str">
        <f>IF($C1180="","",IF($E1180="","-",IFERROR(INDEX(SETUP!$B$55:$B$64,MATCH($E1180,SETUP!$A$55:$A$64,0)),"Other")))</f>
        <v>Frontline</v>
      </c>
      <c r="G1180" s="70">
        <v>63658</v>
      </c>
      <c r="H1180" s="15" t="str">
        <f>IF($C1180="","",IF($G1180="","-",INDEX(SETUP!$B$26:$B$32,MATCH($G1180,SETUP!$A$26:$A$32,1))))</f>
        <v>63,000 - 63,999</v>
      </c>
      <c r="I1180" s="70">
        <v>6637</v>
      </c>
      <c r="J1180" s="15" t="str">
        <f>IF($C1180="","",IF($I1180="","-",INDEX(SETUP!$B$16:$B$22,MATCH($I1180,SETUP!$A$16:$A$22,1))))</f>
        <v>VETERAN</v>
      </c>
      <c r="K1180" s="15" t="str">
        <f>IF($C1180="","",IF($I1180="","-",TEXT(INT($I1180/1000)*1000,"#,##0")&amp;" - "&amp;TEXT(INT($I1180/1000)*1000+999,"#,##0")))</f>
        <v>6,000 - 6,999</v>
      </c>
      <c r="L1180" s="71">
        <v>6</v>
      </c>
      <c r="M1180" s="15" t="str">
        <f>IF($C1180="","",IF($L1180="","-",INDEX(SETUP!$B$36:$B$42,MATCH($L1180,SETUP!$A$36:$A$42,1))))</f>
        <v>6k - 8k</v>
      </c>
      <c r="N1180" s="17">
        <f>IF($C1180="","",IF(OR($G1180="",$I1180=""),"",ROUND(100*(SETUP!$B$4*MIN(1,$I1180/SETUP!$B$9)+SETUP!$B$5*MAX(0,MIN(1,($G1180-SETUP!$B$10)/(SETUP!$B$11-SETUP!$B$10)))+SETUP!$B$6*MIN(1,IF($L1180="",0,$L1180)/SETUP!$B$12)),1)))</f>
        <v>61.8</v>
      </c>
      <c r="O1180" s="15" t="str">
        <f>IF($C1180="","",IF($N1180="","-",INDEX(SETUP!$B$46:$B$51,MATCH($N1180,SETUP!$A$46:$A$51,1))))</f>
        <v>A</v>
      </c>
      <c r="P1180" s="15">
        <f>IF($C1180="","",IF($I1180="","",RANK($I1180,$I$4:$I$1463)+COUNTIF($I$4:$I1180,$I1180)-1))</f>
        <v>242</v>
      </c>
      <c r="Q1180" s="15">
        <f>IF($C1180="","",COUNTIFS($B$4:$B$1463,$B1180,$X$4:$X$1463,"&gt;"&amp;$X1180)+COUNTIFS($B$4:$B1180,$B1180,$X$4:$X1180,"="&amp;$X1180))</f>
        <v>33</v>
      </c>
      <c r="R1180" s="72">
        <f>IF($C1180="","",IF($I1180="","",ROUND(COUNTIF($I$4:$I$1463,"&lt;"&amp;$I1180)/COUNT($I$4:$I$1463),3)))</f>
        <v>0.81699999999999995</v>
      </c>
      <c r="S1180" s="15" t="str">
        <f>IF($C1180="","",IF($G1180="","Name only",IF(OR($I1180="",$L1180=""),"Partial","Complete")))</f>
        <v>Complete</v>
      </c>
      <c r="T1180" s="41" t="str">
        <f>IF($C1180="","",TRIM(IF(COUNTIF($C$4:$C$1463,$C1180)&gt;1,"Dup name; ","")&amp;IF(AND($G1180&lt;&gt;"",$G1180&lt;55000),"Low CR - verify; ","")&amp;IF(AND($L1180&lt;&gt;"",$L1180&gt;15),"Secondary - verify; ","")&amp;IF($E1180="","No class; ","")))</f>
        <v/>
      </c>
      <c r="U1180" s="68"/>
      <c r="V1180" s="68"/>
      <c r="W1180" s="68"/>
      <c r="X1180" s="73">
        <f t="shared" si="92"/>
        <v>6637</v>
      </c>
      <c r="Y1180" s="41" t="str">
        <f t="shared" si="93"/>
        <v>AZUKI|33</v>
      </c>
      <c r="Z1180" s="15">
        <f>IF($C1180="","",IF($G1180="","",RANK($G1180,$G$4:$G$1463)+COUNTIF($G$4:$G1180,$G1180)-1))</f>
        <v>146</v>
      </c>
      <c r="AA1180" s="15">
        <f>IF($C1180="","",IF($N1180="","",RANK($N1180,$N$4:$N$1463)+COUNTIF($N$4:$N1180,$N1180)-1))</f>
        <v>217</v>
      </c>
      <c r="AB1180" s="41" t="str">
        <f>IF($C1180="","",IF($E1180="","",$E1180&amp;"#"&amp;(COUNTIFS($E$4:$E$1463,$E1180,$X$4:$X$1463,"&gt;"&amp;$X1180)+COUNTIFS($E$4:$E1180,$E1180,$X$4:$X1180,"="&amp;$X1180))))</f>
        <v>BLOOD KNIGHT#14</v>
      </c>
      <c r="AC1180" s="41" t="str">
        <f>IF($C1180="","",$B1180&amp;"@"&amp;(COUNTIFS($B$4:$B$1463,$B1180,$C$4:$C$1463,"&lt;"&amp;$C1180)+COUNTIFS($B$4:$B1180,$B1180,$C$4:$C1180,$C1180)))</f>
        <v>AZUKI@90</v>
      </c>
      <c r="AD1180" s="41">
        <f t="shared" si="94"/>
        <v>1177</v>
      </c>
      <c r="AE1180" s="41" t="s">
        <v>2529</v>
      </c>
      <c r="AF1180" s="73">
        <f t="shared" si="95"/>
        <v>63658</v>
      </c>
      <c r="AG1180" s="74">
        <f t="shared" si="96"/>
        <v>6</v>
      </c>
      <c r="AH1180" s="41" t="str">
        <f>IF($C1180="","",$B1180&amp;"|"&amp;(COUNTIFS($B$4:$B$1463,$B1180,$AF$4:$AF$1463,"&gt;"&amp;$AF1180)+COUNTIFS($B$4:$B1180,$B1180,$AF$4:$AF1180,"="&amp;$AF1180)))</f>
        <v>AZUKI|23</v>
      </c>
      <c r="AI1180" s="41" t="str">
        <f>IF($C1180="","",$B1180&amp;"|"&amp;(COUNTIFS($B$4:$B$1463,$B1180,$AG$4:$AG$1463,"&gt;"&amp;$AG1180)+COUNTIFS($B$4:$B1180,$B1180,$AG$4:$AG1180,"="&amp;$AG1180)))</f>
        <v>AZUKI|46</v>
      </c>
    </row>
    <row r="1181" spans="1:35" hidden="1">
      <c r="A1181" s="69" t="s">
        <v>109</v>
      </c>
      <c r="B1181" s="69" t="s">
        <v>114</v>
      </c>
      <c r="C1181" s="63" t="s">
        <v>2530</v>
      </c>
      <c r="D1181" s="69"/>
      <c r="E1181" s="68" t="s">
        <v>80</v>
      </c>
      <c r="F1181" s="19" t="str">
        <f>IF($C1181="","",IF($E1181="","-",IFERROR(INDEX(SETUP!$B$55:$B$64,MATCH($E1181,SETUP!$A$55:$A$64,0)),"Other")))</f>
        <v>Ranged DPS</v>
      </c>
      <c r="G1181" s="70">
        <v>60883</v>
      </c>
      <c r="H1181" s="19" t="str">
        <f>IF($C1181="","",IF($G1181="","-",INDEX(SETUP!$B$26:$B$32,MATCH($G1181,SETUP!$A$26:$A$32,1))))</f>
        <v>60,000 - 60,999</v>
      </c>
      <c r="I1181" s="70">
        <v>1766</v>
      </c>
      <c r="J1181" s="19" t="str">
        <f>IF($C1181="","",IF($I1181="","-",INDEX(SETUP!$B$16:$B$22,MATCH($I1181,SETUP!$A$16:$A$22,1))))</f>
        <v>ROOKIE</v>
      </c>
      <c r="K1181" s="19" t="str">
        <f>IF($C1181="","",IF($I1181="","-",TEXT(INT($I1181/1000)*1000,"#,##0")&amp;" - "&amp;TEXT(INT($I1181/1000)*1000+999,"#,##0")))</f>
        <v>1,000 - 1,999</v>
      </c>
      <c r="L1181" s="71">
        <v>3.35</v>
      </c>
      <c r="M1181" s="19" t="str">
        <f>IF($C1181="","",IF($L1181="","-",INDEX(SETUP!$B$36:$B$42,MATCH($L1181,SETUP!$A$36:$A$42,1))))</f>
        <v>3k - 4k</v>
      </c>
      <c r="N1181" s="21">
        <f>IF($C1181="","",IF(OR($G1181="",$I1181=""),"",ROUND(100*(SETUP!$B$4*MIN(1,$I1181/SETUP!$B$9)+SETUP!$B$5*MAX(0,MIN(1,($G1181-SETUP!$B$10)/(SETUP!$B$11-SETUP!$B$10)))+SETUP!$B$6*MIN(1,IF($L1181="",0,$L1181)/SETUP!$B$12)),1)))</f>
        <v>28.8</v>
      </c>
      <c r="O1181" s="19" t="str">
        <f>IF($C1181="","",IF($N1181="","-",INDEX(SETUP!$B$46:$B$51,MATCH($N1181,SETUP!$A$46:$A$51,1))))</f>
        <v>C</v>
      </c>
      <c r="P1181" s="19">
        <f>IF($C1181="","",IF($I1181="","",RANK($I1181,$I$4:$I$1463)+COUNTIF($I$4:$I1181,$I1181)-1))</f>
        <v>1151</v>
      </c>
      <c r="Q1181" s="19">
        <f>IF($C1181="","",COUNTIFS($B$4:$B$1463,$B1181,$X$4:$X$1463,"&gt;"&amp;$X1181)+COUNTIFS($B$4:$B1181,$B1181,$X$4:$X1181,"="&amp;$X1181))</f>
        <v>60</v>
      </c>
      <c r="R1181" s="75">
        <f>IF($C1181="","",IF($I1181="","",ROUND(COUNTIF($I$4:$I$1463,"&lt;"&amp;$I1181)/COUNT($I$4:$I$1463),3)))</f>
        <v>0.13100000000000001</v>
      </c>
      <c r="S1181" s="19" t="str">
        <f>IF($C1181="","",IF($G1181="","Name only",IF(OR($I1181="",$L1181=""),"Partial","Complete")))</f>
        <v>Complete</v>
      </c>
      <c r="T1181" s="1" t="str">
        <f>IF($C1181="","",TRIM(IF(COUNTIF($C$4:$C$1463,$C1181)&gt;1,"Dup name; ","")&amp;IF(AND($G1181&lt;&gt;"",$G1181&lt;55000),"Low CR - verify; ","")&amp;IF(AND($L1181&lt;&gt;"",$L1181&gt;15),"Secondary - verify; ","")&amp;IF($E1181="","No class; ","")))</f>
        <v/>
      </c>
      <c r="U1181" s="68"/>
      <c r="V1181" s="68"/>
      <c r="W1181" s="68"/>
      <c r="X1181" s="76">
        <f t="shared" si="92"/>
        <v>1766</v>
      </c>
      <c r="Y1181" s="1" t="str">
        <f t="shared" si="93"/>
        <v>EMERALD LEAF TRIBE|60</v>
      </c>
      <c r="Z1181" s="19">
        <f>IF($C1181="","",IF($G1181="","",RANK($G1181,$G$4:$G$1463)+COUNTIF($G$4:$G1181,$G1181)-1))</f>
        <v>1156</v>
      </c>
      <c r="AA1181" s="19">
        <f>IF($C1181="","",IF($N1181="","",RANK($N1181,$N$4:$N$1463)+COUNTIF($N$4:$N1181,$N1181)-1))</f>
        <v>1177</v>
      </c>
      <c r="AB1181" s="1" t="str">
        <f>IF($C1181="","",IF($E1181="","",$E1181&amp;"#"&amp;(COUNTIFS($E$4:$E$1463,$E1181,$X$4:$X$1463,"&gt;"&amp;$X1181)+COUNTIFS($E$4:$E1181,$E1181,$X$4:$X1181,"="&amp;$X1181))))</f>
        <v>WIZARD#81</v>
      </c>
      <c r="AC1181" s="1" t="str">
        <f>IF($C1181="","",$B1181&amp;"@"&amp;(COUNTIFS($B$4:$B$1463,$B1181,$C$4:$C$1463,"&lt;"&amp;$C1181)+COUNTIFS($B$4:$B1181,$B1181,$C$4:$C1181,$C1181)))</f>
        <v>EMERALD LEAF TRIBE@86</v>
      </c>
      <c r="AD1181" s="1">
        <f t="shared" si="94"/>
        <v>1178</v>
      </c>
      <c r="AE1181" s="1" t="s">
        <v>2531</v>
      </c>
      <c r="AF1181" s="76">
        <f t="shared" si="95"/>
        <v>60883</v>
      </c>
      <c r="AG1181" s="77">
        <f t="shared" si="96"/>
        <v>3.35</v>
      </c>
      <c r="AH1181" s="1" t="str">
        <f>IF($C1181="","",$B1181&amp;"|"&amp;(COUNTIFS($B$4:$B$1463,$B1181,$AF$4:$AF$1463,"&gt;"&amp;$AF1181)+COUNTIFS($B$4:$B1181,$B1181,$AF$4:$AF1181,"="&amp;$AF1181)))</f>
        <v>EMERALD LEAF TRIBE|61</v>
      </c>
      <c r="AI1181" s="1" t="str">
        <f>IF($C1181="","",$B1181&amp;"|"&amp;(COUNTIFS($B$4:$B$1463,$B1181,$AG$4:$AG$1463,"&gt;"&amp;$AG1181)+COUNTIFS($B$4:$B1181,$B1181,$AG$4:$AG1181,"="&amp;$AG1181)))</f>
        <v>EMERALD LEAF TRIBE|62</v>
      </c>
    </row>
    <row r="1182" spans="1:35" hidden="1">
      <c r="A1182" s="69" t="s">
        <v>109</v>
      </c>
      <c r="B1182" s="69" t="s">
        <v>112</v>
      </c>
      <c r="C1182" s="63" t="s">
        <v>2532</v>
      </c>
      <c r="D1182" s="69" t="s">
        <v>567</v>
      </c>
      <c r="E1182" s="68" t="s">
        <v>73</v>
      </c>
      <c r="F1182" s="15" t="str">
        <f>IF($C1182="","",IF($E1182="","-",IFERROR(INDEX(SETUP!$B$55:$B$64,MATCH($E1182,SETUP!$A$55:$A$64,0)),"Other")))</f>
        <v>Frontline</v>
      </c>
      <c r="G1182" s="70">
        <v>63314</v>
      </c>
      <c r="H1182" s="15" t="str">
        <f>IF($C1182="","",IF($G1182="","-",INDEX(SETUP!$B$26:$B$32,MATCH($G1182,SETUP!$A$26:$A$32,1))))</f>
        <v>63,000 - 63,999</v>
      </c>
      <c r="I1182" s="70">
        <v>4375</v>
      </c>
      <c r="J1182" s="15" t="str">
        <f>IF($C1182="","",IF($I1182="","-",INDEX(SETUP!$B$16:$B$22,MATCH($I1182,SETUP!$A$16:$A$22,1))))</f>
        <v>CORE</v>
      </c>
      <c r="K1182" s="15" t="str">
        <f>IF($C1182="","",IF($I1182="","-",TEXT(INT($I1182/1000)*1000,"#,##0")&amp;" - "&amp;TEXT(INT($I1182/1000)*1000+999,"#,##0")))</f>
        <v>4,000 - 4,999</v>
      </c>
      <c r="L1182" s="71">
        <v>5.8</v>
      </c>
      <c r="M1182" s="15" t="str">
        <f>IF($C1182="","",IF($L1182="","-",INDEX(SETUP!$B$36:$B$42,MATCH($L1182,SETUP!$A$36:$A$42,1))))</f>
        <v>5k - 6k</v>
      </c>
      <c r="N1182" s="17">
        <f>IF($C1182="","",IF(OR($G1182="",$I1182=""),"",ROUND(100*(SETUP!$B$4*MIN(1,$I1182/SETUP!$B$9)+SETUP!$B$5*MAX(0,MIN(1,($G1182-SETUP!$B$10)/(SETUP!$B$11-SETUP!$B$10)))+SETUP!$B$6*MIN(1,IF($L1182="",0,$L1182)/SETUP!$B$12)),1)))</f>
        <v>50.6</v>
      </c>
      <c r="O1182" s="15" t="str">
        <f>IF($C1182="","",IF($N1182="","-",INDEX(SETUP!$B$46:$B$51,MATCH($N1182,SETUP!$A$46:$A$51,1))))</f>
        <v>A</v>
      </c>
      <c r="P1182" s="15">
        <f>IF($C1182="","",IF($I1182="","",RANK($I1182,$I$4:$I$1463)+COUNTIF($I$4:$I1182,$I1182)-1))</f>
        <v>519</v>
      </c>
      <c r="Q1182" s="15">
        <f>IF($C1182="","",COUNTIFS($B$4:$B$1463,$B1182,$X$4:$X$1463,"&gt;"&amp;$X1182)+COUNTIFS($B$4:$B1182,$B1182,$X$4:$X1182,"="&amp;$X1182))</f>
        <v>38</v>
      </c>
      <c r="R1182" s="72">
        <f>IF($C1182="","",IF($I1182="","",ROUND(COUNTIF($I$4:$I$1463,"&lt;"&amp;$I1182)/COUNT($I$4:$I$1463),3)))</f>
        <v>0.60799999999999998</v>
      </c>
      <c r="S1182" s="15" t="str">
        <f>IF($C1182="","",IF($G1182="","Name only",IF(OR($I1182="",$L1182=""),"Partial","Complete")))</f>
        <v>Complete</v>
      </c>
      <c r="T1182" s="41" t="str">
        <f>IF($C1182="","",TRIM(IF(COUNTIF($C$4:$C$1463,$C1182)&gt;1,"Dup name; ","")&amp;IF(AND($G1182&lt;&gt;"",$G1182&lt;55000),"Low CR - verify; ","")&amp;IF(AND($L1182&lt;&gt;"",$L1182&gt;15),"Secondary - verify; ","")&amp;IF($E1182="","No class; ","")))</f>
        <v/>
      </c>
      <c r="U1182" s="68"/>
      <c r="V1182" s="68"/>
      <c r="W1182" s="68"/>
      <c r="X1182" s="73">
        <f t="shared" si="92"/>
        <v>4375</v>
      </c>
      <c r="Y1182" s="41" t="str">
        <f t="shared" si="93"/>
        <v>ACHERON|38</v>
      </c>
      <c r="Z1182" s="15">
        <f>IF($C1182="","",IF($G1182="","",RANK($G1182,$G$4:$G$1463)+COUNTIF($G$4:$G1182,$G1182)-1))</f>
        <v>252</v>
      </c>
      <c r="AA1182" s="15">
        <f>IF($C1182="","",IF($N1182="","",RANK($N1182,$N$4:$N$1463)+COUNTIF($N$4:$N1182,$N1182)-1))</f>
        <v>442</v>
      </c>
      <c r="AB1182" s="41" t="str">
        <f>IF($C1182="","",IF($E1182="","",$E1182&amp;"#"&amp;(COUNTIFS($E$4:$E$1463,$E1182,$X$4:$X$1463,"&gt;"&amp;$X1182)+COUNTIFS($E$4:$E1182,$E1182,$X$4:$X1182,"="&amp;$X1182))))</f>
        <v>CRUSADER#61</v>
      </c>
      <c r="AC1182" s="41" t="str">
        <f>IF($C1182="","",$B1182&amp;"@"&amp;(COUNTIFS($B$4:$B$1463,$B1182,$C$4:$C$1463,"&lt;"&amp;$C1182)+COUNTIFS($B$4:$B1182,$B1182,$C$4:$C1182,$C1182)))</f>
        <v>ACHERON@80</v>
      </c>
      <c r="AD1182" s="41">
        <f t="shared" si="94"/>
        <v>1179</v>
      </c>
      <c r="AE1182" s="41" t="s">
        <v>2533</v>
      </c>
      <c r="AF1182" s="73">
        <f t="shared" si="95"/>
        <v>63314</v>
      </c>
      <c r="AG1182" s="74">
        <f t="shared" si="96"/>
        <v>5.8</v>
      </c>
      <c r="AH1182" s="41" t="str">
        <f>IF($C1182="","",$B1182&amp;"|"&amp;(COUNTIFS($B$4:$B$1463,$B1182,$AF$4:$AF$1463,"&gt;"&amp;$AF1182)+COUNTIFS($B$4:$B1182,$B1182,$AF$4:$AF1182,"="&amp;$AF1182)))</f>
        <v>ACHERON|17</v>
      </c>
      <c r="AI1182" s="41" t="str">
        <f>IF($C1182="","",$B1182&amp;"|"&amp;(COUNTIFS($B$4:$B$1463,$B1182,$AG$4:$AG$1463,"&gt;"&amp;$AG1182)+COUNTIFS($B$4:$B1182,$B1182,$AG$4:$AG1182,"="&amp;$AG1182)))</f>
        <v>ACHERON|22</v>
      </c>
    </row>
    <row r="1183" spans="1:35" hidden="1">
      <c r="A1183" s="69" t="s">
        <v>109</v>
      </c>
      <c r="B1183" s="69" t="s">
        <v>108</v>
      </c>
      <c r="C1183" s="63" t="s">
        <v>2534</v>
      </c>
      <c r="D1183" s="69"/>
      <c r="E1183" s="68" t="s">
        <v>79</v>
      </c>
      <c r="F1183" s="19" t="str">
        <f>IF($C1183="","",IF($E1183="","-",IFERROR(INDEX(SETUP!$B$55:$B$64,MATCH($E1183,SETUP!$A$55:$A$64,0)),"Other")))</f>
        <v>Control</v>
      </c>
      <c r="G1183" s="70">
        <v>62636</v>
      </c>
      <c r="H1183" s="19" t="str">
        <f>IF($C1183="","",IF($G1183="","-",INDEX(SETUP!$B$26:$B$32,MATCH($G1183,SETUP!$A$26:$A$32,1))))</f>
        <v>62,000 - 62,999</v>
      </c>
      <c r="I1183" s="70">
        <v>3936</v>
      </c>
      <c r="J1183" s="19" t="str">
        <f>IF($C1183="","",IF($I1183="","-",INDEX(SETUP!$B$16:$B$22,MATCH($I1183,SETUP!$A$16:$A$22,1))))</f>
        <v>DEVELOPING</v>
      </c>
      <c r="K1183" s="19" t="str">
        <f>IF($C1183="","",IF($I1183="","-",TEXT(INT($I1183/1000)*1000,"#,##0")&amp;" - "&amp;TEXT(INT($I1183/1000)*1000+999,"#,##0")))</f>
        <v>3,000 - 3,999</v>
      </c>
      <c r="L1183" s="71">
        <v>4.7</v>
      </c>
      <c r="M1183" s="19" t="str">
        <f>IF($C1183="","",IF($L1183="","-",INDEX(SETUP!$B$36:$B$42,MATCH($L1183,SETUP!$A$36:$A$42,1))))</f>
        <v>4k - 5k</v>
      </c>
      <c r="N1183" s="21">
        <f>IF($C1183="","",IF(OR($G1183="",$I1183=""),"",ROUND(100*(SETUP!$B$4*MIN(1,$I1183/SETUP!$B$9)+SETUP!$B$5*MAX(0,MIN(1,($G1183-SETUP!$B$10)/(SETUP!$B$11-SETUP!$B$10)))+SETUP!$B$6*MIN(1,IF($L1183="",0,$L1183)/SETUP!$B$12)),1)))</f>
        <v>45.1</v>
      </c>
      <c r="O1183" s="19" t="str">
        <f>IF($C1183="","",IF($N1183="","-",INDEX(SETUP!$B$46:$B$51,MATCH($N1183,SETUP!$A$46:$A$51,1))))</f>
        <v>B</v>
      </c>
      <c r="P1183" s="19">
        <f>IF($C1183="","",IF($I1183="","",RANK($I1183,$I$4:$I$1463)+COUNTIF($I$4:$I1183,$I1183)-1))</f>
        <v>613</v>
      </c>
      <c r="Q1183" s="19">
        <f>IF($C1183="","",COUNTIFS($B$4:$B$1463,$B1183,$X$4:$X$1463,"&gt;"&amp;$X1183)+COUNTIFS($B$4:$B1183,$B1183,$X$4:$X1183,"="&amp;$X1183))</f>
        <v>74</v>
      </c>
      <c r="R1183" s="75">
        <f>IF($C1183="","",IF($I1183="","",ROUND(COUNTIF($I$4:$I$1463,"&lt;"&amp;$I1183)/COUNT($I$4:$I$1463),3)))</f>
        <v>0.53700000000000003</v>
      </c>
      <c r="S1183" s="19" t="str">
        <f>IF($C1183="","",IF($G1183="","Name only",IF(OR($I1183="",$L1183=""),"Partial","Complete")))</f>
        <v>Complete</v>
      </c>
      <c r="T1183" s="1" t="str">
        <f>IF($C1183="","",TRIM(IF(COUNTIF($C$4:$C$1463,$C1183)&gt;1,"Dup name; ","")&amp;IF(AND($G1183&lt;&gt;"",$G1183&lt;55000),"Low CR - verify; ","")&amp;IF(AND($L1183&lt;&gt;"",$L1183&gt;15),"Secondary - verify; ","")&amp;IF($E1183="","No class; ","")))</f>
        <v/>
      </c>
      <c r="U1183" s="68"/>
      <c r="V1183" s="68"/>
      <c r="W1183" s="68"/>
      <c r="X1183" s="76">
        <f t="shared" si="92"/>
        <v>3936</v>
      </c>
      <c r="Y1183" s="1" t="str">
        <f t="shared" si="93"/>
        <v>SBG|74</v>
      </c>
      <c r="Z1183" s="19">
        <f>IF($C1183="","",IF($G1183="","",RANK($G1183,$G$4:$G$1463)+COUNTIF($G$4:$G1183,$G1183)-1))</f>
        <v>595</v>
      </c>
      <c r="AA1183" s="19">
        <f>IF($C1183="","",IF($N1183="","",RANK($N1183,$N$4:$N$1463)+COUNTIF($N$4:$N1183,$N1183)-1))</f>
        <v>621</v>
      </c>
      <c r="AB1183" s="1" t="str">
        <f>IF($C1183="","",IF($E1183="","",$E1183&amp;"#"&amp;(COUNTIFS($E$4:$E$1463,$E1183,$X$4:$X$1463,"&gt;"&amp;$X1183)+COUNTIFS($E$4:$E1183,$E1183,$X$4:$X1183,"="&amp;$X1183))))</f>
        <v>WARLOCK#143</v>
      </c>
      <c r="AC1183" s="1" t="str">
        <f>IF($C1183="","",$B1183&amp;"@"&amp;(COUNTIFS($B$4:$B$1463,$B1183,$C$4:$C$1463,"&lt;"&amp;$C1183)+COUNTIFS($B$4:$B1183,$B1183,$C$4:$C1183,$C1183)))</f>
        <v>SBG@80</v>
      </c>
      <c r="AD1183" s="1">
        <f t="shared" si="94"/>
        <v>1180</v>
      </c>
      <c r="AE1183" s="1" t="s">
        <v>2535</v>
      </c>
      <c r="AF1183" s="76">
        <f t="shared" si="95"/>
        <v>62636</v>
      </c>
      <c r="AG1183" s="77">
        <f t="shared" si="96"/>
        <v>4.7</v>
      </c>
      <c r="AH1183" s="1" t="str">
        <f>IF($C1183="","",$B1183&amp;"|"&amp;(COUNTIFS($B$4:$B$1463,$B1183,$AF$4:$AF$1463,"&gt;"&amp;$AF1183)+COUNTIFS($B$4:$B1183,$B1183,$AF$4:$AF1183,"="&amp;$AF1183)))</f>
        <v>SBG|54</v>
      </c>
      <c r="AI1183" s="1" t="str">
        <f>IF($C1183="","",$B1183&amp;"|"&amp;(COUNTIFS($B$4:$B$1463,$B1183,$AG$4:$AG$1463,"&gt;"&amp;$AG1183)+COUNTIFS($B$4:$B1183,$B1183,$AG$4:$AG1183,"="&amp;$AG1183)))</f>
        <v>SBG|82</v>
      </c>
    </row>
    <row r="1184" spans="1:35" hidden="1">
      <c r="A1184" s="69" t="s">
        <v>109</v>
      </c>
      <c r="B1184" s="69" t="s">
        <v>114</v>
      </c>
      <c r="C1184" s="63" t="s">
        <v>2536</v>
      </c>
      <c r="D1184" s="69"/>
      <c r="E1184" s="68" t="s">
        <v>80</v>
      </c>
      <c r="F1184" s="15" t="str">
        <f>IF($C1184="","",IF($E1184="","-",IFERROR(INDEX(SETUP!$B$55:$B$64,MATCH($E1184,SETUP!$A$55:$A$64,0)),"Other")))</f>
        <v>Ranged DPS</v>
      </c>
      <c r="G1184" s="70">
        <v>61647</v>
      </c>
      <c r="H1184" s="15" t="str">
        <f>IF($C1184="","",IF($G1184="","-",INDEX(SETUP!$B$26:$B$32,MATCH($G1184,SETUP!$A$26:$A$32,1))))</f>
        <v>61,000 - 61,999</v>
      </c>
      <c r="I1184" s="70">
        <v>4683</v>
      </c>
      <c r="J1184" s="15" t="str">
        <f>IF($C1184="","",IF($I1184="","-",INDEX(SETUP!$B$16:$B$22,MATCH($I1184,SETUP!$A$16:$A$22,1))))</f>
        <v>CORE</v>
      </c>
      <c r="K1184" s="15" t="str">
        <f>IF($C1184="","",IF($I1184="","-",TEXT(INT($I1184/1000)*1000,"#,##0")&amp;" - "&amp;TEXT(INT($I1184/1000)*1000+999,"#,##0")))</f>
        <v>4,000 - 4,999</v>
      </c>
      <c r="L1184" s="71">
        <v>4.93</v>
      </c>
      <c r="M1184" s="15" t="str">
        <f>IF($C1184="","",IF($L1184="","-",INDEX(SETUP!$B$36:$B$42,MATCH($L1184,SETUP!$A$36:$A$42,1))))</f>
        <v>4k - 5k</v>
      </c>
      <c r="N1184" s="17">
        <f>IF($C1184="","",IF(OR($G1184="",$I1184=""),"",ROUND(100*(SETUP!$B$4*MIN(1,$I1184/SETUP!$B$9)+SETUP!$B$5*MAX(0,MIN(1,($G1184-SETUP!$B$10)/(SETUP!$B$11-SETUP!$B$10)))+SETUP!$B$6*MIN(1,IF($L1184="",0,$L1184)/SETUP!$B$12)),1)))</f>
        <v>46.2</v>
      </c>
      <c r="O1184" s="15" t="str">
        <f>IF($C1184="","",IF($N1184="","-",INDEX(SETUP!$B$46:$B$51,MATCH($N1184,SETUP!$A$46:$A$51,1))))</f>
        <v>B</v>
      </c>
      <c r="P1184" s="15">
        <f>IF($C1184="","",IF($I1184="","",RANK($I1184,$I$4:$I$1463)+COUNTIF($I$4:$I1184,$I1184)-1))</f>
        <v>458</v>
      </c>
      <c r="Q1184" s="15">
        <f>IF($C1184="","",COUNTIFS($B$4:$B$1463,$B1184,$X$4:$X$1463,"&gt;"&amp;$X1184)+COUNTIFS($B$4:$B1184,$B1184,$X$4:$X1184,"="&amp;$X1184))</f>
        <v>4</v>
      </c>
      <c r="R1184" s="72">
        <f>IF($C1184="","",IF($I1184="","",ROUND(COUNTIF($I$4:$I$1463,"&lt;"&amp;$I1184)/COUNT($I$4:$I$1463),3)))</f>
        <v>0.65400000000000003</v>
      </c>
      <c r="S1184" s="15" t="str">
        <f>IF($C1184="","",IF($G1184="","Name only",IF(OR($I1184="",$L1184=""),"Partial","Complete")))</f>
        <v>Complete</v>
      </c>
      <c r="T1184" s="41" t="str">
        <f>IF($C1184="","",TRIM(IF(COUNTIF($C$4:$C$1463,$C1184)&gt;1,"Dup name; ","")&amp;IF(AND($G1184&lt;&gt;"",$G1184&lt;55000),"Low CR - verify; ","")&amp;IF(AND($L1184&lt;&gt;"",$L1184&gt;15),"Secondary - verify; ","")&amp;IF($E1184="","No class; ","")))</f>
        <v/>
      </c>
      <c r="U1184" s="68"/>
      <c r="V1184" s="68"/>
      <c r="W1184" s="68"/>
      <c r="X1184" s="73">
        <f t="shared" si="92"/>
        <v>4683</v>
      </c>
      <c r="Y1184" s="41" t="str">
        <f t="shared" si="93"/>
        <v>EMERALD LEAF TRIBE|4</v>
      </c>
      <c r="Z1184" s="15">
        <f>IF($C1184="","",IF($G1184="","",RANK($G1184,$G$4:$G$1463)+COUNTIF($G$4:$G1184,$G1184)-1))</f>
        <v>960</v>
      </c>
      <c r="AA1184" s="15">
        <f>IF($C1184="","",IF($N1184="","",RANK($N1184,$N$4:$N$1463)+COUNTIF($N$4:$N1184,$N1184)-1))</f>
        <v>585</v>
      </c>
      <c r="AB1184" s="41" t="str">
        <f>IF($C1184="","",IF($E1184="","",$E1184&amp;"#"&amp;(COUNTIFS($E$4:$E$1463,$E1184,$X$4:$X$1463,"&gt;"&amp;$X1184)+COUNTIFS($E$4:$E1184,$E1184,$X$4:$X1184,"="&amp;$X1184))))</f>
        <v>WIZARD#31</v>
      </c>
      <c r="AC1184" s="41" t="str">
        <f>IF($C1184="","",$B1184&amp;"@"&amp;(COUNTIFS($B$4:$B$1463,$B1184,$C$4:$C$1463,"&lt;"&amp;$C1184)+COUNTIFS($B$4:$B1184,$B1184,$C$4:$C1184,$C1184)))</f>
        <v>EMERALD LEAF TRIBE@87</v>
      </c>
      <c r="AD1184" s="41">
        <f t="shared" si="94"/>
        <v>1181</v>
      </c>
      <c r="AE1184" s="41" t="s">
        <v>2537</v>
      </c>
      <c r="AF1184" s="73">
        <f t="shared" si="95"/>
        <v>61647</v>
      </c>
      <c r="AG1184" s="74">
        <f t="shared" si="96"/>
        <v>4.93</v>
      </c>
      <c r="AH1184" s="41" t="str">
        <f>IF($C1184="","",$B1184&amp;"|"&amp;(COUNTIFS($B$4:$B$1463,$B1184,$AF$4:$AF$1463,"&gt;"&amp;$AF1184)+COUNTIFS($B$4:$B1184,$B1184,$AF$4:$AF1184,"="&amp;$AF1184)))</f>
        <v>EMERALD LEAF TRIBE|37</v>
      </c>
      <c r="AI1184" s="41" t="str">
        <f>IF($C1184="","",$B1184&amp;"|"&amp;(COUNTIFS($B$4:$B$1463,$B1184,$AG$4:$AG$1463,"&gt;"&amp;$AG1184)+COUNTIFS($B$4:$B1184,$B1184,$AG$4:$AG1184,"="&amp;$AG1184)))</f>
        <v>EMERALD LEAF TRIBE|7</v>
      </c>
    </row>
    <row r="1185" spans="1:35" hidden="1">
      <c r="A1185" s="69" t="s">
        <v>109</v>
      </c>
      <c r="B1185" s="69" t="s">
        <v>108</v>
      </c>
      <c r="C1185" s="63" t="s">
        <v>2538</v>
      </c>
      <c r="D1185" s="69"/>
      <c r="E1185" s="68" t="s">
        <v>79</v>
      </c>
      <c r="F1185" s="19" t="str">
        <f>IF($C1185="","",IF($E1185="","-",IFERROR(INDEX(SETUP!$B$55:$B$64,MATCH($E1185,SETUP!$A$55:$A$64,0)),"Other")))</f>
        <v>Control</v>
      </c>
      <c r="G1185" s="70">
        <v>62819</v>
      </c>
      <c r="H1185" s="19" t="str">
        <f>IF($C1185="","",IF($G1185="","-",INDEX(SETUP!$B$26:$B$32,MATCH($G1185,SETUP!$A$26:$A$32,1))))</f>
        <v>62,000 - 62,999</v>
      </c>
      <c r="I1185" s="70">
        <v>3956</v>
      </c>
      <c r="J1185" s="19" t="str">
        <f>IF($C1185="","",IF($I1185="","-",INDEX(SETUP!$B$16:$B$22,MATCH($I1185,SETUP!$A$16:$A$22,1))))</f>
        <v>DEVELOPING</v>
      </c>
      <c r="K1185" s="19" t="str">
        <f>IF($C1185="","",IF($I1185="","-",TEXT(INT($I1185/1000)*1000,"#,##0")&amp;" - "&amp;TEXT(INT($I1185/1000)*1000+999,"#,##0")))</f>
        <v>3,000 - 3,999</v>
      </c>
      <c r="L1185" s="71">
        <v>5.65</v>
      </c>
      <c r="M1185" s="19" t="str">
        <f>IF($C1185="","",IF($L1185="","-",INDEX(SETUP!$B$36:$B$42,MATCH($L1185,SETUP!$A$36:$A$42,1))))</f>
        <v>5k - 6k</v>
      </c>
      <c r="N1185" s="21">
        <f>IF($C1185="","",IF(OR($G1185="",$I1185=""),"",ROUND(100*(SETUP!$B$4*MIN(1,$I1185/SETUP!$B$9)+SETUP!$B$5*MAX(0,MIN(1,($G1185-SETUP!$B$10)/(SETUP!$B$11-SETUP!$B$10)))+SETUP!$B$6*MIN(1,IF($L1185="",0,$L1185)/SETUP!$B$12)),1)))</f>
        <v>47.3</v>
      </c>
      <c r="O1185" s="19" t="str">
        <f>IF($C1185="","",IF($N1185="","-",INDEX(SETUP!$B$46:$B$51,MATCH($N1185,SETUP!$A$46:$A$51,1))))</f>
        <v>B</v>
      </c>
      <c r="P1185" s="19">
        <f>IF($C1185="","",IF($I1185="","",RANK($I1185,$I$4:$I$1463)+COUNTIF($I$4:$I1185,$I1185)-1))</f>
        <v>609</v>
      </c>
      <c r="Q1185" s="19">
        <f>IF($C1185="","",COUNTIFS($B$4:$B$1463,$B1185,$X$4:$X$1463,"&gt;"&amp;$X1185)+COUNTIFS($B$4:$B1185,$B1185,$X$4:$X1185,"="&amp;$X1185))</f>
        <v>73</v>
      </c>
      <c r="R1185" s="75">
        <f>IF($C1185="","",IF($I1185="","",ROUND(COUNTIF($I$4:$I$1463,"&lt;"&amp;$I1185)/COUNT($I$4:$I$1463),3)))</f>
        <v>0.54</v>
      </c>
      <c r="S1185" s="19" t="str">
        <f>IF($C1185="","",IF($G1185="","Name only",IF(OR($I1185="",$L1185=""),"Partial","Complete")))</f>
        <v>Complete</v>
      </c>
      <c r="T1185" s="1" t="str">
        <f>IF($C1185="","",TRIM(IF(COUNTIF($C$4:$C$1463,$C1185)&gt;1,"Dup name; ","")&amp;IF(AND($G1185&lt;&gt;"",$G1185&lt;55000),"Low CR - verify; ","")&amp;IF(AND($L1185&lt;&gt;"",$L1185&gt;15),"Secondary - verify; ","")&amp;IF($E1185="","No class; ","")))</f>
        <v/>
      </c>
      <c r="U1185" s="68"/>
      <c r="V1185" s="68"/>
      <c r="W1185" s="68"/>
      <c r="X1185" s="76">
        <f t="shared" si="92"/>
        <v>3956</v>
      </c>
      <c r="Y1185" s="1" t="str">
        <f t="shared" si="93"/>
        <v>SBG|73</v>
      </c>
      <c r="Z1185" s="19">
        <f>IF($C1185="","",IF($G1185="","",RANK($G1185,$G$4:$G$1463)+COUNTIF($G$4:$G1185,$G1185)-1))</f>
        <v>512</v>
      </c>
      <c r="AA1185" s="19">
        <f>IF($C1185="","",IF($N1185="","",RANK($N1185,$N$4:$N$1463)+COUNTIF($N$4:$N1185,$N1185)-1))</f>
        <v>542</v>
      </c>
      <c r="AB1185" s="1" t="str">
        <f>IF($C1185="","",IF($E1185="","",$E1185&amp;"#"&amp;(COUNTIFS($E$4:$E$1463,$E1185,$X$4:$X$1463,"&gt;"&amp;$X1185)+COUNTIFS($E$4:$E1185,$E1185,$X$4:$X1185,"="&amp;$X1185))))</f>
        <v>WARLOCK#142</v>
      </c>
      <c r="AC1185" s="1" t="str">
        <f>IF($C1185="","",$B1185&amp;"@"&amp;(COUNTIFS($B$4:$B$1463,$B1185,$C$4:$C$1463,"&lt;"&amp;$C1185)+COUNTIFS($B$4:$B1185,$B1185,$C$4:$C1185,$C1185)))</f>
        <v>SBG@81</v>
      </c>
      <c r="AD1185" s="1">
        <f t="shared" si="94"/>
        <v>1182</v>
      </c>
      <c r="AE1185" s="1" t="s">
        <v>2539</v>
      </c>
      <c r="AF1185" s="76">
        <f t="shared" si="95"/>
        <v>62819</v>
      </c>
      <c r="AG1185" s="77">
        <f t="shared" si="96"/>
        <v>5.65</v>
      </c>
      <c r="AH1185" s="1" t="str">
        <f>IF($C1185="","",$B1185&amp;"|"&amp;(COUNTIFS($B$4:$B$1463,$B1185,$AF$4:$AF$1463,"&gt;"&amp;$AF1185)+COUNTIFS($B$4:$B1185,$B1185,$AF$4:$AF1185,"="&amp;$AF1185)))</f>
        <v>SBG|48</v>
      </c>
      <c r="AI1185" s="1" t="str">
        <f>IF($C1185="","",$B1185&amp;"|"&amp;(COUNTIFS($B$4:$B$1463,$B1185,$AG$4:$AG$1463,"&gt;"&amp;$AG1185)+COUNTIFS($B$4:$B1185,$B1185,$AG$4:$AG1185,"="&amp;$AG1185)))</f>
        <v>SBG|52</v>
      </c>
    </row>
    <row r="1186" spans="1:35" hidden="1">
      <c r="A1186" s="69" t="s">
        <v>109</v>
      </c>
      <c r="B1186" s="69" t="s">
        <v>118</v>
      </c>
      <c r="C1186" s="63" t="s">
        <v>2540</v>
      </c>
      <c r="D1186" s="69"/>
      <c r="E1186" s="68" t="s">
        <v>71</v>
      </c>
      <c r="F1186" s="15" t="str">
        <f>IF($C1186="","",IF($E1186="","-",IFERROR(INDEX(SETUP!$B$55:$B$64,MATCH($E1186,SETUP!$A$55:$A$64,0)),"Other")))</f>
        <v>Frontline</v>
      </c>
      <c r="G1186" s="70">
        <v>59515</v>
      </c>
      <c r="H1186" s="15" t="str">
        <f>IF($C1186="","",IF($G1186="","-",INDEX(SETUP!$B$26:$B$32,MATCH($G1186,SETUP!$A$26:$A$32,1))))</f>
        <v>58,000 - 59,999</v>
      </c>
      <c r="I1186" s="70">
        <v>2308</v>
      </c>
      <c r="J1186" s="15" t="str">
        <f>IF($C1186="","",IF($I1186="","-",INDEX(SETUP!$B$16:$B$22,MATCH($I1186,SETUP!$A$16:$A$22,1))))</f>
        <v>DEVELOPING</v>
      </c>
      <c r="K1186" s="15" t="str">
        <f>IF($C1186="","",IF($I1186="","-",TEXT(INT($I1186/1000)*1000,"#,##0")&amp;" - "&amp;TEXT(INT($I1186/1000)*1000+999,"#,##0")))</f>
        <v>2,000 - 2,999</v>
      </c>
      <c r="L1186" s="71">
        <v>3.3</v>
      </c>
      <c r="M1186" s="15" t="str">
        <f>IF($C1186="","",IF($L1186="","-",INDEX(SETUP!$B$36:$B$42,MATCH($L1186,SETUP!$A$36:$A$42,1))))</f>
        <v>3k - 4k</v>
      </c>
      <c r="N1186" s="17">
        <f>IF($C1186="","",IF(OR($G1186="",$I1186=""),"",ROUND(100*(SETUP!$B$4*MIN(1,$I1186/SETUP!$B$9)+SETUP!$B$5*MAX(0,MIN(1,($G1186-SETUP!$B$10)/(SETUP!$B$11-SETUP!$B$10)))+SETUP!$B$6*MIN(1,IF($L1186="",0,$L1186)/SETUP!$B$12)),1)))</f>
        <v>27.5</v>
      </c>
      <c r="O1186" s="15" t="str">
        <f>IF($C1186="","",IF($N1186="","-",INDEX(SETUP!$B$46:$B$51,MATCH($N1186,SETUP!$A$46:$A$51,1))))</f>
        <v>C</v>
      </c>
      <c r="P1186" s="15">
        <f>IF($C1186="","",IF($I1186="","",RANK($I1186,$I$4:$I$1463)+COUNTIF($I$4:$I1186,$I1186)-1))</f>
        <v>1043</v>
      </c>
      <c r="Q1186" s="15">
        <f>IF($C1186="","",COUNTIFS($B$4:$B$1463,$B1186,$X$4:$X$1463,"&gt;"&amp;$X1186)+COUNTIFS($B$4:$B1186,$B1186,$X$4:$X1186,"="&amp;$X1186))</f>
        <v>32</v>
      </c>
      <c r="R1186" s="72">
        <f>IF($C1186="","",IF($I1186="","",ROUND(COUNTIF($I$4:$I$1463,"&lt;"&amp;$I1186)/COUNT($I$4:$I$1463),3)))</f>
        <v>0.21299999999999999</v>
      </c>
      <c r="S1186" s="15" t="str">
        <f>IF($C1186="","",IF($G1186="","Name only",IF(OR($I1186="",$L1186=""),"Partial","Complete")))</f>
        <v>Complete</v>
      </c>
      <c r="T1186" s="41" t="str">
        <f>IF($C1186="","",TRIM(IF(COUNTIF($C$4:$C$1463,$C1186)&gt;1,"Dup name; ","")&amp;IF(AND($G1186&lt;&gt;"",$G1186&lt;55000),"Low CR - verify; ","")&amp;IF(AND($L1186&lt;&gt;"",$L1186&gt;15),"Secondary - verify; ","")&amp;IF($E1186="","No class; ","")))</f>
        <v/>
      </c>
      <c r="U1186" s="68"/>
      <c r="V1186" s="68"/>
      <c r="W1186" s="68"/>
      <c r="X1186" s="73">
        <f t="shared" si="92"/>
        <v>2308</v>
      </c>
      <c r="Y1186" s="41" t="str">
        <f t="shared" si="93"/>
        <v>ZOMBIES|32</v>
      </c>
      <c r="Z1186" s="15">
        <f>IF($C1186="","",IF($G1186="","",RANK($G1186,$G$4:$G$1463)+COUNTIF($G$4:$G1186,$G1186)-1))</f>
        <v>1262</v>
      </c>
      <c r="AA1186" s="15">
        <f>IF($C1186="","",IF($N1186="","",RANK($N1186,$N$4:$N$1463)+COUNTIF($N$4:$N1186,$N1186)-1))</f>
        <v>1203</v>
      </c>
      <c r="AB1186" s="41" t="str">
        <f>IF($C1186="","",IF($E1186="","",$E1186&amp;"#"&amp;(COUNTIFS($E$4:$E$1463,$E1186,$X$4:$X$1463,"&gt;"&amp;$X1186)+COUNTIFS($E$4:$E1186,$E1186,$X$4:$X1186,"="&amp;$X1186))))</f>
        <v>BARBARIAN#177</v>
      </c>
      <c r="AC1186" s="41" t="str">
        <f>IF($C1186="","",$B1186&amp;"@"&amp;(COUNTIFS($B$4:$B$1463,$B1186,$C$4:$C$1463,"&lt;"&amp;$C1186)+COUNTIFS($B$4:$B1186,$B1186,$C$4:$C1186,$C1186)))</f>
        <v>ZOMBIES@85</v>
      </c>
      <c r="AD1186" s="41">
        <f t="shared" si="94"/>
        <v>1183</v>
      </c>
      <c r="AE1186" s="41" t="s">
        <v>624</v>
      </c>
      <c r="AF1186" s="73">
        <f t="shared" si="95"/>
        <v>59515</v>
      </c>
      <c r="AG1186" s="74">
        <f t="shared" si="96"/>
        <v>3.3</v>
      </c>
      <c r="AH1186" s="41" t="str">
        <f>IF($C1186="","",$B1186&amp;"|"&amp;(COUNTIFS($B$4:$B$1463,$B1186,$AF$4:$AF$1463,"&gt;"&amp;$AF1186)+COUNTIFS($B$4:$B1186,$B1186,$AF$4:$AF1186,"="&amp;$AF1186)))</f>
        <v>ZOMBIES|86</v>
      </c>
      <c r="AI1186" s="41" t="str">
        <f>IF($C1186="","",$B1186&amp;"|"&amp;(COUNTIFS($B$4:$B$1463,$B1186,$AG$4:$AG$1463,"&gt;"&amp;$AG1186)+COUNTIFS($B$4:$B1186,$B1186,$AG$4:$AG1186,"="&amp;$AG1186)))</f>
        <v>ZOMBIES|57</v>
      </c>
    </row>
    <row r="1187" spans="1:35" hidden="1">
      <c r="A1187" s="69" t="s">
        <v>109</v>
      </c>
      <c r="B1187" s="69" t="s">
        <v>110</v>
      </c>
      <c r="C1187" s="63" t="s">
        <v>2541</v>
      </c>
      <c r="D1187" s="69"/>
      <c r="E1187" s="68" t="s">
        <v>77</v>
      </c>
      <c r="F1187" s="19" t="str">
        <f>IF($C1187="","",IF($E1187="","-",IFERROR(INDEX(SETUP!$B$55:$B$64,MATCH($E1187,SETUP!$A$55:$A$64,0)),"Other")))</f>
        <v>Control</v>
      </c>
      <c r="G1187" s="70">
        <v>62580</v>
      </c>
      <c r="H1187" s="19" t="str">
        <f>IF($C1187="","",IF($G1187="","-",INDEX(SETUP!$B$26:$B$32,MATCH($G1187,SETUP!$A$26:$A$32,1))))</f>
        <v>62,000 - 62,999</v>
      </c>
      <c r="I1187" s="70">
        <v>6778</v>
      </c>
      <c r="J1187" s="19" t="str">
        <f>IF($C1187="","",IF($I1187="","-",INDEX(SETUP!$B$16:$B$22,MATCH($I1187,SETUP!$A$16:$A$22,1))))</f>
        <v>VETERAN</v>
      </c>
      <c r="K1187" s="19" t="str">
        <f>IF($C1187="","",IF($I1187="","-",TEXT(INT($I1187/1000)*1000,"#,##0")&amp;" - "&amp;TEXT(INT($I1187/1000)*1000+999,"#,##0")))</f>
        <v>6,000 - 6,999</v>
      </c>
      <c r="L1187" s="71">
        <v>6.67</v>
      </c>
      <c r="M1187" s="19" t="str">
        <f>IF($C1187="","",IF($L1187="","-",INDEX(SETUP!$B$36:$B$42,MATCH($L1187,SETUP!$A$36:$A$42,1))))</f>
        <v>6k - 8k</v>
      </c>
      <c r="N1187" s="21">
        <f>IF($C1187="","",IF(OR($G1187="",$I1187=""),"",ROUND(100*(SETUP!$B$4*MIN(1,$I1187/SETUP!$B$9)+SETUP!$B$5*MAX(0,MIN(1,($G1187-SETUP!$B$10)/(SETUP!$B$11-SETUP!$B$10)))+SETUP!$B$6*MIN(1,IF($L1187="",0,$L1187)/SETUP!$B$12)),1)))</f>
        <v>60.7</v>
      </c>
      <c r="O1187" s="19" t="str">
        <f>IF($C1187="","",IF($N1187="","-",INDEX(SETUP!$B$46:$B$51,MATCH($N1187,SETUP!$A$46:$A$51,1))))</f>
        <v>A</v>
      </c>
      <c r="P1187" s="19">
        <f>IF($C1187="","",IF($I1187="","",RANK($I1187,$I$4:$I$1463)+COUNTIF($I$4:$I1187,$I1187)-1))</f>
        <v>235</v>
      </c>
      <c r="Q1187" s="19">
        <f>IF($C1187="","",COUNTIFS($B$4:$B$1463,$B1187,$X$4:$X$1463,"&gt;"&amp;$X1187)+COUNTIFS($B$4:$B1187,$B1187,$X$4:$X1187,"="&amp;$X1187))</f>
        <v>32</v>
      </c>
      <c r="R1187" s="75">
        <f>IF($C1187="","",IF($I1187="","",ROUND(COUNTIF($I$4:$I$1463,"&lt;"&amp;$I1187)/COUNT($I$4:$I$1463),3)))</f>
        <v>0.82299999999999995</v>
      </c>
      <c r="S1187" s="19" t="str">
        <f>IF($C1187="","",IF($G1187="","Name only",IF(OR($I1187="",$L1187=""),"Partial","Complete")))</f>
        <v>Complete</v>
      </c>
      <c r="T1187" s="1" t="str">
        <f>IF($C1187="","",TRIM(IF(COUNTIF($C$4:$C$1463,$C1187)&gt;1,"Dup name; ","")&amp;IF(AND($G1187&lt;&gt;"",$G1187&lt;55000),"Low CR - verify; ","")&amp;IF(AND($L1187&lt;&gt;"",$L1187&gt;15),"Secondary - verify; ","")&amp;IF($E1187="","No class; ","")))</f>
        <v/>
      </c>
      <c r="U1187" s="68"/>
      <c r="V1187" s="68"/>
      <c r="W1187" s="68"/>
      <c r="X1187" s="76">
        <f t="shared" si="92"/>
        <v>6778</v>
      </c>
      <c r="Y1187" s="1" t="str">
        <f t="shared" si="93"/>
        <v>AZUKI|32</v>
      </c>
      <c r="Z1187" s="19">
        <f>IF($C1187="","",IF($G1187="","",RANK($G1187,$G$4:$G$1463)+COUNTIF($G$4:$G1187,$G1187)-1))</f>
        <v>618</v>
      </c>
      <c r="AA1187" s="19">
        <f>IF($C1187="","",IF($N1187="","",RANK($N1187,$N$4:$N$1463)+COUNTIF($N$4:$N1187,$N1187)-1))</f>
        <v>227</v>
      </c>
      <c r="AB1187" s="1" t="str">
        <f>IF($C1187="","",IF($E1187="","",$E1187&amp;"#"&amp;(COUNTIFS($E$4:$E$1463,$E1187,$X$4:$X$1463,"&gt;"&amp;$X1187)+COUNTIFS($E$4:$E1187,$E1187,$X$4:$X1187,"="&amp;$X1187))))</f>
        <v>NECROMANCER#9</v>
      </c>
      <c r="AC1187" s="1" t="str">
        <f>IF($C1187="","",$B1187&amp;"@"&amp;(COUNTIFS($B$4:$B$1463,$B1187,$C$4:$C$1463,"&lt;"&amp;$C1187)+COUNTIFS($B$4:$B1187,$B1187,$C$4:$C1187,$C1187)))</f>
        <v>AZUKI@86</v>
      </c>
      <c r="AD1187" s="1">
        <f t="shared" si="94"/>
        <v>1184</v>
      </c>
      <c r="AE1187" s="1" t="s">
        <v>2542</v>
      </c>
      <c r="AF1187" s="76">
        <f t="shared" si="95"/>
        <v>62580</v>
      </c>
      <c r="AG1187" s="77">
        <f t="shared" si="96"/>
        <v>6.67</v>
      </c>
      <c r="AH1187" s="1" t="str">
        <f>IF($C1187="","",$B1187&amp;"|"&amp;(COUNTIFS($B$4:$B$1463,$B1187,$AF$4:$AF$1463,"&gt;"&amp;$AF1187)+COUNTIFS($B$4:$B1187,$B1187,$AF$4:$AF1187,"="&amp;$AF1187)))</f>
        <v>AZUKI|54</v>
      </c>
      <c r="AI1187" s="1" t="str">
        <f>IF($C1187="","",$B1187&amp;"|"&amp;(COUNTIFS($B$4:$B$1463,$B1187,$AG$4:$AG$1463,"&gt;"&amp;$AG1187)+COUNTIFS($B$4:$B1187,$B1187,$AG$4:$AG1187,"="&amp;$AG1187)))</f>
        <v>AZUKI|35</v>
      </c>
    </row>
    <row r="1188" spans="1:35" hidden="1">
      <c r="A1188" s="69" t="s">
        <v>109</v>
      </c>
      <c r="B1188" s="69" t="s">
        <v>111</v>
      </c>
      <c r="C1188" s="63" t="s">
        <v>2543</v>
      </c>
      <c r="D1188" s="69" t="s">
        <v>527</v>
      </c>
      <c r="E1188" s="68" t="s">
        <v>73</v>
      </c>
      <c r="F1188" s="15" t="str">
        <f>IF($C1188="","",IF($E1188="","-",IFERROR(INDEX(SETUP!$B$55:$B$64,MATCH($E1188,SETUP!$A$55:$A$64,0)),"Other")))</f>
        <v>Frontline</v>
      </c>
      <c r="G1188" s="70">
        <v>64077</v>
      </c>
      <c r="H1188" s="15" t="str">
        <f>IF($C1188="","",IF($G1188="","-",INDEX(SETUP!$B$26:$B$32,MATCH($G1188,SETUP!$A$26:$A$32,1))))</f>
        <v>64,000 +</v>
      </c>
      <c r="I1188" s="70">
        <v>8316</v>
      </c>
      <c r="J1188" s="15" t="str">
        <f>IF($C1188="","",IF($I1188="","-",INDEX(SETUP!$B$16:$B$22,MATCH($I1188,SETUP!$A$16:$A$22,1))))</f>
        <v>ELITE</v>
      </c>
      <c r="K1188" s="15" t="str">
        <f>IF($C1188="","",IF($I1188="","-",TEXT(INT($I1188/1000)*1000,"#,##0")&amp;" - "&amp;TEXT(INT($I1188/1000)*1000+999,"#,##0")))</f>
        <v>8,000 - 8,999</v>
      </c>
      <c r="L1188" s="71">
        <v>7.4</v>
      </c>
      <c r="M1188" s="15" t="str">
        <f>IF($C1188="","",IF($L1188="","-",INDEX(SETUP!$B$36:$B$42,MATCH($L1188,SETUP!$A$36:$A$42,1))))</f>
        <v>6k - 8k</v>
      </c>
      <c r="N1188" s="17">
        <f>IF($C1188="","",IF(OR($G1188="",$I1188=""),"",ROUND(100*(SETUP!$B$4*MIN(1,$I1188/SETUP!$B$9)+SETUP!$B$5*MAX(0,MIN(1,($G1188-SETUP!$B$10)/(SETUP!$B$11-SETUP!$B$10)))+SETUP!$B$6*MIN(1,IF($L1188="",0,$L1188)/SETUP!$B$12)),1)))</f>
        <v>72.5</v>
      </c>
      <c r="O1188" s="15" t="str">
        <f>IF($C1188="","",IF($N1188="","-",INDEX(SETUP!$B$46:$B$51,MATCH($N1188,SETUP!$A$46:$A$51,1))))</f>
        <v>S</v>
      </c>
      <c r="P1188" s="15">
        <f>IF($C1188="","",IF($I1188="","",RANK($I1188,$I$4:$I$1463)+COUNTIF($I$4:$I1188,$I1188)-1))</f>
        <v>131</v>
      </c>
      <c r="Q1188" s="15">
        <f>IF($C1188="","",COUNTIFS($B$4:$B$1463,$B1188,$X$4:$X$1463,"&gt;"&amp;$X1188)+COUNTIFS($B$4:$B1188,$B1188,$X$4:$X1188,"="&amp;$X1188))</f>
        <v>20</v>
      </c>
      <c r="R1188" s="72">
        <f>IF($C1188="","",IF($I1188="","",ROUND(COUNTIF($I$4:$I$1463,"&lt;"&amp;$I1188)/COUNT($I$4:$I$1463),3)))</f>
        <v>0.90100000000000002</v>
      </c>
      <c r="S1188" s="15" t="str">
        <f>IF($C1188="","",IF($G1188="","Name only",IF(OR($I1188="",$L1188=""),"Partial","Complete")))</f>
        <v>Complete</v>
      </c>
      <c r="T1188" s="41" t="str">
        <f>IF($C1188="","",TRIM(IF(COUNTIF($C$4:$C$1463,$C1188)&gt;1,"Dup name; ","")&amp;IF(AND($G1188&lt;&gt;"",$G1188&lt;55000),"Low CR - verify; ","")&amp;IF(AND($L1188&lt;&gt;"",$L1188&gt;15),"Secondary - verify; ","")&amp;IF($E1188="","No class; ","")))</f>
        <v/>
      </c>
      <c r="U1188" s="68"/>
      <c r="V1188" s="68"/>
      <c r="W1188" s="68"/>
      <c r="X1188" s="73">
        <f t="shared" si="92"/>
        <v>8316</v>
      </c>
      <c r="Y1188" s="41" t="str">
        <f t="shared" si="93"/>
        <v>RECKONING|20</v>
      </c>
      <c r="Z1188" s="15">
        <f>IF($C1188="","",IF($G1188="","",RANK($G1188,$G$4:$G$1463)+COUNTIF($G$4:$G1188,$G1188)-1))</f>
        <v>60</v>
      </c>
      <c r="AA1188" s="15">
        <f>IF($C1188="","",IF($N1188="","",RANK($N1188,$N$4:$N$1463)+COUNTIF($N$4:$N1188,$N1188)-1))</f>
        <v>110</v>
      </c>
      <c r="AB1188" s="41" t="str">
        <f>IF($C1188="","",IF($E1188="","",$E1188&amp;"#"&amp;(COUNTIFS($E$4:$E$1463,$E1188,$X$4:$X$1463,"&gt;"&amp;$X1188)+COUNTIFS($E$4:$E1188,$E1188,$X$4:$X1188,"="&amp;$X1188))))</f>
        <v>CRUSADER#21</v>
      </c>
      <c r="AC1188" s="41" t="str">
        <f>IF($C1188="","",$B1188&amp;"@"&amp;(COUNTIFS($B$4:$B$1463,$B1188,$C$4:$C$1463,"&lt;"&amp;$C1188)+COUNTIFS($B$4:$B1188,$B1188,$C$4:$C1188,$C1188)))</f>
        <v>RECKONING@84</v>
      </c>
      <c r="AD1188" s="41">
        <f t="shared" si="94"/>
        <v>1185</v>
      </c>
      <c r="AE1188" s="41" t="s">
        <v>2544</v>
      </c>
      <c r="AF1188" s="73">
        <f t="shared" si="95"/>
        <v>64077</v>
      </c>
      <c r="AG1188" s="74">
        <f t="shared" si="96"/>
        <v>7.4</v>
      </c>
      <c r="AH1188" s="41" t="str">
        <f>IF($C1188="","",$B1188&amp;"|"&amp;(COUNTIFS($B$4:$B$1463,$B1188,$AF$4:$AF$1463,"&gt;"&amp;$AF1188)+COUNTIFS($B$4:$B1188,$B1188,$AF$4:$AF1188,"="&amp;$AF1188)))</f>
        <v>RECKONING|6</v>
      </c>
      <c r="AI1188" s="41" t="str">
        <f>IF($C1188="","",$B1188&amp;"|"&amp;(COUNTIFS($B$4:$B$1463,$B1188,$AG$4:$AG$1463,"&gt;"&amp;$AG1188)+COUNTIFS($B$4:$B1188,$B1188,$AG$4:$AG1188,"="&amp;$AG1188)))</f>
        <v>RECKONING|19</v>
      </c>
    </row>
    <row r="1189" spans="1:35" hidden="1">
      <c r="A1189" s="69" t="s">
        <v>109</v>
      </c>
      <c r="B1189" s="69" t="s">
        <v>111</v>
      </c>
      <c r="C1189" s="63" t="s">
        <v>2545</v>
      </c>
      <c r="D1189" s="69" t="s">
        <v>527</v>
      </c>
      <c r="E1189" s="68" t="s">
        <v>79</v>
      </c>
      <c r="F1189" s="19" t="str">
        <f>IF($C1189="","",IF($E1189="","-",IFERROR(INDEX(SETUP!$B$55:$B$64,MATCH($E1189,SETUP!$A$55:$A$64,0)),"Other")))</f>
        <v>Control</v>
      </c>
      <c r="G1189" s="70">
        <v>61878</v>
      </c>
      <c r="H1189" s="19" t="str">
        <f>IF($C1189="","",IF($G1189="","-",INDEX(SETUP!$B$26:$B$32,MATCH($G1189,SETUP!$A$26:$A$32,1))))</f>
        <v>61,000 - 61,999</v>
      </c>
      <c r="I1189" s="70">
        <v>3101</v>
      </c>
      <c r="J1189" s="19" t="str">
        <f>IF($C1189="","",IF($I1189="","-",INDEX(SETUP!$B$16:$B$22,MATCH($I1189,SETUP!$A$16:$A$22,1))))</f>
        <v>DEVELOPING</v>
      </c>
      <c r="K1189" s="19" t="str">
        <f>IF($C1189="","",IF($I1189="","-",TEXT(INT($I1189/1000)*1000,"#,##0")&amp;" - "&amp;TEXT(INT($I1189/1000)*1000+999,"#,##0")))</f>
        <v>3,000 - 3,999</v>
      </c>
      <c r="L1189" s="71">
        <v>3.75</v>
      </c>
      <c r="M1189" s="19" t="str">
        <f>IF($C1189="","",IF($L1189="","-",INDEX(SETUP!$B$36:$B$42,MATCH($L1189,SETUP!$A$36:$A$42,1))))</f>
        <v>3k - 4k</v>
      </c>
      <c r="N1189" s="21">
        <f>IF($C1189="","",IF(OR($G1189="",$I1189=""),"",ROUND(100*(SETUP!$B$4*MIN(1,$I1189/SETUP!$B$9)+SETUP!$B$5*MAX(0,MIN(1,($G1189-SETUP!$B$10)/(SETUP!$B$11-SETUP!$B$10)))+SETUP!$B$6*MIN(1,IF($L1189="",0,$L1189)/SETUP!$B$12)),1)))</f>
        <v>37.9</v>
      </c>
      <c r="O1189" s="19" t="str">
        <f>IF($C1189="","",IF($N1189="","-",INDEX(SETUP!$B$46:$B$51,MATCH($N1189,SETUP!$A$46:$A$51,1))))</f>
        <v>B</v>
      </c>
      <c r="P1189" s="19">
        <f>IF($C1189="","",IF($I1189="","",RANK($I1189,$I$4:$I$1463)+COUNTIF($I$4:$I1189,$I1189)-1))</f>
        <v>854</v>
      </c>
      <c r="Q1189" s="19">
        <f>IF($C1189="","",COUNTIFS($B$4:$B$1463,$B1189,$X$4:$X$1463,"&gt;"&amp;$X1189)+COUNTIFS($B$4:$B1189,$B1189,$X$4:$X1189,"="&amp;$X1189))</f>
        <v>86</v>
      </c>
      <c r="R1189" s="75">
        <f>IF($C1189="","",IF($I1189="","",ROUND(COUNTIF($I$4:$I$1463,"&lt;"&amp;$I1189)/COUNT($I$4:$I$1463),3)))</f>
        <v>0.35499999999999998</v>
      </c>
      <c r="S1189" s="19" t="str">
        <f>IF($C1189="","",IF($G1189="","Name only",IF(OR($I1189="",$L1189=""),"Partial","Complete")))</f>
        <v>Complete</v>
      </c>
      <c r="T1189" s="1" t="str">
        <f>IF($C1189="","",TRIM(IF(COUNTIF($C$4:$C$1463,$C1189)&gt;1,"Dup name; ","")&amp;IF(AND($G1189&lt;&gt;"",$G1189&lt;55000),"Low CR - verify; ","")&amp;IF(AND($L1189&lt;&gt;"",$L1189&gt;15),"Secondary - verify; ","")&amp;IF($E1189="","No class; ","")))</f>
        <v/>
      </c>
      <c r="U1189" s="68"/>
      <c r="V1189" s="68"/>
      <c r="W1189" s="68"/>
      <c r="X1189" s="76">
        <f t="shared" si="92"/>
        <v>3101</v>
      </c>
      <c r="Y1189" s="1" t="str">
        <f t="shared" si="93"/>
        <v>RECKONING|86</v>
      </c>
      <c r="Z1189" s="19">
        <f>IF($C1189="","",IF($G1189="","",RANK($G1189,$G$4:$G$1463)+COUNTIF($G$4:$G1189,$G1189)-1))</f>
        <v>887</v>
      </c>
      <c r="AA1189" s="19">
        <f>IF($C1189="","",IF($N1189="","",RANK($N1189,$N$4:$N$1463)+COUNTIF($N$4:$N1189,$N1189)-1))</f>
        <v>902</v>
      </c>
      <c r="AB1189" s="1" t="str">
        <f>IF($C1189="","",IF($E1189="","",$E1189&amp;"#"&amp;(COUNTIFS($E$4:$E$1463,$E1189,$X$4:$X$1463,"&gt;"&amp;$X1189)+COUNTIFS($E$4:$E1189,$E1189,$X$4:$X1189,"="&amp;$X1189))))</f>
        <v>WARLOCK#212</v>
      </c>
      <c r="AC1189" s="1" t="str">
        <f>IF($C1189="","",$B1189&amp;"@"&amp;(COUNTIFS($B$4:$B$1463,$B1189,$C$4:$C$1463,"&lt;"&amp;$C1189)+COUNTIFS($B$4:$B1189,$B1189,$C$4:$C1189,$C1189)))</f>
        <v>RECKONING@85</v>
      </c>
      <c r="AD1189" s="1">
        <f t="shared" si="94"/>
        <v>1186</v>
      </c>
      <c r="AE1189" s="1" t="s">
        <v>640</v>
      </c>
      <c r="AF1189" s="76">
        <f t="shared" si="95"/>
        <v>61878</v>
      </c>
      <c r="AG1189" s="77">
        <f t="shared" si="96"/>
        <v>3.75</v>
      </c>
      <c r="AH1189" s="1" t="str">
        <f>IF($C1189="","",$B1189&amp;"|"&amp;(COUNTIFS($B$4:$B$1463,$B1189,$AF$4:$AF$1463,"&gt;"&amp;$AF1189)+COUNTIFS($B$4:$B1189,$B1189,$AF$4:$AF1189,"="&amp;$AF1189)))</f>
        <v>RECKONING|76</v>
      </c>
      <c r="AI1189" s="1" t="str">
        <f>IF($C1189="","",$B1189&amp;"|"&amp;(COUNTIFS($B$4:$B$1463,$B1189,$AG$4:$AG$1463,"&gt;"&amp;$AG1189)+COUNTIFS($B$4:$B1189,$B1189,$AG$4:$AG1189,"="&amp;$AG1189)))</f>
        <v>RECKONING|94</v>
      </c>
    </row>
    <row r="1190" spans="1:35" hidden="1">
      <c r="A1190" s="69" t="s">
        <v>109</v>
      </c>
      <c r="B1190" s="69" t="s">
        <v>115</v>
      </c>
      <c r="C1190" s="63" t="s">
        <v>2546</v>
      </c>
      <c r="D1190" s="69" t="s">
        <v>1182</v>
      </c>
      <c r="E1190" s="68" t="s">
        <v>78</v>
      </c>
      <c r="F1190" s="15" t="str">
        <f>IF($C1190="","",IF($E1190="","-",IFERROR(INDEX(SETUP!$B$55:$B$64,MATCH($E1190,SETUP!$A$55:$A$64,0)),"Other")))</f>
        <v>Melee DPS</v>
      </c>
      <c r="G1190" s="70">
        <v>63404</v>
      </c>
      <c r="H1190" s="15" t="str">
        <f>IF($C1190="","",IF($G1190="","-",INDEX(SETUP!$B$26:$B$32,MATCH($G1190,SETUP!$A$26:$A$32,1))))</f>
        <v>63,000 - 63,999</v>
      </c>
      <c r="I1190" s="70">
        <v>5117</v>
      </c>
      <c r="J1190" s="15" t="str">
        <f>IF($C1190="","",IF($I1190="","-",INDEX(SETUP!$B$16:$B$22,MATCH($I1190,SETUP!$A$16:$A$22,1))))</f>
        <v>CORE</v>
      </c>
      <c r="K1190" s="15" t="str">
        <f>IF($C1190="","",IF($I1190="","-",TEXT(INT($I1190/1000)*1000,"#,##0")&amp;" - "&amp;TEXT(INT($I1190/1000)*1000+999,"#,##0")))</f>
        <v>5,000 - 5,999</v>
      </c>
      <c r="L1190" s="71">
        <v>5.0999999999999996</v>
      </c>
      <c r="M1190" s="15" t="str">
        <f>IF($C1190="","",IF($L1190="","-",INDEX(SETUP!$B$36:$B$42,MATCH($L1190,SETUP!$A$36:$A$42,1))))</f>
        <v>5k - 6k</v>
      </c>
      <c r="N1190" s="17">
        <f>IF($C1190="","",IF(OR($G1190="",$I1190=""),"",ROUND(100*(SETUP!$B$4*MIN(1,$I1190/SETUP!$B$9)+SETUP!$B$5*MAX(0,MIN(1,($G1190-SETUP!$B$10)/(SETUP!$B$11-SETUP!$B$10)))+SETUP!$B$6*MIN(1,IF($L1190="",0,$L1190)/SETUP!$B$12)),1)))</f>
        <v>53</v>
      </c>
      <c r="O1190" s="15" t="str">
        <f>IF($C1190="","",IF($N1190="","-",INDEX(SETUP!$B$46:$B$51,MATCH($N1190,SETUP!$A$46:$A$51,1))))</f>
        <v>A</v>
      </c>
      <c r="P1190" s="15">
        <f>IF($C1190="","",IF($I1190="","",RANK($I1190,$I$4:$I$1463)+COUNTIF($I$4:$I1190,$I1190)-1))</f>
        <v>391</v>
      </c>
      <c r="Q1190" s="15">
        <f>IF($C1190="","",COUNTIFS($B$4:$B$1463,$B1190,$X$4:$X$1463,"&gt;"&amp;$X1190)+COUNTIFS($B$4:$B1190,$B1190,$X$4:$X1190,"="&amp;$X1190))</f>
        <v>9</v>
      </c>
      <c r="R1190" s="72">
        <f>IF($C1190="","",IF($I1190="","",ROUND(COUNTIF($I$4:$I$1463,"&lt;"&amp;$I1190)/COUNT($I$4:$I$1463),3)))</f>
        <v>0.70499999999999996</v>
      </c>
      <c r="S1190" s="15" t="str">
        <f>IF($C1190="","",IF($G1190="","Name only",IF(OR($I1190="",$L1190=""),"Partial","Complete")))</f>
        <v>Complete</v>
      </c>
      <c r="T1190" s="41" t="str">
        <f>IF($C1190="","",TRIM(IF(COUNTIF($C$4:$C$1463,$C1190)&gt;1,"Dup name; ","")&amp;IF(AND($G1190&lt;&gt;"",$G1190&lt;55000),"Low CR - verify; ","")&amp;IF(AND($L1190&lt;&gt;"",$L1190&gt;15),"Secondary - verify; ","")&amp;IF($E1190="","No class; ","")))</f>
        <v/>
      </c>
      <c r="U1190" s="68"/>
      <c r="V1190" s="68"/>
      <c r="W1190" s="68"/>
      <c r="X1190" s="73">
        <f t="shared" si="92"/>
        <v>5117</v>
      </c>
      <c r="Y1190" s="41" t="str">
        <f t="shared" si="93"/>
        <v>SUB ROSA|9</v>
      </c>
      <c r="Z1190" s="15">
        <f>IF($C1190="","",IF($G1190="","",RANK($G1190,$G$4:$G$1463)+COUNTIF($G$4:$G1190,$G1190)-1))</f>
        <v>221</v>
      </c>
      <c r="AA1190" s="15">
        <f>IF($C1190="","",IF($N1190="","",RANK($N1190,$N$4:$N$1463)+COUNTIF($N$4:$N1190,$N1190)-1))</f>
        <v>367</v>
      </c>
      <c r="AB1190" s="41" t="str">
        <f>IF($C1190="","",IF($E1190="","",$E1190&amp;"#"&amp;(COUNTIFS($E$4:$E$1463,$E1190,$X$4:$X$1463,"&gt;"&amp;$X1190)+COUNTIFS($E$4:$E1190,$E1190,$X$4:$X1190,"="&amp;$X1190))))</f>
        <v>TEMPEST#13</v>
      </c>
      <c r="AC1190" s="41" t="str">
        <f>IF($C1190="","",$B1190&amp;"@"&amp;(COUNTIFS($B$4:$B$1463,$B1190,$C$4:$C$1463,"&lt;"&amp;$C1190)+COUNTIFS($B$4:$B1190,$B1190,$C$4:$C1190,$C1190)))</f>
        <v>SUB ROSA@79</v>
      </c>
      <c r="AD1190" s="41">
        <f t="shared" si="94"/>
        <v>1187</v>
      </c>
      <c r="AE1190" s="41" t="s">
        <v>559</v>
      </c>
      <c r="AF1190" s="73">
        <f t="shared" si="95"/>
        <v>63404</v>
      </c>
      <c r="AG1190" s="74">
        <f t="shared" si="96"/>
        <v>5.0999999999999996</v>
      </c>
      <c r="AH1190" s="41" t="str">
        <f>IF($C1190="","",$B1190&amp;"|"&amp;(COUNTIFS($B$4:$B$1463,$B1190,$AF$4:$AF$1463,"&gt;"&amp;$AF1190)+COUNTIFS($B$4:$B1190,$B1190,$AF$4:$AF1190,"="&amp;$AF1190)))</f>
        <v>SUB ROSA|7</v>
      </c>
      <c r="AI1190" s="41" t="str">
        <f>IF($C1190="","",$B1190&amp;"|"&amp;(COUNTIFS($B$4:$B$1463,$B1190,$AG$4:$AG$1463,"&gt;"&amp;$AG1190)+COUNTIFS($B$4:$B1190,$B1190,$AG$4:$AG1190,"="&amp;$AG1190)))</f>
        <v>SUB ROSA|11</v>
      </c>
    </row>
    <row r="1191" spans="1:35" hidden="1">
      <c r="A1191" s="69" t="s">
        <v>109</v>
      </c>
      <c r="B1191" s="69" t="s">
        <v>112</v>
      </c>
      <c r="C1191" s="63" t="s">
        <v>2547</v>
      </c>
      <c r="D1191" s="69" t="s">
        <v>567</v>
      </c>
      <c r="E1191" s="68" t="s">
        <v>73</v>
      </c>
      <c r="F1191" s="19" t="str">
        <f>IF($C1191="","",IF($E1191="","-",IFERROR(INDEX(SETUP!$B$55:$B$64,MATCH($E1191,SETUP!$A$55:$A$64,0)),"Other")))</f>
        <v>Frontline</v>
      </c>
      <c r="G1191" s="70">
        <v>61830</v>
      </c>
      <c r="H1191" s="19" t="str">
        <f>IF($C1191="","",IF($G1191="","-",INDEX(SETUP!$B$26:$B$32,MATCH($G1191,SETUP!$A$26:$A$32,1))))</f>
        <v>61,000 - 61,999</v>
      </c>
      <c r="I1191" s="70">
        <v>2056</v>
      </c>
      <c r="J1191" s="19" t="str">
        <f>IF($C1191="","",IF($I1191="","-",INDEX(SETUP!$B$16:$B$22,MATCH($I1191,SETUP!$A$16:$A$22,1))))</f>
        <v>DEVELOPING</v>
      </c>
      <c r="K1191" s="19" t="str">
        <f>IF($C1191="","",IF($I1191="","-",TEXT(INT($I1191/1000)*1000,"#,##0")&amp;" - "&amp;TEXT(INT($I1191/1000)*1000+999,"#,##0")))</f>
        <v>2,000 - 2,999</v>
      </c>
      <c r="L1191" s="71">
        <v>4.2</v>
      </c>
      <c r="M1191" s="19" t="str">
        <f>IF($C1191="","",IF($L1191="","-",INDEX(SETUP!$B$36:$B$42,MATCH($L1191,SETUP!$A$36:$A$42,1))))</f>
        <v>4k - 5k</v>
      </c>
      <c r="N1191" s="21">
        <f>IF($C1191="","",IF(OR($G1191="",$I1191=""),"",ROUND(100*(SETUP!$B$4*MIN(1,$I1191/SETUP!$B$9)+SETUP!$B$5*MAX(0,MIN(1,($G1191-SETUP!$B$10)/(SETUP!$B$11-SETUP!$B$10)))+SETUP!$B$6*MIN(1,IF($L1191="",0,$L1191)/SETUP!$B$12)),1)))</f>
        <v>33.9</v>
      </c>
      <c r="O1191" s="19" t="str">
        <f>IF($C1191="","",IF($N1191="","-",INDEX(SETUP!$B$46:$B$51,MATCH($N1191,SETUP!$A$46:$A$51,1))))</f>
        <v>C</v>
      </c>
      <c r="P1191" s="19">
        <f>IF($C1191="","",IF($I1191="","",RANK($I1191,$I$4:$I$1463)+COUNTIF($I$4:$I1191,$I1191)-1))</f>
        <v>1099</v>
      </c>
      <c r="Q1191" s="19">
        <f>IF($C1191="","",COUNTIFS($B$4:$B$1463,$B1191,$X$4:$X$1463,"&gt;"&amp;$X1191)+COUNTIFS($B$4:$B1191,$B1191,$X$4:$X1191,"="&amp;$X1191))</f>
        <v>84</v>
      </c>
      <c r="R1191" s="75">
        <f>IF($C1191="","",IF($I1191="","",ROUND(COUNTIF($I$4:$I$1463,"&lt;"&amp;$I1191)/COUNT($I$4:$I$1463),3)))</f>
        <v>0.17100000000000001</v>
      </c>
      <c r="S1191" s="19" t="str">
        <f>IF($C1191="","",IF($G1191="","Name only",IF(OR($I1191="",$L1191=""),"Partial","Complete")))</f>
        <v>Complete</v>
      </c>
      <c r="T1191" s="1" t="str">
        <f>IF($C1191="","",TRIM(IF(COUNTIF($C$4:$C$1463,$C1191)&gt;1,"Dup name; ","")&amp;IF(AND($G1191&lt;&gt;"",$G1191&lt;55000),"Low CR - verify; ","")&amp;IF(AND($L1191&lt;&gt;"",$L1191&gt;15),"Secondary - verify; ","")&amp;IF($E1191="","No class; ","")))</f>
        <v/>
      </c>
      <c r="U1191" s="68"/>
      <c r="V1191" s="68"/>
      <c r="W1191" s="68"/>
      <c r="X1191" s="76">
        <f t="shared" si="92"/>
        <v>2056</v>
      </c>
      <c r="Y1191" s="1" t="str">
        <f t="shared" si="93"/>
        <v>ACHERON|84</v>
      </c>
      <c r="Z1191" s="19">
        <f>IF($C1191="","",IF($G1191="","",RANK($G1191,$G$4:$G$1463)+COUNTIF($G$4:$G1191,$G1191)-1))</f>
        <v>906</v>
      </c>
      <c r="AA1191" s="19">
        <f>IF($C1191="","",IF($N1191="","",RANK($N1191,$N$4:$N$1463)+COUNTIF($N$4:$N1191,$N1191)-1))</f>
        <v>1046</v>
      </c>
      <c r="AB1191" s="1" t="str">
        <f>IF($C1191="","",IF($E1191="","",$E1191&amp;"#"&amp;(COUNTIFS($E$4:$E$1463,$E1191,$X$4:$X$1463,"&gt;"&amp;$X1191)+COUNTIFS($E$4:$E1191,$E1191,$X$4:$X1191,"="&amp;$X1191))))</f>
        <v>CRUSADER#107</v>
      </c>
      <c r="AC1191" s="1" t="str">
        <f>IF($C1191="","",$B1191&amp;"@"&amp;(COUNTIFS($B$4:$B$1463,$B1191,$C$4:$C$1463,"&lt;"&amp;$C1191)+COUNTIFS($B$4:$B1191,$B1191,$C$4:$C1191,$C1191)))</f>
        <v>ACHERON@81</v>
      </c>
      <c r="AD1191" s="1">
        <f t="shared" si="94"/>
        <v>1188</v>
      </c>
      <c r="AE1191" s="1" t="s">
        <v>2548</v>
      </c>
      <c r="AF1191" s="76">
        <f t="shared" si="95"/>
        <v>61830</v>
      </c>
      <c r="AG1191" s="77">
        <f t="shared" si="96"/>
        <v>4.2</v>
      </c>
      <c r="AH1191" s="1" t="str">
        <f>IF($C1191="","",$B1191&amp;"|"&amp;(COUNTIFS($B$4:$B$1463,$B1191,$AF$4:$AF$1463,"&gt;"&amp;$AF1191)+COUNTIFS($B$4:$B1191,$B1191,$AF$4:$AF1191,"="&amp;$AF1191)))</f>
        <v>ACHERON|72</v>
      </c>
      <c r="AI1191" s="1" t="str">
        <f>IF($C1191="","",$B1191&amp;"|"&amp;(COUNTIFS($B$4:$B$1463,$B1191,$AG$4:$AG$1463,"&gt;"&amp;$AG1191)+COUNTIFS($B$4:$B1191,$B1191,$AG$4:$AG1191,"="&amp;$AG1191)))</f>
        <v>ACHERON|68</v>
      </c>
    </row>
    <row r="1192" spans="1:35" hidden="1">
      <c r="A1192" s="69" t="s">
        <v>109</v>
      </c>
      <c r="B1192" s="69" t="s">
        <v>114</v>
      </c>
      <c r="C1192" s="63" t="s">
        <v>2549</v>
      </c>
      <c r="D1192" s="69"/>
      <c r="E1192" s="68" t="s">
        <v>79</v>
      </c>
      <c r="F1192" s="15" t="str">
        <f>IF($C1192="","",IF($E1192="","-",IFERROR(INDEX(SETUP!$B$55:$B$64,MATCH($E1192,SETUP!$A$55:$A$64,0)),"Other")))</f>
        <v>Control</v>
      </c>
      <c r="G1192" s="70">
        <v>62695</v>
      </c>
      <c r="H1192" s="15" t="str">
        <f>IF($C1192="","",IF($G1192="","-",INDEX(SETUP!$B$26:$B$32,MATCH($G1192,SETUP!$A$26:$A$32,1))))</f>
        <v>62,000 - 62,999</v>
      </c>
      <c r="I1192" s="70">
        <v>2292</v>
      </c>
      <c r="J1192" s="15" t="str">
        <f>IF($C1192="","",IF($I1192="","-",INDEX(SETUP!$B$16:$B$22,MATCH($I1192,SETUP!$A$16:$A$22,1))))</f>
        <v>DEVELOPING</v>
      </c>
      <c r="K1192" s="15" t="str">
        <f>IF($C1192="","",IF($I1192="","-",TEXT(INT($I1192/1000)*1000,"#,##0")&amp;" - "&amp;TEXT(INT($I1192/1000)*1000+999,"#,##0")))</f>
        <v>2,000 - 2,999</v>
      </c>
      <c r="L1192" s="71">
        <v>3.8</v>
      </c>
      <c r="M1192" s="15" t="str">
        <f>IF($C1192="","",IF($L1192="","-",INDEX(SETUP!$B$36:$B$42,MATCH($L1192,SETUP!$A$36:$A$42,1))))</f>
        <v>3k - 4k</v>
      </c>
      <c r="N1192" s="17">
        <f>IF($C1192="","",IF(OR($G1192="",$I1192=""),"",ROUND(100*(SETUP!$B$4*MIN(1,$I1192/SETUP!$B$9)+SETUP!$B$5*MAX(0,MIN(1,($G1192-SETUP!$B$10)/(SETUP!$B$11-SETUP!$B$10)))+SETUP!$B$6*MIN(1,IF($L1192="",0,$L1192)/SETUP!$B$12)),1)))</f>
        <v>36.6</v>
      </c>
      <c r="O1192" s="15" t="str">
        <f>IF($C1192="","",IF($N1192="","-",INDEX(SETUP!$B$46:$B$51,MATCH($N1192,SETUP!$A$46:$A$51,1))))</f>
        <v>B</v>
      </c>
      <c r="P1192" s="15">
        <f>IF($C1192="","",IF($I1192="","",RANK($I1192,$I$4:$I$1463)+COUNTIF($I$4:$I1192,$I1192)-1))</f>
        <v>1046</v>
      </c>
      <c r="Q1192" s="15">
        <f>IF($C1192="","",COUNTIFS($B$4:$B$1463,$B1192,$X$4:$X$1463,"&gt;"&amp;$X1192)+COUNTIFS($B$4:$B1192,$B1192,$X$4:$X1192,"="&amp;$X1192))</f>
        <v>47</v>
      </c>
      <c r="R1192" s="72">
        <f>IF($C1192="","",IF($I1192="","",ROUND(COUNTIF($I$4:$I$1463,"&lt;"&amp;$I1192)/COUNT($I$4:$I$1463),3)))</f>
        <v>0.21099999999999999</v>
      </c>
      <c r="S1192" s="15" t="str">
        <f>IF($C1192="","",IF($G1192="","Name only",IF(OR($I1192="",$L1192=""),"Partial","Complete")))</f>
        <v>Complete</v>
      </c>
      <c r="T1192" s="41" t="str">
        <f>IF($C1192="","",TRIM(IF(COUNTIF($C$4:$C$1463,$C1192)&gt;1,"Dup name; ","")&amp;IF(AND($G1192&lt;&gt;"",$G1192&lt;55000),"Low CR - verify; ","")&amp;IF(AND($L1192&lt;&gt;"",$L1192&gt;15),"Secondary - verify; ","")&amp;IF($E1192="","No class; ","")))</f>
        <v/>
      </c>
      <c r="U1192" s="68"/>
      <c r="V1192" s="68"/>
      <c r="W1192" s="68"/>
      <c r="X1192" s="73">
        <f t="shared" si="92"/>
        <v>2292</v>
      </c>
      <c r="Y1192" s="41" t="str">
        <f t="shared" si="93"/>
        <v>EMERALD LEAF TRIBE|47</v>
      </c>
      <c r="Z1192" s="15">
        <f>IF($C1192="","",IF($G1192="","",RANK($G1192,$G$4:$G$1463)+COUNTIF($G$4:$G1192,$G1192)-1))</f>
        <v>565</v>
      </c>
      <c r="AA1192" s="15">
        <f>IF($C1192="","",IF($N1192="","",RANK($N1192,$N$4:$N$1463)+COUNTIF($N$4:$N1192,$N1192)-1))</f>
        <v>945</v>
      </c>
      <c r="AB1192" s="41" t="str">
        <f>IF($C1192="","",IF($E1192="","",$E1192&amp;"#"&amp;(COUNTIFS($E$4:$E$1463,$E1192,$X$4:$X$1463,"&gt;"&amp;$X1192)+COUNTIFS($E$4:$E1192,$E1192,$X$4:$X1192,"="&amp;$X1192))))</f>
        <v>WARLOCK#262</v>
      </c>
      <c r="AC1192" s="41" t="str">
        <f>IF($C1192="","",$B1192&amp;"@"&amp;(COUNTIFS($B$4:$B$1463,$B1192,$C$4:$C$1463,"&lt;"&amp;$C1192)+COUNTIFS($B$4:$B1192,$B1192,$C$4:$C1192,$C1192)))</f>
        <v>EMERALD LEAF TRIBE@88</v>
      </c>
      <c r="AD1192" s="41">
        <f t="shared" si="94"/>
        <v>1189</v>
      </c>
      <c r="AE1192" s="41" t="s">
        <v>2520</v>
      </c>
      <c r="AF1192" s="73">
        <f t="shared" si="95"/>
        <v>62695</v>
      </c>
      <c r="AG1192" s="74">
        <f t="shared" si="96"/>
        <v>3.8</v>
      </c>
      <c r="AH1192" s="41" t="str">
        <f>IF($C1192="","",$B1192&amp;"|"&amp;(COUNTIFS($B$4:$B$1463,$B1192,$AF$4:$AF$1463,"&gt;"&amp;$AF1192)+COUNTIFS($B$4:$B1192,$B1192,$AF$4:$AF1192,"="&amp;$AF1192)))</f>
        <v>EMERALD LEAF TRIBE|14</v>
      </c>
      <c r="AI1192" s="41" t="str">
        <f>IF($C1192="","",$B1192&amp;"|"&amp;(COUNTIFS($B$4:$B$1463,$B1192,$AG$4:$AG$1463,"&gt;"&amp;$AG1192)+COUNTIFS($B$4:$B1192,$B1192,$AG$4:$AG1192,"="&amp;$AG1192)))</f>
        <v>EMERALD LEAF TRIBE|42</v>
      </c>
    </row>
    <row r="1193" spans="1:35" hidden="1">
      <c r="A1193" s="69" t="s">
        <v>109</v>
      </c>
      <c r="B1193" s="69" t="s">
        <v>113</v>
      </c>
      <c r="C1193" s="63" t="s">
        <v>2550</v>
      </c>
      <c r="D1193" s="69" t="s">
        <v>548</v>
      </c>
      <c r="E1193" s="68" t="s">
        <v>74</v>
      </c>
      <c r="F1193" s="19" t="str">
        <f>IF($C1193="","",IF($E1193="","-",IFERROR(INDEX(SETUP!$B$55:$B$64,MATCH($E1193,SETUP!$A$55:$A$64,0)),"Other")))</f>
        <v>Ranged DPS</v>
      </c>
      <c r="G1193" s="70">
        <v>62660</v>
      </c>
      <c r="H1193" s="19" t="str">
        <f>IF($C1193="","",IF($G1193="","-",INDEX(SETUP!$B$26:$B$32,MATCH($G1193,SETUP!$A$26:$A$32,1))))</f>
        <v>62,000 - 62,999</v>
      </c>
      <c r="I1193" s="70">
        <v>2202</v>
      </c>
      <c r="J1193" s="19" t="str">
        <f>IF($C1193="","",IF($I1193="","-",INDEX(SETUP!$B$16:$B$22,MATCH($I1193,SETUP!$A$16:$A$22,1))))</f>
        <v>DEVELOPING</v>
      </c>
      <c r="K1193" s="19" t="str">
        <f>IF($C1193="","",IF($I1193="","-",TEXT(INT($I1193/1000)*1000,"#,##0")&amp;" - "&amp;TEXT(INT($I1193/1000)*1000+999,"#,##0")))</f>
        <v>2,000 - 2,999</v>
      </c>
      <c r="L1193" s="71">
        <v>3.3</v>
      </c>
      <c r="M1193" s="19" t="str">
        <f>IF($C1193="","",IF($L1193="","-",INDEX(SETUP!$B$36:$B$42,MATCH($L1193,SETUP!$A$36:$A$42,1))))</f>
        <v>3k - 4k</v>
      </c>
      <c r="N1193" s="21">
        <f>IF($C1193="","",IF(OR($G1193="",$I1193=""),"",ROUND(100*(SETUP!$B$4*MIN(1,$I1193/SETUP!$B$9)+SETUP!$B$5*MAX(0,MIN(1,($G1193-SETUP!$B$10)/(SETUP!$B$11-SETUP!$B$10)))+SETUP!$B$6*MIN(1,IF($L1193="",0,$L1193)/SETUP!$B$12)),1)))</f>
        <v>35.299999999999997</v>
      </c>
      <c r="O1193" s="19" t="str">
        <f>IF($C1193="","",IF($N1193="","-",INDEX(SETUP!$B$46:$B$51,MATCH($N1193,SETUP!$A$46:$A$51,1))))</f>
        <v>B</v>
      </c>
      <c r="P1193" s="19">
        <f>IF($C1193="","",IF($I1193="","",RANK($I1193,$I$4:$I$1463)+COUNTIF($I$4:$I1193,$I1193)-1))</f>
        <v>1066</v>
      </c>
      <c r="Q1193" s="19">
        <f>IF($C1193="","",COUNTIFS($B$4:$B$1463,$B1193,$X$4:$X$1463,"&gt;"&amp;$X1193)+COUNTIFS($B$4:$B1193,$B1193,$X$4:$X1193,"="&amp;$X1193))</f>
        <v>75</v>
      </c>
      <c r="R1193" s="75">
        <f>IF($C1193="","",IF($I1193="","",ROUND(COUNTIF($I$4:$I$1463,"&lt;"&amp;$I1193)/COUNT($I$4:$I$1463),3)))</f>
        <v>0.19500000000000001</v>
      </c>
      <c r="S1193" s="19" t="str">
        <f>IF($C1193="","",IF($G1193="","Name only",IF(OR($I1193="",$L1193=""),"Partial","Complete")))</f>
        <v>Complete</v>
      </c>
      <c r="T1193" s="1" t="str">
        <f>IF($C1193="","",TRIM(IF(COUNTIF($C$4:$C$1463,$C1193)&gt;1,"Dup name; ","")&amp;IF(AND($G1193&lt;&gt;"",$G1193&lt;55000),"Low CR - verify; ","")&amp;IF(AND($L1193&lt;&gt;"",$L1193&gt;15),"Secondary - verify; ","")&amp;IF($E1193="","No class; ","")))</f>
        <v/>
      </c>
      <c r="U1193" s="68"/>
      <c r="V1193" s="68"/>
      <c r="W1193" s="68"/>
      <c r="X1193" s="76">
        <f t="shared" si="92"/>
        <v>2202</v>
      </c>
      <c r="Y1193" s="1" t="str">
        <f t="shared" si="93"/>
        <v>INVICTUS|75</v>
      </c>
      <c r="Z1193" s="19">
        <f>IF($C1193="","",IF($G1193="","",RANK($G1193,$G$4:$G$1463)+COUNTIF($G$4:$G1193,$G1193)-1))</f>
        <v>582</v>
      </c>
      <c r="AA1193" s="19">
        <f>IF($C1193="","",IF($N1193="","",RANK($N1193,$N$4:$N$1463)+COUNTIF($N$4:$N1193,$N1193)-1))</f>
        <v>999</v>
      </c>
      <c r="AB1193" s="1" t="str">
        <f>IF($C1193="","",IF($E1193="","",$E1193&amp;"#"&amp;(COUNTIFS($E$4:$E$1463,$E1193,$X$4:$X$1463,"&gt;"&amp;$X1193)+COUNTIFS($E$4:$E1193,$E1193,$X$4:$X1193,"="&amp;$X1193))))</f>
        <v>DEMON HUNTER#165</v>
      </c>
      <c r="AC1193" s="1" t="str">
        <f>IF($C1193="","",$B1193&amp;"@"&amp;(COUNTIFS($B$4:$B$1463,$B1193,$C$4:$C$1463,"&lt;"&amp;$C1193)+COUNTIFS($B$4:$B1193,$B1193,$C$4:$C1193,$C1193)))</f>
        <v>INVICTUS@88</v>
      </c>
      <c r="AD1193" s="1">
        <f t="shared" si="94"/>
        <v>1190</v>
      </c>
      <c r="AE1193" s="1" t="s">
        <v>2551</v>
      </c>
      <c r="AF1193" s="76">
        <f t="shared" si="95"/>
        <v>62660</v>
      </c>
      <c r="AG1193" s="77">
        <f t="shared" si="96"/>
        <v>3.3</v>
      </c>
      <c r="AH1193" s="1" t="str">
        <f>IF($C1193="","",$B1193&amp;"|"&amp;(COUNTIFS($B$4:$B$1463,$B1193,$AF$4:$AF$1463,"&gt;"&amp;$AF1193)+COUNTIFS($B$4:$B1193,$B1193,$AF$4:$AF1193,"="&amp;$AF1193)))</f>
        <v>INVICTUS|33</v>
      </c>
      <c r="AI1193" s="1" t="str">
        <f>IF($C1193="","",$B1193&amp;"|"&amp;(COUNTIFS($B$4:$B$1463,$B1193,$AG$4:$AG$1463,"&gt;"&amp;$AG1193)+COUNTIFS($B$4:$B1193,$B1193,$AG$4:$AG1193,"="&amp;$AG1193)))</f>
        <v>INVICTUS|86</v>
      </c>
    </row>
    <row r="1194" spans="1:35" hidden="1">
      <c r="A1194" s="69" t="s">
        <v>109</v>
      </c>
      <c r="B1194" s="69" t="s">
        <v>108</v>
      </c>
      <c r="C1194" s="63" t="s">
        <v>2552</v>
      </c>
      <c r="D1194" s="69"/>
      <c r="E1194" s="68" t="s">
        <v>75</v>
      </c>
      <c r="F1194" s="15" t="str">
        <f>IF($C1194="","",IF($E1194="","-",IFERROR(INDEX(SETUP!$B$55:$B$64,MATCH($E1194,SETUP!$A$55:$A$64,0)),"Other")))</f>
        <v>Support</v>
      </c>
      <c r="G1194" s="70">
        <v>61441</v>
      </c>
      <c r="H1194" s="15" t="str">
        <f>IF($C1194="","",IF($G1194="","-",INDEX(SETUP!$B$26:$B$32,MATCH($G1194,SETUP!$A$26:$A$32,1))))</f>
        <v>61,000 - 61,999</v>
      </c>
      <c r="I1194" s="70">
        <v>3002</v>
      </c>
      <c r="J1194" s="15" t="str">
        <f>IF($C1194="","",IF($I1194="","-",INDEX(SETUP!$B$16:$B$22,MATCH($I1194,SETUP!$A$16:$A$22,1))))</f>
        <v>DEVELOPING</v>
      </c>
      <c r="K1194" s="15" t="str">
        <f>IF($C1194="","",IF($I1194="","-",TEXT(INT($I1194/1000)*1000,"#,##0")&amp;" - "&amp;TEXT(INT($I1194/1000)*1000+999,"#,##0")))</f>
        <v>3,000 - 3,999</v>
      </c>
      <c r="L1194" s="71">
        <v>3.9</v>
      </c>
      <c r="M1194" s="15" t="str">
        <f>IF($C1194="","",IF($L1194="","-",INDEX(SETUP!$B$36:$B$42,MATCH($L1194,SETUP!$A$36:$A$42,1))))</f>
        <v>3k - 4k</v>
      </c>
      <c r="N1194" s="17">
        <f>IF($C1194="","",IF(OR($G1194="",$I1194=""),"",ROUND(100*(SETUP!$B$4*MIN(1,$I1194/SETUP!$B$9)+SETUP!$B$5*MAX(0,MIN(1,($G1194-SETUP!$B$10)/(SETUP!$B$11-SETUP!$B$10)))+SETUP!$B$6*MIN(1,IF($L1194="",0,$L1194)/SETUP!$B$12)),1)))</f>
        <v>36.6</v>
      </c>
      <c r="O1194" s="15" t="str">
        <f>IF($C1194="","",IF($N1194="","-",INDEX(SETUP!$B$46:$B$51,MATCH($N1194,SETUP!$A$46:$A$51,1))))</f>
        <v>B</v>
      </c>
      <c r="P1194" s="15">
        <f>IF($C1194="","",IF($I1194="","",RANK($I1194,$I$4:$I$1463)+COUNTIF($I$4:$I1194,$I1194)-1))</f>
        <v>883</v>
      </c>
      <c r="Q1194" s="15">
        <f>IF($C1194="","",COUNTIFS($B$4:$B$1463,$B1194,$X$4:$X$1463,"&gt;"&amp;$X1194)+COUNTIFS($B$4:$B1194,$B1194,$X$4:$X1194,"="&amp;$X1194))</f>
        <v>91</v>
      </c>
      <c r="R1194" s="72">
        <f>IF($C1194="","",IF($I1194="","",ROUND(COUNTIF($I$4:$I$1463,"&lt;"&amp;$I1194)/COUNT($I$4:$I$1463),3)))</f>
        <v>0.33300000000000002</v>
      </c>
      <c r="S1194" s="15" t="str">
        <f>IF($C1194="","",IF($G1194="","Name only",IF(OR($I1194="",$L1194=""),"Partial","Complete")))</f>
        <v>Complete</v>
      </c>
      <c r="T1194" s="41" t="str">
        <f>IF($C1194="","",TRIM(IF(COUNTIF($C$4:$C$1463,$C1194)&gt;1,"Dup name; ","")&amp;IF(AND($G1194&lt;&gt;"",$G1194&lt;55000),"Low CR - verify; ","")&amp;IF(AND($L1194&lt;&gt;"",$L1194&gt;15),"Secondary - verify; ","")&amp;IF($E1194="","No class; ","")))</f>
        <v/>
      </c>
      <c r="U1194" s="68"/>
      <c r="V1194" s="68"/>
      <c r="W1194" s="68"/>
      <c r="X1194" s="73">
        <f t="shared" si="92"/>
        <v>3002</v>
      </c>
      <c r="Y1194" s="41" t="str">
        <f t="shared" si="93"/>
        <v>SBG|91</v>
      </c>
      <c r="Z1194" s="15">
        <f>IF($C1194="","",IF($G1194="","",RANK($G1194,$G$4:$G$1463)+COUNTIF($G$4:$G1194,$G1194)-1))</f>
        <v>1017</v>
      </c>
      <c r="AA1194" s="15">
        <f>IF($C1194="","",IF($N1194="","",RANK($N1194,$N$4:$N$1463)+COUNTIF($N$4:$N1194,$N1194)-1))</f>
        <v>946</v>
      </c>
      <c r="AB1194" s="41" t="str">
        <f>IF($C1194="","",IF($E1194="","",$E1194&amp;"#"&amp;(COUNTIFS($E$4:$E$1463,$E1194,$X$4:$X$1463,"&gt;"&amp;$X1194)+COUNTIFS($E$4:$E1194,$E1194,$X$4:$X1194,"="&amp;$X1194))))</f>
        <v>DRUID#41</v>
      </c>
      <c r="AC1194" s="41" t="str">
        <f>IF($C1194="","",$B1194&amp;"@"&amp;(COUNTIFS($B$4:$B$1463,$B1194,$C$4:$C$1463,"&lt;"&amp;$C1194)+COUNTIFS($B$4:$B1194,$B1194,$C$4:$C1194,$C1194)))</f>
        <v>SBG@82</v>
      </c>
      <c r="AD1194" s="41">
        <f t="shared" si="94"/>
        <v>1191</v>
      </c>
      <c r="AE1194" s="41" t="s">
        <v>2553</v>
      </c>
      <c r="AF1194" s="73">
        <f t="shared" si="95"/>
        <v>61441</v>
      </c>
      <c r="AG1194" s="74">
        <f t="shared" si="96"/>
        <v>3.9</v>
      </c>
      <c r="AH1194" s="41" t="str">
        <f>IF($C1194="","",$B1194&amp;"|"&amp;(COUNTIFS($B$4:$B$1463,$B1194,$AF$4:$AF$1463,"&gt;"&amp;$AF1194)+COUNTIFS($B$4:$B1194,$B1194,$AF$4:$AF1194,"="&amp;$AF1194)))</f>
        <v>SBG|84</v>
      </c>
      <c r="AI1194" s="41" t="str">
        <f>IF($C1194="","",$B1194&amp;"|"&amp;(COUNTIFS($B$4:$B$1463,$B1194,$AG$4:$AG$1463,"&gt;"&amp;$AG1194)+COUNTIFS($B$4:$B1194,$B1194,$AG$4:$AG1194,"="&amp;$AG1194)))</f>
        <v>SBG|95</v>
      </c>
    </row>
    <row r="1195" spans="1:35" hidden="1">
      <c r="A1195" s="69" t="s">
        <v>109</v>
      </c>
      <c r="B1195" s="69" t="s">
        <v>108</v>
      </c>
      <c r="C1195" s="63" t="s">
        <v>2554</v>
      </c>
      <c r="D1195" s="69"/>
      <c r="E1195" s="68" t="s">
        <v>71</v>
      </c>
      <c r="F1195" s="19" t="str">
        <f>IF($C1195="","",IF($E1195="","-",IFERROR(INDEX(SETUP!$B$55:$B$64,MATCH($E1195,SETUP!$A$55:$A$64,0)),"Other")))</f>
        <v>Frontline</v>
      </c>
      <c r="G1195" s="70">
        <v>62729</v>
      </c>
      <c r="H1195" s="19" t="str">
        <f>IF($C1195="","",IF($G1195="","-",INDEX(SETUP!$B$26:$B$32,MATCH($G1195,SETUP!$A$26:$A$32,1))))</f>
        <v>62,000 - 62,999</v>
      </c>
      <c r="I1195" s="70">
        <v>4266</v>
      </c>
      <c r="J1195" s="19" t="str">
        <f>IF($C1195="","",IF($I1195="","-",INDEX(SETUP!$B$16:$B$22,MATCH($I1195,SETUP!$A$16:$A$22,1))))</f>
        <v>CORE</v>
      </c>
      <c r="K1195" s="19" t="str">
        <f>IF($C1195="","",IF($I1195="","-",TEXT(INT($I1195/1000)*1000,"#,##0")&amp;" - "&amp;TEXT(INT($I1195/1000)*1000+999,"#,##0")))</f>
        <v>4,000 - 4,999</v>
      </c>
      <c r="L1195" s="71">
        <v>5.3</v>
      </c>
      <c r="M1195" s="19" t="str">
        <f>IF($C1195="","",IF($L1195="","-",INDEX(SETUP!$B$36:$B$42,MATCH($L1195,SETUP!$A$36:$A$42,1))))</f>
        <v>5k - 6k</v>
      </c>
      <c r="N1195" s="21">
        <f>IF($C1195="","",IF(OR($G1195="",$I1195=""),"",ROUND(100*(SETUP!$B$4*MIN(1,$I1195/SETUP!$B$9)+SETUP!$B$5*MAX(0,MIN(1,($G1195-SETUP!$B$10)/(SETUP!$B$11-SETUP!$B$10)))+SETUP!$B$6*MIN(1,IF($L1195="",0,$L1195)/SETUP!$B$12)),1)))</f>
        <v>47.8</v>
      </c>
      <c r="O1195" s="19" t="str">
        <f>IF($C1195="","",IF($N1195="","-",INDEX(SETUP!$B$46:$B$51,MATCH($N1195,SETUP!$A$46:$A$51,1))))</f>
        <v>B</v>
      </c>
      <c r="P1195" s="19">
        <f>IF($C1195="","",IF($I1195="","",RANK($I1195,$I$4:$I$1463)+COUNTIF($I$4:$I1195,$I1195)-1))</f>
        <v>541</v>
      </c>
      <c r="Q1195" s="19">
        <f>IF($C1195="","",COUNTIFS($B$4:$B$1463,$B1195,$X$4:$X$1463,"&gt;"&amp;$X1195)+COUNTIFS($B$4:$B1195,$B1195,$X$4:$X1195,"="&amp;$X1195))</f>
        <v>66</v>
      </c>
      <c r="R1195" s="75">
        <f>IF($C1195="","",IF($I1195="","",ROUND(COUNTIF($I$4:$I$1463,"&lt;"&amp;$I1195)/COUNT($I$4:$I$1463),3)))</f>
        <v>0.59199999999999997</v>
      </c>
      <c r="S1195" s="19" t="str">
        <f>IF($C1195="","",IF($G1195="","Name only",IF(OR($I1195="",$L1195=""),"Partial","Complete")))</f>
        <v>Complete</v>
      </c>
      <c r="T1195" s="1" t="str">
        <f>IF($C1195="","",TRIM(IF(COUNTIF($C$4:$C$1463,$C1195)&gt;1,"Dup name; ","")&amp;IF(AND($G1195&lt;&gt;"",$G1195&lt;55000),"Low CR - verify; ","")&amp;IF(AND($L1195&lt;&gt;"",$L1195&gt;15),"Secondary - verify; ","")&amp;IF($E1195="","No class; ","")))</f>
        <v/>
      </c>
      <c r="U1195" s="68"/>
      <c r="V1195" s="68"/>
      <c r="W1195" s="68"/>
      <c r="X1195" s="76">
        <f t="shared" si="92"/>
        <v>4266</v>
      </c>
      <c r="Y1195" s="1" t="str">
        <f t="shared" si="93"/>
        <v>SBG|66</v>
      </c>
      <c r="Z1195" s="19">
        <f>IF($C1195="","",IF($G1195="","",RANK($G1195,$G$4:$G$1463)+COUNTIF($G$4:$G1195,$G1195)-1))</f>
        <v>557</v>
      </c>
      <c r="AA1195" s="19">
        <f>IF($C1195="","",IF($N1195="","",RANK($N1195,$N$4:$N$1463)+COUNTIF($N$4:$N1195,$N1195)-1))</f>
        <v>526</v>
      </c>
      <c r="AB1195" s="1" t="str">
        <f>IF($C1195="","",IF($E1195="","",$E1195&amp;"#"&amp;(COUNTIFS($E$4:$E$1463,$E1195,$X$4:$X$1463,"&gt;"&amp;$X1195)+COUNTIFS($E$4:$E1195,$E1195,$X$4:$X1195,"="&amp;$X1195))))</f>
        <v>BARBARIAN#105</v>
      </c>
      <c r="AC1195" s="1" t="str">
        <f>IF($C1195="","",$B1195&amp;"@"&amp;(COUNTIFS($B$4:$B$1463,$B1195,$C$4:$C$1463,"&lt;"&amp;$C1195)+COUNTIFS($B$4:$B1195,$B1195,$C$4:$C1195,$C1195)))</f>
        <v>SBG@83</v>
      </c>
      <c r="AD1195" s="1">
        <f t="shared" si="94"/>
        <v>1192</v>
      </c>
      <c r="AE1195" s="1" t="s">
        <v>2555</v>
      </c>
      <c r="AF1195" s="76">
        <f t="shared" si="95"/>
        <v>62729</v>
      </c>
      <c r="AG1195" s="77">
        <f t="shared" si="96"/>
        <v>5.3</v>
      </c>
      <c r="AH1195" s="1" t="str">
        <f>IF($C1195="","",$B1195&amp;"|"&amp;(COUNTIFS($B$4:$B$1463,$B1195,$AF$4:$AF$1463,"&gt;"&amp;$AF1195)+COUNTIFS($B$4:$B1195,$B1195,$AF$4:$AF1195,"="&amp;$AF1195)))</f>
        <v>SBG|52</v>
      </c>
      <c r="AI1195" s="1" t="str">
        <f>IF($C1195="","",$B1195&amp;"|"&amp;(COUNTIFS($B$4:$B$1463,$B1195,$AG$4:$AG$1463,"&gt;"&amp;$AG1195)+COUNTIFS($B$4:$B1195,$B1195,$AG$4:$AG1195,"="&amp;$AG1195)))</f>
        <v>SBG|66</v>
      </c>
    </row>
    <row r="1196" spans="1:35" hidden="1">
      <c r="A1196" s="69" t="s">
        <v>109</v>
      </c>
      <c r="B1196" s="69" t="s">
        <v>113</v>
      </c>
      <c r="C1196" s="63" t="s">
        <v>2556</v>
      </c>
      <c r="D1196" s="69" t="s">
        <v>548</v>
      </c>
      <c r="E1196" s="68" t="s">
        <v>79</v>
      </c>
      <c r="F1196" s="15" t="str">
        <f>IF($C1196="","",IF($E1196="","-",IFERROR(INDEX(SETUP!$B$55:$B$64,MATCH($E1196,SETUP!$A$55:$A$64,0)),"Other")))</f>
        <v>Control</v>
      </c>
      <c r="G1196" s="70">
        <v>61411</v>
      </c>
      <c r="H1196" s="15" t="str">
        <f>IF($C1196="","",IF($G1196="","-",INDEX(SETUP!$B$26:$B$32,MATCH($G1196,SETUP!$A$26:$A$32,1))))</f>
        <v>61,000 - 61,999</v>
      </c>
      <c r="I1196" s="70">
        <v>3704</v>
      </c>
      <c r="J1196" s="15" t="str">
        <f>IF($C1196="","",IF($I1196="","-",INDEX(SETUP!$B$16:$B$22,MATCH($I1196,SETUP!$A$16:$A$22,1))))</f>
        <v>DEVELOPING</v>
      </c>
      <c r="K1196" s="15" t="str">
        <f>IF($C1196="","",IF($I1196="","-",TEXT(INT($I1196/1000)*1000,"#,##0")&amp;" - "&amp;TEXT(INT($I1196/1000)*1000+999,"#,##0")))</f>
        <v>3,000 - 3,999</v>
      </c>
      <c r="L1196" s="71">
        <v>5.05</v>
      </c>
      <c r="M1196" s="15" t="str">
        <f>IF($C1196="","",IF($L1196="","-",INDEX(SETUP!$B$36:$B$42,MATCH($L1196,SETUP!$A$36:$A$42,1))))</f>
        <v>5k - 6k</v>
      </c>
      <c r="N1196" s="17">
        <f>IF($C1196="","",IF(OR($G1196="",$I1196=""),"",ROUND(100*(SETUP!$B$4*MIN(1,$I1196/SETUP!$B$9)+SETUP!$B$5*MAX(0,MIN(1,($G1196-SETUP!$B$10)/(SETUP!$B$11-SETUP!$B$10)))+SETUP!$B$6*MIN(1,IF($L1196="",0,$L1196)/SETUP!$B$12)),1)))</f>
        <v>41.5</v>
      </c>
      <c r="O1196" s="15" t="str">
        <f>IF($C1196="","",IF($N1196="","-",INDEX(SETUP!$B$46:$B$51,MATCH($N1196,SETUP!$A$46:$A$51,1))))</f>
        <v>B</v>
      </c>
      <c r="P1196" s="15">
        <f>IF($C1196="","",IF($I1196="","",RANK($I1196,$I$4:$I$1463)+COUNTIF($I$4:$I1196,$I1196)-1))</f>
        <v>677</v>
      </c>
      <c r="Q1196" s="15">
        <f>IF($C1196="","",COUNTIFS($B$4:$B$1463,$B1196,$X$4:$X$1463,"&gt;"&amp;$X1196)+COUNTIFS($B$4:$B1196,$B1196,$X$4:$X1196,"="&amp;$X1196))</f>
        <v>31</v>
      </c>
      <c r="R1196" s="72">
        <f>IF($C1196="","",IF($I1196="","",ROUND(COUNTIF($I$4:$I$1463,"&lt;"&amp;$I1196)/COUNT($I$4:$I$1463),3)))</f>
        <v>0.48899999999999999</v>
      </c>
      <c r="S1196" s="15" t="str">
        <f>IF($C1196="","",IF($G1196="","Name only",IF(OR($I1196="",$L1196=""),"Partial","Complete")))</f>
        <v>Complete</v>
      </c>
      <c r="T1196" s="41" t="str">
        <f>IF($C1196="","",TRIM(IF(COUNTIF($C$4:$C$1463,$C1196)&gt;1,"Dup name; ","")&amp;IF(AND($G1196&lt;&gt;"",$G1196&lt;55000),"Low CR - verify; ","")&amp;IF(AND($L1196&lt;&gt;"",$L1196&gt;15),"Secondary - verify; ","")&amp;IF($E1196="","No class; ","")))</f>
        <v/>
      </c>
      <c r="U1196" s="68"/>
      <c r="V1196" s="68"/>
      <c r="W1196" s="68"/>
      <c r="X1196" s="73">
        <f t="shared" si="92"/>
        <v>3704</v>
      </c>
      <c r="Y1196" s="41" t="str">
        <f t="shared" si="93"/>
        <v>INVICTUS|31</v>
      </c>
      <c r="Z1196" s="15">
        <f>IF($C1196="","",IF($G1196="","",RANK($G1196,$G$4:$G$1463)+COUNTIF($G$4:$G1196,$G1196)-1))</f>
        <v>1029</v>
      </c>
      <c r="AA1196" s="15">
        <f>IF($C1196="","",IF($N1196="","",RANK($N1196,$N$4:$N$1463)+COUNTIF($N$4:$N1196,$N1196)-1))</f>
        <v>758</v>
      </c>
      <c r="AB1196" s="41" t="str">
        <f>IF($C1196="","",IF($E1196="","",$E1196&amp;"#"&amp;(COUNTIFS($E$4:$E$1463,$E1196,$X$4:$X$1463,"&gt;"&amp;$X1196)+COUNTIFS($E$4:$E1196,$E1196,$X$4:$X1196,"="&amp;$X1196))))</f>
        <v>WARLOCK#165</v>
      </c>
      <c r="AC1196" s="41" t="str">
        <f>IF($C1196="","",$B1196&amp;"@"&amp;(COUNTIFS($B$4:$B$1463,$B1196,$C$4:$C$1463,"&lt;"&amp;$C1196)+COUNTIFS($B$4:$B1196,$B1196,$C$4:$C1196,$C1196)))</f>
        <v>INVICTUS@89</v>
      </c>
      <c r="AD1196" s="41">
        <f t="shared" si="94"/>
        <v>1193</v>
      </c>
      <c r="AE1196" s="41" t="s">
        <v>2557</v>
      </c>
      <c r="AF1196" s="73">
        <f t="shared" si="95"/>
        <v>61411</v>
      </c>
      <c r="AG1196" s="74">
        <f t="shared" si="96"/>
        <v>5.05</v>
      </c>
      <c r="AH1196" s="41" t="str">
        <f>IF($C1196="","",$B1196&amp;"|"&amp;(COUNTIFS($B$4:$B$1463,$B1196,$AF$4:$AF$1463,"&gt;"&amp;$AF1196)+COUNTIFS($B$4:$B1196,$B1196,$AF$4:$AF1196,"="&amp;$AF1196)))</f>
        <v>INVICTUS|74</v>
      </c>
      <c r="AI1196" s="41" t="str">
        <f>IF($C1196="","",$B1196&amp;"|"&amp;(COUNTIFS($B$4:$B$1463,$B1196,$AG$4:$AG$1463,"&gt;"&amp;$AG1196)+COUNTIFS($B$4:$B1196,$B1196,$AG$4:$AG1196,"="&amp;$AG1196)))</f>
        <v>INVICTUS|27</v>
      </c>
    </row>
    <row r="1197" spans="1:35" hidden="1">
      <c r="A1197" s="69" t="s">
        <v>109</v>
      </c>
      <c r="B1197" s="69" t="s">
        <v>110</v>
      </c>
      <c r="C1197" s="63" t="s">
        <v>2558</v>
      </c>
      <c r="D1197" s="69"/>
      <c r="E1197" s="68" t="s">
        <v>80</v>
      </c>
      <c r="F1197" s="19" t="str">
        <f>IF($C1197="","",IF($E1197="","-",IFERROR(INDEX(SETUP!$B$55:$B$64,MATCH($E1197,SETUP!$A$55:$A$64,0)),"Other")))</f>
        <v>Ranged DPS</v>
      </c>
      <c r="G1197" s="70">
        <v>64266</v>
      </c>
      <c r="H1197" s="19" t="str">
        <f>IF($C1197="","",IF($G1197="","-",INDEX(SETUP!$B$26:$B$32,MATCH($G1197,SETUP!$A$26:$A$32,1))))</f>
        <v>64,000 +</v>
      </c>
      <c r="I1197" s="70">
        <v>11394</v>
      </c>
      <c r="J1197" s="19" t="str">
        <f>IF($C1197="","",IF($I1197="","-",INDEX(SETUP!$B$16:$B$22,MATCH($I1197,SETUP!$A$16:$A$22,1))))</f>
        <v>APEX</v>
      </c>
      <c r="K1197" s="19" t="str">
        <f>IF($C1197="","",IF($I1197="","-",TEXT(INT($I1197/1000)*1000,"#,##0")&amp;" - "&amp;TEXT(INT($I1197/1000)*1000+999,"#,##0")))</f>
        <v>11,000 - 11,999</v>
      </c>
      <c r="L1197" s="71">
        <v>10.7</v>
      </c>
      <c r="M1197" s="19" t="str">
        <f>IF($C1197="","",IF($L1197="","-",INDEX(SETUP!$B$36:$B$42,MATCH($L1197,SETUP!$A$36:$A$42,1))))</f>
        <v>10k +</v>
      </c>
      <c r="N1197" s="21">
        <f>IF($C1197="","",IF(OR($G1197="",$I1197=""),"",ROUND(100*(SETUP!$B$4*MIN(1,$I1197/SETUP!$B$9)+SETUP!$B$5*MAX(0,MIN(1,($G1197-SETUP!$B$10)/(SETUP!$B$11-SETUP!$B$10)))+SETUP!$B$6*MIN(1,IF($L1197="",0,$L1197)/SETUP!$B$12)),1)))</f>
        <v>92</v>
      </c>
      <c r="O1197" s="19" t="str">
        <f>IF($C1197="","",IF($N1197="","-",INDEX(SETUP!$B$46:$B$51,MATCH($N1197,SETUP!$A$46:$A$51,1))))</f>
        <v>S+</v>
      </c>
      <c r="P1197" s="19">
        <f>IF($C1197="","",IF($I1197="","",RANK($I1197,$I$4:$I$1463)+COUNTIF($I$4:$I1197,$I1197)-1))</f>
        <v>9</v>
      </c>
      <c r="Q1197" s="19">
        <f>IF($C1197="","",COUNTIFS($B$4:$B$1463,$B1197,$X$4:$X$1463,"&gt;"&amp;$X1197)+COUNTIFS($B$4:$B1197,$B1197,$X$4:$X1197,"="&amp;$X1197))</f>
        <v>5</v>
      </c>
      <c r="R1197" s="75">
        <f>IF($C1197="","",IF($I1197="","",ROUND(COUNTIF($I$4:$I$1463,"&lt;"&amp;$I1197)/COUNT($I$4:$I$1463),3)))</f>
        <v>0.99299999999999999</v>
      </c>
      <c r="S1197" s="19" t="str">
        <f>IF($C1197="","",IF($G1197="","Name only",IF(OR($I1197="",$L1197=""),"Partial","Complete")))</f>
        <v>Complete</v>
      </c>
      <c r="T1197" s="1" t="str">
        <f>IF($C1197="","",TRIM(IF(COUNTIF($C$4:$C$1463,$C1197)&gt;1,"Dup name; ","")&amp;IF(AND($G1197&lt;&gt;"",$G1197&lt;55000),"Low CR - verify; ","")&amp;IF(AND($L1197&lt;&gt;"",$L1197&gt;15),"Secondary - verify; ","")&amp;IF($E1197="","No class; ","")))</f>
        <v/>
      </c>
      <c r="U1197" s="68"/>
      <c r="V1197" s="68"/>
      <c r="W1197" s="68"/>
      <c r="X1197" s="76">
        <f t="shared" si="92"/>
        <v>11394</v>
      </c>
      <c r="Y1197" s="1" t="str">
        <f t="shared" si="93"/>
        <v>AZUKI|5</v>
      </c>
      <c r="Z1197" s="19">
        <f>IF($C1197="","",IF($G1197="","",RANK($G1197,$G$4:$G$1463)+COUNTIF($G$4:$G1197,$G1197)-1))</f>
        <v>28</v>
      </c>
      <c r="AA1197" s="19">
        <f>IF($C1197="","",IF($N1197="","",RANK($N1197,$N$4:$N$1463)+COUNTIF($N$4:$N1197,$N1197)-1))</f>
        <v>7</v>
      </c>
      <c r="AB1197" s="1" t="str">
        <f>IF($C1197="","",IF($E1197="","",$E1197&amp;"#"&amp;(COUNTIFS($E$4:$E$1463,$E1197,$X$4:$X$1463,"&gt;"&amp;$X1197)+COUNTIFS($E$4:$E1197,$E1197,$X$4:$X1197,"="&amp;$X1197))))</f>
        <v>WIZARD#1</v>
      </c>
      <c r="AC1197" s="1" t="str">
        <f>IF($C1197="","",$B1197&amp;"@"&amp;(COUNTIFS($B$4:$B$1463,$B1197,$C$4:$C$1463,"&lt;"&amp;$C1197)+COUNTIFS($B$4:$B1197,$B1197,$C$4:$C1197,$C1197)))</f>
        <v>AZUKI@91</v>
      </c>
      <c r="AD1197" s="1">
        <f t="shared" si="94"/>
        <v>1194</v>
      </c>
      <c r="AE1197" s="1" t="s">
        <v>2559</v>
      </c>
      <c r="AF1197" s="76">
        <f t="shared" si="95"/>
        <v>64266</v>
      </c>
      <c r="AG1197" s="77">
        <f t="shared" si="96"/>
        <v>10.7</v>
      </c>
      <c r="AH1197" s="1" t="str">
        <f>IF($C1197="","",$B1197&amp;"|"&amp;(COUNTIFS($B$4:$B$1463,$B1197,$AF$4:$AF$1463,"&gt;"&amp;$AF1197)+COUNTIFS($B$4:$B1197,$B1197,$AF$4:$AF1197,"="&amp;$AF1197)))</f>
        <v>AZUKI|7</v>
      </c>
      <c r="AI1197" s="1" t="str">
        <f>IF($C1197="","",$B1197&amp;"|"&amp;(COUNTIFS($B$4:$B$1463,$B1197,$AG$4:$AG$1463,"&gt;"&amp;$AG1197)+COUNTIFS($B$4:$B1197,$B1197,$AG$4:$AG1197,"="&amp;$AG1197)))</f>
        <v>AZUKI|3</v>
      </c>
    </row>
    <row r="1198" spans="1:35" hidden="1">
      <c r="A1198" s="69" t="s">
        <v>109</v>
      </c>
      <c r="B1198" s="69" t="s">
        <v>112</v>
      </c>
      <c r="C1198" s="63" t="s">
        <v>2560</v>
      </c>
      <c r="D1198" s="69" t="s">
        <v>567</v>
      </c>
      <c r="E1198" s="68" t="s">
        <v>74</v>
      </c>
      <c r="F1198" s="15" t="str">
        <f>IF($C1198="","",IF($E1198="","-",IFERROR(INDEX(SETUP!$B$55:$B$64,MATCH($E1198,SETUP!$A$55:$A$64,0)),"Other")))</f>
        <v>Ranged DPS</v>
      </c>
      <c r="G1198" s="70">
        <v>61937</v>
      </c>
      <c r="H1198" s="15" t="str">
        <f>IF($C1198="","",IF($G1198="","-",INDEX(SETUP!$B$26:$B$32,MATCH($G1198,SETUP!$A$26:$A$32,1))))</f>
        <v>61,000 - 61,999</v>
      </c>
      <c r="I1198" s="70">
        <v>2877</v>
      </c>
      <c r="J1198" s="15" t="str">
        <f>IF($C1198="","",IF($I1198="","-",INDEX(SETUP!$B$16:$B$22,MATCH($I1198,SETUP!$A$16:$A$22,1))))</f>
        <v>DEVELOPING</v>
      </c>
      <c r="K1198" s="15" t="str">
        <f>IF($C1198="","",IF($I1198="","-",TEXT(INT($I1198/1000)*1000,"#,##0")&amp;" - "&amp;TEXT(INT($I1198/1000)*1000+999,"#,##0")))</f>
        <v>2,000 - 2,999</v>
      </c>
      <c r="L1198" s="71">
        <v>4.05</v>
      </c>
      <c r="M1198" s="15" t="str">
        <f>IF($C1198="","",IF($L1198="","-",INDEX(SETUP!$B$36:$B$42,MATCH($L1198,SETUP!$A$36:$A$42,1))))</f>
        <v>4k - 5k</v>
      </c>
      <c r="N1198" s="17">
        <f>IF($C1198="","",IF(OR($G1198="",$I1198=""),"",ROUND(100*(SETUP!$B$4*MIN(1,$I1198/SETUP!$B$9)+SETUP!$B$5*MAX(0,MIN(1,($G1198-SETUP!$B$10)/(SETUP!$B$11-SETUP!$B$10)))+SETUP!$B$6*MIN(1,IF($L1198="",0,$L1198)/SETUP!$B$12)),1)))</f>
        <v>37.6</v>
      </c>
      <c r="O1198" s="15" t="str">
        <f>IF($C1198="","",IF($N1198="","-",INDEX(SETUP!$B$46:$B$51,MATCH($N1198,SETUP!$A$46:$A$51,1))))</f>
        <v>B</v>
      </c>
      <c r="P1198" s="15">
        <f>IF($C1198="","",IF($I1198="","",RANK($I1198,$I$4:$I$1463)+COUNTIF($I$4:$I1198,$I1198)-1))</f>
        <v>915</v>
      </c>
      <c r="Q1198" s="15">
        <f>IF($C1198="","",COUNTIFS($B$4:$B$1463,$B1198,$X$4:$X$1463,"&gt;"&amp;$X1198)+COUNTIFS($B$4:$B1198,$B1198,$X$4:$X1198,"="&amp;$X1198))</f>
        <v>71</v>
      </c>
      <c r="R1198" s="72">
        <f>IF($C1198="","",IF($I1198="","",ROUND(COUNTIF($I$4:$I$1463,"&lt;"&amp;$I1198)/COUNT($I$4:$I$1463),3)))</f>
        <v>0.309</v>
      </c>
      <c r="S1198" s="15" t="str">
        <f>IF($C1198="","",IF($G1198="","Name only",IF(OR($I1198="",$L1198=""),"Partial","Complete")))</f>
        <v>Complete</v>
      </c>
      <c r="T1198" s="41" t="str">
        <f>IF($C1198="","",TRIM(IF(COUNTIF($C$4:$C$1463,$C1198)&gt;1,"Dup name; ","")&amp;IF(AND($G1198&lt;&gt;"",$G1198&lt;55000),"Low CR - verify; ","")&amp;IF(AND($L1198&lt;&gt;"",$L1198&gt;15),"Secondary - verify; ","")&amp;IF($E1198="","No class; ","")))</f>
        <v/>
      </c>
      <c r="U1198" s="68"/>
      <c r="V1198" s="68"/>
      <c r="W1198" s="68"/>
      <c r="X1198" s="73">
        <f t="shared" si="92"/>
        <v>2877</v>
      </c>
      <c r="Y1198" s="41" t="str">
        <f t="shared" si="93"/>
        <v>ACHERON|71</v>
      </c>
      <c r="Z1198" s="15">
        <f>IF($C1198="","",IF($G1198="","",RANK($G1198,$G$4:$G$1463)+COUNTIF($G$4:$G1198,$G1198)-1))</f>
        <v>857</v>
      </c>
      <c r="AA1198" s="15">
        <f>IF($C1198="","",IF($N1198="","",RANK($N1198,$N$4:$N$1463)+COUNTIF($N$4:$N1198,$N1198)-1))</f>
        <v>912</v>
      </c>
      <c r="AB1198" s="41" t="str">
        <f>IF($C1198="","",IF($E1198="","",$E1198&amp;"#"&amp;(COUNTIFS($E$4:$E$1463,$E1198,$X$4:$X$1463,"&gt;"&amp;$X1198)+COUNTIFS($E$4:$E1198,$E1198,$X$4:$X1198,"="&amp;$X1198))))</f>
        <v>DEMON HUNTER#146</v>
      </c>
      <c r="AC1198" s="41" t="str">
        <f>IF($C1198="","",$B1198&amp;"@"&amp;(COUNTIFS($B$4:$B$1463,$B1198,$C$4:$C$1463,"&lt;"&amp;$C1198)+COUNTIFS($B$4:$B1198,$B1198,$C$4:$C1198,$C1198)))</f>
        <v>ACHERON@82</v>
      </c>
      <c r="AD1198" s="41">
        <f t="shared" si="94"/>
        <v>1195</v>
      </c>
      <c r="AE1198" s="41" t="s">
        <v>2561</v>
      </c>
      <c r="AF1198" s="73">
        <f t="shared" si="95"/>
        <v>61937</v>
      </c>
      <c r="AG1198" s="74">
        <f t="shared" si="96"/>
        <v>4.05</v>
      </c>
      <c r="AH1198" s="41" t="str">
        <f>IF($C1198="","",$B1198&amp;"|"&amp;(COUNTIFS($B$4:$B$1463,$B1198,$AF$4:$AF$1463,"&gt;"&amp;$AF1198)+COUNTIFS($B$4:$B1198,$B1198,$AF$4:$AF1198,"="&amp;$AF1198)))</f>
        <v>ACHERON|69</v>
      </c>
      <c r="AI1198" s="41" t="str">
        <f>IF($C1198="","",$B1198&amp;"|"&amp;(COUNTIFS($B$4:$B$1463,$B1198,$AG$4:$AG$1463,"&gt;"&amp;$AG1198)+COUNTIFS($B$4:$B1198,$B1198,$AG$4:$AG1198,"="&amp;$AG1198)))</f>
        <v>ACHERON|73</v>
      </c>
    </row>
    <row r="1199" spans="1:35" hidden="1">
      <c r="A1199" s="69" t="s">
        <v>109</v>
      </c>
      <c r="B1199" s="69" t="s">
        <v>118</v>
      </c>
      <c r="C1199" s="63" t="s">
        <v>2562</v>
      </c>
      <c r="D1199" s="69"/>
      <c r="E1199" s="68" t="s">
        <v>73</v>
      </c>
      <c r="F1199" s="19" t="str">
        <f>IF($C1199="","",IF($E1199="","-",IFERROR(INDEX(SETUP!$B$55:$B$64,MATCH($E1199,SETUP!$A$55:$A$64,0)),"Other")))</f>
        <v>Frontline</v>
      </c>
      <c r="G1199" s="70">
        <v>61399</v>
      </c>
      <c r="H1199" s="19" t="str">
        <f>IF($C1199="","",IF($G1199="","-",INDEX(SETUP!$B$26:$B$32,MATCH($G1199,SETUP!$A$26:$A$32,1))))</f>
        <v>61,000 - 61,999</v>
      </c>
      <c r="I1199" s="70">
        <v>1619</v>
      </c>
      <c r="J1199" s="19" t="str">
        <f>IF($C1199="","",IF($I1199="","-",INDEX(SETUP!$B$16:$B$22,MATCH($I1199,SETUP!$A$16:$A$22,1))))</f>
        <v>ROOKIE</v>
      </c>
      <c r="K1199" s="19" t="str">
        <f>IF($C1199="","",IF($I1199="","-",TEXT(INT($I1199/1000)*1000,"#,##0")&amp;" - "&amp;TEXT(INT($I1199/1000)*1000+999,"#,##0")))</f>
        <v>1,000 - 1,999</v>
      </c>
      <c r="L1199" s="71"/>
      <c r="M1199" s="19" t="str">
        <f>IF($C1199="","",IF($L1199="","-",INDEX(SETUP!$B$36:$B$42,MATCH($L1199,SETUP!$A$36:$A$42,1))))</f>
        <v>-</v>
      </c>
      <c r="N1199" s="21">
        <f>IF($C1199="","",IF(OR($G1199="",$I1199=""),"",ROUND(100*(SETUP!$B$4*MIN(1,$I1199/SETUP!$B$9)+SETUP!$B$5*MAX(0,MIN(1,($G1199-SETUP!$B$10)/(SETUP!$B$11-SETUP!$B$10)))+SETUP!$B$6*MIN(1,IF($L1199="",0,$L1199)/SETUP!$B$12)),1)))</f>
        <v>23.9</v>
      </c>
      <c r="O1199" s="19" t="str">
        <f>IF($C1199="","",IF($N1199="","-",INDEX(SETUP!$B$46:$B$51,MATCH($N1199,SETUP!$A$46:$A$51,1))))</f>
        <v>C</v>
      </c>
      <c r="P1199" s="19">
        <f>IF($C1199="","",IF($I1199="","",RANK($I1199,$I$4:$I$1463)+COUNTIF($I$4:$I1199,$I1199)-1))</f>
        <v>1174</v>
      </c>
      <c r="Q1199" s="19">
        <f>IF($C1199="","",COUNTIFS($B$4:$B$1463,$B1199,$X$4:$X$1463,"&gt;"&amp;$X1199)+COUNTIFS($B$4:$B1199,$B1199,$X$4:$X1199,"="&amp;$X1199))</f>
        <v>55</v>
      </c>
      <c r="R1199" s="75">
        <f>IF($C1199="","",IF($I1199="","",ROUND(COUNTIF($I$4:$I$1463,"&lt;"&amp;$I1199)/COUNT($I$4:$I$1463),3)))</f>
        <v>0.114</v>
      </c>
      <c r="S1199" s="19" t="str">
        <f>IF($C1199="","",IF($G1199="","Name only",IF(OR($I1199="",$L1199=""),"Partial","Complete")))</f>
        <v>Partial</v>
      </c>
      <c r="T1199" s="1" t="str">
        <f>IF($C1199="","",TRIM(IF(COUNTIF($C$4:$C$1463,$C1199)&gt;1,"Dup name; ","")&amp;IF(AND($G1199&lt;&gt;"",$G1199&lt;55000),"Low CR - verify; ","")&amp;IF(AND($L1199&lt;&gt;"",$L1199&gt;15),"Secondary - verify; ","")&amp;IF($E1199="","No class; ","")))</f>
        <v/>
      </c>
      <c r="U1199" s="68"/>
      <c r="V1199" s="68"/>
      <c r="W1199" s="68"/>
      <c r="X1199" s="76">
        <f t="shared" si="92"/>
        <v>1619</v>
      </c>
      <c r="Y1199" s="1" t="str">
        <f t="shared" si="93"/>
        <v>ZOMBIES|55</v>
      </c>
      <c r="Z1199" s="19">
        <f>IF($C1199="","",IF($G1199="","",RANK($G1199,$G$4:$G$1463)+COUNTIF($G$4:$G1199,$G1199)-1))</f>
        <v>1031</v>
      </c>
      <c r="AA1199" s="19">
        <f>IF($C1199="","",IF($N1199="","",RANK($N1199,$N$4:$N$1463)+COUNTIF($N$4:$N1199,$N1199)-1))</f>
        <v>1259</v>
      </c>
      <c r="AB1199" s="1" t="str">
        <f>IF($C1199="","",IF($E1199="","",$E1199&amp;"#"&amp;(COUNTIFS($E$4:$E$1463,$E1199,$X$4:$X$1463,"&gt;"&amp;$X1199)+COUNTIFS($E$4:$E1199,$E1199,$X$4:$X1199,"="&amp;$X1199))))</f>
        <v>CRUSADER#115</v>
      </c>
      <c r="AC1199" s="1" t="str">
        <f>IF($C1199="","",$B1199&amp;"@"&amp;(COUNTIFS($B$4:$B$1463,$B1199,$C$4:$C$1463,"&lt;"&amp;$C1199)+COUNTIFS($B$4:$B1199,$B1199,$C$4:$C1199,$C1199)))</f>
        <v>ZOMBIES@86</v>
      </c>
      <c r="AD1199" s="1">
        <f t="shared" si="94"/>
        <v>1196</v>
      </c>
      <c r="AE1199" s="1" t="s">
        <v>2563</v>
      </c>
      <c r="AF1199" s="76">
        <f t="shared" si="95"/>
        <v>61399</v>
      </c>
      <c r="AG1199" s="1">
        <f t="shared" si="96"/>
        <v>-1</v>
      </c>
      <c r="AH1199" s="1" t="str">
        <f>IF($C1199="","",$B1199&amp;"|"&amp;(COUNTIFS($B$4:$B$1463,$B1199,$AF$4:$AF$1463,"&gt;"&amp;$AF1199)+COUNTIFS($B$4:$B1199,$B1199,$AF$4:$AF1199,"="&amp;$AF1199)))</f>
        <v>ZOMBIES|40</v>
      </c>
      <c r="AI1199" s="1" t="str">
        <f>IF($C1199="","",$B1199&amp;"|"&amp;(COUNTIFS($B$4:$B$1463,$B1199,$AG$4:$AG$1463,"&gt;"&amp;$AG1199)+COUNTIFS($B$4:$B1199,$B1199,$AG$4:$AG1199,"="&amp;$AG1199)))</f>
        <v>ZOMBIES|98</v>
      </c>
    </row>
    <row r="1200" spans="1:35" hidden="1">
      <c r="A1200" s="69" t="s">
        <v>109</v>
      </c>
      <c r="B1200" s="69" t="s">
        <v>108</v>
      </c>
      <c r="C1200" s="63" t="s">
        <v>2564</v>
      </c>
      <c r="D1200" s="69"/>
      <c r="E1200" s="68" t="s">
        <v>79</v>
      </c>
      <c r="F1200" s="15" t="str">
        <f>IF($C1200="","",IF($E1200="","-",IFERROR(INDEX(SETUP!$B$55:$B$64,MATCH($E1200,SETUP!$A$55:$A$64,0)),"Other")))</f>
        <v>Control</v>
      </c>
      <c r="G1200" s="70">
        <v>62788</v>
      </c>
      <c r="H1200" s="15" t="str">
        <f>IF($C1200="","",IF($G1200="","-",INDEX(SETUP!$B$26:$B$32,MATCH($G1200,SETUP!$A$26:$A$32,1))))</f>
        <v>62,000 - 62,999</v>
      </c>
      <c r="I1200" s="70">
        <v>3852</v>
      </c>
      <c r="J1200" s="15" t="str">
        <f>IF($C1200="","",IF($I1200="","-",INDEX(SETUP!$B$16:$B$22,MATCH($I1200,SETUP!$A$16:$A$22,1))))</f>
        <v>DEVELOPING</v>
      </c>
      <c r="K1200" s="15" t="str">
        <f>IF($C1200="","",IF($I1200="","-",TEXT(INT($I1200/1000)*1000,"#,##0")&amp;" - "&amp;TEXT(INT($I1200/1000)*1000+999,"#,##0")))</f>
        <v>3,000 - 3,999</v>
      </c>
      <c r="L1200" s="71">
        <v>6.05</v>
      </c>
      <c r="M1200" s="15" t="str">
        <f>IF($C1200="","",IF($L1200="","-",INDEX(SETUP!$B$36:$B$42,MATCH($L1200,SETUP!$A$36:$A$42,1))))</f>
        <v>6k - 8k</v>
      </c>
      <c r="N1200" s="17">
        <f>IF($C1200="","",IF(OR($G1200="",$I1200=""),"",ROUND(100*(SETUP!$B$4*MIN(1,$I1200/SETUP!$B$9)+SETUP!$B$5*MAX(0,MIN(1,($G1200-SETUP!$B$10)/(SETUP!$B$11-SETUP!$B$10)))+SETUP!$B$6*MIN(1,IF($L1200="",0,$L1200)/SETUP!$B$12)),1)))</f>
        <v>47.4</v>
      </c>
      <c r="O1200" s="15" t="str">
        <f>IF($C1200="","",IF($N1200="","-",INDEX(SETUP!$B$46:$B$51,MATCH($N1200,SETUP!$A$46:$A$51,1))))</f>
        <v>B</v>
      </c>
      <c r="P1200" s="15">
        <f>IF($C1200="","",IF($I1200="","",RANK($I1200,$I$4:$I$1463)+COUNTIF($I$4:$I1200,$I1200)-1))</f>
        <v>634</v>
      </c>
      <c r="Q1200" s="15">
        <f>IF($C1200="","",COUNTIFS($B$4:$B$1463,$B1200,$X$4:$X$1463,"&gt;"&amp;$X1200)+COUNTIFS($B$4:$B1200,$B1200,$X$4:$X1200,"="&amp;$X1200))</f>
        <v>77</v>
      </c>
      <c r="R1200" s="72">
        <f>IF($C1200="","",IF($I1200="","",ROUND(COUNTIF($I$4:$I$1463,"&lt;"&amp;$I1200)/COUNT($I$4:$I$1463),3)))</f>
        <v>0.52200000000000002</v>
      </c>
      <c r="S1200" s="15" t="str">
        <f>IF($C1200="","",IF($G1200="","Name only",IF(OR($I1200="",$L1200=""),"Partial","Complete")))</f>
        <v>Complete</v>
      </c>
      <c r="T1200" s="41" t="str">
        <f>IF($C1200="","",TRIM(IF(COUNTIF($C$4:$C$1463,$C1200)&gt;1,"Dup name; ","")&amp;IF(AND($G1200&lt;&gt;"",$G1200&lt;55000),"Low CR - verify; ","")&amp;IF(AND($L1200&lt;&gt;"",$L1200&gt;15),"Secondary - verify; ","")&amp;IF($E1200="","No class; ","")))</f>
        <v/>
      </c>
      <c r="U1200" s="68"/>
      <c r="V1200" s="68"/>
      <c r="W1200" s="68"/>
      <c r="X1200" s="73">
        <f t="shared" si="92"/>
        <v>3852</v>
      </c>
      <c r="Y1200" s="41" t="str">
        <f t="shared" si="93"/>
        <v>SBG|77</v>
      </c>
      <c r="Z1200" s="15">
        <f>IF($C1200="","",IF($G1200="","",RANK($G1200,$G$4:$G$1463)+COUNTIF($G$4:$G1200,$G1200)-1))</f>
        <v>525</v>
      </c>
      <c r="AA1200" s="15">
        <f>IF($C1200="","",IF($N1200="","",RANK($N1200,$N$4:$N$1463)+COUNTIF($N$4:$N1200,$N1200)-1))</f>
        <v>539</v>
      </c>
      <c r="AB1200" s="41" t="str">
        <f>IF($C1200="","",IF($E1200="","",$E1200&amp;"#"&amp;(COUNTIFS($E$4:$E$1463,$E1200,$X$4:$X$1463,"&gt;"&amp;$X1200)+COUNTIFS($E$4:$E1200,$E1200,$X$4:$X1200,"="&amp;$X1200))))</f>
        <v>WARLOCK#152</v>
      </c>
      <c r="AC1200" s="41" t="str">
        <f>IF($C1200="","",$B1200&amp;"@"&amp;(COUNTIFS($B$4:$B$1463,$B1200,$C$4:$C$1463,"&lt;"&amp;$C1200)+COUNTIFS($B$4:$B1200,$B1200,$C$4:$C1200,$C1200)))</f>
        <v>SBG@84</v>
      </c>
      <c r="AD1200" s="41">
        <f t="shared" si="94"/>
        <v>1197</v>
      </c>
      <c r="AE1200" s="41" t="s">
        <v>2565</v>
      </c>
      <c r="AF1200" s="73">
        <f t="shared" si="95"/>
        <v>62788</v>
      </c>
      <c r="AG1200" s="74">
        <f t="shared" si="96"/>
        <v>6.05</v>
      </c>
      <c r="AH1200" s="41" t="str">
        <f>IF($C1200="","",$B1200&amp;"|"&amp;(COUNTIFS($B$4:$B$1463,$B1200,$AF$4:$AF$1463,"&gt;"&amp;$AF1200)+COUNTIFS($B$4:$B1200,$B1200,$AF$4:$AF1200,"="&amp;$AF1200)))</f>
        <v>SBG|49</v>
      </c>
      <c r="AI1200" s="41" t="str">
        <f>IF($C1200="","",$B1200&amp;"|"&amp;(COUNTIFS($B$4:$B$1463,$B1200,$AG$4:$AG$1463,"&gt;"&amp;$AG1200)+COUNTIFS($B$4:$B1200,$B1200,$AG$4:$AG1200,"="&amp;$AG1200)))</f>
        <v>SBG|37</v>
      </c>
    </row>
    <row r="1201" spans="1:35" hidden="1">
      <c r="A1201" s="69" t="s">
        <v>109</v>
      </c>
      <c r="B1201" s="69" t="s">
        <v>108</v>
      </c>
      <c r="C1201" s="63" t="s">
        <v>2566</v>
      </c>
      <c r="D1201" s="69"/>
      <c r="E1201" s="68" t="s">
        <v>72</v>
      </c>
      <c r="F1201" s="19" t="str">
        <f>IF($C1201="","",IF($E1201="","-",IFERROR(INDEX(SETUP!$B$55:$B$64,MATCH($E1201,SETUP!$A$55:$A$64,0)),"Other")))</f>
        <v>Frontline</v>
      </c>
      <c r="G1201" s="70">
        <v>63988</v>
      </c>
      <c r="H1201" s="19" t="str">
        <f>IF($C1201="","",IF($G1201="","-",INDEX(SETUP!$B$26:$B$32,MATCH($G1201,SETUP!$A$26:$A$32,1))))</f>
        <v>63,000 - 63,999</v>
      </c>
      <c r="I1201" s="70">
        <v>8721</v>
      </c>
      <c r="J1201" s="19" t="str">
        <f>IF($C1201="","",IF($I1201="","-",INDEX(SETUP!$B$16:$B$22,MATCH($I1201,SETUP!$A$16:$A$22,1))))</f>
        <v>ELITE</v>
      </c>
      <c r="K1201" s="19" t="str">
        <f>IF($C1201="","",IF($I1201="","-",TEXT(INT($I1201/1000)*1000,"#,##0")&amp;" - "&amp;TEXT(INT($I1201/1000)*1000+999,"#,##0")))</f>
        <v>8,000 - 8,999</v>
      </c>
      <c r="L1201" s="71">
        <v>8.6999999999999993</v>
      </c>
      <c r="M1201" s="19" t="str">
        <f>IF($C1201="","",IF($L1201="","-",INDEX(SETUP!$B$36:$B$42,MATCH($L1201,SETUP!$A$36:$A$42,1))))</f>
        <v>8k - 10k</v>
      </c>
      <c r="N1201" s="21">
        <f>IF($C1201="","",IF(OR($G1201="",$I1201=""),"",ROUND(100*(SETUP!$B$4*MIN(1,$I1201/SETUP!$B$9)+SETUP!$B$5*MAX(0,MIN(1,($G1201-SETUP!$B$10)/(SETUP!$B$11-SETUP!$B$10)))+SETUP!$B$6*MIN(1,IF($L1201="",0,$L1201)/SETUP!$B$12)),1)))</f>
        <v>76.2</v>
      </c>
      <c r="O1201" s="19" t="str">
        <f>IF($C1201="","",IF($N1201="","-",INDEX(SETUP!$B$46:$B$51,MATCH($N1201,SETUP!$A$46:$A$51,1))))</f>
        <v>S</v>
      </c>
      <c r="P1201" s="19">
        <f>IF($C1201="","",IF($I1201="","",RANK($I1201,$I$4:$I$1463)+COUNTIF($I$4:$I1201,$I1201)-1))</f>
        <v>107</v>
      </c>
      <c r="Q1201" s="19">
        <f>IF($C1201="","",COUNTIFS($B$4:$B$1463,$B1201,$X$4:$X$1463,"&gt;"&amp;$X1201)+COUNTIFS($B$4:$B1201,$B1201,$X$4:$X1201,"="&amp;$X1201))</f>
        <v>15</v>
      </c>
      <c r="R1201" s="75">
        <f>IF($C1201="","",IF($I1201="","",ROUND(COUNTIF($I$4:$I$1463,"&lt;"&amp;$I1201)/COUNT($I$4:$I$1463),3)))</f>
        <v>0.91900000000000004</v>
      </c>
      <c r="S1201" s="19" t="str">
        <f>IF($C1201="","",IF($G1201="","Name only",IF(OR($I1201="",$L1201=""),"Partial","Complete")))</f>
        <v>Complete</v>
      </c>
      <c r="T1201" s="1" t="str">
        <f>IF($C1201="","",TRIM(IF(COUNTIF($C$4:$C$1463,$C1201)&gt;1,"Dup name; ","")&amp;IF(AND($G1201&lt;&gt;"",$G1201&lt;55000),"Low CR - verify; ","")&amp;IF(AND($L1201&lt;&gt;"",$L1201&gt;15),"Secondary - verify; ","")&amp;IF($E1201="","No class; ","")))</f>
        <v/>
      </c>
      <c r="U1201" s="68"/>
      <c r="V1201" s="68"/>
      <c r="W1201" s="68"/>
      <c r="X1201" s="76">
        <f t="shared" si="92"/>
        <v>8721</v>
      </c>
      <c r="Y1201" s="1" t="str">
        <f t="shared" si="93"/>
        <v>SBG|15</v>
      </c>
      <c r="Z1201" s="19">
        <f>IF($C1201="","",IF($G1201="","",RANK($G1201,$G$4:$G$1463)+COUNTIF($G$4:$G1201,$G1201)-1))</f>
        <v>76</v>
      </c>
      <c r="AA1201" s="19">
        <f>IF($C1201="","",IF($N1201="","",RANK($N1201,$N$4:$N$1463)+COUNTIF($N$4:$N1201,$N1201)-1))</f>
        <v>82</v>
      </c>
      <c r="AB1201" s="1" t="str">
        <f>IF($C1201="","",IF($E1201="","",$E1201&amp;"#"&amp;(COUNTIFS($E$4:$E$1463,$E1201,$X$4:$X$1463,"&gt;"&amp;$X1201)+COUNTIFS($E$4:$E1201,$E1201,$X$4:$X1201,"="&amp;$X1201))))</f>
        <v>BLOOD KNIGHT#6</v>
      </c>
      <c r="AC1201" s="1" t="str">
        <f>IF($C1201="","",$B1201&amp;"@"&amp;(COUNTIFS($B$4:$B$1463,$B1201,$C$4:$C$1463,"&lt;"&amp;$C1201)+COUNTIFS($B$4:$B1201,$B1201,$C$4:$C1201,$C1201)))</f>
        <v>SBG@85</v>
      </c>
      <c r="AD1201" s="1">
        <f t="shared" si="94"/>
        <v>1198</v>
      </c>
      <c r="AE1201" s="1" t="s">
        <v>2567</v>
      </c>
      <c r="AF1201" s="76">
        <f t="shared" si="95"/>
        <v>63988</v>
      </c>
      <c r="AG1201" s="77">
        <f t="shared" si="96"/>
        <v>8.6999999999999993</v>
      </c>
      <c r="AH1201" s="1" t="str">
        <f>IF($C1201="","",$B1201&amp;"|"&amp;(COUNTIFS($B$4:$B$1463,$B1201,$AF$4:$AF$1463,"&gt;"&amp;$AF1201)+COUNTIFS($B$4:$B1201,$B1201,$AF$4:$AF1201,"="&amp;$AF1201)))</f>
        <v>SBG|15</v>
      </c>
      <c r="AI1201" s="1" t="str">
        <f>IF($C1201="","",$B1201&amp;"|"&amp;(COUNTIFS($B$4:$B$1463,$B1201,$AG$4:$AG$1463,"&gt;"&amp;$AG1201)+COUNTIFS($B$4:$B1201,$B1201,$AG$4:$AG1201,"="&amp;$AG1201)))</f>
        <v>SBG|7</v>
      </c>
    </row>
    <row r="1202" spans="1:35" hidden="1">
      <c r="A1202" s="69" t="s">
        <v>109</v>
      </c>
      <c r="B1202" s="69" t="s">
        <v>112</v>
      </c>
      <c r="C1202" s="63" t="s">
        <v>2568</v>
      </c>
      <c r="D1202" s="69" t="s">
        <v>567</v>
      </c>
      <c r="E1202" s="68" t="s">
        <v>77</v>
      </c>
      <c r="F1202" s="15" t="str">
        <f>IF($C1202="","",IF($E1202="","-",IFERROR(INDEX(SETUP!$B$55:$B$64,MATCH($E1202,SETUP!$A$55:$A$64,0)),"Other")))</f>
        <v>Control</v>
      </c>
      <c r="G1202" s="70">
        <v>61690</v>
      </c>
      <c r="H1202" s="15" t="str">
        <f>IF($C1202="","",IF($G1202="","-",INDEX(SETUP!$B$26:$B$32,MATCH($G1202,SETUP!$A$26:$A$32,1))))</f>
        <v>61,000 - 61,999</v>
      </c>
      <c r="I1202" s="70">
        <v>3032</v>
      </c>
      <c r="J1202" s="15" t="str">
        <f>IF($C1202="","",IF($I1202="","-",INDEX(SETUP!$B$16:$B$22,MATCH($I1202,SETUP!$A$16:$A$22,1))))</f>
        <v>DEVELOPING</v>
      </c>
      <c r="K1202" s="15" t="str">
        <f>IF($C1202="","",IF($I1202="","-",TEXT(INT($I1202/1000)*1000,"#,##0")&amp;" - "&amp;TEXT(INT($I1202/1000)*1000+999,"#,##0")))</f>
        <v>3,000 - 3,999</v>
      </c>
      <c r="L1202" s="71">
        <v>3.9</v>
      </c>
      <c r="M1202" s="15" t="str">
        <f>IF($C1202="","",IF($L1202="","-",INDEX(SETUP!$B$36:$B$42,MATCH($L1202,SETUP!$A$36:$A$42,1))))</f>
        <v>3k - 4k</v>
      </c>
      <c r="N1202" s="17">
        <f>IF($C1202="","",IF(OR($G1202="",$I1202=""),"",ROUND(100*(SETUP!$B$4*MIN(1,$I1202/SETUP!$B$9)+SETUP!$B$5*MAX(0,MIN(1,($G1202-SETUP!$B$10)/(SETUP!$B$11-SETUP!$B$10)))+SETUP!$B$6*MIN(1,IF($L1202="",0,$L1202)/SETUP!$B$12)),1)))</f>
        <v>37.299999999999997</v>
      </c>
      <c r="O1202" s="15" t="str">
        <f>IF($C1202="","",IF($N1202="","-",INDEX(SETUP!$B$46:$B$51,MATCH($N1202,SETUP!$A$46:$A$51,1))))</f>
        <v>B</v>
      </c>
      <c r="P1202" s="15">
        <f>IF($C1202="","",IF($I1202="","",RANK($I1202,$I$4:$I$1463)+COUNTIF($I$4:$I1202,$I1202)-1))</f>
        <v>867</v>
      </c>
      <c r="Q1202" s="15">
        <f>IF($C1202="","",COUNTIFS($B$4:$B$1463,$B1202,$X$4:$X$1463,"&gt;"&amp;$X1202)+COUNTIFS($B$4:$B1202,$B1202,$X$4:$X1202,"="&amp;$X1202))</f>
        <v>66</v>
      </c>
      <c r="R1202" s="72">
        <f>IF($C1202="","",IF($I1202="","",ROUND(COUNTIF($I$4:$I$1463,"&lt;"&amp;$I1202)/COUNT($I$4:$I$1463),3)))</f>
        <v>0.34599999999999997</v>
      </c>
      <c r="S1202" s="15" t="str">
        <f>IF($C1202="","",IF($G1202="","Name only",IF(OR($I1202="",$L1202=""),"Partial","Complete")))</f>
        <v>Complete</v>
      </c>
      <c r="T1202" s="41" t="str">
        <f>IF($C1202="","",TRIM(IF(COUNTIF($C$4:$C$1463,$C1202)&gt;1,"Dup name; ","")&amp;IF(AND($G1202&lt;&gt;"",$G1202&lt;55000),"Low CR - verify; ","")&amp;IF(AND($L1202&lt;&gt;"",$L1202&gt;15),"Secondary - verify; ","")&amp;IF($E1202="","No class; ","")))</f>
        <v/>
      </c>
      <c r="U1202" s="68"/>
      <c r="V1202" s="68"/>
      <c r="W1202" s="68"/>
      <c r="X1202" s="73">
        <f t="shared" si="92"/>
        <v>3032</v>
      </c>
      <c r="Y1202" s="41" t="str">
        <f t="shared" si="93"/>
        <v>ACHERON|66</v>
      </c>
      <c r="Z1202" s="15">
        <f>IF($C1202="","",IF($G1202="","",RANK($G1202,$G$4:$G$1463)+COUNTIF($G$4:$G1202,$G1202)-1))</f>
        <v>948</v>
      </c>
      <c r="AA1202" s="15">
        <f>IF($C1202="","",IF($N1202="","",RANK($N1202,$N$4:$N$1463)+COUNTIF($N$4:$N1202,$N1202)-1))</f>
        <v>920</v>
      </c>
      <c r="AB1202" s="41" t="str">
        <f>IF($C1202="","",IF($E1202="","",$E1202&amp;"#"&amp;(COUNTIFS($E$4:$E$1463,$E1202,$X$4:$X$1463,"&gt;"&amp;$X1202)+COUNTIFS($E$4:$E1202,$E1202,$X$4:$X1202,"="&amp;$X1202))))</f>
        <v>NECROMANCER#47</v>
      </c>
      <c r="AC1202" s="41" t="str">
        <f>IF($C1202="","",$B1202&amp;"@"&amp;(COUNTIFS($B$4:$B$1463,$B1202,$C$4:$C$1463,"&lt;"&amp;$C1202)+COUNTIFS($B$4:$B1202,$B1202,$C$4:$C1202,$C1202)))</f>
        <v>ACHERON@83</v>
      </c>
      <c r="AD1202" s="41">
        <f t="shared" si="94"/>
        <v>1199</v>
      </c>
      <c r="AE1202" s="41" t="s">
        <v>2569</v>
      </c>
      <c r="AF1202" s="73">
        <f t="shared" si="95"/>
        <v>61690</v>
      </c>
      <c r="AG1202" s="74">
        <f t="shared" si="96"/>
        <v>3.9</v>
      </c>
      <c r="AH1202" s="41" t="str">
        <f>IF($C1202="","",$B1202&amp;"|"&amp;(COUNTIFS($B$4:$B$1463,$B1202,$AF$4:$AF$1463,"&gt;"&amp;$AF1202)+COUNTIFS($B$4:$B1202,$B1202,$AF$4:$AF1202,"="&amp;$AF1202)))</f>
        <v>ACHERON|77</v>
      </c>
      <c r="AI1202" s="41" t="str">
        <f>IF($C1202="","",$B1202&amp;"|"&amp;(COUNTIFS($B$4:$B$1463,$B1202,$AG$4:$AG$1463,"&gt;"&amp;$AG1202)+COUNTIFS($B$4:$B1202,$B1202,$AG$4:$AG1202,"="&amp;$AG1202)))</f>
        <v>ACHERON|79</v>
      </c>
    </row>
    <row r="1203" spans="1:35" hidden="1">
      <c r="A1203" s="69" t="s">
        <v>109</v>
      </c>
      <c r="B1203" s="69" t="s">
        <v>115</v>
      </c>
      <c r="C1203" s="63" t="s">
        <v>2570</v>
      </c>
      <c r="D1203" s="69"/>
      <c r="E1203" s="68" t="s">
        <v>71</v>
      </c>
      <c r="F1203" s="19" t="str">
        <f>IF($C1203="","",IF($E1203="","-",IFERROR(INDEX(SETUP!$B$55:$B$64,MATCH($E1203,SETUP!$A$55:$A$64,0)),"Other")))</f>
        <v>Frontline</v>
      </c>
      <c r="G1203" s="70">
        <v>62519</v>
      </c>
      <c r="H1203" s="19" t="str">
        <f>IF($C1203="","",IF($G1203="","-",INDEX(SETUP!$B$26:$B$32,MATCH($G1203,SETUP!$A$26:$A$32,1))))</f>
        <v>62,000 - 62,999</v>
      </c>
      <c r="I1203" s="70">
        <v>1786</v>
      </c>
      <c r="J1203" s="19" t="str">
        <f>IF($C1203="","",IF($I1203="","-",INDEX(SETUP!$B$16:$B$22,MATCH($I1203,SETUP!$A$16:$A$22,1))))</f>
        <v>ROOKIE</v>
      </c>
      <c r="K1203" s="19" t="str">
        <f>IF($C1203="","",IF($I1203="","-",TEXT(INT($I1203/1000)*1000,"#,##0")&amp;" - "&amp;TEXT(INT($I1203/1000)*1000+999,"#,##0")))</f>
        <v>1,000 - 1,999</v>
      </c>
      <c r="L1203" s="71">
        <v>3.2</v>
      </c>
      <c r="M1203" s="19" t="str">
        <f>IF($C1203="","",IF($L1203="","-",INDEX(SETUP!$B$36:$B$42,MATCH($L1203,SETUP!$A$36:$A$42,1))))</f>
        <v>3k - 4k</v>
      </c>
      <c r="N1203" s="21">
        <f>IF($C1203="","",IF(OR($G1203="",$I1203=""),"",ROUND(100*(SETUP!$B$4*MIN(1,$I1203/SETUP!$B$9)+SETUP!$B$5*MAX(0,MIN(1,($G1203-SETUP!$B$10)/(SETUP!$B$11-SETUP!$B$10)))+SETUP!$B$6*MIN(1,IF($L1203="",0,$L1203)/SETUP!$B$12)),1)))</f>
        <v>32.9</v>
      </c>
      <c r="O1203" s="19" t="str">
        <f>IF($C1203="","",IF($N1203="","-",INDEX(SETUP!$B$46:$B$51,MATCH($N1203,SETUP!$A$46:$A$51,1))))</f>
        <v>C</v>
      </c>
      <c r="P1203" s="19">
        <f>IF($C1203="","",IF($I1203="","",RANK($I1203,$I$4:$I$1463)+COUNTIF($I$4:$I1203,$I1203)-1))</f>
        <v>1146</v>
      </c>
      <c r="Q1203" s="19">
        <f>IF($C1203="","",COUNTIFS($B$4:$B$1463,$B1203,$X$4:$X$1463,"&gt;"&amp;$X1203)+COUNTIFS($B$4:$B1203,$B1203,$X$4:$X1203,"="&amp;$X1203))</f>
        <v>50</v>
      </c>
      <c r="R1203" s="75">
        <f>IF($C1203="","",IF($I1203="","",ROUND(COUNTIF($I$4:$I$1463,"&lt;"&amp;$I1203)/COUNT($I$4:$I$1463),3)))</f>
        <v>0.13500000000000001</v>
      </c>
      <c r="S1203" s="19" t="str">
        <f>IF($C1203="","",IF($G1203="","Name only",IF(OR($I1203="",$L1203=""),"Partial","Complete")))</f>
        <v>Complete</v>
      </c>
      <c r="T1203" s="1" t="str">
        <f>IF($C1203="","",TRIM(IF(COUNTIF($C$4:$C$1463,$C1203)&gt;1,"Dup name; ","")&amp;IF(AND($G1203&lt;&gt;"",$G1203&lt;55000),"Low CR - verify; ","")&amp;IF(AND($L1203&lt;&gt;"",$L1203&gt;15),"Secondary - verify; ","")&amp;IF($E1203="","No class; ","")))</f>
        <v/>
      </c>
      <c r="U1203" s="68"/>
      <c r="V1203" s="68"/>
      <c r="W1203" s="68"/>
      <c r="X1203" s="76">
        <f t="shared" si="92"/>
        <v>1786</v>
      </c>
      <c r="Y1203" s="1" t="str">
        <f t="shared" si="93"/>
        <v>SUB ROSA|50</v>
      </c>
      <c r="Z1203" s="19">
        <f>IF($C1203="","",IF($G1203="","",RANK($G1203,$G$4:$G$1463)+COUNTIF($G$4:$G1203,$G1203)-1))</f>
        <v>644</v>
      </c>
      <c r="AA1203" s="19">
        <f>IF($C1203="","",IF($N1203="","",RANK($N1203,$N$4:$N$1463)+COUNTIF($N$4:$N1203,$N1203)-1))</f>
        <v>1071</v>
      </c>
      <c r="AB1203" s="1" t="str">
        <f>IF($C1203="","",IF($E1203="","",$E1203&amp;"#"&amp;(COUNTIFS($E$4:$E$1463,$E1203,$X$4:$X$1463,"&gt;"&amp;$X1203)+COUNTIFS($E$4:$E1203,$E1203,$X$4:$X1203,"="&amp;$X1203))))</f>
        <v>BARBARIAN#196</v>
      </c>
      <c r="AC1203" s="1" t="str">
        <f>IF($C1203="","",$B1203&amp;"@"&amp;(COUNTIFS($B$4:$B$1463,$B1203,$C$4:$C$1463,"&lt;"&amp;$C1203)+COUNTIFS($B$4:$B1203,$B1203,$C$4:$C1203,$C1203)))</f>
        <v>SUB ROSA@83</v>
      </c>
      <c r="AD1203" s="1">
        <f t="shared" si="94"/>
        <v>1200</v>
      </c>
      <c r="AE1203" s="1" t="s">
        <v>685</v>
      </c>
      <c r="AF1203" s="76">
        <f t="shared" si="95"/>
        <v>62519</v>
      </c>
      <c r="AG1203" s="77">
        <f t="shared" si="96"/>
        <v>3.2</v>
      </c>
      <c r="AH1203" s="1" t="str">
        <f>IF($C1203="","",$B1203&amp;"|"&amp;(COUNTIFS($B$4:$B$1463,$B1203,$AF$4:$AF$1463,"&gt;"&amp;$AF1203)+COUNTIFS($B$4:$B1203,$B1203,$AF$4:$AF1203,"="&amp;$AF1203)))</f>
        <v>SUB ROSA|22</v>
      </c>
      <c r="AI1203" s="1" t="str">
        <f>IF($C1203="","",$B1203&amp;"|"&amp;(COUNTIFS($B$4:$B$1463,$B1203,$AG$4:$AG$1463,"&gt;"&amp;$AG1203)+COUNTIFS($B$4:$B1203,$B1203,$AG$4:$AG1203,"="&amp;$AG1203)))</f>
        <v>SUB ROSA|52</v>
      </c>
    </row>
    <row r="1204" spans="1:35" hidden="1">
      <c r="A1204" s="69" t="s">
        <v>109</v>
      </c>
      <c r="B1204" s="69" t="s">
        <v>118</v>
      </c>
      <c r="C1204" s="63" t="s">
        <v>2571</v>
      </c>
      <c r="D1204" s="69"/>
      <c r="E1204" s="68" t="s">
        <v>79</v>
      </c>
      <c r="F1204" s="15" t="str">
        <f>IF($C1204="","",IF($E1204="","-",IFERROR(INDEX(SETUP!$B$55:$B$64,MATCH($E1204,SETUP!$A$55:$A$64,0)),"Other")))</f>
        <v>Control</v>
      </c>
      <c r="G1204" s="70">
        <v>62409</v>
      </c>
      <c r="H1204" s="15" t="str">
        <f>IF($C1204="","",IF($G1204="","-",INDEX(SETUP!$B$26:$B$32,MATCH($G1204,SETUP!$A$26:$A$32,1))))</f>
        <v>62,000 - 62,999</v>
      </c>
      <c r="I1204" s="70">
        <v>2030</v>
      </c>
      <c r="J1204" s="15" t="str">
        <f>IF($C1204="","",IF($I1204="","-",INDEX(SETUP!$B$16:$B$22,MATCH($I1204,SETUP!$A$16:$A$22,1))))</f>
        <v>DEVELOPING</v>
      </c>
      <c r="K1204" s="15" t="str">
        <f>IF($C1204="","",IF($I1204="","-",TEXT(INT($I1204/1000)*1000,"#,##0")&amp;" - "&amp;TEXT(INT($I1204/1000)*1000+999,"#,##0")))</f>
        <v>2,000 - 2,999</v>
      </c>
      <c r="L1204" s="71">
        <v>4</v>
      </c>
      <c r="M1204" s="15" t="str">
        <f>IF($C1204="","",IF($L1204="","-",INDEX(SETUP!$B$36:$B$42,MATCH($L1204,SETUP!$A$36:$A$42,1))))</f>
        <v>4k - 5k</v>
      </c>
      <c r="N1204" s="17">
        <f>IF($C1204="","",IF(OR($G1204="",$I1204=""),"",ROUND(100*(SETUP!$B$4*MIN(1,$I1204/SETUP!$B$9)+SETUP!$B$5*MAX(0,MIN(1,($G1204-SETUP!$B$10)/(SETUP!$B$11-SETUP!$B$10)))+SETUP!$B$6*MIN(1,IF($L1204="",0,$L1204)/SETUP!$B$12)),1)))</f>
        <v>35</v>
      </c>
      <c r="O1204" s="15" t="str">
        <f>IF($C1204="","",IF($N1204="","-",INDEX(SETUP!$B$46:$B$51,MATCH($N1204,SETUP!$A$46:$A$51,1))))</f>
        <v>B</v>
      </c>
      <c r="P1204" s="15">
        <f>IF($C1204="","",IF($I1204="","",RANK($I1204,$I$4:$I$1463)+COUNTIF($I$4:$I1204,$I1204)-1))</f>
        <v>1110</v>
      </c>
      <c r="Q1204" s="15">
        <f>IF($C1204="","",COUNTIFS($B$4:$B$1463,$B1204,$X$4:$X$1463,"&gt;"&amp;$X1204)+COUNTIFS($B$4:$B1204,$B1204,$X$4:$X1204,"="&amp;$X1204))</f>
        <v>40</v>
      </c>
      <c r="R1204" s="72">
        <f>IF($C1204="","",IF($I1204="","",ROUND(COUNTIF($I$4:$I$1463,"&lt;"&amp;$I1204)/COUNT($I$4:$I$1463),3)))</f>
        <v>0.16200000000000001</v>
      </c>
      <c r="S1204" s="15" t="str">
        <f>IF($C1204="","",IF($G1204="","Name only",IF(OR($I1204="",$L1204=""),"Partial","Complete")))</f>
        <v>Complete</v>
      </c>
      <c r="T1204" s="41" t="str">
        <f>IF($C1204="","",TRIM(IF(COUNTIF($C$4:$C$1463,$C1204)&gt;1,"Dup name; ","")&amp;IF(AND($G1204&lt;&gt;"",$G1204&lt;55000),"Low CR - verify; ","")&amp;IF(AND($L1204&lt;&gt;"",$L1204&gt;15),"Secondary - verify; ","")&amp;IF($E1204="","No class; ","")))</f>
        <v/>
      </c>
      <c r="U1204" s="68"/>
      <c r="V1204" s="68"/>
      <c r="W1204" s="68"/>
      <c r="X1204" s="73">
        <f t="shared" si="92"/>
        <v>2030</v>
      </c>
      <c r="Y1204" s="41" t="str">
        <f t="shared" si="93"/>
        <v>ZOMBIES|40</v>
      </c>
      <c r="Z1204" s="15">
        <f>IF($C1204="","",IF($G1204="","",RANK($G1204,$G$4:$G$1463)+COUNTIF($G$4:$G1204,$G1204)-1))</f>
        <v>687</v>
      </c>
      <c r="AA1204" s="15">
        <f>IF($C1204="","",IF($N1204="","",RANK($N1204,$N$4:$N$1463)+COUNTIF($N$4:$N1204,$N1204)-1))</f>
        <v>1010</v>
      </c>
      <c r="AB1204" s="41" t="str">
        <f>IF($C1204="","",IF($E1204="","",$E1204&amp;"#"&amp;(COUNTIFS($E$4:$E$1463,$E1204,$X$4:$X$1463,"&gt;"&amp;$X1204)+COUNTIFS($E$4:$E1204,$E1204,$X$4:$X1204,"="&amp;$X1204))))</f>
        <v>WARLOCK#278</v>
      </c>
      <c r="AC1204" s="41" t="str">
        <f>IF($C1204="","",$B1204&amp;"@"&amp;(COUNTIFS($B$4:$B$1463,$B1204,$C$4:$C$1463,"&lt;"&amp;$C1204)+COUNTIFS($B$4:$B1204,$B1204,$C$4:$C1204,$C1204)))</f>
        <v>ZOMBIES@87</v>
      </c>
      <c r="AD1204" s="41">
        <f t="shared" si="94"/>
        <v>1201</v>
      </c>
      <c r="AE1204" s="41" t="s">
        <v>970</v>
      </c>
      <c r="AF1204" s="73">
        <f t="shared" si="95"/>
        <v>62409</v>
      </c>
      <c r="AG1204" s="74">
        <f t="shared" si="96"/>
        <v>4</v>
      </c>
      <c r="AH1204" s="41" t="str">
        <f>IF($C1204="","",$B1204&amp;"|"&amp;(COUNTIFS($B$4:$B$1463,$B1204,$AF$4:$AF$1463,"&gt;"&amp;$AF1204)+COUNTIFS($B$4:$B1204,$B1204,$AF$4:$AF1204,"="&amp;$AF1204)))</f>
        <v>ZOMBIES|19</v>
      </c>
      <c r="AI1204" s="41" t="str">
        <f>IF($C1204="","",$B1204&amp;"|"&amp;(COUNTIFS($B$4:$B$1463,$B1204,$AG$4:$AG$1463,"&gt;"&amp;$AG1204)+COUNTIFS($B$4:$B1204,$B1204,$AG$4:$AG1204,"="&amp;$AG1204)))</f>
        <v>ZOMBIES|31</v>
      </c>
    </row>
    <row r="1205" spans="1:35" hidden="1">
      <c r="A1205" s="69" t="s">
        <v>109</v>
      </c>
      <c r="B1205" s="69" t="s">
        <v>112</v>
      </c>
      <c r="C1205" s="63" t="s">
        <v>2572</v>
      </c>
      <c r="D1205" s="69" t="s">
        <v>567</v>
      </c>
      <c r="E1205" s="68" t="s">
        <v>75</v>
      </c>
      <c r="F1205" s="19" t="str">
        <f>IF($C1205="","",IF($E1205="","-",IFERROR(INDEX(SETUP!$B$55:$B$64,MATCH($E1205,SETUP!$A$55:$A$64,0)),"Other")))</f>
        <v>Support</v>
      </c>
      <c r="G1205" s="70">
        <v>61705</v>
      </c>
      <c r="H1205" s="19" t="str">
        <f>IF($C1205="","",IF($G1205="","-",INDEX(SETUP!$B$26:$B$32,MATCH($G1205,SETUP!$A$26:$A$32,1))))</f>
        <v>61,000 - 61,999</v>
      </c>
      <c r="I1205" s="70">
        <v>1195</v>
      </c>
      <c r="J1205" s="19" t="str">
        <f>IF($C1205="","",IF($I1205="","-",INDEX(SETUP!$B$16:$B$22,MATCH($I1205,SETUP!$A$16:$A$22,1))))</f>
        <v>ROOKIE</v>
      </c>
      <c r="K1205" s="19" t="str">
        <f>IF($C1205="","",IF($I1205="","-",TEXT(INT($I1205/1000)*1000,"#,##0")&amp;" - "&amp;TEXT(INT($I1205/1000)*1000+999,"#,##0")))</f>
        <v>1,000 - 1,999</v>
      </c>
      <c r="L1205" s="71">
        <v>3.1</v>
      </c>
      <c r="M1205" s="19" t="str">
        <f>IF($C1205="","",IF($L1205="","-",INDEX(SETUP!$B$36:$B$42,MATCH($L1205,SETUP!$A$36:$A$42,1))))</f>
        <v>3k - 4k</v>
      </c>
      <c r="N1205" s="21">
        <f>IF($C1205="","",IF(OR($G1205="",$I1205=""),"",ROUND(100*(SETUP!$B$4*MIN(1,$I1205/SETUP!$B$9)+SETUP!$B$5*MAX(0,MIN(1,($G1205-SETUP!$B$10)/(SETUP!$B$11-SETUP!$B$10)))+SETUP!$B$6*MIN(1,IF($L1205="",0,$L1205)/SETUP!$B$12)),1)))</f>
        <v>28</v>
      </c>
      <c r="O1205" s="19" t="str">
        <f>IF($C1205="","",IF($N1205="","-",INDEX(SETUP!$B$46:$B$51,MATCH($N1205,SETUP!$A$46:$A$51,1))))</f>
        <v>C</v>
      </c>
      <c r="P1205" s="19">
        <f>IF($C1205="","",IF($I1205="","",RANK($I1205,$I$4:$I$1463)+COUNTIF($I$4:$I1205,$I1205)-1))</f>
        <v>1245</v>
      </c>
      <c r="Q1205" s="19">
        <f>IF($C1205="","",COUNTIFS($B$4:$B$1463,$B1205,$X$4:$X$1463,"&gt;"&amp;$X1205)+COUNTIFS($B$4:$B1205,$B1205,$X$4:$X1205,"="&amp;$X1205))</f>
        <v>89</v>
      </c>
      <c r="R1205" s="75">
        <f>IF($C1205="","",IF($I1205="","",ROUND(COUNTIF($I$4:$I$1463,"&lt;"&amp;$I1205)/COUNT($I$4:$I$1463),3)))</f>
        <v>0.06</v>
      </c>
      <c r="S1205" s="19" t="str">
        <f>IF($C1205="","",IF($G1205="","Name only",IF(OR($I1205="",$L1205=""),"Partial","Complete")))</f>
        <v>Complete</v>
      </c>
      <c r="T1205" s="1" t="str">
        <f>IF($C1205="","",TRIM(IF(COUNTIF($C$4:$C$1463,$C1205)&gt;1,"Dup name; ","")&amp;IF(AND($G1205&lt;&gt;"",$G1205&lt;55000),"Low CR - verify; ","")&amp;IF(AND($L1205&lt;&gt;"",$L1205&gt;15),"Secondary - verify; ","")&amp;IF($E1205="","No class; ","")))</f>
        <v/>
      </c>
      <c r="U1205" s="68"/>
      <c r="V1205" s="68"/>
      <c r="W1205" s="68"/>
      <c r="X1205" s="76">
        <f t="shared" si="92"/>
        <v>1195</v>
      </c>
      <c r="Y1205" s="1" t="str">
        <f t="shared" si="93"/>
        <v>ACHERON|89</v>
      </c>
      <c r="Z1205" s="19">
        <f>IF($C1205="","",IF($G1205="","",RANK($G1205,$G$4:$G$1463)+COUNTIF($G$4:$G1205,$G1205)-1))</f>
        <v>942</v>
      </c>
      <c r="AA1205" s="19">
        <f>IF($C1205="","",IF($N1205="","",RANK($N1205,$N$4:$N$1463)+COUNTIF($N$4:$N1205,$N1205)-1))</f>
        <v>1191</v>
      </c>
      <c r="AB1205" s="1" t="str">
        <f>IF($C1205="","",IF($E1205="","",$E1205&amp;"#"&amp;(COUNTIFS($E$4:$E$1463,$E1205,$X$4:$X$1463,"&gt;"&amp;$X1205)+COUNTIFS($E$4:$E1205,$E1205,$X$4:$X1205,"="&amp;$X1205))))</f>
        <v>DRUID#64</v>
      </c>
      <c r="AC1205" s="1" t="str">
        <f>IF($C1205="","",$B1205&amp;"@"&amp;(COUNTIFS($B$4:$B$1463,$B1205,$C$4:$C$1463,"&lt;"&amp;$C1205)+COUNTIFS($B$4:$B1205,$B1205,$C$4:$C1205,$C1205)))</f>
        <v>ACHERON@84</v>
      </c>
      <c r="AD1205" s="1">
        <f t="shared" si="94"/>
        <v>1202</v>
      </c>
      <c r="AE1205" s="1" t="s">
        <v>2573</v>
      </c>
      <c r="AF1205" s="76">
        <f t="shared" si="95"/>
        <v>61705</v>
      </c>
      <c r="AG1205" s="77">
        <f t="shared" si="96"/>
        <v>3.1</v>
      </c>
      <c r="AH1205" s="1" t="str">
        <f>IF($C1205="","",$B1205&amp;"|"&amp;(COUNTIFS($B$4:$B$1463,$B1205,$AF$4:$AF$1463,"&gt;"&amp;$AF1205)+COUNTIFS($B$4:$B1205,$B1205,$AF$4:$AF1205,"="&amp;$AF1205)))</f>
        <v>ACHERON|75</v>
      </c>
      <c r="AI1205" s="1" t="str">
        <f>IF($C1205="","",$B1205&amp;"|"&amp;(COUNTIFS($B$4:$B$1463,$B1205,$AG$4:$AG$1463,"&gt;"&amp;$AG1205)+COUNTIFS($B$4:$B1205,$B1205,$AG$4:$AG1205,"="&amp;$AG1205)))</f>
        <v>ACHERON|92</v>
      </c>
    </row>
    <row r="1206" spans="1:35" hidden="1">
      <c r="A1206" s="69" t="s">
        <v>109</v>
      </c>
      <c r="B1206" s="69" t="s">
        <v>111</v>
      </c>
      <c r="C1206" s="63" t="s">
        <v>2574</v>
      </c>
      <c r="D1206" s="69" t="s">
        <v>527</v>
      </c>
      <c r="E1206" s="68" t="s">
        <v>79</v>
      </c>
      <c r="F1206" s="15" t="str">
        <f>IF($C1206="","",IF($E1206="","-",IFERROR(INDEX(SETUP!$B$55:$B$64,MATCH($E1206,SETUP!$A$55:$A$64,0)),"Other")))</f>
        <v>Control</v>
      </c>
      <c r="G1206" s="70">
        <v>62040</v>
      </c>
      <c r="H1206" s="15" t="str">
        <f>IF($C1206="","",IF($G1206="","-",INDEX(SETUP!$B$26:$B$32,MATCH($G1206,SETUP!$A$26:$A$32,1))))</f>
        <v>62,000 - 62,999</v>
      </c>
      <c r="I1206" s="70">
        <v>9867</v>
      </c>
      <c r="J1206" s="15" t="str">
        <f>IF($C1206="","",IF($I1206="","-",INDEX(SETUP!$B$16:$B$22,MATCH($I1206,SETUP!$A$16:$A$22,1))))</f>
        <v>ELITE</v>
      </c>
      <c r="K1206" s="15" t="str">
        <f>IF($C1206="","",IF($I1206="","-",TEXT(INT($I1206/1000)*1000,"#,##0")&amp;" - "&amp;TEXT(INT($I1206/1000)*1000+999,"#,##0")))</f>
        <v>9,000 - 9,999</v>
      </c>
      <c r="L1206" s="71">
        <v>8.4</v>
      </c>
      <c r="M1206" s="15" t="str">
        <f>IF($C1206="","",IF($L1206="","-",INDEX(SETUP!$B$36:$B$42,MATCH($L1206,SETUP!$A$36:$A$42,1))))</f>
        <v>8k - 10k</v>
      </c>
      <c r="N1206" s="17">
        <f>IF($C1206="","",IF(OR($G1206="",$I1206=""),"",ROUND(100*(SETUP!$B$4*MIN(1,$I1206/SETUP!$B$9)+SETUP!$B$5*MAX(0,MIN(1,($G1206-SETUP!$B$10)/(SETUP!$B$11-SETUP!$B$10)))+SETUP!$B$6*MIN(1,IF($L1206="",0,$L1206)/SETUP!$B$12)),1)))</f>
        <v>75.599999999999994</v>
      </c>
      <c r="O1206" s="15" t="str">
        <f>IF($C1206="","",IF($N1206="","-",INDEX(SETUP!$B$46:$B$51,MATCH($N1206,SETUP!$A$46:$A$51,1))))</f>
        <v>S</v>
      </c>
      <c r="P1206" s="15">
        <f>IF($C1206="","",IF($I1206="","",RANK($I1206,$I$4:$I$1463)+COUNTIF($I$4:$I1206,$I1206)-1))</f>
        <v>62</v>
      </c>
      <c r="Q1206" s="15">
        <f>IF($C1206="","",COUNTIFS($B$4:$B$1463,$B1206,$X$4:$X$1463,"&gt;"&amp;$X1206)+COUNTIFS($B$4:$B1206,$B1206,$X$4:$X1206,"="&amp;$X1206))</f>
        <v>10</v>
      </c>
      <c r="R1206" s="72">
        <f>IF($C1206="","",IF($I1206="","",ROUND(COUNTIF($I$4:$I$1463,"&lt;"&amp;$I1206)/COUNT($I$4:$I$1463),3)))</f>
        <v>0.95299999999999996</v>
      </c>
      <c r="S1206" s="15" t="str">
        <f>IF($C1206="","",IF($G1206="","Name only",IF(OR($I1206="",$L1206=""),"Partial","Complete")))</f>
        <v>Complete</v>
      </c>
      <c r="T1206" s="41" t="str">
        <f>IF($C1206="","",TRIM(IF(COUNTIF($C$4:$C$1463,$C1206)&gt;1,"Dup name; ","")&amp;IF(AND($G1206&lt;&gt;"",$G1206&lt;55000),"Low CR - verify; ","")&amp;IF(AND($L1206&lt;&gt;"",$L1206&gt;15),"Secondary - verify; ","")&amp;IF($E1206="","No class; ","")))</f>
        <v/>
      </c>
      <c r="U1206" s="68"/>
      <c r="V1206" s="68"/>
      <c r="W1206" s="68"/>
      <c r="X1206" s="73">
        <f t="shared" si="92"/>
        <v>9867</v>
      </c>
      <c r="Y1206" s="41" t="str">
        <f t="shared" si="93"/>
        <v>RECKONING|10</v>
      </c>
      <c r="Z1206" s="15">
        <f>IF($C1206="","",IF($G1206="","",RANK($G1206,$G$4:$G$1463)+COUNTIF($G$4:$G1206,$G1206)-1))</f>
        <v>820</v>
      </c>
      <c r="AA1206" s="15">
        <f>IF($C1206="","",IF($N1206="","",RANK($N1206,$N$4:$N$1463)+COUNTIF($N$4:$N1206,$N1206)-1))</f>
        <v>84</v>
      </c>
      <c r="AB1206" s="41" t="str">
        <f>IF($C1206="","",IF($E1206="","",$E1206&amp;"#"&amp;(COUNTIFS($E$4:$E$1463,$E1206,$X$4:$X$1463,"&gt;"&amp;$X1206)+COUNTIFS($E$4:$E1206,$E1206,$X$4:$X1206,"="&amp;$X1206))))</f>
        <v>WARLOCK#13</v>
      </c>
      <c r="AC1206" s="41" t="str">
        <f>IF($C1206="","",$B1206&amp;"@"&amp;(COUNTIFS($B$4:$B$1463,$B1206,$C$4:$C$1463,"&lt;"&amp;$C1206)+COUNTIFS($B$4:$B1206,$B1206,$C$4:$C1206,$C1206)))</f>
        <v>RECKONING@87</v>
      </c>
      <c r="AD1206" s="41">
        <f t="shared" si="94"/>
        <v>1203</v>
      </c>
      <c r="AE1206" s="41" t="s">
        <v>2575</v>
      </c>
      <c r="AF1206" s="73">
        <f t="shared" si="95"/>
        <v>62040</v>
      </c>
      <c r="AG1206" s="74">
        <f t="shared" si="96"/>
        <v>8.4</v>
      </c>
      <c r="AH1206" s="41" t="str">
        <f>IF($C1206="","",$B1206&amp;"|"&amp;(COUNTIFS($B$4:$B$1463,$B1206,$AF$4:$AF$1463,"&gt;"&amp;$AF1206)+COUNTIFS($B$4:$B1206,$B1206,$AF$4:$AF1206,"="&amp;$AF1206)))</f>
        <v>RECKONING|71</v>
      </c>
      <c r="AI1206" s="41" t="str">
        <f>IF($C1206="","",$B1206&amp;"|"&amp;(COUNTIFS($B$4:$B$1463,$B1206,$AG$4:$AG$1463,"&gt;"&amp;$AG1206)+COUNTIFS($B$4:$B1206,$B1206,$AG$4:$AG1206,"="&amp;$AG1206)))</f>
        <v>RECKONING|7</v>
      </c>
    </row>
    <row r="1207" spans="1:35" hidden="1">
      <c r="A1207" s="69" t="s">
        <v>109</v>
      </c>
      <c r="B1207" s="69" t="s">
        <v>116</v>
      </c>
      <c r="C1207" s="63" t="s">
        <v>2576</v>
      </c>
      <c r="D1207" s="69" t="s">
        <v>530</v>
      </c>
      <c r="E1207" s="68" t="s">
        <v>80</v>
      </c>
      <c r="F1207" s="19" t="str">
        <f>IF($C1207="","",IF($E1207="","-",IFERROR(INDEX(SETUP!$B$55:$B$64,MATCH($E1207,SETUP!$A$55:$A$64,0)),"Other")))</f>
        <v>Ranged DPS</v>
      </c>
      <c r="G1207" s="70">
        <v>63211</v>
      </c>
      <c r="H1207" s="19" t="str">
        <f>IF($C1207="","",IF($G1207="","-",INDEX(SETUP!$B$26:$B$32,MATCH($G1207,SETUP!$A$26:$A$32,1))))</f>
        <v>63,000 - 63,999</v>
      </c>
      <c r="I1207" s="70">
        <v>5626</v>
      </c>
      <c r="J1207" s="19" t="str">
        <f>IF($C1207="","",IF($I1207="","-",INDEX(SETUP!$B$16:$B$22,MATCH($I1207,SETUP!$A$16:$A$22,1))))</f>
        <v>CORE</v>
      </c>
      <c r="K1207" s="19" t="str">
        <f>IF($C1207="","",IF($I1207="","-",TEXT(INT($I1207/1000)*1000,"#,##0")&amp;" - "&amp;TEXT(INT($I1207/1000)*1000+999,"#,##0")))</f>
        <v>5,000 - 5,999</v>
      </c>
      <c r="L1207" s="71">
        <v>6.5</v>
      </c>
      <c r="M1207" s="19" t="str">
        <f>IF($C1207="","",IF($L1207="","-",INDEX(SETUP!$B$36:$B$42,MATCH($L1207,SETUP!$A$36:$A$42,1))))</f>
        <v>6k - 8k</v>
      </c>
      <c r="N1207" s="21">
        <f>IF($C1207="","",IF(OR($G1207="",$I1207=""),"",ROUND(100*(SETUP!$B$4*MIN(1,$I1207/SETUP!$B$9)+SETUP!$B$5*MAX(0,MIN(1,($G1207-SETUP!$B$10)/(SETUP!$B$11-SETUP!$B$10)))+SETUP!$B$6*MIN(1,IF($L1207="",0,$L1207)/SETUP!$B$12)),1)))</f>
        <v>57</v>
      </c>
      <c r="O1207" s="19" t="str">
        <f>IF($C1207="","",IF($N1207="","-",INDEX(SETUP!$B$46:$B$51,MATCH($N1207,SETUP!$A$46:$A$51,1))))</f>
        <v>A</v>
      </c>
      <c r="P1207" s="19">
        <f>IF($C1207="","",IF($I1207="","",RANK($I1207,$I$4:$I$1463)+COUNTIF($I$4:$I1207,$I1207)-1))</f>
        <v>321</v>
      </c>
      <c r="Q1207" s="19">
        <f>IF($C1207="","",COUNTIFS($B$4:$B$1463,$B1207,$X$4:$X$1463,"&gt;"&amp;$X1207)+COUNTIFS($B$4:$B1207,$B1207,$X$4:$X1207,"="&amp;$X1207))</f>
        <v>10</v>
      </c>
      <c r="R1207" s="75">
        <f>IF($C1207="","",IF($I1207="","",ROUND(COUNTIF($I$4:$I$1463,"&lt;"&amp;$I1207)/COUNT($I$4:$I$1463),3)))</f>
        <v>0.75800000000000001</v>
      </c>
      <c r="S1207" s="19" t="str">
        <f>IF($C1207="","",IF($G1207="","Name only",IF(OR($I1207="",$L1207=""),"Partial","Complete")))</f>
        <v>Complete</v>
      </c>
      <c r="T1207" s="1" t="str">
        <f>IF($C1207="","",TRIM(IF(COUNTIF($C$4:$C$1463,$C1207)&gt;1,"Dup name; ","")&amp;IF(AND($G1207&lt;&gt;"",$G1207&lt;55000),"Low CR - verify; ","")&amp;IF(AND($L1207&lt;&gt;"",$L1207&gt;15),"Secondary - verify; ","")&amp;IF($E1207="","No class; ","")))</f>
        <v/>
      </c>
      <c r="U1207" s="68"/>
      <c r="V1207" s="68"/>
      <c r="W1207" s="68"/>
      <c r="X1207" s="76">
        <f t="shared" si="92"/>
        <v>5626</v>
      </c>
      <c r="Y1207" s="1" t="str">
        <f t="shared" si="93"/>
        <v>VENGEANCE|10</v>
      </c>
      <c r="Z1207" s="19">
        <f>IF($C1207="","",IF($G1207="","",RANK($G1207,$G$4:$G$1463)+COUNTIF($G$4:$G1207,$G1207)-1))</f>
        <v>309</v>
      </c>
      <c r="AA1207" s="19">
        <f>IF($C1207="","",IF($N1207="","",RANK($N1207,$N$4:$N$1463)+COUNTIF($N$4:$N1207,$N1207)-1))</f>
        <v>279</v>
      </c>
      <c r="AB1207" s="1" t="str">
        <f>IF($C1207="","",IF($E1207="","",$E1207&amp;"#"&amp;(COUNTIFS($E$4:$E$1463,$E1207,$X$4:$X$1463,"&gt;"&amp;$X1207)+COUNTIFS($E$4:$E1207,$E1207,$X$4:$X1207,"="&amp;$X1207))))</f>
        <v>WIZARD#23</v>
      </c>
      <c r="AC1207" s="1" t="str">
        <f>IF($C1207="","",$B1207&amp;"@"&amp;(COUNTIFS($B$4:$B$1463,$B1207,$C$4:$C$1463,"&lt;"&amp;$C1207)+COUNTIFS($B$4:$B1207,$B1207,$C$4:$C1207,$C1207)))</f>
        <v>VENGEANCE@85</v>
      </c>
      <c r="AD1207" s="1">
        <f t="shared" si="94"/>
        <v>1204</v>
      </c>
      <c r="AE1207" s="1" t="s">
        <v>634</v>
      </c>
      <c r="AF1207" s="76">
        <f t="shared" si="95"/>
        <v>63211</v>
      </c>
      <c r="AG1207" s="77">
        <f t="shared" si="96"/>
        <v>6.5</v>
      </c>
      <c r="AH1207" s="1" t="str">
        <f>IF($C1207="","",$B1207&amp;"|"&amp;(COUNTIFS($B$4:$B$1463,$B1207,$AF$4:$AF$1463,"&gt;"&amp;$AF1207)+COUNTIFS($B$4:$B1207,$B1207,$AF$4:$AF1207,"="&amp;$AF1207)))</f>
        <v>VENGEANCE|11</v>
      </c>
      <c r="AI1207" s="1" t="str">
        <f>IF($C1207="","",$B1207&amp;"|"&amp;(COUNTIFS($B$4:$B$1463,$B1207,$AG$4:$AG$1463,"&gt;"&amp;$AG1207)+COUNTIFS($B$4:$B1207,$B1207,$AG$4:$AG1207,"="&amp;$AG1207)))</f>
        <v>VENGEANCE|7</v>
      </c>
    </row>
    <row r="1208" spans="1:35" hidden="1">
      <c r="A1208" s="69" t="s">
        <v>109</v>
      </c>
      <c r="B1208" s="69" t="s">
        <v>110</v>
      </c>
      <c r="C1208" s="63" t="s">
        <v>2577</v>
      </c>
      <c r="D1208" s="69"/>
      <c r="E1208" s="68" t="s">
        <v>73</v>
      </c>
      <c r="F1208" s="15" t="str">
        <f>IF($C1208="","",IF($E1208="","-",IFERROR(INDEX(SETUP!$B$55:$B$64,MATCH($E1208,SETUP!$A$55:$A$64,0)),"Other")))</f>
        <v>Frontline</v>
      </c>
      <c r="G1208" s="70">
        <v>63010</v>
      </c>
      <c r="H1208" s="15" t="str">
        <f>IF($C1208="","",IF($G1208="","-",INDEX(SETUP!$B$26:$B$32,MATCH($G1208,SETUP!$A$26:$A$32,1))))</f>
        <v>63,000 - 63,999</v>
      </c>
      <c r="I1208" s="70">
        <v>5000</v>
      </c>
      <c r="J1208" s="15" t="str">
        <f>IF($C1208="","",IF($I1208="","-",INDEX(SETUP!$B$16:$B$22,MATCH($I1208,SETUP!$A$16:$A$22,1))))</f>
        <v>CORE</v>
      </c>
      <c r="K1208" s="15" t="str">
        <f>IF($C1208="","",IF($I1208="","-",TEXT(INT($I1208/1000)*1000,"#,##0")&amp;" - "&amp;TEXT(INT($I1208/1000)*1000+999,"#,##0")))</f>
        <v>5,000 - 5,999</v>
      </c>
      <c r="L1208" s="71">
        <v>5.61</v>
      </c>
      <c r="M1208" s="15" t="str">
        <f>IF($C1208="","",IF($L1208="","-",INDEX(SETUP!$B$36:$B$42,MATCH($L1208,SETUP!$A$36:$A$42,1))))</f>
        <v>5k - 6k</v>
      </c>
      <c r="N1208" s="17">
        <f>IF($C1208="","",IF(OR($G1208="",$I1208=""),"",ROUND(100*(SETUP!$B$4*MIN(1,$I1208/SETUP!$B$9)+SETUP!$B$5*MAX(0,MIN(1,($G1208-SETUP!$B$10)/(SETUP!$B$11-SETUP!$B$10)))+SETUP!$B$6*MIN(1,IF($L1208="",0,$L1208)/SETUP!$B$12)),1)))</f>
        <v>52.3</v>
      </c>
      <c r="O1208" s="15" t="str">
        <f>IF($C1208="","",IF($N1208="","-",INDEX(SETUP!$B$46:$B$51,MATCH($N1208,SETUP!$A$46:$A$51,1))))</f>
        <v>A</v>
      </c>
      <c r="P1208" s="15">
        <f>IF($C1208="","",IF($I1208="","",RANK($I1208,$I$4:$I$1463)+COUNTIF($I$4:$I1208,$I1208)-1))</f>
        <v>413</v>
      </c>
      <c r="Q1208" s="15">
        <f>IF($C1208="","",COUNTIFS($B$4:$B$1463,$B1208,$X$4:$X$1463,"&gt;"&amp;$X1208)+COUNTIFS($B$4:$B1208,$B1208,$X$4:$X1208,"="&amp;$X1208))</f>
        <v>49</v>
      </c>
      <c r="R1208" s="72">
        <f>IF($C1208="","",IF($I1208="","",ROUND(COUNTIF($I$4:$I$1463,"&lt;"&amp;$I1208)/COUNT($I$4:$I$1463),3)))</f>
        <v>0.68799999999999994</v>
      </c>
      <c r="S1208" s="15" t="str">
        <f>IF($C1208="","",IF($G1208="","Name only",IF(OR($I1208="",$L1208=""),"Partial","Complete")))</f>
        <v>Complete</v>
      </c>
      <c r="T1208" s="41" t="str">
        <f>IF($C1208="","",TRIM(IF(COUNTIF($C$4:$C$1463,$C1208)&gt;1,"Dup name; ","")&amp;IF(AND($G1208&lt;&gt;"",$G1208&lt;55000),"Low CR - verify; ","")&amp;IF(AND($L1208&lt;&gt;"",$L1208&gt;15),"Secondary - verify; ","")&amp;IF($E1208="","No class; ","")))</f>
        <v/>
      </c>
      <c r="U1208" s="68"/>
      <c r="V1208" s="68"/>
      <c r="W1208" s="68"/>
      <c r="X1208" s="73">
        <f t="shared" si="92"/>
        <v>5000</v>
      </c>
      <c r="Y1208" s="41" t="str">
        <f t="shared" si="93"/>
        <v>AZUKI|49</v>
      </c>
      <c r="Z1208" s="15">
        <f>IF($C1208="","",IF($G1208="","",RANK($G1208,$G$4:$G$1463)+COUNTIF($G$4:$G1208,$G1208)-1))</f>
        <v>423</v>
      </c>
      <c r="AA1208" s="15">
        <f>IF($C1208="","",IF($N1208="","",RANK($N1208,$N$4:$N$1463)+COUNTIF($N$4:$N1208,$N1208)-1))</f>
        <v>381</v>
      </c>
      <c r="AB1208" s="41" t="str">
        <f>IF($C1208="","",IF($E1208="","",$E1208&amp;"#"&amp;(COUNTIFS($E$4:$E$1463,$E1208,$X$4:$X$1463,"&gt;"&amp;$X1208)+COUNTIFS($E$4:$E1208,$E1208,$X$4:$X1208,"="&amp;$X1208))))</f>
        <v>CRUSADER#49</v>
      </c>
      <c r="AC1208" s="41" t="str">
        <f>IF($C1208="","",$B1208&amp;"@"&amp;(COUNTIFS($B$4:$B$1463,$B1208,$C$4:$C$1463,"&lt;"&amp;$C1208)+COUNTIFS($B$4:$B1208,$B1208,$C$4:$C1208,$C1208)))</f>
        <v>AZUKI@92</v>
      </c>
      <c r="AD1208" s="41">
        <f t="shared" si="94"/>
        <v>1205</v>
      </c>
      <c r="AE1208" s="41" t="s">
        <v>2578</v>
      </c>
      <c r="AF1208" s="73">
        <f t="shared" si="95"/>
        <v>63010</v>
      </c>
      <c r="AG1208" s="74">
        <f t="shared" si="96"/>
        <v>5.61</v>
      </c>
      <c r="AH1208" s="41" t="str">
        <f>IF($C1208="","",$B1208&amp;"|"&amp;(COUNTIFS($B$4:$B$1463,$B1208,$AF$4:$AF$1463,"&gt;"&amp;$AF1208)+COUNTIFS($B$4:$B1208,$B1208,$AF$4:$AF1208,"="&amp;$AF1208)))</f>
        <v>AZUKI|43</v>
      </c>
      <c r="AI1208" s="41" t="str">
        <f>IF($C1208="","",$B1208&amp;"|"&amp;(COUNTIFS($B$4:$B$1463,$B1208,$AG$4:$AG$1463,"&gt;"&amp;$AG1208)+COUNTIFS($B$4:$B1208,$B1208,$AG$4:$AG1208,"="&amp;$AG1208)))</f>
        <v>AZUKI|55</v>
      </c>
    </row>
    <row r="1209" spans="1:35" hidden="1">
      <c r="A1209" s="69" t="s">
        <v>109</v>
      </c>
      <c r="B1209" s="69" t="s">
        <v>116</v>
      </c>
      <c r="C1209" s="63" t="s">
        <v>2579</v>
      </c>
      <c r="D1209" s="69" t="s">
        <v>530</v>
      </c>
      <c r="E1209" s="68" t="s">
        <v>71</v>
      </c>
      <c r="F1209" s="19" t="str">
        <f>IF($C1209="","",IF($E1209="","-",IFERROR(INDEX(SETUP!$B$55:$B$64,MATCH($E1209,SETUP!$A$55:$A$64,0)),"Other")))</f>
        <v>Frontline</v>
      </c>
      <c r="G1209" s="70">
        <v>63189</v>
      </c>
      <c r="H1209" s="19" t="str">
        <f>IF($C1209="","",IF($G1209="","-",INDEX(SETUP!$B$26:$B$32,MATCH($G1209,SETUP!$A$26:$A$32,1))))</f>
        <v>63,000 - 63,999</v>
      </c>
      <c r="I1209" s="70">
        <v>5330</v>
      </c>
      <c r="J1209" s="19" t="str">
        <f>IF($C1209="","",IF($I1209="","-",INDEX(SETUP!$B$16:$B$22,MATCH($I1209,SETUP!$A$16:$A$22,1))))</f>
        <v>CORE</v>
      </c>
      <c r="K1209" s="19" t="str">
        <f>IF($C1209="","",IF($I1209="","-",TEXT(INT($I1209/1000)*1000,"#,##0")&amp;" - "&amp;TEXT(INT($I1209/1000)*1000+999,"#,##0")))</f>
        <v>5,000 - 5,999</v>
      </c>
      <c r="L1209" s="71">
        <v>5.8</v>
      </c>
      <c r="M1209" s="19" t="str">
        <f>IF($C1209="","",IF($L1209="","-",INDEX(SETUP!$B$36:$B$42,MATCH($L1209,SETUP!$A$36:$A$42,1))))</f>
        <v>5k - 6k</v>
      </c>
      <c r="N1209" s="21">
        <f>IF($C1209="","",IF(OR($G1209="",$I1209=""),"",ROUND(100*(SETUP!$B$4*MIN(1,$I1209/SETUP!$B$9)+SETUP!$B$5*MAX(0,MIN(1,($G1209-SETUP!$B$10)/(SETUP!$B$11-SETUP!$B$10)))+SETUP!$B$6*MIN(1,IF($L1209="",0,$L1209)/SETUP!$B$12)),1)))</f>
        <v>54.5</v>
      </c>
      <c r="O1209" s="19" t="str">
        <f>IF($C1209="","",IF($N1209="","-",INDEX(SETUP!$B$46:$B$51,MATCH($N1209,SETUP!$A$46:$A$51,1))))</f>
        <v>A</v>
      </c>
      <c r="P1209" s="19">
        <f>IF($C1209="","",IF($I1209="","",RANK($I1209,$I$4:$I$1463)+COUNTIF($I$4:$I1209,$I1209)-1))</f>
        <v>359</v>
      </c>
      <c r="Q1209" s="19">
        <f>IF($C1209="","",COUNTIFS($B$4:$B$1463,$B1209,$X$4:$X$1463,"&gt;"&amp;$X1209)+COUNTIFS($B$4:$B1209,$B1209,$X$4:$X1209,"="&amp;$X1209))</f>
        <v>11</v>
      </c>
      <c r="R1209" s="75">
        <f>IF($C1209="","",IF($I1209="","",ROUND(COUNTIF($I$4:$I$1463,"&lt;"&amp;$I1209)/COUNT($I$4:$I$1463),3)))</f>
        <v>0.72899999999999998</v>
      </c>
      <c r="S1209" s="19" t="str">
        <f>IF($C1209="","",IF($G1209="","Name only",IF(OR($I1209="",$L1209=""),"Partial","Complete")))</f>
        <v>Complete</v>
      </c>
      <c r="T1209" s="1" t="str">
        <f>IF($C1209="","",TRIM(IF(COUNTIF($C$4:$C$1463,$C1209)&gt;1,"Dup name; ","")&amp;IF(AND($G1209&lt;&gt;"",$G1209&lt;55000),"Low CR - verify; ","")&amp;IF(AND($L1209&lt;&gt;"",$L1209&gt;15),"Secondary - verify; ","")&amp;IF($E1209="","No class; ","")))</f>
        <v/>
      </c>
      <c r="U1209" s="68"/>
      <c r="V1209" s="68"/>
      <c r="W1209" s="68"/>
      <c r="X1209" s="76">
        <f t="shared" si="92"/>
        <v>5330</v>
      </c>
      <c r="Y1209" s="1" t="str">
        <f t="shared" si="93"/>
        <v>VENGEANCE|11</v>
      </c>
      <c r="Z1209" s="19">
        <f>IF($C1209="","",IF($G1209="","",RANK($G1209,$G$4:$G$1463)+COUNTIF($G$4:$G1209,$G1209)-1))</f>
        <v>322</v>
      </c>
      <c r="AA1209" s="19">
        <f>IF($C1209="","",IF($N1209="","",RANK($N1209,$N$4:$N$1463)+COUNTIF($N$4:$N1209,$N1209)-1))</f>
        <v>331</v>
      </c>
      <c r="AB1209" s="1" t="str">
        <f>IF($C1209="","",IF($E1209="","",$E1209&amp;"#"&amp;(COUNTIFS($E$4:$E$1463,$E1209,$X$4:$X$1463,"&gt;"&amp;$X1209)+COUNTIFS($E$4:$E1209,$E1209,$X$4:$X1209,"="&amp;$X1209))))</f>
        <v>BARBARIAN#73</v>
      </c>
      <c r="AC1209" s="1" t="str">
        <f>IF($C1209="","",$B1209&amp;"@"&amp;(COUNTIFS($B$4:$B$1463,$B1209,$C$4:$C$1463,"&lt;"&amp;$C1209)+COUNTIFS($B$4:$B1209,$B1209,$C$4:$C1209,$C1209)))</f>
        <v>VENGEANCE@86</v>
      </c>
      <c r="AD1209" s="1">
        <f t="shared" si="94"/>
        <v>1206</v>
      </c>
      <c r="AE1209" s="1" t="s">
        <v>759</v>
      </c>
      <c r="AF1209" s="76">
        <f t="shared" si="95"/>
        <v>63189</v>
      </c>
      <c r="AG1209" s="77">
        <f t="shared" si="96"/>
        <v>5.8</v>
      </c>
      <c r="AH1209" s="1" t="str">
        <f>IF($C1209="","",$B1209&amp;"|"&amp;(COUNTIFS($B$4:$B$1463,$B1209,$AF$4:$AF$1463,"&gt;"&amp;$AF1209)+COUNTIFS($B$4:$B1209,$B1209,$AF$4:$AF1209,"="&amp;$AF1209)))</f>
        <v>VENGEANCE|13</v>
      </c>
      <c r="AI1209" s="1" t="str">
        <f>IF($C1209="","",$B1209&amp;"|"&amp;(COUNTIFS($B$4:$B$1463,$B1209,$AG$4:$AG$1463,"&gt;"&amp;$AG1209)+COUNTIFS($B$4:$B1209,$B1209,$AG$4:$AG1209,"="&amp;$AG1209)))</f>
        <v>VENGEANCE|16</v>
      </c>
    </row>
    <row r="1210" spans="1:35" hidden="1">
      <c r="A1210" s="69" t="s">
        <v>109</v>
      </c>
      <c r="B1210" s="69" t="s">
        <v>108</v>
      </c>
      <c r="C1210" s="63" t="s">
        <v>2580</v>
      </c>
      <c r="D1210" s="69"/>
      <c r="E1210" s="68" t="s">
        <v>73</v>
      </c>
      <c r="F1210" s="15" t="str">
        <f>IF($C1210="","",IF($E1210="","-",IFERROR(INDEX(SETUP!$B$55:$B$64,MATCH($E1210,SETUP!$A$55:$A$64,0)),"Other")))</f>
        <v>Frontline</v>
      </c>
      <c r="G1210" s="70">
        <v>63768</v>
      </c>
      <c r="H1210" s="15" t="str">
        <f>IF($C1210="","",IF($G1210="","-",INDEX(SETUP!$B$26:$B$32,MATCH($G1210,SETUP!$A$26:$A$32,1))))</f>
        <v>63,000 - 63,999</v>
      </c>
      <c r="I1210" s="70">
        <v>7289</v>
      </c>
      <c r="J1210" s="15" t="str">
        <f>IF($C1210="","",IF($I1210="","-",INDEX(SETUP!$B$16:$B$22,MATCH($I1210,SETUP!$A$16:$A$22,1))))</f>
        <v>VETERAN</v>
      </c>
      <c r="K1210" s="15" t="str">
        <f>IF($C1210="","",IF($I1210="","-",TEXT(INT($I1210/1000)*1000,"#,##0")&amp;" - "&amp;TEXT(INT($I1210/1000)*1000+999,"#,##0")))</f>
        <v>7,000 - 7,999</v>
      </c>
      <c r="L1210" s="71">
        <v>8.0500000000000007</v>
      </c>
      <c r="M1210" s="15" t="str">
        <f>IF($C1210="","",IF($L1210="","-",INDEX(SETUP!$B$36:$B$42,MATCH($L1210,SETUP!$A$36:$A$42,1))))</f>
        <v>8k - 10k</v>
      </c>
      <c r="N1210" s="17">
        <f>IF($C1210="","",IF(OR($G1210="",$I1210=""),"",ROUND(100*(SETUP!$B$4*MIN(1,$I1210/SETUP!$B$9)+SETUP!$B$5*MAX(0,MIN(1,($G1210-SETUP!$B$10)/(SETUP!$B$11-SETUP!$B$10)))+SETUP!$B$6*MIN(1,IF($L1210="",0,$L1210)/SETUP!$B$12)),1)))</f>
        <v>68.3</v>
      </c>
      <c r="O1210" s="15" t="str">
        <f>IF($C1210="","",IF($N1210="","-",INDEX(SETUP!$B$46:$B$51,MATCH($N1210,SETUP!$A$46:$A$51,1))))</f>
        <v>S</v>
      </c>
      <c r="P1210" s="15">
        <f>IF($C1210="","",IF($I1210="","",RANK($I1210,$I$4:$I$1463)+COUNTIF($I$4:$I1210,$I1210)-1))</f>
        <v>194</v>
      </c>
      <c r="Q1210" s="15">
        <f>IF($C1210="","",COUNTIFS($B$4:$B$1463,$B1210,$X$4:$X$1463,"&gt;"&amp;$X1210)+COUNTIFS($B$4:$B1210,$B1210,$X$4:$X1210,"="&amp;$X1210))</f>
        <v>28</v>
      </c>
      <c r="R1210" s="72">
        <f>IF($C1210="","",IF($I1210="","",ROUND(COUNTIF($I$4:$I$1463,"&lt;"&amp;$I1210)/COUNT($I$4:$I$1463),3)))</f>
        <v>0.85399999999999998</v>
      </c>
      <c r="S1210" s="15" t="str">
        <f>IF($C1210="","",IF($G1210="","Name only",IF(OR($I1210="",$L1210=""),"Partial","Complete")))</f>
        <v>Complete</v>
      </c>
      <c r="T1210" s="41" t="str">
        <f>IF($C1210="","",TRIM(IF(COUNTIF($C$4:$C$1463,$C1210)&gt;1,"Dup name; ","")&amp;IF(AND($G1210&lt;&gt;"",$G1210&lt;55000),"Low CR - verify; ","")&amp;IF(AND($L1210&lt;&gt;"",$L1210&gt;15),"Secondary - verify; ","")&amp;IF($E1210="","No class; ","")))</f>
        <v/>
      </c>
      <c r="U1210" s="68"/>
      <c r="V1210" s="68"/>
      <c r="W1210" s="68"/>
      <c r="X1210" s="73">
        <f t="shared" si="92"/>
        <v>7289</v>
      </c>
      <c r="Y1210" s="41" t="str">
        <f t="shared" si="93"/>
        <v>SBG|28</v>
      </c>
      <c r="Z1210" s="15">
        <f>IF($C1210="","",IF($G1210="","",RANK($G1210,$G$4:$G$1463)+COUNTIF($G$4:$G1210,$G1210)-1))</f>
        <v>121</v>
      </c>
      <c r="AA1210" s="15">
        <f>IF($C1210="","",IF($N1210="","",RANK($N1210,$N$4:$N$1463)+COUNTIF($N$4:$N1210,$N1210)-1))</f>
        <v>144</v>
      </c>
      <c r="AB1210" s="41" t="str">
        <f>IF($C1210="","",IF($E1210="","",$E1210&amp;"#"&amp;(COUNTIFS($E$4:$E$1463,$E1210,$X$4:$X$1463,"&gt;"&amp;$X1210)+COUNTIFS($E$4:$E1210,$E1210,$X$4:$X1210,"="&amp;$X1210))))</f>
        <v>CRUSADER#28</v>
      </c>
      <c r="AC1210" s="41" t="str">
        <f>IF($C1210="","",$B1210&amp;"@"&amp;(COUNTIFS($B$4:$B$1463,$B1210,$C$4:$C$1463,"&lt;"&amp;$C1210)+COUNTIFS($B$4:$B1210,$B1210,$C$4:$C1210,$C1210)))</f>
        <v>SBG@86</v>
      </c>
      <c r="AD1210" s="41">
        <f t="shared" si="94"/>
        <v>1207</v>
      </c>
      <c r="AE1210" s="41" t="s">
        <v>2581</v>
      </c>
      <c r="AF1210" s="73">
        <f t="shared" si="95"/>
        <v>63768</v>
      </c>
      <c r="AG1210" s="74">
        <f t="shared" si="96"/>
        <v>8.0500000000000007</v>
      </c>
      <c r="AH1210" s="41" t="str">
        <f>IF($C1210="","",$B1210&amp;"|"&amp;(COUNTIFS($B$4:$B$1463,$B1210,$AF$4:$AF$1463,"&gt;"&amp;$AF1210)+COUNTIFS($B$4:$B1210,$B1210,$AF$4:$AF1210,"="&amp;$AF1210)))</f>
        <v>SBG|21</v>
      </c>
      <c r="AI1210" s="41" t="str">
        <f>IF($C1210="","",$B1210&amp;"|"&amp;(COUNTIFS($B$4:$B$1463,$B1210,$AG$4:$AG$1463,"&gt;"&amp;$AG1210)+COUNTIFS($B$4:$B1210,$B1210,$AG$4:$AG1210,"="&amp;$AG1210)))</f>
        <v>SBG|12</v>
      </c>
    </row>
    <row r="1211" spans="1:35" hidden="1">
      <c r="A1211" s="69" t="s">
        <v>106</v>
      </c>
      <c r="B1211" s="69" t="s">
        <v>86</v>
      </c>
      <c r="C1211" s="63" t="s">
        <v>2582</v>
      </c>
      <c r="D1211" s="69"/>
      <c r="E1211" s="68" t="s">
        <v>71</v>
      </c>
      <c r="F1211" s="19" t="str">
        <f>IF($C1211="","",IF($E1211="","-",IFERROR(INDEX(SETUP!$B$55:$B$64,MATCH($E1211,SETUP!$A$55:$A$64,0)),"Other")))</f>
        <v>Frontline</v>
      </c>
      <c r="G1211" s="70">
        <v>63655</v>
      </c>
      <c r="H1211" s="19" t="str">
        <f>IF($C1211="","",IF($G1211="","-",INDEX(SETUP!$B$26:$B$32,MATCH($G1211,SETUP!$A$26:$A$32,1))))</f>
        <v>63,000 - 63,999</v>
      </c>
      <c r="I1211" s="70">
        <v>5111</v>
      </c>
      <c r="J1211" s="19" t="str">
        <f>IF($C1211="","",IF($I1211="","-",INDEX(SETUP!$B$16:$B$22,MATCH($I1211,SETUP!$A$16:$A$22,1))))</f>
        <v>CORE</v>
      </c>
      <c r="K1211" s="19" t="str">
        <f>IF($C1211="","",IF($I1211="","-",TEXT(INT($I1211/1000)*1000,"#,##0")&amp;" - "&amp;TEXT(INT($I1211/1000)*1000+999,"#,##0")))</f>
        <v>5,000 - 5,999</v>
      </c>
      <c r="L1211" s="71">
        <v>5.03</v>
      </c>
      <c r="M1211" s="19" t="str">
        <f>IF($C1211="","",IF($L1211="","-",INDEX(SETUP!$B$36:$B$42,MATCH($L1211,SETUP!$A$36:$A$42,1))))</f>
        <v>5k - 6k</v>
      </c>
      <c r="N1211" s="21">
        <f>IF($C1211="","",IF(OR($G1211="",$I1211=""),"",ROUND(100*(SETUP!$B$4*MIN(1,$I1211/SETUP!$B$9)+SETUP!$B$5*MAX(0,MIN(1,($G1211-SETUP!$B$10)/(SETUP!$B$11-SETUP!$B$10)))+SETUP!$B$6*MIN(1,IF($L1211="",0,$L1211)/SETUP!$B$12)),1)))</f>
        <v>53.5</v>
      </c>
      <c r="O1211" s="19" t="str">
        <f>IF($C1211="","",IF($N1211="","-",INDEX(SETUP!$B$46:$B$51,MATCH($N1211,SETUP!$A$46:$A$51,1))))</f>
        <v>A</v>
      </c>
      <c r="P1211" s="19">
        <f>IF($C1211="","",IF($I1211="","",RANK($I1211,$I$4:$I$1463)+COUNTIF($I$4:$I1211,$I1211)-1))</f>
        <v>393</v>
      </c>
      <c r="Q1211" s="19">
        <f>IF($C1211="","",COUNTIFS($B$4:$B$1463,$B1211,$X$4:$X$1463,"&gt;"&amp;$X1211)+COUNTIFS($B$4:$B1211,$B1211,$X$4:$X1211,"="&amp;$X1211))</f>
        <v>66</v>
      </c>
      <c r="R1211" s="75">
        <f>IF($C1211="","",IF($I1211="","",ROUND(COUNTIF($I$4:$I$1463,"&lt;"&amp;$I1211)/COUNT($I$4:$I$1463),3)))</f>
        <v>0.70299999999999996</v>
      </c>
      <c r="S1211" s="19" t="str">
        <f>IF($C1211="","",IF($G1211="","Name only",IF(OR($I1211="",$L1211=""),"Partial","Complete")))</f>
        <v>Complete</v>
      </c>
      <c r="T1211" s="1" t="str">
        <f>IF($C1211="","",TRIM(IF(COUNTIF($C$4:$C$1463,$C1211)&gt;1,"Dup name; ","")&amp;IF(AND($G1211&lt;&gt;"",$G1211&lt;55000),"Low CR - verify; ","")&amp;IF(AND($L1211&lt;&gt;"",$L1211&gt;15),"Secondary - verify; ","")&amp;IF($E1211="","No class; ","")))</f>
        <v/>
      </c>
      <c r="U1211" s="68"/>
      <c r="V1211" s="68"/>
      <c r="W1211" s="68"/>
      <c r="X1211" s="76">
        <f t="shared" si="92"/>
        <v>5111</v>
      </c>
      <c r="Y1211" s="1" t="str">
        <f t="shared" si="93"/>
        <v>VANGUARD|66</v>
      </c>
      <c r="Z1211" s="19">
        <f>IF($C1211="","",IF($G1211="","",RANK($G1211,$G$4:$G$1463)+COUNTIF($G$4:$G1211,$G1211)-1))</f>
        <v>148</v>
      </c>
      <c r="AA1211" s="19">
        <f>IF($C1211="","",IF($N1211="","",RANK($N1211,$N$4:$N$1463)+COUNTIF($N$4:$N1211,$N1211)-1))</f>
        <v>355</v>
      </c>
      <c r="AB1211" s="1" t="str">
        <f>IF($C1211="","",IF($E1211="","",$E1211&amp;"#"&amp;(COUNTIFS($E$4:$E$1463,$E1211,$X$4:$X$1463,"&gt;"&amp;$X1211)+COUNTIFS($E$4:$E1211,$E1211,$X$4:$X1211,"="&amp;$X1211))))</f>
        <v>BARBARIAN#80</v>
      </c>
      <c r="AC1211" s="1" t="str">
        <f>IF($C1211="","",$B1211&amp;"@"&amp;(COUNTIFS($B$4:$B$1463,$B1211,$C$4:$C$1463,"&lt;"&amp;$C1211)+COUNTIFS($B$4:$B1211,$B1211,$C$4:$C1211,$C1211)))</f>
        <v>VANGUARD@89</v>
      </c>
      <c r="AD1211" s="1">
        <f t="shared" si="94"/>
        <v>1208</v>
      </c>
      <c r="AE1211" s="1" t="s">
        <v>2583</v>
      </c>
      <c r="AF1211" s="76">
        <f t="shared" si="95"/>
        <v>63655</v>
      </c>
      <c r="AG1211" s="77">
        <f t="shared" si="96"/>
        <v>5.03</v>
      </c>
      <c r="AH1211" s="1" t="str">
        <f>IF($C1211="","",$B1211&amp;"|"&amp;(COUNTIFS($B$4:$B$1463,$B1211,$AF$4:$AF$1463,"&gt;"&amp;$AF1211)+COUNTIFS($B$4:$B1211,$B1211,$AF$4:$AF1211,"="&amp;$AF1211)))</f>
        <v>VANGUARD|31</v>
      </c>
      <c r="AI1211" s="1" t="str">
        <f>IF($C1211="","",$B1211&amp;"|"&amp;(COUNTIFS($B$4:$B$1463,$B1211,$AG$4:$AG$1463,"&gt;"&amp;$AG1211)+COUNTIFS($B$4:$B1211,$B1211,$AG$4:$AG1211,"="&amp;$AG1211)))</f>
        <v>VANGUARD|67</v>
      </c>
    </row>
    <row r="1212" spans="1:35" hidden="1">
      <c r="A1212" s="69" t="s">
        <v>109</v>
      </c>
      <c r="B1212" s="69" t="s">
        <v>114</v>
      </c>
      <c r="C1212" s="63" t="s">
        <v>2584</v>
      </c>
      <c r="D1212" s="69"/>
      <c r="E1212" s="68" t="s">
        <v>79</v>
      </c>
      <c r="F1212" s="15" t="str">
        <f>IF($C1212="","",IF($E1212="","-",IFERROR(INDEX(SETUP!$B$55:$B$64,MATCH($E1212,SETUP!$A$55:$A$64,0)),"Other")))</f>
        <v>Control</v>
      </c>
      <c r="G1212" s="70">
        <v>62408</v>
      </c>
      <c r="H1212" s="15" t="str">
        <f>IF($C1212="","",IF($G1212="","-",INDEX(SETUP!$B$26:$B$32,MATCH($G1212,SETUP!$A$26:$A$32,1))))</f>
        <v>62,000 - 62,999</v>
      </c>
      <c r="I1212" s="70">
        <v>2903</v>
      </c>
      <c r="J1212" s="15" t="str">
        <f>IF($C1212="","",IF($I1212="","-",INDEX(SETUP!$B$16:$B$22,MATCH($I1212,SETUP!$A$16:$A$22,1))))</f>
        <v>DEVELOPING</v>
      </c>
      <c r="K1212" s="15" t="str">
        <f>IF($C1212="","",IF($I1212="","-",TEXT(INT($I1212/1000)*1000,"#,##0")&amp;" - "&amp;TEXT(INT($I1212/1000)*1000+999,"#,##0")))</f>
        <v>2,000 - 2,999</v>
      </c>
      <c r="L1212" s="71">
        <v>3.45</v>
      </c>
      <c r="M1212" s="15" t="str">
        <f>IF($C1212="","",IF($L1212="","-",INDEX(SETUP!$B$36:$B$42,MATCH($L1212,SETUP!$A$36:$A$42,1))))</f>
        <v>3k - 4k</v>
      </c>
      <c r="N1212" s="17">
        <f>IF($C1212="","",IF(OR($G1212="",$I1212=""),"",ROUND(100*(SETUP!$B$4*MIN(1,$I1212/SETUP!$B$9)+SETUP!$B$5*MAX(0,MIN(1,($G1212-SETUP!$B$10)/(SETUP!$B$11-SETUP!$B$10)))+SETUP!$B$6*MIN(1,IF($L1212="",0,$L1212)/SETUP!$B$12)),1)))</f>
        <v>37.9</v>
      </c>
      <c r="O1212" s="15" t="str">
        <f>IF($C1212="","",IF($N1212="","-",INDEX(SETUP!$B$46:$B$51,MATCH($N1212,SETUP!$A$46:$A$51,1))))</f>
        <v>B</v>
      </c>
      <c r="P1212" s="15">
        <f>IF($C1212="","",IF($I1212="","",RANK($I1212,$I$4:$I$1463)+COUNTIF($I$4:$I1212,$I1212)-1))</f>
        <v>906</v>
      </c>
      <c r="Q1212" s="15">
        <f>IF($C1212="","",COUNTIFS($B$4:$B$1463,$B1212,$X$4:$X$1463,"&gt;"&amp;$X1212)+COUNTIFS($B$4:$B1212,$B1212,$X$4:$X1212,"="&amp;$X1212))</f>
        <v>26</v>
      </c>
      <c r="R1212" s="72">
        <f>IF($C1212="","",IF($I1212="","",ROUND(COUNTIF($I$4:$I$1463,"&lt;"&amp;$I1212)/COUNT($I$4:$I$1463),3)))</f>
        <v>0.316</v>
      </c>
      <c r="S1212" s="15" t="str">
        <f>IF($C1212="","",IF($G1212="","Name only",IF(OR($I1212="",$L1212=""),"Partial","Complete")))</f>
        <v>Complete</v>
      </c>
      <c r="T1212" s="41" t="str">
        <f>IF($C1212="","",TRIM(IF(COUNTIF($C$4:$C$1463,$C1212)&gt;1,"Dup name; ","")&amp;IF(AND($G1212&lt;&gt;"",$G1212&lt;55000),"Low CR - verify; ","")&amp;IF(AND($L1212&lt;&gt;"",$L1212&gt;15),"Secondary - verify; ","")&amp;IF($E1212="","No class; ","")))</f>
        <v/>
      </c>
      <c r="U1212" s="68"/>
      <c r="V1212" s="68"/>
      <c r="W1212" s="68"/>
      <c r="X1212" s="73">
        <f t="shared" si="92"/>
        <v>2903</v>
      </c>
      <c r="Y1212" s="41" t="str">
        <f t="shared" si="93"/>
        <v>EMERALD LEAF TRIBE|26</v>
      </c>
      <c r="Z1212" s="15">
        <f>IF($C1212="","",IF($G1212="","",RANK($G1212,$G$4:$G$1463)+COUNTIF($G$4:$G1212,$G1212)-1))</f>
        <v>689</v>
      </c>
      <c r="AA1212" s="15">
        <f>IF($C1212="","",IF($N1212="","",RANK($N1212,$N$4:$N$1463)+COUNTIF($N$4:$N1212,$N1212)-1))</f>
        <v>903</v>
      </c>
      <c r="AB1212" s="41" t="str">
        <f>IF($C1212="","",IF($E1212="","",$E1212&amp;"#"&amp;(COUNTIFS($E$4:$E$1463,$E1212,$X$4:$X$1463,"&gt;"&amp;$X1212)+COUNTIFS($E$4:$E1212,$E1212,$X$4:$X1212,"="&amp;$X1212))))</f>
        <v>WARLOCK#225</v>
      </c>
      <c r="AC1212" s="41" t="str">
        <f>IF($C1212="","",$B1212&amp;"@"&amp;(COUNTIFS($B$4:$B$1463,$B1212,$C$4:$C$1463,"&lt;"&amp;$C1212)+COUNTIFS($B$4:$B1212,$B1212,$C$4:$C1212,$C1212)))</f>
        <v>EMERALD LEAF TRIBE@89</v>
      </c>
      <c r="AD1212" s="41">
        <f t="shared" si="94"/>
        <v>1209</v>
      </c>
      <c r="AE1212" s="41" t="s">
        <v>1052</v>
      </c>
      <c r="AF1212" s="73">
        <f t="shared" si="95"/>
        <v>62408</v>
      </c>
      <c r="AG1212" s="74">
        <f t="shared" si="96"/>
        <v>3.45</v>
      </c>
      <c r="AH1212" s="41" t="str">
        <f>IF($C1212="","",$B1212&amp;"|"&amp;(COUNTIFS($B$4:$B$1463,$B1212,$AF$4:$AF$1463,"&gt;"&amp;$AF1212)+COUNTIFS($B$4:$B1212,$B1212,$AF$4:$AF1212,"="&amp;$AF1212)))</f>
        <v>EMERALD LEAF TRIBE|19</v>
      </c>
      <c r="AI1212" s="41" t="str">
        <f>IF($C1212="","",$B1212&amp;"|"&amp;(COUNTIFS($B$4:$B$1463,$B1212,$AG$4:$AG$1463,"&gt;"&amp;$AG1212)+COUNTIFS($B$4:$B1212,$B1212,$AG$4:$AG1212,"="&amp;$AG1212)))</f>
        <v>EMERALD LEAF TRIBE|56</v>
      </c>
    </row>
    <row r="1213" spans="1:35" hidden="1">
      <c r="A1213" s="69" t="s">
        <v>109</v>
      </c>
      <c r="B1213" s="69" t="s">
        <v>113</v>
      </c>
      <c r="C1213" s="63" t="s">
        <v>2585</v>
      </c>
      <c r="D1213" s="69" t="s">
        <v>548</v>
      </c>
      <c r="E1213" s="68" t="s">
        <v>71</v>
      </c>
      <c r="F1213" s="19" t="str">
        <f>IF($C1213="","",IF($E1213="","-",IFERROR(INDEX(SETUP!$B$55:$B$64,MATCH($E1213,SETUP!$A$55:$A$64,0)),"Other")))</f>
        <v>Frontline</v>
      </c>
      <c r="G1213" s="70">
        <v>63037</v>
      </c>
      <c r="H1213" s="19" t="str">
        <f>IF($C1213="","",IF($G1213="","-",INDEX(SETUP!$B$26:$B$32,MATCH($G1213,SETUP!$A$26:$A$32,1))))</f>
        <v>63,000 - 63,999</v>
      </c>
      <c r="I1213" s="70">
        <v>4052</v>
      </c>
      <c r="J1213" s="19" t="str">
        <f>IF($C1213="","",IF($I1213="","-",INDEX(SETUP!$B$16:$B$22,MATCH($I1213,SETUP!$A$16:$A$22,1))))</f>
        <v>CORE</v>
      </c>
      <c r="K1213" s="19" t="str">
        <f>IF($C1213="","",IF($I1213="","-",TEXT(INT($I1213/1000)*1000,"#,##0")&amp;" - "&amp;TEXT(INT($I1213/1000)*1000+999,"#,##0")))</f>
        <v>4,000 - 4,999</v>
      </c>
      <c r="L1213" s="71">
        <v>4.6500000000000004</v>
      </c>
      <c r="M1213" s="19" t="str">
        <f>IF($C1213="","",IF($L1213="","-",INDEX(SETUP!$B$36:$B$42,MATCH($L1213,SETUP!$A$36:$A$42,1))))</f>
        <v>4k - 5k</v>
      </c>
      <c r="N1213" s="21">
        <f>IF($C1213="","",IF(OR($G1213="",$I1213=""),"",ROUND(100*(SETUP!$B$4*MIN(1,$I1213/SETUP!$B$9)+SETUP!$B$5*MAX(0,MIN(1,($G1213-SETUP!$B$10)/(SETUP!$B$11-SETUP!$B$10)))+SETUP!$B$6*MIN(1,IF($L1213="",0,$L1213)/SETUP!$B$12)),1)))</f>
        <v>46.6</v>
      </c>
      <c r="O1213" s="19" t="str">
        <f>IF($C1213="","",IF($N1213="","-",INDEX(SETUP!$B$46:$B$51,MATCH($N1213,SETUP!$A$46:$A$51,1))))</f>
        <v>B</v>
      </c>
      <c r="P1213" s="19">
        <f>IF($C1213="","",IF($I1213="","",RANK($I1213,$I$4:$I$1463)+COUNTIF($I$4:$I1213,$I1213)-1))</f>
        <v>586</v>
      </c>
      <c r="Q1213" s="19">
        <f>IF($C1213="","",COUNTIFS($B$4:$B$1463,$B1213,$X$4:$X$1463,"&gt;"&amp;$X1213)+COUNTIFS($B$4:$B1213,$B1213,$X$4:$X1213,"="&amp;$X1213))</f>
        <v>26</v>
      </c>
      <c r="R1213" s="75">
        <f>IF($C1213="","",IF($I1213="","",ROUND(COUNTIF($I$4:$I$1463,"&lt;"&amp;$I1213)/COUNT($I$4:$I$1463),3)))</f>
        <v>0.55800000000000005</v>
      </c>
      <c r="S1213" s="19" t="str">
        <f>IF($C1213="","",IF($G1213="","Name only",IF(OR($I1213="",$L1213=""),"Partial","Complete")))</f>
        <v>Complete</v>
      </c>
      <c r="T1213" s="1" t="str">
        <f>IF($C1213="","",TRIM(IF(COUNTIF($C$4:$C$1463,$C1213)&gt;1,"Dup name; ","")&amp;IF(AND($G1213&lt;&gt;"",$G1213&lt;55000),"Low CR - verify; ","")&amp;IF(AND($L1213&lt;&gt;"",$L1213&gt;15),"Secondary - verify; ","")&amp;IF($E1213="","No class; ","")))</f>
        <v/>
      </c>
      <c r="U1213" s="68"/>
      <c r="V1213" s="68"/>
      <c r="W1213" s="68"/>
      <c r="X1213" s="76">
        <f t="shared" si="92"/>
        <v>4052</v>
      </c>
      <c r="Y1213" s="1" t="str">
        <f t="shared" si="93"/>
        <v>INVICTUS|26</v>
      </c>
      <c r="Z1213" s="19">
        <f>IF($C1213="","",IF($G1213="","",RANK($G1213,$G$4:$G$1463)+COUNTIF($G$4:$G1213,$G1213)-1))</f>
        <v>409</v>
      </c>
      <c r="AA1213" s="19">
        <f>IF($C1213="","",IF($N1213="","",RANK($N1213,$N$4:$N$1463)+COUNTIF($N$4:$N1213,$N1213)-1))</f>
        <v>566</v>
      </c>
      <c r="AB1213" s="1" t="str">
        <f>IF($C1213="","",IF($E1213="","",$E1213&amp;"#"&amp;(COUNTIFS($E$4:$E$1463,$E1213,$X$4:$X$1463,"&gt;"&amp;$X1213)+COUNTIFS($E$4:$E1213,$E1213,$X$4:$X1213,"="&amp;$X1213))))</f>
        <v>BARBARIAN#112</v>
      </c>
      <c r="AC1213" s="1" t="str">
        <f>IF($C1213="","",$B1213&amp;"@"&amp;(COUNTIFS($B$4:$B$1463,$B1213,$C$4:$C$1463,"&lt;"&amp;$C1213)+COUNTIFS($B$4:$B1213,$B1213,$C$4:$C1213,$C1213)))</f>
        <v>INVICTUS@90</v>
      </c>
      <c r="AD1213" s="1">
        <f t="shared" si="94"/>
        <v>1210</v>
      </c>
      <c r="AE1213" s="1" t="s">
        <v>2586</v>
      </c>
      <c r="AF1213" s="76">
        <f t="shared" si="95"/>
        <v>63037</v>
      </c>
      <c r="AG1213" s="77">
        <f t="shared" si="96"/>
        <v>4.6500000000000004</v>
      </c>
      <c r="AH1213" s="1" t="str">
        <f>IF($C1213="","",$B1213&amp;"|"&amp;(COUNTIFS($B$4:$B$1463,$B1213,$AF$4:$AF$1463,"&gt;"&amp;$AF1213)+COUNTIFS($B$4:$B1213,$B1213,$AF$4:$AF1213,"="&amp;$AF1213)))</f>
        <v>INVICTUS|21</v>
      </c>
      <c r="AI1213" s="1" t="str">
        <f>IF($C1213="","",$B1213&amp;"|"&amp;(COUNTIFS($B$4:$B$1463,$B1213,$AG$4:$AG$1463,"&gt;"&amp;$AG1213)+COUNTIFS($B$4:$B1213,$B1213,$AG$4:$AG1213,"="&amp;$AG1213)))</f>
        <v>INVICTUS|43</v>
      </c>
    </row>
    <row r="1214" spans="1:35" hidden="1">
      <c r="A1214" s="69" t="s">
        <v>106</v>
      </c>
      <c r="B1214" s="69" t="s">
        <v>86</v>
      </c>
      <c r="C1214" s="63" t="s">
        <v>2587</v>
      </c>
      <c r="D1214" s="69"/>
      <c r="E1214" s="68" t="s">
        <v>73</v>
      </c>
      <c r="F1214" s="15" t="str">
        <f>IF($C1214="","",IF($E1214="","-",IFERROR(INDEX(SETUP!$B$55:$B$64,MATCH($E1214,SETUP!$A$55:$A$64,0)),"Other")))</f>
        <v>Frontline</v>
      </c>
      <c r="G1214" s="70">
        <v>63885</v>
      </c>
      <c r="H1214" s="15" t="str">
        <f>IF($C1214="","",IF($G1214="","-",INDEX(SETUP!$B$26:$B$32,MATCH($G1214,SETUP!$A$26:$A$32,1))))</f>
        <v>63,000 - 63,999</v>
      </c>
      <c r="I1214" s="70">
        <v>7105</v>
      </c>
      <c r="J1214" s="15" t="str">
        <f>IF($C1214="","",IF($I1214="","-",INDEX(SETUP!$B$16:$B$22,MATCH($I1214,SETUP!$A$16:$A$22,1))))</f>
        <v>VETERAN</v>
      </c>
      <c r="K1214" s="15" t="str">
        <f>IF($C1214="","",IF($I1214="","-",TEXT(INT($I1214/1000)*1000,"#,##0")&amp;" - "&amp;TEXT(INT($I1214/1000)*1000+999,"#,##0")))</f>
        <v>7,000 - 7,999</v>
      </c>
      <c r="L1214" s="71">
        <v>9.1999999999999993</v>
      </c>
      <c r="M1214" s="15" t="str">
        <f>IF($C1214="","",IF($L1214="","-",INDEX(SETUP!$B$36:$B$42,MATCH($L1214,SETUP!$A$36:$A$42,1))))</f>
        <v>8k - 10k</v>
      </c>
      <c r="N1214" s="17">
        <f>IF($C1214="","",IF(OR($G1214="",$I1214=""),"",ROUND(100*(SETUP!$B$4*MIN(1,$I1214/SETUP!$B$9)+SETUP!$B$5*MAX(0,MIN(1,($G1214-SETUP!$B$10)/(SETUP!$B$11-SETUP!$B$10)))+SETUP!$B$6*MIN(1,IF($L1214="",0,$L1214)/SETUP!$B$12)),1)))</f>
        <v>69.7</v>
      </c>
      <c r="O1214" s="15" t="str">
        <f>IF($C1214="","",IF($N1214="","-",INDEX(SETUP!$B$46:$B$51,MATCH($N1214,SETUP!$A$46:$A$51,1))))</f>
        <v>S</v>
      </c>
      <c r="P1214" s="15">
        <f>IF($C1214="","",IF($I1214="","",RANK($I1214,$I$4:$I$1463)+COUNTIF($I$4:$I1214,$I1214)-1))</f>
        <v>217</v>
      </c>
      <c r="Q1214" s="15">
        <f>IF($C1214="","",COUNTIFS($B$4:$B$1463,$B1214,$X$4:$X$1463,"&gt;"&amp;$X1214)+COUNTIFS($B$4:$B1214,$B1214,$X$4:$X1214,"="&amp;$X1214))</f>
        <v>46</v>
      </c>
      <c r="R1214" s="72">
        <f>IF($C1214="","",IF($I1214="","",ROUND(COUNTIF($I$4:$I$1463,"&lt;"&amp;$I1214)/COUNT($I$4:$I$1463),3)))</f>
        <v>0.83599999999999997</v>
      </c>
      <c r="S1214" s="15" t="str">
        <f>IF($C1214="","",IF($G1214="","Name only",IF(OR($I1214="",$L1214=""),"Partial","Complete")))</f>
        <v>Complete</v>
      </c>
      <c r="T1214" s="41" t="str">
        <f>IF($C1214="","",TRIM(IF(COUNTIF($C$4:$C$1463,$C1214)&gt;1,"Dup name; ","")&amp;IF(AND($G1214&lt;&gt;"",$G1214&lt;55000),"Low CR - verify; ","")&amp;IF(AND($L1214&lt;&gt;"",$L1214&gt;15),"Secondary - verify; ","")&amp;IF($E1214="","No class; ","")))</f>
        <v/>
      </c>
      <c r="U1214" s="68"/>
      <c r="V1214" s="68"/>
      <c r="W1214" s="68"/>
      <c r="X1214" s="73">
        <f t="shared" si="92"/>
        <v>7105</v>
      </c>
      <c r="Y1214" s="41" t="str">
        <f t="shared" si="93"/>
        <v>VANGUARD|46</v>
      </c>
      <c r="Z1214" s="15">
        <f>IF($C1214="","",IF($G1214="","",RANK($G1214,$G$4:$G$1463)+COUNTIF($G$4:$G1214,$G1214)-1))</f>
        <v>100</v>
      </c>
      <c r="AA1214" s="15">
        <f>IF($C1214="","",IF($N1214="","",RANK($N1214,$N$4:$N$1463)+COUNTIF($N$4:$N1214,$N1214)-1))</f>
        <v>131</v>
      </c>
      <c r="AB1214" s="41" t="str">
        <f>IF($C1214="","",IF($E1214="","",$E1214&amp;"#"&amp;(COUNTIFS($E$4:$E$1463,$E1214,$X$4:$X$1463,"&gt;"&amp;$X1214)+COUNTIFS($E$4:$E1214,$E1214,$X$4:$X1214,"="&amp;$X1214))))</f>
        <v>CRUSADER#33</v>
      </c>
      <c r="AC1214" s="41" t="str">
        <f>IF($C1214="","",$B1214&amp;"@"&amp;(COUNTIFS($B$4:$B$1463,$B1214,$C$4:$C$1463,"&lt;"&amp;$C1214)+COUNTIFS($B$4:$B1214,$B1214,$C$4:$C1214,$C1214)))</f>
        <v>VANGUARD@90</v>
      </c>
      <c r="AD1214" s="41">
        <f t="shared" si="94"/>
        <v>1211</v>
      </c>
      <c r="AE1214" s="41" t="s">
        <v>2588</v>
      </c>
      <c r="AF1214" s="73">
        <f t="shared" si="95"/>
        <v>63885</v>
      </c>
      <c r="AG1214" s="74">
        <f t="shared" si="96"/>
        <v>9.1999999999999993</v>
      </c>
      <c r="AH1214" s="41" t="str">
        <f>IF($C1214="","",$B1214&amp;"|"&amp;(COUNTIFS($B$4:$B$1463,$B1214,$AF$4:$AF$1463,"&gt;"&amp;$AF1214)+COUNTIFS($B$4:$B1214,$B1214,$AF$4:$AF1214,"="&amp;$AF1214)))</f>
        <v>VANGUARD|25</v>
      </c>
      <c r="AI1214" s="41" t="str">
        <f>IF($C1214="","",$B1214&amp;"|"&amp;(COUNTIFS($B$4:$B$1463,$B1214,$AG$4:$AG$1463,"&gt;"&amp;$AG1214)+COUNTIFS($B$4:$B1214,$B1214,$AG$4:$AG1214,"="&amp;$AG1214)))</f>
        <v>VANGUARD|10</v>
      </c>
    </row>
    <row r="1215" spans="1:35" hidden="1">
      <c r="A1215" s="69" t="s">
        <v>106</v>
      </c>
      <c r="B1215" s="69" t="s">
        <v>86</v>
      </c>
      <c r="C1215" s="63" t="s">
        <v>2589</v>
      </c>
      <c r="D1215" s="69"/>
      <c r="E1215" s="68" t="s">
        <v>72</v>
      </c>
      <c r="F1215" s="19" t="str">
        <f>IF($C1215="","",IF($E1215="","-",IFERROR(INDEX(SETUP!$B$55:$B$64,MATCH($E1215,SETUP!$A$55:$A$64,0)),"Other")))</f>
        <v>Frontline</v>
      </c>
      <c r="G1215" s="70">
        <v>63346</v>
      </c>
      <c r="H1215" s="19" t="str">
        <f>IF($C1215="","",IF($G1215="","-",INDEX(SETUP!$B$26:$B$32,MATCH($G1215,SETUP!$A$26:$A$32,1))))</f>
        <v>63,000 - 63,999</v>
      </c>
      <c r="I1215" s="70">
        <v>8622</v>
      </c>
      <c r="J1215" s="19" t="str">
        <f>IF($C1215="","",IF($I1215="","-",INDEX(SETUP!$B$16:$B$22,MATCH($I1215,SETUP!$A$16:$A$22,1))))</f>
        <v>ELITE</v>
      </c>
      <c r="K1215" s="19" t="str">
        <f>IF($C1215="","",IF($I1215="","-",TEXT(INT($I1215/1000)*1000,"#,##0")&amp;" - "&amp;TEXT(INT($I1215/1000)*1000+999,"#,##0")))</f>
        <v>8,000 - 8,999</v>
      </c>
      <c r="L1215" s="71">
        <v>6.86</v>
      </c>
      <c r="M1215" s="19" t="str">
        <f>IF($C1215="","",IF($L1215="","-",INDEX(SETUP!$B$36:$B$42,MATCH($L1215,SETUP!$A$36:$A$42,1))))</f>
        <v>6k - 8k</v>
      </c>
      <c r="N1215" s="21">
        <f>IF($C1215="","",IF(OR($G1215="",$I1215=""),"",ROUND(100*(SETUP!$B$4*MIN(1,$I1215/SETUP!$B$9)+SETUP!$B$5*MAX(0,MIN(1,($G1215-SETUP!$B$10)/(SETUP!$B$11-SETUP!$B$10)))+SETUP!$B$6*MIN(1,IF($L1215="",0,$L1215)/SETUP!$B$12)),1)))</f>
        <v>71</v>
      </c>
      <c r="O1215" s="19" t="str">
        <f>IF($C1215="","",IF($N1215="","-",INDEX(SETUP!$B$46:$B$51,MATCH($N1215,SETUP!$A$46:$A$51,1))))</f>
        <v>S</v>
      </c>
      <c r="P1215" s="19">
        <f>IF($C1215="","",IF($I1215="","",RANK($I1215,$I$4:$I$1463)+COUNTIF($I$4:$I1215,$I1215)-1))</f>
        <v>114</v>
      </c>
      <c r="Q1215" s="19">
        <f>IF($C1215="","",COUNTIFS($B$4:$B$1463,$B1215,$X$4:$X$1463,"&gt;"&amp;$X1215)+COUNTIFS($B$4:$B1215,$B1215,$X$4:$X1215,"="&amp;$X1215))</f>
        <v>26</v>
      </c>
      <c r="R1215" s="75">
        <f>IF($C1215="","",IF($I1215="","",ROUND(COUNTIF($I$4:$I$1463,"&lt;"&amp;$I1215)/COUNT($I$4:$I$1463),3)))</f>
        <v>0.91400000000000003</v>
      </c>
      <c r="S1215" s="19" t="str">
        <f>IF($C1215="","",IF($G1215="","Name only",IF(OR($I1215="",$L1215=""),"Partial","Complete")))</f>
        <v>Complete</v>
      </c>
      <c r="T1215" s="1" t="str">
        <f>IF($C1215="","",TRIM(IF(COUNTIF($C$4:$C$1463,$C1215)&gt;1,"Dup name; ","")&amp;IF(AND($G1215&lt;&gt;"",$G1215&lt;55000),"Low CR - verify; ","")&amp;IF(AND($L1215&lt;&gt;"",$L1215&gt;15),"Secondary - verify; ","")&amp;IF($E1215="","No class; ","")))</f>
        <v/>
      </c>
      <c r="U1215" s="68"/>
      <c r="V1215" s="68"/>
      <c r="W1215" s="68"/>
      <c r="X1215" s="76">
        <f t="shared" si="92"/>
        <v>8622</v>
      </c>
      <c r="Y1215" s="1" t="str">
        <f t="shared" si="93"/>
        <v>VANGUARD|26</v>
      </c>
      <c r="Z1215" s="19">
        <f>IF($C1215="","",IF($G1215="","",RANK($G1215,$G$4:$G$1463)+COUNTIF($G$4:$G1215,$G1215)-1))</f>
        <v>240</v>
      </c>
      <c r="AA1215" s="19">
        <f>IF($C1215="","",IF($N1215="","",RANK($N1215,$N$4:$N$1463)+COUNTIF($N$4:$N1215,$N1215)-1))</f>
        <v>122</v>
      </c>
      <c r="AB1215" s="1" t="str">
        <f>IF($C1215="","",IF($E1215="","",$E1215&amp;"#"&amp;(COUNTIFS($E$4:$E$1463,$E1215,$X$4:$X$1463,"&gt;"&amp;$X1215)+COUNTIFS($E$4:$E1215,$E1215,$X$4:$X1215,"="&amp;$X1215))))</f>
        <v>BLOOD KNIGHT#7</v>
      </c>
      <c r="AC1215" s="1" t="str">
        <f>IF($C1215="","",$B1215&amp;"@"&amp;(COUNTIFS($B$4:$B$1463,$B1215,$C$4:$C$1463,"&lt;"&amp;$C1215)+COUNTIFS($B$4:$B1215,$B1215,$C$4:$C1215,$C1215)))</f>
        <v>VANGUARD@91</v>
      </c>
      <c r="AD1215" s="1">
        <f t="shared" si="94"/>
        <v>1212</v>
      </c>
      <c r="AE1215" s="1" t="s">
        <v>2590</v>
      </c>
      <c r="AF1215" s="76">
        <f t="shared" si="95"/>
        <v>63346</v>
      </c>
      <c r="AG1215" s="77">
        <f t="shared" si="96"/>
        <v>6.86</v>
      </c>
      <c r="AH1215" s="1" t="str">
        <f>IF($C1215="","",$B1215&amp;"|"&amp;(COUNTIFS($B$4:$B$1463,$B1215,$AF$4:$AF$1463,"&gt;"&amp;$AF1215)+COUNTIFS($B$4:$B1215,$B1215,$AF$4:$AF1215,"="&amp;$AF1215)))</f>
        <v>VANGUARD|46</v>
      </c>
      <c r="AI1215" s="1" t="str">
        <f>IF($C1215="","",$B1215&amp;"|"&amp;(COUNTIFS($B$4:$B$1463,$B1215,$AG$4:$AG$1463,"&gt;"&amp;$AG1215)+COUNTIFS($B$4:$B1215,$B1215,$AG$4:$AG1215,"="&amp;$AG1215)))</f>
        <v>VANGUARD|20</v>
      </c>
    </row>
    <row r="1216" spans="1:35" hidden="1">
      <c r="A1216" s="69" t="s">
        <v>106</v>
      </c>
      <c r="B1216" s="69" t="s">
        <v>105</v>
      </c>
      <c r="C1216" s="63" t="s">
        <v>2591</v>
      </c>
      <c r="D1216" s="69" t="s">
        <v>619</v>
      </c>
      <c r="E1216" s="68" t="s">
        <v>72</v>
      </c>
      <c r="F1216" s="15" t="str">
        <f>IF($C1216="","",IF($E1216="","-",IFERROR(INDEX(SETUP!$B$55:$B$64,MATCH($E1216,SETUP!$A$55:$A$64,0)),"Other")))</f>
        <v>Frontline</v>
      </c>
      <c r="G1216" s="70">
        <v>64402</v>
      </c>
      <c r="H1216" s="15" t="str">
        <f>IF($C1216="","",IF($G1216="","-",INDEX(SETUP!$B$26:$B$32,MATCH($G1216,SETUP!$A$26:$A$32,1))))</f>
        <v>64,000 +</v>
      </c>
      <c r="I1216" s="70">
        <v>10350</v>
      </c>
      <c r="J1216" s="15" t="str">
        <f>IF($C1216="","",IF($I1216="","-",INDEX(SETUP!$B$16:$B$22,MATCH($I1216,SETUP!$A$16:$A$22,1))))</f>
        <v>APEX</v>
      </c>
      <c r="K1216" s="15" t="str">
        <f>IF($C1216="","",IF($I1216="","-",TEXT(INT($I1216/1000)*1000,"#,##0")&amp;" - "&amp;TEXT(INT($I1216/1000)*1000+999,"#,##0")))</f>
        <v>10,000 - 10,999</v>
      </c>
      <c r="L1216" s="71">
        <v>7.22</v>
      </c>
      <c r="M1216" s="15" t="str">
        <f>IF($C1216="","",IF($L1216="","-",INDEX(SETUP!$B$36:$B$42,MATCH($L1216,SETUP!$A$36:$A$42,1))))</f>
        <v>6k - 8k</v>
      </c>
      <c r="N1216" s="17">
        <f>IF($C1216="","",IF(OR($G1216="",$I1216=""),"",ROUND(100*(SETUP!$B$4*MIN(1,$I1216/SETUP!$B$9)+SETUP!$B$5*MAX(0,MIN(1,($G1216-SETUP!$B$10)/(SETUP!$B$11-SETUP!$B$10)))+SETUP!$B$6*MIN(1,IF($L1216="",0,$L1216)/SETUP!$B$12)),1)))</f>
        <v>82</v>
      </c>
      <c r="O1216" s="15" t="str">
        <f>IF($C1216="","",IF($N1216="","-",INDEX(SETUP!$B$46:$B$51,MATCH($N1216,SETUP!$A$46:$A$51,1))))</f>
        <v>S+</v>
      </c>
      <c r="P1216" s="15">
        <f>IF($C1216="","",IF($I1216="","",RANK($I1216,$I$4:$I$1463)+COUNTIF($I$4:$I1216,$I1216)-1))</f>
        <v>30</v>
      </c>
      <c r="Q1216" s="15">
        <f>IF($C1216="","",COUNTIFS($B$4:$B$1463,$B1216,$X$4:$X$1463,"&gt;"&amp;$X1216)+COUNTIFS($B$4:$B1216,$B1216,$X$4:$X1216,"="&amp;$X1216))</f>
        <v>4</v>
      </c>
      <c r="R1216" s="72">
        <f>IF($C1216="","",IF($I1216="","",ROUND(COUNTIF($I$4:$I$1463,"&lt;"&amp;$I1216)/COUNT($I$4:$I$1463),3)))</f>
        <v>0.97699999999999998</v>
      </c>
      <c r="S1216" s="15" t="str">
        <f>IF($C1216="","",IF($G1216="","Name only",IF(OR($I1216="",$L1216=""),"Partial","Complete")))</f>
        <v>Complete</v>
      </c>
      <c r="T1216" s="41" t="str">
        <f>IF($C1216="","",TRIM(IF(COUNTIF($C$4:$C$1463,$C1216)&gt;1,"Dup name; ","")&amp;IF(AND($G1216&lt;&gt;"",$G1216&lt;55000),"Low CR - verify; ","")&amp;IF(AND($L1216&lt;&gt;"",$L1216&gt;15),"Secondary - verify; ","")&amp;IF($E1216="","No class; ","")))</f>
        <v/>
      </c>
      <c r="U1216" s="68"/>
      <c r="V1216" s="68"/>
      <c r="W1216" s="68"/>
      <c r="X1216" s="73">
        <f t="shared" si="92"/>
        <v>10350</v>
      </c>
      <c r="Y1216" s="41" t="str">
        <f t="shared" si="93"/>
        <v>LEGENDS|4</v>
      </c>
      <c r="Z1216" s="15">
        <f>IF($C1216="","",IF($G1216="","",RANK($G1216,$G$4:$G$1463)+COUNTIF($G$4:$G1216,$G1216)-1))</f>
        <v>9</v>
      </c>
      <c r="AA1216" s="15">
        <f>IF($C1216="","",IF($N1216="","",RANK($N1216,$N$4:$N$1463)+COUNTIF($N$4:$N1216,$N1216)-1))</f>
        <v>37</v>
      </c>
      <c r="AB1216" s="41" t="str">
        <f>IF($C1216="","",IF($E1216="","",$E1216&amp;"#"&amp;(COUNTIFS($E$4:$E$1463,$E1216,$X$4:$X$1463,"&gt;"&amp;$X1216)+COUNTIFS($E$4:$E1216,$E1216,$X$4:$X1216,"="&amp;$X1216))))</f>
        <v>BLOOD KNIGHT#3</v>
      </c>
      <c r="AC1216" s="41" t="str">
        <f>IF($C1216="","",$B1216&amp;"@"&amp;(COUNTIFS($B$4:$B$1463,$B1216,$C$4:$C$1463,"&lt;"&amp;$C1216)+COUNTIFS($B$4:$B1216,$B1216,$C$4:$C1216,$C1216)))</f>
        <v>LEGENDS@93</v>
      </c>
      <c r="AD1216" s="41">
        <f t="shared" si="94"/>
        <v>1213</v>
      </c>
      <c r="AE1216" s="41" t="s">
        <v>2592</v>
      </c>
      <c r="AF1216" s="73">
        <f t="shared" si="95"/>
        <v>64402</v>
      </c>
      <c r="AG1216" s="74">
        <f t="shared" si="96"/>
        <v>7.22</v>
      </c>
      <c r="AH1216" s="41" t="str">
        <f>IF($C1216="","",$B1216&amp;"|"&amp;(COUNTIFS($B$4:$B$1463,$B1216,$AF$4:$AF$1463,"&gt;"&amp;$AF1216)+COUNTIFS($B$4:$B1216,$B1216,$AF$4:$AF1216,"="&amp;$AF1216)))</f>
        <v>LEGENDS|3</v>
      </c>
      <c r="AI1216" s="41" t="str">
        <f>IF($C1216="","",$B1216&amp;"|"&amp;(COUNTIFS($B$4:$B$1463,$B1216,$AG$4:$AG$1463,"&gt;"&amp;$AG1216)+COUNTIFS($B$4:$B1216,$B1216,$AG$4:$AG1216,"="&amp;$AG1216)))</f>
        <v>LEGENDS|5</v>
      </c>
    </row>
    <row r="1217" spans="1:35" hidden="1">
      <c r="A1217" s="69" t="s">
        <v>109</v>
      </c>
      <c r="B1217" s="69" t="s">
        <v>116</v>
      </c>
      <c r="C1217" s="63" t="s">
        <v>2593</v>
      </c>
      <c r="D1217" s="69" t="s">
        <v>530</v>
      </c>
      <c r="E1217" s="68" t="s">
        <v>79</v>
      </c>
      <c r="F1217" s="19" t="str">
        <f>IF($C1217="","",IF($E1217="","-",IFERROR(INDEX(SETUP!$B$55:$B$64,MATCH($E1217,SETUP!$A$55:$A$64,0)),"Other")))</f>
        <v>Control</v>
      </c>
      <c r="G1217" s="70">
        <v>61604</v>
      </c>
      <c r="H1217" s="19" t="str">
        <f>IF($C1217="","",IF($G1217="","-",INDEX(SETUP!$B$26:$B$32,MATCH($G1217,SETUP!$A$26:$A$32,1))))</f>
        <v>61,000 - 61,999</v>
      </c>
      <c r="I1217" s="70">
        <v>2472</v>
      </c>
      <c r="J1217" s="19" t="str">
        <f>IF($C1217="","",IF($I1217="","-",INDEX(SETUP!$B$16:$B$22,MATCH($I1217,SETUP!$A$16:$A$22,1))))</f>
        <v>DEVELOPING</v>
      </c>
      <c r="K1217" s="19" t="str">
        <f>IF($C1217="","",IF($I1217="","-",TEXT(INT($I1217/1000)*1000,"#,##0")&amp;" - "&amp;TEXT(INT($I1217/1000)*1000+999,"#,##0")))</f>
        <v>2,000 - 2,999</v>
      </c>
      <c r="L1217" s="71">
        <v>3.8</v>
      </c>
      <c r="M1217" s="19" t="str">
        <f>IF($C1217="","",IF($L1217="","-",INDEX(SETUP!$B$36:$B$42,MATCH($L1217,SETUP!$A$36:$A$42,1))))</f>
        <v>3k - 4k</v>
      </c>
      <c r="N1217" s="21">
        <f>IF($C1217="","",IF(OR($G1217="",$I1217=""),"",ROUND(100*(SETUP!$B$4*MIN(1,$I1217/SETUP!$B$9)+SETUP!$B$5*MAX(0,MIN(1,($G1217-SETUP!$B$10)/(SETUP!$B$11-SETUP!$B$10)))+SETUP!$B$6*MIN(1,IF($L1217="",0,$L1217)/SETUP!$B$12)),1)))</f>
        <v>34.5</v>
      </c>
      <c r="O1217" s="19" t="str">
        <f>IF($C1217="","",IF($N1217="","-",INDEX(SETUP!$B$46:$B$51,MATCH($N1217,SETUP!$A$46:$A$51,1))))</f>
        <v>C</v>
      </c>
      <c r="P1217" s="19">
        <f>IF($C1217="","",IF($I1217="","",RANK($I1217,$I$4:$I$1463)+COUNTIF($I$4:$I1217,$I1217)-1))</f>
        <v>1015</v>
      </c>
      <c r="Q1217" s="19">
        <f>IF($C1217="","",COUNTIFS($B$4:$B$1463,$B1217,$X$4:$X$1463,"&gt;"&amp;$X1217)+COUNTIFS($B$4:$B1217,$B1217,$X$4:$X1217,"="&amp;$X1217))</f>
        <v>73</v>
      </c>
      <c r="R1217" s="75">
        <f>IF($C1217="","",IF($I1217="","",ROUND(COUNTIF($I$4:$I$1463,"&lt;"&amp;$I1217)/COUNT($I$4:$I$1463),3)))</f>
        <v>0.23400000000000001</v>
      </c>
      <c r="S1217" s="19" t="str">
        <f>IF($C1217="","",IF($G1217="","Name only",IF(OR($I1217="",$L1217=""),"Partial","Complete")))</f>
        <v>Complete</v>
      </c>
      <c r="T1217" s="1" t="str">
        <f>IF($C1217="","",TRIM(IF(COUNTIF($C$4:$C$1463,$C1217)&gt;1,"Dup name; ","")&amp;IF(AND($G1217&lt;&gt;"",$G1217&lt;55000),"Low CR - verify; ","")&amp;IF(AND($L1217&lt;&gt;"",$L1217&gt;15),"Secondary - verify; ","")&amp;IF($E1217="","No class; ","")))</f>
        <v/>
      </c>
      <c r="U1217" s="68"/>
      <c r="V1217" s="68"/>
      <c r="W1217" s="68"/>
      <c r="X1217" s="76">
        <f t="shared" si="92"/>
        <v>2472</v>
      </c>
      <c r="Y1217" s="1" t="str">
        <f t="shared" si="93"/>
        <v>VENGEANCE|73</v>
      </c>
      <c r="Z1217" s="19">
        <f>IF($C1217="","",IF($G1217="","",RANK($G1217,$G$4:$G$1463)+COUNTIF($G$4:$G1217,$G1217)-1))</f>
        <v>976</v>
      </c>
      <c r="AA1217" s="19">
        <f>IF($C1217="","",IF($N1217="","",RANK($N1217,$N$4:$N$1463)+COUNTIF($N$4:$N1217,$N1217)-1))</f>
        <v>1023</v>
      </c>
      <c r="AB1217" s="1" t="str">
        <f>IF($C1217="","",IF($E1217="","",$E1217&amp;"#"&amp;(COUNTIFS($E$4:$E$1463,$E1217,$X$4:$X$1463,"&gt;"&amp;$X1217)+COUNTIFS($E$4:$E1217,$E1217,$X$4:$X1217,"="&amp;$X1217))))</f>
        <v>WARLOCK#254</v>
      </c>
      <c r="AC1217" s="1" t="str">
        <f>IF($C1217="","",$B1217&amp;"@"&amp;(COUNTIFS($B$4:$B$1463,$B1217,$C$4:$C$1463,"&lt;"&amp;$C1217)+COUNTIFS($B$4:$B1217,$B1217,$C$4:$C1217,$C1217)))</f>
        <v>VENGEANCE@87</v>
      </c>
      <c r="AD1217" s="1">
        <f t="shared" si="94"/>
        <v>1214</v>
      </c>
      <c r="AE1217" s="1" t="s">
        <v>531</v>
      </c>
      <c r="AF1217" s="76">
        <f t="shared" si="95"/>
        <v>61604</v>
      </c>
      <c r="AG1217" s="77">
        <f t="shared" si="96"/>
        <v>3.8</v>
      </c>
      <c r="AH1217" s="1" t="str">
        <f>IF($C1217="","",$B1217&amp;"|"&amp;(COUNTIFS($B$4:$B$1463,$B1217,$AF$4:$AF$1463,"&gt;"&amp;$AF1217)+COUNTIFS($B$4:$B1217,$B1217,$AF$4:$AF1217,"="&amp;$AF1217)))</f>
        <v>VENGEANCE|62</v>
      </c>
      <c r="AI1217" s="1" t="str">
        <f>IF($C1217="","",$B1217&amp;"|"&amp;(COUNTIFS($B$4:$B$1463,$B1217,$AG$4:$AG$1463,"&gt;"&amp;$AG1217)+COUNTIFS($B$4:$B1217,$B1217,$AG$4:$AG1217,"="&amp;$AG1217)))</f>
        <v>VENGEANCE|72</v>
      </c>
    </row>
    <row r="1218" spans="1:35" hidden="1">
      <c r="A1218" s="69" t="s">
        <v>109</v>
      </c>
      <c r="B1218" s="69" t="s">
        <v>118</v>
      </c>
      <c r="C1218" s="63" t="s">
        <v>2594</v>
      </c>
      <c r="D1218" s="69"/>
      <c r="E1218" s="68" t="s">
        <v>78</v>
      </c>
      <c r="F1218" s="15" t="str">
        <f>IF($C1218="","",IF($E1218="","-",IFERROR(INDEX(SETUP!$B$55:$B$64,MATCH($E1218,SETUP!$A$55:$A$64,0)),"Other")))</f>
        <v>Melee DPS</v>
      </c>
      <c r="G1218" s="70">
        <v>59114</v>
      </c>
      <c r="H1218" s="15" t="str">
        <f>IF($C1218="","",IF($G1218="","-",INDEX(SETUP!$B$26:$B$32,MATCH($G1218,SETUP!$A$26:$A$32,1))))</f>
        <v>58,000 - 59,999</v>
      </c>
      <c r="I1218" s="70">
        <v>1211</v>
      </c>
      <c r="J1218" s="15" t="str">
        <f>IF($C1218="","",IF($I1218="","-",INDEX(SETUP!$B$16:$B$22,MATCH($I1218,SETUP!$A$16:$A$22,1))))</f>
        <v>ROOKIE</v>
      </c>
      <c r="K1218" s="15" t="str">
        <f>IF($C1218="","",IF($I1218="","-",TEXT(INT($I1218/1000)*1000,"#,##0")&amp;" - "&amp;TEXT(INT($I1218/1000)*1000+999,"#,##0")))</f>
        <v>1,000 - 1,999</v>
      </c>
      <c r="L1218" s="71">
        <v>3.15</v>
      </c>
      <c r="M1218" s="15" t="str">
        <f>IF($C1218="","",IF($L1218="","-",INDEX(SETUP!$B$36:$B$42,MATCH($L1218,SETUP!$A$36:$A$42,1))))</f>
        <v>3k - 4k</v>
      </c>
      <c r="N1218" s="17">
        <f>IF($C1218="","",IF(OR($G1218="",$I1218=""),"",ROUND(100*(SETUP!$B$4*MIN(1,$I1218/SETUP!$B$9)+SETUP!$B$5*MAX(0,MIN(1,($G1218-SETUP!$B$10)/(SETUP!$B$11-SETUP!$B$10)))+SETUP!$B$6*MIN(1,IF($L1218="",0,$L1218)/SETUP!$B$12)),1)))</f>
        <v>21.4</v>
      </c>
      <c r="O1218" s="15" t="str">
        <f>IF($C1218="","",IF($N1218="","-",INDEX(SETUP!$B$46:$B$51,MATCH($N1218,SETUP!$A$46:$A$51,1))))</f>
        <v>C</v>
      </c>
      <c r="P1218" s="15">
        <f>IF($C1218="","",IF($I1218="","",RANK($I1218,$I$4:$I$1463)+COUNTIF($I$4:$I1218,$I1218)-1))</f>
        <v>1243</v>
      </c>
      <c r="Q1218" s="15">
        <f>IF($C1218="","",COUNTIFS($B$4:$B$1463,$B1218,$X$4:$X$1463,"&gt;"&amp;$X1218)+COUNTIFS($B$4:$B1218,$B1218,$X$4:$X1218,"="&amp;$X1218))</f>
        <v>71</v>
      </c>
      <c r="R1218" s="72">
        <f>IF($C1218="","",IF($I1218="","",ROUND(COUNTIF($I$4:$I$1463,"&lt;"&amp;$I1218)/COUNT($I$4:$I$1463),3)))</f>
        <v>6.2E-2</v>
      </c>
      <c r="S1218" s="15" t="str">
        <f>IF($C1218="","",IF($G1218="","Name only",IF(OR($I1218="",$L1218=""),"Partial","Complete")))</f>
        <v>Complete</v>
      </c>
      <c r="T1218" s="41" t="str">
        <f>IF($C1218="","",TRIM(IF(COUNTIF($C$4:$C$1463,$C1218)&gt;1,"Dup name; ","")&amp;IF(AND($G1218&lt;&gt;"",$G1218&lt;55000),"Low CR - verify; ","")&amp;IF(AND($L1218&lt;&gt;"",$L1218&gt;15),"Secondary - verify; ","")&amp;IF($E1218="","No class; ","")))</f>
        <v/>
      </c>
      <c r="U1218" s="68"/>
      <c r="V1218" s="68"/>
      <c r="W1218" s="68"/>
      <c r="X1218" s="73">
        <f t="shared" si="92"/>
        <v>1211</v>
      </c>
      <c r="Y1218" s="41" t="str">
        <f t="shared" si="93"/>
        <v>ZOMBIES|71</v>
      </c>
      <c r="Z1218" s="15">
        <f>IF($C1218="","",IF($G1218="","",RANK($G1218,$G$4:$G$1463)+COUNTIF($G$4:$G1218,$G1218)-1))</f>
        <v>1272</v>
      </c>
      <c r="AA1218" s="15">
        <f>IF($C1218="","",IF($N1218="","",RANK($N1218,$N$4:$N$1463)+COUNTIF($N$4:$N1218,$N1218)-1))</f>
        <v>1283</v>
      </c>
      <c r="AB1218" s="41" t="str">
        <f>IF($C1218="","",IF($E1218="","",$E1218&amp;"#"&amp;(COUNTIFS($E$4:$E$1463,$E1218,$X$4:$X$1463,"&gt;"&amp;$X1218)+COUNTIFS($E$4:$E1218,$E1218,$X$4:$X1218,"="&amp;$X1218))))</f>
        <v>TEMPEST#58</v>
      </c>
      <c r="AC1218" s="41" t="str">
        <f>IF($C1218="","",$B1218&amp;"@"&amp;(COUNTIFS($B$4:$B$1463,$B1218,$C$4:$C$1463,"&lt;"&amp;$C1218)+COUNTIFS($B$4:$B1218,$B1218,$C$4:$C1218,$C1218)))</f>
        <v>ZOMBIES@88</v>
      </c>
      <c r="AD1218" s="41">
        <f t="shared" si="94"/>
        <v>1215</v>
      </c>
      <c r="AE1218" s="41" t="s">
        <v>2595</v>
      </c>
      <c r="AF1218" s="73">
        <f t="shared" si="95"/>
        <v>59114</v>
      </c>
      <c r="AG1218" s="74">
        <f t="shared" si="96"/>
        <v>3.15</v>
      </c>
      <c r="AH1218" s="41" t="str">
        <f>IF($C1218="","",$B1218&amp;"|"&amp;(COUNTIFS($B$4:$B$1463,$B1218,$AF$4:$AF$1463,"&gt;"&amp;$AF1218)+COUNTIFS($B$4:$B1218,$B1218,$AF$4:$AF1218,"="&amp;$AF1218)))</f>
        <v>ZOMBIES|89</v>
      </c>
      <c r="AI1218" s="41" t="str">
        <f>IF($C1218="","",$B1218&amp;"|"&amp;(COUNTIFS($B$4:$B$1463,$B1218,$AG$4:$AG$1463,"&gt;"&amp;$AG1218)+COUNTIFS($B$4:$B1218,$B1218,$AG$4:$AG1218,"="&amp;$AG1218)))</f>
        <v>ZOMBIES|64</v>
      </c>
    </row>
    <row r="1219" spans="1:35" hidden="1">
      <c r="A1219" s="69" t="s">
        <v>109</v>
      </c>
      <c r="B1219" s="69" t="s">
        <v>111</v>
      </c>
      <c r="C1219" s="63" t="s">
        <v>2596</v>
      </c>
      <c r="D1219" s="69" t="s">
        <v>527</v>
      </c>
      <c r="E1219" s="68" t="s">
        <v>80</v>
      </c>
      <c r="F1219" s="19" t="str">
        <f>IF($C1219="","",IF($E1219="","-",IFERROR(INDEX(SETUP!$B$55:$B$64,MATCH($E1219,SETUP!$A$55:$A$64,0)),"Other")))</f>
        <v>Ranged DPS</v>
      </c>
      <c r="G1219" s="70">
        <v>60651</v>
      </c>
      <c r="H1219" s="19" t="str">
        <f>IF($C1219="","",IF($G1219="","-",INDEX(SETUP!$B$26:$B$32,MATCH($G1219,SETUP!$A$26:$A$32,1))))</f>
        <v>60,000 - 60,999</v>
      </c>
      <c r="I1219" s="70">
        <v>5788</v>
      </c>
      <c r="J1219" s="19" t="str">
        <f>IF($C1219="","",IF($I1219="","-",INDEX(SETUP!$B$16:$B$22,MATCH($I1219,SETUP!$A$16:$A$22,1))))</f>
        <v>CORE</v>
      </c>
      <c r="K1219" s="19" t="str">
        <f>IF($C1219="","",IF($I1219="","-",TEXT(INT($I1219/1000)*1000,"#,##0")&amp;" - "&amp;TEXT(INT($I1219/1000)*1000+999,"#,##0")))</f>
        <v>5,000 - 5,999</v>
      </c>
      <c r="L1219" s="71">
        <v>7.8</v>
      </c>
      <c r="M1219" s="19" t="str">
        <f>IF($C1219="","",IF($L1219="","-",INDEX(SETUP!$B$36:$B$42,MATCH($L1219,SETUP!$A$36:$A$42,1))))</f>
        <v>6k - 8k</v>
      </c>
      <c r="N1219" s="21">
        <f>IF($C1219="","",IF(OR($G1219="",$I1219=""),"",ROUND(100*(SETUP!$B$4*MIN(1,$I1219/SETUP!$B$9)+SETUP!$B$5*MAX(0,MIN(1,($G1219-SETUP!$B$10)/(SETUP!$B$11-SETUP!$B$10)))+SETUP!$B$6*MIN(1,IF($L1219="",0,$L1219)/SETUP!$B$12)),1)))</f>
        <v>53.1</v>
      </c>
      <c r="O1219" s="19" t="str">
        <f>IF($C1219="","",IF($N1219="","-",INDEX(SETUP!$B$46:$B$51,MATCH($N1219,SETUP!$A$46:$A$51,1))))</f>
        <v>A</v>
      </c>
      <c r="P1219" s="19">
        <f>IF($C1219="","",IF($I1219="","",RANK($I1219,$I$4:$I$1463)+COUNTIF($I$4:$I1219,$I1219)-1))</f>
        <v>306</v>
      </c>
      <c r="Q1219" s="19">
        <f>IF($C1219="","",COUNTIFS($B$4:$B$1463,$B1219,$X$4:$X$1463,"&gt;"&amp;$X1219)+COUNTIFS($B$4:$B1219,$B1219,$X$4:$X1219,"="&amp;$X1219))</f>
        <v>35</v>
      </c>
      <c r="R1219" s="75">
        <f>IF($C1219="","",IF($I1219="","",ROUND(COUNTIF($I$4:$I$1463,"&lt;"&amp;$I1219)/COUNT($I$4:$I$1463),3)))</f>
        <v>0.76900000000000002</v>
      </c>
      <c r="S1219" s="19" t="str">
        <f>IF($C1219="","",IF($G1219="","Name only",IF(OR($I1219="",$L1219=""),"Partial","Complete")))</f>
        <v>Complete</v>
      </c>
      <c r="T1219" s="1" t="str">
        <f>IF($C1219="","",TRIM(IF(COUNTIF($C$4:$C$1463,$C1219)&gt;1,"Dup name; ","")&amp;IF(AND($G1219&lt;&gt;"",$G1219&lt;55000),"Low CR - verify; ","")&amp;IF(AND($L1219&lt;&gt;"",$L1219&gt;15),"Secondary - verify; ","")&amp;IF($E1219="","No class; ","")))</f>
        <v/>
      </c>
      <c r="U1219" s="68"/>
      <c r="V1219" s="68"/>
      <c r="W1219" s="68"/>
      <c r="X1219" s="76">
        <f t="shared" si="92"/>
        <v>5788</v>
      </c>
      <c r="Y1219" s="1" t="str">
        <f t="shared" si="93"/>
        <v>RECKONING|35</v>
      </c>
      <c r="Z1219" s="19">
        <f>IF($C1219="","",IF($G1219="","",RANK($G1219,$G$4:$G$1463)+COUNTIF($G$4:$G1219,$G1219)-1))</f>
        <v>1189</v>
      </c>
      <c r="AA1219" s="19">
        <f>IF($C1219="","",IF($N1219="","",RANK($N1219,$N$4:$N$1463)+COUNTIF($N$4:$N1219,$N1219)-1))</f>
        <v>364</v>
      </c>
      <c r="AB1219" s="1" t="str">
        <f>IF($C1219="","",IF($E1219="","",$E1219&amp;"#"&amp;(COUNTIFS($E$4:$E$1463,$E1219,$X$4:$X$1463,"&gt;"&amp;$X1219)+COUNTIFS($E$4:$E1219,$E1219,$X$4:$X1219,"="&amp;$X1219))))</f>
        <v>WIZARD#22</v>
      </c>
      <c r="AC1219" s="1" t="str">
        <f>IF($C1219="","",$B1219&amp;"@"&amp;(COUNTIFS($B$4:$B$1463,$B1219,$C$4:$C$1463,"&lt;"&amp;$C1219)+COUNTIFS($B$4:$B1219,$B1219,$C$4:$C1219,$C1219)))</f>
        <v>RECKONING@88</v>
      </c>
      <c r="AD1219" s="1">
        <f t="shared" si="94"/>
        <v>1216</v>
      </c>
      <c r="AE1219" s="1" t="s">
        <v>2597</v>
      </c>
      <c r="AF1219" s="76">
        <f t="shared" si="95"/>
        <v>60651</v>
      </c>
      <c r="AG1219" s="77">
        <f t="shared" si="96"/>
        <v>7.8</v>
      </c>
      <c r="AH1219" s="1" t="str">
        <f>IF($C1219="","",$B1219&amp;"|"&amp;(COUNTIFS($B$4:$B$1463,$B1219,$AF$4:$AF$1463,"&gt;"&amp;$AF1219)+COUNTIFS($B$4:$B1219,$B1219,$AF$4:$AF1219,"="&amp;$AF1219)))</f>
        <v>RECKONING|94</v>
      </c>
      <c r="AI1219" s="1" t="str">
        <f>IF($C1219="","",$B1219&amp;"|"&amp;(COUNTIFS($B$4:$B$1463,$B1219,$AG$4:$AG$1463,"&gt;"&amp;$AG1219)+COUNTIFS($B$4:$B1219,$B1219,$AG$4:$AG1219,"="&amp;$AG1219)))</f>
        <v>RECKONING|14</v>
      </c>
    </row>
    <row r="1220" spans="1:35" hidden="1">
      <c r="A1220" s="69" t="s">
        <v>109</v>
      </c>
      <c r="B1220" s="69" t="s">
        <v>118</v>
      </c>
      <c r="C1220" s="63" t="s">
        <v>2598</v>
      </c>
      <c r="D1220" s="69"/>
      <c r="E1220" s="68" t="s">
        <v>80</v>
      </c>
      <c r="F1220" s="15" t="str">
        <f>IF($C1220="","",IF($E1220="","-",IFERROR(INDEX(SETUP!$B$55:$B$64,MATCH($E1220,SETUP!$A$55:$A$64,0)),"Other")))</f>
        <v>Ranged DPS</v>
      </c>
      <c r="G1220" s="70">
        <v>62411</v>
      </c>
      <c r="H1220" s="15" t="str">
        <f>IF($C1220="","",IF($G1220="","-",INDEX(SETUP!$B$26:$B$32,MATCH($G1220,SETUP!$A$26:$A$32,1))))</f>
        <v>62,000 - 62,999</v>
      </c>
      <c r="I1220" s="70">
        <v>1840</v>
      </c>
      <c r="J1220" s="15" t="str">
        <f>IF($C1220="","",IF($I1220="","-",INDEX(SETUP!$B$16:$B$22,MATCH($I1220,SETUP!$A$16:$A$22,1))))</f>
        <v>ROOKIE</v>
      </c>
      <c r="K1220" s="15" t="str">
        <f>IF($C1220="","",IF($I1220="","-",TEXT(INT($I1220/1000)*1000,"#,##0")&amp;" - "&amp;TEXT(INT($I1220/1000)*1000+999,"#,##0")))</f>
        <v>1,000 - 1,999</v>
      </c>
      <c r="L1220" s="71">
        <v>4.0999999999999996</v>
      </c>
      <c r="M1220" s="15" t="str">
        <f>IF($C1220="","",IF($L1220="","-",INDEX(SETUP!$B$36:$B$42,MATCH($L1220,SETUP!$A$36:$A$42,1))))</f>
        <v>4k - 5k</v>
      </c>
      <c r="N1220" s="17">
        <f>IF($C1220="","",IF(OR($G1220="",$I1220=""),"",ROUND(100*(SETUP!$B$4*MIN(1,$I1220/SETUP!$B$9)+SETUP!$B$5*MAX(0,MIN(1,($G1220-SETUP!$B$10)/(SETUP!$B$11-SETUP!$B$10)))+SETUP!$B$6*MIN(1,IF($L1220="",0,$L1220)/SETUP!$B$12)),1)))</f>
        <v>34.4</v>
      </c>
      <c r="O1220" s="15" t="str">
        <f>IF($C1220="","",IF($N1220="","-",INDEX(SETUP!$B$46:$B$51,MATCH($N1220,SETUP!$A$46:$A$51,1))))</f>
        <v>C</v>
      </c>
      <c r="P1220" s="15">
        <f>IF($C1220="","",IF($I1220="","",RANK($I1220,$I$4:$I$1463)+COUNTIF($I$4:$I1220,$I1220)-1))</f>
        <v>1141</v>
      </c>
      <c r="Q1220" s="15">
        <f>IF($C1220="","",COUNTIFS($B$4:$B$1463,$B1220,$X$4:$X$1463,"&gt;"&amp;$X1220)+COUNTIFS($B$4:$B1220,$B1220,$X$4:$X1220,"="&amp;$X1220))</f>
        <v>45</v>
      </c>
      <c r="R1220" s="72">
        <f>IF($C1220="","",IF($I1220="","",ROUND(COUNTIF($I$4:$I$1463,"&lt;"&amp;$I1220)/COUNT($I$4:$I$1463),3)))</f>
        <v>0.13900000000000001</v>
      </c>
      <c r="S1220" s="15" t="str">
        <f>IF($C1220="","",IF($G1220="","Name only",IF(OR($I1220="",$L1220=""),"Partial","Complete")))</f>
        <v>Complete</v>
      </c>
      <c r="T1220" s="41" t="str">
        <f>IF($C1220="","",TRIM(IF(COUNTIF($C$4:$C$1463,$C1220)&gt;1,"Dup name; ","")&amp;IF(AND($G1220&lt;&gt;"",$G1220&lt;55000),"Low CR - verify; ","")&amp;IF(AND($L1220&lt;&gt;"",$L1220&gt;15),"Secondary - verify; ","")&amp;IF($E1220="","No class; ","")))</f>
        <v/>
      </c>
      <c r="U1220" s="68"/>
      <c r="V1220" s="68"/>
      <c r="W1220" s="68"/>
      <c r="X1220" s="73">
        <f t="shared" ref="X1220:X1282" si="97">IF($C1220="","",IF($I1220="",-1,$I1220))</f>
        <v>1840</v>
      </c>
      <c r="Y1220" s="41" t="str">
        <f t="shared" ref="Y1220:Y1282" si="98">IF($C1220="","",$B1220&amp;"|"&amp;$Q1220)</f>
        <v>ZOMBIES|45</v>
      </c>
      <c r="Z1220" s="15">
        <f>IF($C1220="","",IF($G1220="","",RANK($G1220,$G$4:$G$1463)+COUNTIF($G$4:$G1220,$G1220)-1))</f>
        <v>685</v>
      </c>
      <c r="AA1220" s="15">
        <f>IF($C1220="","",IF($N1220="","",RANK($N1220,$N$4:$N$1463)+COUNTIF($N$4:$N1220,$N1220)-1))</f>
        <v>1029</v>
      </c>
      <c r="AB1220" s="41" t="str">
        <f>IF($C1220="","",IF($E1220="","",$E1220&amp;"#"&amp;(COUNTIFS($E$4:$E$1463,$E1220,$X$4:$X$1463,"&gt;"&amp;$X1220)+COUNTIFS($E$4:$E1220,$E1220,$X$4:$X1220,"="&amp;$X1220))))</f>
        <v>WIZARD#79</v>
      </c>
      <c r="AC1220" s="41" t="str">
        <f>IF($C1220="","",$B1220&amp;"@"&amp;(COUNTIFS($B$4:$B$1463,$B1220,$C$4:$C$1463,"&lt;"&amp;$C1220)+COUNTIFS($B$4:$B1220,$B1220,$C$4:$C1220,$C1220)))</f>
        <v>ZOMBIES@89</v>
      </c>
      <c r="AD1220" s="41">
        <f t="shared" ref="AD1220:AD1282" si="99">IF($C1220="","",ROW()-4+1)</f>
        <v>1217</v>
      </c>
      <c r="AE1220" s="41" t="s">
        <v>703</v>
      </c>
      <c r="AF1220" s="73">
        <f t="shared" ref="AF1220:AF1282" si="100">IF($C1220="","",IF($G1220="",-1,$G1220))</f>
        <v>62411</v>
      </c>
      <c r="AG1220" s="74">
        <f t="shared" ref="AG1220:AG1282" si="101">IF($C1220="","",IF($L1220="",-1,$L1220))</f>
        <v>4.0999999999999996</v>
      </c>
      <c r="AH1220" s="41" t="str">
        <f>IF($C1220="","",$B1220&amp;"|"&amp;(COUNTIFS($B$4:$B$1463,$B1220,$AF$4:$AF$1463,"&gt;"&amp;$AF1220)+COUNTIFS($B$4:$B1220,$B1220,$AF$4:$AF1220,"="&amp;$AF1220)))</f>
        <v>ZOMBIES|18</v>
      </c>
      <c r="AI1220" s="41" t="str">
        <f>IF($C1220="","",$B1220&amp;"|"&amp;(COUNTIFS($B$4:$B$1463,$B1220,$AG$4:$AG$1463,"&gt;"&amp;$AG1220)+COUNTIFS($B$4:$B1220,$B1220,$AG$4:$AG1220,"="&amp;$AG1220)))</f>
        <v>ZOMBIES|24</v>
      </c>
    </row>
    <row r="1221" spans="1:35" hidden="1">
      <c r="A1221" s="69" t="s">
        <v>109</v>
      </c>
      <c r="B1221" s="69" t="s">
        <v>112</v>
      </c>
      <c r="C1221" s="63" t="s">
        <v>2599</v>
      </c>
      <c r="D1221" s="69" t="s">
        <v>567</v>
      </c>
      <c r="E1221" s="68" t="s">
        <v>79</v>
      </c>
      <c r="F1221" s="19" t="str">
        <f>IF($C1221="","",IF($E1221="","-",IFERROR(INDEX(SETUP!$B$55:$B$64,MATCH($E1221,SETUP!$A$55:$A$64,0)),"Other")))</f>
        <v>Control</v>
      </c>
      <c r="G1221" s="70">
        <v>59464</v>
      </c>
      <c r="H1221" s="19" t="str">
        <f>IF($C1221="","",IF($G1221="","-",INDEX(SETUP!$B$26:$B$32,MATCH($G1221,SETUP!$A$26:$A$32,1))))</f>
        <v>58,000 - 59,999</v>
      </c>
      <c r="I1221" s="70">
        <v>2661</v>
      </c>
      <c r="J1221" s="19" t="str">
        <f>IF($C1221="","",IF($I1221="","-",INDEX(SETUP!$B$16:$B$22,MATCH($I1221,SETUP!$A$16:$A$22,1))))</f>
        <v>DEVELOPING</v>
      </c>
      <c r="K1221" s="19" t="str">
        <f>IF($C1221="","",IF($I1221="","-",TEXT(INT($I1221/1000)*1000,"#,##0")&amp;" - "&amp;TEXT(INT($I1221/1000)*1000+999,"#,##0")))</f>
        <v>2,000 - 2,999</v>
      </c>
      <c r="L1221" s="71">
        <v>3.9</v>
      </c>
      <c r="M1221" s="19" t="str">
        <f>IF($C1221="","",IF($L1221="","-",INDEX(SETUP!$B$36:$B$42,MATCH($L1221,SETUP!$A$36:$A$42,1))))</f>
        <v>3k - 4k</v>
      </c>
      <c r="N1221" s="21">
        <f>IF($C1221="","",IF(OR($G1221="",$I1221=""),"",ROUND(100*(SETUP!$B$4*MIN(1,$I1221/SETUP!$B$9)+SETUP!$B$5*MAX(0,MIN(1,($G1221-SETUP!$B$10)/(SETUP!$B$11-SETUP!$B$10)))+SETUP!$B$6*MIN(1,IF($L1221="",0,$L1221)/SETUP!$B$12)),1)))</f>
        <v>29.9</v>
      </c>
      <c r="O1221" s="19" t="str">
        <f>IF($C1221="","",IF($N1221="","-",INDEX(SETUP!$B$46:$B$51,MATCH($N1221,SETUP!$A$46:$A$51,1))))</f>
        <v>C</v>
      </c>
      <c r="P1221" s="19">
        <f>IF($C1221="","",IF($I1221="","",RANK($I1221,$I$4:$I$1463)+COUNTIF($I$4:$I1221,$I1221)-1))</f>
        <v>963</v>
      </c>
      <c r="Q1221" s="19">
        <f>IF($C1221="","",COUNTIFS($B$4:$B$1463,$B1221,$X$4:$X$1463,"&gt;"&amp;$X1221)+COUNTIFS($B$4:$B1221,$B1221,$X$4:$X1221,"="&amp;$X1221))</f>
        <v>74</v>
      </c>
      <c r="R1221" s="75">
        <f>IF($C1221="","",IF($I1221="","",ROUND(COUNTIF($I$4:$I$1463,"&lt;"&amp;$I1221)/COUNT($I$4:$I$1463),3)))</f>
        <v>0.27300000000000002</v>
      </c>
      <c r="S1221" s="19" t="str">
        <f>IF($C1221="","",IF($G1221="","Name only",IF(OR($I1221="",$L1221=""),"Partial","Complete")))</f>
        <v>Complete</v>
      </c>
      <c r="T1221" s="1" t="str">
        <f>IF($C1221="","",TRIM(IF(COUNTIF($C$4:$C$1463,$C1221)&gt;1,"Dup name; ","")&amp;IF(AND($G1221&lt;&gt;"",$G1221&lt;55000),"Low CR - verify; ","")&amp;IF(AND($L1221&lt;&gt;"",$L1221&gt;15),"Secondary - verify; ","")&amp;IF($E1221="","No class; ","")))</f>
        <v/>
      </c>
      <c r="U1221" s="68"/>
      <c r="V1221" s="68"/>
      <c r="W1221" s="68"/>
      <c r="X1221" s="76">
        <f t="shared" si="97"/>
        <v>2661</v>
      </c>
      <c r="Y1221" s="1" t="str">
        <f t="shared" si="98"/>
        <v>ACHERON|74</v>
      </c>
      <c r="Z1221" s="19">
        <f>IF($C1221="","",IF($G1221="","",RANK($G1221,$G$4:$G$1463)+COUNTIF($G$4:$G1221,$G1221)-1))</f>
        <v>1264</v>
      </c>
      <c r="AA1221" s="19">
        <f>IF($C1221="","",IF($N1221="","",RANK($N1221,$N$4:$N$1463)+COUNTIF($N$4:$N1221,$N1221)-1))</f>
        <v>1150</v>
      </c>
      <c r="AB1221" s="1" t="str">
        <f>IF($C1221="","",IF($E1221="","",$E1221&amp;"#"&amp;(COUNTIFS($E$4:$E$1463,$E1221,$X$4:$X$1463,"&gt;"&amp;$X1221)+COUNTIFS($E$4:$E1221,$E1221,$X$4:$X1221,"="&amp;$X1221))))</f>
        <v>WARLOCK#240</v>
      </c>
      <c r="AC1221" s="1" t="str">
        <f>IF($C1221="","",$B1221&amp;"@"&amp;(COUNTIFS($B$4:$B$1463,$B1221,$C$4:$C$1463,"&lt;"&amp;$C1221)+COUNTIFS($B$4:$B1221,$B1221,$C$4:$C1221,$C1221)))</f>
        <v>ACHERON@85</v>
      </c>
      <c r="AD1221" s="1">
        <f t="shared" si="99"/>
        <v>1218</v>
      </c>
      <c r="AE1221" s="1" t="s">
        <v>2600</v>
      </c>
      <c r="AF1221" s="76">
        <f t="shared" si="100"/>
        <v>59464</v>
      </c>
      <c r="AG1221" s="77">
        <f t="shared" si="101"/>
        <v>3.9</v>
      </c>
      <c r="AH1221" s="1" t="str">
        <f>IF($C1221="","",$B1221&amp;"|"&amp;(COUNTIFS($B$4:$B$1463,$B1221,$AF$4:$AF$1463,"&gt;"&amp;$AF1221)+COUNTIFS($B$4:$B1221,$B1221,$AF$4:$AF1221,"="&amp;$AF1221)))</f>
        <v>ACHERON|92</v>
      </c>
      <c r="AI1221" s="1" t="str">
        <f>IF($C1221="","",$B1221&amp;"|"&amp;(COUNTIFS($B$4:$B$1463,$B1221,$AG$4:$AG$1463,"&gt;"&amp;$AG1221)+COUNTIFS($B$4:$B1221,$B1221,$AG$4:$AG1221,"="&amp;$AG1221)))</f>
        <v>ACHERON|80</v>
      </c>
    </row>
    <row r="1222" spans="1:35" hidden="1">
      <c r="A1222" s="69" t="s">
        <v>106</v>
      </c>
      <c r="B1222" s="69" t="s">
        <v>105</v>
      </c>
      <c r="C1222" s="63" t="s">
        <v>2601</v>
      </c>
      <c r="D1222" s="69"/>
      <c r="E1222" s="68" t="s">
        <v>80</v>
      </c>
      <c r="F1222" s="15" t="str">
        <f>IF($C1222="","",IF($E1222="","-",IFERROR(INDEX(SETUP!$B$55:$B$64,MATCH($E1222,SETUP!$A$55:$A$64,0)),"Other")))</f>
        <v>Ranged DPS</v>
      </c>
      <c r="G1222" s="70">
        <v>62851</v>
      </c>
      <c r="H1222" s="15" t="str">
        <f>IF($C1222="","",IF($G1222="","-",INDEX(SETUP!$B$26:$B$32,MATCH($G1222,SETUP!$A$26:$A$32,1))))</f>
        <v>62,000 - 62,999</v>
      </c>
      <c r="I1222" s="70">
        <v>3250</v>
      </c>
      <c r="J1222" s="15" t="str">
        <f>IF($C1222="","",IF($I1222="","-",INDEX(SETUP!$B$16:$B$22,MATCH($I1222,SETUP!$A$16:$A$22,1))))</f>
        <v>DEVELOPING</v>
      </c>
      <c r="K1222" s="15" t="str">
        <f>IF($C1222="","",IF($I1222="","-",TEXT(INT($I1222/1000)*1000,"#,##0")&amp;" - "&amp;TEXT(INT($I1222/1000)*1000+999,"#,##0")))</f>
        <v>3,000 - 3,999</v>
      </c>
      <c r="L1222" s="71">
        <v>5.17</v>
      </c>
      <c r="M1222" s="15" t="str">
        <f>IF($C1222="","",IF($L1222="","-",INDEX(SETUP!$B$36:$B$42,MATCH($L1222,SETUP!$A$36:$A$42,1))))</f>
        <v>5k - 6k</v>
      </c>
      <c r="N1222" s="17">
        <f>IF($C1222="","",IF(OR($G1222="",$I1222=""),"",ROUND(100*(SETUP!$B$4*MIN(1,$I1222/SETUP!$B$9)+SETUP!$B$5*MAX(0,MIN(1,($G1222-SETUP!$B$10)/(SETUP!$B$11-SETUP!$B$10)))+SETUP!$B$6*MIN(1,IF($L1222="",0,$L1222)/SETUP!$B$12)),1)))</f>
        <v>43.5</v>
      </c>
      <c r="O1222" s="15" t="str">
        <f>IF($C1222="","",IF($N1222="","-",INDEX(SETUP!$B$46:$B$51,MATCH($N1222,SETUP!$A$46:$A$51,1))))</f>
        <v>B</v>
      </c>
      <c r="P1222" s="15">
        <f>IF($C1222="","",IF($I1222="","",RANK($I1222,$I$4:$I$1463)+COUNTIF($I$4:$I1222,$I1222)-1))</f>
        <v>806</v>
      </c>
      <c r="Q1222" s="15">
        <f>IF($C1222="","",COUNTIFS($B$4:$B$1463,$B1222,$X$4:$X$1463,"&gt;"&amp;$X1222)+COUNTIFS($B$4:$B1222,$B1222,$X$4:$X1222,"="&amp;$X1222))</f>
        <v>88</v>
      </c>
      <c r="R1222" s="72">
        <f>IF($C1222="","",IF($I1222="","",ROUND(COUNTIF($I$4:$I$1463,"&lt;"&amp;$I1222)/COUNT($I$4:$I$1463),3)))</f>
        <v>0.39200000000000002</v>
      </c>
      <c r="S1222" s="15" t="str">
        <f>IF($C1222="","",IF($G1222="","Name only",IF(OR($I1222="",$L1222=""),"Partial","Complete")))</f>
        <v>Complete</v>
      </c>
      <c r="T1222" s="41" t="str">
        <f>IF($C1222="","",TRIM(IF(COUNTIF($C$4:$C$1463,$C1222)&gt;1,"Dup name; ","")&amp;IF(AND($G1222&lt;&gt;"",$G1222&lt;55000),"Low CR - verify; ","")&amp;IF(AND($L1222&lt;&gt;"",$L1222&gt;15),"Secondary - verify; ","")&amp;IF($E1222="","No class; ","")))</f>
        <v/>
      </c>
      <c r="U1222" s="68"/>
      <c r="V1222" s="68"/>
      <c r="W1222" s="68"/>
      <c r="X1222" s="73">
        <f t="shared" si="97"/>
        <v>3250</v>
      </c>
      <c r="Y1222" s="41" t="str">
        <f t="shared" si="98"/>
        <v>LEGENDS|88</v>
      </c>
      <c r="Z1222" s="15">
        <f>IF($C1222="","",IF($G1222="","",RANK($G1222,$G$4:$G$1463)+COUNTIF($G$4:$G1222,$G1222)-1))</f>
        <v>497</v>
      </c>
      <c r="AA1222" s="15">
        <f>IF($C1222="","",IF($N1222="","",RANK($N1222,$N$4:$N$1463)+COUNTIF($N$4:$N1222,$N1222)-1))</f>
        <v>687</v>
      </c>
      <c r="AB1222" s="41" t="str">
        <f>IF($C1222="","",IF($E1222="","",$E1222&amp;"#"&amp;(COUNTIFS($E$4:$E$1463,$E1222,$X$4:$X$1463,"&gt;"&amp;$X1222)+COUNTIFS($E$4:$E1222,$E1222,$X$4:$X1222,"="&amp;$X1222))))</f>
        <v>WIZARD#60</v>
      </c>
      <c r="AC1222" s="41" t="str">
        <f>IF($C1222="","",$B1222&amp;"@"&amp;(COUNTIFS($B$4:$B$1463,$B1222,$C$4:$C$1463,"&lt;"&amp;$C1222)+COUNTIFS($B$4:$B1222,$B1222,$C$4:$C1222,$C1222)))</f>
        <v>LEGENDS@94</v>
      </c>
      <c r="AD1222" s="41">
        <f t="shared" si="99"/>
        <v>1219</v>
      </c>
      <c r="AE1222" s="41" t="s">
        <v>2602</v>
      </c>
      <c r="AF1222" s="73">
        <f t="shared" si="100"/>
        <v>62851</v>
      </c>
      <c r="AG1222" s="74">
        <f t="shared" si="101"/>
        <v>5.17</v>
      </c>
      <c r="AH1222" s="41" t="str">
        <f>IF($C1222="","",$B1222&amp;"|"&amp;(COUNTIFS($B$4:$B$1463,$B1222,$AF$4:$AF$1463,"&gt;"&amp;$AF1222)+COUNTIFS($B$4:$B1222,$B1222,$AF$4:$AF1222,"="&amp;$AF1222)))</f>
        <v>LEGENDS|58</v>
      </c>
      <c r="AI1222" s="41" t="str">
        <f>IF($C1222="","",$B1222&amp;"|"&amp;(COUNTIFS($B$4:$B$1463,$B1222,$AG$4:$AG$1463,"&gt;"&amp;$AG1222)+COUNTIFS($B$4:$B1222,$B1222,$AG$4:$AG1222,"="&amp;$AG1222)))</f>
        <v>LEGENDS|59</v>
      </c>
    </row>
    <row r="1223" spans="1:35" hidden="1">
      <c r="A1223" s="69" t="s">
        <v>109</v>
      </c>
      <c r="B1223" s="69" t="s">
        <v>111</v>
      </c>
      <c r="C1223" s="63" t="s">
        <v>2603</v>
      </c>
      <c r="D1223" s="69" t="s">
        <v>527</v>
      </c>
      <c r="E1223" s="68" t="s">
        <v>79</v>
      </c>
      <c r="F1223" s="19" t="str">
        <f>IF($C1223="","",IF($E1223="","-",IFERROR(INDEX(SETUP!$B$55:$B$64,MATCH($E1223,SETUP!$A$55:$A$64,0)),"Other")))</f>
        <v>Control</v>
      </c>
      <c r="G1223" s="70">
        <v>61420</v>
      </c>
      <c r="H1223" s="19" t="str">
        <f>IF($C1223="","",IF($G1223="","-",INDEX(SETUP!$B$26:$B$32,MATCH($G1223,SETUP!$A$26:$A$32,1))))</f>
        <v>61,000 - 61,999</v>
      </c>
      <c r="I1223" s="70">
        <v>3782</v>
      </c>
      <c r="J1223" s="19" t="str">
        <f>IF($C1223="","",IF($I1223="","-",INDEX(SETUP!$B$16:$B$22,MATCH($I1223,SETUP!$A$16:$A$22,1))))</f>
        <v>DEVELOPING</v>
      </c>
      <c r="K1223" s="19" t="str">
        <f>IF($C1223="","",IF($I1223="","-",TEXT(INT($I1223/1000)*1000,"#,##0")&amp;" - "&amp;TEXT(INT($I1223/1000)*1000+999,"#,##0")))</f>
        <v>3,000 - 3,999</v>
      </c>
      <c r="L1223" s="71">
        <v>6.25</v>
      </c>
      <c r="M1223" s="19" t="str">
        <f>IF($C1223="","",IF($L1223="","-",INDEX(SETUP!$B$36:$B$42,MATCH($L1223,SETUP!$A$36:$A$42,1))))</f>
        <v>6k - 8k</v>
      </c>
      <c r="N1223" s="21">
        <f>IF($C1223="","",IF(OR($G1223="",$I1223=""),"",ROUND(100*(SETUP!$B$4*MIN(1,$I1223/SETUP!$B$9)+SETUP!$B$5*MAX(0,MIN(1,($G1223-SETUP!$B$10)/(SETUP!$B$11-SETUP!$B$10)))+SETUP!$B$6*MIN(1,IF($L1223="",0,$L1223)/SETUP!$B$12)),1)))</f>
        <v>43.8</v>
      </c>
      <c r="O1223" s="19" t="str">
        <f>IF($C1223="","",IF($N1223="","-",INDEX(SETUP!$B$46:$B$51,MATCH($N1223,SETUP!$A$46:$A$51,1))))</f>
        <v>B</v>
      </c>
      <c r="P1223" s="19">
        <f>IF($C1223="","",IF($I1223="","",RANK($I1223,$I$4:$I$1463)+COUNTIF($I$4:$I1223,$I1223)-1))</f>
        <v>653</v>
      </c>
      <c r="Q1223" s="19">
        <f>IF($C1223="","",COUNTIFS($B$4:$B$1463,$B1223,$X$4:$X$1463,"&gt;"&amp;$X1223)+COUNTIFS($B$4:$B1223,$B1223,$X$4:$X1223,"="&amp;$X1223))</f>
        <v>71</v>
      </c>
      <c r="R1223" s="75">
        <f>IF($C1223="","",IF($I1223="","",ROUND(COUNTIF($I$4:$I$1463,"&lt;"&amp;$I1223)/COUNT($I$4:$I$1463),3)))</f>
        <v>0.50700000000000001</v>
      </c>
      <c r="S1223" s="19" t="str">
        <f>IF($C1223="","",IF($G1223="","Name only",IF(OR($I1223="",$L1223=""),"Partial","Complete")))</f>
        <v>Complete</v>
      </c>
      <c r="T1223" s="1" t="str">
        <f>IF($C1223="","",TRIM(IF(COUNTIF($C$4:$C$1463,$C1223)&gt;1,"Dup name; ","")&amp;IF(AND($G1223&lt;&gt;"",$G1223&lt;55000),"Low CR - verify; ","")&amp;IF(AND($L1223&lt;&gt;"",$L1223&gt;15),"Secondary - verify; ","")&amp;IF($E1223="","No class; ","")))</f>
        <v/>
      </c>
      <c r="U1223" s="68"/>
      <c r="V1223" s="68"/>
      <c r="W1223" s="68"/>
      <c r="X1223" s="76">
        <f t="shared" si="97"/>
        <v>3782</v>
      </c>
      <c r="Y1223" s="1" t="str">
        <f t="shared" si="98"/>
        <v>RECKONING|71</v>
      </c>
      <c r="Z1223" s="19">
        <f>IF($C1223="","",IF($G1223="","",RANK($G1223,$G$4:$G$1463)+COUNTIF($G$4:$G1223,$G1223)-1))</f>
        <v>1026</v>
      </c>
      <c r="AA1223" s="19">
        <f>IF($C1223="","",IF($N1223="","",RANK($N1223,$N$4:$N$1463)+COUNTIF($N$4:$N1223,$N1223)-1))</f>
        <v>678</v>
      </c>
      <c r="AB1223" s="1" t="str">
        <f>IF($C1223="","",IF($E1223="","",$E1223&amp;"#"&amp;(COUNTIFS($E$4:$E$1463,$E1223,$X$4:$X$1463,"&gt;"&amp;$X1223)+COUNTIFS($E$4:$E1223,$E1223,$X$4:$X1223,"="&amp;$X1223))))</f>
        <v>WARLOCK#155</v>
      </c>
      <c r="AC1223" s="1" t="str">
        <f>IF($C1223="","",$B1223&amp;"@"&amp;(COUNTIFS($B$4:$B$1463,$B1223,$C$4:$C$1463,"&lt;"&amp;$C1223)+COUNTIFS($B$4:$B1223,$B1223,$C$4:$C1223,$C1223)))</f>
        <v>RECKONING@89</v>
      </c>
      <c r="AD1223" s="1">
        <f t="shared" si="99"/>
        <v>1220</v>
      </c>
      <c r="AE1223" s="1" t="s">
        <v>2604</v>
      </c>
      <c r="AF1223" s="76">
        <f t="shared" si="100"/>
        <v>61420</v>
      </c>
      <c r="AG1223" s="77">
        <f t="shared" si="101"/>
        <v>6.25</v>
      </c>
      <c r="AH1223" s="1" t="str">
        <f>IF($C1223="","",$B1223&amp;"|"&amp;(COUNTIFS($B$4:$B$1463,$B1223,$AF$4:$AF$1463,"&gt;"&amp;$AF1223)+COUNTIFS($B$4:$B1223,$B1223,$AF$4:$AF1223,"="&amp;$AF1223)))</f>
        <v>RECKONING|85</v>
      </c>
      <c r="AI1223" s="1" t="str">
        <f>IF($C1223="","",$B1223&amp;"|"&amp;(COUNTIFS($B$4:$B$1463,$B1223,$AG$4:$AG$1463,"&gt;"&amp;$AG1223)+COUNTIFS($B$4:$B1223,$B1223,$AG$4:$AG1223,"="&amp;$AG1223)))</f>
        <v>RECKONING|36</v>
      </c>
    </row>
    <row r="1224" spans="1:35" hidden="1">
      <c r="A1224" s="69" t="s">
        <v>109</v>
      </c>
      <c r="B1224" s="69" t="s">
        <v>118</v>
      </c>
      <c r="C1224" s="63" t="s">
        <v>2605</v>
      </c>
      <c r="D1224" s="69"/>
      <c r="E1224" s="68" t="s">
        <v>79</v>
      </c>
      <c r="F1224" s="15" t="str">
        <f>IF($C1224="","",IF($E1224="","-",IFERROR(INDEX(SETUP!$B$55:$B$64,MATCH($E1224,SETUP!$A$55:$A$64,0)),"Other")))</f>
        <v>Control</v>
      </c>
      <c r="G1224" s="70">
        <v>60169</v>
      </c>
      <c r="H1224" s="15" t="str">
        <f>IF($C1224="","",IF($G1224="","-",INDEX(SETUP!$B$26:$B$32,MATCH($G1224,SETUP!$A$26:$A$32,1))))</f>
        <v>60,000 - 60,999</v>
      </c>
      <c r="I1224" s="70">
        <v>1481</v>
      </c>
      <c r="J1224" s="15" t="str">
        <f>IF($C1224="","",IF($I1224="","-",INDEX(SETUP!$B$16:$B$22,MATCH($I1224,SETUP!$A$16:$A$22,1))))</f>
        <v>ROOKIE</v>
      </c>
      <c r="K1224" s="15" t="str">
        <f>IF($C1224="","",IF($I1224="","-",TEXT(INT($I1224/1000)*1000,"#,##0")&amp;" - "&amp;TEXT(INT($I1224/1000)*1000+999,"#,##0")))</f>
        <v>1,000 - 1,999</v>
      </c>
      <c r="L1224" s="71">
        <v>3.1</v>
      </c>
      <c r="M1224" s="15" t="str">
        <f>IF($C1224="","",IF($L1224="","-",INDEX(SETUP!$B$36:$B$42,MATCH($L1224,SETUP!$A$36:$A$42,1))))</f>
        <v>3k - 4k</v>
      </c>
      <c r="N1224" s="17">
        <f>IF($C1224="","",IF(OR($G1224="",$I1224=""),"",ROUND(100*(SETUP!$B$4*MIN(1,$I1224/SETUP!$B$9)+SETUP!$B$5*MAX(0,MIN(1,($G1224-SETUP!$B$10)/(SETUP!$B$11-SETUP!$B$10)))+SETUP!$B$6*MIN(1,IF($L1224="",0,$L1224)/SETUP!$B$12)),1)))</f>
        <v>25.2</v>
      </c>
      <c r="O1224" s="15" t="str">
        <f>IF($C1224="","",IF($N1224="","-",INDEX(SETUP!$B$46:$B$51,MATCH($N1224,SETUP!$A$46:$A$51,1))))</f>
        <v>C</v>
      </c>
      <c r="P1224" s="15">
        <f>IF($C1224="","",IF($I1224="","",RANK($I1224,$I$4:$I$1463)+COUNTIF($I$4:$I1224,$I1224)-1))</f>
        <v>1195</v>
      </c>
      <c r="Q1224" s="15">
        <f>IF($C1224="","",COUNTIFS($B$4:$B$1463,$B1224,$X$4:$X$1463,"&gt;"&amp;$X1224)+COUNTIFS($B$4:$B1224,$B1224,$X$4:$X1224,"="&amp;$X1224))</f>
        <v>59</v>
      </c>
      <c r="R1224" s="72">
        <f>IF($C1224="","",IF($I1224="","",ROUND(COUNTIF($I$4:$I$1463,"&lt;"&amp;$I1224)/COUNT($I$4:$I$1463),3)))</f>
        <v>9.8000000000000004E-2</v>
      </c>
      <c r="S1224" s="15" t="str">
        <f>IF($C1224="","",IF($G1224="","Name only",IF(OR($I1224="",$L1224=""),"Partial","Complete")))</f>
        <v>Complete</v>
      </c>
      <c r="T1224" s="41" t="str">
        <f>IF($C1224="","",TRIM(IF(COUNTIF($C$4:$C$1463,$C1224)&gt;1,"Dup name; ","")&amp;IF(AND($G1224&lt;&gt;"",$G1224&lt;55000),"Low CR - verify; ","")&amp;IF(AND($L1224&lt;&gt;"",$L1224&gt;15),"Secondary - verify; ","")&amp;IF($E1224="","No class; ","")))</f>
        <v/>
      </c>
      <c r="U1224" s="68"/>
      <c r="V1224" s="68"/>
      <c r="W1224" s="68"/>
      <c r="X1224" s="73">
        <f t="shared" si="97"/>
        <v>1481</v>
      </c>
      <c r="Y1224" s="41" t="str">
        <f t="shared" si="98"/>
        <v>ZOMBIES|59</v>
      </c>
      <c r="Z1224" s="15">
        <f>IF($C1224="","",IF($G1224="","",RANK($G1224,$G$4:$G$1463)+COUNTIF($G$4:$G1224,$G1224)-1))</f>
        <v>1227</v>
      </c>
      <c r="AA1224" s="15">
        <f>IF($C1224="","",IF($N1224="","",RANK($N1224,$N$4:$N$1463)+COUNTIF($N$4:$N1224,$N1224)-1))</f>
        <v>1243</v>
      </c>
      <c r="AB1224" s="41" t="str">
        <f>IF($C1224="","",IF($E1224="","",$E1224&amp;"#"&amp;(COUNTIFS($E$4:$E$1463,$E1224,$X$4:$X$1463,"&gt;"&amp;$X1224)+COUNTIFS($E$4:$E1224,$E1224,$X$4:$X1224,"="&amp;$X1224))))</f>
        <v>WARLOCK#296</v>
      </c>
      <c r="AC1224" s="41" t="str">
        <f>IF($C1224="","",$B1224&amp;"@"&amp;(COUNTIFS($B$4:$B$1463,$B1224,$C$4:$C$1463,"&lt;"&amp;$C1224)+COUNTIFS($B$4:$B1224,$B1224,$C$4:$C1224,$C1224)))</f>
        <v>ZOMBIES@90</v>
      </c>
      <c r="AD1224" s="41">
        <f t="shared" si="99"/>
        <v>1221</v>
      </c>
      <c r="AE1224" s="41" t="s">
        <v>1006</v>
      </c>
      <c r="AF1224" s="73">
        <f t="shared" si="100"/>
        <v>60169</v>
      </c>
      <c r="AG1224" s="74">
        <f t="shared" si="101"/>
        <v>3.1</v>
      </c>
      <c r="AH1224" s="41" t="str">
        <f>IF($C1224="","",$B1224&amp;"|"&amp;(COUNTIFS($B$4:$B$1463,$B1224,$AF$4:$AF$1463,"&gt;"&amp;$AF1224)+COUNTIFS($B$4:$B1224,$B1224,$AF$4:$AF1224,"="&amp;$AF1224)))</f>
        <v>ZOMBIES|76</v>
      </c>
      <c r="AI1224" s="41" t="str">
        <f>IF($C1224="","",$B1224&amp;"|"&amp;(COUNTIFS($B$4:$B$1463,$B1224,$AG$4:$AG$1463,"&gt;"&amp;$AG1224)+COUNTIFS($B$4:$B1224,$B1224,$AG$4:$AG1224,"="&amp;$AG1224)))</f>
        <v>ZOMBIES|67</v>
      </c>
    </row>
    <row r="1225" spans="1:35">
      <c r="A1225" s="69" t="s">
        <v>104</v>
      </c>
      <c r="B1225" s="69" t="s">
        <v>66</v>
      </c>
      <c r="C1225" s="63" t="s">
        <v>2913</v>
      </c>
      <c r="D1225" s="69"/>
      <c r="E1225" s="68" t="s">
        <v>77</v>
      </c>
      <c r="F1225" s="19" t="str">
        <f>IF($C1225="","",IF($E1225="","-",IFERROR(INDEX(SETUP!$B$55:$B$64,MATCH($E1225,SETUP!$A$55:$A$64,0)),"Other")))</f>
        <v>Control</v>
      </c>
      <c r="G1225" s="70">
        <v>62944</v>
      </c>
      <c r="H1225" s="19" t="str">
        <f>IF($C1225="","",IF($G1225="","-",INDEX(SETUP!$B$26:$B$32,MATCH($G1225,SETUP!$A$26:$A$32,1))))</f>
        <v>62,000 - 62,999</v>
      </c>
      <c r="I1225" s="70">
        <v>3867</v>
      </c>
      <c r="J1225" s="19" t="str">
        <f>IF($C1225="","",IF($I1225="","-",INDEX(SETUP!$B$16:$B$22,MATCH($I1225,SETUP!$A$16:$A$22,1))))</f>
        <v>DEVELOPING</v>
      </c>
      <c r="K1225" s="19" t="str">
        <f>IF($C1225="","",IF($I1225="","-",TEXT(INT($I1225/1000)*1000,"#,##0")&amp;" - "&amp;TEXT(INT($I1225/1000)*1000+999,"#,##0")))</f>
        <v>3,000 - 3,999</v>
      </c>
      <c r="L1225" s="71">
        <v>4.05</v>
      </c>
      <c r="M1225" s="19" t="str">
        <f>IF($C1225="","",IF($L1225="","-",INDEX(SETUP!$B$36:$B$42,MATCH($L1225,SETUP!$A$36:$A$42,1))))</f>
        <v>4k - 5k</v>
      </c>
      <c r="N1225" s="21">
        <f>IF($C1225="","",IF(OR($G1225="",$I1225=""),"",ROUND(100*(SETUP!$B$4*MIN(1,$I1225/SETUP!$B$9)+SETUP!$B$5*MAX(0,MIN(1,($G1225-SETUP!$B$10)/(SETUP!$B$11-SETUP!$B$10)))+SETUP!$B$6*MIN(1,IF($L1225="",0,$L1225)/SETUP!$B$12)),1)))</f>
        <v>44.5</v>
      </c>
      <c r="O1225" s="19" t="str">
        <f>IF($C1225="","",IF($N1225="","-",INDEX(SETUP!$B$46:$B$51,MATCH($N1225,SETUP!$A$46:$A$51,1))))</f>
        <v>B</v>
      </c>
      <c r="P1225" s="19">
        <f>IF($C1225="","",IF($I1225="","",RANK($I1225,$I$4:$I$1463)+COUNTIF($I$4:$I1225,$I1225)-1))</f>
        <v>630</v>
      </c>
      <c r="Q1225" s="19">
        <f>IF($C1225="","",COUNTIFS($B$4:$B$1463,$B1225,$X$4:$X$1463,"&gt;"&amp;$X1225)+COUNTIFS($B$4:$B1225,$B1225,$X$4:$X1225,"="&amp;$X1225))</f>
        <v>64</v>
      </c>
      <c r="R1225" s="75">
        <f>IF($C1225="","",IF($I1225="","",ROUND(COUNTIF($I$4:$I$1463,"&lt;"&amp;$I1225)/COUNT($I$4:$I$1463),3)))</f>
        <v>0.52500000000000002</v>
      </c>
      <c r="S1225" s="19" t="str">
        <f>IF($C1225="","",IF($G1225="","Name only",IF(OR($I1225="",$L1225=""),"Partial","Complete")))</f>
        <v>Complete</v>
      </c>
      <c r="T1225" s="1" t="str">
        <f>IF($C1225="","",TRIM(IF(COUNTIF($C$4:$C$1463,$C1225)&gt;1,"Dup name; ","")&amp;IF(AND($G1225&lt;&gt;"",$G1225&lt;55000),"Low CR - verify; ","")&amp;IF(AND($L1225&lt;&gt;"",$L1225&gt;15),"Secondary - verify; ","")&amp;IF($E1225="","No class; ","")))</f>
        <v/>
      </c>
      <c r="U1225" s="68" t="s">
        <v>264</v>
      </c>
      <c r="V1225" s="68" t="s">
        <v>66</v>
      </c>
      <c r="W1225" s="68" t="s">
        <v>285</v>
      </c>
      <c r="X1225" s="76">
        <f t="shared" si="97"/>
        <v>3867</v>
      </c>
      <c r="Y1225" s="1" t="str">
        <f t="shared" si="98"/>
        <v>FUCT|64</v>
      </c>
      <c r="Z1225" s="19">
        <f>IF($C1225="","",IF($G1225="","",RANK($G1225,$G$4:$G$1463)+COUNTIF($G$4:$G1225,$G1225)-1))</f>
        <v>452</v>
      </c>
      <c r="AA1225" s="19">
        <f>IF($C1225="","",IF($N1225="","",RANK($N1225,$N$4:$N$1463)+COUNTIF($N$4:$N1225,$N1225)-1))</f>
        <v>642</v>
      </c>
      <c r="AB1225" s="1" t="str">
        <f>IF($C1225="","",IF($E1225="","",$E1225&amp;"#"&amp;(COUNTIFS($E$4:$E$1463,$E1225,$X$4:$X$1463,"&gt;"&amp;$X1225)+COUNTIFS($E$4:$E1225,$E1225,$X$4:$X1225,"="&amp;$X1225))))</f>
        <v>NECROMANCER#31</v>
      </c>
      <c r="AC1225" s="1" t="str">
        <f>IF($C1225="","",$B1225&amp;"@"&amp;(COUNTIFS($B$4:$B$1463,$B1225,$C$4:$C$1463,"&lt;"&amp;$C1225)+COUNTIFS($B$4:$B1225,$B1225,$C$4:$C1225,$C1225)))</f>
        <v>FUCT@86</v>
      </c>
      <c r="AD1225" s="1">
        <f t="shared" si="99"/>
        <v>1222</v>
      </c>
      <c r="AE1225" s="1" t="s">
        <v>2607</v>
      </c>
      <c r="AF1225" s="76">
        <f t="shared" si="100"/>
        <v>62944</v>
      </c>
      <c r="AG1225" s="77">
        <f t="shared" si="101"/>
        <v>4.05</v>
      </c>
      <c r="AH1225" s="1" t="str">
        <f>IF($C1225="","",$B1225&amp;"|"&amp;(COUNTIFS($B$4:$B$1463,$B1225,$AF$4:$AF$1463,"&gt;"&amp;$AF1225)+COUNTIFS($B$4:$B1225,$B1225,$AF$4:$AF1225,"="&amp;$AF1225)))</f>
        <v>FUCT|47</v>
      </c>
      <c r="AI1225" s="1" t="str">
        <f>IF($C1225="","",$B1225&amp;"|"&amp;(COUNTIFS($B$4:$B$1463,$B1225,$AG$4:$AG$1463,"&gt;"&amp;$AG1225)+COUNTIFS($B$4:$B1225,$B1225,$AG$4:$AG1225,"="&amp;$AG1225)))</f>
        <v>FUCT|79</v>
      </c>
    </row>
    <row r="1226" spans="1:35" hidden="1">
      <c r="A1226" s="69" t="s">
        <v>109</v>
      </c>
      <c r="B1226" s="69" t="s">
        <v>115</v>
      </c>
      <c r="C1226" s="63" t="s">
        <v>2608</v>
      </c>
      <c r="D1226" s="69"/>
      <c r="E1226" s="68"/>
      <c r="F1226" s="15" t="str">
        <f>IF($C1226="","",IF($E1226="","-",IFERROR(INDEX(SETUP!$B$55:$B$64,MATCH($E1226,SETUP!$A$55:$A$64,0)),"Other")))</f>
        <v>-</v>
      </c>
      <c r="G1226" s="70"/>
      <c r="H1226" s="15" t="str">
        <f>IF($C1226="","",IF($G1226="","-",INDEX(SETUP!$B$26:$B$32,MATCH($G1226,SETUP!$A$26:$A$32,1))))</f>
        <v>-</v>
      </c>
      <c r="I1226" s="70"/>
      <c r="J1226" s="15" t="str">
        <f>IF($C1226="","",IF($I1226="","-",INDEX(SETUP!$B$16:$B$22,MATCH($I1226,SETUP!$A$16:$A$22,1))))</f>
        <v>-</v>
      </c>
      <c r="K1226" s="15" t="str">
        <f>IF($C1226="","",IF($I1226="","-",TEXT(INT($I1226/1000)*1000,"#,##0")&amp;" - "&amp;TEXT(INT($I1226/1000)*1000+999,"#,##0")))</f>
        <v>-</v>
      </c>
      <c r="L1226" s="71"/>
      <c r="M1226" s="15" t="str">
        <f>IF($C1226="","",IF($L1226="","-",INDEX(SETUP!$B$36:$B$42,MATCH($L1226,SETUP!$A$36:$A$42,1))))</f>
        <v>-</v>
      </c>
      <c r="N1226" s="17" t="str">
        <f>IF($C1226="","",IF(OR($G1226="",$I1226=""),"",ROUND(100*(SETUP!$B$4*MIN(1,$I1226/SETUP!$B$9)+SETUP!$B$5*MAX(0,MIN(1,($G1226-SETUP!$B$10)/(SETUP!$B$11-SETUP!$B$10)))+SETUP!$B$6*MIN(1,IF($L1226="",0,$L1226)/SETUP!$B$12)),1)))</f>
        <v/>
      </c>
      <c r="O1226" s="15" t="str">
        <f>IF($C1226="","",IF($N1226="","-",INDEX(SETUP!$B$46:$B$51,MATCH($N1226,SETUP!$A$46:$A$51,1))))</f>
        <v>-</v>
      </c>
      <c r="P1226" s="15" t="str">
        <f>IF($C1226="","",IF($I1226="","",RANK($I1226,$I$4:$I$1463)+COUNTIF($I$4:$I1226,$I1226)-1))</f>
        <v/>
      </c>
      <c r="Q1226" s="15">
        <f>IF($C1226="","",COUNTIFS($B$4:$B$1463,$B1226,$X$4:$X$1463,"&gt;"&amp;$X1226)+COUNTIFS($B$4:$B1226,$B1226,$X$4:$X1226,"="&amp;$X1226))</f>
        <v>89</v>
      </c>
      <c r="R1226" s="72" t="str">
        <f>IF($C1226="","",IF($I1226="","",ROUND(COUNTIF($I$4:$I$1463,"&lt;"&amp;$I1226)/COUNT($I$4:$I$1463),3)))</f>
        <v/>
      </c>
      <c r="S1226" s="15" t="str">
        <f>IF($C1226="","",IF($G1226="","Name only",IF(OR($I1226="",$L1226=""),"Partial","Complete")))</f>
        <v>Name only</v>
      </c>
      <c r="T1226" s="41" t="str">
        <f>IF($C1226="","",TRIM(IF(COUNTIF($C$4:$C$1463,$C1226)&gt;1,"Dup name; ","")&amp;IF(AND($G1226&lt;&gt;"",$G1226&lt;55000),"Low CR - verify; ","")&amp;IF(AND($L1226&lt;&gt;"",$L1226&gt;15),"Secondary - verify; ","")&amp;IF($E1226="","No class; ","")))</f>
        <v>No class;</v>
      </c>
      <c r="U1226" s="68"/>
      <c r="V1226" s="68"/>
      <c r="W1226" s="68"/>
      <c r="X1226" s="41">
        <f t="shared" si="97"/>
        <v>-1</v>
      </c>
      <c r="Y1226" s="41" t="str">
        <f t="shared" si="98"/>
        <v>SUB ROSA|89</v>
      </c>
      <c r="Z1226" s="15" t="str">
        <f>IF($C1226="","",IF($G1226="","",RANK($G1226,$G$4:$G$1463)+COUNTIF($G$4:$G1226,$G1226)-1))</f>
        <v/>
      </c>
      <c r="AA1226" s="15" t="str">
        <f>IF($C1226="","",IF($N1226="","",RANK($N1226,$N$4:$N$1463)+COUNTIF($N$4:$N1226,$N1226)-1))</f>
        <v/>
      </c>
      <c r="AB1226" s="41" t="str">
        <f>IF($C1226="","",IF($E1226="","",$E1226&amp;"#"&amp;(COUNTIFS($E$4:$E$1463,$E1226,$X$4:$X$1463,"&gt;"&amp;$X1226)+COUNTIFS($E$4:$E1226,$E1226,$X$4:$X1226,"="&amp;$X1226))))</f>
        <v/>
      </c>
      <c r="AC1226" s="41" t="str">
        <f>IF($C1226="","",$B1226&amp;"@"&amp;(COUNTIFS($B$4:$B$1463,$B1226,$C$4:$C$1463,"&lt;"&amp;$C1226)+COUNTIFS($B$4:$B1226,$B1226,$C$4:$C1226,$C1226)))</f>
        <v>SUB ROSA@84</v>
      </c>
      <c r="AD1226" s="41">
        <f t="shared" si="99"/>
        <v>1223</v>
      </c>
      <c r="AE1226" s="41"/>
      <c r="AF1226" s="41">
        <f t="shared" si="100"/>
        <v>-1</v>
      </c>
      <c r="AG1226" s="41">
        <f t="shared" si="101"/>
        <v>-1</v>
      </c>
      <c r="AH1226" s="41" t="str">
        <f>IF($C1226="","",$B1226&amp;"|"&amp;(COUNTIFS($B$4:$B$1463,$B1226,$AF$4:$AF$1463,"&gt;"&amp;$AF1226)+COUNTIFS($B$4:$B1226,$B1226,$AF$4:$AF1226,"="&amp;$AF1226)))</f>
        <v>SUB ROSA|89</v>
      </c>
      <c r="AI1226" s="41" t="str">
        <f>IF($C1226="","",$B1226&amp;"|"&amp;(COUNTIFS($B$4:$B$1463,$B1226,$AG$4:$AG$1463,"&gt;"&amp;$AG1226)+COUNTIFS($B$4:$B1226,$B1226,$AG$4:$AG1226,"="&amp;$AG1226)))</f>
        <v>SUB ROSA|89</v>
      </c>
    </row>
    <row r="1227" spans="1:35" hidden="1">
      <c r="A1227" s="69" t="s">
        <v>109</v>
      </c>
      <c r="B1227" s="69" t="s">
        <v>117</v>
      </c>
      <c r="C1227" s="63" t="s">
        <v>2609</v>
      </c>
      <c r="D1227" s="69"/>
      <c r="E1227" s="68" t="s">
        <v>78</v>
      </c>
      <c r="F1227" s="19" t="str">
        <f>IF($C1227="","",IF($E1227="","-",IFERROR(INDEX(SETUP!$B$55:$B$64,MATCH($E1227,SETUP!$A$55:$A$64,0)),"Other")))</f>
        <v>Melee DPS</v>
      </c>
      <c r="G1227" s="70">
        <v>61725</v>
      </c>
      <c r="H1227" s="19" t="str">
        <f>IF($C1227="","",IF($G1227="","-",INDEX(SETUP!$B$26:$B$32,MATCH($G1227,SETUP!$A$26:$A$32,1))))</f>
        <v>61,000 - 61,999</v>
      </c>
      <c r="I1227" s="70">
        <v>2734</v>
      </c>
      <c r="J1227" s="19" t="str">
        <f>IF($C1227="","",IF($I1227="","-",INDEX(SETUP!$B$16:$B$22,MATCH($I1227,SETUP!$A$16:$A$22,1))))</f>
        <v>DEVELOPING</v>
      </c>
      <c r="K1227" s="19" t="str">
        <f>IF($C1227="","",IF($I1227="","-",TEXT(INT($I1227/1000)*1000,"#,##0")&amp;" - "&amp;TEXT(INT($I1227/1000)*1000+999,"#,##0")))</f>
        <v>2,000 - 2,999</v>
      </c>
      <c r="L1227" s="71">
        <v>4.1500000000000004</v>
      </c>
      <c r="M1227" s="19" t="str">
        <f>IF($C1227="","",IF($L1227="","-",INDEX(SETUP!$B$36:$B$42,MATCH($L1227,SETUP!$A$36:$A$42,1))))</f>
        <v>4k - 5k</v>
      </c>
      <c r="N1227" s="21">
        <f>IF($C1227="","",IF(OR($G1227="",$I1227=""),"",ROUND(100*(SETUP!$B$4*MIN(1,$I1227/SETUP!$B$9)+SETUP!$B$5*MAX(0,MIN(1,($G1227-SETUP!$B$10)/(SETUP!$B$11-SETUP!$B$10)))+SETUP!$B$6*MIN(1,IF($L1227="",0,$L1227)/SETUP!$B$12)),1)))</f>
        <v>36.5</v>
      </c>
      <c r="O1227" s="19" t="str">
        <f>IF($C1227="","",IF($N1227="","-",INDEX(SETUP!$B$46:$B$51,MATCH($N1227,SETUP!$A$46:$A$51,1))))</f>
        <v>B</v>
      </c>
      <c r="P1227" s="19">
        <f>IF($C1227="","",IF($I1227="","",RANK($I1227,$I$4:$I$1463)+COUNTIF($I$4:$I1227,$I1227)-1))</f>
        <v>944</v>
      </c>
      <c r="Q1227" s="19">
        <f>IF($C1227="","",COUNTIFS($B$4:$B$1463,$B1227,$X$4:$X$1463,"&gt;"&amp;$X1227)+COUNTIFS($B$4:$B1227,$B1227,$X$4:$X1227,"="&amp;$X1227))</f>
        <v>23</v>
      </c>
      <c r="R1227" s="75">
        <f>IF($C1227="","",IF($I1227="","",ROUND(COUNTIF($I$4:$I$1463,"&lt;"&amp;$I1227)/COUNT($I$4:$I$1463),3)))</f>
        <v>0.28799999999999998</v>
      </c>
      <c r="S1227" s="19" t="str">
        <f>IF($C1227="","",IF($G1227="","Name only",IF(OR($I1227="",$L1227=""),"Partial","Complete")))</f>
        <v>Complete</v>
      </c>
      <c r="T1227" s="1" t="str">
        <f>IF($C1227="","",TRIM(IF(COUNTIF($C$4:$C$1463,$C1227)&gt;1,"Dup name; ","")&amp;IF(AND($G1227&lt;&gt;"",$G1227&lt;55000),"Low CR - verify; ","")&amp;IF(AND($L1227&lt;&gt;"",$L1227&gt;15),"Secondary - verify; ","")&amp;IF($E1227="","No class; ","")))</f>
        <v/>
      </c>
      <c r="U1227" s="68"/>
      <c r="V1227" s="68"/>
      <c r="W1227" s="68"/>
      <c r="X1227" s="76">
        <f t="shared" si="97"/>
        <v>2734</v>
      </c>
      <c r="Y1227" s="1" t="str">
        <f t="shared" si="98"/>
        <v>VENDETTA|23</v>
      </c>
      <c r="Z1227" s="19">
        <f>IF($C1227="","",IF($G1227="","",RANK($G1227,$G$4:$G$1463)+COUNTIF($G$4:$G1227,$G1227)-1))</f>
        <v>934</v>
      </c>
      <c r="AA1227" s="19">
        <f>IF($C1227="","",IF($N1227="","",RANK($N1227,$N$4:$N$1463)+COUNTIF($N$4:$N1227,$N1227)-1))</f>
        <v>949</v>
      </c>
      <c r="AB1227" s="1" t="str">
        <f>IF($C1227="","",IF($E1227="","",$E1227&amp;"#"&amp;(COUNTIFS($E$4:$E$1463,$E1227,$X$4:$X$1463,"&gt;"&amp;$X1227)+COUNTIFS($E$4:$E1227,$E1227,$X$4:$X1227,"="&amp;$X1227))))</f>
        <v>TEMPEST#41</v>
      </c>
      <c r="AC1227" s="1" t="str">
        <f>IF($C1227="","",$B1227&amp;"@"&amp;(COUNTIFS($B$4:$B$1463,$B1227,$C$4:$C$1463,"&lt;"&amp;$C1227)+COUNTIFS($B$4:$B1227,$B1227,$C$4:$C1227,$C1227)))</f>
        <v>VENDETTA@85</v>
      </c>
      <c r="AD1227" s="1">
        <f t="shared" si="99"/>
        <v>1224</v>
      </c>
      <c r="AE1227" s="1" t="s">
        <v>2610</v>
      </c>
      <c r="AF1227" s="76">
        <f t="shared" si="100"/>
        <v>61725</v>
      </c>
      <c r="AG1227" s="77">
        <f t="shared" si="101"/>
        <v>4.1500000000000004</v>
      </c>
      <c r="AH1227" s="1" t="str">
        <f>IF($C1227="","",$B1227&amp;"|"&amp;(COUNTIFS($B$4:$B$1463,$B1227,$AF$4:$AF$1463,"&gt;"&amp;$AF1227)+COUNTIFS($B$4:$B1227,$B1227,$AF$4:$AF1227,"="&amp;$AF1227)))</f>
        <v>VENDETTA|45</v>
      </c>
      <c r="AI1227" s="1" t="str">
        <f>IF($C1227="","",$B1227&amp;"|"&amp;(COUNTIFS($B$4:$B$1463,$B1227,$AG$4:$AG$1463,"&gt;"&amp;$AG1227)+COUNTIFS($B$4:$B1227,$B1227,$AG$4:$AG1227,"="&amp;$AG1227)))</f>
        <v>VENDETTA|31</v>
      </c>
    </row>
    <row r="1228" spans="1:35" hidden="1">
      <c r="A1228" s="69" t="s">
        <v>109</v>
      </c>
      <c r="B1228" s="69" t="s">
        <v>110</v>
      </c>
      <c r="C1228" s="63" t="s">
        <v>2611</v>
      </c>
      <c r="D1228" s="69"/>
      <c r="E1228" s="68" t="s">
        <v>71</v>
      </c>
      <c r="F1228" s="15" t="str">
        <f>IF($C1228="","",IF($E1228="","-",IFERROR(INDEX(SETUP!$B$55:$B$64,MATCH($E1228,SETUP!$A$55:$A$64,0)),"Other")))</f>
        <v>Frontline</v>
      </c>
      <c r="G1228" s="70">
        <v>64467</v>
      </c>
      <c r="H1228" s="15" t="str">
        <f>IF($C1228="","",IF($G1228="","-",INDEX(SETUP!$B$26:$B$32,MATCH($G1228,SETUP!$A$26:$A$32,1))))</f>
        <v>64,000 +</v>
      </c>
      <c r="I1228" s="70">
        <v>10272</v>
      </c>
      <c r="J1228" s="15" t="str">
        <f>IF($C1228="","",IF($I1228="","-",INDEX(SETUP!$B$16:$B$22,MATCH($I1228,SETUP!$A$16:$A$22,1))))</f>
        <v>APEX</v>
      </c>
      <c r="K1228" s="15" t="str">
        <f>IF($C1228="","",IF($I1228="","-",TEXT(INT($I1228/1000)*1000,"#,##0")&amp;" - "&amp;TEXT(INT($I1228/1000)*1000+999,"#,##0")))</f>
        <v>10,000 - 10,999</v>
      </c>
      <c r="L1228" s="71">
        <v>9.5</v>
      </c>
      <c r="M1228" s="15" t="str">
        <f>IF($C1228="","",IF($L1228="","-",INDEX(SETUP!$B$36:$B$42,MATCH($L1228,SETUP!$A$36:$A$42,1))))</f>
        <v>8k - 10k</v>
      </c>
      <c r="N1228" s="17">
        <f>IF($C1228="","",IF(OR($G1228="",$I1228=""),"",ROUND(100*(SETUP!$B$4*MIN(1,$I1228/SETUP!$B$9)+SETUP!$B$5*MAX(0,MIN(1,($G1228-SETUP!$B$10)/(SETUP!$B$11-SETUP!$B$10)))+SETUP!$B$6*MIN(1,IF($L1228="",0,$L1228)/SETUP!$B$12)),1)))</f>
        <v>85.6</v>
      </c>
      <c r="O1228" s="15" t="str">
        <f>IF($C1228="","",IF($N1228="","-",INDEX(SETUP!$B$46:$B$51,MATCH($N1228,SETUP!$A$46:$A$51,1))))</f>
        <v>S+</v>
      </c>
      <c r="P1228" s="15">
        <f>IF($C1228="","",IF($I1228="","",RANK($I1228,$I$4:$I$1463)+COUNTIF($I$4:$I1228,$I1228)-1))</f>
        <v>36</v>
      </c>
      <c r="Q1228" s="15">
        <f>IF($C1228="","",COUNTIFS($B$4:$B$1463,$B1228,$X$4:$X$1463,"&gt;"&amp;$X1228)+COUNTIFS($B$4:$B1228,$B1228,$X$4:$X1228,"="&amp;$X1228))</f>
        <v>10</v>
      </c>
      <c r="R1228" s="72">
        <f>IF($C1228="","",IF($I1228="","",ROUND(COUNTIF($I$4:$I$1463,"&lt;"&amp;$I1228)/COUNT($I$4:$I$1463),3)))</f>
        <v>0.97299999999999998</v>
      </c>
      <c r="S1228" s="15" t="str">
        <f>IF($C1228="","",IF($G1228="","Name only",IF(OR($I1228="",$L1228=""),"Partial","Complete")))</f>
        <v>Complete</v>
      </c>
      <c r="T1228" s="41" t="str">
        <f>IF($C1228="","",TRIM(IF(COUNTIF($C$4:$C$1463,$C1228)&gt;1,"Dup name; ","")&amp;IF(AND($G1228&lt;&gt;"",$G1228&lt;55000),"Low CR - verify; ","")&amp;IF(AND($L1228&lt;&gt;"",$L1228&gt;15),"Secondary - verify; ","")&amp;IF($E1228="","No class; ","")))</f>
        <v/>
      </c>
      <c r="U1228" s="68"/>
      <c r="V1228" s="68"/>
      <c r="W1228" s="68"/>
      <c r="X1228" s="73">
        <f t="shared" si="97"/>
        <v>10272</v>
      </c>
      <c r="Y1228" s="41" t="str">
        <f t="shared" si="98"/>
        <v>AZUKI|10</v>
      </c>
      <c r="Z1228" s="15">
        <f>IF($C1228="","",IF($G1228="","",RANK($G1228,$G$4:$G$1463)+COUNTIF($G$4:$G1228,$G1228)-1))</f>
        <v>1</v>
      </c>
      <c r="AA1228" s="15">
        <f>IF($C1228="","",IF($N1228="","",RANK($N1228,$N$4:$N$1463)+COUNTIF($N$4:$N1228,$N1228)-1))</f>
        <v>22</v>
      </c>
      <c r="AB1228" s="41" t="str">
        <f>IF($C1228="","",IF($E1228="","",$E1228&amp;"#"&amp;(COUNTIFS($E$4:$E$1463,$E1228,$X$4:$X$1463,"&gt;"&amp;$X1228)+COUNTIFS($E$4:$E1228,$E1228,$X$4:$X1228,"="&amp;$X1228))))</f>
        <v>BARBARIAN#9</v>
      </c>
      <c r="AC1228" s="41" t="str">
        <f>IF($C1228="","",$B1228&amp;"@"&amp;(COUNTIFS($B$4:$B$1463,$B1228,$C$4:$C$1463,"&lt;"&amp;$C1228)+COUNTIFS($B$4:$B1228,$B1228,$C$4:$C1228,$C1228)))</f>
        <v>AZUKI@93</v>
      </c>
      <c r="AD1228" s="41">
        <f t="shared" si="99"/>
        <v>1225</v>
      </c>
      <c r="AE1228" s="41" t="s">
        <v>2612</v>
      </c>
      <c r="AF1228" s="73">
        <f t="shared" si="100"/>
        <v>64467</v>
      </c>
      <c r="AG1228" s="74">
        <f t="shared" si="101"/>
        <v>9.5</v>
      </c>
      <c r="AH1228" s="41" t="str">
        <f>IF($C1228="","",$B1228&amp;"|"&amp;(COUNTIFS($B$4:$B$1463,$B1228,$AF$4:$AF$1463,"&gt;"&amp;$AF1228)+COUNTIFS($B$4:$B1228,$B1228,$AF$4:$AF1228,"="&amp;$AF1228)))</f>
        <v>AZUKI|1</v>
      </c>
      <c r="AI1228" s="41" t="str">
        <f>IF($C1228="","",$B1228&amp;"|"&amp;(COUNTIFS($B$4:$B$1463,$B1228,$AG$4:$AG$1463,"&gt;"&amp;$AG1228)+COUNTIFS($B$4:$B1228,$B1228,$AG$4:$AG1228,"="&amp;$AG1228)))</f>
        <v>AZUKI|9</v>
      </c>
    </row>
    <row r="1229" spans="1:35" hidden="1">
      <c r="A1229" s="69" t="s">
        <v>109</v>
      </c>
      <c r="B1229" s="69" t="s">
        <v>112</v>
      </c>
      <c r="C1229" s="63" t="s">
        <v>2613</v>
      </c>
      <c r="D1229" s="69" t="s">
        <v>567</v>
      </c>
      <c r="E1229" s="68" t="s">
        <v>72</v>
      </c>
      <c r="F1229" s="19" t="str">
        <f>IF($C1229="","",IF($E1229="","-",IFERROR(INDEX(SETUP!$B$55:$B$64,MATCH($E1229,SETUP!$A$55:$A$64,0)),"Other")))</f>
        <v>Frontline</v>
      </c>
      <c r="G1229" s="70">
        <v>63408</v>
      </c>
      <c r="H1229" s="19" t="str">
        <f>IF($C1229="","",IF($G1229="","-",INDEX(SETUP!$B$26:$B$32,MATCH($G1229,SETUP!$A$26:$A$32,1))))</f>
        <v>63,000 - 63,999</v>
      </c>
      <c r="I1229" s="70">
        <v>5631</v>
      </c>
      <c r="J1229" s="19" t="str">
        <f>IF($C1229="","",IF($I1229="","-",INDEX(SETUP!$B$16:$B$22,MATCH($I1229,SETUP!$A$16:$A$22,1))))</f>
        <v>CORE</v>
      </c>
      <c r="K1229" s="19" t="str">
        <f>IF($C1229="","",IF($I1229="","-",TEXT(INT($I1229/1000)*1000,"#,##0")&amp;" - "&amp;TEXT(INT($I1229/1000)*1000+999,"#,##0")))</f>
        <v>5,000 - 5,999</v>
      </c>
      <c r="L1229" s="71">
        <v>6.15</v>
      </c>
      <c r="M1229" s="19" t="str">
        <f>IF($C1229="","",IF($L1229="","-",INDEX(SETUP!$B$36:$B$42,MATCH($L1229,SETUP!$A$36:$A$42,1))))</f>
        <v>6k - 8k</v>
      </c>
      <c r="N1229" s="21">
        <f>IF($C1229="","",IF(OR($G1229="",$I1229=""),"",ROUND(100*(SETUP!$B$4*MIN(1,$I1229/SETUP!$B$9)+SETUP!$B$5*MAX(0,MIN(1,($G1229-SETUP!$B$10)/(SETUP!$B$11-SETUP!$B$10)))+SETUP!$B$6*MIN(1,IF($L1229="",0,$L1229)/SETUP!$B$12)),1)))</f>
        <v>57</v>
      </c>
      <c r="O1229" s="19" t="str">
        <f>IF($C1229="","",IF($N1229="","-",INDEX(SETUP!$B$46:$B$51,MATCH($N1229,SETUP!$A$46:$A$51,1))))</f>
        <v>A</v>
      </c>
      <c r="P1229" s="19">
        <f>IF($C1229="","",IF($I1229="","",RANK($I1229,$I$4:$I$1463)+COUNTIF($I$4:$I1229,$I1229)-1))</f>
        <v>320</v>
      </c>
      <c r="Q1229" s="19">
        <f>IF($C1229="","",COUNTIFS($B$4:$B$1463,$B1229,$X$4:$X$1463,"&gt;"&amp;$X1229)+COUNTIFS($B$4:$B1229,$B1229,$X$4:$X1229,"="&amp;$X1229))</f>
        <v>17</v>
      </c>
      <c r="R1229" s="75">
        <f>IF($C1229="","",IF($I1229="","",ROUND(COUNTIF($I$4:$I$1463,"&lt;"&amp;$I1229)/COUNT($I$4:$I$1463),3)))</f>
        <v>0.75800000000000001</v>
      </c>
      <c r="S1229" s="19" t="str">
        <f>IF($C1229="","",IF($G1229="","Name only",IF(OR($I1229="",$L1229=""),"Partial","Complete")))</f>
        <v>Complete</v>
      </c>
      <c r="T1229" s="1" t="str">
        <f>IF($C1229="","",TRIM(IF(COUNTIF($C$4:$C$1463,$C1229)&gt;1,"Dup name; ","")&amp;IF(AND($G1229&lt;&gt;"",$G1229&lt;55000),"Low CR - verify; ","")&amp;IF(AND($L1229&lt;&gt;"",$L1229&gt;15),"Secondary - verify; ","")&amp;IF($E1229="","No class; ","")))</f>
        <v/>
      </c>
      <c r="U1229" s="68"/>
      <c r="V1229" s="68"/>
      <c r="W1229" s="68"/>
      <c r="X1229" s="76">
        <f t="shared" si="97"/>
        <v>5631</v>
      </c>
      <c r="Y1229" s="1" t="str">
        <f t="shared" si="98"/>
        <v>ACHERON|17</v>
      </c>
      <c r="Z1229" s="19">
        <f>IF($C1229="","",IF($G1229="","",RANK($G1229,$G$4:$G$1463)+COUNTIF($G$4:$G1229,$G1229)-1))</f>
        <v>219</v>
      </c>
      <c r="AA1229" s="19">
        <f>IF($C1229="","",IF($N1229="","",RANK($N1229,$N$4:$N$1463)+COUNTIF($N$4:$N1229,$N1229)-1))</f>
        <v>280</v>
      </c>
      <c r="AB1229" s="1" t="str">
        <f>IF($C1229="","",IF($E1229="","",$E1229&amp;"#"&amp;(COUNTIFS($E$4:$E$1463,$E1229,$X$4:$X$1463,"&gt;"&amp;$X1229)+COUNTIFS($E$4:$E1229,$E1229,$X$4:$X1229,"="&amp;$X1229))))</f>
        <v>BLOOD KNIGHT#21</v>
      </c>
      <c r="AC1229" s="1" t="str">
        <f>IF($C1229="","",$B1229&amp;"@"&amp;(COUNTIFS($B$4:$B$1463,$B1229,$C$4:$C$1463,"&lt;"&amp;$C1229)+COUNTIFS($B$4:$B1229,$B1229,$C$4:$C1229,$C1229)))</f>
        <v>ACHERON@86</v>
      </c>
      <c r="AD1229" s="1">
        <f t="shared" si="99"/>
        <v>1226</v>
      </c>
      <c r="AE1229" s="1" t="s">
        <v>2614</v>
      </c>
      <c r="AF1229" s="76">
        <f t="shared" si="100"/>
        <v>63408</v>
      </c>
      <c r="AG1229" s="77">
        <f t="shared" si="101"/>
        <v>6.15</v>
      </c>
      <c r="AH1229" s="1" t="str">
        <f>IF($C1229="","",$B1229&amp;"|"&amp;(COUNTIFS($B$4:$B$1463,$B1229,$AF$4:$AF$1463,"&gt;"&amp;$AF1229)+COUNTIFS($B$4:$B1229,$B1229,$AF$4:$AF1229,"="&amp;$AF1229)))</f>
        <v>ACHERON|10</v>
      </c>
      <c r="AI1229" s="1" t="str">
        <f>IF($C1229="","",$B1229&amp;"|"&amp;(COUNTIFS($B$4:$B$1463,$B1229,$AG$4:$AG$1463,"&gt;"&amp;$AG1229)+COUNTIFS($B$4:$B1229,$B1229,$AG$4:$AG1229,"="&amp;$AG1229)))</f>
        <v>ACHERON|14</v>
      </c>
    </row>
    <row r="1230" spans="1:35" hidden="1">
      <c r="A1230" s="69" t="s">
        <v>109</v>
      </c>
      <c r="B1230" s="69" t="s">
        <v>110</v>
      </c>
      <c r="C1230" s="63" t="s">
        <v>2615</v>
      </c>
      <c r="D1230" s="69"/>
      <c r="E1230" s="68" t="s">
        <v>71</v>
      </c>
      <c r="F1230" s="15" t="str">
        <f>IF($C1230="","",IF($E1230="","-",IFERROR(INDEX(SETUP!$B$55:$B$64,MATCH($E1230,SETUP!$A$55:$A$64,0)),"Other")))</f>
        <v>Frontline</v>
      </c>
      <c r="G1230" s="70">
        <v>62152</v>
      </c>
      <c r="H1230" s="15" t="str">
        <f>IF($C1230="","",IF($G1230="","-",INDEX(SETUP!$B$26:$B$32,MATCH($G1230,SETUP!$A$26:$A$32,1))))</f>
        <v>62,000 - 62,999</v>
      </c>
      <c r="I1230" s="70">
        <v>5910</v>
      </c>
      <c r="J1230" s="15" t="str">
        <f>IF($C1230="","",IF($I1230="","-",INDEX(SETUP!$B$16:$B$22,MATCH($I1230,SETUP!$A$16:$A$22,1))))</f>
        <v>CORE</v>
      </c>
      <c r="K1230" s="15" t="str">
        <f>IF($C1230="","",IF($I1230="","-",TEXT(INT($I1230/1000)*1000,"#,##0")&amp;" - "&amp;TEXT(INT($I1230/1000)*1000+999,"#,##0")))</f>
        <v>5,000 - 5,999</v>
      </c>
      <c r="L1230" s="71">
        <v>5.35</v>
      </c>
      <c r="M1230" s="15" t="str">
        <f>IF($C1230="","",IF($L1230="","-",INDEX(SETUP!$B$36:$B$42,MATCH($L1230,SETUP!$A$36:$A$42,1))))</f>
        <v>5k - 6k</v>
      </c>
      <c r="N1230" s="17">
        <f>IF($C1230="","",IF(OR($G1230="",$I1230=""),"",ROUND(100*(SETUP!$B$4*MIN(1,$I1230/SETUP!$B$9)+SETUP!$B$5*MAX(0,MIN(1,($G1230-SETUP!$B$10)/(SETUP!$B$11-SETUP!$B$10)))+SETUP!$B$6*MIN(1,IF($L1230="",0,$L1230)/SETUP!$B$12)),1)))</f>
        <v>53.5</v>
      </c>
      <c r="O1230" s="15" t="str">
        <f>IF($C1230="","",IF($N1230="","-",INDEX(SETUP!$B$46:$B$51,MATCH($N1230,SETUP!$A$46:$A$51,1))))</f>
        <v>A</v>
      </c>
      <c r="P1230" s="15">
        <f>IF($C1230="","",IF($I1230="","",RANK($I1230,$I$4:$I$1463)+COUNTIF($I$4:$I1230,$I1230)-1))</f>
        <v>296</v>
      </c>
      <c r="Q1230" s="15">
        <f>IF($C1230="","",COUNTIFS($B$4:$B$1463,$B1230,$X$4:$X$1463,"&gt;"&amp;$X1230)+COUNTIFS($B$4:$B1230,$B1230,$X$4:$X1230,"="&amp;$X1230))</f>
        <v>38</v>
      </c>
      <c r="R1230" s="72">
        <f>IF($C1230="","",IF($I1230="","",ROUND(COUNTIF($I$4:$I$1463,"&lt;"&amp;$I1230)/COUNT($I$4:$I$1463),3)))</f>
        <v>0.77700000000000002</v>
      </c>
      <c r="S1230" s="15" t="str">
        <f>IF($C1230="","",IF($G1230="","Name only",IF(OR($I1230="",$L1230=""),"Partial","Complete")))</f>
        <v>Complete</v>
      </c>
      <c r="T1230" s="41" t="str">
        <f>IF($C1230="","",TRIM(IF(COUNTIF($C$4:$C$1463,$C1230)&gt;1,"Dup name; ","")&amp;IF(AND($G1230&lt;&gt;"",$G1230&lt;55000),"Low CR - verify; ","")&amp;IF(AND($L1230&lt;&gt;"",$L1230&gt;15),"Secondary - verify; ","")&amp;IF($E1230="","No class; ","")))</f>
        <v/>
      </c>
      <c r="U1230" s="68"/>
      <c r="V1230" s="68"/>
      <c r="W1230" s="68"/>
      <c r="X1230" s="73">
        <f t="shared" si="97"/>
        <v>5910</v>
      </c>
      <c r="Y1230" s="41" t="str">
        <f t="shared" si="98"/>
        <v>AZUKI|38</v>
      </c>
      <c r="Z1230" s="15">
        <f>IF($C1230="","",IF($G1230="","",RANK($G1230,$G$4:$G$1463)+COUNTIF($G$4:$G1230,$G1230)-1))</f>
        <v>775</v>
      </c>
      <c r="AA1230" s="15">
        <f>IF($C1230="","",IF($N1230="","",RANK($N1230,$N$4:$N$1463)+COUNTIF($N$4:$N1230,$N1230)-1))</f>
        <v>356</v>
      </c>
      <c r="AB1230" s="41" t="str">
        <f>IF($C1230="","",IF($E1230="","",$E1230&amp;"#"&amp;(COUNTIFS($E$4:$E$1463,$E1230,$X$4:$X$1463,"&gt;"&amp;$X1230)+COUNTIFS($E$4:$E1230,$E1230,$X$4:$X1230,"="&amp;$X1230))))</f>
        <v>BARBARIAN#60</v>
      </c>
      <c r="AC1230" s="41" t="str">
        <f>IF($C1230="","",$B1230&amp;"@"&amp;(COUNTIFS($B$4:$B$1463,$B1230,$C$4:$C$1463,"&lt;"&amp;$C1230)+COUNTIFS($B$4:$B1230,$B1230,$C$4:$C1230,$C1230)))</f>
        <v>AZUKI@94</v>
      </c>
      <c r="AD1230" s="41">
        <f t="shared" si="99"/>
        <v>1227</v>
      </c>
      <c r="AE1230" s="41" t="s">
        <v>2616</v>
      </c>
      <c r="AF1230" s="73">
        <f t="shared" si="100"/>
        <v>62152</v>
      </c>
      <c r="AG1230" s="74">
        <f t="shared" si="101"/>
        <v>5.35</v>
      </c>
      <c r="AH1230" s="41" t="str">
        <f>IF($C1230="","",$B1230&amp;"|"&amp;(COUNTIFS($B$4:$B$1463,$B1230,$AF$4:$AF$1463,"&gt;"&amp;$AF1230)+COUNTIFS($B$4:$B1230,$B1230,$AF$4:$AF1230,"="&amp;$AF1230)))</f>
        <v>AZUKI|68</v>
      </c>
      <c r="AI1230" s="41" t="str">
        <f>IF($C1230="","",$B1230&amp;"|"&amp;(COUNTIFS($B$4:$B$1463,$B1230,$AG$4:$AG$1463,"&gt;"&amp;$AG1230)+COUNTIFS($B$4:$B1230,$B1230,$AG$4:$AG1230,"="&amp;$AG1230)))</f>
        <v>AZUKI|62</v>
      </c>
    </row>
    <row r="1231" spans="1:35" hidden="1">
      <c r="A1231" s="69" t="s">
        <v>109</v>
      </c>
      <c r="B1231" s="69" t="s">
        <v>115</v>
      </c>
      <c r="C1231" s="63" t="s">
        <v>2617</v>
      </c>
      <c r="D1231" s="69"/>
      <c r="E1231" s="68"/>
      <c r="F1231" s="19" t="str">
        <f>IF($C1231="","",IF($E1231="","-",IFERROR(INDEX(SETUP!$B$55:$B$64,MATCH($E1231,SETUP!$A$55:$A$64,0)),"Other")))</f>
        <v>-</v>
      </c>
      <c r="G1231" s="70"/>
      <c r="H1231" s="19" t="str">
        <f>IF($C1231="","",IF($G1231="","-",INDEX(SETUP!$B$26:$B$32,MATCH($G1231,SETUP!$A$26:$A$32,1))))</f>
        <v>-</v>
      </c>
      <c r="I1231" s="70"/>
      <c r="J1231" s="19" t="str">
        <f>IF($C1231="","",IF($I1231="","-",INDEX(SETUP!$B$16:$B$22,MATCH($I1231,SETUP!$A$16:$A$22,1))))</f>
        <v>-</v>
      </c>
      <c r="K1231" s="19" t="str">
        <f>IF($C1231="","",IF($I1231="","-",TEXT(INT($I1231/1000)*1000,"#,##0")&amp;" - "&amp;TEXT(INT($I1231/1000)*1000+999,"#,##0")))</f>
        <v>-</v>
      </c>
      <c r="L1231" s="71"/>
      <c r="M1231" s="19" t="str">
        <f>IF($C1231="","",IF($L1231="","-",INDEX(SETUP!$B$36:$B$42,MATCH($L1231,SETUP!$A$36:$A$42,1))))</f>
        <v>-</v>
      </c>
      <c r="N1231" s="21" t="str">
        <f>IF($C1231="","",IF(OR($G1231="",$I1231=""),"",ROUND(100*(SETUP!$B$4*MIN(1,$I1231/SETUP!$B$9)+SETUP!$B$5*MAX(0,MIN(1,($G1231-SETUP!$B$10)/(SETUP!$B$11-SETUP!$B$10)))+SETUP!$B$6*MIN(1,IF($L1231="",0,$L1231)/SETUP!$B$12)),1)))</f>
        <v/>
      </c>
      <c r="O1231" s="19" t="str">
        <f>IF($C1231="","",IF($N1231="","-",INDEX(SETUP!$B$46:$B$51,MATCH($N1231,SETUP!$A$46:$A$51,1))))</f>
        <v>-</v>
      </c>
      <c r="P1231" s="19" t="str">
        <f>IF($C1231="","",IF($I1231="","",RANK($I1231,$I$4:$I$1463)+COUNTIF($I$4:$I1231,$I1231)-1))</f>
        <v/>
      </c>
      <c r="Q1231" s="19">
        <f>IF($C1231="","",COUNTIFS($B$4:$B$1463,$B1231,$X$4:$X$1463,"&gt;"&amp;$X1231)+COUNTIFS($B$4:$B1231,$B1231,$X$4:$X1231,"="&amp;$X1231))</f>
        <v>90</v>
      </c>
      <c r="R1231" s="75" t="str">
        <f>IF($C1231="","",IF($I1231="","",ROUND(COUNTIF($I$4:$I$1463,"&lt;"&amp;$I1231)/COUNT($I$4:$I$1463),3)))</f>
        <v/>
      </c>
      <c r="S1231" s="19" t="str">
        <f>IF($C1231="","",IF($G1231="","Name only",IF(OR($I1231="",$L1231=""),"Partial","Complete")))</f>
        <v>Name only</v>
      </c>
      <c r="T1231" s="1" t="str">
        <f>IF($C1231="","",TRIM(IF(COUNTIF($C$4:$C$1463,$C1231)&gt;1,"Dup name; ","")&amp;IF(AND($G1231&lt;&gt;"",$G1231&lt;55000),"Low CR - verify; ","")&amp;IF(AND($L1231&lt;&gt;"",$L1231&gt;15),"Secondary - verify; ","")&amp;IF($E1231="","No class; ","")))</f>
        <v>No class;</v>
      </c>
      <c r="U1231" s="68"/>
      <c r="V1231" s="68"/>
      <c r="W1231" s="68"/>
      <c r="X1231" s="1">
        <f t="shared" si="97"/>
        <v>-1</v>
      </c>
      <c r="Y1231" s="1" t="str">
        <f t="shared" si="98"/>
        <v>SUB ROSA|90</v>
      </c>
      <c r="Z1231" s="19" t="str">
        <f>IF($C1231="","",IF($G1231="","",RANK($G1231,$G$4:$G$1463)+COUNTIF($G$4:$G1231,$G1231)-1))</f>
        <v/>
      </c>
      <c r="AA1231" s="19" t="str">
        <f>IF($C1231="","",IF($N1231="","",RANK($N1231,$N$4:$N$1463)+COUNTIF($N$4:$N1231,$N1231)-1))</f>
        <v/>
      </c>
      <c r="AB1231" s="1" t="str">
        <f>IF($C1231="","",IF($E1231="","",$E1231&amp;"#"&amp;(COUNTIFS($E$4:$E$1463,$E1231,$X$4:$X$1463,"&gt;"&amp;$X1231)+COUNTIFS($E$4:$E1231,$E1231,$X$4:$X1231,"="&amp;$X1231))))</f>
        <v/>
      </c>
      <c r="AC1231" s="1" t="str">
        <f>IF($C1231="","",$B1231&amp;"@"&amp;(COUNTIFS($B$4:$B$1463,$B1231,$C$4:$C$1463,"&lt;"&amp;$C1231)+COUNTIFS($B$4:$B1231,$B1231,$C$4:$C1231,$C1231)))</f>
        <v>SUB ROSA@85</v>
      </c>
      <c r="AD1231" s="1">
        <f t="shared" si="99"/>
        <v>1228</v>
      </c>
      <c r="AE1231" s="1"/>
      <c r="AF1231" s="1">
        <f t="shared" si="100"/>
        <v>-1</v>
      </c>
      <c r="AG1231" s="1">
        <f t="shared" si="101"/>
        <v>-1</v>
      </c>
      <c r="AH1231" s="1" t="str">
        <f>IF($C1231="","",$B1231&amp;"|"&amp;(COUNTIFS($B$4:$B$1463,$B1231,$AF$4:$AF$1463,"&gt;"&amp;$AF1231)+COUNTIFS($B$4:$B1231,$B1231,$AF$4:$AF1231,"="&amp;$AF1231)))</f>
        <v>SUB ROSA|90</v>
      </c>
      <c r="AI1231" s="1" t="str">
        <f>IF($C1231="","",$B1231&amp;"|"&amp;(COUNTIFS($B$4:$B$1463,$B1231,$AG$4:$AG$1463,"&gt;"&amp;$AG1231)+COUNTIFS($B$4:$B1231,$B1231,$AG$4:$AG1231,"="&amp;$AG1231)))</f>
        <v>SUB ROSA|90</v>
      </c>
    </row>
    <row r="1232" spans="1:35" hidden="1">
      <c r="A1232" s="69" t="s">
        <v>109</v>
      </c>
      <c r="B1232" s="69" t="s">
        <v>113</v>
      </c>
      <c r="C1232" s="63" t="s">
        <v>2618</v>
      </c>
      <c r="D1232" s="69" t="s">
        <v>548</v>
      </c>
      <c r="E1232" s="68" t="s">
        <v>79</v>
      </c>
      <c r="F1232" s="15" t="str">
        <f>IF($C1232="","",IF($E1232="","-",IFERROR(INDEX(SETUP!$B$55:$B$64,MATCH($E1232,SETUP!$A$55:$A$64,0)),"Other")))</f>
        <v>Control</v>
      </c>
      <c r="G1232" s="70">
        <v>61080</v>
      </c>
      <c r="H1232" s="15" t="str">
        <f>IF($C1232="","",IF($G1232="","-",INDEX(SETUP!$B$26:$B$32,MATCH($G1232,SETUP!$A$26:$A$32,1))))</f>
        <v>61,000 - 61,999</v>
      </c>
      <c r="I1232" s="70">
        <v>1248</v>
      </c>
      <c r="J1232" s="15" t="str">
        <f>IF($C1232="","",IF($I1232="","-",INDEX(SETUP!$B$16:$B$22,MATCH($I1232,SETUP!$A$16:$A$22,1))))</f>
        <v>ROOKIE</v>
      </c>
      <c r="K1232" s="15" t="str">
        <f>IF($C1232="","",IF($I1232="","-",TEXT(INT($I1232/1000)*1000,"#,##0")&amp;" - "&amp;TEXT(INT($I1232/1000)*1000+999,"#,##0")))</f>
        <v>1,000 - 1,999</v>
      </c>
      <c r="L1232" s="71">
        <v>3.45</v>
      </c>
      <c r="M1232" s="15" t="str">
        <f>IF($C1232="","",IF($L1232="","-",INDEX(SETUP!$B$36:$B$42,MATCH($L1232,SETUP!$A$36:$A$42,1))))</f>
        <v>3k - 4k</v>
      </c>
      <c r="N1232" s="17">
        <f>IF($C1232="","",IF(OR($G1232="",$I1232=""),"",ROUND(100*(SETUP!$B$4*MIN(1,$I1232/SETUP!$B$9)+SETUP!$B$5*MAX(0,MIN(1,($G1232-SETUP!$B$10)/(SETUP!$B$11-SETUP!$B$10)))+SETUP!$B$6*MIN(1,IF($L1232="",0,$L1232)/SETUP!$B$12)),1)))</f>
        <v>27.2</v>
      </c>
      <c r="O1232" s="15" t="str">
        <f>IF($C1232="","",IF($N1232="","-",INDEX(SETUP!$B$46:$B$51,MATCH($N1232,SETUP!$A$46:$A$51,1))))</f>
        <v>C</v>
      </c>
      <c r="P1232" s="15">
        <f>IF($C1232="","",IF($I1232="","",RANK($I1232,$I$4:$I$1463)+COUNTIF($I$4:$I1232,$I1232)-1))</f>
        <v>1236</v>
      </c>
      <c r="Q1232" s="15">
        <f>IF($C1232="","",COUNTIFS($B$4:$B$1463,$B1232,$X$4:$X$1463,"&gt;"&amp;$X1232)+COUNTIFS($B$4:$B1232,$B1232,$X$4:$X1232,"="&amp;$X1232))</f>
        <v>93</v>
      </c>
      <c r="R1232" s="72">
        <f>IF($C1232="","",IF($I1232="","",ROUND(COUNTIF($I$4:$I$1463,"&lt;"&amp;$I1232)/COUNT($I$4:$I$1463),3)))</f>
        <v>6.7000000000000004E-2</v>
      </c>
      <c r="S1232" s="15" t="str">
        <f>IF($C1232="","",IF($G1232="","Name only",IF(OR($I1232="",$L1232=""),"Partial","Complete")))</f>
        <v>Complete</v>
      </c>
      <c r="T1232" s="41" t="str">
        <f>IF($C1232="","",TRIM(IF(COUNTIF($C$4:$C$1463,$C1232)&gt;1,"Dup name; ","")&amp;IF(AND($G1232&lt;&gt;"",$G1232&lt;55000),"Low CR - verify; ","")&amp;IF(AND($L1232&lt;&gt;"",$L1232&gt;15),"Secondary - verify; ","")&amp;IF($E1232="","No class; ","")))</f>
        <v/>
      </c>
      <c r="U1232" s="68"/>
      <c r="V1232" s="68"/>
      <c r="W1232" s="68"/>
      <c r="X1232" s="73">
        <f t="shared" si="97"/>
        <v>1248</v>
      </c>
      <c r="Y1232" s="41" t="str">
        <f t="shared" si="98"/>
        <v>INVICTUS|93</v>
      </c>
      <c r="Z1232" s="15">
        <f>IF($C1232="","",IF($G1232="","",RANK($G1232,$G$4:$G$1463)+COUNTIF($G$4:$G1232,$G1232)-1))</f>
        <v>1119</v>
      </c>
      <c r="AA1232" s="15">
        <f>IF($C1232="","",IF($N1232="","",RANK($N1232,$N$4:$N$1463)+COUNTIF($N$4:$N1232,$N1232)-1))</f>
        <v>1208</v>
      </c>
      <c r="AB1232" s="41" t="str">
        <f>IF($C1232="","",IF($E1232="","",$E1232&amp;"#"&amp;(COUNTIFS($E$4:$E$1463,$E1232,$X$4:$X$1463,"&gt;"&amp;$X1232)+COUNTIFS($E$4:$E1232,$E1232,$X$4:$X1232,"="&amp;$X1232))))</f>
        <v>WARLOCK#303</v>
      </c>
      <c r="AC1232" s="41" t="str">
        <f>IF($C1232="","",$B1232&amp;"@"&amp;(COUNTIFS($B$4:$B$1463,$B1232,$C$4:$C$1463,"&lt;"&amp;$C1232)+COUNTIFS($B$4:$B1232,$B1232,$C$4:$C1232,$C1232)))</f>
        <v>INVICTUS@91</v>
      </c>
      <c r="AD1232" s="41">
        <f t="shared" si="99"/>
        <v>1229</v>
      </c>
      <c r="AE1232" s="41" t="s">
        <v>2619</v>
      </c>
      <c r="AF1232" s="73">
        <f t="shared" si="100"/>
        <v>61080</v>
      </c>
      <c r="AG1232" s="74">
        <f t="shared" si="101"/>
        <v>3.45</v>
      </c>
      <c r="AH1232" s="41" t="str">
        <f>IF($C1232="","",$B1232&amp;"|"&amp;(COUNTIFS($B$4:$B$1463,$B1232,$AF$4:$AF$1463,"&gt;"&amp;$AF1232)+COUNTIFS($B$4:$B1232,$B1232,$AF$4:$AF1232,"="&amp;$AF1232)))</f>
        <v>INVICTUS|83</v>
      </c>
      <c r="AI1232" s="41" t="str">
        <f>IF($C1232="","",$B1232&amp;"|"&amp;(COUNTIFS($B$4:$B$1463,$B1232,$AG$4:$AG$1463,"&gt;"&amp;$AG1232)+COUNTIFS($B$4:$B1232,$B1232,$AG$4:$AG1232,"="&amp;$AG1232)))</f>
        <v>INVICTUS|80</v>
      </c>
    </row>
    <row r="1233" spans="1:35" hidden="1">
      <c r="A1233" s="69" t="s">
        <v>109</v>
      </c>
      <c r="B1233" s="69" t="s">
        <v>108</v>
      </c>
      <c r="C1233" s="63" t="s">
        <v>2620</v>
      </c>
      <c r="D1233" s="69"/>
      <c r="E1233" s="68" t="s">
        <v>74</v>
      </c>
      <c r="F1233" s="19" t="str">
        <f>IF($C1233="","",IF($E1233="","-",IFERROR(INDEX(SETUP!$B$55:$B$64,MATCH($E1233,SETUP!$A$55:$A$64,0)),"Other")))</f>
        <v>Ranged DPS</v>
      </c>
      <c r="G1233" s="70">
        <v>62127</v>
      </c>
      <c r="H1233" s="19" t="str">
        <f>IF($C1233="","",IF($G1233="","-",INDEX(SETUP!$B$26:$B$32,MATCH($G1233,SETUP!$A$26:$A$32,1))))</f>
        <v>62,000 - 62,999</v>
      </c>
      <c r="I1233" s="70">
        <v>4317</v>
      </c>
      <c r="J1233" s="19" t="str">
        <f>IF($C1233="","",IF($I1233="","-",INDEX(SETUP!$B$16:$B$22,MATCH($I1233,SETUP!$A$16:$A$22,1))))</f>
        <v>CORE</v>
      </c>
      <c r="K1233" s="19" t="str">
        <f>IF($C1233="","",IF($I1233="","-",TEXT(INT($I1233/1000)*1000,"#,##0")&amp;" - "&amp;TEXT(INT($I1233/1000)*1000+999,"#,##0")))</f>
        <v>4,000 - 4,999</v>
      </c>
      <c r="L1233" s="71">
        <v>5.2</v>
      </c>
      <c r="M1233" s="19" t="str">
        <f>IF($C1233="","",IF($L1233="","-",INDEX(SETUP!$B$36:$B$42,MATCH($L1233,SETUP!$A$36:$A$42,1))))</f>
        <v>5k - 6k</v>
      </c>
      <c r="N1233" s="21">
        <f>IF($C1233="","",IF(OR($G1233="",$I1233=""),"",ROUND(100*(SETUP!$B$4*MIN(1,$I1233/SETUP!$B$9)+SETUP!$B$5*MAX(0,MIN(1,($G1233-SETUP!$B$10)/(SETUP!$B$11-SETUP!$B$10)))+SETUP!$B$6*MIN(1,IF($L1233="",0,$L1233)/SETUP!$B$12)),1)))</f>
        <v>46.3</v>
      </c>
      <c r="O1233" s="19" t="str">
        <f>IF($C1233="","",IF($N1233="","-",INDEX(SETUP!$B$46:$B$51,MATCH($N1233,SETUP!$A$46:$A$51,1))))</f>
        <v>B</v>
      </c>
      <c r="P1233" s="19">
        <f>IF($C1233="","",IF($I1233="","",RANK($I1233,$I$4:$I$1463)+COUNTIF($I$4:$I1233,$I1233)-1))</f>
        <v>528</v>
      </c>
      <c r="Q1233" s="19">
        <f>IF($C1233="","",COUNTIFS($B$4:$B$1463,$B1233,$X$4:$X$1463,"&gt;"&amp;$X1233)+COUNTIFS($B$4:$B1233,$B1233,$X$4:$X1233,"="&amp;$X1233))</f>
        <v>65</v>
      </c>
      <c r="R1233" s="75">
        <f>IF($C1233="","",IF($I1233="","",ROUND(COUNTIF($I$4:$I$1463,"&lt;"&amp;$I1233)/COUNT($I$4:$I$1463),3)))</f>
        <v>0.60199999999999998</v>
      </c>
      <c r="S1233" s="19" t="str">
        <f>IF($C1233="","",IF($G1233="","Name only",IF(OR($I1233="",$L1233=""),"Partial","Complete")))</f>
        <v>Complete</v>
      </c>
      <c r="T1233" s="1" t="str">
        <f>IF($C1233="","",TRIM(IF(COUNTIF($C$4:$C$1463,$C1233)&gt;1,"Dup name; ","")&amp;IF(AND($G1233&lt;&gt;"",$G1233&lt;55000),"Low CR - verify; ","")&amp;IF(AND($L1233&lt;&gt;"",$L1233&gt;15),"Secondary - verify; ","")&amp;IF($E1233="","No class; ","")))</f>
        <v/>
      </c>
      <c r="U1233" s="68"/>
      <c r="V1233" s="68"/>
      <c r="W1233" s="68"/>
      <c r="X1233" s="76">
        <f t="shared" si="97"/>
        <v>4317</v>
      </c>
      <c r="Y1233" s="1" t="str">
        <f t="shared" si="98"/>
        <v>SBG|65</v>
      </c>
      <c r="Z1233" s="19">
        <f>IF($C1233="","",IF($G1233="","",RANK($G1233,$G$4:$G$1463)+COUNTIF($G$4:$G1233,$G1233)-1))</f>
        <v>788</v>
      </c>
      <c r="AA1233" s="19">
        <f>IF($C1233="","",IF($N1233="","",RANK($N1233,$N$4:$N$1463)+COUNTIF($N$4:$N1233,$N1233)-1))</f>
        <v>579</v>
      </c>
      <c r="AB1233" s="1" t="str">
        <f>IF($C1233="","",IF($E1233="","",$E1233&amp;"#"&amp;(COUNTIFS($E$4:$E$1463,$E1233,$X$4:$X$1463,"&gt;"&amp;$X1233)+COUNTIFS($E$4:$E1233,$E1233,$X$4:$X1233,"="&amp;$X1233))))</f>
        <v>DEMON HUNTER#87</v>
      </c>
      <c r="AC1233" s="1" t="str">
        <f>IF($C1233="","",$B1233&amp;"@"&amp;(COUNTIFS($B$4:$B$1463,$B1233,$C$4:$C$1463,"&lt;"&amp;$C1233)+COUNTIFS($B$4:$B1233,$B1233,$C$4:$C1233,$C1233)))</f>
        <v>SBG@87</v>
      </c>
      <c r="AD1233" s="1">
        <f t="shared" si="99"/>
        <v>1230</v>
      </c>
      <c r="AE1233" s="1" t="s">
        <v>2621</v>
      </c>
      <c r="AF1233" s="76">
        <f t="shared" si="100"/>
        <v>62127</v>
      </c>
      <c r="AG1233" s="77">
        <f t="shared" si="101"/>
        <v>5.2</v>
      </c>
      <c r="AH1233" s="1" t="str">
        <f>IF($C1233="","",$B1233&amp;"|"&amp;(COUNTIFS($B$4:$B$1463,$B1233,$AF$4:$AF$1463,"&gt;"&amp;$AF1233)+COUNTIFS($B$4:$B1233,$B1233,$AF$4:$AF1233,"="&amp;$AF1233)))</f>
        <v>SBG|68</v>
      </c>
      <c r="AI1233" s="1" t="str">
        <f>IF($C1233="","",$B1233&amp;"|"&amp;(COUNTIFS($B$4:$B$1463,$B1233,$AG$4:$AG$1463,"&gt;"&amp;$AG1233)+COUNTIFS($B$4:$B1233,$B1233,$AG$4:$AG1233,"="&amp;$AG1233)))</f>
        <v>SBG|69</v>
      </c>
    </row>
    <row r="1234" spans="1:35" hidden="1">
      <c r="A1234" s="69" t="s">
        <v>109</v>
      </c>
      <c r="B1234" s="69" t="s">
        <v>113</v>
      </c>
      <c r="C1234" s="63" t="s">
        <v>2622</v>
      </c>
      <c r="D1234" s="69" t="s">
        <v>548</v>
      </c>
      <c r="E1234" s="68" t="s">
        <v>78</v>
      </c>
      <c r="F1234" s="15" t="str">
        <f>IF($C1234="","",IF($E1234="","-",IFERROR(INDEX(SETUP!$B$55:$B$64,MATCH($E1234,SETUP!$A$55:$A$64,0)),"Other")))</f>
        <v>Melee DPS</v>
      </c>
      <c r="G1234" s="70">
        <v>61232</v>
      </c>
      <c r="H1234" s="15" t="str">
        <f>IF($C1234="","",IF($G1234="","-",INDEX(SETUP!$B$26:$B$32,MATCH($G1234,SETUP!$A$26:$A$32,1))))</f>
        <v>61,000 - 61,999</v>
      </c>
      <c r="I1234" s="70">
        <v>2684</v>
      </c>
      <c r="J1234" s="15" t="str">
        <f>IF($C1234="","",IF($I1234="","-",INDEX(SETUP!$B$16:$B$22,MATCH($I1234,SETUP!$A$16:$A$22,1))))</f>
        <v>DEVELOPING</v>
      </c>
      <c r="K1234" s="15" t="str">
        <f>IF($C1234="","",IF($I1234="","-",TEXT(INT($I1234/1000)*1000,"#,##0")&amp;" - "&amp;TEXT(INT($I1234/1000)*1000+999,"#,##0")))</f>
        <v>2,000 - 2,999</v>
      </c>
      <c r="L1234" s="71">
        <v>3.6</v>
      </c>
      <c r="M1234" s="15" t="str">
        <f>IF($C1234="","",IF($L1234="","-",INDEX(SETUP!$B$36:$B$42,MATCH($L1234,SETUP!$A$36:$A$42,1))))</f>
        <v>3k - 4k</v>
      </c>
      <c r="N1234" s="17">
        <f>IF($C1234="","",IF(OR($G1234="",$I1234=""),"",ROUND(100*(SETUP!$B$4*MIN(1,$I1234/SETUP!$B$9)+SETUP!$B$5*MAX(0,MIN(1,($G1234-SETUP!$B$10)/(SETUP!$B$11-SETUP!$B$10)))+SETUP!$B$6*MIN(1,IF($L1234="",0,$L1234)/SETUP!$B$12)),1)))</f>
        <v>34.1</v>
      </c>
      <c r="O1234" s="15" t="str">
        <f>IF($C1234="","",IF($N1234="","-",INDEX(SETUP!$B$46:$B$51,MATCH($N1234,SETUP!$A$46:$A$51,1))))</f>
        <v>C</v>
      </c>
      <c r="P1234" s="15">
        <f>IF($C1234="","",IF($I1234="","",RANK($I1234,$I$4:$I$1463)+COUNTIF($I$4:$I1234,$I1234)-1))</f>
        <v>957</v>
      </c>
      <c r="Q1234" s="15">
        <f>IF($C1234="","",COUNTIFS($B$4:$B$1463,$B1234,$X$4:$X$1463,"&gt;"&amp;$X1234)+COUNTIFS($B$4:$B1234,$B1234,$X$4:$X1234,"="&amp;$X1234))</f>
        <v>64</v>
      </c>
      <c r="R1234" s="72">
        <f>IF($C1234="","",IF($I1234="","",ROUND(COUNTIF($I$4:$I$1463,"&lt;"&amp;$I1234)/COUNT($I$4:$I$1463),3)))</f>
        <v>0.27800000000000002</v>
      </c>
      <c r="S1234" s="15" t="str">
        <f>IF($C1234="","",IF($G1234="","Name only",IF(OR($I1234="",$L1234=""),"Partial","Complete")))</f>
        <v>Complete</v>
      </c>
      <c r="T1234" s="41" t="str">
        <f>IF($C1234="","",TRIM(IF(COUNTIF($C$4:$C$1463,$C1234)&gt;1,"Dup name; ","")&amp;IF(AND($G1234&lt;&gt;"",$G1234&lt;55000),"Low CR - verify; ","")&amp;IF(AND($L1234&lt;&gt;"",$L1234&gt;15),"Secondary - verify; ","")&amp;IF($E1234="","No class; ","")))</f>
        <v/>
      </c>
      <c r="U1234" s="68"/>
      <c r="V1234" s="68"/>
      <c r="W1234" s="68"/>
      <c r="X1234" s="73">
        <f t="shared" si="97"/>
        <v>2684</v>
      </c>
      <c r="Y1234" s="41" t="str">
        <f t="shared" si="98"/>
        <v>INVICTUS|64</v>
      </c>
      <c r="Z1234" s="15">
        <f>IF($C1234="","",IF($G1234="","",RANK($G1234,$G$4:$G$1463)+COUNTIF($G$4:$G1234,$G1234)-1))</f>
        <v>1077</v>
      </c>
      <c r="AA1234" s="15">
        <f>IF($C1234="","",IF($N1234="","",RANK($N1234,$N$4:$N$1463)+COUNTIF($N$4:$N1234,$N1234)-1))</f>
        <v>1043</v>
      </c>
      <c r="AB1234" s="41" t="str">
        <f>IF($C1234="","",IF($E1234="","",$E1234&amp;"#"&amp;(COUNTIFS($E$4:$E$1463,$E1234,$X$4:$X$1463,"&gt;"&amp;$X1234)+COUNTIFS($E$4:$E1234,$E1234,$X$4:$X1234,"="&amp;$X1234))))</f>
        <v>TEMPEST#43</v>
      </c>
      <c r="AC1234" s="41" t="str">
        <f>IF($C1234="","",$B1234&amp;"@"&amp;(COUNTIFS($B$4:$B$1463,$B1234,$C$4:$C$1463,"&lt;"&amp;$C1234)+COUNTIFS($B$4:$B1234,$B1234,$C$4:$C1234,$C1234)))</f>
        <v>INVICTUS@92</v>
      </c>
      <c r="AD1234" s="41">
        <f t="shared" si="99"/>
        <v>1231</v>
      </c>
      <c r="AE1234" s="41" t="s">
        <v>2623</v>
      </c>
      <c r="AF1234" s="73">
        <f t="shared" si="100"/>
        <v>61232</v>
      </c>
      <c r="AG1234" s="74">
        <f t="shared" si="101"/>
        <v>3.6</v>
      </c>
      <c r="AH1234" s="41" t="str">
        <f>IF($C1234="","",$B1234&amp;"|"&amp;(COUNTIFS($B$4:$B$1463,$B1234,$AF$4:$AF$1463,"&gt;"&amp;$AF1234)+COUNTIFS($B$4:$B1234,$B1234,$AF$4:$AF1234,"="&amp;$AF1234)))</f>
        <v>INVICTUS|77</v>
      </c>
      <c r="AI1234" s="41" t="str">
        <f>IF($C1234="","",$B1234&amp;"|"&amp;(COUNTIFS($B$4:$B$1463,$B1234,$AG$4:$AG$1463,"&gt;"&amp;$AG1234)+COUNTIFS($B$4:$B1234,$B1234,$AG$4:$AG1234,"="&amp;$AG1234)))</f>
        <v>INVICTUS|74</v>
      </c>
    </row>
    <row r="1235" spans="1:35" hidden="1">
      <c r="A1235" s="69" t="s">
        <v>109</v>
      </c>
      <c r="B1235" s="69" t="s">
        <v>108</v>
      </c>
      <c r="C1235" s="63" t="s">
        <v>2624</v>
      </c>
      <c r="D1235" s="69"/>
      <c r="E1235" s="68" t="s">
        <v>79</v>
      </c>
      <c r="F1235" s="19" t="str">
        <f>IF($C1235="","",IF($E1235="","-",IFERROR(INDEX(SETUP!$B$55:$B$64,MATCH($E1235,SETUP!$A$55:$A$64,0)),"Other")))</f>
        <v>Control</v>
      </c>
      <c r="G1235" s="70">
        <v>62263</v>
      </c>
      <c r="H1235" s="19" t="str">
        <f>IF($C1235="","",IF($G1235="","-",INDEX(SETUP!$B$26:$B$32,MATCH($G1235,SETUP!$A$26:$A$32,1))))</f>
        <v>62,000 - 62,999</v>
      </c>
      <c r="I1235" s="70">
        <v>6105</v>
      </c>
      <c r="J1235" s="19" t="str">
        <f>IF($C1235="","",IF($I1235="","-",INDEX(SETUP!$B$16:$B$22,MATCH($I1235,SETUP!$A$16:$A$22,1))))</f>
        <v>VETERAN</v>
      </c>
      <c r="K1235" s="19" t="str">
        <f>IF($C1235="","",IF($I1235="","-",TEXT(INT($I1235/1000)*1000,"#,##0")&amp;" - "&amp;TEXT(INT($I1235/1000)*1000+999,"#,##0")))</f>
        <v>6,000 - 6,999</v>
      </c>
      <c r="L1235" s="71">
        <v>5.9</v>
      </c>
      <c r="M1235" s="19" t="str">
        <f>IF($C1235="","",IF($L1235="","-",INDEX(SETUP!$B$36:$B$42,MATCH($L1235,SETUP!$A$36:$A$42,1))))</f>
        <v>5k - 6k</v>
      </c>
      <c r="N1235" s="21">
        <f>IF($C1235="","",IF(OR($G1235="",$I1235=""),"",ROUND(100*(SETUP!$B$4*MIN(1,$I1235/SETUP!$B$9)+SETUP!$B$5*MAX(0,MIN(1,($G1235-SETUP!$B$10)/(SETUP!$B$11-SETUP!$B$10)))+SETUP!$B$6*MIN(1,IF($L1235="",0,$L1235)/SETUP!$B$12)),1)))</f>
        <v>55.6</v>
      </c>
      <c r="O1235" s="19" t="str">
        <f>IF($C1235="","",IF($N1235="","-",INDEX(SETUP!$B$46:$B$51,MATCH($N1235,SETUP!$A$46:$A$51,1))))</f>
        <v>A</v>
      </c>
      <c r="P1235" s="19">
        <f>IF($C1235="","",IF($I1235="","",RANK($I1235,$I$4:$I$1463)+COUNTIF($I$4:$I1235,$I1235)-1))</f>
        <v>278</v>
      </c>
      <c r="Q1235" s="19">
        <f>IF($C1235="","",COUNTIFS($B$4:$B$1463,$B1235,$X$4:$X$1463,"&gt;"&amp;$X1235)+COUNTIFS($B$4:$B1235,$B1235,$X$4:$X1235,"="&amp;$X1235))</f>
        <v>45</v>
      </c>
      <c r="R1235" s="75">
        <f>IF($C1235="","",IF($I1235="","",ROUND(COUNTIF($I$4:$I$1463,"&lt;"&amp;$I1235)/COUNT($I$4:$I$1463),3)))</f>
        <v>0.79</v>
      </c>
      <c r="S1235" s="19" t="str">
        <f>IF($C1235="","",IF($G1235="","Name only",IF(OR($I1235="",$L1235=""),"Partial","Complete")))</f>
        <v>Complete</v>
      </c>
      <c r="T1235" s="1" t="str">
        <f>IF($C1235="","",TRIM(IF(COUNTIF($C$4:$C$1463,$C1235)&gt;1,"Dup name; ","")&amp;IF(AND($G1235&lt;&gt;"",$G1235&lt;55000),"Low CR - verify; ","")&amp;IF(AND($L1235&lt;&gt;"",$L1235&gt;15),"Secondary - verify; ","")&amp;IF($E1235="","No class; ","")))</f>
        <v/>
      </c>
      <c r="U1235" s="68"/>
      <c r="V1235" s="68"/>
      <c r="W1235" s="68"/>
      <c r="X1235" s="76">
        <f t="shared" si="97"/>
        <v>6105</v>
      </c>
      <c r="Y1235" s="1" t="str">
        <f t="shared" si="98"/>
        <v>SBG|45</v>
      </c>
      <c r="Z1235" s="19">
        <f>IF($C1235="","",IF($G1235="","",RANK($G1235,$G$4:$G$1463)+COUNTIF($G$4:$G1235,$G1235)-1))</f>
        <v>739</v>
      </c>
      <c r="AA1235" s="19">
        <f>IF($C1235="","",IF($N1235="","",RANK($N1235,$N$4:$N$1463)+COUNTIF($N$4:$N1235,$N1235)-1))</f>
        <v>306</v>
      </c>
      <c r="AB1235" s="1" t="str">
        <f>IF($C1235="","",IF($E1235="","",$E1235&amp;"#"&amp;(COUNTIFS($E$4:$E$1463,$E1235,$X$4:$X$1463,"&gt;"&amp;$X1235)+COUNTIFS($E$4:$E1235,$E1235,$X$4:$X1235,"="&amp;$X1235))))</f>
        <v>WARLOCK#59</v>
      </c>
      <c r="AC1235" s="1" t="str">
        <f>IF($C1235="","",$B1235&amp;"@"&amp;(COUNTIFS($B$4:$B$1463,$B1235,$C$4:$C$1463,"&lt;"&amp;$C1235)+COUNTIFS($B$4:$B1235,$B1235,$C$4:$C1235,$C1235)))</f>
        <v>SBG@89</v>
      </c>
      <c r="AD1235" s="1">
        <f t="shared" si="99"/>
        <v>1232</v>
      </c>
      <c r="AE1235" s="1" t="s">
        <v>2625</v>
      </c>
      <c r="AF1235" s="76">
        <f t="shared" si="100"/>
        <v>62263</v>
      </c>
      <c r="AG1235" s="77">
        <f t="shared" si="101"/>
        <v>5.9</v>
      </c>
      <c r="AH1235" s="1" t="str">
        <f>IF($C1235="","",$B1235&amp;"|"&amp;(COUNTIFS($B$4:$B$1463,$B1235,$AF$4:$AF$1463,"&gt;"&amp;$AF1235)+COUNTIFS($B$4:$B1235,$B1235,$AF$4:$AF1235,"="&amp;$AF1235)))</f>
        <v>SBG|65</v>
      </c>
      <c r="AI1235" s="1" t="str">
        <f>IF($C1235="","",$B1235&amp;"|"&amp;(COUNTIFS($B$4:$B$1463,$B1235,$AG$4:$AG$1463,"&gt;"&amp;$AG1235)+COUNTIFS($B$4:$B1235,$B1235,$AG$4:$AG1235,"="&amp;$AG1235)))</f>
        <v>SBG|44</v>
      </c>
    </row>
    <row r="1236" spans="1:35" hidden="1">
      <c r="A1236" s="69" t="s">
        <v>109</v>
      </c>
      <c r="B1236" s="69" t="s">
        <v>108</v>
      </c>
      <c r="C1236" s="63" t="s">
        <v>2626</v>
      </c>
      <c r="D1236" s="69"/>
      <c r="E1236" s="68" t="s">
        <v>79</v>
      </c>
      <c r="F1236" s="15" t="str">
        <f>IF($C1236="","",IF($E1236="","-",IFERROR(INDEX(SETUP!$B$55:$B$64,MATCH($E1236,SETUP!$A$55:$A$64,0)),"Other")))</f>
        <v>Control</v>
      </c>
      <c r="G1236" s="70">
        <v>61034</v>
      </c>
      <c r="H1236" s="15" t="str">
        <f>IF($C1236="","",IF($G1236="","-",INDEX(SETUP!$B$26:$B$32,MATCH($G1236,SETUP!$A$26:$A$32,1))))</f>
        <v>61,000 - 61,999</v>
      </c>
      <c r="I1236" s="70">
        <v>8023</v>
      </c>
      <c r="J1236" s="15" t="str">
        <f>IF($C1236="","",IF($I1236="","-",INDEX(SETUP!$B$16:$B$22,MATCH($I1236,SETUP!$A$16:$A$22,1))))</f>
        <v>ELITE</v>
      </c>
      <c r="K1236" s="15" t="str">
        <f>IF($C1236="","",IF($I1236="","-",TEXT(INT($I1236/1000)*1000,"#,##0")&amp;" - "&amp;TEXT(INT($I1236/1000)*1000+999,"#,##0")))</f>
        <v>8,000 - 8,999</v>
      </c>
      <c r="L1236" s="71">
        <v>7.22</v>
      </c>
      <c r="M1236" s="15" t="str">
        <f>IF($C1236="","",IF($L1236="","-",INDEX(SETUP!$B$36:$B$42,MATCH($L1236,SETUP!$A$36:$A$42,1))))</f>
        <v>6k - 8k</v>
      </c>
      <c r="N1236" s="17">
        <f>IF($C1236="","",IF(OR($G1236="",$I1236=""),"",ROUND(100*(SETUP!$B$4*MIN(1,$I1236/SETUP!$B$9)+SETUP!$B$5*MAX(0,MIN(1,($G1236-SETUP!$B$10)/(SETUP!$B$11-SETUP!$B$10)))+SETUP!$B$6*MIN(1,IF($L1236="",0,$L1236)/SETUP!$B$12)),1)))</f>
        <v>62.9</v>
      </c>
      <c r="O1236" s="15" t="str">
        <f>IF($C1236="","",IF($N1236="","-",INDEX(SETUP!$B$46:$B$51,MATCH($N1236,SETUP!$A$46:$A$51,1))))</f>
        <v>A</v>
      </c>
      <c r="P1236" s="15">
        <f>IF($C1236="","",IF($I1236="","",RANK($I1236,$I$4:$I$1463)+COUNTIF($I$4:$I1236,$I1236)-1))</f>
        <v>148</v>
      </c>
      <c r="Q1236" s="15">
        <f>IF($C1236="","",COUNTIFS($B$4:$B$1463,$B1236,$X$4:$X$1463,"&gt;"&amp;$X1236)+COUNTIFS($B$4:$B1236,$B1236,$X$4:$X1236,"="&amp;$X1236))</f>
        <v>24</v>
      </c>
      <c r="R1236" s="72">
        <f>IF($C1236="","",IF($I1236="","",ROUND(COUNTIF($I$4:$I$1463,"&lt;"&amp;$I1236)/COUNT($I$4:$I$1463),3)))</f>
        <v>0.88800000000000001</v>
      </c>
      <c r="S1236" s="15" t="str">
        <f>IF($C1236="","",IF($G1236="","Name only",IF(OR($I1236="",$L1236=""),"Partial","Complete")))</f>
        <v>Complete</v>
      </c>
      <c r="T1236" s="41" t="str">
        <f>IF($C1236="","",TRIM(IF(COUNTIF($C$4:$C$1463,$C1236)&gt;1,"Dup name; ","")&amp;IF(AND($G1236&lt;&gt;"",$G1236&lt;55000),"Low CR - verify; ","")&amp;IF(AND($L1236&lt;&gt;"",$L1236&gt;15),"Secondary - verify; ","")&amp;IF($E1236="","No class; ","")))</f>
        <v/>
      </c>
      <c r="U1236" s="68"/>
      <c r="V1236" s="68"/>
      <c r="W1236" s="68"/>
      <c r="X1236" s="73">
        <f t="shared" si="97"/>
        <v>8023</v>
      </c>
      <c r="Y1236" s="41" t="str">
        <f t="shared" si="98"/>
        <v>SBG|24</v>
      </c>
      <c r="Z1236" s="15">
        <f>IF($C1236="","",IF($G1236="","",RANK($G1236,$G$4:$G$1463)+COUNTIF($G$4:$G1236,$G1236)-1))</f>
        <v>1126</v>
      </c>
      <c r="AA1236" s="15">
        <f>IF($C1236="","",IF($N1236="","",RANK($N1236,$N$4:$N$1463)+COUNTIF($N$4:$N1236,$N1236)-1))</f>
        <v>204</v>
      </c>
      <c r="AB1236" s="41" t="str">
        <f>IF($C1236="","",IF($E1236="","",$E1236&amp;"#"&amp;(COUNTIFS($E$4:$E$1463,$E1236,$X$4:$X$1463,"&gt;"&amp;$X1236)+COUNTIFS($E$4:$E1236,$E1236,$X$4:$X1236,"="&amp;$X1236))))</f>
        <v>WARLOCK#32</v>
      </c>
      <c r="AC1236" s="41" t="str">
        <f>IF($C1236="","",$B1236&amp;"@"&amp;(COUNTIFS($B$4:$B$1463,$B1236,$C$4:$C$1463,"&lt;"&amp;$C1236)+COUNTIFS($B$4:$B1236,$B1236,$C$4:$C1236,$C1236)))</f>
        <v>SBG@88</v>
      </c>
      <c r="AD1236" s="41">
        <f t="shared" si="99"/>
        <v>1233</v>
      </c>
      <c r="AE1236" s="41" t="s">
        <v>2627</v>
      </c>
      <c r="AF1236" s="73">
        <f t="shared" si="100"/>
        <v>61034</v>
      </c>
      <c r="AG1236" s="74">
        <f t="shared" si="101"/>
        <v>7.22</v>
      </c>
      <c r="AH1236" s="41" t="str">
        <f>IF($C1236="","",$B1236&amp;"|"&amp;(COUNTIFS($B$4:$B$1463,$B1236,$AF$4:$AF$1463,"&gt;"&amp;$AF1236)+COUNTIFS($B$4:$B1236,$B1236,$AF$4:$AF1236,"="&amp;$AF1236)))</f>
        <v>SBG|90</v>
      </c>
      <c r="AI1236" s="41" t="str">
        <f>IF($C1236="","",$B1236&amp;"|"&amp;(COUNTIFS($B$4:$B$1463,$B1236,$AG$4:$AG$1463,"&gt;"&amp;$AG1236)+COUNTIFS($B$4:$B1236,$B1236,$AG$4:$AG1236,"="&amp;$AG1236)))</f>
        <v>SBG|23</v>
      </c>
    </row>
    <row r="1237" spans="1:35" hidden="1">
      <c r="A1237" s="69" t="s">
        <v>109</v>
      </c>
      <c r="B1237" s="69" t="s">
        <v>110</v>
      </c>
      <c r="C1237" s="63" t="s">
        <v>2628</v>
      </c>
      <c r="D1237" s="69" t="s">
        <v>2629</v>
      </c>
      <c r="E1237" s="68" t="s">
        <v>79</v>
      </c>
      <c r="F1237" s="19" t="str">
        <f>IF($C1237="","",IF($E1237="","-",IFERROR(INDEX(SETUP!$B$55:$B$64,MATCH($E1237,SETUP!$A$55:$A$64,0)),"Other")))</f>
        <v>Control</v>
      </c>
      <c r="G1237" s="70">
        <v>64021</v>
      </c>
      <c r="H1237" s="19" t="str">
        <f>IF($C1237="","",IF($G1237="","-",INDEX(SETUP!$B$26:$B$32,MATCH($G1237,SETUP!$A$26:$A$32,1))))</f>
        <v>64,000 +</v>
      </c>
      <c r="I1237" s="70">
        <v>9302</v>
      </c>
      <c r="J1237" s="19" t="str">
        <f>IF($C1237="","",IF($I1237="","-",INDEX(SETUP!$B$16:$B$22,MATCH($I1237,SETUP!$A$16:$A$22,1))))</f>
        <v>ELITE</v>
      </c>
      <c r="K1237" s="19" t="str">
        <f>IF($C1237="","",IF($I1237="","-",TEXT(INT($I1237/1000)*1000,"#,##0")&amp;" - "&amp;TEXT(INT($I1237/1000)*1000+999,"#,##0")))</f>
        <v>9,000 - 9,999</v>
      </c>
      <c r="L1237" s="71">
        <v>8.3000000000000007</v>
      </c>
      <c r="M1237" s="19" t="str">
        <f>IF($C1237="","",IF($L1237="","-",INDEX(SETUP!$B$36:$B$42,MATCH($L1237,SETUP!$A$36:$A$42,1))))</f>
        <v>8k - 10k</v>
      </c>
      <c r="N1237" s="21">
        <f>IF($C1237="","",IF(OR($G1237="",$I1237=""),"",ROUND(100*(SETUP!$B$4*MIN(1,$I1237/SETUP!$B$9)+SETUP!$B$5*MAX(0,MIN(1,($G1237-SETUP!$B$10)/(SETUP!$B$11-SETUP!$B$10)))+SETUP!$B$6*MIN(1,IF($L1237="",0,$L1237)/SETUP!$B$12)),1)))</f>
        <v>78.2</v>
      </c>
      <c r="O1237" s="19" t="str">
        <f>IF($C1237="","",IF($N1237="","-",INDEX(SETUP!$B$46:$B$51,MATCH($N1237,SETUP!$A$46:$A$51,1))))</f>
        <v>S</v>
      </c>
      <c r="P1237" s="19">
        <f>IF($C1237="","",IF($I1237="","",RANK($I1237,$I$4:$I$1463)+COUNTIF($I$4:$I1237,$I1237)-1))</f>
        <v>80</v>
      </c>
      <c r="Q1237" s="19">
        <f>IF($C1237="","",COUNTIFS($B$4:$B$1463,$B1237,$X$4:$X$1463,"&gt;"&amp;$X1237)+COUNTIFS($B$4:$B1237,$B1237,$X$4:$X1237,"="&amp;$X1237))</f>
        <v>19</v>
      </c>
      <c r="R1237" s="75">
        <f>IF($C1237="","",IF($I1237="","",ROUND(COUNTIF($I$4:$I$1463,"&lt;"&amp;$I1237)/COUNT($I$4:$I$1463),3)))</f>
        <v>0.94</v>
      </c>
      <c r="S1237" s="19" t="str">
        <f>IF($C1237="","",IF($G1237="","Name only",IF(OR($I1237="",$L1237=""),"Partial","Complete")))</f>
        <v>Complete</v>
      </c>
      <c r="T1237" s="1" t="str">
        <f>IF($C1237="","",TRIM(IF(COUNTIF($C$4:$C$1463,$C1237)&gt;1,"Dup name; ","")&amp;IF(AND($G1237&lt;&gt;"",$G1237&lt;55000),"Low CR - verify; ","")&amp;IF(AND($L1237&lt;&gt;"",$L1237&gt;15),"Secondary - verify; ","")&amp;IF($E1237="","No class; ","")))</f>
        <v/>
      </c>
      <c r="U1237" s="68"/>
      <c r="V1237" s="68"/>
      <c r="W1237" s="68"/>
      <c r="X1237" s="76">
        <f t="shared" si="97"/>
        <v>9302</v>
      </c>
      <c r="Y1237" s="1" t="str">
        <f t="shared" si="98"/>
        <v>AZUKI|19</v>
      </c>
      <c r="Z1237" s="19">
        <f>IF($C1237="","",IF($G1237="","",RANK($G1237,$G$4:$G$1463)+COUNTIF($G$4:$G1237,$G1237)-1))</f>
        <v>68</v>
      </c>
      <c r="AA1237" s="19">
        <f>IF($C1237="","",IF($N1237="","",RANK($N1237,$N$4:$N$1463)+COUNTIF($N$4:$N1237,$N1237)-1))</f>
        <v>66</v>
      </c>
      <c r="AB1237" s="1" t="str">
        <f>IF($C1237="","",IF($E1237="","",$E1237&amp;"#"&amp;(COUNTIFS($E$4:$E$1463,$E1237,$X$4:$X$1463,"&gt;"&amp;$X1237)+COUNTIFS($E$4:$E1237,$E1237,$X$4:$X1237,"="&amp;$X1237))))</f>
        <v>WARLOCK#17</v>
      </c>
      <c r="AC1237" s="1" t="str">
        <f>IF($C1237="","",$B1237&amp;"@"&amp;(COUNTIFS($B$4:$B$1463,$B1237,$C$4:$C$1463,"&lt;"&amp;$C1237)+COUNTIFS($B$4:$B1237,$B1237,$C$4:$C1237,$C1237)))</f>
        <v>AZUKI@95</v>
      </c>
      <c r="AD1237" s="1">
        <f t="shared" si="99"/>
        <v>1234</v>
      </c>
      <c r="AE1237" s="1" t="s">
        <v>2630</v>
      </c>
      <c r="AF1237" s="76">
        <f t="shared" si="100"/>
        <v>64021</v>
      </c>
      <c r="AG1237" s="77">
        <f t="shared" si="101"/>
        <v>8.3000000000000007</v>
      </c>
      <c r="AH1237" s="1" t="str">
        <f>IF($C1237="","",$B1237&amp;"|"&amp;(COUNTIFS($B$4:$B$1463,$B1237,$AF$4:$AF$1463,"&gt;"&amp;$AF1237)+COUNTIFS($B$4:$B1237,$B1237,$AF$4:$AF1237,"="&amp;$AF1237)))</f>
        <v>AZUKI|14</v>
      </c>
      <c r="AI1237" s="1" t="str">
        <f>IF($C1237="","",$B1237&amp;"|"&amp;(COUNTIFS($B$4:$B$1463,$B1237,$AG$4:$AG$1463,"&gt;"&amp;$AG1237)+COUNTIFS($B$4:$B1237,$B1237,$AG$4:$AG1237,"="&amp;$AG1237)))</f>
        <v>AZUKI|14</v>
      </c>
    </row>
    <row r="1238" spans="1:35" hidden="1">
      <c r="A1238" s="69" t="s">
        <v>109</v>
      </c>
      <c r="B1238" s="69" t="s">
        <v>114</v>
      </c>
      <c r="C1238" s="63" t="s">
        <v>2631</v>
      </c>
      <c r="D1238" s="69"/>
      <c r="E1238" s="68" t="s">
        <v>78</v>
      </c>
      <c r="F1238" s="15" t="str">
        <f>IF($C1238="","",IF($E1238="","-",IFERROR(INDEX(SETUP!$B$55:$B$64,MATCH($E1238,SETUP!$A$55:$A$64,0)),"Other")))</f>
        <v>Melee DPS</v>
      </c>
      <c r="G1238" s="70">
        <v>59501</v>
      </c>
      <c r="H1238" s="15" t="str">
        <f>IF($C1238="","",IF($G1238="","-",INDEX(SETUP!$B$26:$B$32,MATCH($G1238,SETUP!$A$26:$A$32,1))))</f>
        <v>58,000 - 59,999</v>
      </c>
      <c r="I1238" s="70">
        <v>1999</v>
      </c>
      <c r="J1238" s="15" t="str">
        <f>IF($C1238="","",IF($I1238="","-",INDEX(SETUP!$B$16:$B$22,MATCH($I1238,SETUP!$A$16:$A$22,1))))</f>
        <v>ROOKIE</v>
      </c>
      <c r="K1238" s="15" t="str">
        <f>IF($C1238="","",IF($I1238="","-",TEXT(INT($I1238/1000)*1000,"#,##0")&amp;" - "&amp;TEXT(INT($I1238/1000)*1000+999,"#,##0")))</f>
        <v>1,000 - 1,999</v>
      </c>
      <c r="L1238" s="71">
        <v>3.1</v>
      </c>
      <c r="M1238" s="15" t="str">
        <f>IF($C1238="","",IF($L1238="","-",INDEX(SETUP!$B$36:$B$42,MATCH($L1238,SETUP!$A$36:$A$42,1))))</f>
        <v>3k - 4k</v>
      </c>
      <c r="N1238" s="17">
        <f>IF($C1238="","",IF(OR($G1238="",$I1238=""),"",ROUND(100*(SETUP!$B$4*MIN(1,$I1238/SETUP!$B$9)+SETUP!$B$5*MAX(0,MIN(1,($G1238-SETUP!$B$10)/(SETUP!$B$11-SETUP!$B$10)))+SETUP!$B$6*MIN(1,IF($L1238="",0,$L1238)/SETUP!$B$12)),1)))</f>
        <v>25.7</v>
      </c>
      <c r="O1238" s="15" t="str">
        <f>IF($C1238="","",IF($N1238="","-",INDEX(SETUP!$B$46:$B$51,MATCH($N1238,SETUP!$A$46:$A$51,1))))</f>
        <v>C</v>
      </c>
      <c r="P1238" s="15">
        <f>IF($C1238="","",IF($I1238="","",RANK($I1238,$I$4:$I$1463)+COUNTIF($I$4:$I1238,$I1238)-1))</f>
        <v>1118</v>
      </c>
      <c r="Q1238" s="15">
        <f>IF($C1238="","",COUNTIFS($B$4:$B$1463,$B1238,$X$4:$X$1463,"&gt;"&amp;$X1238)+COUNTIFS($B$4:$B1238,$B1238,$X$4:$X1238,"="&amp;$X1238))</f>
        <v>55</v>
      </c>
      <c r="R1238" s="72">
        <f>IF($C1238="","",IF($I1238="","",ROUND(COUNTIF($I$4:$I$1463,"&lt;"&amp;$I1238)/COUNT($I$4:$I$1463),3)))</f>
        <v>0.156</v>
      </c>
      <c r="S1238" s="15" t="str">
        <f>IF($C1238="","",IF($G1238="","Name only",IF(OR($I1238="",$L1238=""),"Partial","Complete")))</f>
        <v>Complete</v>
      </c>
      <c r="T1238" s="41" t="str">
        <f>IF($C1238="","",TRIM(IF(COUNTIF($C$4:$C$1463,$C1238)&gt;1,"Dup name; ","")&amp;IF(AND($G1238&lt;&gt;"",$G1238&lt;55000),"Low CR - verify; ","")&amp;IF(AND($L1238&lt;&gt;"",$L1238&gt;15),"Secondary - verify; ","")&amp;IF($E1238="","No class; ","")))</f>
        <v/>
      </c>
      <c r="U1238" s="68"/>
      <c r="V1238" s="68"/>
      <c r="W1238" s="68"/>
      <c r="X1238" s="73">
        <f t="shared" si="97"/>
        <v>1999</v>
      </c>
      <c r="Y1238" s="41" t="str">
        <f t="shared" si="98"/>
        <v>EMERALD LEAF TRIBE|55</v>
      </c>
      <c r="Z1238" s="15">
        <f>IF($C1238="","",IF($G1238="","",RANK($G1238,$G$4:$G$1463)+COUNTIF($G$4:$G1238,$G1238)-1))</f>
        <v>1263</v>
      </c>
      <c r="AA1238" s="15">
        <f>IF($C1238="","",IF($N1238="","",RANK($N1238,$N$4:$N$1463)+COUNTIF($N$4:$N1238,$N1238)-1))</f>
        <v>1233</v>
      </c>
      <c r="AB1238" s="41" t="str">
        <f>IF($C1238="","",IF($E1238="","",$E1238&amp;"#"&amp;(COUNTIFS($E$4:$E$1463,$E1238,$X$4:$X$1463,"&gt;"&amp;$X1238)+COUNTIFS($E$4:$E1238,$E1238,$X$4:$X1238,"="&amp;$X1238))))</f>
        <v>TEMPEST#52</v>
      </c>
      <c r="AC1238" s="41" t="str">
        <f>IF($C1238="","",$B1238&amp;"@"&amp;(COUNTIFS($B$4:$B$1463,$B1238,$C$4:$C$1463,"&lt;"&amp;$C1238)+COUNTIFS($B$4:$B1238,$B1238,$C$4:$C1238,$C1238)))</f>
        <v>EMERALD LEAF TRIBE@90</v>
      </c>
      <c r="AD1238" s="41">
        <f t="shared" si="99"/>
        <v>1235</v>
      </c>
      <c r="AE1238" s="41" t="s">
        <v>2632</v>
      </c>
      <c r="AF1238" s="73">
        <f t="shared" si="100"/>
        <v>59501</v>
      </c>
      <c r="AG1238" s="74">
        <f t="shared" si="101"/>
        <v>3.1</v>
      </c>
      <c r="AH1238" s="41" t="str">
        <f>IF($C1238="","",$B1238&amp;"|"&amp;(COUNTIFS($B$4:$B$1463,$B1238,$AF$4:$AF$1463,"&gt;"&amp;$AF1238)+COUNTIFS($B$4:$B1238,$B1238,$AF$4:$AF1238,"="&amp;$AF1238)))</f>
        <v>EMERALD LEAF TRIBE|79</v>
      </c>
      <c r="AI1238" s="41" t="str">
        <f>IF($C1238="","",$B1238&amp;"|"&amp;(COUNTIFS($B$4:$B$1463,$B1238,$AG$4:$AG$1463,"&gt;"&amp;$AG1238)+COUNTIFS($B$4:$B1238,$B1238,$AG$4:$AG1238,"="&amp;$AG1238)))</f>
        <v>EMERALD LEAF TRIBE|75</v>
      </c>
    </row>
    <row r="1239" spans="1:35" hidden="1">
      <c r="A1239" s="69" t="s">
        <v>109</v>
      </c>
      <c r="B1239" s="69" t="s">
        <v>113</v>
      </c>
      <c r="C1239" s="63" t="s">
        <v>2633</v>
      </c>
      <c r="D1239" s="69" t="s">
        <v>548</v>
      </c>
      <c r="E1239" s="68" t="s">
        <v>75</v>
      </c>
      <c r="F1239" s="19" t="str">
        <f>IF($C1239="","",IF($E1239="","-",IFERROR(INDEX(SETUP!$B$55:$B$64,MATCH($E1239,SETUP!$A$55:$A$64,0)),"Other")))</f>
        <v>Support</v>
      </c>
      <c r="G1239" s="70">
        <v>53519</v>
      </c>
      <c r="H1239" s="19" t="str">
        <f>IF($C1239="","",IF($G1239="","-",INDEX(SETUP!$B$26:$B$32,MATCH($G1239,SETUP!$A$26:$A$32,1))))</f>
        <v>Under 58,000</v>
      </c>
      <c r="I1239" s="70">
        <v>1217</v>
      </c>
      <c r="J1239" s="19" t="str">
        <f>IF($C1239="","",IF($I1239="","-",INDEX(SETUP!$B$16:$B$22,MATCH($I1239,SETUP!$A$16:$A$22,1))))</f>
        <v>ROOKIE</v>
      </c>
      <c r="K1239" s="19" t="str">
        <f>IF($C1239="","",IF($I1239="","-",TEXT(INT($I1239/1000)*1000,"#,##0")&amp;" - "&amp;TEXT(INT($I1239/1000)*1000+999,"#,##0")))</f>
        <v>1,000 - 1,999</v>
      </c>
      <c r="L1239" s="71">
        <v>3.05</v>
      </c>
      <c r="M1239" s="19" t="str">
        <f>IF($C1239="","",IF($L1239="","-",INDEX(SETUP!$B$36:$B$42,MATCH($L1239,SETUP!$A$36:$A$42,1))))</f>
        <v>3k - 4k</v>
      </c>
      <c r="N1239" s="21">
        <f>IF($C1239="","",IF(OR($G1239="",$I1239=""),"",ROUND(100*(SETUP!$B$4*MIN(1,$I1239/SETUP!$B$9)+SETUP!$B$5*MAX(0,MIN(1,($G1239-SETUP!$B$10)/(SETUP!$B$11-SETUP!$B$10)))+SETUP!$B$6*MIN(1,IF($L1239="",0,$L1239)/SETUP!$B$12)),1)))</f>
        <v>10.4</v>
      </c>
      <c r="O1239" s="19" t="str">
        <f>IF($C1239="","",IF($N1239="","-",INDEX(SETUP!$B$46:$B$51,MATCH($N1239,SETUP!$A$46:$A$51,1))))</f>
        <v>D</v>
      </c>
      <c r="P1239" s="19">
        <f>IF($C1239="","",IF($I1239="","",RANK($I1239,$I$4:$I$1463)+COUNTIF($I$4:$I1239,$I1239)-1))</f>
        <v>1241</v>
      </c>
      <c r="Q1239" s="19">
        <f>IF($C1239="","",COUNTIFS($B$4:$B$1463,$B1239,$X$4:$X$1463,"&gt;"&amp;$X1239)+COUNTIFS($B$4:$B1239,$B1239,$X$4:$X1239,"="&amp;$X1239))</f>
        <v>94</v>
      </c>
      <c r="R1239" s="75">
        <f>IF($C1239="","",IF($I1239="","",ROUND(COUNTIF($I$4:$I$1463,"&lt;"&amp;$I1239)/COUNT($I$4:$I$1463),3)))</f>
        <v>6.3E-2</v>
      </c>
      <c r="S1239" s="19" t="str">
        <f>IF($C1239="","",IF($G1239="","Name only",IF(OR($I1239="",$L1239=""),"Partial","Complete")))</f>
        <v>Complete</v>
      </c>
      <c r="T1239" s="1" t="str">
        <f>IF($C1239="","",TRIM(IF(COUNTIF($C$4:$C$1463,$C1239)&gt;1,"Dup name; ","")&amp;IF(AND($G1239&lt;&gt;"",$G1239&lt;55000),"Low CR - verify; ","")&amp;IF(AND($L1239&lt;&gt;"",$L1239&gt;15),"Secondary - verify; ","")&amp;IF($E1239="","No class; ","")))</f>
        <v>Low CR - verify;</v>
      </c>
      <c r="U1239" s="68"/>
      <c r="V1239" s="68"/>
      <c r="W1239" s="68"/>
      <c r="X1239" s="76">
        <f t="shared" si="97"/>
        <v>1217</v>
      </c>
      <c r="Y1239" s="1" t="str">
        <f t="shared" si="98"/>
        <v>INVICTUS|94</v>
      </c>
      <c r="Z1239" s="19">
        <f>IF($C1239="","",IF($G1239="","",RANK($G1239,$G$4:$G$1463)+COUNTIF($G$4:$G1239,$G1239)-1))</f>
        <v>1323</v>
      </c>
      <c r="AA1239" s="19">
        <f>IF($C1239="","",IF($N1239="","",RANK($N1239,$N$4:$N$1463)+COUNTIF($N$4:$N1239,$N1239)-1))</f>
        <v>1318</v>
      </c>
      <c r="AB1239" s="1" t="str">
        <f>IF($C1239="","",IF($E1239="","",$E1239&amp;"#"&amp;(COUNTIFS($E$4:$E$1463,$E1239,$X$4:$X$1463,"&gt;"&amp;$X1239)+COUNTIFS($E$4:$E1239,$E1239,$X$4:$X1239,"="&amp;$X1239))))</f>
        <v>DRUID#63</v>
      </c>
      <c r="AC1239" s="1" t="str">
        <f>IF($C1239="","",$B1239&amp;"@"&amp;(COUNTIFS($B$4:$B$1463,$B1239,$C$4:$C$1463,"&lt;"&amp;$C1239)+COUNTIFS($B$4:$B1239,$B1239,$C$4:$C1239,$C1239)))</f>
        <v>INVICTUS@93</v>
      </c>
      <c r="AD1239" s="1">
        <f t="shared" si="99"/>
        <v>1236</v>
      </c>
      <c r="AE1239" s="1" t="s">
        <v>2634</v>
      </c>
      <c r="AF1239" s="76">
        <f t="shared" si="100"/>
        <v>53519</v>
      </c>
      <c r="AG1239" s="77">
        <f t="shared" si="101"/>
        <v>3.05</v>
      </c>
      <c r="AH1239" s="1" t="str">
        <f>IF($C1239="","",$B1239&amp;"|"&amp;(COUNTIFS($B$4:$B$1463,$B1239,$AF$4:$AF$1463,"&gt;"&amp;$AF1239)+COUNTIFS($B$4:$B1239,$B1239,$AF$4:$AF1239,"="&amp;$AF1239)))</f>
        <v>INVICTUS|98</v>
      </c>
      <c r="AI1239" s="1" t="str">
        <f>IF($C1239="","",$B1239&amp;"|"&amp;(COUNTIFS($B$4:$B$1463,$B1239,$AG$4:$AG$1463,"&gt;"&amp;$AG1239)+COUNTIFS($B$4:$B1239,$B1239,$AG$4:$AG1239,"="&amp;$AG1239)))</f>
        <v>INVICTUS|93</v>
      </c>
    </row>
    <row r="1240" spans="1:35" hidden="1">
      <c r="A1240" s="69" t="s">
        <v>109</v>
      </c>
      <c r="B1240" s="69" t="s">
        <v>118</v>
      </c>
      <c r="C1240" s="63" t="s">
        <v>2635</v>
      </c>
      <c r="D1240" s="69"/>
      <c r="E1240" s="68" t="s">
        <v>72</v>
      </c>
      <c r="F1240" s="15" t="str">
        <f>IF($C1240="","",IF($E1240="","-",IFERROR(INDEX(SETUP!$B$55:$B$64,MATCH($E1240,SETUP!$A$55:$A$64,0)),"Other")))</f>
        <v>Frontline</v>
      </c>
      <c r="G1240" s="70">
        <v>62935</v>
      </c>
      <c r="H1240" s="15" t="str">
        <f>IF($C1240="","",IF($G1240="","-",INDEX(SETUP!$B$26:$B$32,MATCH($G1240,SETUP!$A$26:$A$32,1))))</f>
        <v>62,000 - 62,999</v>
      </c>
      <c r="I1240" s="70">
        <v>4593</v>
      </c>
      <c r="J1240" s="15" t="str">
        <f>IF($C1240="","",IF($I1240="","-",INDEX(SETUP!$B$16:$B$22,MATCH($I1240,SETUP!$A$16:$A$22,1))))</f>
        <v>CORE</v>
      </c>
      <c r="K1240" s="15" t="str">
        <f>IF($C1240="","",IF($I1240="","-",TEXT(INT($I1240/1000)*1000,"#,##0")&amp;" - "&amp;TEXT(INT($I1240/1000)*1000+999,"#,##0")))</f>
        <v>4,000 - 4,999</v>
      </c>
      <c r="L1240" s="71">
        <v>4.5999999999999996</v>
      </c>
      <c r="M1240" s="15" t="str">
        <f>IF($C1240="","",IF($L1240="","-",INDEX(SETUP!$B$36:$B$42,MATCH($L1240,SETUP!$A$36:$A$42,1))))</f>
        <v>4k - 5k</v>
      </c>
      <c r="N1240" s="17">
        <f>IF($C1240="","",IF(OR($G1240="",$I1240=""),"",ROUND(100*(SETUP!$B$4*MIN(1,$I1240/SETUP!$B$9)+SETUP!$B$5*MAX(0,MIN(1,($G1240-SETUP!$B$10)/(SETUP!$B$11-SETUP!$B$10)))+SETUP!$B$6*MIN(1,IF($L1240="",0,$L1240)/SETUP!$B$12)),1)))</f>
        <v>48.6</v>
      </c>
      <c r="O1240" s="15" t="str">
        <f>IF($C1240="","",IF($N1240="","-",INDEX(SETUP!$B$46:$B$51,MATCH($N1240,SETUP!$A$46:$A$51,1))))</f>
        <v>B</v>
      </c>
      <c r="P1240" s="15">
        <f>IF($C1240="","",IF($I1240="","",RANK($I1240,$I$4:$I$1463)+COUNTIF($I$4:$I1240,$I1240)-1))</f>
        <v>476</v>
      </c>
      <c r="Q1240" s="15">
        <f>IF($C1240="","",COUNTIFS($B$4:$B$1463,$B1240,$X$4:$X$1463,"&gt;"&amp;$X1240)+COUNTIFS($B$4:$B1240,$B1240,$X$4:$X1240,"="&amp;$X1240))</f>
        <v>6</v>
      </c>
      <c r="R1240" s="72">
        <f>IF($C1240="","",IF($I1240="","",ROUND(COUNTIF($I$4:$I$1463,"&lt;"&amp;$I1240)/COUNT($I$4:$I$1463),3)))</f>
        <v>0.64100000000000001</v>
      </c>
      <c r="S1240" s="15" t="str">
        <f>IF($C1240="","",IF($G1240="","Name only",IF(OR($I1240="",$L1240=""),"Partial","Complete")))</f>
        <v>Complete</v>
      </c>
      <c r="T1240" s="41" t="str">
        <f>IF($C1240="","",TRIM(IF(COUNTIF($C$4:$C$1463,$C1240)&gt;1,"Dup name; ","")&amp;IF(AND($G1240&lt;&gt;"",$G1240&lt;55000),"Low CR - verify; ","")&amp;IF(AND($L1240&lt;&gt;"",$L1240&gt;15),"Secondary - verify; ","")&amp;IF($E1240="","No class; ","")))</f>
        <v/>
      </c>
      <c r="U1240" s="68"/>
      <c r="V1240" s="68"/>
      <c r="W1240" s="68"/>
      <c r="X1240" s="73">
        <f t="shared" si="97"/>
        <v>4593</v>
      </c>
      <c r="Y1240" s="41" t="str">
        <f t="shared" si="98"/>
        <v>ZOMBIES|6</v>
      </c>
      <c r="Z1240" s="15">
        <f>IF($C1240="","",IF($G1240="","",RANK($G1240,$G$4:$G$1463)+COUNTIF($G$4:$G1240,$G1240)-1))</f>
        <v>459</v>
      </c>
      <c r="AA1240" s="15">
        <f>IF($C1240="","",IF($N1240="","",RANK($N1240,$N$4:$N$1463)+COUNTIF($N$4:$N1240,$N1240)-1))</f>
        <v>498</v>
      </c>
      <c r="AB1240" s="41" t="str">
        <f>IF($C1240="","",IF($E1240="","",$E1240&amp;"#"&amp;(COUNTIFS($E$4:$E$1463,$E1240,$X$4:$X$1463,"&gt;"&amp;$X1240)+COUNTIFS($E$4:$E1240,$E1240,$X$4:$X1240,"="&amp;$X1240))))</f>
        <v>BLOOD KNIGHT#30</v>
      </c>
      <c r="AC1240" s="41" t="str">
        <f>IF($C1240="","",$B1240&amp;"@"&amp;(COUNTIFS($B$4:$B$1463,$B1240,$C$4:$C$1463,"&lt;"&amp;$C1240)+COUNTIFS($B$4:$B1240,$B1240,$C$4:$C1240,$C1240)))</f>
        <v>ZOMBIES@91</v>
      </c>
      <c r="AD1240" s="41">
        <f t="shared" si="99"/>
        <v>1237</v>
      </c>
      <c r="AE1240" s="41" t="s">
        <v>1038</v>
      </c>
      <c r="AF1240" s="73">
        <f t="shared" si="100"/>
        <v>62935</v>
      </c>
      <c r="AG1240" s="74">
        <f t="shared" si="101"/>
        <v>4.5999999999999996</v>
      </c>
      <c r="AH1240" s="41" t="str">
        <f>IF($C1240="","",$B1240&amp;"|"&amp;(COUNTIFS($B$4:$B$1463,$B1240,$AF$4:$AF$1463,"&gt;"&amp;$AF1240)+COUNTIFS($B$4:$B1240,$B1240,$AF$4:$AF1240,"="&amp;$AF1240)))</f>
        <v>ZOMBIES|5</v>
      </c>
      <c r="AI1240" s="41" t="str">
        <f>IF($C1240="","",$B1240&amp;"|"&amp;(COUNTIFS($B$4:$B$1463,$B1240,$AG$4:$AG$1463,"&gt;"&amp;$AG1240)+COUNTIFS($B$4:$B1240,$B1240,$AG$4:$AG1240,"="&amp;$AG1240)))</f>
        <v>ZOMBIES|17</v>
      </c>
    </row>
    <row r="1241" spans="1:35" hidden="1">
      <c r="A1241" s="69" t="s">
        <v>109</v>
      </c>
      <c r="B1241" s="69" t="s">
        <v>112</v>
      </c>
      <c r="C1241" s="63" t="s">
        <v>2636</v>
      </c>
      <c r="D1241" s="69" t="s">
        <v>567</v>
      </c>
      <c r="E1241" s="68" t="s">
        <v>79</v>
      </c>
      <c r="F1241" s="19" t="str">
        <f>IF($C1241="","",IF($E1241="","-",IFERROR(INDEX(SETUP!$B$55:$B$64,MATCH($E1241,SETUP!$A$55:$A$64,0)),"Other")))</f>
        <v>Control</v>
      </c>
      <c r="G1241" s="70">
        <v>62269</v>
      </c>
      <c r="H1241" s="19" t="str">
        <f>IF($C1241="","",IF($G1241="","-",INDEX(SETUP!$B$26:$B$32,MATCH($G1241,SETUP!$A$26:$A$32,1))))</f>
        <v>62,000 - 62,999</v>
      </c>
      <c r="I1241" s="70">
        <v>3813</v>
      </c>
      <c r="J1241" s="19" t="str">
        <f>IF($C1241="","",IF($I1241="","-",INDEX(SETUP!$B$16:$B$22,MATCH($I1241,SETUP!$A$16:$A$22,1))))</f>
        <v>DEVELOPING</v>
      </c>
      <c r="K1241" s="19" t="str">
        <f>IF($C1241="","",IF($I1241="","-",TEXT(INT($I1241/1000)*1000,"#,##0")&amp;" - "&amp;TEXT(INT($I1241/1000)*1000+999,"#,##0")))</f>
        <v>3,000 - 3,999</v>
      </c>
      <c r="L1241" s="71">
        <v>5</v>
      </c>
      <c r="M1241" s="19" t="str">
        <f>IF($C1241="","",IF($L1241="","-",INDEX(SETUP!$B$36:$B$42,MATCH($L1241,SETUP!$A$36:$A$42,1))))</f>
        <v>5k - 6k</v>
      </c>
      <c r="N1241" s="21">
        <f>IF($C1241="","",IF(OR($G1241="",$I1241=""),"",ROUND(100*(SETUP!$B$4*MIN(1,$I1241/SETUP!$B$9)+SETUP!$B$5*MAX(0,MIN(1,($G1241-SETUP!$B$10)/(SETUP!$B$11-SETUP!$B$10)))+SETUP!$B$6*MIN(1,IF($L1241="",0,$L1241)/SETUP!$B$12)),1)))</f>
        <v>44.1</v>
      </c>
      <c r="O1241" s="19" t="str">
        <f>IF($C1241="","",IF($N1241="","-",INDEX(SETUP!$B$46:$B$51,MATCH($N1241,SETUP!$A$46:$A$51,1))))</f>
        <v>B</v>
      </c>
      <c r="P1241" s="19">
        <f>IF($C1241="","",IF($I1241="","",RANK($I1241,$I$4:$I$1463)+COUNTIF($I$4:$I1241,$I1241)-1))</f>
        <v>644</v>
      </c>
      <c r="Q1241" s="19">
        <f>IF($C1241="","",COUNTIFS($B$4:$B$1463,$B1241,$X$4:$X$1463,"&gt;"&amp;$X1241)+COUNTIFS($B$4:$B1241,$B1241,$X$4:$X1241,"="&amp;$X1241))</f>
        <v>49</v>
      </c>
      <c r="R1241" s="75">
        <f>IF($C1241="","",IF($I1241="","",ROUND(COUNTIF($I$4:$I$1463,"&lt;"&amp;$I1241)/COUNT($I$4:$I$1463),3)))</f>
        <v>0.51400000000000001</v>
      </c>
      <c r="S1241" s="19" t="str">
        <f>IF($C1241="","",IF($G1241="","Name only",IF(OR($I1241="",$L1241=""),"Partial","Complete")))</f>
        <v>Complete</v>
      </c>
      <c r="T1241" s="1" t="str">
        <f>IF($C1241="","",TRIM(IF(COUNTIF($C$4:$C$1463,$C1241)&gt;1,"Dup name; ","")&amp;IF(AND($G1241&lt;&gt;"",$G1241&lt;55000),"Low CR - verify; ","")&amp;IF(AND($L1241&lt;&gt;"",$L1241&gt;15),"Secondary - verify; ","")&amp;IF($E1241="","No class; ","")))</f>
        <v/>
      </c>
      <c r="U1241" s="68"/>
      <c r="V1241" s="68"/>
      <c r="W1241" s="68"/>
      <c r="X1241" s="76">
        <f t="shared" si="97"/>
        <v>3813</v>
      </c>
      <c r="Y1241" s="1" t="str">
        <f t="shared" si="98"/>
        <v>ACHERON|49</v>
      </c>
      <c r="Z1241" s="19">
        <f>IF($C1241="","",IF($G1241="","",RANK($G1241,$G$4:$G$1463)+COUNTIF($G$4:$G1241,$G1241)-1))</f>
        <v>734</v>
      </c>
      <c r="AA1241" s="19">
        <f>IF($C1241="","",IF($N1241="","",RANK($N1241,$N$4:$N$1463)+COUNTIF($N$4:$N1241,$N1241)-1))</f>
        <v>667</v>
      </c>
      <c r="AB1241" s="1" t="str">
        <f>IF($C1241="","",IF($E1241="","",$E1241&amp;"#"&amp;(COUNTIFS($E$4:$E$1463,$E1241,$X$4:$X$1463,"&gt;"&amp;$X1241)+COUNTIFS($E$4:$E1241,$E1241,$X$4:$X1241,"="&amp;$X1241))))</f>
        <v>WARLOCK#153</v>
      </c>
      <c r="AC1241" s="1" t="str">
        <f>IF($C1241="","",$B1241&amp;"@"&amp;(COUNTIFS($B$4:$B$1463,$B1241,$C$4:$C$1463,"&lt;"&amp;$C1241)+COUNTIFS($B$4:$B1241,$B1241,$C$4:$C1241,$C1241)))</f>
        <v>ACHERON@87</v>
      </c>
      <c r="AD1241" s="1">
        <f t="shared" si="99"/>
        <v>1238</v>
      </c>
      <c r="AE1241" s="1" t="s">
        <v>2637</v>
      </c>
      <c r="AF1241" s="76">
        <f t="shared" si="100"/>
        <v>62269</v>
      </c>
      <c r="AG1241" s="77">
        <f t="shared" si="101"/>
        <v>5</v>
      </c>
      <c r="AH1241" s="1" t="str">
        <f>IF($C1241="","",$B1241&amp;"|"&amp;(COUNTIFS($B$4:$B$1463,$B1241,$AF$4:$AF$1463,"&gt;"&amp;$AF1241)+COUNTIFS($B$4:$B1241,$B1241,$AF$4:$AF1241,"="&amp;$AF1241)))</f>
        <v>ACHERON|57</v>
      </c>
      <c r="AI1241" s="1" t="str">
        <f>IF($C1241="","",$B1241&amp;"|"&amp;(COUNTIFS($B$4:$B$1463,$B1241,$AG$4:$AG$1463,"&gt;"&amp;$AG1241)+COUNTIFS($B$4:$B1241,$B1241,$AG$4:$AG1241,"="&amp;$AG1241)))</f>
        <v>ACHERON|46</v>
      </c>
    </row>
    <row r="1242" spans="1:35" hidden="1">
      <c r="A1242" s="69" t="s">
        <v>109</v>
      </c>
      <c r="B1242" s="69" t="s">
        <v>115</v>
      </c>
      <c r="C1242" s="63" t="s">
        <v>2638</v>
      </c>
      <c r="D1242" s="69"/>
      <c r="E1242" s="68" t="s">
        <v>77</v>
      </c>
      <c r="F1242" s="15" t="str">
        <f>IF($C1242="","",IF($E1242="","-",IFERROR(INDEX(SETUP!$B$55:$B$64,MATCH($E1242,SETUP!$A$55:$A$64,0)),"Other")))</f>
        <v>Control</v>
      </c>
      <c r="G1242" s="70">
        <v>63426</v>
      </c>
      <c r="H1242" s="15" t="str">
        <f>IF($C1242="","",IF($G1242="","-",INDEX(SETUP!$B$26:$B$32,MATCH($G1242,SETUP!$A$26:$A$32,1))))</f>
        <v>63,000 - 63,999</v>
      </c>
      <c r="I1242" s="70">
        <v>4711</v>
      </c>
      <c r="J1242" s="15" t="str">
        <f>IF($C1242="","",IF($I1242="","-",INDEX(SETUP!$B$16:$B$22,MATCH($I1242,SETUP!$A$16:$A$22,1))))</f>
        <v>CORE</v>
      </c>
      <c r="K1242" s="15" t="str">
        <f>IF($C1242="","",IF($I1242="","-",TEXT(INT($I1242/1000)*1000,"#,##0")&amp;" - "&amp;TEXT(INT($I1242/1000)*1000+999,"#,##0")))</f>
        <v>4,000 - 4,999</v>
      </c>
      <c r="L1242" s="71">
        <v>4.4000000000000004</v>
      </c>
      <c r="M1242" s="15" t="str">
        <f>IF($C1242="","",IF($L1242="","-",INDEX(SETUP!$B$36:$B$42,MATCH($L1242,SETUP!$A$36:$A$42,1))))</f>
        <v>4k - 5k</v>
      </c>
      <c r="N1242" s="17">
        <f>IF($C1242="","",IF(OR($G1242="",$I1242=""),"",ROUND(100*(SETUP!$B$4*MIN(1,$I1242/SETUP!$B$9)+SETUP!$B$5*MAX(0,MIN(1,($G1242-SETUP!$B$10)/(SETUP!$B$11-SETUP!$B$10)))+SETUP!$B$6*MIN(1,IF($L1242="",0,$L1242)/SETUP!$B$12)),1)))</f>
        <v>50.1</v>
      </c>
      <c r="O1242" s="15" t="str">
        <f>IF($C1242="","",IF($N1242="","-",INDEX(SETUP!$B$46:$B$51,MATCH($N1242,SETUP!$A$46:$A$51,1))))</f>
        <v>A</v>
      </c>
      <c r="P1242" s="15">
        <f>IF($C1242="","",IF($I1242="","",RANK($I1242,$I$4:$I$1463)+COUNTIF($I$4:$I1242,$I1242)-1))</f>
        <v>453</v>
      </c>
      <c r="Q1242" s="15">
        <f>IF($C1242="","",COUNTIFS($B$4:$B$1463,$B1242,$X$4:$X$1463,"&gt;"&amp;$X1242)+COUNTIFS($B$4:$B1242,$B1242,$X$4:$X1242,"="&amp;$X1242))</f>
        <v>10</v>
      </c>
      <c r="R1242" s="72">
        <f>IF($C1242="","",IF($I1242="","",ROUND(COUNTIF($I$4:$I$1463,"&lt;"&amp;$I1242)/COUNT($I$4:$I$1463),3)))</f>
        <v>0.65800000000000003</v>
      </c>
      <c r="S1242" s="15" t="str">
        <f>IF($C1242="","",IF($G1242="","Name only",IF(OR($I1242="",$L1242=""),"Partial","Complete")))</f>
        <v>Complete</v>
      </c>
      <c r="T1242" s="41" t="str">
        <f>IF($C1242="","",TRIM(IF(COUNTIF($C$4:$C$1463,$C1242)&gt;1,"Dup name; ","")&amp;IF(AND($G1242&lt;&gt;"",$G1242&lt;55000),"Low CR - verify; ","")&amp;IF(AND($L1242&lt;&gt;"",$L1242&gt;15),"Secondary - verify; ","")&amp;IF($E1242="","No class; ","")))</f>
        <v/>
      </c>
      <c r="U1242" s="68"/>
      <c r="V1242" s="68"/>
      <c r="W1242" s="68"/>
      <c r="X1242" s="73">
        <f t="shared" si="97"/>
        <v>4711</v>
      </c>
      <c r="Y1242" s="41" t="str">
        <f t="shared" si="98"/>
        <v>SUB ROSA|10</v>
      </c>
      <c r="Z1242" s="15">
        <f>IF($C1242="","",IF($G1242="","",RANK($G1242,$G$4:$G$1463)+COUNTIF($G$4:$G1242,$G1242)-1))</f>
        <v>214</v>
      </c>
      <c r="AA1242" s="15">
        <f>IF($C1242="","",IF($N1242="","",RANK($N1242,$N$4:$N$1463)+COUNTIF($N$4:$N1242,$N1242)-1))</f>
        <v>456</v>
      </c>
      <c r="AB1242" s="41" t="str">
        <f>IF($C1242="","",IF($E1242="","",$E1242&amp;"#"&amp;(COUNTIFS($E$4:$E$1463,$E1242,$X$4:$X$1463,"&gt;"&amp;$X1242)+COUNTIFS($E$4:$E1242,$E1242,$X$4:$X1242,"="&amp;$X1242))))</f>
        <v>NECROMANCER#21</v>
      </c>
      <c r="AC1242" s="41" t="str">
        <f>IF($C1242="","",$B1242&amp;"@"&amp;(COUNTIFS($B$4:$B$1463,$B1242,$C$4:$C$1463,"&lt;"&amp;$C1242)+COUNTIFS($B$4:$B1242,$B1242,$C$4:$C1242,$C1242)))</f>
        <v>SUB ROSA@86</v>
      </c>
      <c r="AD1242" s="41">
        <f t="shared" si="99"/>
        <v>1239</v>
      </c>
      <c r="AE1242" s="41" t="s">
        <v>592</v>
      </c>
      <c r="AF1242" s="73">
        <f t="shared" si="100"/>
        <v>63426</v>
      </c>
      <c r="AG1242" s="74">
        <f t="shared" si="101"/>
        <v>4.4000000000000004</v>
      </c>
      <c r="AH1242" s="41" t="str">
        <f>IF($C1242="","",$B1242&amp;"|"&amp;(COUNTIFS($B$4:$B$1463,$B1242,$AF$4:$AF$1463,"&gt;"&amp;$AF1242)+COUNTIFS($B$4:$B1242,$B1242,$AF$4:$AF1242,"="&amp;$AF1242)))</f>
        <v>SUB ROSA|6</v>
      </c>
      <c r="AI1242" s="41" t="str">
        <f>IF($C1242="","",$B1242&amp;"|"&amp;(COUNTIFS($B$4:$B$1463,$B1242,$AG$4:$AG$1463,"&gt;"&amp;$AG1242)+COUNTIFS($B$4:$B1242,$B1242,$AG$4:$AG1242,"="&amp;$AG1242)))</f>
        <v>SUB ROSA|24</v>
      </c>
    </row>
    <row r="1243" spans="1:35" hidden="1">
      <c r="A1243" s="69" t="s">
        <v>109</v>
      </c>
      <c r="B1243" s="69" t="s">
        <v>114</v>
      </c>
      <c r="C1243" s="63" t="s">
        <v>2639</v>
      </c>
      <c r="D1243" s="69"/>
      <c r="E1243" s="68" t="s">
        <v>79</v>
      </c>
      <c r="F1243" s="19" t="str">
        <f>IF($C1243="","",IF($E1243="","-",IFERROR(INDEX(SETUP!$B$55:$B$64,MATCH($E1243,SETUP!$A$55:$A$64,0)),"Other")))</f>
        <v>Control</v>
      </c>
      <c r="G1243" s="70">
        <v>60981</v>
      </c>
      <c r="H1243" s="19" t="str">
        <f>IF($C1243="","",IF($G1243="","-",INDEX(SETUP!$B$26:$B$32,MATCH($G1243,SETUP!$A$26:$A$32,1))))</f>
        <v>60,000 - 60,999</v>
      </c>
      <c r="I1243" s="70">
        <v>1050</v>
      </c>
      <c r="J1243" s="19" t="str">
        <f>IF($C1243="","",IF($I1243="","-",INDEX(SETUP!$B$16:$B$22,MATCH($I1243,SETUP!$A$16:$A$22,1))))</f>
        <v>ROOKIE</v>
      </c>
      <c r="K1243" s="19" t="str">
        <f>IF($C1243="","",IF($I1243="","-",TEXT(INT($I1243/1000)*1000,"#,##0")&amp;" - "&amp;TEXT(INT($I1243/1000)*1000+999,"#,##0")))</f>
        <v>1,000 - 1,999</v>
      </c>
      <c r="L1243" s="71">
        <v>2.8</v>
      </c>
      <c r="M1243" s="19" t="str">
        <f>IF($C1243="","",IF($L1243="","-",INDEX(SETUP!$B$36:$B$42,MATCH($L1243,SETUP!$A$36:$A$42,1))))</f>
        <v>Under 3k</v>
      </c>
      <c r="N1243" s="21">
        <f>IF($C1243="","",IF(OR($G1243="",$I1243=""),"",ROUND(100*(SETUP!$B$4*MIN(1,$I1243/SETUP!$B$9)+SETUP!$B$5*MAX(0,MIN(1,($G1243-SETUP!$B$10)/(SETUP!$B$11-SETUP!$B$10)))+SETUP!$B$6*MIN(1,IF($L1243="",0,$L1243)/SETUP!$B$12)),1)))</f>
        <v>25</v>
      </c>
      <c r="O1243" s="19" t="str">
        <f>IF($C1243="","",IF($N1243="","-",INDEX(SETUP!$B$46:$B$51,MATCH($N1243,SETUP!$A$46:$A$51,1))))</f>
        <v>C</v>
      </c>
      <c r="P1243" s="19">
        <f>IF($C1243="","",IF($I1243="","",RANK($I1243,$I$4:$I$1463)+COUNTIF($I$4:$I1243,$I1243)-1))</f>
        <v>1265</v>
      </c>
      <c r="Q1243" s="19">
        <f>IF($C1243="","",COUNTIFS($B$4:$B$1463,$B1243,$X$4:$X$1463,"&gt;"&amp;$X1243)+COUNTIFS($B$4:$B1243,$B1243,$X$4:$X1243,"="&amp;$X1243))</f>
        <v>81</v>
      </c>
      <c r="R1243" s="75">
        <f>IF($C1243="","",IF($I1243="","",ROUND(COUNTIF($I$4:$I$1463,"&lt;"&amp;$I1243)/COUNT($I$4:$I$1463),3)))</f>
        <v>4.4999999999999998E-2</v>
      </c>
      <c r="S1243" s="19" t="str">
        <f>IF($C1243="","",IF($G1243="","Name only",IF(OR($I1243="",$L1243=""),"Partial","Complete")))</f>
        <v>Complete</v>
      </c>
      <c r="T1243" s="1" t="str">
        <f>IF($C1243="","",TRIM(IF(COUNTIF($C$4:$C$1463,$C1243)&gt;1,"Dup name; ","")&amp;IF(AND($G1243&lt;&gt;"",$G1243&lt;55000),"Low CR - verify; ","")&amp;IF(AND($L1243&lt;&gt;"",$L1243&gt;15),"Secondary - verify; ","")&amp;IF($E1243="","No class; ","")))</f>
        <v/>
      </c>
      <c r="U1243" s="68"/>
      <c r="V1243" s="68"/>
      <c r="W1243" s="68"/>
      <c r="X1243" s="76">
        <f t="shared" si="97"/>
        <v>1050</v>
      </c>
      <c r="Y1243" s="1" t="str">
        <f t="shared" si="98"/>
        <v>EMERALD LEAF TRIBE|81</v>
      </c>
      <c r="Z1243" s="19">
        <f>IF($C1243="","",IF($G1243="","",RANK($G1243,$G$4:$G$1463)+COUNTIF($G$4:$G1243,$G1243)-1))</f>
        <v>1135</v>
      </c>
      <c r="AA1243" s="19">
        <f>IF($C1243="","",IF($N1243="","",RANK($N1243,$N$4:$N$1463)+COUNTIF($N$4:$N1243,$N1243)-1))</f>
        <v>1245</v>
      </c>
      <c r="AB1243" s="1" t="str">
        <f>IF($C1243="","",IF($E1243="","",$E1243&amp;"#"&amp;(COUNTIFS($E$4:$E$1463,$E1243,$X$4:$X$1463,"&gt;"&amp;$X1243)+COUNTIFS($E$4:$E1243,$E1243,$X$4:$X1243,"="&amp;$X1243))))</f>
        <v>WARLOCK#312</v>
      </c>
      <c r="AC1243" s="1" t="str">
        <f>IF($C1243="","",$B1243&amp;"@"&amp;(COUNTIFS($B$4:$B$1463,$B1243,$C$4:$C$1463,"&lt;"&amp;$C1243)+COUNTIFS($B$4:$B1243,$B1243,$C$4:$C1243,$C1243)))</f>
        <v>EMERALD LEAF TRIBE@91</v>
      </c>
      <c r="AD1243" s="1">
        <f t="shared" si="99"/>
        <v>1240</v>
      </c>
      <c r="AE1243" s="1" t="s">
        <v>2640</v>
      </c>
      <c r="AF1243" s="76">
        <f t="shared" si="100"/>
        <v>60981</v>
      </c>
      <c r="AG1243" s="77">
        <f t="shared" si="101"/>
        <v>2.8</v>
      </c>
      <c r="AH1243" s="1" t="str">
        <f>IF($C1243="","",$B1243&amp;"|"&amp;(COUNTIFS($B$4:$B$1463,$B1243,$AF$4:$AF$1463,"&gt;"&amp;$AF1243)+COUNTIFS($B$4:$B1243,$B1243,$AF$4:$AF1243,"="&amp;$AF1243)))</f>
        <v>EMERALD LEAF TRIBE|58</v>
      </c>
      <c r="AI1243" s="1" t="str">
        <f>IF($C1243="","",$B1243&amp;"|"&amp;(COUNTIFS($B$4:$B$1463,$B1243,$AG$4:$AG$1463,"&gt;"&amp;$AG1243)+COUNTIFS($B$4:$B1243,$B1243,$AG$4:$AG1243,"="&amp;$AG1243)))</f>
        <v>EMERALD LEAF TRIBE|89</v>
      </c>
    </row>
    <row r="1244" spans="1:35" hidden="1">
      <c r="A1244" s="69" t="s">
        <v>109</v>
      </c>
      <c r="B1244" s="69" t="s">
        <v>113</v>
      </c>
      <c r="C1244" s="63" t="s">
        <v>2641</v>
      </c>
      <c r="D1244" s="69" t="s">
        <v>548</v>
      </c>
      <c r="E1244" s="68" t="s">
        <v>71</v>
      </c>
      <c r="F1244" s="15" t="str">
        <f>IF($C1244="","",IF($E1244="","-",IFERROR(INDEX(SETUP!$B$55:$B$64,MATCH($E1244,SETUP!$A$55:$A$64,0)),"Other")))</f>
        <v>Frontline</v>
      </c>
      <c r="G1244" s="70">
        <v>61759</v>
      </c>
      <c r="H1244" s="15" t="str">
        <f>IF($C1244="","",IF($G1244="","-",INDEX(SETUP!$B$26:$B$32,MATCH($G1244,SETUP!$A$26:$A$32,1))))</f>
        <v>61,000 - 61,999</v>
      </c>
      <c r="I1244" s="70">
        <v>1966</v>
      </c>
      <c r="J1244" s="15" t="str">
        <f>IF($C1244="","",IF($I1244="","-",INDEX(SETUP!$B$16:$B$22,MATCH($I1244,SETUP!$A$16:$A$22,1))))</f>
        <v>ROOKIE</v>
      </c>
      <c r="K1244" s="15" t="str">
        <f>IF($C1244="","",IF($I1244="","-",TEXT(INT($I1244/1000)*1000,"#,##0")&amp;" - "&amp;TEXT(INT($I1244/1000)*1000+999,"#,##0")))</f>
        <v>1,000 - 1,999</v>
      </c>
      <c r="L1244" s="71">
        <v>3.5</v>
      </c>
      <c r="M1244" s="15" t="str">
        <f>IF($C1244="","",IF($L1244="","-",INDEX(SETUP!$B$36:$B$42,MATCH($L1244,SETUP!$A$36:$A$42,1))))</f>
        <v>3k - 4k</v>
      </c>
      <c r="N1244" s="17">
        <f>IF($C1244="","",IF(OR($G1244="",$I1244=""),"",ROUND(100*(SETUP!$B$4*MIN(1,$I1244/SETUP!$B$9)+SETUP!$B$5*MAX(0,MIN(1,($G1244-SETUP!$B$10)/(SETUP!$B$11-SETUP!$B$10)))+SETUP!$B$6*MIN(1,IF($L1244="",0,$L1244)/SETUP!$B$12)),1)))</f>
        <v>32.200000000000003</v>
      </c>
      <c r="O1244" s="15" t="str">
        <f>IF($C1244="","",IF($N1244="","-",INDEX(SETUP!$B$46:$B$51,MATCH($N1244,SETUP!$A$46:$A$51,1))))</f>
        <v>C</v>
      </c>
      <c r="P1244" s="15">
        <f>IF($C1244="","",IF($I1244="","",RANK($I1244,$I$4:$I$1463)+COUNTIF($I$4:$I1244,$I1244)-1))</f>
        <v>1124</v>
      </c>
      <c r="Q1244" s="15">
        <f>IF($C1244="","",COUNTIFS($B$4:$B$1463,$B1244,$X$4:$X$1463,"&gt;"&amp;$X1244)+COUNTIFS($B$4:$B1244,$B1244,$X$4:$X1244,"="&amp;$X1244))</f>
        <v>85</v>
      </c>
      <c r="R1244" s="72">
        <f>IF($C1244="","",IF($I1244="","",ROUND(COUNTIF($I$4:$I$1463,"&lt;"&amp;$I1244)/COUNT($I$4:$I$1463),3)))</f>
        <v>0.152</v>
      </c>
      <c r="S1244" s="15" t="str">
        <f>IF($C1244="","",IF($G1244="","Name only",IF(OR($I1244="",$L1244=""),"Partial","Complete")))</f>
        <v>Complete</v>
      </c>
      <c r="T1244" s="41" t="str">
        <f>IF($C1244="","",TRIM(IF(COUNTIF($C$4:$C$1463,$C1244)&gt;1,"Dup name; ","")&amp;IF(AND($G1244&lt;&gt;"",$G1244&lt;55000),"Low CR - verify; ","")&amp;IF(AND($L1244&lt;&gt;"",$L1244&gt;15),"Secondary - verify; ","")&amp;IF($E1244="","No class; ","")))</f>
        <v/>
      </c>
      <c r="U1244" s="68"/>
      <c r="V1244" s="68"/>
      <c r="W1244" s="68"/>
      <c r="X1244" s="73">
        <f t="shared" si="97"/>
        <v>1966</v>
      </c>
      <c r="Y1244" s="41" t="str">
        <f t="shared" si="98"/>
        <v>INVICTUS|85</v>
      </c>
      <c r="Z1244" s="15">
        <f>IF($C1244="","",IF($G1244="","",RANK($G1244,$G$4:$G$1463)+COUNTIF($G$4:$G1244,$G1244)-1))</f>
        <v>922</v>
      </c>
      <c r="AA1244" s="15">
        <f>IF($C1244="","",IF($N1244="","",RANK($N1244,$N$4:$N$1463)+COUNTIF($N$4:$N1244,$N1244)-1))</f>
        <v>1093</v>
      </c>
      <c r="AB1244" s="41" t="str">
        <f>IF($C1244="","",IF($E1244="","",$E1244&amp;"#"&amp;(COUNTIFS($E$4:$E$1463,$E1244,$X$4:$X$1463,"&gt;"&amp;$X1244)+COUNTIFS($E$4:$E1244,$E1244,$X$4:$X1244,"="&amp;$X1244))))</f>
        <v>BARBARIAN#191</v>
      </c>
      <c r="AC1244" s="41" t="str">
        <f>IF($C1244="","",$B1244&amp;"@"&amp;(COUNTIFS($B$4:$B$1463,$B1244,$C$4:$C$1463,"&lt;"&amp;$C1244)+COUNTIFS($B$4:$B1244,$B1244,$C$4:$C1244,$C1244)))</f>
        <v>INVICTUS@94</v>
      </c>
      <c r="AD1244" s="41">
        <f t="shared" si="99"/>
        <v>1241</v>
      </c>
      <c r="AE1244" s="41" t="s">
        <v>2642</v>
      </c>
      <c r="AF1244" s="73">
        <f t="shared" si="100"/>
        <v>61759</v>
      </c>
      <c r="AG1244" s="74">
        <f t="shared" si="101"/>
        <v>3.5</v>
      </c>
      <c r="AH1244" s="41" t="str">
        <f>IF($C1244="","",$B1244&amp;"|"&amp;(COUNTIFS($B$4:$B$1463,$B1244,$AF$4:$AF$1463,"&gt;"&amp;$AF1244)+COUNTIFS($B$4:$B1244,$B1244,$AF$4:$AF1244,"="&amp;$AF1244)))</f>
        <v>INVICTUS|65</v>
      </c>
      <c r="AI1244" s="41" t="str">
        <f>IF($C1244="","",$B1244&amp;"|"&amp;(COUNTIFS($B$4:$B$1463,$B1244,$AG$4:$AG$1463,"&gt;"&amp;$AG1244)+COUNTIFS($B$4:$B1244,$B1244,$AG$4:$AG1244,"="&amp;$AG1244)))</f>
        <v>INVICTUS|77</v>
      </c>
    </row>
    <row r="1245" spans="1:35" hidden="1">
      <c r="A1245" s="69" t="s">
        <v>109</v>
      </c>
      <c r="B1245" s="69" t="s">
        <v>110</v>
      </c>
      <c r="C1245" s="63" t="s">
        <v>2643</v>
      </c>
      <c r="D1245" s="69"/>
      <c r="E1245" s="68" t="s">
        <v>79</v>
      </c>
      <c r="F1245" s="19" t="str">
        <f>IF($C1245="","",IF($E1245="","-",IFERROR(INDEX(SETUP!$B$55:$B$64,MATCH($E1245,SETUP!$A$55:$A$64,0)),"Other")))</f>
        <v>Control</v>
      </c>
      <c r="G1245" s="70">
        <v>62480</v>
      </c>
      <c r="H1245" s="19" t="str">
        <f>IF($C1245="","",IF($G1245="","-",INDEX(SETUP!$B$26:$B$32,MATCH($G1245,SETUP!$A$26:$A$32,1))))</f>
        <v>62,000 - 62,999</v>
      </c>
      <c r="I1245" s="70">
        <v>3353</v>
      </c>
      <c r="J1245" s="19" t="str">
        <f>IF($C1245="","",IF($I1245="","-",INDEX(SETUP!$B$16:$B$22,MATCH($I1245,SETUP!$A$16:$A$22,1))))</f>
        <v>DEVELOPING</v>
      </c>
      <c r="K1245" s="19" t="str">
        <f>IF($C1245="","",IF($I1245="","-",TEXT(INT($I1245/1000)*1000,"#,##0")&amp;" - "&amp;TEXT(INT($I1245/1000)*1000+999,"#,##0")))</f>
        <v>3,000 - 3,999</v>
      </c>
      <c r="L1245" s="71">
        <v>5.4</v>
      </c>
      <c r="M1245" s="19" t="str">
        <f>IF($C1245="","",IF($L1245="","-",INDEX(SETUP!$B$36:$B$42,MATCH($L1245,SETUP!$A$36:$A$42,1))))</f>
        <v>5k - 6k</v>
      </c>
      <c r="N1245" s="21">
        <f>IF($C1245="","",IF(OR($G1245="",$I1245=""),"",ROUND(100*(SETUP!$B$4*MIN(1,$I1245/SETUP!$B$9)+SETUP!$B$5*MAX(0,MIN(1,($G1245-SETUP!$B$10)/(SETUP!$B$11-SETUP!$B$10)))+SETUP!$B$6*MIN(1,IF($L1245="",0,$L1245)/SETUP!$B$12)),1)))</f>
        <v>43.3</v>
      </c>
      <c r="O1245" s="19" t="str">
        <f>IF($C1245="","",IF($N1245="","-",INDEX(SETUP!$B$46:$B$51,MATCH($N1245,SETUP!$A$46:$A$51,1))))</f>
        <v>B</v>
      </c>
      <c r="P1245" s="19">
        <f>IF($C1245="","",IF($I1245="","",RANK($I1245,$I$4:$I$1463)+COUNTIF($I$4:$I1245,$I1245)-1))</f>
        <v>770</v>
      </c>
      <c r="Q1245" s="19">
        <f>IF($C1245="","",COUNTIFS($B$4:$B$1463,$B1245,$X$4:$X$1463,"&gt;"&amp;$X1245)+COUNTIFS($B$4:$B1245,$B1245,$X$4:$X1245,"="&amp;$X1245))</f>
        <v>81</v>
      </c>
      <c r="R1245" s="75">
        <f>IF($C1245="","",IF($I1245="","",ROUND(COUNTIF($I$4:$I$1463,"&lt;"&amp;$I1245)/COUNT($I$4:$I$1463),3)))</f>
        <v>0.41899999999999998</v>
      </c>
      <c r="S1245" s="19" t="str">
        <f>IF($C1245="","",IF($G1245="","Name only",IF(OR($I1245="",$L1245=""),"Partial","Complete")))</f>
        <v>Complete</v>
      </c>
      <c r="T1245" s="1" t="str">
        <f>IF($C1245="","",TRIM(IF(COUNTIF($C$4:$C$1463,$C1245)&gt;1,"Dup name; ","")&amp;IF(AND($G1245&lt;&gt;"",$G1245&lt;55000),"Low CR - verify; ","")&amp;IF(AND($L1245&lt;&gt;"",$L1245&gt;15),"Secondary - verify; ","")&amp;IF($E1245="","No class; ","")))</f>
        <v/>
      </c>
      <c r="U1245" s="68"/>
      <c r="V1245" s="68"/>
      <c r="W1245" s="68"/>
      <c r="X1245" s="76">
        <f t="shared" si="97"/>
        <v>3353</v>
      </c>
      <c r="Y1245" s="1" t="str">
        <f t="shared" si="98"/>
        <v>AZUKI|81</v>
      </c>
      <c r="Z1245" s="19">
        <f>IF($C1245="","",IF($G1245="","",RANK($G1245,$G$4:$G$1463)+COUNTIF($G$4:$G1245,$G1245)-1))</f>
        <v>661</v>
      </c>
      <c r="AA1245" s="19">
        <f>IF($C1245="","",IF($N1245="","",RANK($N1245,$N$4:$N$1463)+COUNTIF($N$4:$N1245,$N1245)-1))</f>
        <v>693</v>
      </c>
      <c r="AB1245" s="1" t="str">
        <f>IF($C1245="","",IF($E1245="","",$E1245&amp;"#"&amp;(COUNTIFS($E$4:$E$1463,$E1245,$X$4:$X$1463,"&gt;"&amp;$X1245)+COUNTIFS($E$4:$E1245,$E1245,$X$4:$X1245,"="&amp;$X1245))))</f>
        <v>WARLOCK#186</v>
      </c>
      <c r="AC1245" s="1" t="str">
        <f>IF($C1245="","",$B1245&amp;"@"&amp;(COUNTIFS($B$4:$B$1463,$B1245,$C$4:$C$1463,"&lt;"&amp;$C1245)+COUNTIFS($B$4:$B1245,$B1245,$C$4:$C1245,$C1245)))</f>
        <v>AZUKI@96</v>
      </c>
      <c r="AD1245" s="1">
        <f t="shared" si="99"/>
        <v>1242</v>
      </c>
      <c r="AE1245" s="1" t="s">
        <v>2644</v>
      </c>
      <c r="AF1245" s="76">
        <f t="shared" si="100"/>
        <v>62480</v>
      </c>
      <c r="AG1245" s="77">
        <f t="shared" si="101"/>
        <v>5.4</v>
      </c>
      <c r="AH1245" s="1" t="str">
        <f>IF($C1245="","",$B1245&amp;"|"&amp;(COUNTIFS($B$4:$B$1463,$B1245,$AF$4:$AF$1463,"&gt;"&amp;$AF1245)+COUNTIFS($B$4:$B1245,$B1245,$AF$4:$AF1245,"="&amp;$AF1245)))</f>
        <v>AZUKI|59</v>
      </c>
      <c r="AI1245" s="1" t="str">
        <f>IF($C1245="","",$B1245&amp;"|"&amp;(COUNTIFS($B$4:$B$1463,$B1245,$AG$4:$AG$1463,"&gt;"&amp;$AG1245)+COUNTIFS($B$4:$B1245,$B1245,$AG$4:$AG1245,"="&amp;$AG1245)))</f>
        <v>AZUKI|61</v>
      </c>
    </row>
    <row r="1246" spans="1:35" hidden="1">
      <c r="A1246" s="69" t="s">
        <v>109</v>
      </c>
      <c r="B1246" s="69" t="s">
        <v>108</v>
      </c>
      <c r="C1246" s="63" t="s">
        <v>2645</v>
      </c>
      <c r="D1246" s="69"/>
      <c r="E1246" s="68" t="s">
        <v>72</v>
      </c>
      <c r="F1246" s="15" t="str">
        <f>IF($C1246="","",IF($E1246="","-",IFERROR(INDEX(SETUP!$B$55:$B$64,MATCH($E1246,SETUP!$A$55:$A$64,0)),"Other")))</f>
        <v>Frontline</v>
      </c>
      <c r="G1246" s="70">
        <v>61795</v>
      </c>
      <c r="H1246" s="15" t="str">
        <f>IF($C1246="","",IF($G1246="","-",INDEX(SETUP!$B$26:$B$32,MATCH($G1246,SETUP!$A$26:$A$32,1))))</f>
        <v>61,000 - 61,999</v>
      </c>
      <c r="I1246" s="70">
        <v>5303</v>
      </c>
      <c r="J1246" s="15" t="str">
        <f>IF($C1246="","",IF($I1246="","-",INDEX(SETUP!$B$16:$B$22,MATCH($I1246,SETUP!$A$16:$A$22,1))))</f>
        <v>CORE</v>
      </c>
      <c r="K1246" s="15" t="str">
        <f>IF($C1246="","",IF($I1246="","-",TEXT(INT($I1246/1000)*1000,"#,##0")&amp;" - "&amp;TEXT(INT($I1246/1000)*1000+999,"#,##0")))</f>
        <v>5,000 - 5,999</v>
      </c>
      <c r="L1246" s="71">
        <v>6.05</v>
      </c>
      <c r="M1246" s="15" t="str">
        <f>IF($C1246="","",IF($L1246="","-",INDEX(SETUP!$B$36:$B$42,MATCH($L1246,SETUP!$A$36:$A$42,1))))</f>
        <v>6k - 8k</v>
      </c>
      <c r="N1246" s="17">
        <f>IF($C1246="","",IF(OR($G1246="",$I1246=""),"",ROUND(100*(SETUP!$B$4*MIN(1,$I1246/SETUP!$B$9)+SETUP!$B$5*MAX(0,MIN(1,($G1246-SETUP!$B$10)/(SETUP!$B$11-SETUP!$B$10)))+SETUP!$B$6*MIN(1,IF($L1246="",0,$L1246)/SETUP!$B$12)),1)))</f>
        <v>51.1</v>
      </c>
      <c r="O1246" s="15" t="str">
        <f>IF($C1246="","",IF($N1246="","-",INDEX(SETUP!$B$46:$B$51,MATCH($N1246,SETUP!$A$46:$A$51,1))))</f>
        <v>A</v>
      </c>
      <c r="P1246" s="15">
        <f>IF($C1246="","",IF($I1246="","",RANK($I1246,$I$4:$I$1463)+COUNTIF($I$4:$I1246,$I1246)-1))</f>
        <v>362</v>
      </c>
      <c r="Q1246" s="15">
        <f>IF($C1246="","",COUNTIFS($B$4:$B$1463,$B1246,$X$4:$X$1463,"&gt;"&amp;$X1246)+COUNTIFS($B$4:$B1246,$B1246,$X$4:$X1246,"="&amp;$X1246))</f>
        <v>53</v>
      </c>
      <c r="R1246" s="72">
        <f>IF($C1246="","",IF($I1246="","",ROUND(COUNTIF($I$4:$I$1463,"&lt;"&amp;$I1246)/COUNT($I$4:$I$1463),3)))</f>
        <v>0.72699999999999998</v>
      </c>
      <c r="S1246" s="15" t="str">
        <f>IF($C1246="","",IF($G1246="","Name only",IF(OR($I1246="",$L1246=""),"Partial","Complete")))</f>
        <v>Complete</v>
      </c>
      <c r="T1246" s="41" t="str">
        <f>IF($C1246="","",TRIM(IF(COUNTIF($C$4:$C$1463,$C1246)&gt;1,"Dup name; ","")&amp;IF(AND($G1246&lt;&gt;"",$G1246&lt;55000),"Low CR - verify; ","")&amp;IF(AND($L1246&lt;&gt;"",$L1246&gt;15),"Secondary - verify; ","")&amp;IF($E1246="","No class; ","")))</f>
        <v/>
      </c>
      <c r="U1246" s="68"/>
      <c r="V1246" s="68"/>
      <c r="W1246" s="68"/>
      <c r="X1246" s="73">
        <f t="shared" si="97"/>
        <v>5303</v>
      </c>
      <c r="Y1246" s="41" t="str">
        <f t="shared" si="98"/>
        <v>SBG|53</v>
      </c>
      <c r="Z1246" s="15">
        <f>IF($C1246="","",IF($G1246="","",RANK($G1246,$G$4:$G$1463)+COUNTIF($G$4:$G1246,$G1246)-1))</f>
        <v>915</v>
      </c>
      <c r="AA1246" s="15">
        <f>IF($C1246="","",IF($N1246="","",RANK($N1246,$N$4:$N$1463)+COUNTIF($N$4:$N1246,$N1246)-1))</f>
        <v>424</v>
      </c>
      <c r="AB1246" s="41" t="str">
        <f>IF($C1246="","",IF($E1246="","",$E1246&amp;"#"&amp;(COUNTIFS($E$4:$E$1463,$E1246,$X$4:$X$1463,"&gt;"&amp;$X1246)+COUNTIFS($E$4:$E1246,$E1246,$X$4:$X1246,"="&amp;$X1246))))</f>
        <v>BLOOD KNIGHT#24</v>
      </c>
      <c r="AC1246" s="41" t="str">
        <f>IF($C1246="","",$B1246&amp;"@"&amp;(COUNTIFS($B$4:$B$1463,$B1246,$C$4:$C$1463,"&lt;"&amp;$C1246)+COUNTIFS($B$4:$B1246,$B1246,$C$4:$C1246,$C1246)))</f>
        <v>SBG@90</v>
      </c>
      <c r="AD1246" s="41">
        <f t="shared" si="99"/>
        <v>1243</v>
      </c>
      <c r="AE1246" s="41" t="s">
        <v>2646</v>
      </c>
      <c r="AF1246" s="73">
        <f t="shared" si="100"/>
        <v>61795</v>
      </c>
      <c r="AG1246" s="74">
        <f t="shared" si="101"/>
        <v>6.05</v>
      </c>
      <c r="AH1246" s="41" t="str">
        <f>IF($C1246="","",$B1246&amp;"|"&amp;(COUNTIFS($B$4:$B$1463,$B1246,$AF$4:$AF$1463,"&gt;"&amp;$AF1246)+COUNTIFS($B$4:$B1246,$B1246,$AF$4:$AF1246,"="&amp;$AF1246)))</f>
        <v>SBG|77</v>
      </c>
      <c r="AI1246" s="41" t="str">
        <f>IF($C1246="","",$B1246&amp;"|"&amp;(COUNTIFS($B$4:$B$1463,$B1246,$AG$4:$AG$1463,"&gt;"&amp;$AG1246)+COUNTIFS($B$4:$B1246,$B1246,$AG$4:$AG1246,"="&amp;$AG1246)))</f>
        <v>SBG|38</v>
      </c>
    </row>
    <row r="1247" spans="1:35" hidden="1">
      <c r="A1247" s="69" t="s">
        <v>106</v>
      </c>
      <c r="B1247" s="69" t="s">
        <v>107</v>
      </c>
      <c r="C1247" s="63" t="s">
        <v>2647</v>
      </c>
      <c r="D1247" s="69"/>
      <c r="E1247" s="68" t="s">
        <v>77</v>
      </c>
      <c r="F1247" s="19" t="str">
        <f>IF($C1247="","",IF($E1247="","-",IFERROR(INDEX(SETUP!$B$55:$B$64,MATCH($E1247,SETUP!$A$55:$A$64,0)),"Other")))</f>
        <v>Control</v>
      </c>
      <c r="G1247" s="70">
        <v>63351</v>
      </c>
      <c r="H1247" s="19" t="str">
        <f>IF($C1247="","",IF($G1247="","-",INDEX(SETUP!$B$26:$B$32,MATCH($G1247,SETUP!$A$26:$A$32,1))))</f>
        <v>63,000 - 63,999</v>
      </c>
      <c r="I1247" s="70">
        <v>3990</v>
      </c>
      <c r="J1247" s="19" t="str">
        <f>IF($C1247="","",IF($I1247="","-",INDEX(SETUP!$B$16:$B$22,MATCH($I1247,SETUP!$A$16:$A$22,1))))</f>
        <v>DEVELOPING</v>
      </c>
      <c r="K1247" s="19" t="str">
        <f>IF($C1247="","",IF($I1247="","-",TEXT(INT($I1247/1000)*1000,"#,##0")&amp;" - "&amp;TEXT(INT($I1247/1000)*1000+999,"#,##0")))</f>
        <v>3,000 - 3,999</v>
      </c>
      <c r="L1247" s="71">
        <v>6.3</v>
      </c>
      <c r="M1247" s="19" t="str">
        <f>IF($C1247="","",IF($L1247="","-",INDEX(SETUP!$B$36:$B$42,MATCH($L1247,SETUP!$A$36:$A$42,1))))</f>
        <v>6k - 8k</v>
      </c>
      <c r="N1247" s="21">
        <f>IF($C1247="","",IF(OR($G1247="",$I1247=""),"",ROUND(100*(SETUP!$B$4*MIN(1,$I1247/SETUP!$B$9)+SETUP!$B$5*MAX(0,MIN(1,($G1247-SETUP!$B$10)/(SETUP!$B$11-SETUP!$B$10)))+SETUP!$B$6*MIN(1,IF($L1247="",0,$L1247)/SETUP!$B$12)),1)))</f>
        <v>49.9</v>
      </c>
      <c r="O1247" s="19" t="str">
        <f>IF($C1247="","",IF($N1247="","-",INDEX(SETUP!$B$46:$B$51,MATCH($N1247,SETUP!$A$46:$A$51,1))))</f>
        <v>B</v>
      </c>
      <c r="P1247" s="19">
        <f>IF($C1247="","",IF($I1247="","",RANK($I1247,$I$4:$I$1463)+COUNTIF($I$4:$I1247,$I1247)-1))</f>
        <v>606</v>
      </c>
      <c r="Q1247" s="19">
        <f>IF($C1247="","",COUNTIFS($B$4:$B$1463,$B1247,$X$4:$X$1463,"&gt;"&amp;$X1247)+COUNTIFS($B$4:$B1247,$B1247,$X$4:$X1247,"="&amp;$X1247))</f>
        <v>53</v>
      </c>
      <c r="R1247" s="75">
        <f>IF($C1247="","",IF($I1247="","",ROUND(COUNTIF($I$4:$I$1463,"&lt;"&amp;$I1247)/COUNT($I$4:$I$1463),3)))</f>
        <v>0.54300000000000004</v>
      </c>
      <c r="S1247" s="19" t="str">
        <f>IF($C1247="","",IF($G1247="","Name only",IF(OR($I1247="",$L1247=""),"Partial","Complete")))</f>
        <v>Complete</v>
      </c>
      <c r="T1247" s="1" t="str">
        <f>IF($C1247="","",TRIM(IF(COUNTIF($C$4:$C$1463,$C1247)&gt;1,"Dup name; ","")&amp;IF(AND($G1247&lt;&gt;"",$G1247&lt;55000),"Low CR - verify; ","")&amp;IF(AND($L1247&lt;&gt;"",$L1247&gt;15),"Secondary - verify; ","")&amp;IF($E1247="","No class; ","")))</f>
        <v/>
      </c>
      <c r="U1247" s="68"/>
      <c r="V1247" s="68"/>
      <c r="W1247" s="68"/>
      <c r="X1247" s="76">
        <f t="shared" si="97"/>
        <v>3990</v>
      </c>
      <c r="Y1247" s="1" t="str">
        <f t="shared" si="98"/>
        <v>UNDYING|53</v>
      </c>
      <c r="Z1247" s="19">
        <f>IF($C1247="","",IF($G1247="","",RANK($G1247,$G$4:$G$1463)+COUNTIF($G$4:$G1247,$G1247)-1))</f>
        <v>239</v>
      </c>
      <c r="AA1247" s="19">
        <f>IF($C1247="","",IF($N1247="","",RANK($N1247,$N$4:$N$1463)+COUNTIF($N$4:$N1247,$N1247)-1))</f>
        <v>463</v>
      </c>
      <c r="AB1247" s="1" t="str">
        <f>IF($C1247="","",IF($E1247="","",$E1247&amp;"#"&amp;(COUNTIFS($E$4:$E$1463,$E1247,$X$4:$X$1463,"&gt;"&amp;$X1247)+COUNTIFS($E$4:$E1247,$E1247,$X$4:$X1247,"="&amp;$X1247))))</f>
        <v>NECROMANCER#28</v>
      </c>
      <c r="AC1247" s="1" t="str">
        <f>IF($C1247="","",$B1247&amp;"@"&amp;(COUNTIFS($B$4:$B$1463,$B1247,$C$4:$C$1463,"&lt;"&amp;$C1247)+COUNTIFS($B$4:$B1247,$B1247,$C$4:$C1247,$C1247)))</f>
        <v>UNDYING@93</v>
      </c>
      <c r="AD1247" s="1">
        <f t="shared" si="99"/>
        <v>1244</v>
      </c>
      <c r="AE1247" s="1" t="s">
        <v>815</v>
      </c>
      <c r="AF1247" s="76">
        <f t="shared" si="100"/>
        <v>63351</v>
      </c>
      <c r="AG1247" s="77">
        <f t="shared" si="101"/>
        <v>6.3</v>
      </c>
      <c r="AH1247" s="1" t="str">
        <f>IF($C1247="","",$B1247&amp;"|"&amp;(COUNTIFS($B$4:$B$1463,$B1247,$AF$4:$AF$1463,"&gt;"&amp;$AF1247)+COUNTIFS($B$4:$B1247,$B1247,$AF$4:$AF1247,"="&amp;$AF1247)))</f>
        <v>UNDYING|18</v>
      </c>
      <c r="AI1247" s="1" t="str">
        <f>IF($C1247="","",$B1247&amp;"|"&amp;(COUNTIFS($B$4:$B$1463,$B1247,$AG$4:$AG$1463,"&gt;"&amp;$AG1247)+COUNTIFS($B$4:$B1247,$B1247,$AG$4:$AG1247,"="&amp;$AG1247)))</f>
        <v>UNDYING|18</v>
      </c>
    </row>
    <row r="1248" spans="1:35" hidden="1">
      <c r="A1248" s="69" t="s">
        <v>106</v>
      </c>
      <c r="B1248" s="69" t="s">
        <v>86</v>
      </c>
      <c r="C1248" s="63" t="s">
        <v>2648</v>
      </c>
      <c r="D1248" s="69"/>
      <c r="E1248" s="68" t="s">
        <v>79</v>
      </c>
      <c r="F1248" s="15" t="str">
        <f>IF($C1248="","",IF($E1248="","-",IFERROR(INDEX(SETUP!$B$55:$B$64,MATCH($E1248,SETUP!$A$55:$A$64,0)),"Other")))</f>
        <v>Control</v>
      </c>
      <c r="G1248" s="70">
        <v>63653</v>
      </c>
      <c r="H1248" s="15" t="str">
        <f>IF($C1248="","",IF($G1248="","-",INDEX(SETUP!$B$26:$B$32,MATCH($G1248,SETUP!$A$26:$A$32,1))))</f>
        <v>63,000 - 63,999</v>
      </c>
      <c r="I1248" s="70">
        <v>8365</v>
      </c>
      <c r="J1248" s="15" t="str">
        <f>IF($C1248="","",IF($I1248="","-",INDEX(SETUP!$B$16:$B$22,MATCH($I1248,SETUP!$A$16:$A$22,1))))</f>
        <v>ELITE</v>
      </c>
      <c r="K1248" s="15" t="str">
        <f>IF($C1248="","",IF($I1248="","-",TEXT(INT($I1248/1000)*1000,"#,##0")&amp;" - "&amp;TEXT(INT($I1248/1000)*1000+999,"#,##0")))</f>
        <v>8,000 - 8,999</v>
      </c>
      <c r="L1248" s="71">
        <v>6.15</v>
      </c>
      <c r="M1248" s="15" t="str">
        <f>IF($C1248="","",IF($L1248="","-",INDEX(SETUP!$B$36:$B$42,MATCH($L1248,SETUP!$A$36:$A$42,1))))</f>
        <v>6k - 8k</v>
      </c>
      <c r="N1248" s="17">
        <f>IF($C1248="","",IF(OR($G1248="",$I1248=""),"",ROUND(100*(SETUP!$B$4*MIN(1,$I1248/SETUP!$B$9)+SETUP!$B$5*MAX(0,MIN(1,($G1248-SETUP!$B$10)/(SETUP!$B$11-SETUP!$B$10)))+SETUP!$B$6*MIN(1,IF($L1248="",0,$L1248)/SETUP!$B$12)),1)))</f>
        <v>69.5</v>
      </c>
      <c r="O1248" s="15" t="str">
        <f>IF($C1248="","",IF($N1248="","-",INDEX(SETUP!$B$46:$B$51,MATCH($N1248,SETUP!$A$46:$A$51,1))))</f>
        <v>S</v>
      </c>
      <c r="P1248" s="15">
        <f>IF($C1248="","",IF($I1248="","",RANK($I1248,$I$4:$I$1463)+COUNTIF($I$4:$I1248,$I1248)-1))</f>
        <v>127</v>
      </c>
      <c r="Q1248" s="15">
        <f>IF($C1248="","",COUNTIFS($B$4:$B$1463,$B1248,$X$4:$X$1463,"&gt;"&amp;$X1248)+COUNTIFS($B$4:$B1248,$B1248,$X$4:$X1248,"="&amp;$X1248))</f>
        <v>29</v>
      </c>
      <c r="R1248" s="72">
        <f>IF($C1248="","",IF($I1248="","",ROUND(COUNTIF($I$4:$I$1463,"&lt;"&amp;$I1248)/COUNT($I$4:$I$1463),3)))</f>
        <v>0.90400000000000003</v>
      </c>
      <c r="S1248" s="15" t="str">
        <f>IF($C1248="","",IF($G1248="","Name only",IF(OR($I1248="",$L1248=""),"Partial","Complete")))</f>
        <v>Complete</v>
      </c>
      <c r="T1248" s="41" t="str">
        <f>IF($C1248="","",TRIM(IF(COUNTIF($C$4:$C$1463,$C1248)&gt;1,"Dup name; ","")&amp;IF(AND($G1248&lt;&gt;"",$G1248&lt;55000),"Low CR - verify; ","")&amp;IF(AND($L1248&lt;&gt;"",$L1248&gt;15),"Secondary - verify; ","")&amp;IF($E1248="","No class; ","")))</f>
        <v/>
      </c>
      <c r="U1248" s="68"/>
      <c r="V1248" s="68"/>
      <c r="W1248" s="68"/>
      <c r="X1248" s="73">
        <f t="shared" si="97"/>
        <v>8365</v>
      </c>
      <c r="Y1248" s="41" t="str">
        <f t="shared" si="98"/>
        <v>VANGUARD|29</v>
      </c>
      <c r="Z1248" s="15">
        <f>IF($C1248="","",IF($G1248="","",RANK($G1248,$G$4:$G$1463)+COUNTIF($G$4:$G1248,$G1248)-1))</f>
        <v>151</v>
      </c>
      <c r="AA1248" s="15">
        <f>IF($C1248="","",IF($N1248="","",RANK($N1248,$N$4:$N$1463)+COUNTIF($N$4:$N1248,$N1248)-1))</f>
        <v>133</v>
      </c>
      <c r="AB1248" s="41" t="str">
        <f>IF($C1248="","",IF($E1248="","",$E1248&amp;"#"&amp;(COUNTIFS($E$4:$E$1463,$E1248,$X$4:$X$1463,"&gt;"&amp;$X1248)+COUNTIFS($E$4:$E1248,$E1248,$X$4:$X1248,"="&amp;$X1248))))</f>
        <v>WARLOCK#28</v>
      </c>
      <c r="AC1248" s="41" t="str">
        <f>IF($C1248="","",$B1248&amp;"@"&amp;(COUNTIFS($B$4:$B$1463,$B1248,$C$4:$C$1463,"&lt;"&amp;$C1248)+COUNTIFS($B$4:$B1248,$B1248,$C$4:$C1248,$C1248)))</f>
        <v>VANGUARD@92</v>
      </c>
      <c r="AD1248" s="41">
        <f t="shared" si="99"/>
        <v>1245</v>
      </c>
      <c r="AE1248" s="41" t="s">
        <v>2649</v>
      </c>
      <c r="AF1248" s="73">
        <f t="shared" si="100"/>
        <v>63653</v>
      </c>
      <c r="AG1248" s="74">
        <f t="shared" si="101"/>
        <v>6.15</v>
      </c>
      <c r="AH1248" s="41" t="str">
        <f>IF($C1248="","",$B1248&amp;"|"&amp;(COUNTIFS($B$4:$B$1463,$B1248,$AF$4:$AF$1463,"&gt;"&amp;$AF1248)+COUNTIFS($B$4:$B1248,$B1248,$AF$4:$AF1248,"="&amp;$AF1248)))</f>
        <v>VANGUARD|33</v>
      </c>
      <c r="AI1248" s="41" t="str">
        <f>IF($C1248="","",$B1248&amp;"|"&amp;(COUNTIFS($B$4:$B$1463,$B1248,$AG$4:$AG$1463,"&gt;"&amp;$AG1248)+COUNTIFS($B$4:$B1248,$B1248,$AG$4:$AG1248,"="&amp;$AG1248)))</f>
        <v>VANGUARD|38</v>
      </c>
    </row>
    <row r="1249" spans="1:35" hidden="1">
      <c r="A1249" s="69" t="s">
        <v>109</v>
      </c>
      <c r="B1249" s="69" t="s">
        <v>113</v>
      </c>
      <c r="C1249" s="63" t="s">
        <v>2650</v>
      </c>
      <c r="D1249" s="69" t="s">
        <v>548</v>
      </c>
      <c r="E1249" s="68" t="s">
        <v>74</v>
      </c>
      <c r="F1249" s="19" t="str">
        <f>IF($C1249="","",IF($E1249="","-",IFERROR(INDEX(SETUP!$B$55:$B$64,MATCH($E1249,SETUP!$A$55:$A$64,0)),"Other")))</f>
        <v>Ranged DPS</v>
      </c>
      <c r="G1249" s="70">
        <v>61764</v>
      </c>
      <c r="H1249" s="19" t="str">
        <f>IF($C1249="","",IF($G1249="","-",INDEX(SETUP!$B$26:$B$32,MATCH($G1249,SETUP!$A$26:$A$32,1))))</f>
        <v>61,000 - 61,999</v>
      </c>
      <c r="I1249" s="70">
        <v>2750</v>
      </c>
      <c r="J1249" s="19" t="str">
        <f>IF($C1249="","",IF($I1249="","-",INDEX(SETUP!$B$16:$B$22,MATCH($I1249,SETUP!$A$16:$A$22,1))))</f>
        <v>DEVELOPING</v>
      </c>
      <c r="K1249" s="19" t="str">
        <f>IF($C1249="","",IF($I1249="","-",TEXT(INT($I1249/1000)*1000,"#,##0")&amp;" - "&amp;TEXT(INT($I1249/1000)*1000+999,"#,##0")))</f>
        <v>2,000 - 2,999</v>
      </c>
      <c r="L1249" s="71">
        <v>3.7</v>
      </c>
      <c r="M1249" s="19" t="str">
        <f>IF($C1249="","",IF($L1249="","-",INDEX(SETUP!$B$36:$B$42,MATCH($L1249,SETUP!$A$36:$A$42,1))))</f>
        <v>3k - 4k</v>
      </c>
      <c r="N1249" s="21">
        <f>IF($C1249="","",IF(OR($G1249="",$I1249=""),"",ROUND(100*(SETUP!$B$4*MIN(1,$I1249/SETUP!$B$9)+SETUP!$B$5*MAX(0,MIN(1,($G1249-SETUP!$B$10)/(SETUP!$B$11-SETUP!$B$10)))+SETUP!$B$6*MIN(1,IF($L1249="",0,$L1249)/SETUP!$B$12)),1)))</f>
        <v>36</v>
      </c>
      <c r="O1249" s="19" t="str">
        <f>IF($C1249="","",IF($N1249="","-",INDEX(SETUP!$B$46:$B$51,MATCH($N1249,SETUP!$A$46:$A$51,1))))</f>
        <v>B</v>
      </c>
      <c r="P1249" s="19">
        <f>IF($C1249="","",IF($I1249="","",RANK($I1249,$I$4:$I$1463)+COUNTIF($I$4:$I1249,$I1249)-1))</f>
        <v>942</v>
      </c>
      <c r="Q1249" s="19">
        <f>IF($C1249="","",COUNTIFS($B$4:$B$1463,$B1249,$X$4:$X$1463,"&gt;"&amp;$X1249)+COUNTIFS($B$4:$B1249,$B1249,$X$4:$X1249,"="&amp;$X1249))</f>
        <v>61</v>
      </c>
      <c r="R1249" s="75">
        <f>IF($C1249="","",IF($I1249="","",ROUND(COUNTIF($I$4:$I$1463,"&lt;"&amp;$I1249)/COUNT($I$4:$I$1463),3)))</f>
        <v>0.28899999999999998</v>
      </c>
      <c r="S1249" s="19" t="str">
        <f>IF($C1249="","",IF($G1249="","Name only",IF(OR($I1249="",$L1249=""),"Partial","Complete")))</f>
        <v>Complete</v>
      </c>
      <c r="T1249" s="1" t="str">
        <f>IF($C1249="","",TRIM(IF(COUNTIF($C$4:$C$1463,$C1249)&gt;1,"Dup name; ","")&amp;IF(AND($G1249&lt;&gt;"",$G1249&lt;55000),"Low CR - verify; ","")&amp;IF(AND($L1249&lt;&gt;"",$L1249&gt;15),"Secondary - verify; ","")&amp;IF($E1249="","No class; ","")))</f>
        <v/>
      </c>
      <c r="U1249" s="68"/>
      <c r="V1249" s="68"/>
      <c r="W1249" s="68"/>
      <c r="X1249" s="76">
        <f t="shared" si="97"/>
        <v>2750</v>
      </c>
      <c r="Y1249" s="1" t="str">
        <f t="shared" si="98"/>
        <v>INVICTUS|61</v>
      </c>
      <c r="Z1249" s="19">
        <f>IF($C1249="","",IF($G1249="","",RANK($G1249,$G$4:$G$1463)+COUNTIF($G$4:$G1249,$G1249)-1))</f>
        <v>921</v>
      </c>
      <c r="AA1249" s="19">
        <f>IF($C1249="","",IF($N1249="","",RANK($N1249,$N$4:$N$1463)+COUNTIF($N$4:$N1249,$N1249)-1))</f>
        <v>967</v>
      </c>
      <c r="AB1249" s="1" t="str">
        <f>IF($C1249="","",IF($E1249="","",$E1249&amp;"#"&amp;(COUNTIFS($E$4:$E$1463,$E1249,$X$4:$X$1463,"&gt;"&amp;$X1249)+COUNTIFS($E$4:$E1249,$E1249,$X$4:$X1249,"="&amp;$X1249))))</f>
        <v>DEMON HUNTER#152</v>
      </c>
      <c r="AC1249" s="1" t="str">
        <f>IF($C1249="","",$B1249&amp;"@"&amp;(COUNTIFS($B$4:$B$1463,$B1249,$C$4:$C$1463,"&lt;"&amp;$C1249)+COUNTIFS($B$4:$B1249,$B1249,$C$4:$C1249,$C1249)))</f>
        <v>INVICTUS@95</v>
      </c>
      <c r="AD1249" s="1">
        <f t="shared" si="99"/>
        <v>1246</v>
      </c>
      <c r="AE1249" s="1" t="s">
        <v>2651</v>
      </c>
      <c r="AF1249" s="76">
        <f t="shared" si="100"/>
        <v>61764</v>
      </c>
      <c r="AG1249" s="77">
        <f t="shared" si="101"/>
        <v>3.7</v>
      </c>
      <c r="AH1249" s="1" t="str">
        <f>IF($C1249="","",$B1249&amp;"|"&amp;(COUNTIFS($B$4:$B$1463,$B1249,$AF$4:$AF$1463,"&gt;"&amp;$AF1249)+COUNTIFS($B$4:$B1249,$B1249,$AF$4:$AF1249,"="&amp;$AF1249)))</f>
        <v>INVICTUS|64</v>
      </c>
      <c r="AI1249" s="1" t="str">
        <f>IF($C1249="","",$B1249&amp;"|"&amp;(COUNTIFS($B$4:$B$1463,$B1249,$AG$4:$AG$1463,"&gt;"&amp;$AG1249)+COUNTIFS($B$4:$B1249,$B1249,$AG$4:$AG1249,"="&amp;$AG1249)))</f>
        <v>INVICTUS|68</v>
      </c>
    </row>
    <row r="1250" spans="1:35" hidden="1">
      <c r="A1250" s="69" t="s">
        <v>106</v>
      </c>
      <c r="B1250" s="69" t="s">
        <v>86</v>
      </c>
      <c r="C1250" s="63" t="s">
        <v>2652</v>
      </c>
      <c r="D1250" s="69"/>
      <c r="E1250" s="68" t="s">
        <v>71</v>
      </c>
      <c r="F1250" s="15" t="str">
        <f>IF($C1250="","",IF($E1250="","-",IFERROR(INDEX(SETUP!$B$55:$B$64,MATCH($E1250,SETUP!$A$55:$A$64,0)),"Other")))</f>
        <v>Frontline</v>
      </c>
      <c r="G1250" s="70">
        <v>59784</v>
      </c>
      <c r="H1250" s="15" t="str">
        <f>IF($C1250="","",IF($G1250="","-",INDEX(SETUP!$B$26:$B$32,MATCH($G1250,SETUP!$A$26:$A$32,1))))</f>
        <v>58,000 - 59,999</v>
      </c>
      <c r="I1250" s="70">
        <v>2148</v>
      </c>
      <c r="J1250" s="15" t="str">
        <f>IF($C1250="","",IF($I1250="","-",INDEX(SETUP!$B$16:$B$22,MATCH($I1250,SETUP!$A$16:$A$22,1))))</f>
        <v>DEVELOPING</v>
      </c>
      <c r="K1250" s="15" t="str">
        <f>IF($C1250="","",IF($I1250="","-",TEXT(INT($I1250/1000)*1000,"#,##0")&amp;" - "&amp;TEXT(INT($I1250/1000)*1000+999,"#,##0")))</f>
        <v>2,000 - 2,999</v>
      </c>
      <c r="L1250" s="71">
        <v>4.4000000000000004</v>
      </c>
      <c r="M1250" s="15" t="str">
        <f>IF($C1250="","",IF($L1250="","-",INDEX(SETUP!$B$36:$B$42,MATCH($L1250,SETUP!$A$36:$A$42,1))))</f>
        <v>4k - 5k</v>
      </c>
      <c r="N1250" s="17">
        <f>IF($C1250="","",IF(OR($G1250="",$I1250=""),"",ROUND(100*(SETUP!$B$4*MIN(1,$I1250/SETUP!$B$9)+SETUP!$B$5*MAX(0,MIN(1,($G1250-SETUP!$B$10)/(SETUP!$B$11-SETUP!$B$10)))+SETUP!$B$6*MIN(1,IF($L1250="",0,$L1250)/SETUP!$B$12)),1)))</f>
        <v>29.3</v>
      </c>
      <c r="O1250" s="15" t="str">
        <f>IF($C1250="","",IF($N1250="","-",INDEX(SETUP!$B$46:$B$51,MATCH($N1250,SETUP!$A$46:$A$51,1))))</f>
        <v>C</v>
      </c>
      <c r="P1250" s="15">
        <f>IF($C1250="","",IF($I1250="","",RANK($I1250,$I$4:$I$1463)+COUNTIF($I$4:$I1250,$I1250)-1))</f>
        <v>1075</v>
      </c>
      <c r="Q1250" s="15">
        <f>IF($C1250="","",COUNTIFS($B$4:$B$1463,$B1250,$X$4:$X$1463,"&gt;"&amp;$X1250)+COUNTIFS($B$4:$B1250,$B1250,$X$4:$X1250,"="&amp;$X1250))</f>
        <v>94</v>
      </c>
      <c r="R1250" s="72">
        <f>IF($C1250="","",IF($I1250="","",ROUND(COUNTIF($I$4:$I$1463,"&lt;"&amp;$I1250)/COUNT($I$4:$I$1463),3)))</f>
        <v>0.189</v>
      </c>
      <c r="S1250" s="15" t="str">
        <f>IF($C1250="","",IF($G1250="","Name only",IF(OR($I1250="",$L1250=""),"Partial","Complete")))</f>
        <v>Complete</v>
      </c>
      <c r="T1250" s="41" t="str">
        <f>IF($C1250="","",TRIM(IF(COUNTIF($C$4:$C$1463,$C1250)&gt;1,"Dup name; ","")&amp;IF(AND($G1250&lt;&gt;"",$G1250&lt;55000),"Low CR - verify; ","")&amp;IF(AND($L1250&lt;&gt;"",$L1250&gt;15),"Secondary - verify; ","")&amp;IF($E1250="","No class; ","")))</f>
        <v/>
      </c>
      <c r="U1250" s="68"/>
      <c r="V1250" s="68"/>
      <c r="W1250" s="68"/>
      <c r="X1250" s="73">
        <f t="shared" si="97"/>
        <v>2148</v>
      </c>
      <c r="Y1250" s="41" t="str">
        <f t="shared" si="98"/>
        <v>VANGUARD|94</v>
      </c>
      <c r="Z1250" s="15">
        <f>IF($C1250="","",IF($G1250="","",RANK($G1250,$G$4:$G$1463)+COUNTIF($G$4:$G1250,$G1250)-1))</f>
        <v>1250</v>
      </c>
      <c r="AA1250" s="15">
        <f>IF($C1250="","",IF($N1250="","",RANK($N1250,$N$4:$N$1463)+COUNTIF($N$4:$N1250,$N1250)-1))</f>
        <v>1163</v>
      </c>
      <c r="AB1250" s="41" t="str">
        <f>IF($C1250="","",IF($E1250="","",$E1250&amp;"#"&amp;(COUNTIFS($E$4:$E$1463,$E1250,$X$4:$X$1463,"&gt;"&amp;$X1250)+COUNTIFS($E$4:$E1250,$E1250,$X$4:$X1250,"="&amp;$X1250))))</f>
        <v>BARBARIAN#184</v>
      </c>
      <c r="AC1250" s="41" t="str">
        <f>IF($C1250="","",$B1250&amp;"@"&amp;(COUNTIFS($B$4:$B$1463,$B1250,$C$4:$C$1463,"&lt;"&amp;$C1250)+COUNTIFS($B$4:$B1250,$B1250,$C$4:$C1250,$C1250)))</f>
        <v>VANGUARD@93</v>
      </c>
      <c r="AD1250" s="41">
        <f t="shared" si="99"/>
        <v>1247</v>
      </c>
      <c r="AE1250" s="41" t="s">
        <v>592</v>
      </c>
      <c r="AF1250" s="73">
        <f t="shared" si="100"/>
        <v>59784</v>
      </c>
      <c r="AG1250" s="74">
        <f t="shared" si="101"/>
        <v>4.4000000000000004</v>
      </c>
      <c r="AH1250" s="41" t="str">
        <f>IF($C1250="","",$B1250&amp;"|"&amp;(COUNTIFS($B$4:$B$1463,$B1250,$AF$4:$AF$1463,"&gt;"&amp;$AF1250)+COUNTIFS($B$4:$B1250,$B1250,$AF$4:$AF1250,"="&amp;$AF1250)))</f>
        <v>VANGUARD|95</v>
      </c>
      <c r="AI1250" s="41" t="str">
        <f>IF($C1250="","",$B1250&amp;"|"&amp;(COUNTIFS($B$4:$B$1463,$B1250,$AG$4:$AG$1463,"&gt;"&amp;$AG1250)+COUNTIFS($B$4:$B1250,$B1250,$AG$4:$AG1250,"="&amp;$AG1250)))</f>
        <v>VANGUARD|82</v>
      </c>
    </row>
    <row r="1251" spans="1:35" hidden="1">
      <c r="A1251" s="69" t="s">
        <v>109</v>
      </c>
      <c r="B1251" s="69" t="s">
        <v>108</v>
      </c>
      <c r="C1251" s="63" t="s">
        <v>2653</v>
      </c>
      <c r="D1251" s="69"/>
      <c r="E1251" s="68" t="s">
        <v>71</v>
      </c>
      <c r="F1251" s="19" t="str">
        <f>IF($C1251="","",IF($E1251="","-",IFERROR(INDEX(SETUP!$B$55:$B$64,MATCH($E1251,SETUP!$A$55:$A$64,0)),"Other")))</f>
        <v>Frontline</v>
      </c>
      <c r="G1251" s="70">
        <v>62455</v>
      </c>
      <c r="H1251" s="19" t="str">
        <f>IF($C1251="","",IF($G1251="","-",INDEX(SETUP!$B$26:$B$32,MATCH($G1251,SETUP!$A$26:$A$32,1))))</f>
        <v>62,000 - 62,999</v>
      </c>
      <c r="I1251" s="70">
        <v>3372</v>
      </c>
      <c r="J1251" s="19" t="str">
        <f>IF($C1251="","",IF($I1251="","-",INDEX(SETUP!$B$16:$B$22,MATCH($I1251,SETUP!$A$16:$A$22,1))))</f>
        <v>DEVELOPING</v>
      </c>
      <c r="K1251" s="19" t="str">
        <f>IF($C1251="","",IF($I1251="","-",TEXT(INT($I1251/1000)*1000,"#,##0")&amp;" - "&amp;TEXT(INT($I1251/1000)*1000+999,"#,##0")))</f>
        <v>3,000 - 3,999</v>
      </c>
      <c r="L1251" s="71">
        <v>4.5</v>
      </c>
      <c r="M1251" s="19" t="str">
        <f>IF($C1251="","",IF($L1251="","-",INDEX(SETUP!$B$36:$B$42,MATCH($L1251,SETUP!$A$36:$A$42,1))))</f>
        <v>4k - 5k</v>
      </c>
      <c r="N1251" s="21">
        <f>IF($C1251="","",IF(OR($G1251="",$I1251=""),"",ROUND(100*(SETUP!$B$4*MIN(1,$I1251/SETUP!$B$9)+SETUP!$B$5*MAX(0,MIN(1,($G1251-SETUP!$B$10)/(SETUP!$B$11-SETUP!$B$10)))+SETUP!$B$6*MIN(1,IF($L1251="",0,$L1251)/SETUP!$B$12)),1)))</f>
        <v>41.8</v>
      </c>
      <c r="O1251" s="19" t="str">
        <f>IF($C1251="","",IF($N1251="","-",INDEX(SETUP!$B$46:$B$51,MATCH($N1251,SETUP!$A$46:$A$51,1))))</f>
        <v>B</v>
      </c>
      <c r="P1251" s="19">
        <f>IF($C1251="","",IF($I1251="","",RANK($I1251,$I$4:$I$1463)+COUNTIF($I$4:$I1251,$I1251)-1))</f>
        <v>765</v>
      </c>
      <c r="Q1251" s="19">
        <f>IF($C1251="","",COUNTIFS($B$4:$B$1463,$B1251,$X$4:$X$1463,"&gt;"&amp;$X1251)+COUNTIFS($B$4:$B1251,$B1251,$X$4:$X1251,"="&amp;$X1251))</f>
        <v>86</v>
      </c>
      <c r="R1251" s="75">
        <f>IF($C1251="","",IF($I1251="","",ROUND(COUNTIF($I$4:$I$1463,"&lt;"&amp;$I1251)/COUNT($I$4:$I$1463),3)))</f>
        <v>0.42299999999999999</v>
      </c>
      <c r="S1251" s="19" t="str">
        <f>IF($C1251="","",IF($G1251="","Name only",IF(OR($I1251="",$L1251=""),"Partial","Complete")))</f>
        <v>Complete</v>
      </c>
      <c r="T1251" s="1" t="str">
        <f>IF($C1251="","",TRIM(IF(COUNTIF($C$4:$C$1463,$C1251)&gt;1,"Dup name; ","")&amp;IF(AND($G1251&lt;&gt;"",$G1251&lt;55000),"Low CR - verify; ","")&amp;IF(AND($L1251&lt;&gt;"",$L1251&gt;15),"Secondary - verify; ","")&amp;IF($E1251="","No class; ","")))</f>
        <v/>
      </c>
      <c r="U1251" s="68"/>
      <c r="V1251" s="68"/>
      <c r="W1251" s="68"/>
      <c r="X1251" s="76">
        <f t="shared" si="97"/>
        <v>3372</v>
      </c>
      <c r="Y1251" s="1" t="str">
        <f t="shared" si="98"/>
        <v>SBG|86</v>
      </c>
      <c r="Z1251" s="19">
        <f>IF($C1251="","",IF($G1251="","",RANK($G1251,$G$4:$G$1463)+COUNTIF($G$4:$G1251,$G1251)-1))</f>
        <v>668</v>
      </c>
      <c r="AA1251" s="19">
        <f>IF($C1251="","",IF($N1251="","",RANK($N1251,$N$4:$N$1463)+COUNTIF($N$4:$N1251,$N1251)-1))</f>
        <v>747</v>
      </c>
      <c r="AB1251" s="1" t="str">
        <f>IF($C1251="","",IF($E1251="","",$E1251&amp;"#"&amp;(COUNTIFS($E$4:$E$1463,$E1251,$X$4:$X$1463,"&gt;"&amp;$X1251)+COUNTIFS($E$4:$E1251,$E1251,$X$4:$X1251,"="&amp;$X1251))))</f>
        <v>BARBARIAN#136</v>
      </c>
      <c r="AC1251" s="1" t="str">
        <f>IF($C1251="","",$B1251&amp;"@"&amp;(COUNTIFS($B$4:$B$1463,$B1251,$C$4:$C$1463,"&lt;"&amp;$C1251)+COUNTIFS($B$4:$B1251,$B1251,$C$4:$C1251,$C1251)))</f>
        <v>SBG@91</v>
      </c>
      <c r="AD1251" s="1">
        <f t="shared" si="99"/>
        <v>1248</v>
      </c>
      <c r="AE1251" s="1" t="s">
        <v>1246</v>
      </c>
      <c r="AF1251" s="76">
        <f t="shared" si="100"/>
        <v>62455</v>
      </c>
      <c r="AG1251" s="77">
        <f t="shared" si="101"/>
        <v>4.5</v>
      </c>
      <c r="AH1251" s="1" t="str">
        <f>IF($C1251="","",$B1251&amp;"|"&amp;(COUNTIFS($B$4:$B$1463,$B1251,$AF$4:$AF$1463,"&gt;"&amp;$AF1251)+COUNTIFS($B$4:$B1251,$B1251,$AF$4:$AF1251,"="&amp;$AF1251)))</f>
        <v>SBG|59</v>
      </c>
      <c r="AI1251" s="1" t="str">
        <f>IF($C1251="","",$B1251&amp;"|"&amp;(COUNTIFS($B$4:$B$1463,$B1251,$AG$4:$AG$1463,"&gt;"&amp;$AG1251)+COUNTIFS($B$4:$B1251,$B1251,$AG$4:$AG1251,"="&amp;$AG1251)))</f>
        <v>SBG|84</v>
      </c>
    </row>
    <row r="1252" spans="1:35" hidden="1">
      <c r="A1252" s="69" t="s">
        <v>106</v>
      </c>
      <c r="B1252" s="69" t="s">
        <v>105</v>
      </c>
      <c r="C1252" s="63" t="s">
        <v>2654</v>
      </c>
      <c r="D1252" s="69"/>
      <c r="E1252" s="68" t="s">
        <v>71</v>
      </c>
      <c r="F1252" s="15" t="str">
        <f>IF($C1252="","",IF($E1252="","-",IFERROR(INDEX(SETUP!$B$55:$B$64,MATCH($E1252,SETUP!$A$55:$A$64,0)),"Other")))</f>
        <v>Frontline</v>
      </c>
      <c r="G1252" s="70">
        <v>62989</v>
      </c>
      <c r="H1252" s="15" t="str">
        <f>IF($C1252="","",IF($G1252="","-",INDEX(SETUP!$B$26:$B$32,MATCH($G1252,SETUP!$A$26:$A$32,1))))</f>
        <v>62,000 - 62,999</v>
      </c>
      <c r="I1252" s="70">
        <v>4770</v>
      </c>
      <c r="J1252" s="15" t="str">
        <f>IF($C1252="","",IF($I1252="","-",INDEX(SETUP!$B$16:$B$22,MATCH($I1252,SETUP!$A$16:$A$22,1))))</f>
        <v>CORE</v>
      </c>
      <c r="K1252" s="15" t="str">
        <f>IF($C1252="","",IF($I1252="","-",TEXT(INT($I1252/1000)*1000,"#,##0")&amp;" - "&amp;TEXT(INT($I1252/1000)*1000+999,"#,##0")))</f>
        <v>4,000 - 4,999</v>
      </c>
      <c r="L1252" s="71">
        <v>5.81</v>
      </c>
      <c r="M1252" s="15" t="str">
        <f>IF($C1252="","",IF($L1252="","-",INDEX(SETUP!$B$36:$B$42,MATCH($L1252,SETUP!$A$36:$A$42,1))))</f>
        <v>5k - 6k</v>
      </c>
      <c r="N1252" s="17">
        <f>IF($C1252="","",IF(OR($G1252="",$I1252=""),"",ROUND(100*(SETUP!$B$4*MIN(1,$I1252/SETUP!$B$9)+SETUP!$B$5*MAX(0,MIN(1,($G1252-SETUP!$B$10)/(SETUP!$B$11-SETUP!$B$10)))+SETUP!$B$6*MIN(1,IF($L1252="",0,$L1252)/SETUP!$B$12)),1)))</f>
        <v>51.5</v>
      </c>
      <c r="O1252" s="15" t="str">
        <f>IF($C1252="","",IF($N1252="","-",INDEX(SETUP!$B$46:$B$51,MATCH($N1252,SETUP!$A$46:$A$51,1))))</f>
        <v>A</v>
      </c>
      <c r="P1252" s="15">
        <f>IF($C1252="","",IF($I1252="","",RANK($I1252,$I$4:$I$1463)+COUNTIF($I$4:$I1252,$I1252)-1))</f>
        <v>443</v>
      </c>
      <c r="Q1252" s="15">
        <f>IF($C1252="","",COUNTIFS($B$4:$B$1463,$B1252,$X$4:$X$1463,"&gt;"&amp;$X1252)+COUNTIFS($B$4:$B1252,$B1252,$X$4:$X1252,"="&amp;$X1252))</f>
        <v>56</v>
      </c>
      <c r="R1252" s="72">
        <f>IF($C1252="","",IF($I1252="","",ROUND(COUNTIF($I$4:$I$1463,"&lt;"&amp;$I1252)/COUNT($I$4:$I$1463),3)))</f>
        <v>0.66600000000000004</v>
      </c>
      <c r="S1252" s="15" t="str">
        <f>IF($C1252="","",IF($G1252="","Name only",IF(OR($I1252="",$L1252=""),"Partial","Complete")))</f>
        <v>Complete</v>
      </c>
      <c r="T1252" s="41" t="str">
        <f>IF($C1252="","",TRIM(IF(COUNTIF($C$4:$C$1463,$C1252)&gt;1,"Dup name; ","")&amp;IF(AND($G1252&lt;&gt;"",$G1252&lt;55000),"Low CR - verify; ","")&amp;IF(AND($L1252&lt;&gt;"",$L1252&gt;15),"Secondary - verify; ","")&amp;IF($E1252="","No class; ","")))</f>
        <v/>
      </c>
      <c r="U1252" s="68"/>
      <c r="V1252" s="68"/>
      <c r="W1252" s="68"/>
      <c r="X1252" s="73">
        <f t="shared" si="97"/>
        <v>4770</v>
      </c>
      <c r="Y1252" s="41" t="str">
        <f t="shared" si="98"/>
        <v>LEGENDS|56</v>
      </c>
      <c r="Z1252" s="15">
        <f>IF($C1252="","",IF($G1252="","",RANK($G1252,$G$4:$G$1463)+COUNTIF($G$4:$G1252,$G1252)-1))</f>
        <v>434</v>
      </c>
      <c r="AA1252" s="15">
        <f>IF($C1252="","",IF($N1252="","",RANK($N1252,$N$4:$N$1463)+COUNTIF($N$4:$N1252,$N1252)-1))</f>
        <v>405</v>
      </c>
      <c r="AB1252" s="41" t="str">
        <f>IF($C1252="","",IF($E1252="","",$E1252&amp;"#"&amp;(COUNTIFS($E$4:$E$1463,$E1252,$X$4:$X$1463,"&gt;"&amp;$X1252)+COUNTIFS($E$4:$E1252,$E1252,$X$4:$X1252,"="&amp;$X1252))))</f>
        <v>BARBARIAN#88</v>
      </c>
      <c r="AC1252" s="41" t="str">
        <f>IF($C1252="","",$B1252&amp;"@"&amp;(COUNTIFS($B$4:$B$1463,$B1252,$C$4:$C$1463,"&lt;"&amp;$C1252)+COUNTIFS($B$4:$B1252,$B1252,$C$4:$C1252,$C1252)))</f>
        <v>LEGENDS@95</v>
      </c>
      <c r="AD1252" s="41">
        <f t="shared" si="99"/>
        <v>1249</v>
      </c>
      <c r="AE1252" s="41" t="s">
        <v>2655</v>
      </c>
      <c r="AF1252" s="73">
        <f t="shared" si="100"/>
        <v>62989</v>
      </c>
      <c r="AG1252" s="74">
        <f t="shared" si="101"/>
        <v>5.81</v>
      </c>
      <c r="AH1252" s="41" t="str">
        <f>IF($C1252="","",$B1252&amp;"|"&amp;(COUNTIFS($B$4:$B$1463,$B1252,$AF$4:$AF$1463,"&gt;"&amp;$AF1252)+COUNTIFS($B$4:$B1252,$B1252,$AF$4:$AF1252,"="&amp;$AF1252)))</f>
        <v>LEGENDS|53</v>
      </c>
      <c r="AI1252" s="41" t="str">
        <f>IF($C1252="","",$B1252&amp;"|"&amp;(COUNTIFS($B$4:$B$1463,$B1252,$AG$4:$AG$1463,"&gt;"&amp;$AG1252)+COUNTIFS($B$4:$B1252,$B1252,$AG$4:$AG1252,"="&amp;$AG1252)))</f>
        <v>LEGENDS|26</v>
      </c>
    </row>
    <row r="1253" spans="1:35" hidden="1">
      <c r="A1253" s="69" t="s">
        <v>106</v>
      </c>
      <c r="B1253" s="69" t="s">
        <v>105</v>
      </c>
      <c r="C1253" s="63" t="s">
        <v>2656</v>
      </c>
      <c r="D1253" s="69"/>
      <c r="E1253" s="68" t="s">
        <v>76</v>
      </c>
      <c r="F1253" s="19" t="str">
        <f>IF($C1253="","",IF($E1253="","-",IFERROR(INDEX(SETUP!$B$55:$B$64,MATCH($E1253,SETUP!$A$55:$A$64,0)),"Other")))</f>
        <v>Support</v>
      </c>
      <c r="G1253" s="70">
        <v>63381</v>
      </c>
      <c r="H1253" s="19" t="str">
        <f>IF($C1253="","",IF($G1253="","-",INDEX(SETUP!$B$26:$B$32,MATCH($G1253,SETUP!$A$26:$A$32,1))))</f>
        <v>63,000 - 63,999</v>
      </c>
      <c r="I1253" s="70">
        <v>5123</v>
      </c>
      <c r="J1253" s="19" t="str">
        <f>IF($C1253="","",IF($I1253="","-",INDEX(SETUP!$B$16:$B$22,MATCH($I1253,SETUP!$A$16:$A$22,1))))</f>
        <v>CORE</v>
      </c>
      <c r="K1253" s="19" t="str">
        <f>IF($C1253="","",IF($I1253="","-",TEXT(INT($I1253/1000)*1000,"#,##0")&amp;" - "&amp;TEXT(INT($I1253/1000)*1000+999,"#,##0")))</f>
        <v>5,000 - 5,999</v>
      </c>
      <c r="L1253" s="71">
        <v>4.66</v>
      </c>
      <c r="M1253" s="19" t="str">
        <f>IF($C1253="","",IF($L1253="","-",INDEX(SETUP!$B$36:$B$42,MATCH($L1253,SETUP!$A$36:$A$42,1))))</f>
        <v>4k - 5k</v>
      </c>
      <c r="N1253" s="21">
        <f>IF($C1253="","",IF(OR($G1253="",$I1253=""),"",ROUND(100*(SETUP!$B$4*MIN(1,$I1253/SETUP!$B$9)+SETUP!$B$5*MAX(0,MIN(1,($G1253-SETUP!$B$10)/(SETUP!$B$11-SETUP!$B$10)))+SETUP!$B$6*MIN(1,IF($L1253="",0,$L1253)/SETUP!$B$12)),1)))</f>
        <v>52.2</v>
      </c>
      <c r="O1253" s="19" t="str">
        <f>IF($C1253="","",IF($N1253="","-",INDEX(SETUP!$B$46:$B$51,MATCH($N1253,SETUP!$A$46:$A$51,1))))</f>
        <v>A</v>
      </c>
      <c r="P1253" s="19">
        <f>IF($C1253="","",IF($I1253="","",RANK($I1253,$I$4:$I$1463)+COUNTIF($I$4:$I1253,$I1253)-1))</f>
        <v>389</v>
      </c>
      <c r="Q1253" s="19">
        <f>IF($C1253="","",COUNTIFS($B$4:$B$1463,$B1253,$X$4:$X$1463,"&gt;"&amp;$X1253)+COUNTIFS($B$4:$B1253,$B1253,$X$4:$X1253,"="&amp;$X1253))</f>
        <v>48</v>
      </c>
      <c r="R1253" s="75">
        <f>IF($C1253="","",IF($I1253="","",ROUND(COUNTIF($I$4:$I$1463,"&lt;"&amp;$I1253)/COUNT($I$4:$I$1463),3)))</f>
        <v>0.70599999999999996</v>
      </c>
      <c r="S1253" s="19" t="str">
        <f>IF($C1253="","",IF($G1253="","Name only",IF(OR($I1253="",$L1253=""),"Partial","Complete")))</f>
        <v>Complete</v>
      </c>
      <c r="T1253" s="1" t="str">
        <f>IF($C1253="","",TRIM(IF(COUNTIF($C$4:$C$1463,$C1253)&gt;1,"Dup name; ","")&amp;IF(AND($G1253&lt;&gt;"",$G1253&lt;55000),"Low CR - verify; ","")&amp;IF(AND($L1253&lt;&gt;"",$L1253&gt;15),"Secondary - verify; ","")&amp;IF($E1253="","No class; ","")))</f>
        <v/>
      </c>
      <c r="U1253" s="68"/>
      <c r="V1253" s="68"/>
      <c r="W1253" s="68"/>
      <c r="X1253" s="76">
        <f t="shared" si="97"/>
        <v>5123</v>
      </c>
      <c r="Y1253" s="1" t="str">
        <f t="shared" si="98"/>
        <v>LEGENDS|48</v>
      </c>
      <c r="Z1253" s="19">
        <f>IF($C1253="","",IF($G1253="","",RANK($G1253,$G$4:$G$1463)+COUNTIF($G$4:$G1253,$G1253)-1))</f>
        <v>230</v>
      </c>
      <c r="AA1253" s="19">
        <f>IF($C1253="","",IF($N1253="","",RANK($N1253,$N$4:$N$1463)+COUNTIF($N$4:$N1253,$N1253)-1))</f>
        <v>384</v>
      </c>
      <c r="AB1253" s="1" t="str">
        <f>IF($C1253="","",IF($E1253="","",$E1253&amp;"#"&amp;(COUNTIFS($E$4:$E$1463,$E1253,$X$4:$X$1463,"&gt;"&amp;$X1253)+COUNTIFS($E$4:$E1253,$E1253,$X$4:$X1253,"="&amp;$X1253))))</f>
        <v>MONK#10</v>
      </c>
      <c r="AC1253" s="1" t="str">
        <f>IF($C1253="","",$B1253&amp;"@"&amp;(COUNTIFS($B$4:$B$1463,$B1253,$C$4:$C$1463,"&lt;"&amp;$C1253)+COUNTIFS($B$4:$B1253,$B1253,$C$4:$C1253,$C1253)))</f>
        <v>LEGENDS@96</v>
      </c>
      <c r="AD1253" s="1">
        <f t="shared" si="99"/>
        <v>1250</v>
      </c>
      <c r="AE1253" s="1" t="s">
        <v>2657</v>
      </c>
      <c r="AF1253" s="76">
        <f t="shared" si="100"/>
        <v>63381</v>
      </c>
      <c r="AG1253" s="77">
        <f t="shared" si="101"/>
        <v>4.66</v>
      </c>
      <c r="AH1253" s="1" t="str">
        <f>IF($C1253="","",$B1253&amp;"|"&amp;(COUNTIFS($B$4:$B$1463,$B1253,$AF$4:$AF$1463,"&gt;"&amp;$AF1253)+COUNTIFS($B$4:$B1253,$B1253,$AF$4:$AF1253,"="&amp;$AF1253)))</f>
        <v>LEGENDS|30</v>
      </c>
      <c r="AI1253" s="1" t="str">
        <f>IF($C1253="","",$B1253&amp;"|"&amp;(COUNTIFS($B$4:$B$1463,$B1253,$AG$4:$AG$1463,"&gt;"&amp;$AG1253)+COUNTIFS($B$4:$B1253,$B1253,$AG$4:$AG1253,"="&amp;$AG1253)))</f>
        <v>LEGENDS|72</v>
      </c>
    </row>
    <row r="1254" spans="1:35" hidden="1">
      <c r="A1254" s="69" t="s">
        <v>109</v>
      </c>
      <c r="B1254" s="69" t="s">
        <v>114</v>
      </c>
      <c r="C1254" s="63" t="s">
        <v>2658</v>
      </c>
      <c r="D1254" s="69"/>
      <c r="E1254" s="68" t="s">
        <v>78</v>
      </c>
      <c r="F1254" s="15" t="str">
        <f>IF($C1254="","",IF($E1254="","-",IFERROR(INDEX(SETUP!$B$55:$B$64,MATCH($E1254,SETUP!$A$55:$A$64,0)),"Other")))</f>
        <v>Melee DPS</v>
      </c>
      <c r="G1254" s="70">
        <v>58145</v>
      </c>
      <c r="H1254" s="15" t="str">
        <f>IF($C1254="","",IF($G1254="","-",INDEX(SETUP!$B$26:$B$32,MATCH($G1254,SETUP!$A$26:$A$32,1))))</f>
        <v>58,000 - 59,999</v>
      </c>
      <c r="I1254" s="70">
        <v>710</v>
      </c>
      <c r="J1254" s="15" t="str">
        <f>IF($C1254="","",IF($I1254="","-",INDEX(SETUP!$B$16:$B$22,MATCH($I1254,SETUP!$A$16:$A$22,1))))</f>
        <v>ROOKIE</v>
      </c>
      <c r="K1254" s="15" t="str">
        <f>IF($C1254="","",IF($I1254="","-",TEXT(INT($I1254/1000)*1000,"#,##0")&amp;" - "&amp;TEXT(INT($I1254/1000)*1000+999,"#,##0")))</f>
        <v>0 - 999</v>
      </c>
      <c r="L1254" s="71">
        <v>2.2000000000000002</v>
      </c>
      <c r="M1254" s="15" t="str">
        <f>IF($C1254="","",IF($L1254="","-",INDEX(SETUP!$B$36:$B$42,MATCH($L1254,SETUP!$A$36:$A$42,1))))</f>
        <v>Under 3k</v>
      </c>
      <c r="N1254" s="17">
        <f>IF($C1254="","",IF(OR($G1254="",$I1254=""),"",ROUND(100*(SETUP!$B$4*MIN(1,$I1254/SETUP!$B$9)+SETUP!$B$5*MAX(0,MIN(1,($G1254-SETUP!$B$10)/(SETUP!$B$11-SETUP!$B$10)))+SETUP!$B$6*MIN(1,IF($L1254="",0,$L1254)/SETUP!$B$12)),1)))</f>
        <v>15</v>
      </c>
      <c r="O1254" s="15" t="str">
        <f>IF($C1254="","",IF($N1254="","-",INDEX(SETUP!$B$46:$B$51,MATCH($N1254,SETUP!$A$46:$A$51,1))))</f>
        <v>D</v>
      </c>
      <c r="P1254" s="15">
        <f>IF($C1254="","",IF($I1254="","",RANK($I1254,$I$4:$I$1463)+COUNTIF($I$4:$I1254,$I1254)-1))</f>
        <v>1305</v>
      </c>
      <c r="Q1254" s="15">
        <f>IF($C1254="","",COUNTIFS($B$4:$B$1463,$B1254,$X$4:$X$1463,"&gt;"&amp;$X1254)+COUNTIFS($B$4:$B1254,$B1254,$X$4:$X1254,"="&amp;$X1254))</f>
        <v>91</v>
      </c>
      <c r="R1254" s="72">
        <f>IF($C1254="","",IF($I1254="","",ROUND(COUNTIF($I$4:$I$1463,"&lt;"&amp;$I1254)/COUNT($I$4:$I$1463),3)))</f>
        <v>1.4999999999999999E-2</v>
      </c>
      <c r="S1254" s="15" t="str">
        <f>IF($C1254="","",IF($G1254="","Name only",IF(OR($I1254="",$L1254=""),"Partial","Complete")))</f>
        <v>Complete</v>
      </c>
      <c r="T1254" s="41" t="str">
        <f>IF($C1254="","",TRIM(IF(COUNTIF($C$4:$C$1463,$C1254)&gt;1,"Dup name; ","")&amp;IF(AND($G1254&lt;&gt;"",$G1254&lt;55000),"Low CR - verify; ","")&amp;IF(AND($L1254&lt;&gt;"",$L1254&gt;15),"Secondary - verify; ","")&amp;IF($E1254="","No class; ","")))</f>
        <v/>
      </c>
      <c r="U1254" s="68"/>
      <c r="V1254" s="68"/>
      <c r="W1254" s="68"/>
      <c r="X1254" s="73">
        <f t="shared" si="97"/>
        <v>710</v>
      </c>
      <c r="Y1254" s="41" t="str">
        <f t="shared" si="98"/>
        <v>EMERALD LEAF TRIBE|91</v>
      </c>
      <c r="Z1254" s="15">
        <f>IF($C1254="","",IF($G1254="","",RANK($G1254,$G$4:$G$1463)+COUNTIF($G$4:$G1254,$G1254)-1))</f>
        <v>1297</v>
      </c>
      <c r="AA1254" s="15">
        <f>IF($C1254="","",IF($N1254="","",RANK($N1254,$N$4:$N$1463)+COUNTIF($N$4:$N1254,$N1254)-1))</f>
        <v>1310</v>
      </c>
      <c r="AB1254" s="41" t="str">
        <f>IF($C1254="","",IF($E1254="","",$E1254&amp;"#"&amp;(COUNTIFS($E$4:$E$1463,$E1254,$X$4:$X$1463,"&gt;"&amp;$X1254)+COUNTIFS($E$4:$E1254,$E1254,$X$4:$X1254,"="&amp;$X1254))))</f>
        <v>TEMPEST#64</v>
      </c>
      <c r="AC1254" s="41" t="str">
        <f>IF($C1254="","",$B1254&amp;"@"&amp;(COUNTIFS($B$4:$B$1463,$B1254,$C$4:$C$1463,"&lt;"&amp;$C1254)+COUNTIFS($B$4:$B1254,$B1254,$C$4:$C1254,$C1254)))</f>
        <v>EMERALD LEAF TRIBE@92</v>
      </c>
      <c r="AD1254" s="41">
        <f t="shared" si="99"/>
        <v>1251</v>
      </c>
      <c r="AE1254" s="41" t="s">
        <v>2659</v>
      </c>
      <c r="AF1254" s="73">
        <f t="shared" si="100"/>
        <v>58145</v>
      </c>
      <c r="AG1254" s="74">
        <f t="shared" si="101"/>
        <v>2.2000000000000002</v>
      </c>
      <c r="AH1254" s="41" t="str">
        <f>IF($C1254="","",$B1254&amp;"|"&amp;(COUNTIFS($B$4:$B$1463,$B1254,$AF$4:$AF$1463,"&gt;"&amp;$AF1254)+COUNTIFS($B$4:$B1254,$B1254,$AF$4:$AF1254,"="&amp;$AF1254)))</f>
        <v>EMERALD LEAF TRIBE|88</v>
      </c>
      <c r="AI1254" s="41" t="str">
        <f>IF($C1254="","",$B1254&amp;"|"&amp;(COUNTIFS($B$4:$B$1463,$B1254,$AG$4:$AG$1463,"&gt;"&amp;$AG1254)+COUNTIFS($B$4:$B1254,$B1254,$AG$4:$AG1254,"="&amp;$AG1254)))</f>
        <v>EMERALD LEAF TRIBE|94</v>
      </c>
    </row>
    <row r="1255" spans="1:35" hidden="1">
      <c r="A1255" s="69" t="s">
        <v>106</v>
      </c>
      <c r="B1255" s="69" t="s">
        <v>105</v>
      </c>
      <c r="C1255" s="63" t="s">
        <v>2660</v>
      </c>
      <c r="D1255" s="69" t="s">
        <v>691</v>
      </c>
      <c r="E1255" s="68" t="s">
        <v>79</v>
      </c>
      <c r="F1255" s="19" t="str">
        <f>IF($C1255="","",IF($E1255="","-",IFERROR(INDEX(SETUP!$B$55:$B$64,MATCH($E1255,SETUP!$A$55:$A$64,0)),"Other")))</f>
        <v>Control</v>
      </c>
      <c r="G1255" s="70">
        <v>63436</v>
      </c>
      <c r="H1255" s="19" t="str">
        <f>IF($C1255="","",IF($G1255="","-",INDEX(SETUP!$B$26:$B$32,MATCH($G1255,SETUP!$A$26:$A$32,1))))</f>
        <v>63,000 - 63,999</v>
      </c>
      <c r="I1255" s="70">
        <v>9011</v>
      </c>
      <c r="J1255" s="19" t="str">
        <f>IF($C1255="","",IF($I1255="","-",INDEX(SETUP!$B$16:$B$22,MATCH($I1255,SETUP!$A$16:$A$22,1))))</f>
        <v>ELITE</v>
      </c>
      <c r="K1255" s="19" t="str">
        <f>IF($C1255="","",IF($I1255="","-",TEXT(INT($I1255/1000)*1000,"#,##0")&amp;" - "&amp;TEXT(INT($I1255/1000)*1000+999,"#,##0")))</f>
        <v>9,000 - 9,999</v>
      </c>
      <c r="L1255" s="71">
        <v>7.15</v>
      </c>
      <c r="M1255" s="19" t="str">
        <f>IF($C1255="","",IF($L1255="","-",INDEX(SETUP!$B$36:$B$42,MATCH($L1255,SETUP!$A$36:$A$42,1))))</f>
        <v>6k - 8k</v>
      </c>
      <c r="N1255" s="21">
        <f>IF($C1255="","",IF(OR($G1255="",$I1255=""),"",ROUND(100*(SETUP!$B$4*MIN(1,$I1255/SETUP!$B$9)+SETUP!$B$5*MAX(0,MIN(1,($G1255-SETUP!$B$10)/(SETUP!$B$11-SETUP!$B$10)))+SETUP!$B$6*MIN(1,IF($L1255="",0,$L1255)/SETUP!$B$12)),1)))</f>
        <v>73.5</v>
      </c>
      <c r="O1255" s="19" t="str">
        <f>IF($C1255="","",IF($N1255="","-",INDEX(SETUP!$B$46:$B$51,MATCH($N1255,SETUP!$A$46:$A$51,1))))</f>
        <v>S</v>
      </c>
      <c r="P1255" s="19">
        <f>IF($C1255="","",IF($I1255="","",RANK($I1255,$I$4:$I$1463)+COUNTIF($I$4:$I1255,$I1255)-1))</f>
        <v>93</v>
      </c>
      <c r="Q1255" s="19">
        <f>IF($C1255="","",COUNTIFS($B$4:$B$1463,$B1255,$X$4:$X$1463,"&gt;"&amp;$X1255)+COUNTIFS($B$4:$B1255,$B1255,$X$4:$X1255,"="&amp;$X1255))</f>
        <v>7</v>
      </c>
      <c r="R1255" s="75">
        <f>IF($C1255="","",IF($I1255="","",ROUND(COUNTIF($I$4:$I$1463,"&lt;"&amp;$I1255)/COUNT($I$4:$I$1463),3)))</f>
        <v>0.93</v>
      </c>
      <c r="S1255" s="19" t="str">
        <f>IF($C1255="","",IF($G1255="","Name only",IF(OR($I1255="",$L1255=""),"Partial","Complete")))</f>
        <v>Complete</v>
      </c>
      <c r="T1255" s="1" t="str">
        <f>IF($C1255="","",TRIM(IF(COUNTIF($C$4:$C$1463,$C1255)&gt;1,"Dup name; ","")&amp;IF(AND($G1255&lt;&gt;"",$G1255&lt;55000),"Low CR - verify; ","")&amp;IF(AND($L1255&lt;&gt;"",$L1255&gt;15),"Secondary - verify; ","")&amp;IF($E1255="","No class; ","")))</f>
        <v/>
      </c>
      <c r="U1255" s="68"/>
      <c r="V1255" s="68"/>
      <c r="W1255" s="68"/>
      <c r="X1255" s="76">
        <f t="shared" si="97"/>
        <v>9011</v>
      </c>
      <c r="Y1255" s="1" t="str">
        <f t="shared" si="98"/>
        <v>LEGENDS|7</v>
      </c>
      <c r="Z1255" s="19">
        <f>IF($C1255="","",IF($G1255="","",RANK($G1255,$G$4:$G$1463)+COUNTIF($G$4:$G1255,$G1255)-1))</f>
        <v>209</v>
      </c>
      <c r="AA1255" s="19">
        <f>IF($C1255="","",IF($N1255="","",RANK($N1255,$N$4:$N$1463)+COUNTIF($N$4:$N1255,$N1255)-1))</f>
        <v>102</v>
      </c>
      <c r="AB1255" s="1" t="str">
        <f>IF($C1255="","",IF($E1255="","",$E1255&amp;"#"&amp;(COUNTIFS($E$4:$E$1463,$E1255,$X$4:$X$1463,"&gt;"&amp;$X1255)+COUNTIFS($E$4:$E1255,$E1255,$X$4:$X1255,"="&amp;$X1255))))</f>
        <v>WARLOCK#19</v>
      </c>
      <c r="AC1255" s="1" t="str">
        <f>IF($C1255="","",$B1255&amp;"@"&amp;(COUNTIFS($B$4:$B$1463,$B1255,$C$4:$C$1463,"&lt;"&amp;$C1255)+COUNTIFS($B$4:$B1255,$B1255,$C$4:$C1255,$C1255)))</f>
        <v>LEGENDS@97</v>
      </c>
      <c r="AD1255" s="1">
        <f t="shared" si="99"/>
        <v>1252</v>
      </c>
      <c r="AE1255" s="1" t="s">
        <v>2661</v>
      </c>
      <c r="AF1255" s="76">
        <f t="shared" si="100"/>
        <v>63436</v>
      </c>
      <c r="AG1255" s="77">
        <f t="shared" si="101"/>
        <v>7.15</v>
      </c>
      <c r="AH1255" s="1" t="str">
        <f>IF($C1255="","",$B1255&amp;"|"&amp;(COUNTIFS($B$4:$B$1463,$B1255,$AF$4:$AF$1463,"&gt;"&amp;$AF1255)+COUNTIFS($B$4:$B1255,$B1255,$AF$4:$AF1255,"="&amp;$AF1255)))</f>
        <v>LEGENDS|26</v>
      </c>
      <c r="AI1255" s="1" t="str">
        <f>IF($C1255="","",$B1255&amp;"|"&amp;(COUNTIFS($B$4:$B$1463,$B1255,$AG$4:$AG$1463,"&gt;"&amp;$AG1255)+COUNTIFS($B$4:$B1255,$B1255,$AG$4:$AG1255,"="&amp;$AG1255)))</f>
        <v>LEGENDS|7</v>
      </c>
    </row>
    <row r="1256" spans="1:35" hidden="1">
      <c r="A1256" s="69" t="s">
        <v>109</v>
      </c>
      <c r="B1256" s="69" t="s">
        <v>115</v>
      </c>
      <c r="C1256" s="63" t="s">
        <v>2662</v>
      </c>
      <c r="D1256" s="69"/>
      <c r="E1256" s="68"/>
      <c r="F1256" s="15" t="str">
        <f>IF($C1256="","",IF($E1256="","-",IFERROR(INDEX(SETUP!$B$55:$B$64,MATCH($E1256,SETUP!$A$55:$A$64,0)),"Other")))</f>
        <v>-</v>
      </c>
      <c r="G1256" s="70"/>
      <c r="H1256" s="15" t="str">
        <f>IF($C1256="","",IF($G1256="","-",INDEX(SETUP!$B$26:$B$32,MATCH($G1256,SETUP!$A$26:$A$32,1))))</f>
        <v>-</v>
      </c>
      <c r="I1256" s="70"/>
      <c r="J1256" s="15" t="str">
        <f>IF($C1256="","",IF($I1256="","-",INDEX(SETUP!$B$16:$B$22,MATCH($I1256,SETUP!$A$16:$A$22,1))))</f>
        <v>-</v>
      </c>
      <c r="K1256" s="15" t="str">
        <f>IF($C1256="","",IF($I1256="","-",TEXT(INT($I1256/1000)*1000,"#,##0")&amp;" - "&amp;TEXT(INT($I1256/1000)*1000+999,"#,##0")))</f>
        <v>-</v>
      </c>
      <c r="L1256" s="71"/>
      <c r="M1256" s="15" t="str">
        <f>IF($C1256="","",IF($L1256="","-",INDEX(SETUP!$B$36:$B$42,MATCH($L1256,SETUP!$A$36:$A$42,1))))</f>
        <v>-</v>
      </c>
      <c r="N1256" s="17" t="str">
        <f>IF($C1256="","",IF(OR($G1256="",$I1256=""),"",ROUND(100*(SETUP!$B$4*MIN(1,$I1256/SETUP!$B$9)+SETUP!$B$5*MAX(0,MIN(1,($G1256-SETUP!$B$10)/(SETUP!$B$11-SETUP!$B$10)))+SETUP!$B$6*MIN(1,IF($L1256="",0,$L1256)/SETUP!$B$12)),1)))</f>
        <v/>
      </c>
      <c r="O1256" s="15" t="str">
        <f>IF($C1256="","",IF($N1256="","-",INDEX(SETUP!$B$46:$B$51,MATCH($N1256,SETUP!$A$46:$A$51,1))))</f>
        <v>-</v>
      </c>
      <c r="P1256" s="15" t="str">
        <f>IF($C1256="","",IF($I1256="","",RANK($I1256,$I$4:$I$1463)+COUNTIF($I$4:$I1256,$I1256)-1))</f>
        <v/>
      </c>
      <c r="Q1256" s="15">
        <f>IF($C1256="","",COUNTIFS($B$4:$B$1463,$B1256,$X$4:$X$1463,"&gt;"&amp;$X1256)+COUNTIFS($B$4:$B1256,$B1256,$X$4:$X1256,"="&amp;$X1256))</f>
        <v>91</v>
      </c>
      <c r="R1256" s="72" t="str">
        <f>IF($C1256="","",IF($I1256="","",ROUND(COUNTIF($I$4:$I$1463,"&lt;"&amp;$I1256)/COUNT($I$4:$I$1463),3)))</f>
        <v/>
      </c>
      <c r="S1256" s="15" t="str">
        <f>IF($C1256="","",IF($G1256="","Name only",IF(OR($I1256="",$L1256=""),"Partial","Complete")))</f>
        <v>Name only</v>
      </c>
      <c r="T1256" s="41" t="str">
        <f>IF($C1256="","",TRIM(IF(COUNTIF($C$4:$C$1463,$C1256)&gt;1,"Dup name; ","")&amp;IF(AND($G1256&lt;&gt;"",$G1256&lt;55000),"Low CR - verify; ","")&amp;IF(AND($L1256&lt;&gt;"",$L1256&gt;15),"Secondary - verify; ","")&amp;IF($E1256="","No class; ","")))</f>
        <v>No class;</v>
      </c>
      <c r="U1256" s="68"/>
      <c r="V1256" s="68"/>
      <c r="W1256" s="68"/>
      <c r="X1256" s="41">
        <f t="shared" si="97"/>
        <v>-1</v>
      </c>
      <c r="Y1256" s="41" t="str">
        <f t="shared" si="98"/>
        <v>SUB ROSA|91</v>
      </c>
      <c r="Z1256" s="15" t="str">
        <f>IF($C1256="","",IF($G1256="","",RANK($G1256,$G$4:$G$1463)+COUNTIF($G$4:$G1256,$G1256)-1))</f>
        <v/>
      </c>
      <c r="AA1256" s="15" t="str">
        <f>IF($C1256="","",IF($N1256="","",RANK($N1256,$N$4:$N$1463)+COUNTIF($N$4:$N1256,$N1256)-1))</f>
        <v/>
      </c>
      <c r="AB1256" s="41" t="str">
        <f>IF($C1256="","",IF($E1256="","",$E1256&amp;"#"&amp;(COUNTIFS($E$4:$E$1463,$E1256,$X$4:$X$1463,"&gt;"&amp;$X1256)+COUNTIFS($E$4:$E1256,$E1256,$X$4:$X1256,"="&amp;$X1256))))</f>
        <v/>
      </c>
      <c r="AC1256" s="41" t="str">
        <f>IF($C1256="","",$B1256&amp;"@"&amp;(COUNTIFS($B$4:$B$1463,$B1256,$C$4:$C$1463,"&lt;"&amp;$C1256)+COUNTIFS($B$4:$B1256,$B1256,$C$4:$C1256,$C1256)))</f>
        <v>SUB ROSA@87</v>
      </c>
      <c r="AD1256" s="41">
        <f t="shared" si="99"/>
        <v>1253</v>
      </c>
      <c r="AE1256" s="41"/>
      <c r="AF1256" s="41">
        <f t="shared" si="100"/>
        <v>-1</v>
      </c>
      <c r="AG1256" s="41">
        <f t="shared" si="101"/>
        <v>-1</v>
      </c>
      <c r="AH1256" s="41" t="str">
        <f>IF($C1256="","",$B1256&amp;"|"&amp;(COUNTIFS($B$4:$B$1463,$B1256,$AF$4:$AF$1463,"&gt;"&amp;$AF1256)+COUNTIFS($B$4:$B1256,$B1256,$AF$4:$AF1256,"="&amp;$AF1256)))</f>
        <v>SUB ROSA|91</v>
      </c>
      <c r="AI1256" s="41" t="str">
        <f>IF($C1256="","",$B1256&amp;"|"&amp;(COUNTIFS($B$4:$B$1463,$B1256,$AG$4:$AG$1463,"&gt;"&amp;$AG1256)+COUNTIFS($B$4:$B1256,$B1256,$AG$4:$AG1256,"="&amp;$AG1256)))</f>
        <v>SUB ROSA|91</v>
      </c>
    </row>
    <row r="1257" spans="1:35" hidden="1">
      <c r="A1257" s="69" t="s">
        <v>109</v>
      </c>
      <c r="B1257" s="69" t="s">
        <v>118</v>
      </c>
      <c r="C1257" s="63" t="s">
        <v>2663</v>
      </c>
      <c r="D1257" s="69"/>
      <c r="E1257" s="68" t="s">
        <v>74</v>
      </c>
      <c r="F1257" s="19" t="str">
        <f>IF($C1257="","",IF($E1257="","-",IFERROR(INDEX(SETUP!$B$55:$B$64,MATCH($E1257,SETUP!$A$55:$A$64,0)),"Other")))</f>
        <v>Ranged DPS</v>
      </c>
      <c r="G1257" s="70">
        <v>62192</v>
      </c>
      <c r="H1257" s="19" t="str">
        <f>IF($C1257="","",IF($G1257="","-",INDEX(SETUP!$B$26:$B$32,MATCH($G1257,SETUP!$A$26:$A$32,1))))</f>
        <v>62,000 - 62,999</v>
      </c>
      <c r="I1257" s="70">
        <v>1826</v>
      </c>
      <c r="J1257" s="19" t="str">
        <f>IF($C1257="","",IF($I1257="","-",INDEX(SETUP!$B$16:$B$22,MATCH($I1257,SETUP!$A$16:$A$22,1))))</f>
        <v>ROOKIE</v>
      </c>
      <c r="K1257" s="19" t="str">
        <f>IF($C1257="","",IF($I1257="","-",TEXT(INT($I1257/1000)*1000,"#,##0")&amp;" - "&amp;TEXT(INT($I1257/1000)*1000+999,"#,##0")))</f>
        <v>1,000 - 1,999</v>
      </c>
      <c r="L1257" s="71">
        <v>3.1</v>
      </c>
      <c r="M1257" s="19" t="str">
        <f>IF($C1257="","",IF($L1257="","-",INDEX(SETUP!$B$36:$B$42,MATCH($L1257,SETUP!$A$36:$A$42,1))))</f>
        <v>3k - 4k</v>
      </c>
      <c r="N1257" s="21">
        <f>IF($C1257="","",IF(OR($G1257="",$I1257=""),"",ROUND(100*(SETUP!$B$4*MIN(1,$I1257/SETUP!$B$9)+SETUP!$B$5*MAX(0,MIN(1,($G1257-SETUP!$B$10)/(SETUP!$B$11-SETUP!$B$10)))+SETUP!$B$6*MIN(1,IF($L1257="",0,$L1257)/SETUP!$B$12)),1)))</f>
        <v>32.1</v>
      </c>
      <c r="O1257" s="19" t="str">
        <f>IF($C1257="","",IF($N1257="","-",INDEX(SETUP!$B$46:$B$51,MATCH($N1257,SETUP!$A$46:$A$51,1))))</f>
        <v>C</v>
      </c>
      <c r="P1257" s="19">
        <f>IF($C1257="","",IF($I1257="","",RANK($I1257,$I$4:$I$1463)+COUNTIF($I$4:$I1257,$I1257)-1))</f>
        <v>1144</v>
      </c>
      <c r="Q1257" s="19">
        <f>IF($C1257="","",COUNTIFS($B$4:$B$1463,$B1257,$X$4:$X$1463,"&gt;"&amp;$X1257)+COUNTIFS($B$4:$B1257,$B1257,$X$4:$X1257,"="&amp;$X1257))</f>
        <v>46</v>
      </c>
      <c r="R1257" s="75">
        <f>IF($C1257="","",IF($I1257="","",ROUND(COUNTIF($I$4:$I$1463,"&lt;"&amp;$I1257)/COUNT($I$4:$I$1463),3)))</f>
        <v>0.13700000000000001</v>
      </c>
      <c r="S1257" s="19" t="str">
        <f>IF($C1257="","",IF($G1257="","Name only",IF(OR($I1257="",$L1257=""),"Partial","Complete")))</f>
        <v>Complete</v>
      </c>
      <c r="T1257" s="1" t="str">
        <f>IF($C1257="","",TRIM(IF(COUNTIF($C$4:$C$1463,$C1257)&gt;1,"Dup name; ","")&amp;IF(AND($G1257&lt;&gt;"",$G1257&lt;55000),"Low CR - verify; ","")&amp;IF(AND($L1257&lt;&gt;"",$L1257&gt;15),"Secondary - verify; ","")&amp;IF($E1257="","No class; ","")))</f>
        <v/>
      </c>
      <c r="U1257" s="68"/>
      <c r="V1257" s="68"/>
      <c r="W1257" s="68"/>
      <c r="X1257" s="76">
        <f t="shared" si="97"/>
        <v>1826</v>
      </c>
      <c r="Y1257" s="1" t="str">
        <f t="shared" si="98"/>
        <v>ZOMBIES|46</v>
      </c>
      <c r="Z1257" s="19">
        <f>IF($C1257="","",IF($G1257="","",RANK($G1257,$G$4:$G$1463)+COUNTIF($G$4:$G1257,$G1257)-1))</f>
        <v>762</v>
      </c>
      <c r="AA1257" s="19">
        <f>IF($C1257="","",IF($N1257="","",RANK($N1257,$N$4:$N$1463)+COUNTIF($N$4:$N1257,$N1257)-1))</f>
        <v>1097</v>
      </c>
      <c r="AB1257" s="1" t="str">
        <f>IF($C1257="","",IF($E1257="","",$E1257&amp;"#"&amp;(COUNTIFS($E$4:$E$1463,$E1257,$X$4:$X$1463,"&gt;"&amp;$X1257)+COUNTIFS($E$4:$E1257,$E1257,$X$4:$X1257,"="&amp;$X1257))))</f>
        <v>DEMON HUNTER#176</v>
      </c>
      <c r="AC1257" s="1" t="str">
        <f>IF($C1257="","",$B1257&amp;"@"&amp;(COUNTIFS($B$4:$B$1463,$B1257,$C$4:$C$1463,"&lt;"&amp;$C1257)+COUNTIFS($B$4:$B1257,$B1257,$C$4:$C1257,$C1257)))</f>
        <v>ZOMBIES@92</v>
      </c>
      <c r="AD1257" s="1">
        <f t="shared" si="99"/>
        <v>1254</v>
      </c>
      <c r="AE1257" s="1" t="s">
        <v>1006</v>
      </c>
      <c r="AF1257" s="76">
        <f t="shared" si="100"/>
        <v>62192</v>
      </c>
      <c r="AG1257" s="77">
        <f t="shared" si="101"/>
        <v>3.1</v>
      </c>
      <c r="AH1257" s="1" t="str">
        <f>IF($C1257="","",$B1257&amp;"|"&amp;(COUNTIFS($B$4:$B$1463,$B1257,$AF$4:$AF$1463,"&gt;"&amp;$AF1257)+COUNTIFS($B$4:$B1257,$B1257,$AF$4:$AF1257,"="&amp;$AF1257)))</f>
        <v>ZOMBIES|22</v>
      </c>
      <c r="AI1257" s="1" t="str">
        <f>IF($C1257="","",$B1257&amp;"|"&amp;(COUNTIFS($B$4:$B$1463,$B1257,$AG$4:$AG$1463,"&gt;"&amp;$AG1257)+COUNTIFS($B$4:$B1257,$B1257,$AG$4:$AG1257,"="&amp;$AG1257)))</f>
        <v>ZOMBIES|68</v>
      </c>
    </row>
    <row r="1258" spans="1:35" hidden="1">
      <c r="A1258" s="69" t="s">
        <v>109</v>
      </c>
      <c r="B1258" s="69" t="s">
        <v>114</v>
      </c>
      <c r="C1258" s="63" t="s">
        <v>2664</v>
      </c>
      <c r="D1258" s="69"/>
      <c r="E1258" s="68" t="s">
        <v>71</v>
      </c>
      <c r="F1258" s="15" t="str">
        <f>IF($C1258="","",IF($E1258="","-",IFERROR(INDEX(SETUP!$B$55:$B$64,MATCH($E1258,SETUP!$A$55:$A$64,0)),"Other")))</f>
        <v>Frontline</v>
      </c>
      <c r="G1258" s="70">
        <v>61216</v>
      </c>
      <c r="H1258" s="15" t="str">
        <f>IF($C1258="","",IF($G1258="","-",INDEX(SETUP!$B$26:$B$32,MATCH($G1258,SETUP!$A$26:$A$32,1))))</f>
        <v>61,000 - 61,999</v>
      </c>
      <c r="I1258" s="70">
        <v>2142</v>
      </c>
      <c r="J1258" s="15" t="str">
        <f>IF($C1258="","",IF($I1258="","-",INDEX(SETUP!$B$16:$B$22,MATCH($I1258,SETUP!$A$16:$A$22,1))))</f>
        <v>DEVELOPING</v>
      </c>
      <c r="K1258" s="15" t="str">
        <f>IF($C1258="","",IF($I1258="","-",TEXT(INT($I1258/1000)*1000,"#,##0")&amp;" - "&amp;TEXT(INT($I1258/1000)*1000+999,"#,##0")))</f>
        <v>2,000 - 2,999</v>
      </c>
      <c r="L1258" s="71">
        <v>4.3</v>
      </c>
      <c r="M1258" s="15" t="str">
        <f>IF($C1258="","",IF($L1258="","-",INDEX(SETUP!$B$36:$B$42,MATCH($L1258,SETUP!$A$36:$A$42,1))))</f>
        <v>4k - 5k</v>
      </c>
      <c r="N1258" s="17">
        <f>IF($C1258="","",IF(OR($G1258="",$I1258=""),"",ROUND(100*(SETUP!$B$4*MIN(1,$I1258/SETUP!$B$9)+SETUP!$B$5*MAX(0,MIN(1,($G1258-SETUP!$B$10)/(SETUP!$B$11-SETUP!$B$10)))+SETUP!$B$6*MIN(1,IF($L1258="",0,$L1258)/SETUP!$B$12)),1)))</f>
        <v>32.9</v>
      </c>
      <c r="O1258" s="15" t="str">
        <f>IF($C1258="","",IF($N1258="","-",INDEX(SETUP!$B$46:$B$51,MATCH($N1258,SETUP!$A$46:$A$51,1))))</f>
        <v>C</v>
      </c>
      <c r="P1258" s="15">
        <f>IF($C1258="","",IF($I1258="","",RANK($I1258,$I$4:$I$1463)+COUNTIF($I$4:$I1258,$I1258)-1))</f>
        <v>1076</v>
      </c>
      <c r="Q1258" s="15">
        <f>IF($C1258="","",COUNTIFS($B$4:$B$1463,$B1258,$X$4:$X$1463,"&gt;"&amp;$X1258)+COUNTIFS($B$4:$B1258,$B1258,$X$4:$X1258,"="&amp;$X1258))</f>
        <v>51</v>
      </c>
      <c r="R1258" s="72">
        <f>IF($C1258="","",IF($I1258="","",ROUND(COUNTIF($I$4:$I$1463,"&lt;"&amp;$I1258)/COUNT($I$4:$I$1463),3)))</f>
        <v>0.188</v>
      </c>
      <c r="S1258" s="15" t="str">
        <f>IF($C1258="","",IF($G1258="","Name only",IF(OR($I1258="",$L1258=""),"Partial","Complete")))</f>
        <v>Complete</v>
      </c>
      <c r="T1258" s="41" t="str">
        <f>IF($C1258="","",TRIM(IF(COUNTIF($C$4:$C$1463,$C1258)&gt;1,"Dup name; ","")&amp;IF(AND($G1258&lt;&gt;"",$G1258&lt;55000),"Low CR - verify; ","")&amp;IF(AND($L1258&lt;&gt;"",$L1258&gt;15),"Secondary - verify; ","")&amp;IF($E1258="","No class; ","")))</f>
        <v/>
      </c>
      <c r="U1258" s="68"/>
      <c r="V1258" s="68"/>
      <c r="W1258" s="68"/>
      <c r="X1258" s="73">
        <f t="shared" si="97"/>
        <v>2142</v>
      </c>
      <c r="Y1258" s="41" t="str">
        <f t="shared" si="98"/>
        <v>EMERALD LEAF TRIBE|51</v>
      </c>
      <c r="Z1258" s="15">
        <f>IF($C1258="","",IF($G1258="","",RANK($G1258,$G$4:$G$1463)+COUNTIF($G$4:$G1258,$G1258)-1))</f>
        <v>1082</v>
      </c>
      <c r="AA1258" s="15">
        <f>IF($C1258="","",IF($N1258="","",RANK($N1258,$N$4:$N$1463)+COUNTIF($N$4:$N1258,$N1258)-1))</f>
        <v>1072</v>
      </c>
      <c r="AB1258" s="41" t="str">
        <f>IF($C1258="","",IF($E1258="","",$E1258&amp;"#"&amp;(COUNTIFS($E$4:$E$1463,$E1258,$X$4:$X$1463,"&gt;"&amp;$X1258)+COUNTIFS($E$4:$E1258,$E1258,$X$4:$X1258,"="&amp;$X1258))))</f>
        <v>BARBARIAN#185</v>
      </c>
      <c r="AC1258" s="41" t="str">
        <f>IF($C1258="","",$B1258&amp;"@"&amp;(COUNTIFS($B$4:$B$1463,$B1258,$C$4:$C$1463,"&lt;"&amp;$C1258)+COUNTIFS($B$4:$B1258,$B1258,$C$4:$C1258,$C1258)))</f>
        <v>EMERALD LEAF TRIBE@93</v>
      </c>
      <c r="AD1258" s="41">
        <f t="shared" si="99"/>
        <v>1255</v>
      </c>
      <c r="AE1258" s="41" t="s">
        <v>2665</v>
      </c>
      <c r="AF1258" s="73">
        <f t="shared" si="100"/>
        <v>61216</v>
      </c>
      <c r="AG1258" s="74">
        <f t="shared" si="101"/>
        <v>4.3</v>
      </c>
      <c r="AH1258" s="41" t="str">
        <f>IF($C1258="","",$B1258&amp;"|"&amp;(COUNTIFS($B$4:$B$1463,$B1258,$AF$4:$AF$1463,"&gt;"&amp;$AF1258)+COUNTIFS($B$4:$B1258,$B1258,$AF$4:$AF1258,"="&amp;$AF1258)))</f>
        <v>EMERALD LEAF TRIBE|49</v>
      </c>
      <c r="AI1258" s="41" t="str">
        <f>IF($C1258="","",$B1258&amp;"|"&amp;(COUNTIFS($B$4:$B$1463,$B1258,$AG$4:$AG$1463,"&gt;"&amp;$AG1258)+COUNTIFS($B$4:$B1258,$B1258,$AG$4:$AG1258,"="&amp;$AG1258)))</f>
        <v>EMERALD LEAF TRIBE|24</v>
      </c>
    </row>
    <row r="1259" spans="1:35" hidden="1">
      <c r="A1259" s="69" t="s">
        <v>109</v>
      </c>
      <c r="B1259" s="69" t="s">
        <v>110</v>
      </c>
      <c r="C1259" s="63" t="s">
        <v>2666</v>
      </c>
      <c r="D1259" s="69"/>
      <c r="E1259" s="68" t="s">
        <v>71</v>
      </c>
      <c r="F1259" s="19" t="str">
        <f>IF($C1259="","",IF($E1259="","-",IFERROR(INDEX(SETUP!$B$55:$B$64,MATCH($E1259,SETUP!$A$55:$A$64,0)),"Other")))</f>
        <v>Frontline</v>
      </c>
      <c r="G1259" s="70">
        <v>63897</v>
      </c>
      <c r="H1259" s="19" t="str">
        <f>IF($C1259="","",IF($G1259="","-",INDEX(SETUP!$B$26:$B$32,MATCH($G1259,SETUP!$A$26:$A$32,1))))</f>
        <v>63,000 - 63,999</v>
      </c>
      <c r="I1259" s="70">
        <v>9434</v>
      </c>
      <c r="J1259" s="19" t="str">
        <f>IF($C1259="","",IF($I1259="","-",INDEX(SETUP!$B$16:$B$22,MATCH($I1259,SETUP!$A$16:$A$22,1))))</f>
        <v>ELITE</v>
      </c>
      <c r="K1259" s="19" t="str">
        <f>IF($C1259="","",IF($I1259="","-",TEXT(INT($I1259/1000)*1000,"#,##0")&amp;" - "&amp;TEXT(INT($I1259/1000)*1000+999,"#,##0")))</f>
        <v>9,000 - 9,999</v>
      </c>
      <c r="L1259" s="71">
        <v>7.85</v>
      </c>
      <c r="M1259" s="19" t="str">
        <f>IF($C1259="","",IF($L1259="","-",INDEX(SETUP!$B$36:$B$42,MATCH($L1259,SETUP!$A$36:$A$42,1))))</f>
        <v>6k - 8k</v>
      </c>
      <c r="N1259" s="21">
        <f>IF($C1259="","",IF(OR($G1259="",$I1259=""),"",ROUND(100*(SETUP!$B$4*MIN(1,$I1259/SETUP!$B$9)+SETUP!$B$5*MAX(0,MIN(1,($G1259-SETUP!$B$10)/(SETUP!$B$11-SETUP!$B$10)))+SETUP!$B$6*MIN(1,IF($L1259="",0,$L1259)/SETUP!$B$12)),1)))</f>
        <v>77.7</v>
      </c>
      <c r="O1259" s="19" t="str">
        <f>IF($C1259="","",IF($N1259="","-",INDEX(SETUP!$B$46:$B$51,MATCH($N1259,SETUP!$A$46:$A$51,1))))</f>
        <v>S</v>
      </c>
      <c r="P1259" s="19">
        <f>IF($C1259="","",IF($I1259="","",RANK($I1259,$I$4:$I$1463)+COUNTIF($I$4:$I1259,$I1259)-1))</f>
        <v>74</v>
      </c>
      <c r="Q1259" s="19">
        <f>IF($C1259="","",COUNTIFS($B$4:$B$1463,$B1259,$X$4:$X$1463,"&gt;"&amp;$X1259)+COUNTIFS($B$4:$B1259,$B1259,$X$4:$X1259,"="&amp;$X1259))</f>
        <v>16</v>
      </c>
      <c r="R1259" s="75">
        <f>IF($C1259="","",IF($I1259="","",ROUND(COUNTIF($I$4:$I$1463,"&lt;"&amp;$I1259)/COUNT($I$4:$I$1463),3)))</f>
        <v>0.94399999999999995</v>
      </c>
      <c r="S1259" s="19" t="str">
        <f>IF($C1259="","",IF($G1259="","Name only",IF(OR($I1259="",$L1259=""),"Partial","Complete")))</f>
        <v>Complete</v>
      </c>
      <c r="T1259" s="1" t="str">
        <f>IF($C1259="","",TRIM(IF(COUNTIF($C$4:$C$1463,$C1259)&gt;1,"Dup name; ","")&amp;IF(AND($G1259&lt;&gt;"",$G1259&lt;55000),"Low CR - verify; ","")&amp;IF(AND($L1259&lt;&gt;"",$L1259&gt;15),"Secondary - verify; ","")&amp;IF($E1259="","No class; ","")))</f>
        <v/>
      </c>
      <c r="U1259" s="68"/>
      <c r="V1259" s="68"/>
      <c r="W1259" s="68"/>
      <c r="X1259" s="76">
        <f t="shared" si="97"/>
        <v>9434</v>
      </c>
      <c r="Y1259" s="1" t="str">
        <f t="shared" si="98"/>
        <v>AZUKI|16</v>
      </c>
      <c r="Z1259" s="19">
        <f>IF($C1259="","",IF($G1259="","",RANK($G1259,$G$4:$G$1463)+COUNTIF($G$4:$G1259,$G1259)-1))</f>
        <v>95</v>
      </c>
      <c r="AA1259" s="19">
        <f>IF($C1259="","",IF($N1259="","",RANK($N1259,$N$4:$N$1463)+COUNTIF($N$4:$N1259,$N1259)-1))</f>
        <v>71</v>
      </c>
      <c r="AB1259" s="1" t="str">
        <f>IF($C1259="","",IF($E1259="","",$E1259&amp;"#"&amp;(COUNTIFS($E$4:$E$1463,$E1259,$X$4:$X$1463,"&gt;"&amp;$X1259)+COUNTIFS($E$4:$E1259,$E1259,$X$4:$X1259,"="&amp;$X1259))))</f>
        <v>BARBARIAN#17</v>
      </c>
      <c r="AC1259" s="1" t="str">
        <f>IF($C1259="","",$B1259&amp;"@"&amp;(COUNTIFS($B$4:$B$1463,$B1259,$C$4:$C$1463,"&lt;"&amp;$C1259)+COUNTIFS($B$4:$B1259,$B1259,$C$4:$C1259,$C1259)))</f>
        <v>AZUKI@97</v>
      </c>
      <c r="AD1259" s="1">
        <f t="shared" si="99"/>
        <v>1256</v>
      </c>
      <c r="AE1259" s="1" t="s">
        <v>2667</v>
      </c>
      <c r="AF1259" s="76">
        <f t="shared" si="100"/>
        <v>63897</v>
      </c>
      <c r="AG1259" s="77">
        <f t="shared" si="101"/>
        <v>7.85</v>
      </c>
      <c r="AH1259" s="1" t="str">
        <f>IF($C1259="","",$B1259&amp;"|"&amp;(COUNTIFS($B$4:$B$1463,$B1259,$AF$4:$AF$1463,"&gt;"&amp;$AF1259)+COUNTIFS($B$4:$B1259,$B1259,$AF$4:$AF1259,"="&amp;$AF1259)))</f>
        <v>AZUKI|20</v>
      </c>
      <c r="AI1259" s="1" t="str">
        <f>IF($C1259="","",$B1259&amp;"|"&amp;(COUNTIFS($B$4:$B$1463,$B1259,$AG$4:$AG$1463,"&gt;"&amp;$AG1259)+COUNTIFS($B$4:$B1259,$B1259,$AG$4:$AG1259,"="&amp;$AG1259)))</f>
        <v>AZUKI|18</v>
      </c>
    </row>
    <row r="1260" spans="1:35" hidden="1">
      <c r="A1260" s="69" t="s">
        <v>106</v>
      </c>
      <c r="B1260" s="69" t="s">
        <v>107</v>
      </c>
      <c r="C1260" s="63" t="s">
        <v>2668</v>
      </c>
      <c r="D1260" s="69"/>
      <c r="E1260" s="68" t="s">
        <v>74</v>
      </c>
      <c r="F1260" s="15" t="str">
        <f>IF($C1260="","",IF($E1260="","-",IFERROR(INDEX(SETUP!$B$55:$B$64,MATCH($E1260,SETUP!$A$55:$A$64,0)),"Other")))</f>
        <v>Ranged DPS</v>
      </c>
      <c r="G1260" s="70">
        <v>63280</v>
      </c>
      <c r="H1260" s="15" t="str">
        <f>IF($C1260="","",IF($G1260="","-",INDEX(SETUP!$B$26:$B$32,MATCH($G1260,SETUP!$A$26:$A$32,1))))</f>
        <v>63,000 - 63,999</v>
      </c>
      <c r="I1260" s="70">
        <v>3649</v>
      </c>
      <c r="J1260" s="15" t="str">
        <f>IF($C1260="","",IF($I1260="","-",INDEX(SETUP!$B$16:$B$22,MATCH($I1260,SETUP!$A$16:$A$22,1))))</f>
        <v>DEVELOPING</v>
      </c>
      <c r="K1260" s="15" t="str">
        <f>IF($C1260="","",IF($I1260="","-",TEXT(INT($I1260/1000)*1000,"#,##0")&amp;" - "&amp;TEXT(INT($I1260/1000)*1000+999,"#,##0")))</f>
        <v>3,000 - 3,999</v>
      </c>
      <c r="L1260" s="71">
        <v>4.75</v>
      </c>
      <c r="M1260" s="15" t="str">
        <f>IF($C1260="","",IF($L1260="","-",INDEX(SETUP!$B$36:$B$42,MATCH($L1260,SETUP!$A$36:$A$42,1))))</f>
        <v>4k - 5k</v>
      </c>
      <c r="N1260" s="17">
        <f>IF($C1260="","",IF(OR($G1260="",$I1260=""),"",ROUND(100*(SETUP!$B$4*MIN(1,$I1260/SETUP!$B$9)+SETUP!$B$5*MAX(0,MIN(1,($G1260-SETUP!$B$10)/(SETUP!$B$11-SETUP!$B$10)))+SETUP!$B$6*MIN(1,IF($L1260="",0,$L1260)/SETUP!$B$12)),1)))</f>
        <v>45.6</v>
      </c>
      <c r="O1260" s="15" t="str">
        <f>IF($C1260="","",IF($N1260="","-",INDEX(SETUP!$B$46:$B$51,MATCH($N1260,SETUP!$A$46:$A$51,1))))</f>
        <v>B</v>
      </c>
      <c r="P1260" s="15">
        <f>IF($C1260="","",IF($I1260="","",RANK($I1260,$I$4:$I$1463)+COUNTIF($I$4:$I1260,$I1260)-1))</f>
        <v>689</v>
      </c>
      <c r="Q1260" s="15">
        <f>IF($C1260="","",COUNTIFS($B$4:$B$1463,$B1260,$X$4:$X$1463,"&gt;"&amp;$X1260)+COUNTIFS($B$4:$B1260,$B1260,$X$4:$X1260,"="&amp;$X1260))</f>
        <v>62</v>
      </c>
      <c r="R1260" s="72">
        <f>IF($C1260="","",IF($I1260="","",ROUND(COUNTIF($I$4:$I$1463,"&lt;"&amp;$I1260)/COUNT($I$4:$I$1463),3)))</f>
        <v>0.48</v>
      </c>
      <c r="S1260" s="15" t="str">
        <f>IF($C1260="","",IF($G1260="","Name only",IF(OR($I1260="",$L1260=""),"Partial","Complete")))</f>
        <v>Complete</v>
      </c>
      <c r="T1260" s="41" t="str">
        <f>IF($C1260="","",TRIM(IF(COUNTIF($C$4:$C$1463,$C1260)&gt;1,"Dup name; ","")&amp;IF(AND($G1260&lt;&gt;"",$G1260&lt;55000),"Low CR - verify; ","")&amp;IF(AND($L1260&lt;&gt;"",$L1260&gt;15),"Secondary - verify; ","")&amp;IF($E1260="","No class; ","")))</f>
        <v/>
      </c>
      <c r="U1260" s="68"/>
      <c r="V1260" s="68"/>
      <c r="W1260" s="68"/>
      <c r="X1260" s="73">
        <f t="shared" si="97"/>
        <v>3649</v>
      </c>
      <c r="Y1260" s="41" t="str">
        <f t="shared" si="98"/>
        <v>UNDYING|62</v>
      </c>
      <c r="Z1260" s="15">
        <f>IF($C1260="","",IF($G1260="","",RANK($G1260,$G$4:$G$1463)+COUNTIF($G$4:$G1260,$G1260)-1))</f>
        <v>271</v>
      </c>
      <c r="AA1260" s="15">
        <f>IF($C1260="","",IF($N1260="","",RANK($N1260,$N$4:$N$1463)+COUNTIF($N$4:$N1260,$N1260)-1))</f>
        <v>604</v>
      </c>
      <c r="AB1260" s="41" t="str">
        <f>IF($C1260="","",IF($E1260="","",$E1260&amp;"#"&amp;(COUNTIFS($E$4:$E$1463,$E1260,$X$4:$X$1463,"&gt;"&amp;$X1260)+COUNTIFS($E$4:$E1260,$E1260,$X$4:$X1260,"="&amp;$X1260))))</f>
        <v>DEMON HUNTER#112</v>
      </c>
      <c r="AC1260" s="41" t="str">
        <f>IF($C1260="","",$B1260&amp;"@"&amp;(COUNTIFS($B$4:$B$1463,$B1260,$C$4:$C$1463,"&lt;"&amp;$C1260)+COUNTIFS($B$4:$B1260,$B1260,$C$4:$C1260,$C1260)))</f>
        <v>UNDYING@94</v>
      </c>
      <c r="AD1260" s="41">
        <f t="shared" si="99"/>
        <v>1257</v>
      </c>
      <c r="AE1260" s="41" t="s">
        <v>988</v>
      </c>
      <c r="AF1260" s="73">
        <f t="shared" si="100"/>
        <v>63280</v>
      </c>
      <c r="AG1260" s="74">
        <f t="shared" si="101"/>
        <v>4.75</v>
      </c>
      <c r="AH1260" s="41" t="str">
        <f>IF($C1260="","",$B1260&amp;"|"&amp;(COUNTIFS($B$4:$B$1463,$B1260,$AF$4:$AF$1463,"&gt;"&amp;$AF1260)+COUNTIFS($B$4:$B1260,$B1260,$AF$4:$AF1260,"="&amp;$AF1260)))</f>
        <v>UNDYING|23</v>
      </c>
      <c r="AI1260" s="41" t="str">
        <f>IF($C1260="","",$B1260&amp;"|"&amp;(COUNTIFS($B$4:$B$1463,$B1260,$AG$4:$AG$1463,"&gt;"&amp;$AG1260)+COUNTIFS($B$4:$B1260,$B1260,$AG$4:$AG1260,"="&amp;$AG1260)))</f>
        <v>UNDYING|61</v>
      </c>
    </row>
    <row r="1261" spans="1:35" hidden="1">
      <c r="A1261" s="69" t="s">
        <v>109</v>
      </c>
      <c r="B1261" s="69" t="s">
        <v>115</v>
      </c>
      <c r="C1261" s="63" t="s">
        <v>2669</v>
      </c>
      <c r="D1261" s="69"/>
      <c r="E1261" s="68" t="s">
        <v>77</v>
      </c>
      <c r="F1261" s="19" t="str">
        <f>IF($C1261="","",IF($E1261="","-",IFERROR(INDEX(SETUP!$B$55:$B$64,MATCH($E1261,SETUP!$A$55:$A$64,0)),"Other")))</f>
        <v>Control</v>
      </c>
      <c r="G1261" s="70">
        <v>62833</v>
      </c>
      <c r="H1261" s="19" t="str">
        <f>IF($C1261="","",IF($G1261="","-",INDEX(SETUP!$B$26:$B$32,MATCH($G1261,SETUP!$A$26:$A$32,1))))</f>
        <v>62,000 - 62,999</v>
      </c>
      <c r="I1261" s="70">
        <v>3103</v>
      </c>
      <c r="J1261" s="19" t="str">
        <f>IF($C1261="","",IF($I1261="","-",INDEX(SETUP!$B$16:$B$22,MATCH($I1261,SETUP!$A$16:$A$22,1))))</f>
        <v>DEVELOPING</v>
      </c>
      <c r="K1261" s="19" t="str">
        <f>IF($C1261="","",IF($I1261="","-",TEXT(INT($I1261/1000)*1000,"#,##0")&amp;" - "&amp;TEXT(INT($I1261/1000)*1000+999,"#,##0")))</f>
        <v>3,000 - 3,999</v>
      </c>
      <c r="L1261" s="71">
        <v>3.5</v>
      </c>
      <c r="M1261" s="19" t="str">
        <f>IF($C1261="","",IF($L1261="","-",INDEX(SETUP!$B$36:$B$42,MATCH($L1261,SETUP!$A$36:$A$42,1))))</f>
        <v>3k - 4k</v>
      </c>
      <c r="N1261" s="21">
        <f>IF($C1261="","",IF(OR($G1261="",$I1261=""),"",ROUND(100*(SETUP!$B$4*MIN(1,$I1261/SETUP!$B$9)+SETUP!$B$5*MAX(0,MIN(1,($G1261-SETUP!$B$10)/(SETUP!$B$11-SETUP!$B$10)))+SETUP!$B$6*MIN(1,IF($L1261="",0,$L1261)/SETUP!$B$12)),1)))</f>
        <v>40</v>
      </c>
      <c r="O1261" s="19" t="str">
        <f>IF($C1261="","",IF($N1261="","-",INDEX(SETUP!$B$46:$B$51,MATCH($N1261,SETUP!$A$46:$A$51,1))))</f>
        <v>B</v>
      </c>
      <c r="P1261" s="19">
        <f>IF($C1261="","",IF($I1261="","",RANK($I1261,$I$4:$I$1463)+COUNTIF($I$4:$I1261,$I1261)-1))</f>
        <v>853</v>
      </c>
      <c r="Q1261" s="19">
        <f>IF($C1261="","",COUNTIFS($B$4:$B$1463,$B1261,$X$4:$X$1463,"&gt;"&amp;$X1261)+COUNTIFS($B$4:$B1261,$B1261,$X$4:$X1261,"="&amp;$X1261))</f>
        <v>24</v>
      </c>
      <c r="R1261" s="75">
        <f>IF($C1261="","",IF($I1261="","",ROUND(COUNTIF($I$4:$I$1463,"&lt;"&amp;$I1261)/COUNT($I$4:$I$1463),3)))</f>
        <v>0.35599999999999998</v>
      </c>
      <c r="S1261" s="19" t="str">
        <f>IF($C1261="","",IF($G1261="","Name only",IF(OR($I1261="",$L1261=""),"Partial","Complete")))</f>
        <v>Complete</v>
      </c>
      <c r="T1261" s="1" t="str">
        <f>IF($C1261="","",TRIM(IF(COUNTIF($C$4:$C$1463,$C1261)&gt;1,"Dup name; ","")&amp;IF(AND($G1261&lt;&gt;"",$G1261&lt;55000),"Low CR - verify; ","")&amp;IF(AND($L1261&lt;&gt;"",$L1261&gt;15),"Secondary - verify; ","")&amp;IF($E1261="","No class; ","")))</f>
        <v/>
      </c>
      <c r="U1261" s="68"/>
      <c r="V1261" s="68"/>
      <c r="W1261" s="68"/>
      <c r="X1261" s="76">
        <f t="shared" si="97"/>
        <v>3103</v>
      </c>
      <c r="Y1261" s="1" t="str">
        <f t="shared" si="98"/>
        <v>SUB ROSA|24</v>
      </c>
      <c r="Z1261" s="19">
        <f>IF($C1261="","",IF($G1261="","",RANK($G1261,$G$4:$G$1463)+COUNTIF($G$4:$G1261,$G1261)-1))</f>
        <v>506</v>
      </c>
      <c r="AA1261" s="19">
        <f>IF($C1261="","",IF($N1261="","",RANK($N1261,$N$4:$N$1463)+COUNTIF($N$4:$N1261,$N1261)-1))</f>
        <v>821</v>
      </c>
      <c r="AB1261" s="1" t="str">
        <f>IF($C1261="","",IF($E1261="","",$E1261&amp;"#"&amp;(COUNTIFS($E$4:$E$1463,$E1261,$X$4:$X$1463,"&gt;"&amp;$X1261)+COUNTIFS($E$4:$E1261,$E1261,$X$4:$X1261,"="&amp;$X1261))))</f>
        <v>NECROMANCER#44</v>
      </c>
      <c r="AC1261" s="1" t="str">
        <f>IF($C1261="","",$B1261&amp;"@"&amp;(COUNTIFS($B$4:$B$1463,$B1261,$C$4:$C$1463,"&lt;"&amp;$C1261)+COUNTIFS($B$4:$B1261,$B1261,$C$4:$C1261,$C1261)))</f>
        <v>SUB ROSA@88</v>
      </c>
      <c r="AD1261" s="1">
        <f t="shared" si="99"/>
        <v>1258</v>
      </c>
      <c r="AE1261" s="1" t="s">
        <v>1057</v>
      </c>
      <c r="AF1261" s="76">
        <f t="shared" si="100"/>
        <v>62833</v>
      </c>
      <c r="AG1261" s="77">
        <f t="shared" si="101"/>
        <v>3.5</v>
      </c>
      <c r="AH1261" s="1" t="str">
        <f>IF($C1261="","",$B1261&amp;"|"&amp;(COUNTIFS($B$4:$B$1463,$B1261,$AF$4:$AF$1463,"&gt;"&amp;$AF1261)+COUNTIFS($B$4:$B1261,$B1261,$AF$4:$AF1261,"="&amp;$AF1261)))</f>
        <v>SUB ROSA|14</v>
      </c>
      <c r="AI1261" s="1" t="str">
        <f>IF($C1261="","",$B1261&amp;"|"&amp;(COUNTIFS($B$4:$B$1463,$B1261,$AG$4:$AG$1463,"&gt;"&amp;$AG1261)+COUNTIFS($B$4:$B1261,$B1261,$AG$4:$AG1261,"="&amp;$AG1261)))</f>
        <v>SUB ROSA|40</v>
      </c>
    </row>
    <row r="1262" spans="1:35" hidden="1">
      <c r="A1262" s="69" t="s">
        <v>106</v>
      </c>
      <c r="B1262" s="69" t="s">
        <v>107</v>
      </c>
      <c r="C1262" s="63" t="s">
        <v>2670</v>
      </c>
      <c r="D1262" s="69"/>
      <c r="E1262" s="68" t="s">
        <v>79</v>
      </c>
      <c r="F1262" s="15" t="str">
        <f>IF($C1262="","",IF($E1262="","-",IFERROR(INDEX(SETUP!$B$55:$B$64,MATCH($E1262,SETUP!$A$55:$A$64,0)),"Other")))</f>
        <v>Control</v>
      </c>
      <c r="G1262" s="70">
        <v>61756</v>
      </c>
      <c r="H1262" s="15" t="str">
        <f>IF($C1262="","",IF($G1262="","-",INDEX(SETUP!$B$26:$B$32,MATCH($G1262,SETUP!$A$26:$A$32,1))))</f>
        <v>61,000 - 61,999</v>
      </c>
      <c r="I1262" s="70">
        <v>3147</v>
      </c>
      <c r="J1262" s="15" t="str">
        <f>IF($C1262="","",IF($I1262="","-",INDEX(SETUP!$B$16:$B$22,MATCH($I1262,SETUP!$A$16:$A$22,1))))</f>
        <v>DEVELOPING</v>
      </c>
      <c r="K1262" s="15" t="str">
        <f>IF($C1262="","",IF($I1262="","-",TEXT(INT($I1262/1000)*1000,"#,##0")&amp;" - "&amp;TEXT(INT($I1262/1000)*1000+999,"#,##0")))</f>
        <v>3,000 - 3,999</v>
      </c>
      <c r="L1262" s="71">
        <v>4.3</v>
      </c>
      <c r="M1262" s="15" t="str">
        <f>IF($C1262="","",IF($L1262="","-",INDEX(SETUP!$B$36:$B$42,MATCH($L1262,SETUP!$A$36:$A$42,1))))</f>
        <v>4k - 5k</v>
      </c>
      <c r="N1262" s="17">
        <f>IF($C1262="","",IF(OR($G1262="",$I1262=""),"",ROUND(100*(SETUP!$B$4*MIN(1,$I1262/SETUP!$B$9)+SETUP!$B$5*MAX(0,MIN(1,($G1262-SETUP!$B$10)/(SETUP!$B$11-SETUP!$B$10)))+SETUP!$B$6*MIN(1,IF($L1262="",0,$L1262)/SETUP!$B$12)),1)))</f>
        <v>38.700000000000003</v>
      </c>
      <c r="O1262" s="15" t="str">
        <f>IF($C1262="","",IF($N1262="","-",INDEX(SETUP!$B$46:$B$51,MATCH($N1262,SETUP!$A$46:$A$51,1))))</f>
        <v>B</v>
      </c>
      <c r="P1262" s="15">
        <f>IF($C1262="","",IF($I1262="","",RANK($I1262,$I$4:$I$1463)+COUNTIF($I$4:$I1262,$I1262)-1))</f>
        <v>841</v>
      </c>
      <c r="Q1262" s="15">
        <f>IF($C1262="","",COUNTIFS($B$4:$B$1463,$B1262,$X$4:$X$1463,"&gt;"&amp;$X1262)+COUNTIFS($B$4:$B1262,$B1262,$X$4:$X1262,"="&amp;$X1262))</f>
        <v>77</v>
      </c>
      <c r="R1262" s="72">
        <f>IF($C1262="","",IF($I1262="","",ROUND(COUNTIF($I$4:$I$1463,"&lt;"&amp;$I1262)/COUNT($I$4:$I$1463),3)))</f>
        <v>0.36499999999999999</v>
      </c>
      <c r="S1262" s="15" t="str">
        <f>IF($C1262="","",IF($G1262="","Name only",IF(OR($I1262="",$L1262=""),"Partial","Complete")))</f>
        <v>Complete</v>
      </c>
      <c r="T1262" s="41" t="str">
        <f>IF($C1262="","",TRIM(IF(COUNTIF($C$4:$C$1463,$C1262)&gt;1,"Dup name; ","")&amp;IF(AND($G1262&lt;&gt;"",$G1262&lt;55000),"Low CR - verify; ","")&amp;IF(AND($L1262&lt;&gt;"",$L1262&gt;15),"Secondary - verify; ","")&amp;IF($E1262="","No class; ","")))</f>
        <v/>
      </c>
      <c r="U1262" s="68"/>
      <c r="V1262" s="68"/>
      <c r="W1262" s="68"/>
      <c r="X1262" s="73">
        <f t="shared" si="97"/>
        <v>3147</v>
      </c>
      <c r="Y1262" s="41" t="str">
        <f t="shared" si="98"/>
        <v>UNDYING|77</v>
      </c>
      <c r="Z1262" s="15">
        <f>IF($C1262="","",IF($G1262="","",RANK($G1262,$G$4:$G$1463)+COUNTIF($G$4:$G1262,$G1262)-1))</f>
        <v>925</v>
      </c>
      <c r="AA1262" s="15">
        <f>IF($C1262="","",IF($N1262="","",RANK($N1262,$N$4:$N$1463)+COUNTIF($N$4:$N1262,$N1262)-1))</f>
        <v>871</v>
      </c>
      <c r="AB1262" s="41" t="str">
        <f>IF($C1262="","",IF($E1262="","",$E1262&amp;"#"&amp;(COUNTIFS($E$4:$E$1463,$E1262,$X$4:$X$1463,"&gt;"&amp;$X1262)+COUNTIFS($E$4:$E1262,$E1262,$X$4:$X1262,"="&amp;$X1262))))</f>
        <v>WARLOCK#207</v>
      </c>
      <c r="AC1262" s="41" t="str">
        <f>IF($C1262="","",$B1262&amp;"@"&amp;(COUNTIFS($B$4:$B$1463,$B1262,$C$4:$C$1463,"&lt;"&amp;$C1262)+COUNTIFS($B$4:$B1262,$B1262,$C$4:$C1262,$C1262)))</f>
        <v>UNDYING@95</v>
      </c>
      <c r="AD1262" s="41">
        <f t="shared" si="99"/>
        <v>1259</v>
      </c>
      <c r="AE1262" s="41" t="s">
        <v>956</v>
      </c>
      <c r="AF1262" s="73">
        <f t="shared" si="100"/>
        <v>61756</v>
      </c>
      <c r="AG1262" s="74">
        <f t="shared" si="101"/>
        <v>4.3</v>
      </c>
      <c r="AH1262" s="41" t="str">
        <f>IF($C1262="","",$B1262&amp;"|"&amp;(COUNTIFS($B$4:$B$1463,$B1262,$AF$4:$AF$1463,"&gt;"&amp;$AF1262)+COUNTIFS($B$4:$B1262,$B1262,$AF$4:$AF1262,"="&amp;$AF1262)))</f>
        <v>UNDYING|84</v>
      </c>
      <c r="AI1262" s="41" t="str">
        <f>IF($C1262="","",$B1262&amp;"|"&amp;(COUNTIFS($B$4:$B$1463,$B1262,$AG$4:$AG$1463,"&gt;"&amp;$AG1262)+COUNTIFS($B$4:$B1262,$B1262,$AG$4:$AG1262,"="&amp;$AG1262)))</f>
        <v>UNDYING|74</v>
      </c>
    </row>
    <row r="1263" spans="1:35" hidden="1">
      <c r="A1263" s="69" t="s">
        <v>109</v>
      </c>
      <c r="B1263" s="69" t="s">
        <v>111</v>
      </c>
      <c r="C1263" s="63" t="s">
        <v>2671</v>
      </c>
      <c r="D1263" s="69" t="s">
        <v>527</v>
      </c>
      <c r="E1263" s="68" t="s">
        <v>72</v>
      </c>
      <c r="F1263" s="19" t="str">
        <f>IF($C1263="","",IF($E1263="","-",IFERROR(INDEX(SETUP!$B$55:$B$64,MATCH($E1263,SETUP!$A$55:$A$64,0)),"Other")))</f>
        <v>Frontline</v>
      </c>
      <c r="G1263" s="70">
        <v>61217</v>
      </c>
      <c r="H1263" s="19" t="str">
        <f>IF($C1263="","",IF($G1263="","-",INDEX(SETUP!$B$26:$B$32,MATCH($G1263,SETUP!$A$26:$A$32,1))))</f>
        <v>61,000 - 61,999</v>
      </c>
      <c r="I1263" s="70">
        <v>3674</v>
      </c>
      <c r="J1263" s="19" t="str">
        <f>IF($C1263="","",IF($I1263="","-",INDEX(SETUP!$B$16:$B$22,MATCH($I1263,SETUP!$A$16:$A$22,1))))</f>
        <v>DEVELOPING</v>
      </c>
      <c r="K1263" s="19" t="str">
        <f>IF($C1263="","",IF($I1263="","-",TEXT(INT($I1263/1000)*1000,"#,##0")&amp;" - "&amp;TEXT(INT($I1263/1000)*1000+999,"#,##0")))</f>
        <v>3,000 - 3,999</v>
      </c>
      <c r="L1263" s="71">
        <v>5.05</v>
      </c>
      <c r="M1263" s="19" t="str">
        <f>IF($C1263="","",IF($L1263="","-",INDEX(SETUP!$B$36:$B$42,MATCH($L1263,SETUP!$A$36:$A$42,1))))</f>
        <v>5k - 6k</v>
      </c>
      <c r="N1263" s="21">
        <f>IF($C1263="","",IF(OR($G1263="",$I1263=""),"",ROUND(100*(SETUP!$B$4*MIN(1,$I1263/SETUP!$B$9)+SETUP!$B$5*MAX(0,MIN(1,($G1263-SETUP!$B$10)/(SETUP!$B$11-SETUP!$B$10)))+SETUP!$B$6*MIN(1,IF($L1263="",0,$L1263)/SETUP!$B$12)),1)))</f>
        <v>40.799999999999997</v>
      </c>
      <c r="O1263" s="19" t="str">
        <f>IF($C1263="","",IF($N1263="","-",INDEX(SETUP!$B$46:$B$51,MATCH($N1263,SETUP!$A$46:$A$51,1))))</f>
        <v>B</v>
      </c>
      <c r="P1263" s="19">
        <f>IF($C1263="","",IF($I1263="","",RANK($I1263,$I$4:$I$1463)+COUNTIF($I$4:$I1263,$I1263)-1))</f>
        <v>683</v>
      </c>
      <c r="Q1263" s="19">
        <f>IF($C1263="","",COUNTIFS($B$4:$B$1463,$B1263,$X$4:$X$1463,"&gt;"&amp;$X1263)+COUNTIFS($B$4:$B1263,$B1263,$X$4:$X1263,"="&amp;$X1263))</f>
        <v>76</v>
      </c>
      <c r="R1263" s="75">
        <f>IF($C1263="","",IF($I1263="","",ROUND(COUNTIF($I$4:$I$1463,"&lt;"&amp;$I1263)/COUNT($I$4:$I$1463),3)))</f>
        <v>0.48499999999999999</v>
      </c>
      <c r="S1263" s="19" t="str">
        <f>IF($C1263="","",IF($G1263="","Name only",IF(OR($I1263="",$L1263=""),"Partial","Complete")))</f>
        <v>Complete</v>
      </c>
      <c r="T1263" s="1" t="str">
        <f>IF($C1263="","",TRIM(IF(COUNTIF($C$4:$C$1463,$C1263)&gt;1,"Dup name; ","")&amp;IF(AND($G1263&lt;&gt;"",$G1263&lt;55000),"Low CR - verify; ","")&amp;IF(AND($L1263&lt;&gt;"",$L1263&gt;15),"Secondary - verify; ","")&amp;IF($E1263="","No class; ","")))</f>
        <v/>
      </c>
      <c r="U1263" s="68"/>
      <c r="V1263" s="68"/>
      <c r="W1263" s="68"/>
      <c r="X1263" s="76">
        <f t="shared" si="97"/>
        <v>3674</v>
      </c>
      <c r="Y1263" s="1" t="str">
        <f t="shared" si="98"/>
        <v>RECKONING|76</v>
      </c>
      <c r="Z1263" s="19">
        <f>IF($C1263="","",IF($G1263="","",RANK($G1263,$G$4:$G$1463)+COUNTIF($G$4:$G1263,$G1263)-1))</f>
        <v>1081</v>
      </c>
      <c r="AA1263" s="19">
        <f>IF($C1263="","",IF($N1263="","",RANK($N1263,$N$4:$N$1463)+COUNTIF($N$4:$N1263,$N1263)-1))</f>
        <v>788</v>
      </c>
      <c r="AB1263" s="1" t="str">
        <f>IF($C1263="","",IF($E1263="","",$E1263&amp;"#"&amp;(COUNTIFS($E$4:$E$1463,$E1263,$X$4:$X$1463,"&gt;"&amp;$X1263)+COUNTIFS($E$4:$E1263,$E1263,$X$4:$X1263,"="&amp;$X1263))))</f>
        <v>BLOOD KNIGHT#44</v>
      </c>
      <c r="AC1263" s="1" t="str">
        <f>IF($C1263="","",$B1263&amp;"@"&amp;(COUNTIFS($B$4:$B$1463,$B1263,$C$4:$C$1463,"&lt;"&amp;$C1263)+COUNTIFS($B$4:$B1263,$B1263,$C$4:$C1263,$C1263)))</f>
        <v>RECKONING@90</v>
      </c>
      <c r="AD1263" s="1">
        <f t="shared" si="99"/>
        <v>1260</v>
      </c>
      <c r="AE1263" s="1" t="s">
        <v>2672</v>
      </c>
      <c r="AF1263" s="76">
        <f t="shared" si="100"/>
        <v>61217</v>
      </c>
      <c r="AG1263" s="77">
        <f t="shared" si="101"/>
        <v>5.05</v>
      </c>
      <c r="AH1263" s="1" t="str">
        <f>IF($C1263="","",$B1263&amp;"|"&amp;(COUNTIFS($B$4:$B$1463,$B1263,$AF$4:$AF$1463,"&gt;"&amp;$AF1263)+COUNTIFS($B$4:$B1263,$B1263,$AF$4:$AF1263,"="&amp;$AF1263)))</f>
        <v>RECKONING|91</v>
      </c>
      <c r="AI1263" s="1" t="str">
        <f>IF($C1263="","",$B1263&amp;"|"&amp;(COUNTIFS($B$4:$B$1463,$B1263,$AG$4:$AG$1463,"&gt;"&amp;$AG1263)+COUNTIFS($B$4:$B1263,$B1263,$AG$4:$AG1263,"="&amp;$AG1263)))</f>
        <v>RECKONING|63</v>
      </c>
    </row>
    <row r="1264" spans="1:35" hidden="1">
      <c r="A1264" s="69" t="s">
        <v>109</v>
      </c>
      <c r="B1264" s="69" t="s">
        <v>117</v>
      </c>
      <c r="C1264" s="63" t="s">
        <v>2673</v>
      </c>
      <c r="D1264" s="69"/>
      <c r="E1264" s="68" t="s">
        <v>80</v>
      </c>
      <c r="F1264" s="15" t="str">
        <f>IF($C1264="","",IF($E1264="","-",IFERROR(INDEX(SETUP!$B$55:$B$64,MATCH($E1264,SETUP!$A$55:$A$64,0)),"Other")))</f>
        <v>Ranged DPS</v>
      </c>
      <c r="G1264" s="70">
        <v>62466</v>
      </c>
      <c r="H1264" s="15" t="str">
        <f>IF($C1264="","",IF($G1264="","-",INDEX(SETUP!$B$26:$B$32,MATCH($G1264,SETUP!$A$26:$A$32,1))))</f>
        <v>62,000 - 62,999</v>
      </c>
      <c r="I1264" s="70">
        <v>980</v>
      </c>
      <c r="J1264" s="15" t="str">
        <f>IF($C1264="","",IF($I1264="","-",INDEX(SETUP!$B$16:$B$22,MATCH($I1264,SETUP!$A$16:$A$22,1))))</f>
        <v>ROOKIE</v>
      </c>
      <c r="K1264" s="15" t="str">
        <f>IF($C1264="","",IF($I1264="","-",TEXT(INT($I1264/1000)*1000,"#,##0")&amp;" - "&amp;TEXT(INT($I1264/1000)*1000+999,"#,##0")))</f>
        <v>0 - 999</v>
      </c>
      <c r="L1264" s="71">
        <v>3</v>
      </c>
      <c r="M1264" s="15" t="str">
        <f>IF($C1264="","",IF($L1264="","-",INDEX(SETUP!$B$36:$B$42,MATCH($L1264,SETUP!$A$36:$A$42,1))))</f>
        <v>3k - 4k</v>
      </c>
      <c r="N1264" s="17">
        <f>IF($C1264="","",IF(OR($G1264="",$I1264=""),"",ROUND(100*(SETUP!$B$4*MIN(1,$I1264/SETUP!$B$9)+SETUP!$B$5*MAX(0,MIN(1,($G1264-SETUP!$B$10)/(SETUP!$B$11-SETUP!$B$10)))+SETUP!$B$6*MIN(1,IF($L1264="",0,$L1264)/SETUP!$B$12)),1)))</f>
        <v>28.9</v>
      </c>
      <c r="O1264" s="15" t="str">
        <f>IF($C1264="","",IF($N1264="","-",INDEX(SETUP!$B$46:$B$51,MATCH($N1264,SETUP!$A$46:$A$51,1))))</f>
        <v>C</v>
      </c>
      <c r="P1264" s="15">
        <f>IF($C1264="","",IF($I1264="","",RANK($I1264,$I$4:$I$1463)+COUNTIF($I$4:$I1264,$I1264)-1))</f>
        <v>1279</v>
      </c>
      <c r="Q1264" s="15">
        <f>IF($C1264="","",COUNTIFS($B$4:$B$1463,$B1264,$X$4:$X$1463,"&gt;"&amp;$X1264)+COUNTIFS($B$4:$B1264,$B1264,$X$4:$X1264,"="&amp;$X1264))</f>
        <v>85</v>
      </c>
      <c r="R1264" s="72">
        <f>IF($C1264="","",IF($I1264="","",ROUND(COUNTIF($I$4:$I$1463,"&lt;"&amp;$I1264)/COUNT($I$4:$I$1463),3)))</f>
        <v>3.5000000000000003E-2</v>
      </c>
      <c r="S1264" s="15" t="str">
        <f>IF($C1264="","",IF($G1264="","Name only",IF(OR($I1264="",$L1264=""),"Partial","Complete")))</f>
        <v>Complete</v>
      </c>
      <c r="T1264" s="41" t="str">
        <f>IF($C1264="","",TRIM(IF(COUNTIF($C$4:$C$1463,$C1264)&gt;1,"Dup name; ","")&amp;IF(AND($G1264&lt;&gt;"",$G1264&lt;55000),"Low CR - verify; ","")&amp;IF(AND($L1264&lt;&gt;"",$L1264&gt;15),"Secondary - verify; ","")&amp;IF($E1264="","No class; ","")))</f>
        <v/>
      </c>
      <c r="U1264" s="68"/>
      <c r="V1264" s="68"/>
      <c r="W1264" s="68"/>
      <c r="X1264" s="73">
        <f t="shared" si="97"/>
        <v>980</v>
      </c>
      <c r="Y1264" s="41" t="str">
        <f t="shared" si="98"/>
        <v>VENDETTA|85</v>
      </c>
      <c r="Z1264" s="15">
        <f>IF($C1264="","",IF($G1264="","",RANK($G1264,$G$4:$G$1463)+COUNTIF($G$4:$G1264,$G1264)-1))</f>
        <v>663</v>
      </c>
      <c r="AA1264" s="15">
        <f>IF($C1264="","",IF($N1264="","",RANK($N1264,$N$4:$N$1463)+COUNTIF($N$4:$N1264,$N1264)-1))</f>
        <v>1172</v>
      </c>
      <c r="AB1264" s="41" t="str">
        <f>IF($C1264="","",IF($E1264="","",$E1264&amp;"#"&amp;(COUNTIFS($E$4:$E$1463,$E1264,$X$4:$X$1463,"&gt;"&amp;$X1264)+COUNTIFS($E$4:$E1264,$E1264,$X$4:$X1264,"="&amp;$X1264))))</f>
        <v>WIZARD#91</v>
      </c>
      <c r="AC1264" s="41" t="str">
        <f>IF($C1264="","",$B1264&amp;"@"&amp;(COUNTIFS($B$4:$B$1463,$B1264,$C$4:$C$1463,"&lt;"&amp;$C1264)+COUNTIFS($B$4:$B1264,$B1264,$C$4:$C1264,$C1264)))</f>
        <v>VENDETTA@86</v>
      </c>
      <c r="AD1264" s="41">
        <f t="shared" si="99"/>
        <v>1261</v>
      </c>
      <c r="AE1264" s="41" t="s">
        <v>611</v>
      </c>
      <c r="AF1264" s="73">
        <f t="shared" si="100"/>
        <v>62466</v>
      </c>
      <c r="AG1264" s="74">
        <f t="shared" si="101"/>
        <v>3</v>
      </c>
      <c r="AH1264" s="41" t="str">
        <f>IF($C1264="","",$B1264&amp;"|"&amp;(COUNTIFS($B$4:$B$1463,$B1264,$AF$4:$AF$1463,"&gt;"&amp;$AF1264)+COUNTIFS($B$4:$B1264,$B1264,$AF$4:$AF1264,"="&amp;$AF1264)))</f>
        <v>VENDETTA|21</v>
      </c>
      <c r="AI1264" s="41" t="str">
        <f>IF($C1264="","",$B1264&amp;"|"&amp;(COUNTIFS($B$4:$B$1463,$B1264,$AG$4:$AG$1463,"&gt;"&amp;$AG1264)+COUNTIFS($B$4:$B1264,$B1264,$AG$4:$AG1264,"="&amp;$AG1264)))</f>
        <v>VENDETTA|82</v>
      </c>
    </row>
    <row r="1265" spans="1:35" hidden="1">
      <c r="A1265" s="69" t="s">
        <v>109</v>
      </c>
      <c r="B1265" s="69" t="s">
        <v>110</v>
      </c>
      <c r="C1265" s="63" t="s">
        <v>2674</v>
      </c>
      <c r="D1265" s="69"/>
      <c r="E1265" s="68" t="s">
        <v>80</v>
      </c>
      <c r="F1265" s="19" t="str">
        <f>IF($C1265="","",IF($E1265="","-",IFERROR(INDEX(SETUP!$B$55:$B$64,MATCH($E1265,SETUP!$A$55:$A$64,0)),"Other")))</f>
        <v>Ranged DPS</v>
      </c>
      <c r="G1265" s="70">
        <v>63120</v>
      </c>
      <c r="H1265" s="19" t="str">
        <f>IF($C1265="","",IF($G1265="","-",INDEX(SETUP!$B$26:$B$32,MATCH($G1265,SETUP!$A$26:$A$32,1))))</f>
        <v>63,000 - 63,999</v>
      </c>
      <c r="I1265" s="70">
        <v>4200</v>
      </c>
      <c r="J1265" s="19" t="str">
        <f>IF($C1265="","",IF($I1265="","-",INDEX(SETUP!$B$16:$B$22,MATCH($I1265,SETUP!$A$16:$A$22,1))))</f>
        <v>CORE</v>
      </c>
      <c r="K1265" s="19" t="str">
        <f>IF($C1265="","",IF($I1265="","-",TEXT(INT($I1265/1000)*1000,"#,##0")&amp;" - "&amp;TEXT(INT($I1265/1000)*1000+999,"#,##0")))</f>
        <v>4,000 - 4,999</v>
      </c>
      <c r="L1265" s="71">
        <v>7.15</v>
      </c>
      <c r="M1265" s="19" t="str">
        <f>IF($C1265="","",IF($L1265="","-",INDEX(SETUP!$B$36:$B$42,MATCH($L1265,SETUP!$A$36:$A$42,1))))</f>
        <v>6k - 8k</v>
      </c>
      <c r="N1265" s="21">
        <f>IF($C1265="","",IF(OR($G1265="",$I1265=""),"",ROUND(100*(SETUP!$B$4*MIN(1,$I1265/SETUP!$B$9)+SETUP!$B$5*MAX(0,MIN(1,($G1265-SETUP!$B$10)/(SETUP!$B$11-SETUP!$B$10)))+SETUP!$B$6*MIN(1,IF($L1265="",0,$L1265)/SETUP!$B$12)),1)))</f>
        <v>51.6</v>
      </c>
      <c r="O1265" s="19" t="str">
        <f>IF($C1265="","",IF($N1265="","-",INDEX(SETUP!$B$46:$B$51,MATCH($N1265,SETUP!$A$46:$A$51,1))))</f>
        <v>A</v>
      </c>
      <c r="P1265" s="19">
        <f>IF($C1265="","",IF($I1265="","",RANK($I1265,$I$4:$I$1463)+COUNTIF($I$4:$I1265,$I1265)-1))</f>
        <v>558</v>
      </c>
      <c r="Q1265" s="19">
        <f>IF($C1265="","",COUNTIFS($B$4:$B$1463,$B1265,$X$4:$X$1463,"&gt;"&amp;$X1265)+COUNTIFS($B$4:$B1265,$B1265,$X$4:$X1265,"="&amp;$X1265))</f>
        <v>58</v>
      </c>
      <c r="R1265" s="75">
        <f>IF($C1265="","",IF($I1265="","",ROUND(COUNTIF($I$4:$I$1463,"&lt;"&amp;$I1265)/COUNT($I$4:$I$1463),3)))</f>
        <v>0.57899999999999996</v>
      </c>
      <c r="S1265" s="19" t="str">
        <f>IF($C1265="","",IF($G1265="","Name only",IF(OR($I1265="",$L1265=""),"Partial","Complete")))</f>
        <v>Complete</v>
      </c>
      <c r="T1265" s="1" t="str">
        <f>IF($C1265="","",TRIM(IF(COUNTIF($C$4:$C$1463,$C1265)&gt;1,"Dup name; ","")&amp;IF(AND($G1265&lt;&gt;"",$G1265&lt;55000),"Low CR - verify; ","")&amp;IF(AND($L1265&lt;&gt;"",$L1265&gt;15),"Secondary - verify; ","")&amp;IF($E1265="","No class; ","")))</f>
        <v/>
      </c>
      <c r="U1265" s="68"/>
      <c r="V1265" s="68"/>
      <c r="W1265" s="68"/>
      <c r="X1265" s="76">
        <f t="shared" si="97"/>
        <v>4200</v>
      </c>
      <c r="Y1265" s="1" t="str">
        <f t="shared" si="98"/>
        <v>AZUKI|58</v>
      </c>
      <c r="Z1265" s="19">
        <f>IF($C1265="","",IF($G1265="","",RANK($G1265,$G$4:$G$1463)+COUNTIF($G$4:$G1265,$G1265)-1))</f>
        <v>363</v>
      </c>
      <c r="AA1265" s="19">
        <f>IF($C1265="","",IF($N1265="","",RANK($N1265,$N$4:$N$1463)+COUNTIF($N$4:$N1265,$N1265)-1))</f>
        <v>402</v>
      </c>
      <c r="AB1265" s="1" t="str">
        <f>IF($C1265="","",IF($E1265="","",$E1265&amp;"#"&amp;(COUNTIFS($E$4:$E$1463,$E1265,$X$4:$X$1463,"&gt;"&amp;$X1265)+COUNTIFS($E$4:$E1265,$E1265,$X$4:$X1265,"="&amp;$X1265))))</f>
        <v>WIZARD#39</v>
      </c>
      <c r="AC1265" s="1" t="str">
        <f>IF($C1265="","",$B1265&amp;"@"&amp;(COUNTIFS($B$4:$B$1463,$B1265,$C$4:$C$1463,"&lt;"&amp;$C1265)+COUNTIFS($B$4:$B1265,$B1265,$C$4:$C1265,$C1265)))</f>
        <v>AZUKI@98</v>
      </c>
      <c r="AD1265" s="1">
        <f t="shared" si="99"/>
        <v>1262</v>
      </c>
      <c r="AE1265" s="1" t="s">
        <v>2675</v>
      </c>
      <c r="AF1265" s="76">
        <f t="shared" si="100"/>
        <v>63120</v>
      </c>
      <c r="AG1265" s="77">
        <f t="shared" si="101"/>
        <v>7.15</v>
      </c>
      <c r="AH1265" s="1" t="str">
        <f>IF($C1265="","",$B1265&amp;"|"&amp;(COUNTIFS($B$4:$B$1463,$B1265,$AF$4:$AF$1463,"&gt;"&amp;$AF1265)+COUNTIFS($B$4:$B1265,$B1265,$AF$4:$AF1265,"="&amp;$AF1265)))</f>
        <v>AZUKI|36</v>
      </c>
      <c r="AI1265" s="1" t="str">
        <f>IF($C1265="","",$B1265&amp;"|"&amp;(COUNTIFS($B$4:$B$1463,$B1265,$AG$4:$AG$1463,"&gt;"&amp;$AG1265)+COUNTIFS($B$4:$B1265,$B1265,$AG$4:$AG1265,"="&amp;$AG1265)))</f>
        <v>AZUKI|26</v>
      </c>
    </row>
    <row r="1266" spans="1:35" hidden="1">
      <c r="A1266" s="69" t="s">
        <v>109</v>
      </c>
      <c r="B1266" s="69" t="s">
        <v>116</v>
      </c>
      <c r="C1266" s="63" t="s">
        <v>2676</v>
      </c>
      <c r="D1266" s="69" t="s">
        <v>530</v>
      </c>
      <c r="E1266" s="68" t="s">
        <v>79</v>
      </c>
      <c r="F1266" s="15" t="str">
        <f>IF($C1266="","",IF($E1266="","-",IFERROR(INDEX(SETUP!$B$55:$B$64,MATCH($E1266,SETUP!$A$55:$A$64,0)),"Other")))</f>
        <v>Control</v>
      </c>
      <c r="G1266" s="70">
        <v>61630</v>
      </c>
      <c r="H1266" s="15" t="str">
        <f>IF($C1266="","",IF($G1266="","-",INDEX(SETUP!$B$26:$B$32,MATCH($G1266,SETUP!$A$26:$A$32,1))))</f>
        <v>61,000 - 61,999</v>
      </c>
      <c r="I1266" s="70">
        <v>3002</v>
      </c>
      <c r="J1266" s="15" t="str">
        <f>IF($C1266="","",IF($I1266="","-",INDEX(SETUP!$B$16:$B$22,MATCH($I1266,SETUP!$A$16:$A$22,1))))</f>
        <v>DEVELOPING</v>
      </c>
      <c r="K1266" s="15" t="str">
        <f>IF($C1266="","",IF($I1266="","-",TEXT(INT($I1266/1000)*1000,"#,##0")&amp;" - "&amp;TEXT(INT($I1266/1000)*1000+999,"#,##0")))</f>
        <v>3,000 - 3,999</v>
      </c>
      <c r="L1266" s="71">
        <v>3.75</v>
      </c>
      <c r="M1266" s="15" t="str">
        <f>IF($C1266="","",IF($L1266="","-",INDEX(SETUP!$B$36:$B$42,MATCH($L1266,SETUP!$A$36:$A$42,1))))</f>
        <v>3k - 4k</v>
      </c>
      <c r="N1266" s="17">
        <f>IF($C1266="","",IF(OR($G1266="",$I1266=""),"",ROUND(100*(SETUP!$B$4*MIN(1,$I1266/SETUP!$B$9)+SETUP!$B$5*MAX(0,MIN(1,($G1266-SETUP!$B$10)/(SETUP!$B$11-SETUP!$B$10)))+SETUP!$B$6*MIN(1,IF($L1266="",0,$L1266)/SETUP!$B$12)),1)))</f>
        <v>36.799999999999997</v>
      </c>
      <c r="O1266" s="15" t="str">
        <f>IF($C1266="","",IF($N1266="","-",INDEX(SETUP!$B$46:$B$51,MATCH($N1266,SETUP!$A$46:$A$51,1))))</f>
        <v>B</v>
      </c>
      <c r="P1266" s="15">
        <f>IF($C1266="","",IF($I1266="","",RANK($I1266,$I$4:$I$1463)+COUNTIF($I$4:$I1266,$I1266)-1))</f>
        <v>884</v>
      </c>
      <c r="Q1266" s="15">
        <f>IF($C1266="","",COUNTIFS($B$4:$B$1463,$B1266,$X$4:$X$1463,"&gt;"&amp;$X1266)+COUNTIFS($B$4:$B1266,$B1266,$X$4:$X1266,"="&amp;$X1266))</f>
        <v>57</v>
      </c>
      <c r="R1266" s="72">
        <f>IF($C1266="","",IF($I1266="","",ROUND(COUNTIF($I$4:$I$1463,"&lt;"&amp;$I1266)/COUNT($I$4:$I$1463),3)))</f>
        <v>0.33300000000000002</v>
      </c>
      <c r="S1266" s="15" t="str">
        <f>IF($C1266="","",IF($G1266="","Name only",IF(OR($I1266="",$L1266=""),"Partial","Complete")))</f>
        <v>Complete</v>
      </c>
      <c r="T1266" s="41" t="str">
        <f>IF($C1266="","",TRIM(IF(COUNTIF($C$4:$C$1463,$C1266)&gt;1,"Dup name; ","")&amp;IF(AND($G1266&lt;&gt;"",$G1266&lt;55000),"Low CR - verify; ","")&amp;IF(AND($L1266&lt;&gt;"",$L1266&gt;15),"Secondary - verify; ","")&amp;IF($E1266="","No class; ","")))</f>
        <v/>
      </c>
      <c r="U1266" s="68"/>
      <c r="V1266" s="68"/>
      <c r="W1266" s="68"/>
      <c r="X1266" s="73">
        <f t="shared" si="97"/>
        <v>3002</v>
      </c>
      <c r="Y1266" s="41" t="str">
        <f t="shared" si="98"/>
        <v>VENGEANCE|57</v>
      </c>
      <c r="Z1266" s="15">
        <f>IF($C1266="","",IF($G1266="","",RANK($G1266,$G$4:$G$1463)+COUNTIF($G$4:$G1266,$G1266)-1))</f>
        <v>968</v>
      </c>
      <c r="AA1266" s="15">
        <f>IF($C1266="","",IF($N1266="","",RANK($N1266,$N$4:$N$1463)+COUNTIF($N$4:$N1266,$N1266)-1))</f>
        <v>939</v>
      </c>
      <c r="AB1266" s="41" t="str">
        <f>IF($C1266="","",IF($E1266="","",$E1266&amp;"#"&amp;(COUNTIFS($E$4:$E$1463,$E1266,$X$4:$X$1463,"&gt;"&amp;$X1266)+COUNTIFS($E$4:$E1266,$E1266,$X$4:$X1266,"="&amp;$X1266))))</f>
        <v>WARLOCK#218</v>
      </c>
      <c r="AC1266" s="41" t="str">
        <f>IF($C1266="","",$B1266&amp;"@"&amp;(COUNTIFS($B$4:$B$1463,$B1266,$C$4:$C$1463,"&lt;"&amp;$C1266)+COUNTIFS($B$4:$B1266,$B1266,$C$4:$C1266,$C1266)))</f>
        <v>VENGEANCE@88</v>
      </c>
      <c r="AD1266" s="41">
        <f t="shared" si="99"/>
        <v>1263</v>
      </c>
      <c r="AE1266" s="41" t="s">
        <v>1580</v>
      </c>
      <c r="AF1266" s="73">
        <f t="shared" si="100"/>
        <v>61630</v>
      </c>
      <c r="AG1266" s="74">
        <f t="shared" si="101"/>
        <v>3.75</v>
      </c>
      <c r="AH1266" s="41" t="str">
        <f>IF($C1266="","",$B1266&amp;"|"&amp;(COUNTIFS($B$4:$B$1463,$B1266,$AF$4:$AF$1463,"&gt;"&amp;$AF1266)+COUNTIFS($B$4:$B1266,$B1266,$AF$4:$AF1266,"="&amp;$AF1266)))</f>
        <v>VENGEANCE|60</v>
      </c>
      <c r="AI1266" s="41" t="str">
        <f>IF($C1266="","",$B1266&amp;"|"&amp;(COUNTIFS($B$4:$B$1463,$B1266,$AG$4:$AG$1463,"&gt;"&amp;$AG1266)+COUNTIFS($B$4:$B1266,$B1266,$AG$4:$AG1266,"="&amp;$AG1266)))</f>
        <v>VENGEANCE|73</v>
      </c>
    </row>
    <row r="1267" spans="1:35" hidden="1">
      <c r="A1267" s="69" t="s">
        <v>109</v>
      </c>
      <c r="B1267" s="69" t="s">
        <v>114</v>
      </c>
      <c r="C1267" s="63" t="s">
        <v>2677</v>
      </c>
      <c r="D1267" s="69"/>
      <c r="E1267" s="68" t="s">
        <v>75</v>
      </c>
      <c r="F1267" s="19" t="str">
        <f>IF($C1267="","",IF($E1267="","-",IFERROR(INDEX(SETUP!$B$55:$B$64,MATCH($E1267,SETUP!$A$55:$A$64,0)),"Other")))</f>
        <v>Support</v>
      </c>
      <c r="G1267" s="70">
        <v>60234</v>
      </c>
      <c r="H1267" s="19" t="str">
        <f>IF($C1267="","",IF($G1267="","-",INDEX(SETUP!$B$26:$B$32,MATCH($G1267,SETUP!$A$26:$A$32,1))))</f>
        <v>60,000 - 60,999</v>
      </c>
      <c r="I1267" s="70">
        <v>2393</v>
      </c>
      <c r="J1267" s="19" t="str">
        <f>IF($C1267="","",IF($I1267="","-",INDEX(SETUP!$B$16:$B$22,MATCH($I1267,SETUP!$A$16:$A$22,1))))</f>
        <v>DEVELOPING</v>
      </c>
      <c r="K1267" s="19" t="str">
        <f>IF($C1267="","",IF($I1267="","-",TEXT(INT($I1267/1000)*1000,"#,##0")&amp;" - "&amp;TEXT(INT($I1267/1000)*1000+999,"#,##0")))</f>
        <v>2,000 - 2,999</v>
      </c>
      <c r="L1267" s="71">
        <v>3.75</v>
      </c>
      <c r="M1267" s="19" t="str">
        <f>IF($C1267="","",IF($L1267="","-",INDEX(SETUP!$B$36:$B$42,MATCH($L1267,SETUP!$A$36:$A$42,1))))</f>
        <v>3k - 4k</v>
      </c>
      <c r="N1267" s="21">
        <f>IF($C1267="","",IF(OR($G1267="",$I1267=""),"",ROUND(100*(SETUP!$B$4*MIN(1,$I1267/SETUP!$B$9)+SETUP!$B$5*MAX(0,MIN(1,($G1267-SETUP!$B$10)/(SETUP!$B$11-SETUP!$B$10)))+SETUP!$B$6*MIN(1,IF($L1267="",0,$L1267)/SETUP!$B$12)),1)))</f>
        <v>30.5</v>
      </c>
      <c r="O1267" s="19" t="str">
        <f>IF($C1267="","",IF($N1267="","-",INDEX(SETUP!$B$46:$B$51,MATCH($N1267,SETUP!$A$46:$A$51,1))))</f>
        <v>C</v>
      </c>
      <c r="P1267" s="19">
        <f>IF($C1267="","",IF($I1267="","",RANK($I1267,$I$4:$I$1463)+COUNTIF($I$4:$I1267,$I1267)-1))</f>
        <v>1031</v>
      </c>
      <c r="Q1267" s="19">
        <f>IF($C1267="","",COUNTIFS($B$4:$B$1463,$B1267,$X$4:$X$1463,"&gt;"&amp;$X1267)+COUNTIFS($B$4:$B1267,$B1267,$X$4:$X1267,"="&amp;$X1267))</f>
        <v>44</v>
      </c>
      <c r="R1267" s="75">
        <f>IF($C1267="","",IF($I1267="","",ROUND(COUNTIF($I$4:$I$1463,"&lt;"&amp;$I1267)/COUNT($I$4:$I$1463),3)))</f>
        <v>0.222</v>
      </c>
      <c r="S1267" s="19" t="str">
        <f>IF($C1267="","",IF($G1267="","Name only",IF(OR($I1267="",$L1267=""),"Partial","Complete")))</f>
        <v>Complete</v>
      </c>
      <c r="T1267" s="1" t="str">
        <f>IF($C1267="","",TRIM(IF(COUNTIF($C$4:$C$1463,$C1267)&gt;1,"Dup name; ","")&amp;IF(AND($G1267&lt;&gt;"",$G1267&lt;55000),"Low CR - verify; ","")&amp;IF(AND($L1267&lt;&gt;"",$L1267&gt;15),"Secondary - verify; ","")&amp;IF($E1267="","No class; ","")))</f>
        <v/>
      </c>
      <c r="U1267" s="68"/>
      <c r="V1267" s="68"/>
      <c r="W1267" s="68"/>
      <c r="X1267" s="76">
        <f t="shared" si="97"/>
        <v>2393</v>
      </c>
      <c r="Y1267" s="1" t="str">
        <f t="shared" si="98"/>
        <v>EMERALD LEAF TRIBE|44</v>
      </c>
      <c r="Z1267" s="19">
        <f>IF($C1267="","",IF($G1267="","",RANK($G1267,$G$4:$G$1463)+COUNTIF($G$4:$G1267,$G1267)-1))</f>
        <v>1225</v>
      </c>
      <c r="AA1267" s="19">
        <f>IF($C1267="","",IF($N1267="","",RANK($N1267,$N$4:$N$1463)+COUNTIF($N$4:$N1267,$N1267)-1))</f>
        <v>1138</v>
      </c>
      <c r="AB1267" s="1" t="str">
        <f>IF($C1267="","",IF($E1267="","",$E1267&amp;"#"&amp;(COUNTIFS($E$4:$E$1463,$E1267,$X$4:$X$1463,"&gt;"&amp;$X1267)+COUNTIFS($E$4:$E1267,$E1267,$X$4:$X1267,"="&amp;$X1267))))</f>
        <v>DRUID#48</v>
      </c>
      <c r="AC1267" s="1" t="str">
        <f>IF($C1267="","",$B1267&amp;"@"&amp;(COUNTIFS($B$4:$B$1463,$B1267,$C$4:$C$1463,"&lt;"&amp;$C1267)+COUNTIFS($B$4:$B1267,$B1267,$C$4:$C1267,$C1267)))</f>
        <v>EMERALD LEAF TRIBE@94</v>
      </c>
      <c r="AD1267" s="1">
        <f t="shared" si="99"/>
        <v>1264</v>
      </c>
      <c r="AE1267" s="1" t="s">
        <v>2678</v>
      </c>
      <c r="AF1267" s="76">
        <f t="shared" si="100"/>
        <v>60234</v>
      </c>
      <c r="AG1267" s="77">
        <f t="shared" si="101"/>
        <v>3.75</v>
      </c>
      <c r="AH1267" s="1" t="str">
        <f>IF($C1267="","",$B1267&amp;"|"&amp;(COUNTIFS($B$4:$B$1463,$B1267,$AF$4:$AF$1463,"&gt;"&amp;$AF1267)+COUNTIFS($B$4:$B1267,$B1267,$AF$4:$AF1267,"="&amp;$AF1267)))</f>
        <v>EMERALD LEAF TRIBE|73</v>
      </c>
      <c r="AI1267" s="1" t="str">
        <f>IF($C1267="","",$B1267&amp;"|"&amp;(COUNTIFS($B$4:$B$1463,$B1267,$AG$4:$AG$1463,"&gt;"&amp;$AG1267)+COUNTIFS($B$4:$B1267,$B1267,$AG$4:$AG1267,"="&amp;$AG1267)))</f>
        <v>EMERALD LEAF TRIBE|45</v>
      </c>
    </row>
    <row r="1268" spans="1:35" hidden="1">
      <c r="A1268" s="69" t="s">
        <v>109</v>
      </c>
      <c r="B1268" s="69" t="s">
        <v>116</v>
      </c>
      <c r="C1268" s="63" t="s">
        <v>2679</v>
      </c>
      <c r="D1268" s="69" t="s">
        <v>530</v>
      </c>
      <c r="E1268" s="68" t="s">
        <v>74</v>
      </c>
      <c r="F1268" s="15" t="str">
        <f>IF($C1268="","",IF($E1268="","-",IFERROR(INDEX(SETUP!$B$55:$B$64,MATCH($E1268,SETUP!$A$55:$A$64,0)),"Other")))</f>
        <v>Ranged DPS</v>
      </c>
      <c r="G1268" s="70">
        <v>61236</v>
      </c>
      <c r="H1268" s="15" t="str">
        <f>IF($C1268="","",IF($G1268="","-",INDEX(SETUP!$B$26:$B$32,MATCH($G1268,SETUP!$A$26:$A$32,1))))</f>
        <v>61,000 - 61,999</v>
      </c>
      <c r="I1268" s="70">
        <v>2039</v>
      </c>
      <c r="J1268" s="15" t="str">
        <f>IF($C1268="","",IF($I1268="","-",INDEX(SETUP!$B$16:$B$22,MATCH($I1268,SETUP!$A$16:$A$22,1))))</f>
        <v>DEVELOPING</v>
      </c>
      <c r="K1268" s="15" t="str">
        <f>IF($C1268="","",IF($I1268="","-",TEXT(INT($I1268/1000)*1000,"#,##0")&amp;" - "&amp;TEXT(INT($I1268/1000)*1000+999,"#,##0")))</f>
        <v>2,000 - 2,999</v>
      </c>
      <c r="L1268" s="71">
        <v>3.45</v>
      </c>
      <c r="M1268" s="15" t="str">
        <f>IF($C1268="","",IF($L1268="","-",INDEX(SETUP!$B$36:$B$42,MATCH($L1268,SETUP!$A$36:$A$42,1))))</f>
        <v>3k - 4k</v>
      </c>
      <c r="N1268" s="17">
        <f>IF($C1268="","",IF(OR($G1268="",$I1268=""),"",ROUND(100*(SETUP!$B$4*MIN(1,$I1268/SETUP!$B$9)+SETUP!$B$5*MAX(0,MIN(1,($G1268-SETUP!$B$10)/(SETUP!$B$11-SETUP!$B$10)))+SETUP!$B$6*MIN(1,IF($L1268="",0,$L1268)/SETUP!$B$12)),1)))</f>
        <v>31.1</v>
      </c>
      <c r="O1268" s="15" t="str">
        <f>IF($C1268="","",IF($N1268="","-",INDEX(SETUP!$B$46:$B$51,MATCH($N1268,SETUP!$A$46:$A$51,1))))</f>
        <v>C</v>
      </c>
      <c r="P1268" s="15">
        <f>IF($C1268="","",IF($I1268="","",RANK($I1268,$I$4:$I$1463)+COUNTIF($I$4:$I1268,$I1268)-1))</f>
        <v>1104</v>
      </c>
      <c r="Q1268" s="15">
        <f>IF($C1268="","",COUNTIFS($B$4:$B$1463,$B1268,$X$4:$X$1463,"&gt;"&amp;$X1268)+COUNTIFS($B$4:$B1268,$B1268,$X$4:$X1268,"="&amp;$X1268))</f>
        <v>84</v>
      </c>
      <c r="R1268" s="72">
        <f>IF($C1268="","",IF($I1268="","",ROUND(COUNTIF($I$4:$I$1463,"&lt;"&amp;$I1268)/COUNT($I$4:$I$1463),3)))</f>
        <v>0.16700000000000001</v>
      </c>
      <c r="S1268" s="15" t="str">
        <f>IF($C1268="","",IF($G1268="","Name only",IF(OR($I1268="",$L1268=""),"Partial","Complete")))</f>
        <v>Complete</v>
      </c>
      <c r="T1268" s="41" t="str">
        <f>IF($C1268="","",TRIM(IF(COUNTIF($C$4:$C$1463,$C1268)&gt;1,"Dup name; ","")&amp;IF(AND($G1268&lt;&gt;"",$G1268&lt;55000),"Low CR - verify; ","")&amp;IF(AND($L1268&lt;&gt;"",$L1268&gt;15),"Secondary - verify; ","")&amp;IF($E1268="","No class; ","")))</f>
        <v/>
      </c>
      <c r="U1268" s="68"/>
      <c r="V1268" s="68"/>
      <c r="W1268" s="68"/>
      <c r="X1268" s="73">
        <f t="shared" si="97"/>
        <v>2039</v>
      </c>
      <c r="Y1268" s="41" t="str">
        <f t="shared" si="98"/>
        <v>VENGEANCE|84</v>
      </c>
      <c r="Z1268" s="15">
        <f>IF($C1268="","",IF($G1268="","",RANK($G1268,$G$4:$G$1463)+COUNTIF($G$4:$G1268,$G1268)-1))</f>
        <v>1075</v>
      </c>
      <c r="AA1268" s="15">
        <f>IF($C1268="","",IF($N1268="","",RANK($N1268,$N$4:$N$1463)+COUNTIF($N$4:$N1268,$N1268)-1))</f>
        <v>1121</v>
      </c>
      <c r="AB1268" s="41" t="str">
        <f>IF($C1268="","",IF($E1268="","",$E1268&amp;"#"&amp;(COUNTIFS($E$4:$E$1463,$E1268,$X$4:$X$1463,"&gt;"&amp;$X1268)+COUNTIFS($E$4:$E1268,$E1268,$X$4:$X1268,"="&amp;$X1268))))</f>
        <v>DEMON HUNTER#169</v>
      </c>
      <c r="AC1268" s="41" t="str">
        <f>IF($C1268="","",$B1268&amp;"@"&amp;(COUNTIFS($B$4:$B$1463,$B1268,$C$4:$C$1463,"&lt;"&amp;$C1268)+COUNTIFS($B$4:$B1268,$B1268,$C$4:$C1268,$C1268)))</f>
        <v>VENGEANCE@89</v>
      </c>
      <c r="AD1268" s="41">
        <f t="shared" si="99"/>
        <v>1265</v>
      </c>
      <c r="AE1268" s="41" t="s">
        <v>2680</v>
      </c>
      <c r="AF1268" s="73">
        <f t="shared" si="100"/>
        <v>61236</v>
      </c>
      <c r="AG1268" s="74">
        <f t="shared" si="101"/>
        <v>3.45</v>
      </c>
      <c r="AH1268" s="41" t="str">
        <f>IF($C1268="","",$B1268&amp;"|"&amp;(COUNTIFS($B$4:$B$1463,$B1268,$AF$4:$AF$1463,"&gt;"&amp;$AF1268)+COUNTIFS($B$4:$B1268,$B1268,$AF$4:$AF1268,"="&amp;$AF1268)))</f>
        <v>VENGEANCE|71</v>
      </c>
      <c r="AI1268" s="41" t="str">
        <f>IF($C1268="","",$B1268&amp;"|"&amp;(COUNTIFS($B$4:$B$1463,$B1268,$AG$4:$AG$1463,"&gt;"&amp;$AG1268)+COUNTIFS($B$4:$B1268,$B1268,$AG$4:$AG1268,"="&amp;$AG1268)))</f>
        <v>VENGEANCE|84</v>
      </c>
    </row>
    <row r="1269" spans="1:35" hidden="1">
      <c r="A1269" s="69" t="s">
        <v>109</v>
      </c>
      <c r="B1269" s="69" t="s">
        <v>113</v>
      </c>
      <c r="C1269" s="63" t="s">
        <v>2681</v>
      </c>
      <c r="D1269" s="69" t="s">
        <v>548</v>
      </c>
      <c r="E1269" s="68" t="s">
        <v>71</v>
      </c>
      <c r="F1269" s="19" t="str">
        <f>IF($C1269="","",IF($E1269="","-",IFERROR(INDEX(SETUP!$B$55:$B$64,MATCH($E1269,SETUP!$A$55:$A$64,0)),"Other")))</f>
        <v>Frontline</v>
      </c>
      <c r="G1269" s="70">
        <v>63456</v>
      </c>
      <c r="H1269" s="19" t="str">
        <f>IF($C1269="","",IF($G1269="","-",INDEX(SETUP!$B$26:$B$32,MATCH($G1269,SETUP!$A$26:$A$32,1))))</f>
        <v>63,000 - 63,999</v>
      </c>
      <c r="I1269" s="70">
        <v>6215</v>
      </c>
      <c r="J1269" s="19" t="str">
        <f>IF($C1269="","",IF($I1269="","-",INDEX(SETUP!$B$16:$B$22,MATCH($I1269,SETUP!$A$16:$A$22,1))))</f>
        <v>VETERAN</v>
      </c>
      <c r="K1269" s="19" t="str">
        <f>IF($C1269="","",IF($I1269="","-",TEXT(INT($I1269/1000)*1000,"#,##0")&amp;" - "&amp;TEXT(INT($I1269/1000)*1000+999,"#,##0")))</f>
        <v>6,000 - 6,999</v>
      </c>
      <c r="L1269" s="71">
        <v>6.7</v>
      </c>
      <c r="M1269" s="19" t="str">
        <f>IF($C1269="","",IF($L1269="","-",INDEX(SETUP!$B$36:$B$42,MATCH($L1269,SETUP!$A$36:$A$42,1))))</f>
        <v>6k - 8k</v>
      </c>
      <c r="N1269" s="21">
        <f>IF($C1269="","",IF(OR($G1269="",$I1269=""),"",ROUND(100*(SETUP!$B$4*MIN(1,$I1269/SETUP!$B$9)+SETUP!$B$5*MAX(0,MIN(1,($G1269-SETUP!$B$10)/(SETUP!$B$11-SETUP!$B$10)))+SETUP!$B$6*MIN(1,IF($L1269="",0,$L1269)/SETUP!$B$12)),1)))</f>
        <v>60.5</v>
      </c>
      <c r="O1269" s="19" t="str">
        <f>IF($C1269="","",IF($N1269="","-",INDEX(SETUP!$B$46:$B$51,MATCH($N1269,SETUP!$A$46:$A$51,1))))</f>
        <v>A</v>
      </c>
      <c r="P1269" s="19">
        <f>IF($C1269="","",IF($I1269="","",RANK($I1269,$I$4:$I$1463)+COUNTIF($I$4:$I1269,$I1269)-1))</f>
        <v>264</v>
      </c>
      <c r="Q1269" s="19">
        <f>IF($C1269="","",COUNTIFS($B$4:$B$1463,$B1269,$X$4:$X$1463,"&gt;"&amp;$X1269)+COUNTIFS($B$4:$B1269,$B1269,$X$4:$X1269,"="&amp;$X1269))</f>
        <v>7</v>
      </c>
      <c r="R1269" s="75">
        <f>IF($C1269="","",IF($I1269="","",ROUND(COUNTIF($I$4:$I$1463,"&lt;"&amp;$I1269)/COUNT($I$4:$I$1463),3)))</f>
        <v>0.80100000000000005</v>
      </c>
      <c r="S1269" s="19" t="str">
        <f>IF($C1269="","",IF($G1269="","Name only",IF(OR($I1269="",$L1269=""),"Partial","Complete")))</f>
        <v>Complete</v>
      </c>
      <c r="T1269" s="1" t="str">
        <f>IF($C1269="","",TRIM(IF(COUNTIF($C$4:$C$1463,$C1269)&gt;1,"Dup name; ","")&amp;IF(AND($G1269&lt;&gt;"",$G1269&lt;55000),"Low CR - verify; ","")&amp;IF(AND($L1269&lt;&gt;"",$L1269&gt;15),"Secondary - verify; ","")&amp;IF($E1269="","No class; ","")))</f>
        <v/>
      </c>
      <c r="U1269" s="68"/>
      <c r="V1269" s="68"/>
      <c r="W1269" s="68"/>
      <c r="X1269" s="76">
        <f t="shared" si="97"/>
        <v>6215</v>
      </c>
      <c r="Y1269" s="1" t="str">
        <f t="shared" si="98"/>
        <v>INVICTUS|7</v>
      </c>
      <c r="Z1269" s="19">
        <f>IF($C1269="","",IF($G1269="","",RANK($G1269,$G$4:$G$1463)+COUNTIF($G$4:$G1269,$G1269)-1))</f>
        <v>202</v>
      </c>
      <c r="AA1269" s="19">
        <f>IF($C1269="","",IF($N1269="","",RANK($N1269,$N$4:$N$1463)+COUNTIF($N$4:$N1269,$N1269)-1))</f>
        <v>229</v>
      </c>
      <c r="AB1269" s="1" t="str">
        <f>IF($C1269="","",IF($E1269="","",$E1269&amp;"#"&amp;(COUNTIFS($E$4:$E$1463,$E1269,$X$4:$X$1463,"&gt;"&amp;$X1269)+COUNTIFS($E$4:$E1269,$E1269,$X$4:$X1269,"="&amp;$X1269))))</f>
        <v>BARBARIAN#54</v>
      </c>
      <c r="AC1269" s="1" t="str">
        <f>IF($C1269="","",$B1269&amp;"@"&amp;(COUNTIFS($B$4:$B$1463,$B1269,$C$4:$C$1463,"&lt;"&amp;$C1269)+COUNTIFS($B$4:$B1269,$B1269,$C$4:$C1269,$C1269)))</f>
        <v>INVICTUS@96</v>
      </c>
      <c r="AD1269" s="1">
        <f t="shared" si="99"/>
        <v>1266</v>
      </c>
      <c r="AE1269" s="1" t="s">
        <v>2682</v>
      </c>
      <c r="AF1269" s="76">
        <f t="shared" si="100"/>
        <v>63456</v>
      </c>
      <c r="AG1269" s="77">
        <f t="shared" si="101"/>
        <v>6.7</v>
      </c>
      <c r="AH1269" s="1" t="str">
        <f>IF($C1269="","",$B1269&amp;"|"&amp;(COUNTIFS($B$4:$B$1463,$B1269,$AF$4:$AF$1463,"&gt;"&amp;$AF1269)+COUNTIFS($B$4:$B1269,$B1269,$AF$4:$AF1269,"="&amp;$AF1269)))</f>
        <v>INVICTUS|7</v>
      </c>
      <c r="AI1269" s="1" t="str">
        <f>IF($C1269="","",$B1269&amp;"|"&amp;(COUNTIFS($B$4:$B$1463,$B1269,$AG$4:$AG$1463,"&gt;"&amp;$AG1269)+COUNTIFS($B$4:$B1269,$B1269,$AG$4:$AG1269,"="&amp;$AG1269)))</f>
        <v>INVICTUS|4</v>
      </c>
    </row>
    <row r="1270" spans="1:35" hidden="1">
      <c r="A1270" s="69" t="s">
        <v>109</v>
      </c>
      <c r="B1270" s="69" t="s">
        <v>118</v>
      </c>
      <c r="C1270" s="63" t="s">
        <v>2683</v>
      </c>
      <c r="D1270" s="69"/>
      <c r="E1270" s="68" t="s">
        <v>71</v>
      </c>
      <c r="F1270" s="15" t="str">
        <f>IF($C1270="","",IF($E1270="","-",IFERROR(INDEX(SETUP!$B$55:$B$64,MATCH($E1270,SETUP!$A$55:$A$64,0)),"Other")))</f>
        <v>Frontline</v>
      </c>
      <c r="G1270" s="70">
        <v>62405</v>
      </c>
      <c r="H1270" s="15" t="str">
        <f>IF($C1270="","",IF($G1270="","-",INDEX(SETUP!$B$26:$B$32,MATCH($G1270,SETUP!$A$26:$A$32,1))))</f>
        <v>62,000 - 62,999</v>
      </c>
      <c r="I1270" s="70">
        <v>2332</v>
      </c>
      <c r="J1270" s="15" t="str">
        <f>IF($C1270="","",IF($I1270="","-",INDEX(SETUP!$B$16:$B$22,MATCH($I1270,SETUP!$A$16:$A$22,1))))</f>
        <v>DEVELOPING</v>
      </c>
      <c r="K1270" s="15" t="str">
        <f>IF($C1270="","",IF($I1270="","-",TEXT(INT($I1270/1000)*1000,"#,##0")&amp;" - "&amp;TEXT(INT($I1270/1000)*1000+999,"#,##0")))</f>
        <v>2,000 - 2,999</v>
      </c>
      <c r="L1270" s="71">
        <v>4.0999999999999996</v>
      </c>
      <c r="M1270" s="15" t="str">
        <f>IF($C1270="","",IF($L1270="","-",INDEX(SETUP!$B$36:$B$42,MATCH($L1270,SETUP!$A$36:$A$42,1))))</f>
        <v>4k - 5k</v>
      </c>
      <c r="N1270" s="17">
        <f>IF($C1270="","",IF(OR($G1270="",$I1270=""),"",ROUND(100*(SETUP!$B$4*MIN(1,$I1270/SETUP!$B$9)+SETUP!$B$5*MAX(0,MIN(1,($G1270-SETUP!$B$10)/(SETUP!$B$11-SETUP!$B$10)))+SETUP!$B$6*MIN(1,IF($L1270="",0,$L1270)/SETUP!$B$12)),1)))</f>
        <v>36.5</v>
      </c>
      <c r="O1270" s="15" t="str">
        <f>IF($C1270="","",IF($N1270="","-",INDEX(SETUP!$B$46:$B$51,MATCH($N1270,SETUP!$A$46:$A$51,1))))</f>
        <v>B</v>
      </c>
      <c r="P1270" s="15">
        <f>IF($C1270="","",IF($I1270="","",RANK($I1270,$I$4:$I$1463)+COUNTIF($I$4:$I1270,$I1270)-1))</f>
        <v>1036</v>
      </c>
      <c r="Q1270" s="15">
        <f>IF($C1270="","",COUNTIFS($B$4:$B$1463,$B1270,$X$4:$X$1463,"&gt;"&amp;$X1270)+COUNTIFS($B$4:$B1270,$B1270,$X$4:$X1270,"="&amp;$X1270))</f>
        <v>31</v>
      </c>
      <c r="R1270" s="72">
        <f>IF($C1270="","",IF($I1270="","",ROUND(COUNTIF($I$4:$I$1463,"&lt;"&amp;$I1270)/COUNT($I$4:$I$1463),3)))</f>
        <v>0.218</v>
      </c>
      <c r="S1270" s="15" t="str">
        <f>IF($C1270="","",IF($G1270="","Name only",IF(OR($I1270="",$L1270=""),"Partial","Complete")))</f>
        <v>Complete</v>
      </c>
      <c r="T1270" s="41" t="str">
        <f>IF($C1270="","",TRIM(IF(COUNTIF($C$4:$C$1463,$C1270)&gt;1,"Dup name; ","")&amp;IF(AND($G1270&lt;&gt;"",$G1270&lt;55000),"Low CR - verify; ","")&amp;IF(AND($L1270&lt;&gt;"",$L1270&gt;15),"Secondary - verify; ","")&amp;IF($E1270="","No class; ","")))</f>
        <v/>
      </c>
      <c r="U1270" s="68"/>
      <c r="V1270" s="68"/>
      <c r="W1270" s="68"/>
      <c r="X1270" s="73">
        <f t="shared" si="97"/>
        <v>2332</v>
      </c>
      <c r="Y1270" s="41" t="str">
        <f t="shared" si="98"/>
        <v>ZOMBIES|31</v>
      </c>
      <c r="Z1270" s="15">
        <f>IF($C1270="","",IF($G1270="","",RANK($G1270,$G$4:$G$1463)+COUNTIF($G$4:$G1270,$G1270)-1))</f>
        <v>691</v>
      </c>
      <c r="AA1270" s="15">
        <f>IF($C1270="","",IF($N1270="","",RANK($N1270,$N$4:$N$1463)+COUNTIF($N$4:$N1270,$N1270)-1))</f>
        <v>950</v>
      </c>
      <c r="AB1270" s="41" t="str">
        <f>IF($C1270="","",IF($E1270="","",$E1270&amp;"#"&amp;(COUNTIFS($E$4:$E$1463,$E1270,$X$4:$X$1463,"&gt;"&amp;$X1270)+COUNTIFS($E$4:$E1270,$E1270,$X$4:$X1270,"="&amp;$X1270))))</f>
        <v>BARBARIAN#175</v>
      </c>
      <c r="AC1270" s="41" t="str">
        <f>IF($C1270="","",$B1270&amp;"@"&amp;(COUNTIFS($B$4:$B$1463,$B1270,$C$4:$C$1463,"&lt;"&amp;$C1270)+COUNTIFS($B$4:$B1270,$B1270,$C$4:$C1270,$C1270)))</f>
        <v>ZOMBIES@93</v>
      </c>
      <c r="AD1270" s="41">
        <f t="shared" si="99"/>
        <v>1267</v>
      </c>
      <c r="AE1270" s="41" t="s">
        <v>703</v>
      </c>
      <c r="AF1270" s="73">
        <f t="shared" si="100"/>
        <v>62405</v>
      </c>
      <c r="AG1270" s="74">
        <f t="shared" si="101"/>
        <v>4.0999999999999996</v>
      </c>
      <c r="AH1270" s="41" t="str">
        <f>IF($C1270="","",$B1270&amp;"|"&amp;(COUNTIFS($B$4:$B$1463,$B1270,$AF$4:$AF$1463,"&gt;"&amp;$AF1270)+COUNTIFS($B$4:$B1270,$B1270,$AF$4:$AF1270,"="&amp;$AF1270)))</f>
        <v>ZOMBIES|20</v>
      </c>
      <c r="AI1270" s="41" t="str">
        <f>IF($C1270="","",$B1270&amp;"|"&amp;(COUNTIFS($B$4:$B$1463,$B1270,$AG$4:$AG$1463,"&gt;"&amp;$AG1270)+COUNTIFS($B$4:$B1270,$B1270,$AG$4:$AG1270,"="&amp;$AG1270)))</f>
        <v>ZOMBIES|25</v>
      </c>
    </row>
    <row r="1271" spans="1:35">
      <c r="A1271" s="69" t="s">
        <v>104</v>
      </c>
      <c r="B1271" s="69" t="s">
        <v>66</v>
      </c>
      <c r="C1271" s="63" t="s">
        <v>2406</v>
      </c>
      <c r="D1271" s="69"/>
      <c r="E1271" s="68" t="s">
        <v>74</v>
      </c>
      <c r="F1271" s="15" t="str">
        <f>IF($C1271="","",IF($E1271="","-",IFERROR(INDEX(SETUP!$B$55:$B$64,MATCH($E1271,SETUP!$A$55:$A$64,0)),"Other")))</f>
        <v>Ranged DPS</v>
      </c>
      <c r="G1271" s="70">
        <v>63210</v>
      </c>
      <c r="H1271" s="15" t="str">
        <f>IF($C1271="","",IF($G1271="","-",INDEX(SETUP!$B$26:$B$32,MATCH($G1271,SETUP!$A$26:$A$32,1))))</f>
        <v>63,000 - 63,999</v>
      </c>
      <c r="I1271" s="70">
        <v>5749</v>
      </c>
      <c r="J1271" s="15" t="str">
        <f>IF($C1271="","",IF($I1271="","-",INDEX(SETUP!$B$16:$B$22,MATCH($I1271,SETUP!$A$16:$A$22,1))))</f>
        <v>CORE</v>
      </c>
      <c r="K1271" s="15" t="str">
        <f>IF($C1271="","",IF($I1271="","-",TEXT(INT($I1271/1000)*1000,"#,##0")&amp;" - "&amp;TEXT(INT($I1271/1000)*1000+999,"#,##0")))</f>
        <v>5,000 - 5,999</v>
      </c>
      <c r="L1271" s="71">
        <v>4.88</v>
      </c>
      <c r="M1271" s="15" t="str">
        <f>IF($C1271="","",IF($L1271="","-",INDEX(SETUP!$B$36:$B$42,MATCH($L1271,SETUP!$A$36:$A$42,1))))</f>
        <v>4k - 5k</v>
      </c>
      <c r="N1271" s="17">
        <f>IF($C1271="","",IF(OR($G1271="",$I1271=""),"",ROUND(100*(SETUP!$B$4*MIN(1,$I1271/SETUP!$B$9)+SETUP!$B$5*MAX(0,MIN(1,($G1271-SETUP!$B$10)/(SETUP!$B$11-SETUP!$B$10)))+SETUP!$B$6*MIN(1,IF($L1271="",0,$L1271)/SETUP!$B$12)),1)))</f>
        <v>54.8</v>
      </c>
      <c r="O1271" s="15" t="str">
        <f>IF($C1271="","",IF($N1271="","-",INDEX(SETUP!$B$46:$B$51,MATCH($N1271,SETUP!$A$46:$A$51,1))))</f>
        <v>A</v>
      </c>
      <c r="P1271" s="15">
        <f>IF($C1271="","",IF($I1271="","",RANK($I1271,$I$4:$I$1463)+COUNTIF($I$4:$I1271,$I1271)-1))</f>
        <v>309</v>
      </c>
      <c r="Q1271" s="15">
        <f>IF($C1271="","",COUNTIFS($B$4:$B$1463,$B1271,$X$4:$X$1463,"&gt;"&amp;$X1271)+COUNTIFS($B$4:$B1271,$B1271,$X$4:$X1271,"="&amp;$X1271))</f>
        <v>31</v>
      </c>
      <c r="R1271" s="72">
        <f>IF($C1271="","",IF($I1271="","",ROUND(COUNTIF($I$4:$I$1463,"&lt;"&amp;$I1271)/COUNT($I$4:$I$1463),3)))</f>
        <v>0.76700000000000002</v>
      </c>
      <c r="S1271" s="15" t="str">
        <f>IF($C1271="","",IF($G1271="","Name only",IF(OR($I1271="",$L1271=""),"Partial","Complete")))</f>
        <v>Complete</v>
      </c>
      <c r="T1271" s="41" t="str">
        <f>IF($C1271="","",TRIM(IF(COUNTIF($C$4:$C$1463,$C1271)&gt;1,"Dup name; ","")&amp;IF(AND($G1271&lt;&gt;"",$G1271&lt;55000),"Low CR - verify; ","")&amp;IF(AND($L1271&lt;&gt;"",$L1271&gt;15),"Secondary - verify; ","")&amp;IF($E1271="","No class; ","")))</f>
        <v/>
      </c>
      <c r="U1271" s="68"/>
      <c r="V1271" s="68"/>
      <c r="W1271" s="68"/>
      <c r="X1271" s="73">
        <f t="shared" si="97"/>
        <v>5749</v>
      </c>
      <c r="Y1271" s="41" t="str">
        <f t="shared" si="98"/>
        <v>FUCT|31</v>
      </c>
      <c r="Z1271" s="15">
        <f>IF($C1271="","",IF($G1271="","",RANK($G1271,$G$4:$G$1463)+COUNTIF($G$4:$G1271,$G1271)-1))</f>
        <v>311</v>
      </c>
      <c r="AA1271" s="15">
        <f>IF($C1271="","",IF($N1271="","",RANK($N1271,$N$4:$N$1463)+COUNTIF($N$4:$N1271,$N1271)-1))</f>
        <v>322</v>
      </c>
      <c r="AB1271" s="41" t="str">
        <f>IF($C1271="","",IF($E1271="","",$E1271&amp;"#"&amp;(COUNTIFS($E$4:$E$1463,$E1271,$X$4:$X$1463,"&gt;"&amp;$X1271)+COUNTIFS($E$4:$E1271,$E1271,$X$4:$X1271,"="&amp;$X1271))))</f>
        <v>DEMON HUNTER#52</v>
      </c>
      <c r="AC1271" s="41" t="str">
        <f>IF($C1271="","",$B1271&amp;"@"&amp;(COUNTIFS($B$4:$B$1463,$B1271,$C$4:$C$1463,"&lt;"&amp;$C1271)+COUNTIFS($B$4:$B1271,$B1271,$C$4:$C1271,$C1271)))</f>
        <v>FUCT@87</v>
      </c>
      <c r="AD1271" s="41">
        <f t="shared" si="99"/>
        <v>1268</v>
      </c>
      <c r="AE1271" s="41" t="s">
        <v>2685</v>
      </c>
      <c r="AF1271" s="73">
        <f t="shared" si="100"/>
        <v>63210</v>
      </c>
      <c r="AG1271" s="74">
        <f t="shared" si="101"/>
        <v>4.88</v>
      </c>
      <c r="AH1271" s="41" t="str">
        <f>IF($C1271="","",$B1271&amp;"|"&amp;(COUNTIFS($B$4:$B$1463,$B1271,$AF$4:$AF$1463,"&gt;"&amp;$AF1271)+COUNTIFS($B$4:$B1271,$B1271,$AF$4:$AF1271,"="&amp;$AF1271)))</f>
        <v>FUCT|30</v>
      </c>
      <c r="AI1271" s="41" t="str">
        <f>IF($C1271="","",$B1271&amp;"|"&amp;(COUNTIFS($B$4:$B$1463,$B1271,$AG$4:$AG$1463,"&gt;"&amp;$AG1271)+COUNTIFS($B$4:$B1271,$B1271,$AG$4:$AG1271,"="&amp;$AG1271)))</f>
        <v>FUCT|55</v>
      </c>
    </row>
    <row r="1272" spans="1:35">
      <c r="A1272" s="69" t="s">
        <v>104</v>
      </c>
      <c r="B1272" s="69" t="s">
        <v>66</v>
      </c>
      <c r="C1272" s="63" t="s">
        <v>2452</v>
      </c>
      <c r="D1272" s="69"/>
      <c r="E1272" s="68" t="s">
        <v>71</v>
      </c>
      <c r="F1272" s="19" t="str">
        <f>IF($C1272="","",IF($E1272="","-",IFERROR(INDEX(SETUP!$B$55:$B$64,MATCH($E1272,SETUP!$A$55:$A$64,0)),"Other")))</f>
        <v>Frontline</v>
      </c>
      <c r="G1272" s="70">
        <v>63257</v>
      </c>
      <c r="H1272" s="19" t="str">
        <f>IF($C1272="","",IF($G1272="","-",INDEX(SETUP!$B$26:$B$32,MATCH($G1272,SETUP!$A$26:$A$32,1))))</f>
        <v>63,000 - 63,999</v>
      </c>
      <c r="I1272" s="70">
        <v>4973</v>
      </c>
      <c r="J1272" s="19" t="str">
        <f>IF($C1272="","",IF($I1272="","-",INDEX(SETUP!$B$16:$B$22,MATCH($I1272,SETUP!$A$16:$A$22,1))))</f>
        <v>CORE</v>
      </c>
      <c r="K1272" s="19" t="str">
        <f>IF($C1272="","",IF($I1272="","-",TEXT(INT($I1272/1000)*1000,"#,##0")&amp;" - "&amp;TEXT(INT($I1272/1000)*1000+999,"#,##0")))</f>
        <v>4,000 - 4,999</v>
      </c>
      <c r="L1272" s="71">
        <v>5.19</v>
      </c>
      <c r="M1272" s="19" t="str">
        <f>IF($C1272="","",IF($L1272="","-",INDEX(SETUP!$B$36:$B$42,MATCH($L1272,SETUP!$A$36:$A$42,1))))</f>
        <v>5k - 6k</v>
      </c>
      <c r="N1272" s="21">
        <f>IF($C1272="","",IF(OR($G1272="",$I1272=""),"",ROUND(100*(SETUP!$B$4*MIN(1,$I1272/SETUP!$B$9)+SETUP!$B$5*MAX(0,MIN(1,($G1272-SETUP!$B$10)/(SETUP!$B$11-SETUP!$B$10)))+SETUP!$B$6*MIN(1,IF($L1272="",0,$L1272)/SETUP!$B$12)),1)))</f>
        <v>52.1</v>
      </c>
      <c r="O1272" s="19" t="str">
        <f>IF($C1272="","",IF($N1272="","-",INDEX(SETUP!$B$46:$B$51,MATCH($N1272,SETUP!$A$46:$A$51,1))))</f>
        <v>A</v>
      </c>
      <c r="P1272" s="19">
        <f>IF($C1272="","",IF($I1272="","",RANK($I1272,$I$4:$I$1463)+COUNTIF($I$4:$I1272,$I1272)-1))</f>
        <v>416</v>
      </c>
      <c r="Q1272" s="19">
        <f>IF($C1272="","",COUNTIFS($B$4:$B$1463,$B1272,$X$4:$X$1463,"&gt;"&amp;$X1272)+COUNTIFS($B$4:$B1272,$B1272,$X$4:$X1272,"="&amp;$X1272))</f>
        <v>43</v>
      </c>
      <c r="R1272" s="75">
        <f>IF($C1272="","",IF($I1272="","",ROUND(COUNTIF($I$4:$I$1463,"&lt;"&amp;$I1272)/COUNT($I$4:$I$1463),3)))</f>
        <v>0.68600000000000005</v>
      </c>
      <c r="S1272" s="19" t="str">
        <f>IF($C1272="","",IF($G1272="","Name only",IF(OR($I1272="",$L1272=""),"Partial","Complete")))</f>
        <v>Complete</v>
      </c>
      <c r="T1272" s="1" t="str">
        <f>IF($C1272="","",TRIM(IF(COUNTIF($C$4:$C$1463,$C1272)&gt;1,"Dup name; ","")&amp;IF(AND($G1272&lt;&gt;"",$G1272&lt;55000),"Low CR - verify; ","")&amp;IF(AND($L1272&lt;&gt;"",$L1272&gt;15),"Secondary - verify; ","")&amp;IF($E1272="","No class; ","")))</f>
        <v/>
      </c>
      <c r="U1272" s="68" t="s">
        <v>265</v>
      </c>
      <c r="V1272" s="68" t="s">
        <v>66</v>
      </c>
      <c r="W1272" s="68" t="s">
        <v>285</v>
      </c>
      <c r="X1272" s="76">
        <f t="shared" si="97"/>
        <v>4973</v>
      </c>
      <c r="Y1272" s="1" t="str">
        <f t="shared" si="98"/>
        <v>FUCT|43</v>
      </c>
      <c r="Z1272" s="19">
        <f>IF($C1272="","",IF($G1272="","",RANK($G1272,$G$4:$G$1463)+COUNTIF($G$4:$G1272,$G1272)-1))</f>
        <v>285</v>
      </c>
      <c r="AA1272" s="19">
        <f>IF($C1272="","",IF($N1272="","",RANK($N1272,$N$4:$N$1463)+COUNTIF($N$4:$N1272,$N1272)-1))</f>
        <v>389</v>
      </c>
      <c r="AB1272" s="1" t="str">
        <f>IF($C1272="","",IF($E1272="","",$E1272&amp;"#"&amp;(COUNTIFS($E$4:$E$1463,$E1272,$X$4:$X$1463,"&gt;"&amp;$X1272)+COUNTIFS($E$4:$E1272,$E1272,$X$4:$X1272,"="&amp;$X1272))))</f>
        <v>BARBARIAN#82</v>
      </c>
      <c r="AC1272" s="1" t="str">
        <f>IF($C1272="","",$B1272&amp;"@"&amp;(COUNTIFS($B$4:$B$1463,$B1272,$C$4:$C$1463,"&lt;"&amp;$C1272)+COUNTIFS($B$4:$B1272,$B1272,$C$4:$C1272,$C1272)))</f>
        <v>FUCT@88</v>
      </c>
      <c r="AD1272" s="1">
        <f t="shared" si="99"/>
        <v>1269</v>
      </c>
      <c r="AE1272" s="1" t="s">
        <v>2686</v>
      </c>
      <c r="AF1272" s="76">
        <f t="shared" si="100"/>
        <v>63257</v>
      </c>
      <c r="AG1272" s="77">
        <f t="shared" si="101"/>
        <v>5.19</v>
      </c>
      <c r="AH1272" s="1" t="str">
        <f>IF($C1272="","",$B1272&amp;"|"&amp;(COUNTIFS($B$4:$B$1463,$B1272,$AF$4:$AF$1463,"&gt;"&amp;$AF1272)+COUNTIFS($B$4:$B1272,$B1272,$AF$4:$AF1272,"="&amp;$AF1272)))</f>
        <v>FUCT|27</v>
      </c>
      <c r="AI1272" s="1" t="str">
        <f>IF($C1272="","",$B1272&amp;"|"&amp;(COUNTIFS($B$4:$B$1463,$B1272,$AG$4:$AG$1463,"&gt;"&amp;$AG1272)+COUNTIFS($B$4:$B1272,$B1272,$AG$4:$AG1272,"="&amp;$AG1272)))</f>
        <v>FUCT|40</v>
      </c>
    </row>
    <row r="1273" spans="1:35" hidden="1">
      <c r="A1273" s="69" t="s">
        <v>109</v>
      </c>
      <c r="B1273" s="69" t="s">
        <v>112</v>
      </c>
      <c r="C1273" s="63" t="s">
        <v>2687</v>
      </c>
      <c r="D1273" s="69" t="s">
        <v>567</v>
      </c>
      <c r="E1273" s="68" t="s">
        <v>72</v>
      </c>
      <c r="F1273" s="15" t="str">
        <f>IF($C1273="","",IF($E1273="","-",IFERROR(INDEX(SETUP!$B$55:$B$64,MATCH($E1273,SETUP!$A$55:$A$64,0)),"Other")))</f>
        <v>Frontline</v>
      </c>
      <c r="G1273" s="70">
        <v>63484</v>
      </c>
      <c r="H1273" s="15" t="str">
        <f>IF($C1273="","",IF($G1273="","-",INDEX(SETUP!$B$26:$B$32,MATCH($G1273,SETUP!$A$26:$A$32,1))))</f>
        <v>63,000 - 63,999</v>
      </c>
      <c r="I1273" s="70">
        <v>6428</v>
      </c>
      <c r="J1273" s="15" t="str">
        <f>IF($C1273="","",IF($I1273="","-",INDEX(SETUP!$B$16:$B$22,MATCH($I1273,SETUP!$A$16:$A$22,1))))</f>
        <v>VETERAN</v>
      </c>
      <c r="K1273" s="15" t="str">
        <f>IF($C1273="","",IF($I1273="","-",TEXT(INT($I1273/1000)*1000,"#,##0")&amp;" - "&amp;TEXT(INT($I1273/1000)*1000+999,"#,##0")))</f>
        <v>6,000 - 6,999</v>
      </c>
      <c r="L1273" s="71">
        <v>4.57</v>
      </c>
      <c r="M1273" s="15" t="str">
        <f>IF($C1273="","",IF($L1273="","-",INDEX(SETUP!$B$36:$B$42,MATCH($L1273,SETUP!$A$36:$A$42,1))))</f>
        <v>4k - 5k</v>
      </c>
      <c r="N1273" s="17">
        <f>IF($C1273="","",IF(OR($G1273="",$I1273=""),"",ROUND(100*(SETUP!$B$4*MIN(1,$I1273/SETUP!$B$9)+SETUP!$B$5*MAX(0,MIN(1,($G1273-SETUP!$B$10)/(SETUP!$B$11-SETUP!$B$10)))+SETUP!$B$6*MIN(1,IF($L1273="",0,$L1273)/SETUP!$B$12)),1)))</f>
        <v>58</v>
      </c>
      <c r="O1273" s="15" t="str">
        <f>IF($C1273="","",IF($N1273="","-",INDEX(SETUP!$B$46:$B$51,MATCH($N1273,SETUP!$A$46:$A$51,1))))</f>
        <v>A</v>
      </c>
      <c r="P1273" s="15">
        <f>IF($C1273="","",IF($I1273="","",RANK($I1273,$I$4:$I$1463)+COUNTIF($I$4:$I1273,$I1273)-1))</f>
        <v>249</v>
      </c>
      <c r="Q1273" s="15">
        <f>IF($C1273="","",COUNTIFS($B$4:$B$1463,$B1273,$X$4:$X$1463,"&gt;"&amp;$X1273)+COUNTIFS($B$4:$B1273,$B1273,$X$4:$X1273,"="&amp;$X1273))</f>
        <v>11</v>
      </c>
      <c r="R1273" s="72">
        <f>IF($C1273="","",IF($I1273="","",ROUND(COUNTIF($I$4:$I$1463,"&lt;"&amp;$I1273)/COUNT($I$4:$I$1463),3)))</f>
        <v>0.81200000000000006</v>
      </c>
      <c r="S1273" s="15" t="str">
        <f>IF($C1273="","",IF($G1273="","Name only",IF(OR($I1273="",$L1273=""),"Partial","Complete")))</f>
        <v>Complete</v>
      </c>
      <c r="T1273" s="41" t="str">
        <f>IF($C1273="","",TRIM(IF(COUNTIF($C$4:$C$1463,$C1273)&gt;1,"Dup name; ","")&amp;IF(AND($G1273&lt;&gt;"",$G1273&lt;55000),"Low CR - verify; ","")&amp;IF(AND($L1273&lt;&gt;"",$L1273&gt;15),"Secondary - verify; ","")&amp;IF($E1273="","No class; ","")))</f>
        <v/>
      </c>
      <c r="U1273" s="68"/>
      <c r="V1273" s="68"/>
      <c r="W1273" s="68"/>
      <c r="X1273" s="73">
        <f t="shared" si="97"/>
        <v>6428</v>
      </c>
      <c r="Y1273" s="41" t="str">
        <f t="shared" si="98"/>
        <v>ACHERON|11</v>
      </c>
      <c r="Z1273" s="15">
        <f>IF($C1273="","",IF($G1273="","",RANK($G1273,$G$4:$G$1463)+COUNTIF($G$4:$G1273,$G1273)-1))</f>
        <v>196</v>
      </c>
      <c r="AA1273" s="15">
        <f>IF($C1273="","",IF($N1273="","",RANK($N1273,$N$4:$N$1463)+COUNTIF($N$4:$N1273,$N1273)-1))</f>
        <v>265</v>
      </c>
      <c r="AB1273" s="41" t="str">
        <f>IF($C1273="","",IF($E1273="","",$E1273&amp;"#"&amp;(COUNTIFS($E$4:$E$1463,$E1273,$X$4:$X$1463,"&gt;"&amp;$X1273)+COUNTIFS($E$4:$E1273,$E1273,$X$4:$X1273,"="&amp;$X1273))))</f>
        <v>BLOOD KNIGHT#15</v>
      </c>
      <c r="AC1273" s="41" t="str">
        <f>IF($C1273="","",$B1273&amp;"@"&amp;(COUNTIFS($B$4:$B$1463,$B1273,$C$4:$C$1463,"&lt;"&amp;$C1273)+COUNTIFS($B$4:$B1273,$B1273,$C$4:$C1273,$C1273)))</f>
        <v>ACHERON@88</v>
      </c>
      <c r="AD1273" s="41">
        <f t="shared" si="99"/>
        <v>1270</v>
      </c>
      <c r="AE1273" s="41" t="s">
        <v>2688</v>
      </c>
      <c r="AF1273" s="73">
        <f t="shared" si="100"/>
        <v>63484</v>
      </c>
      <c r="AG1273" s="74">
        <f t="shared" si="101"/>
        <v>4.57</v>
      </c>
      <c r="AH1273" s="41" t="str">
        <f>IF($C1273="","",$B1273&amp;"|"&amp;(COUNTIFS($B$4:$B$1463,$B1273,$AF$4:$AF$1463,"&gt;"&amp;$AF1273)+COUNTIFS($B$4:$B1273,$B1273,$AF$4:$AF1273,"="&amp;$AF1273)))</f>
        <v>ACHERON|9</v>
      </c>
      <c r="AI1273" s="41" t="str">
        <f>IF($C1273="","",$B1273&amp;"|"&amp;(COUNTIFS($B$4:$B$1463,$B1273,$AG$4:$AG$1463,"&gt;"&amp;$AG1273)+COUNTIFS($B$4:$B1273,$B1273,$AG$4:$AG1273,"="&amp;$AG1273)))</f>
        <v>ACHERON|60</v>
      </c>
    </row>
    <row r="1274" spans="1:35" hidden="1">
      <c r="A1274" s="69" t="s">
        <v>109</v>
      </c>
      <c r="B1274" s="69" t="s">
        <v>111</v>
      </c>
      <c r="C1274" s="63" t="s">
        <v>2689</v>
      </c>
      <c r="D1274" s="69" t="s">
        <v>527</v>
      </c>
      <c r="E1274" s="68" t="s">
        <v>79</v>
      </c>
      <c r="F1274" s="19" t="str">
        <f>IF($C1274="","",IF($E1274="","-",IFERROR(INDEX(SETUP!$B$55:$B$64,MATCH($E1274,SETUP!$A$55:$A$64,0)),"Other")))</f>
        <v>Control</v>
      </c>
      <c r="G1274" s="70">
        <v>64464</v>
      </c>
      <c r="H1274" s="19" t="str">
        <f>IF($C1274="","",IF($G1274="","-",INDEX(SETUP!$B$26:$B$32,MATCH($G1274,SETUP!$A$26:$A$32,1))))</f>
        <v>64,000 +</v>
      </c>
      <c r="I1274" s="70">
        <v>10435</v>
      </c>
      <c r="J1274" s="19" t="str">
        <f>IF($C1274="","",IF($I1274="","-",INDEX(SETUP!$B$16:$B$22,MATCH($I1274,SETUP!$A$16:$A$22,1))))</f>
        <v>APEX</v>
      </c>
      <c r="K1274" s="19" t="str">
        <f>IF($C1274="","",IF($I1274="","-",TEXT(INT($I1274/1000)*1000,"#,##0")&amp;" - "&amp;TEXT(INT($I1274/1000)*1000+999,"#,##0")))</f>
        <v>10,000 - 10,999</v>
      </c>
      <c r="L1274" s="71">
        <v>9.4</v>
      </c>
      <c r="M1274" s="19" t="str">
        <f>IF($C1274="","",IF($L1274="","-",INDEX(SETUP!$B$36:$B$42,MATCH($L1274,SETUP!$A$36:$A$42,1))))</f>
        <v>8k - 10k</v>
      </c>
      <c r="N1274" s="21">
        <f>IF($C1274="","",IF(OR($G1274="",$I1274=""),"",ROUND(100*(SETUP!$B$4*MIN(1,$I1274/SETUP!$B$9)+SETUP!$B$5*MAX(0,MIN(1,($G1274-SETUP!$B$10)/(SETUP!$B$11-SETUP!$B$10)))+SETUP!$B$6*MIN(1,IF($L1274="",0,$L1274)/SETUP!$B$12)),1)))</f>
        <v>86.1</v>
      </c>
      <c r="O1274" s="19" t="str">
        <f>IF($C1274="","",IF($N1274="","-",INDEX(SETUP!$B$46:$B$51,MATCH($N1274,SETUP!$A$46:$A$51,1))))</f>
        <v>S+</v>
      </c>
      <c r="P1274" s="19">
        <f>IF($C1274="","",IF($I1274="","",RANK($I1274,$I$4:$I$1463)+COUNTIF($I$4:$I1274,$I1274)-1))</f>
        <v>24</v>
      </c>
      <c r="Q1274" s="19">
        <f>IF($C1274="","",COUNTIFS($B$4:$B$1463,$B1274,$X$4:$X$1463,"&gt;"&amp;$X1274)+COUNTIFS($B$4:$B1274,$B1274,$X$4:$X1274,"="&amp;$X1274))</f>
        <v>3</v>
      </c>
      <c r="R1274" s="75">
        <f>IF($C1274="","",IF($I1274="","",ROUND(COUNTIF($I$4:$I$1463,"&lt;"&amp;$I1274)/COUNT($I$4:$I$1463),3)))</f>
        <v>0.98199999999999998</v>
      </c>
      <c r="S1274" s="19" t="str">
        <f>IF($C1274="","",IF($G1274="","Name only",IF(OR($I1274="",$L1274=""),"Partial","Complete")))</f>
        <v>Complete</v>
      </c>
      <c r="T1274" s="1" t="str">
        <f>IF($C1274="","",TRIM(IF(COUNTIF($C$4:$C$1463,$C1274)&gt;1,"Dup name; ","")&amp;IF(AND($G1274&lt;&gt;"",$G1274&lt;55000),"Low CR - verify; ","")&amp;IF(AND($L1274&lt;&gt;"",$L1274&gt;15),"Secondary - verify; ","")&amp;IF($E1274="","No class; ","")))</f>
        <v/>
      </c>
      <c r="U1274" s="68"/>
      <c r="V1274" s="68"/>
      <c r="W1274" s="68"/>
      <c r="X1274" s="76">
        <f t="shared" si="97"/>
        <v>10435</v>
      </c>
      <c r="Y1274" s="1" t="str">
        <f t="shared" si="98"/>
        <v>RECKONING|3</v>
      </c>
      <c r="Z1274" s="19">
        <f>IF($C1274="","",IF($G1274="","",RANK($G1274,$G$4:$G$1463)+COUNTIF($G$4:$G1274,$G1274)-1))</f>
        <v>2</v>
      </c>
      <c r="AA1274" s="19">
        <f>IF($C1274="","",IF($N1274="","",RANK($N1274,$N$4:$N$1463)+COUNTIF($N$4:$N1274,$N1274)-1))</f>
        <v>19</v>
      </c>
      <c r="AB1274" s="1" t="str">
        <f>IF($C1274="","",IF($E1274="","",$E1274&amp;"#"&amp;(COUNTIFS($E$4:$E$1463,$E1274,$X$4:$X$1463,"&gt;"&amp;$X1274)+COUNTIFS($E$4:$E1274,$E1274,$X$4:$X1274,"="&amp;$X1274))))</f>
        <v>WARLOCK#5</v>
      </c>
      <c r="AC1274" s="1" t="str">
        <f>IF($C1274="","",$B1274&amp;"@"&amp;(COUNTIFS($B$4:$B$1463,$B1274,$C$4:$C$1463,"&lt;"&amp;$C1274)+COUNTIFS($B$4:$B1274,$B1274,$C$4:$C1274,$C1274)))</f>
        <v>RECKONING@91</v>
      </c>
      <c r="AD1274" s="1">
        <f t="shared" si="99"/>
        <v>1271</v>
      </c>
      <c r="AE1274" s="1" t="s">
        <v>2690</v>
      </c>
      <c r="AF1274" s="76">
        <f t="shared" si="100"/>
        <v>64464</v>
      </c>
      <c r="AG1274" s="77">
        <f t="shared" si="101"/>
        <v>9.4</v>
      </c>
      <c r="AH1274" s="1" t="str">
        <f>IF($C1274="","",$B1274&amp;"|"&amp;(COUNTIFS($B$4:$B$1463,$B1274,$AF$4:$AF$1463,"&gt;"&amp;$AF1274)+COUNTIFS($B$4:$B1274,$B1274,$AF$4:$AF1274,"="&amp;$AF1274)))</f>
        <v>RECKONING|1</v>
      </c>
      <c r="AI1274" s="1" t="str">
        <f>IF($C1274="","",$B1274&amp;"|"&amp;(COUNTIFS($B$4:$B$1463,$B1274,$AG$4:$AG$1463,"&gt;"&amp;$AG1274)+COUNTIFS($B$4:$B1274,$B1274,$AG$4:$AG1274,"="&amp;$AG1274)))</f>
        <v>RECKONING|4</v>
      </c>
    </row>
    <row r="1275" spans="1:35" hidden="1">
      <c r="A1275" s="69" t="s">
        <v>106</v>
      </c>
      <c r="B1275" s="69" t="s">
        <v>107</v>
      </c>
      <c r="C1275" s="63" t="s">
        <v>2691</v>
      </c>
      <c r="D1275" s="69"/>
      <c r="E1275" s="68" t="s">
        <v>77</v>
      </c>
      <c r="F1275" s="15" t="str">
        <f>IF($C1275="","",IF($E1275="","-",IFERROR(INDEX(SETUP!$B$55:$B$64,MATCH($E1275,SETUP!$A$55:$A$64,0)),"Other")))</f>
        <v>Control</v>
      </c>
      <c r="G1275" s="70">
        <v>63317</v>
      </c>
      <c r="H1275" s="15" t="str">
        <f>IF($C1275="","",IF($G1275="","-",INDEX(SETUP!$B$26:$B$32,MATCH($G1275,SETUP!$A$26:$A$32,1))))</f>
        <v>63,000 - 63,999</v>
      </c>
      <c r="I1275" s="70">
        <v>4549</v>
      </c>
      <c r="J1275" s="15" t="str">
        <f>IF($C1275="","",IF($I1275="","-",INDEX(SETUP!$B$16:$B$22,MATCH($I1275,SETUP!$A$16:$A$22,1))))</f>
        <v>CORE</v>
      </c>
      <c r="K1275" s="15" t="str">
        <f>IF($C1275="","",IF($I1275="","-",TEXT(INT($I1275/1000)*1000,"#,##0")&amp;" - "&amp;TEXT(INT($I1275/1000)*1000+999,"#,##0")))</f>
        <v>4,000 - 4,999</v>
      </c>
      <c r="L1275" s="71">
        <v>6.3</v>
      </c>
      <c r="M1275" s="15" t="str">
        <f>IF($C1275="","",IF($L1275="","-",INDEX(SETUP!$B$36:$B$42,MATCH($L1275,SETUP!$A$36:$A$42,1))))</f>
        <v>6k - 8k</v>
      </c>
      <c r="N1275" s="17">
        <f>IF($C1275="","",IF(OR($G1275="",$I1275=""),"",ROUND(100*(SETUP!$B$4*MIN(1,$I1275/SETUP!$B$9)+SETUP!$B$5*MAX(0,MIN(1,($G1275-SETUP!$B$10)/(SETUP!$B$11-SETUP!$B$10)))+SETUP!$B$6*MIN(1,IF($L1275="",0,$L1275)/SETUP!$B$12)),1)))</f>
        <v>52.2</v>
      </c>
      <c r="O1275" s="15" t="str">
        <f>IF($C1275="","",IF($N1275="","-",INDEX(SETUP!$B$46:$B$51,MATCH($N1275,SETUP!$A$46:$A$51,1))))</f>
        <v>A</v>
      </c>
      <c r="P1275" s="15">
        <f>IF($C1275="","",IF($I1275="","",RANK($I1275,$I$4:$I$1463)+COUNTIF($I$4:$I1275,$I1275)-1))</f>
        <v>486</v>
      </c>
      <c r="Q1275" s="15">
        <f>IF($C1275="","",COUNTIFS($B$4:$B$1463,$B1275,$X$4:$X$1463,"&gt;"&amp;$X1275)+COUNTIFS($B$4:$B1275,$B1275,$X$4:$X1275,"="&amp;$X1275))</f>
        <v>34</v>
      </c>
      <c r="R1275" s="72">
        <f>IF($C1275="","",IF($I1275="","",ROUND(COUNTIF($I$4:$I$1463,"&lt;"&amp;$I1275)/COUNT($I$4:$I$1463),3)))</f>
        <v>0.63300000000000001</v>
      </c>
      <c r="S1275" s="15" t="str">
        <f>IF($C1275="","",IF($G1275="","Name only",IF(OR($I1275="",$L1275=""),"Partial","Complete")))</f>
        <v>Complete</v>
      </c>
      <c r="T1275" s="41" t="str">
        <f>IF($C1275="","",TRIM(IF(COUNTIF($C$4:$C$1463,$C1275)&gt;1,"Dup name; ","")&amp;IF(AND($G1275&lt;&gt;"",$G1275&lt;55000),"Low CR - verify; ","")&amp;IF(AND($L1275&lt;&gt;"",$L1275&gt;15),"Secondary - verify; ","")&amp;IF($E1275="","No class; ","")))</f>
        <v/>
      </c>
      <c r="U1275" s="68"/>
      <c r="V1275" s="68"/>
      <c r="W1275" s="68"/>
      <c r="X1275" s="73">
        <f t="shared" si="97"/>
        <v>4549</v>
      </c>
      <c r="Y1275" s="41" t="str">
        <f t="shared" si="98"/>
        <v>UNDYING|34</v>
      </c>
      <c r="Z1275" s="15">
        <f>IF($C1275="","",IF($G1275="","",RANK($G1275,$G$4:$G$1463)+COUNTIF($G$4:$G1275,$G1275)-1))</f>
        <v>250</v>
      </c>
      <c r="AA1275" s="15">
        <f>IF($C1275="","",IF($N1275="","",RANK($N1275,$N$4:$N$1463)+COUNTIF($N$4:$N1275,$N1275)-1))</f>
        <v>385</v>
      </c>
      <c r="AB1275" s="41" t="str">
        <f>IF($C1275="","",IF($E1275="","",$E1275&amp;"#"&amp;(COUNTIFS($E$4:$E$1463,$E1275,$X$4:$X$1463,"&gt;"&amp;$X1275)+COUNTIFS($E$4:$E1275,$E1275,$X$4:$X1275,"="&amp;$X1275))))</f>
        <v>NECROMANCER#25</v>
      </c>
      <c r="AC1275" s="41" t="str">
        <f>IF($C1275="","",$B1275&amp;"@"&amp;(COUNTIFS($B$4:$B$1463,$B1275,$C$4:$C$1463,"&lt;"&amp;$C1275)+COUNTIFS($B$4:$B1275,$B1275,$C$4:$C1275,$C1275)))</f>
        <v>UNDYING@92</v>
      </c>
      <c r="AD1275" s="41">
        <f t="shared" si="99"/>
        <v>1272</v>
      </c>
      <c r="AE1275" s="41" t="s">
        <v>815</v>
      </c>
      <c r="AF1275" s="73">
        <f t="shared" si="100"/>
        <v>63317</v>
      </c>
      <c r="AG1275" s="74">
        <f t="shared" si="101"/>
        <v>6.3</v>
      </c>
      <c r="AH1275" s="41" t="str">
        <f>IF($C1275="","",$B1275&amp;"|"&amp;(COUNTIFS($B$4:$B$1463,$B1275,$AF$4:$AF$1463,"&gt;"&amp;$AF1275)+COUNTIFS($B$4:$B1275,$B1275,$AF$4:$AF1275,"="&amp;$AF1275)))</f>
        <v>UNDYING|19</v>
      </c>
      <c r="AI1275" s="41" t="str">
        <f>IF($C1275="","",$B1275&amp;"|"&amp;(COUNTIFS($B$4:$B$1463,$B1275,$AG$4:$AG$1463,"&gt;"&amp;$AG1275)+COUNTIFS($B$4:$B1275,$B1275,$AG$4:$AG1275,"="&amp;$AG1275)))</f>
        <v>UNDYING|19</v>
      </c>
    </row>
    <row r="1276" spans="1:35" hidden="1">
      <c r="A1276" s="69" t="s">
        <v>109</v>
      </c>
      <c r="B1276" s="69" t="s">
        <v>112</v>
      </c>
      <c r="C1276" s="63" t="s">
        <v>2692</v>
      </c>
      <c r="D1276" s="69" t="s">
        <v>567</v>
      </c>
      <c r="E1276" s="68" t="s">
        <v>77</v>
      </c>
      <c r="F1276" s="19" t="str">
        <f>IF($C1276="","",IF($E1276="","-",IFERROR(INDEX(SETUP!$B$55:$B$64,MATCH($E1276,SETUP!$A$55:$A$64,0)),"Other")))</f>
        <v>Control</v>
      </c>
      <c r="G1276" s="70">
        <v>61338</v>
      </c>
      <c r="H1276" s="19" t="str">
        <f>IF($C1276="","",IF($G1276="","-",INDEX(SETUP!$B$26:$B$32,MATCH($G1276,SETUP!$A$26:$A$32,1))))</f>
        <v>61,000 - 61,999</v>
      </c>
      <c r="I1276" s="70">
        <v>2108</v>
      </c>
      <c r="J1276" s="19" t="str">
        <f>IF($C1276="","",IF($I1276="","-",INDEX(SETUP!$B$16:$B$22,MATCH($I1276,SETUP!$A$16:$A$22,1))))</f>
        <v>DEVELOPING</v>
      </c>
      <c r="K1276" s="19" t="str">
        <f>IF($C1276="","",IF($I1276="","-",TEXT(INT($I1276/1000)*1000,"#,##0")&amp;" - "&amp;TEXT(INT($I1276/1000)*1000+999,"#,##0")))</f>
        <v>2,000 - 2,999</v>
      </c>
      <c r="L1276" s="71">
        <v>4.7</v>
      </c>
      <c r="M1276" s="19" t="str">
        <f>IF($C1276="","",IF($L1276="","-",INDEX(SETUP!$B$36:$B$42,MATCH($L1276,SETUP!$A$36:$A$42,1))))</f>
        <v>4k - 5k</v>
      </c>
      <c r="N1276" s="21">
        <f>IF($C1276="","",IF(OR($G1276="",$I1276=""),"",ROUND(100*(SETUP!$B$4*MIN(1,$I1276/SETUP!$B$9)+SETUP!$B$5*MAX(0,MIN(1,($G1276-SETUP!$B$10)/(SETUP!$B$11-SETUP!$B$10)))+SETUP!$B$6*MIN(1,IF($L1276="",0,$L1276)/SETUP!$B$12)),1)))</f>
        <v>33.700000000000003</v>
      </c>
      <c r="O1276" s="19" t="str">
        <f>IF($C1276="","",IF($N1276="","-",INDEX(SETUP!$B$46:$B$51,MATCH($N1276,SETUP!$A$46:$A$51,1))))</f>
        <v>C</v>
      </c>
      <c r="P1276" s="19">
        <f>IF($C1276="","",IF($I1276="","",RANK($I1276,$I$4:$I$1463)+COUNTIF($I$4:$I1276,$I1276)-1))</f>
        <v>1085</v>
      </c>
      <c r="Q1276" s="19">
        <f>IF($C1276="","",COUNTIFS($B$4:$B$1463,$B1276,$X$4:$X$1463,"&gt;"&amp;$X1276)+COUNTIFS($B$4:$B1276,$B1276,$X$4:$X1276,"="&amp;$X1276))</f>
        <v>83</v>
      </c>
      <c r="R1276" s="75">
        <f>IF($C1276="","",IF($I1276="","",ROUND(COUNTIF($I$4:$I$1463,"&lt;"&amp;$I1276)/COUNT($I$4:$I$1463),3)))</f>
        <v>0.18099999999999999</v>
      </c>
      <c r="S1276" s="19" t="str">
        <f>IF($C1276="","",IF($G1276="","Name only",IF(OR($I1276="",$L1276=""),"Partial","Complete")))</f>
        <v>Complete</v>
      </c>
      <c r="T1276" s="1" t="str">
        <f>IF($C1276="","",TRIM(IF(COUNTIF($C$4:$C$1463,$C1276)&gt;1,"Dup name; ","")&amp;IF(AND($G1276&lt;&gt;"",$G1276&lt;55000),"Low CR - verify; ","")&amp;IF(AND($L1276&lt;&gt;"",$L1276&gt;15),"Secondary - verify; ","")&amp;IF($E1276="","No class; ","")))</f>
        <v/>
      </c>
      <c r="U1276" s="68"/>
      <c r="V1276" s="68"/>
      <c r="W1276" s="68"/>
      <c r="X1276" s="76">
        <f t="shared" si="97"/>
        <v>2108</v>
      </c>
      <c r="Y1276" s="1" t="str">
        <f t="shared" si="98"/>
        <v>ACHERON|83</v>
      </c>
      <c r="Z1276" s="19">
        <f>IF($C1276="","",IF($G1276="","",RANK($G1276,$G$4:$G$1463)+COUNTIF($G$4:$G1276,$G1276)-1))</f>
        <v>1052</v>
      </c>
      <c r="AA1276" s="19">
        <f>IF($C1276="","",IF($N1276="","",RANK($N1276,$N$4:$N$1463)+COUNTIF($N$4:$N1276,$N1276)-1))</f>
        <v>1053</v>
      </c>
      <c r="AB1276" s="1" t="str">
        <f>IF($C1276="","",IF($E1276="","",$E1276&amp;"#"&amp;(COUNTIFS($E$4:$E$1463,$E1276,$X$4:$X$1463,"&gt;"&amp;$X1276)+COUNTIFS($E$4:$E1276,$E1276,$X$4:$X1276,"="&amp;$X1276))))</f>
        <v>NECROMANCER#71</v>
      </c>
      <c r="AC1276" s="1" t="str">
        <f>IF($C1276="","",$B1276&amp;"@"&amp;(COUNTIFS($B$4:$B$1463,$B1276,$C$4:$C$1463,"&lt;"&amp;$C1276)+COUNTIFS($B$4:$B1276,$B1276,$C$4:$C1276,$C1276)))</f>
        <v>ACHERON@89</v>
      </c>
      <c r="AD1276" s="1">
        <f t="shared" si="99"/>
        <v>1273</v>
      </c>
      <c r="AE1276" s="1" t="s">
        <v>1405</v>
      </c>
      <c r="AF1276" s="76">
        <f t="shared" si="100"/>
        <v>61338</v>
      </c>
      <c r="AG1276" s="77">
        <f t="shared" si="101"/>
        <v>4.7</v>
      </c>
      <c r="AH1276" s="1" t="str">
        <f>IF($C1276="","",$B1276&amp;"|"&amp;(COUNTIFS($B$4:$B$1463,$B1276,$AF$4:$AF$1463,"&gt;"&amp;$AF1276)+COUNTIFS($B$4:$B1276,$B1276,$AF$4:$AF1276,"="&amp;$AF1276)))</f>
        <v>ACHERON|85</v>
      </c>
      <c r="AI1276" s="1" t="str">
        <f>IF($C1276="","",$B1276&amp;"|"&amp;(COUNTIFS($B$4:$B$1463,$B1276,$AG$4:$AG$1463,"&gt;"&amp;$AG1276)+COUNTIFS($B$4:$B1276,$B1276,$AG$4:$AG1276,"="&amp;$AG1276)))</f>
        <v>ACHERON|54</v>
      </c>
    </row>
    <row r="1277" spans="1:35" hidden="1">
      <c r="A1277" s="69" t="s">
        <v>109</v>
      </c>
      <c r="B1277" s="69" t="s">
        <v>116</v>
      </c>
      <c r="C1277" s="63" t="s">
        <v>2693</v>
      </c>
      <c r="D1277" s="69" t="s">
        <v>530</v>
      </c>
      <c r="E1277" s="68" t="s">
        <v>77</v>
      </c>
      <c r="F1277" s="15" t="str">
        <f>IF($C1277="","",IF($E1277="","-",IFERROR(INDEX(SETUP!$B$55:$B$64,MATCH($E1277,SETUP!$A$55:$A$64,0)),"Other")))</f>
        <v>Control</v>
      </c>
      <c r="G1277" s="70">
        <v>60542</v>
      </c>
      <c r="H1277" s="15" t="str">
        <f>IF($C1277="","",IF($G1277="","-",INDEX(SETUP!$B$26:$B$32,MATCH($G1277,SETUP!$A$26:$A$32,1))))</f>
        <v>60,000 - 60,999</v>
      </c>
      <c r="I1277" s="70">
        <v>1588</v>
      </c>
      <c r="J1277" s="15" t="str">
        <f>IF($C1277="","",IF($I1277="","-",INDEX(SETUP!$B$16:$B$22,MATCH($I1277,SETUP!$A$16:$A$22,1))))</f>
        <v>ROOKIE</v>
      </c>
      <c r="K1277" s="15" t="str">
        <f>IF($C1277="","",IF($I1277="","-",TEXT(INT($I1277/1000)*1000,"#,##0")&amp;" - "&amp;TEXT(INT($I1277/1000)*1000+999,"#,##0")))</f>
        <v>1,000 - 1,999</v>
      </c>
      <c r="L1277" s="71">
        <v>2.9</v>
      </c>
      <c r="M1277" s="15" t="str">
        <f>IF($C1277="","",IF($L1277="","-",INDEX(SETUP!$B$36:$B$42,MATCH($L1277,SETUP!$A$36:$A$42,1))))</f>
        <v>Under 3k</v>
      </c>
      <c r="N1277" s="17">
        <f>IF($C1277="","",IF(OR($G1277="",$I1277=""),"",ROUND(100*(SETUP!$B$4*MIN(1,$I1277/SETUP!$B$9)+SETUP!$B$5*MAX(0,MIN(1,($G1277-SETUP!$B$10)/(SETUP!$B$11-SETUP!$B$10)))+SETUP!$B$6*MIN(1,IF($L1277="",0,$L1277)/SETUP!$B$12)),1)))</f>
        <v>26.3</v>
      </c>
      <c r="O1277" s="15" t="str">
        <f>IF($C1277="","",IF($N1277="","-",INDEX(SETUP!$B$46:$B$51,MATCH($N1277,SETUP!$A$46:$A$51,1))))</f>
        <v>C</v>
      </c>
      <c r="P1277" s="15">
        <f>IF($C1277="","",IF($I1277="","",RANK($I1277,$I$4:$I$1463)+COUNTIF($I$4:$I1277,$I1277)-1))</f>
        <v>1177</v>
      </c>
      <c r="Q1277" s="15">
        <f>IF($C1277="","",COUNTIFS($B$4:$B$1463,$B1277,$X$4:$X$1463,"&gt;"&amp;$X1277)+COUNTIFS($B$4:$B1277,$B1277,$X$4:$X1277,"="&amp;$X1277))</f>
        <v>92</v>
      </c>
      <c r="R1277" s="72">
        <f>IF($C1277="","",IF($I1277="","",ROUND(COUNTIF($I$4:$I$1463,"&lt;"&amp;$I1277)/COUNT($I$4:$I$1463),3)))</f>
        <v>0.112</v>
      </c>
      <c r="S1277" s="15" t="str">
        <f>IF($C1277="","",IF($G1277="","Name only",IF(OR($I1277="",$L1277=""),"Partial","Complete")))</f>
        <v>Complete</v>
      </c>
      <c r="T1277" s="41" t="str">
        <f>IF($C1277="","",TRIM(IF(COUNTIF($C$4:$C$1463,$C1277)&gt;1,"Dup name; ","")&amp;IF(AND($G1277&lt;&gt;"",$G1277&lt;55000),"Low CR - verify; ","")&amp;IF(AND($L1277&lt;&gt;"",$L1277&gt;15),"Secondary - verify; ","")&amp;IF($E1277="","No class; ","")))</f>
        <v/>
      </c>
      <c r="U1277" s="68"/>
      <c r="V1277" s="68"/>
      <c r="W1277" s="68"/>
      <c r="X1277" s="73">
        <f t="shared" si="97"/>
        <v>1588</v>
      </c>
      <c r="Y1277" s="41" t="str">
        <f t="shared" si="98"/>
        <v>VENGEANCE|92</v>
      </c>
      <c r="Z1277" s="15">
        <f>IF($C1277="","",IF($G1277="","",RANK($G1277,$G$4:$G$1463)+COUNTIF($G$4:$G1277,$G1277)-1))</f>
        <v>1202</v>
      </c>
      <c r="AA1277" s="15">
        <f>IF($C1277="","",IF($N1277="","",RANK($N1277,$N$4:$N$1463)+COUNTIF($N$4:$N1277,$N1277)-1))</f>
        <v>1221</v>
      </c>
      <c r="AB1277" s="41" t="str">
        <f>IF($C1277="","",IF($E1277="","",$E1277&amp;"#"&amp;(COUNTIFS($E$4:$E$1463,$E1277,$X$4:$X$1463,"&gt;"&amp;$X1277)+COUNTIFS($E$4:$E1277,$E1277,$X$4:$X1277,"="&amp;$X1277))))</f>
        <v>NECROMANCER#85</v>
      </c>
      <c r="AC1277" s="41" t="str">
        <f>IF($C1277="","",$B1277&amp;"@"&amp;(COUNTIFS($B$4:$B$1463,$B1277,$C$4:$C$1463,"&lt;"&amp;$C1277)+COUNTIFS($B$4:$B1277,$B1277,$C$4:$C1277,$C1277)))</f>
        <v>VENGEANCE@90</v>
      </c>
      <c r="AD1277" s="41">
        <f t="shared" si="99"/>
        <v>1274</v>
      </c>
      <c r="AE1277" s="41" t="s">
        <v>689</v>
      </c>
      <c r="AF1277" s="73">
        <f t="shared" si="100"/>
        <v>60542</v>
      </c>
      <c r="AG1277" s="74">
        <f t="shared" si="101"/>
        <v>2.9</v>
      </c>
      <c r="AH1277" s="41" t="str">
        <f>IF($C1277="","",$B1277&amp;"|"&amp;(COUNTIFS($B$4:$B$1463,$B1277,$AF$4:$AF$1463,"&gt;"&amp;$AF1277)+COUNTIFS($B$4:$B1277,$B1277,$AF$4:$AF1277,"="&amp;$AF1277)))</f>
        <v>VENGEANCE|82</v>
      </c>
      <c r="AI1277" s="41" t="str">
        <f>IF($C1277="","",$B1277&amp;"|"&amp;(COUNTIFS($B$4:$B$1463,$B1277,$AG$4:$AG$1463,"&gt;"&amp;$AG1277)+COUNTIFS($B$4:$B1277,$B1277,$AG$4:$AG1277,"="&amp;$AG1277)))</f>
        <v>VENGEANCE|92</v>
      </c>
    </row>
    <row r="1278" spans="1:35" hidden="1">
      <c r="A1278" s="69" t="s">
        <v>109</v>
      </c>
      <c r="B1278" s="69" t="s">
        <v>116</v>
      </c>
      <c r="C1278" s="63" t="s">
        <v>2694</v>
      </c>
      <c r="D1278" s="69" t="s">
        <v>530</v>
      </c>
      <c r="E1278" s="68" t="s">
        <v>79</v>
      </c>
      <c r="F1278" s="19" t="str">
        <f>IF($C1278="","",IF($E1278="","-",IFERROR(INDEX(SETUP!$B$55:$B$64,MATCH($E1278,SETUP!$A$55:$A$64,0)),"Other")))</f>
        <v>Control</v>
      </c>
      <c r="G1278" s="70">
        <v>61592</v>
      </c>
      <c r="H1278" s="19" t="str">
        <f>IF($C1278="","",IF($G1278="","-",INDEX(SETUP!$B$26:$B$32,MATCH($G1278,SETUP!$A$26:$A$32,1))))</f>
        <v>61,000 - 61,999</v>
      </c>
      <c r="I1278" s="70">
        <v>1717</v>
      </c>
      <c r="J1278" s="19" t="str">
        <f>IF($C1278="","",IF($I1278="","-",INDEX(SETUP!$B$16:$B$22,MATCH($I1278,SETUP!$A$16:$A$22,1))))</f>
        <v>ROOKIE</v>
      </c>
      <c r="K1278" s="19" t="str">
        <f>IF($C1278="","",IF($I1278="","-",TEXT(INT($I1278/1000)*1000,"#,##0")&amp;" - "&amp;TEXT(INT($I1278/1000)*1000+999,"#,##0")))</f>
        <v>1,000 - 1,999</v>
      </c>
      <c r="L1278" s="71">
        <v>3.45</v>
      </c>
      <c r="M1278" s="19" t="str">
        <f>IF($C1278="","",IF($L1278="","-",INDEX(SETUP!$B$36:$B$42,MATCH($L1278,SETUP!$A$36:$A$42,1))))</f>
        <v>3k - 4k</v>
      </c>
      <c r="N1278" s="21">
        <f>IF($C1278="","",IF(OR($G1278="",$I1278=""),"",ROUND(100*(SETUP!$B$4*MIN(1,$I1278/SETUP!$B$9)+SETUP!$B$5*MAX(0,MIN(1,($G1278-SETUP!$B$10)/(SETUP!$B$11-SETUP!$B$10)))+SETUP!$B$6*MIN(1,IF($L1278="",0,$L1278)/SETUP!$B$12)),1)))</f>
        <v>30.6</v>
      </c>
      <c r="O1278" s="19" t="str">
        <f>IF($C1278="","",IF($N1278="","-",INDEX(SETUP!$B$46:$B$51,MATCH($N1278,SETUP!$A$46:$A$51,1))))</f>
        <v>C</v>
      </c>
      <c r="P1278" s="19">
        <f>IF($C1278="","",IF($I1278="","",RANK($I1278,$I$4:$I$1463)+COUNTIF($I$4:$I1278,$I1278)-1))</f>
        <v>1158</v>
      </c>
      <c r="Q1278" s="19">
        <f>IF($C1278="","",COUNTIFS($B$4:$B$1463,$B1278,$X$4:$X$1463,"&gt;"&amp;$X1278)+COUNTIFS($B$4:$B1278,$B1278,$X$4:$X1278,"="&amp;$X1278))</f>
        <v>88</v>
      </c>
      <c r="R1278" s="75">
        <f>IF($C1278="","",IF($I1278="","",ROUND(COUNTIF($I$4:$I$1463,"&lt;"&amp;$I1278)/COUNT($I$4:$I$1463),3)))</f>
        <v>0.126</v>
      </c>
      <c r="S1278" s="19" t="str">
        <f>IF($C1278="","",IF($G1278="","Name only",IF(OR($I1278="",$L1278=""),"Partial","Complete")))</f>
        <v>Complete</v>
      </c>
      <c r="T1278" s="1" t="str">
        <f>IF($C1278="","",TRIM(IF(COUNTIF($C$4:$C$1463,$C1278)&gt;1,"Dup name; ","")&amp;IF(AND($G1278&lt;&gt;"",$G1278&lt;55000),"Low CR - verify; ","")&amp;IF(AND($L1278&lt;&gt;"",$L1278&gt;15),"Secondary - verify; ","")&amp;IF($E1278="","No class; ","")))</f>
        <v/>
      </c>
      <c r="U1278" s="68"/>
      <c r="V1278" s="68"/>
      <c r="W1278" s="68"/>
      <c r="X1278" s="76">
        <f t="shared" si="97"/>
        <v>1717</v>
      </c>
      <c r="Y1278" s="1" t="str">
        <f t="shared" si="98"/>
        <v>VENGEANCE|88</v>
      </c>
      <c r="Z1278" s="19">
        <f>IF($C1278="","",IF($G1278="","",RANK($G1278,$G$4:$G$1463)+COUNTIF($G$4:$G1278,$G1278)-1))</f>
        <v>980</v>
      </c>
      <c r="AA1278" s="19">
        <f>IF($C1278="","",IF($N1278="","",RANK($N1278,$N$4:$N$1463)+COUNTIF($N$4:$N1278,$N1278)-1))</f>
        <v>1131</v>
      </c>
      <c r="AB1278" s="1" t="str">
        <f>IF($C1278="","",IF($E1278="","",$E1278&amp;"#"&amp;(COUNTIFS($E$4:$E$1463,$E1278,$X$4:$X$1463,"&gt;"&amp;$X1278)+COUNTIFS($E$4:$E1278,$E1278,$X$4:$X1278,"="&amp;$X1278))))</f>
        <v>WARLOCK#287</v>
      </c>
      <c r="AC1278" s="1" t="str">
        <f>IF($C1278="","",$B1278&amp;"@"&amp;(COUNTIFS($B$4:$B$1463,$B1278,$C$4:$C$1463,"&lt;"&amp;$C1278)+COUNTIFS($B$4:$B1278,$B1278,$C$4:$C1278,$C1278)))</f>
        <v>VENGEANCE@91</v>
      </c>
      <c r="AD1278" s="1">
        <f t="shared" si="99"/>
        <v>1275</v>
      </c>
      <c r="AE1278" s="1" t="s">
        <v>2695</v>
      </c>
      <c r="AF1278" s="76">
        <f t="shared" si="100"/>
        <v>61592</v>
      </c>
      <c r="AG1278" s="77">
        <f t="shared" si="101"/>
        <v>3.45</v>
      </c>
      <c r="AH1278" s="1" t="str">
        <f>IF($C1278="","",$B1278&amp;"|"&amp;(COUNTIFS($B$4:$B$1463,$B1278,$AF$4:$AF$1463,"&gt;"&amp;$AF1278)+COUNTIFS($B$4:$B1278,$B1278,$AF$4:$AF1278,"="&amp;$AF1278)))</f>
        <v>VENGEANCE|64</v>
      </c>
      <c r="AI1278" s="1" t="str">
        <f>IF($C1278="","",$B1278&amp;"|"&amp;(COUNTIFS($B$4:$B$1463,$B1278,$AG$4:$AG$1463,"&gt;"&amp;$AG1278)+COUNTIFS($B$4:$B1278,$B1278,$AG$4:$AG1278,"="&amp;$AG1278)))</f>
        <v>VENGEANCE|85</v>
      </c>
    </row>
    <row r="1279" spans="1:35" hidden="1">
      <c r="A1279" s="69" t="s">
        <v>109</v>
      </c>
      <c r="B1279" s="69" t="s">
        <v>118</v>
      </c>
      <c r="C1279" s="63" t="s">
        <v>2696</v>
      </c>
      <c r="D1279" s="69"/>
      <c r="E1279" s="68" t="s">
        <v>78</v>
      </c>
      <c r="F1279" s="15" t="str">
        <f>IF($C1279="","",IF($E1279="","-",IFERROR(INDEX(SETUP!$B$55:$B$64,MATCH($E1279,SETUP!$A$55:$A$64,0)),"Other")))</f>
        <v>Melee DPS</v>
      </c>
      <c r="G1279" s="70">
        <v>61183</v>
      </c>
      <c r="H1279" s="15" t="str">
        <f>IF($C1279="","",IF($G1279="","-",INDEX(SETUP!$B$26:$B$32,MATCH($G1279,SETUP!$A$26:$A$32,1))))</f>
        <v>61,000 - 61,999</v>
      </c>
      <c r="I1279" s="70">
        <v>2580</v>
      </c>
      <c r="J1279" s="15" t="str">
        <f>IF($C1279="","",IF($I1279="","-",INDEX(SETUP!$B$16:$B$22,MATCH($I1279,SETUP!$A$16:$A$22,1))))</f>
        <v>DEVELOPING</v>
      </c>
      <c r="K1279" s="15" t="str">
        <f>IF($C1279="","",IF($I1279="","-",TEXT(INT($I1279/1000)*1000,"#,##0")&amp;" - "&amp;TEXT(INT($I1279/1000)*1000+999,"#,##0")))</f>
        <v>2,000 - 2,999</v>
      </c>
      <c r="L1279" s="71">
        <v>5.0999999999999996</v>
      </c>
      <c r="M1279" s="15" t="str">
        <f>IF($C1279="","",IF($L1279="","-",INDEX(SETUP!$B$36:$B$42,MATCH($L1279,SETUP!$A$36:$A$42,1))))</f>
        <v>5k - 6k</v>
      </c>
      <c r="N1279" s="17">
        <f>IF($C1279="","",IF(OR($G1279="",$I1279=""),"",ROUND(100*(SETUP!$B$4*MIN(1,$I1279/SETUP!$B$9)+SETUP!$B$5*MAX(0,MIN(1,($G1279-SETUP!$B$10)/(SETUP!$B$11-SETUP!$B$10)))+SETUP!$B$6*MIN(1,IF($L1279="",0,$L1279)/SETUP!$B$12)),1)))</f>
        <v>36</v>
      </c>
      <c r="O1279" s="15" t="str">
        <f>IF($C1279="","",IF($N1279="","-",INDEX(SETUP!$B$46:$B$51,MATCH($N1279,SETUP!$A$46:$A$51,1))))</f>
        <v>B</v>
      </c>
      <c r="P1279" s="15">
        <f>IF($C1279="","",IF($I1279="","",RANK($I1279,$I$4:$I$1463)+COUNTIF($I$4:$I1279,$I1279)-1))</f>
        <v>986</v>
      </c>
      <c r="Q1279" s="15">
        <f>IF($C1279="","",COUNTIFS($B$4:$B$1463,$B1279,$X$4:$X$1463,"&gt;"&amp;$X1279)+COUNTIFS($B$4:$B1279,$B1279,$X$4:$X1279,"="&amp;$X1279))</f>
        <v>22</v>
      </c>
      <c r="R1279" s="72">
        <f>IF($C1279="","",IF($I1279="","",ROUND(COUNTIF($I$4:$I$1463,"&lt;"&amp;$I1279)/COUNT($I$4:$I$1463),3)))</f>
        <v>0.25600000000000001</v>
      </c>
      <c r="S1279" s="15" t="str">
        <f>IF($C1279="","",IF($G1279="","Name only",IF(OR($I1279="",$L1279=""),"Partial","Complete")))</f>
        <v>Complete</v>
      </c>
      <c r="T1279" s="41" t="str">
        <f>IF($C1279="","",TRIM(IF(COUNTIF($C$4:$C$1463,$C1279)&gt;1,"Dup name; ","")&amp;IF(AND($G1279&lt;&gt;"",$G1279&lt;55000),"Low CR - verify; ","")&amp;IF(AND($L1279&lt;&gt;"",$L1279&gt;15),"Secondary - verify; ","")&amp;IF($E1279="","No class; ","")))</f>
        <v/>
      </c>
      <c r="U1279" s="68"/>
      <c r="V1279" s="68"/>
      <c r="W1279" s="68"/>
      <c r="X1279" s="73">
        <f t="shared" si="97"/>
        <v>2580</v>
      </c>
      <c r="Y1279" s="41" t="str">
        <f t="shared" si="98"/>
        <v>ZOMBIES|22</v>
      </c>
      <c r="Z1279" s="15">
        <f>IF($C1279="","",IF($G1279="","",RANK($G1279,$G$4:$G$1463)+COUNTIF($G$4:$G1279,$G1279)-1))</f>
        <v>1096</v>
      </c>
      <c r="AA1279" s="15">
        <f>IF($C1279="","",IF($N1279="","",RANK($N1279,$N$4:$N$1463)+COUNTIF($N$4:$N1279,$N1279)-1))</f>
        <v>968</v>
      </c>
      <c r="AB1279" s="41" t="str">
        <f>IF($C1279="","",IF($E1279="","",$E1279&amp;"#"&amp;(COUNTIFS($E$4:$E$1463,$E1279,$X$4:$X$1463,"&gt;"&amp;$X1279)+COUNTIFS($E$4:$E1279,$E1279,$X$4:$X1279,"="&amp;$X1279))))</f>
        <v>TEMPEST#44</v>
      </c>
      <c r="AC1279" s="41" t="str">
        <f>IF($C1279="","",$B1279&amp;"@"&amp;(COUNTIFS($B$4:$B$1463,$B1279,$C$4:$C$1463,"&lt;"&amp;$C1279)+COUNTIFS($B$4:$B1279,$B1279,$C$4:$C1279,$C1279)))</f>
        <v>ZOMBIES@94</v>
      </c>
      <c r="AD1279" s="41">
        <f t="shared" si="99"/>
        <v>1276</v>
      </c>
      <c r="AE1279" s="41" t="s">
        <v>1582</v>
      </c>
      <c r="AF1279" s="73">
        <f t="shared" si="100"/>
        <v>61183</v>
      </c>
      <c r="AG1279" s="74">
        <f t="shared" si="101"/>
        <v>5.0999999999999996</v>
      </c>
      <c r="AH1279" s="41" t="str">
        <f>IF($C1279="","",$B1279&amp;"|"&amp;(COUNTIFS($B$4:$B$1463,$B1279,$AF$4:$AF$1463,"&gt;"&amp;$AF1279)+COUNTIFS($B$4:$B1279,$B1279,$AF$4:$AF1279,"="&amp;$AF1279)))</f>
        <v>ZOMBIES|48</v>
      </c>
      <c r="AI1279" s="41" t="str">
        <f>IF($C1279="","",$B1279&amp;"|"&amp;(COUNTIFS($B$4:$B$1463,$B1279,$AG$4:$AG$1463,"&gt;"&amp;$AG1279)+COUNTIFS($B$4:$B1279,$B1279,$AG$4:$AG1279,"="&amp;$AG1279)))</f>
        <v>ZOMBIES|11</v>
      </c>
    </row>
    <row r="1280" spans="1:35" hidden="1">
      <c r="A1280" s="69" t="s">
        <v>109</v>
      </c>
      <c r="B1280" s="69" t="s">
        <v>115</v>
      </c>
      <c r="C1280" s="63" t="s">
        <v>2697</v>
      </c>
      <c r="D1280" s="69"/>
      <c r="E1280" s="68" t="s">
        <v>77</v>
      </c>
      <c r="F1280" s="19" t="str">
        <f>IF($C1280="","",IF($E1280="","-",IFERROR(INDEX(SETUP!$B$55:$B$64,MATCH($E1280,SETUP!$A$55:$A$64,0)),"Other")))</f>
        <v>Control</v>
      </c>
      <c r="G1280" s="70">
        <v>63234</v>
      </c>
      <c r="H1280" s="19" t="str">
        <f>IF($C1280="","",IF($G1280="","-",INDEX(SETUP!$B$26:$B$32,MATCH($G1280,SETUP!$A$26:$A$32,1))))</f>
        <v>63,000 - 63,999</v>
      </c>
      <c r="I1280" s="70">
        <v>4581</v>
      </c>
      <c r="J1280" s="19" t="str">
        <f>IF($C1280="","",IF($I1280="","-",INDEX(SETUP!$B$16:$B$22,MATCH($I1280,SETUP!$A$16:$A$22,1))))</f>
        <v>CORE</v>
      </c>
      <c r="K1280" s="19" t="str">
        <f>IF($C1280="","",IF($I1280="","-",TEXT(INT($I1280/1000)*1000,"#,##0")&amp;" - "&amp;TEXT(INT($I1280/1000)*1000+999,"#,##0")))</f>
        <v>4,000 - 4,999</v>
      </c>
      <c r="L1280" s="71">
        <v>4.45</v>
      </c>
      <c r="M1280" s="19" t="str">
        <f>IF($C1280="","",IF($L1280="","-",INDEX(SETUP!$B$36:$B$42,MATCH($L1280,SETUP!$A$36:$A$42,1))))</f>
        <v>4k - 5k</v>
      </c>
      <c r="N1280" s="21">
        <f>IF($C1280="","",IF(OR($G1280="",$I1280=""),"",ROUND(100*(SETUP!$B$4*MIN(1,$I1280/SETUP!$B$9)+SETUP!$B$5*MAX(0,MIN(1,($G1280-SETUP!$B$10)/(SETUP!$B$11-SETUP!$B$10)))+SETUP!$B$6*MIN(1,IF($L1280="",0,$L1280)/SETUP!$B$12)),1)))</f>
        <v>49.1</v>
      </c>
      <c r="O1280" s="19" t="str">
        <f>IF($C1280="","",IF($N1280="","-",INDEX(SETUP!$B$46:$B$51,MATCH($N1280,SETUP!$A$46:$A$51,1))))</f>
        <v>B</v>
      </c>
      <c r="P1280" s="19">
        <f>IF($C1280="","",IF($I1280="","",RANK($I1280,$I$4:$I$1463)+COUNTIF($I$4:$I1280,$I1280)-1))</f>
        <v>478</v>
      </c>
      <c r="Q1280" s="19">
        <f>IF($C1280="","",COUNTIFS($B$4:$B$1463,$B1280,$X$4:$X$1463,"&gt;"&amp;$X1280)+COUNTIFS($B$4:$B1280,$B1280,$X$4:$X1280,"="&amp;$X1280))</f>
        <v>12</v>
      </c>
      <c r="R1280" s="75">
        <f>IF($C1280="","",IF($I1280="","",ROUND(COUNTIF($I$4:$I$1463,"&lt;"&amp;$I1280)/COUNT($I$4:$I$1463),3)))</f>
        <v>0.63900000000000001</v>
      </c>
      <c r="S1280" s="19" t="str">
        <f>IF($C1280="","",IF($G1280="","Name only",IF(OR($I1280="",$L1280=""),"Partial","Complete")))</f>
        <v>Complete</v>
      </c>
      <c r="T1280" s="1" t="str">
        <f>IF($C1280="","",TRIM(IF(COUNTIF($C$4:$C$1463,$C1280)&gt;1,"Dup name; ","")&amp;IF(AND($G1280&lt;&gt;"",$G1280&lt;55000),"Low CR - verify; ","")&amp;IF(AND($L1280&lt;&gt;"",$L1280&gt;15),"Secondary - verify; ","")&amp;IF($E1280="","No class; ","")))</f>
        <v/>
      </c>
      <c r="U1280" s="68"/>
      <c r="V1280" s="68"/>
      <c r="W1280" s="68"/>
      <c r="X1280" s="76">
        <f t="shared" si="97"/>
        <v>4581</v>
      </c>
      <c r="Y1280" s="1" t="str">
        <f t="shared" si="98"/>
        <v>SUB ROSA|12</v>
      </c>
      <c r="Z1280" s="19">
        <f>IF($C1280="","",IF($G1280="","",RANK($G1280,$G$4:$G$1463)+COUNTIF($G$4:$G1280,$G1280)-1))</f>
        <v>298</v>
      </c>
      <c r="AA1280" s="19">
        <f>IF($C1280="","",IF($N1280="","",RANK($N1280,$N$4:$N$1463)+COUNTIF($N$4:$N1280,$N1280)-1))</f>
        <v>485</v>
      </c>
      <c r="AB1280" s="1" t="str">
        <f>IF($C1280="","",IF($E1280="","",$E1280&amp;"#"&amp;(COUNTIFS($E$4:$E$1463,$E1280,$X$4:$X$1463,"&gt;"&amp;$X1280)+COUNTIFS($E$4:$E1280,$E1280,$X$4:$X1280,"="&amp;$X1280))))</f>
        <v>NECROMANCER#22</v>
      </c>
      <c r="AC1280" s="1" t="str">
        <f>IF($C1280="","",$B1280&amp;"@"&amp;(COUNTIFS($B$4:$B$1463,$B1280,$C$4:$C$1463,"&lt;"&amp;$C1280)+COUNTIFS($B$4:$B1280,$B1280,$C$4:$C1280,$C1280)))</f>
        <v>SUB ROSA@89</v>
      </c>
      <c r="AD1280" s="1">
        <f t="shared" si="99"/>
        <v>1277</v>
      </c>
      <c r="AE1280" s="1" t="s">
        <v>2698</v>
      </c>
      <c r="AF1280" s="76">
        <f t="shared" si="100"/>
        <v>63234</v>
      </c>
      <c r="AG1280" s="77">
        <f t="shared" si="101"/>
        <v>4.45</v>
      </c>
      <c r="AH1280" s="1" t="str">
        <f>IF($C1280="","",$B1280&amp;"|"&amp;(COUNTIFS($B$4:$B$1463,$B1280,$AF$4:$AF$1463,"&gt;"&amp;$AF1280)+COUNTIFS($B$4:$B1280,$B1280,$AF$4:$AF1280,"="&amp;$AF1280)))</f>
        <v>SUB ROSA|8</v>
      </c>
      <c r="AI1280" s="1" t="str">
        <f>IF($C1280="","",$B1280&amp;"|"&amp;(COUNTIFS($B$4:$B$1463,$B1280,$AG$4:$AG$1463,"&gt;"&amp;$AG1280)+COUNTIFS($B$4:$B1280,$B1280,$AG$4:$AG1280,"="&amp;$AG1280)))</f>
        <v>SUB ROSA|23</v>
      </c>
    </row>
    <row r="1281" spans="1:35" hidden="1">
      <c r="A1281" s="69" t="s">
        <v>109</v>
      </c>
      <c r="B1281" s="69" t="s">
        <v>117</v>
      </c>
      <c r="C1281" s="63" t="s">
        <v>2699</v>
      </c>
      <c r="D1281" s="69"/>
      <c r="E1281" s="68" t="s">
        <v>74</v>
      </c>
      <c r="F1281" s="15" t="str">
        <f>IF($C1281="","",IF($E1281="","-",IFERROR(INDEX(SETUP!$B$55:$B$64,MATCH($E1281,SETUP!$A$55:$A$64,0)),"Other")))</f>
        <v>Ranged DPS</v>
      </c>
      <c r="G1281" s="70">
        <v>62674</v>
      </c>
      <c r="H1281" s="15" t="str">
        <f>IF($C1281="","",IF($G1281="","-",INDEX(SETUP!$B$26:$B$32,MATCH($G1281,SETUP!$A$26:$A$32,1))))</f>
        <v>62,000 - 62,999</v>
      </c>
      <c r="I1281" s="70">
        <v>2980</v>
      </c>
      <c r="J1281" s="15" t="str">
        <f>IF($C1281="","",IF($I1281="","-",INDEX(SETUP!$B$16:$B$22,MATCH($I1281,SETUP!$A$16:$A$22,1))))</f>
        <v>DEVELOPING</v>
      </c>
      <c r="K1281" s="15" t="str">
        <f>IF($C1281="","",IF($I1281="","-",TEXT(INT($I1281/1000)*1000,"#,##0")&amp;" - "&amp;TEXT(INT($I1281/1000)*1000+999,"#,##0")))</f>
        <v>2,000 - 2,999</v>
      </c>
      <c r="L1281" s="71">
        <v>4.25</v>
      </c>
      <c r="M1281" s="15" t="str">
        <f>IF($C1281="","",IF($L1281="","-",INDEX(SETUP!$B$36:$B$42,MATCH($L1281,SETUP!$A$36:$A$42,1))))</f>
        <v>4k - 5k</v>
      </c>
      <c r="N1281" s="17">
        <f>IF($C1281="","",IF(OR($G1281="",$I1281=""),"",ROUND(100*(SETUP!$B$4*MIN(1,$I1281/SETUP!$B$9)+SETUP!$B$5*MAX(0,MIN(1,($G1281-SETUP!$B$10)/(SETUP!$B$11-SETUP!$B$10)))+SETUP!$B$6*MIN(1,IF($L1281="",0,$L1281)/SETUP!$B$12)),1)))</f>
        <v>40.299999999999997</v>
      </c>
      <c r="O1281" s="15" t="str">
        <f>IF($C1281="","",IF($N1281="","-",INDEX(SETUP!$B$46:$B$51,MATCH($N1281,SETUP!$A$46:$A$51,1))))</f>
        <v>B</v>
      </c>
      <c r="P1281" s="15">
        <f>IF($C1281="","",IF($I1281="","",RANK($I1281,$I$4:$I$1463)+COUNTIF($I$4:$I1281,$I1281)-1))</f>
        <v>890</v>
      </c>
      <c r="Q1281" s="15">
        <f>IF($C1281="","",COUNTIFS($B$4:$B$1463,$B1281,$X$4:$X$1463,"&gt;"&amp;$X1281)+COUNTIFS($B$4:$B1281,$B1281,$X$4:$X1281,"="&amp;$X1281))</f>
        <v>16</v>
      </c>
      <c r="R1281" s="72">
        <f>IF($C1281="","",IF($I1281="","",ROUND(COUNTIF($I$4:$I$1463,"&lt;"&amp;$I1281)/COUNT($I$4:$I$1463),3)))</f>
        <v>0.32800000000000001</v>
      </c>
      <c r="S1281" s="15" t="str">
        <f>IF($C1281="","",IF($G1281="","Name only",IF(OR($I1281="",$L1281=""),"Partial","Complete")))</f>
        <v>Complete</v>
      </c>
      <c r="T1281" s="41" t="str">
        <f>IF($C1281="","",TRIM(IF(COUNTIF($C$4:$C$1463,$C1281)&gt;1,"Dup name; ","")&amp;IF(AND($G1281&lt;&gt;"",$G1281&lt;55000),"Low CR - verify; ","")&amp;IF(AND($L1281&lt;&gt;"",$L1281&gt;15),"Secondary - verify; ","")&amp;IF($E1281="","No class; ","")))</f>
        <v/>
      </c>
      <c r="U1281" s="68"/>
      <c r="V1281" s="68"/>
      <c r="W1281" s="68"/>
      <c r="X1281" s="73">
        <f t="shared" si="97"/>
        <v>2980</v>
      </c>
      <c r="Y1281" s="41" t="str">
        <f t="shared" si="98"/>
        <v>VENDETTA|16</v>
      </c>
      <c r="Z1281" s="15">
        <f>IF($C1281="","",IF($G1281="","",RANK($G1281,$G$4:$G$1463)+COUNTIF($G$4:$G1281,$G1281)-1))</f>
        <v>575</v>
      </c>
      <c r="AA1281" s="15">
        <f>IF($C1281="","",IF($N1281="","",RANK($N1281,$N$4:$N$1463)+COUNTIF($N$4:$N1281,$N1281)-1))</f>
        <v>812</v>
      </c>
      <c r="AB1281" s="41" t="str">
        <f>IF($C1281="","",IF($E1281="","",$E1281&amp;"#"&amp;(COUNTIFS($E$4:$E$1463,$E1281,$X$4:$X$1463,"&gt;"&amp;$X1281)+COUNTIFS($E$4:$E1281,$E1281,$X$4:$X1281,"="&amp;$X1281))))</f>
        <v>DEMON HUNTER#141</v>
      </c>
      <c r="AC1281" s="41" t="str">
        <f>IF($C1281="","",$B1281&amp;"@"&amp;(COUNTIFS($B$4:$B$1463,$B1281,$C$4:$C$1463,"&lt;"&amp;$C1281)+COUNTIFS($B$4:$B1281,$B1281,$C$4:$C1281,$C1281)))</f>
        <v>VENDETTA@88</v>
      </c>
      <c r="AD1281" s="41">
        <f t="shared" si="99"/>
        <v>1278</v>
      </c>
      <c r="AE1281" s="41" t="s">
        <v>2700</v>
      </c>
      <c r="AF1281" s="73">
        <f t="shared" si="100"/>
        <v>62674</v>
      </c>
      <c r="AG1281" s="74">
        <f t="shared" si="101"/>
        <v>4.25</v>
      </c>
      <c r="AH1281" s="41" t="str">
        <f>IF($C1281="","",$B1281&amp;"|"&amp;(COUNTIFS($B$4:$B$1463,$B1281,$AF$4:$AF$1463,"&gt;"&amp;$AF1281)+COUNTIFS($B$4:$B1281,$B1281,$AF$4:$AF1281,"="&amp;$AF1281)))</f>
        <v>VENDETTA|10</v>
      </c>
      <c r="AI1281" s="41" t="str">
        <f>IF($C1281="","",$B1281&amp;"|"&amp;(COUNTIFS($B$4:$B$1463,$B1281,$AG$4:$AG$1463,"&gt;"&amp;$AG1281)+COUNTIFS($B$4:$B1281,$B1281,$AG$4:$AG1281,"="&amp;$AG1281)))</f>
        <v>VENDETTA|23</v>
      </c>
    </row>
    <row r="1282" spans="1:35" hidden="1">
      <c r="A1282" s="69" t="s">
        <v>106</v>
      </c>
      <c r="B1282" s="69" t="s">
        <v>86</v>
      </c>
      <c r="C1282" s="63" t="s">
        <v>2701</v>
      </c>
      <c r="D1282" s="69"/>
      <c r="E1282" s="68" t="s">
        <v>76</v>
      </c>
      <c r="F1282" s="19" t="str">
        <f>IF($C1282="","",IF($E1282="","-",IFERROR(INDEX(SETUP!$B$55:$B$64,MATCH($E1282,SETUP!$A$55:$A$64,0)),"Other")))</f>
        <v>Support</v>
      </c>
      <c r="G1282" s="70">
        <v>64282</v>
      </c>
      <c r="H1282" s="19" t="str">
        <f>IF($C1282="","",IF($G1282="","-",INDEX(SETUP!$B$26:$B$32,MATCH($G1282,SETUP!$A$26:$A$32,1))))</f>
        <v>64,000 +</v>
      </c>
      <c r="I1282" s="70">
        <v>10023</v>
      </c>
      <c r="J1282" s="19" t="str">
        <f>IF($C1282="","",IF($I1282="","-",INDEX(SETUP!$B$16:$B$22,MATCH($I1282,SETUP!$A$16:$A$22,1))))</f>
        <v>APEX</v>
      </c>
      <c r="K1282" s="19" t="str">
        <f>IF($C1282="","",IF($I1282="","-",TEXT(INT($I1282/1000)*1000,"#,##0")&amp;" - "&amp;TEXT(INT($I1282/1000)*1000+999,"#,##0")))</f>
        <v>10,000 - 10,999</v>
      </c>
      <c r="L1282" s="71">
        <v>9.35</v>
      </c>
      <c r="M1282" s="19" t="str">
        <f>IF($C1282="","",IF($L1282="","-",INDEX(SETUP!$B$36:$B$42,MATCH($L1282,SETUP!$A$36:$A$42,1))))</f>
        <v>8k - 10k</v>
      </c>
      <c r="N1282" s="21">
        <f>IF($C1282="","",IF(OR($G1282="",$I1282=""),"",ROUND(100*(SETUP!$B$4*MIN(1,$I1282/SETUP!$B$9)+SETUP!$B$5*MAX(0,MIN(1,($G1282-SETUP!$B$10)/(SETUP!$B$11-SETUP!$B$10)))+SETUP!$B$6*MIN(1,IF($L1282="",0,$L1282)/SETUP!$B$12)),1)))</f>
        <v>83.8</v>
      </c>
      <c r="O1282" s="19" t="str">
        <f>IF($C1282="","",IF($N1282="","-",INDEX(SETUP!$B$46:$B$51,MATCH($N1282,SETUP!$A$46:$A$51,1))))</f>
        <v>S+</v>
      </c>
      <c r="P1282" s="19">
        <f>IF($C1282="","",IF($I1282="","",RANK($I1282,$I$4:$I$1463)+COUNTIF($I$4:$I1282,$I1282)-1))</f>
        <v>53</v>
      </c>
      <c r="Q1282" s="19">
        <f>IF($C1282="","",COUNTIFS($B$4:$B$1463,$B1282,$X$4:$X$1463,"&gt;"&amp;$X1282)+COUNTIFS($B$4:$B1282,$B1282,$X$4:$X1282,"="&amp;$X1282))</f>
        <v>10</v>
      </c>
      <c r="R1282" s="75">
        <f>IF($C1282="","",IF($I1282="","",ROUND(COUNTIF($I$4:$I$1463,"&lt;"&amp;$I1282)/COUNT($I$4:$I$1463),3)))</f>
        <v>0.95899999999999996</v>
      </c>
      <c r="S1282" s="19" t="str">
        <f>IF($C1282="","",IF($G1282="","Name only",IF(OR($I1282="",$L1282=""),"Partial","Complete")))</f>
        <v>Complete</v>
      </c>
      <c r="T1282" s="1" t="str">
        <f>IF($C1282="","",TRIM(IF(COUNTIF($C$4:$C$1463,$C1282)&gt;1,"Dup name; ","")&amp;IF(AND($G1282&lt;&gt;"",$G1282&lt;55000),"Low CR - verify; ","")&amp;IF(AND($L1282&lt;&gt;"",$L1282&gt;15),"Secondary - verify; ","")&amp;IF($E1282="","No class; ","")))</f>
        <v/>
      </c>
      <c r="U1282" s="68"/>
      <c r="V1282" s="68"/>
      <c r="W1282" s="68"/>
      <c r="X1282" s="76">
        <f t="shared" si="97"/>
        <v>10023</v>
      </c>
      <c r="Y1282" s="1" t="str">
        <f t="shared" si="98"/>
        <v>VANGUARD|10</v>
      </c>
      <c r="Z1282" s="19">
        <f>IF($C1282="","",IF($G1282="","",RANK($G1282,$G$4:$G$1463)+COUNTIF($G$4:$G1282,$G1282)-1))</f>
        <v>26</v>
      </c>
      <c r="AA1282" s="19">
        <f>IF($C1282="","",IF($N1282="","",RANK($N1282,$N$4:$N$1463)+COUNTIF($N$4:$N1282,$N1282)-1))</f>
        <v>28</v>
      </c>
      <c r="AB1282" s="1" t="str">
        <f>IF($C1282="","",IF($E1282="","",$E1282&amp;"#"&amp;(COUNTIFS($E$4:$E$1463,$E1282,$X$4:$X$1463,"&gt;"&amp;$X1282)+COUNTIFS($E$4:$E1282,$E1282,$X$4:$X1282,"="&amp;$X1282))))</f>
        <v>MONK#3</v>
      </c>
      <c r="AC1282" s="1" t="str">
        <f>IF($C1282="","",$B1282&amp;"@"&amp;(COUNTIFS($B$4:$B$1463,$B1282,$C$4:$C$1463,"&lt;"&amp;$C1282)+COUNTIFS($B$4:$B1282,$B1282,$C$4:$C1282,$C1282)))</f>
        <v>VANGUARD@94</v>
      </c>
      <c r="AD1282" s="1">
        <f t="shared" si="99"/>
        <v>1279</v>
      </c>
      <c r="AE1282" s="1" t="s">
        <v>2702</v>
      </c>
      <c r="AF1282" s="76">
        <f t="shared" si="100"/>
        <v>64282</v>
      </c>
      <c r="AG1282" s="77">
        <f t="shared" si="101"/>
        <v>9.35</v>
      </c>
      <c r="AH1282" s="1" t="str">
        <f>IF($C1282="","",$B1282&amp;"|"&amp;(COUNTIFS($B$4:$B$1463,$B1282,$AF$4:$AF$1463,"&gt;"&amp;$AF1282)+COUNTIFS($B$4:$B1282,$B1282,$AF$4:$AF1282,"="&amp;$AF1282)))</f>
        <v>VANGUARD|5</v>
      </c>
      <c r="AI1282" s="1" t="str">
        <f>IF($C1282="","",$B1282&amp;"|"&amp;(COUNTIFS($B$4:$B$1463,$B1282,$AG$4:$AG$1463,"&gt;"&amp;$AG1282)+COUNTIFS($B$4:$B1282,$B1282,$AG$4:$AG1282,"="&amp;$AG1282)))</f>
        <v>VANGUARD|8</v>
      </c>
    </row>
    <row r="1283" spans="1:35" hidden="1">
      <c r="A1283" s="69" t="s">
        <v>109</v>
      </c>
      <c r="B1283" s="69" t="s">
        <v>115</v>
      </c>
      <c r="C1283" s="63" t="s">
        <v>2703</v>
      </c>
      <c r="D1283" s="69"/>
      <c r="E1283" s="68" t="s">
        <v>73</v>
      </c>
      <c r="F1283" s="15" t="str">
        <f>IF($C1283="","",IF($E1283="","-",IFERROR(INDEX(SETUP!$B$55:$B$64,MATCH($E1283,SETUP!$A$55:$A$64,0)),"Other")))</f>
        <v>Frontline</v>
      </c>
      <c r="G1283" s="70">
        <v>62244</v>
      </c>
      <c r="H1283" s="15" t="str">
        <f>IF($C1283="","",IF($G1283="","-",INDEX(SETUP!$B$26:$B$32,MATCH($G1283,SETUP!$A$26:$A$32,1))))</f>
        <v>62,000 - 62,999</v>
      </c>
      <c r="I1283" s="70">
        <v>4476</v>
      </c>
      <c r="J1283" s="15" t="str">
        <f>IF($C1283="","",IF($I1283="","-",INDEX(SETUP!$B$16:$B$22,MATCH($I1283,SETUP!$A$16:$A$22,1))))</f>
        <v>CORE</v>
      </c>
      <c r="K1283" s="15" t="str">
        <f>IF($C1283="","",IF($I1283="","-",TEXT(INT($I1283/1000)*1000,"#,##0")&amp;" - "&amp;TEXT(INT($I1283/1000)*1000+999,"#,##0")))</f>
        <v>4,000 - 4,999</v>
      </c>
      <c r="L1283" s="71">
        <v>5.3</v>
      </c>
      <c r="M1283" s="15" t="str">
        <f>IF($C1283="","",IF($L1283="","-",INDEX(SETUP!$B$36:$B$42,MATCH($L1283,SETUP!$A$36:$A$42,1))))</f>
        <v>5k - 6k</v>
      </c>
      <c r="N1283" s="17">
        <f>IF($C1283="","",IF(OR($G1283="",$I1283=""),"",ROUND(100*(SETUP!$B$4*MIN(1,$I1283/SETUP!$B$9)+SETUP!$B$5*MAX(0,MIN(1,($G1283-SETUP!$B$10)/(SETUP!$B$11-SETUP!$B$10)))+SETUP!$B$6*MIN(1,IF($L1283="",0,$L1283)/SETUP!$B$12)),1)))</f>
        <v>47.4</v>
      </c>
      <c r="O1283" s="15" t="str">
        <f>IF($C1283="","",IF($N1283="","-",INDEX(SETUP!$B$46:$B$51,MATCH($N1283,SETUP!$A$46:$A$51,1))))</f>
        <v>B</v>
      </c>
      <c r="P1283" s="15">
        <f>IF($C1283="","",IF($I1283="","",RANK($I1283,$I$4:$I$1463)+COUNTIF($I$4:$I1283,$I1283)-1))</f>
        <v>500</v>
      </c>
      <c r="Q1283" s="15">
        <f>IF($C1283="","",COUNTIFS($B$4:$B$1463,$B1283,$X$4:$X$1463,"&gt;"&amp;$X1283)+COUNTIFS($B$4:$B1283,$B1283,$X$4:$X1283,"="&amp;$X1283))</f>
        <v>13</v>
      </c>
      <c r="R1283" s="72">
        <f>IF($C1283="","",IF($I1283="","",ROUND(COUNTIF($I$4:$I$1463,"&lt;"&amp;$I1283)/COUNT($I$4:$I$1463),3)))</f>
        <v>0.623</v>
      </c>
      <c r="S1283" s="15" t="str">
        <f>IF($C1283="","",IF($G1283="","Name only",IF(OR($I1283="",$L1283=""),"Partial","Complete")))</f>
        <v>Complete</v>
      </c>
      <c r="T1283" s="41" t="str">
        <f>IF($C1283="","",TRIM(IF(COUNTIF($C$4:$C$1463,$C1283)&gt;1,"Dup name; ","")&amp;IF(AND($G1283&lt;&gt;"",$G1283&lt;55000),"Low CR - verify; ","")&amp;IF(AND($L1283&lt;&gt;"",$L1283&gt;15),"Secondary - verify; ","")&amp;IF($E1283="","No class; ","")))</f>
        <v/>
      </c>
      <c r="U1283" s="68"/>
      <c r="V1283" s="68"/>
      <c r="W1283" s="68"/>
      <c r="X1283" s="73">
        <f t="shared" ref="X1283:X1346" si="102">IF($C1283="","",IF($I1283="",-1,$I1283))</f>
        <v>4476</v>
      </c>
      <c r="Y1283" s="41" t="str">
        <f t="shared" ref="Y1283:Y1346" si="103">IF($C1283="","",$B1283&amp;"|"&amp;$Q1283)</f>
        <v>SUB ROSA|13</v>
      </c>
      <c r="Z1283" s="15">
        <f>IF($C1283="","",IF($G1283="","",RANK($G1283,$G$4:$G$1463)+COUNTIF($G$4:$G1283,$G1283)-1))</f>
        <v>745</v>
      </c>
      <c r="AA1283" s="15">
        <f>IF($C1283="","",IF($N1283="","",RANK($N1283,$N$4:$N$1463)+COUNTIF($N$4:$N1283,$N1283)-1))</f>
        <v>540</v>
      </c>
      <c r="AB1283" s="41" t="str">
        <f>IF($C1283="","",IF($E1283="","",$E1283&amp;"#"&amp;(COUNTIFS($E$4:$E$1463,$E1283,$X$4:$X$1463,"&gt;"&amp;$X1283)+COUNTIFS($E$4:$E1283,$E1283,$X$4:$X1283,"="&amp;$X1283))))</f>
        <v>CRUSADER#57</v>
      </c>
      <c r="AC1283" s="41" t="str">
        <f>IF($C1283="","",$B1283&amp;"@"&amp;(COUNTIFS($B$4:$B$1463,$B1283,$C$4:$C$1463,"&lt;"&amp;$C1283)+COUNTIFS($B$4:$B1283,$B1283,$C$4:$C1283,$C1283)))</f>
        <v>SUB ROSA@90</v>
      </c>
      <c r="AD1283" s="41">
        <f t="shared" ref="AD1283:AD1346" si="104">IF($C1283="","",ROW()-4+1)</f>
        <v>1280</v>
      </c>
      <c r="AE1283" s="41" t="s">
        <v>580</v>
      </c>
      <c r="AF1283" s="73">
        <f t="shared" ref="AF1283:AF1346" si="105">IF($C1283="","",IF($G1283="",-1,$G1283))</f>
        <v>62244</v>
      </c>
      <c r="AG1283" s="74">
        <f t="shared" ref="AG1283:AG1346" si="106">IF($C1283="","",IF($L1283="",-1,$L1283))</f>
        <v>5.3</v>
      </c>
      <c r="AH1283" s="41" t="str">
        <f>IF($C1283="","",$B1283&amp;"|"&amp;(COUNTIFS($B$4:$B$1463,$B1283,$AF$4:$AF$1463,"&gt;"&amp;$AF1283)+COUNTIFS($B$4:$B1283,$B1283,$AF$4:$AF1283,"="&amp;$AF1283)))</f>
        <v>SUB ROSA|26</v>
      </c>
      <c r="AI1283" s="41" t="str">
        <f>IF($C1283="","",$B1283&amp;"|"&amp;(COUNTIFS($B$4:$B$1463,$B1283,$AG$4:$AG$1463,"&gt;"&amp;$AG1283)+COUNTIFS($B$4:$B1283,$B1283,$AG$4:$AG1283,"="&amp;$AG1283)))</f>
        <v>SUB ROSA|8</v>
      </c>
    </row>
    <row r="1284" spans="1:35" hidden="1">
      <c r="A1284" s="69" t="s">
        <v>109</v>
      </c>
      <c r="B1284" s="69" t="s">
        <v>115</v>
      </c>
      <c r="C1284" s="63" t="s">
        <v>2704</v>
      </c>
      <c r="D1284" s="69" t="s">
        <v>2705</v>
      </c>
      <c r="E1284" s="68" t="s">
        <v>80</v>
      </c>
      <c r="F1284" s="19" t="str">
        <f>IF($C1284="","",IF($E1284="","-",IFERROR(INDEX(SETUP!$B$55:$B$64,MATCH($E1284,SETUP!$A$55:$A$64,0)),"Other")))</f>
        <v>Ranged DPS</v>
      </c>
      <c r="G1284" s="70">
        <v>63428</v>
      </c>
      <c r="H1284" s="19" t="str">
        <f>IF($C1284="","",IF($G1284="","-",INDEX(SETUP!$B$26:$B$32,MATCH($G1284,SETUP!$A$26:$A$32,1))))</f>
        <v>63,000 - 63,999</v>
      </c>
      <c r="I1284" s="70">
        <v>4404</v>
      </c>
      <c r="J1284" s="19" t="str">
        <f>IF($C1284="","",IF($I1284="","-",INDEX(SETUP!$B$16:$B$22,MATCH($I1284,SETUP!$A$16:$A$22,1))))</f>
        <v>CORE</v>
      </c>
      <c r="K1284" s="19" t="str">
        <f>IF($C1284="","",IF($I1284="","-",TEXT(INT($I1284/1000)*1000,"#,##0")&amp;" - "&amp;TEXT(INT($I1284/1000)*1000+999,"#,##0")))</f>
        <v>4,000 - 4,999</v>
      </c>
      <c r="L1284" s="71">
        <v>4.4000000000000004</v>
      </c>
      <c r="M1284" s="19" t="str">
        <f>IF($C1284="","",IF($L1284="","-",INDEX(SETUP!$B$36:$B$42,MATCH($L1284,SETUP!$A$36:$A$42,1))))</f>
        <v>4k - 5k</v>
      </c>
      <c r="N1284" s="21">
        <f>IF($C1284="","",IF(OR($G1284="",$I1284=""),"",ROUND(100*(SETUP!$B$4*MIN(1,$I1284/SETUP!$B$9)+SETUP!$B$5*MAX(0,MIN(1,($G1284-SETUP!$B$10)/(SETUP!$B$11-SETUP!$B$10)))+SETUP!$B$6*MIN(1,IF($L1284="",0,$L1284)/SETUP!$B$12)),1)))</f>
        <v>48.7</v>
      </c>
      <c r="O1284" s="19" t="str">
        <f>IF($C1284="","",IF($N1284="","-",INDEX(SETUP!$B$46:$B$51,MATCH($N1284,SETUP!$A$46:$A$51,1))))</f>
        <v>B</v>
      </c>
      <c r="P1284" s="19">
        <f>IF($C1284="","",IF($I1284="","",RANK($I1284,$I$4:$I$1463)+COUNTIF($I$4:$I1284,$I1284)-1))</f>
        <v>514</v>
      </c>
      <c r="Q1284" s="19">
        <f>IF($C1284="","",COUNTIFS($B$4:$B$1463,$B1284,$X$4:$X$1463,"&gt;"&amp;$X1284)+COUNTIFS($B$4:$B1284,$B1284,$X$4:$X1284,"="&amp;$X1284))</f>
        <v>14</v>
      </c>
      <c r="R1284" s="75">
        <f>IF($C1284="","",IF($I1284="","",ROUND(COUNTIF($I$4:$I$1463,"&lt;"&amp;$I1284)/COUNT($I$4:$I$1463),3)))</f>
        <v>0.61199999999999999</v>
      </c>
      <c r="S1284" s="19" t="str">
        <f>IF($C1284="","",IF($G1284="","Name only",IF(OR($I1284="",$L1284=""),"Partial","Complete")))</f>
        <v>Complete</v>
      </c>
      <c r="T1284" s="1" t="str">
        <f>IF($C1284="","",TRIM(IF(COUNTIF($C$4:$C$1463,$C1284)&gt;1,"Dup name; ","")&amp;IF(AND($G1284&lt;&gt;"",$G1284&lt;55000),"Low CR - verify; ","")&amp;IF(AND($L1284&lt;&gt;"",$L1284&gt;15),"Secondary - verify; ","")&amp;IF($E1284="","No class; ","")))</f>
        <v/>
      </c>
      <c r="U1284" s="68"/>
      <c r="V1284" s="68"/>
      <c r="W1284" s="68"/>
      <c r="X1284" s="76">
        <f t="shared" si="102"/>
        <v>4404</v>
      </c>
      <c r="Y1284" s="1" t="str">
        <f t="shared" si="103"/>
        <v>SUB ROSA|14</v>
      </c>
      <c r="Z1284" s="19">
        <f>IF($C1284="","",IF($G1284="","",RANK($G1284,$G$4:$G$1463)+COUNTIF($G$4:$G1284,$G1284)-1))</f>
        <v>212</v>
      </c>
      <c r="AA1284" s="19">
        <f>IF($C1284="","",IF($N1284="","",RANK($N1284,$N$4:$N$1463)+COUNTIF($N$4:$N1284,$N1284)-1))</f>
        <v>496</v>
      </c>
      <c r="AB1284" s="1" t="str">
        <f>IF($C1284="","",IF($E1284="","",$E1284&amp;"#"&amp;(COUNTIFS($E$4:$E$1463,$E1284,$X$4:$X$1463,"&gt;"&amp;$X1284)+COUNTIFS($E$4:$E1284,$E1284,$X$4:$X1284,"="&amp;$X1284))))</f>
        <v>WIZARD#35</v>
      </c>
      <c r="AC1284" s="1" t="str">
        <f>IF($C1284="","",$B1284&amp;"@"&amp;(COUNTIFS($B$4:$B$1463,$B1284,$C$4:$C$1463,"&lt;"&amp;$C1284)+COUNTIFS($B$4:$B1284,$B1284,$C$4:$C1284,$C1284)))</f>
        <v>SUB ROSA@91</v>
      </c>
      <c r="AD1284" s="1">
        <f t="shared" si="104"/>
        <v>1281</v>
      </c>
      <c r="AE1284" s="1" t="s">
        <v>592</v>
      </c>
      <c r="AF1284" s="76">
        <f t="shared" si="105"/>
        <v>63428</v>
      </c>
      <c r="AG1284" s="77">
        <f t="shared" si="106"/>
        <v>4.4000000000000004</v>
      </c>
      <c r="AH1284" s="1" t="str">
        <f>IF($C1284="","",$B1284&amp;"|"&amp;(COUNTIFS($B$4:$B$1463,$B1284,$AF$4:$AF$1463,"&gt;"&amp;$AF1284)+COUNTIFS($B$4:$B1284,$B1284,$AF$4:$AF1284,"="&amp;$AF1284)))</f>
        <v>SUB ROSA|5</v>
      </c>
      <c r="AI1284" s="1" t="str">
        <f>IF($C1284="","",$B1284&amp;"|"&amp;(COUNTIFS($B$4:$B$1463,$B1284,$AG$4:$AG$1463,"&gt;"&amp;$AG1284)+COUNTIFS($B$4:$B1284,$B1284,$AG$4:$AG1284,"="&amp;$AG1284)))</f>
        <v>SUB ROSA|25</v>
      </c>
    </row>
    <row r="1285" spans="1:35" hidden="1">
      <c r="A1285" s="69" t="s">
        <v>109</v>
      </c>
      <c r="B1285" s="69" t="s">
        <v>115</v>
      </c>
      <c r="C1285" s="63" t="s">
        <v>2706</v>
      </c>
      <c r="D1285" s="69"/>
      <c r="E1285" s="68"/>
      <c r="F1285" s="15" t="str">
        <f>IF($C1285="","",IF($E1285="","-",IFERROR(INDEX(SETUP!$B$55:$B$64,MATCH($E1285,SETUP!$A$55:$A$64,0)),"Other")))</f>
        <v>-</v>
      </c>
      <c r="G1285" s="70"/>
      <c r="H1285" s="15" t="str">
        <f>IF($C1285="","",IF($G1285="","-",INDEX(SETUP!$B$26:$B$32,MATCH($G1285,SETUP!$A$26:$A$32,1))))</f>
        <v>-</v>
      </c>
      <c r="I1285" s="70"/>
      <c r="J1285" s="15" t="str">
        <f>IF($C1285="","",IF($I1285="","-",INDEX(SETUP!$B$16:$B$22,MATCH($I1285,SETUP!$A$16:$A$22,1))))</f>
        <v>-</v>
      </c>
      <c r="K1285" s="15" t="str">
        <f>IF($C1285="","",IF($I1285="","-",TEXT(INT($I1285/1000)*1000,"#,##0")&amp;" - "&amp;TEXT(INT($I1285/1000)*1000+999,"#,##0")))</f>
        <v>-</v>
      </c>
      <c r="L1285" s="71"/>
      <c r="M1285" s="15" t="str">
        <f>IF($C1285="","",IF($L1285="","-",INDEX(SETUP!$B$36:$B$42,MATCH($L1285,SETUP!$A$36:$A$42,1))))</f>
        <v>-</v>
      </c>
      <c r="N1285" s="17" t="str">
        <f>IF($C1285="","",IF(OR($G1285="",$I1285=""),"",ROUND(100*(SETUP!$B$4*MIN(1,$I1285/SETUP!$B$9)+SETUP!$B$5*MAX(0,MIN(1,($G1285-SETUP!$B$10)/(SETUP!$B$11-SETUP!$B$10)))+SETUP!$B$6*MIN(1,IF($L1285="",0,$L1285)/SETUP!$B$12)),1)))</f>
        <v/>
      </c>
      <c r="O1285" s="15" t="str">
        <f>IF($C1285="","",IF($N1285="","-",INDEX(SETUP!$B$46:$B$51,MATCH($N1285,SETUP!$A$46:$A$51,1))))</f>
        <v>-</v>
      </c>
      <c r="P1285" s="15" t="str">
        <f>IF($C1285="","",IF($I1285="","",RANK($I1285,$I$4:$I$1463)+COUNTIF($I$4:$I1285,$I1285)-1))</f>
        <v/>
      </c>
      <c r="Q1285" s="15">
        <f>IF($C1285="","",COUNTIFS($B$4:$B$1463,$B1285,$X$4:$X$1463,"&gt;"&amp;$X1285)+COUNTIFS($B$4:$B1285,$B1285,$X$4:$X1285,"="&amp;$X1285))</f>
        <v>92</v>
      </c>
      <c r="R1285" s="72" t="str">
        <f>IF($C1285="","",IF($I1285="","",ROUND(COUNTIF($I$4:$I$1463,"&lt;"&amp;$I1285)/COUNT($I$4:$I$1463),3)))</f>
        <v/>
      </c>
      <c r="S1285" s="15" t="str">
        <f>IF($C1285="","",IF($G1285="","Name only",IF(OR($I1285="",$L1285=""),"Partial","Complete")))</f>
        <v>Name only</v>
      </c>
      <c r="T1285" s="41" t="str">
        <f>IF($C1285="","",TRIM(IF(COUNTIF($C$4:$C$1463,$C1285)&gt;1,"Dup name; ","")&amp;IF(AND($G1285&lt;&gt;"",$G1285&lt;55000),"Low CR - verify; ","")&amp;IF(AND($L1285&lt;&gt;"",$L1285&gt;15),"Secondary - verify; ","")&amp;IF($E1285="","No class; ","")))</f>
        <v>No class;</v>
      </c>
      <c r="U1285" s="68"/>
      <c r="V1285" s="68"/>
      <c r="W1285" s="68"/>
      <c r="X1285" s="41">
        <f t="shared" si="102"/>
        <v>-1</v>
      </c>
      <c r="Y1285" s="41" t="str">
        <f t="shared" si="103"/>
        <v>SUB ROSA|92</v>
      </c>
      <c r="Z1285" s="15" t="str">
        <f>IF($C1285="","",IF($G1285="","",RANK($G1285,$G$4:$G$1463)+COUNTIF($G$4:$G1285,$G1285)-1))</f>
        <v/>
      </c>
      <c r="AA1285" s="15" t="str">
        <f>IF($C1285="","",IF($N1285="","",RANK($N1285,$N$4:$N$1463)+COUNTIF($N$4:$N1285,$N1285)-1))</f>
        <v/>
      </c>
      <c r="AB1285" s="41" t="str">
        <f>IF($C1285="","",IF($E1285="","",$E1285&amp;"#"&amp;(COUNTIFS($E$4:$E$1463,$E1285,$X$4:$X$1463,"&gt;"&amp;$X1285)+COUNTIFS($E$4:$E1285,$E1285,$X$4:$X1285,"="&amp;$X1285))))</f>
        <v/>
      </c>
      <c r="AC1285" s="41" t="str">
        <f>IF($C1285="","",$B1285&amp;"@"&amp;(COUNTIFS($B$4:$B$1463,$B1285,$C$4:$C$1463,"&lt;"&amp;$C1285)+COUNTIFS($B$4:$B1285,$B1285,$C$4:$C1285,$C1285)))</f>
        <v>SUB ROSA@92</v>
      </c>
      <c r="AD1285" s="41">
        <f t="shared" si="104"/>
        <v>1282</v>
      </c>
      <c r="AE1285" s="41"/>
      <c r="AF1285" s="41">
        <f t="shared" si="105"/>
        <v>-1</v>
      </c>
      <c r="AG1285" s="41">
        <f t="shared" si="106"/>
        <v>-1</v>
      </c>
      <c r="AH1285" s="41" t="str">
        <f>IF($C1285="","",$B1285&amp;"|"&amp;(COUNTIFS($B$4:$B$1463,$B1285,$AF$4:$AF$1463,"&gt;"&amp;$AF1285)+COUNTIFS($B$4:$B1285,$B1285,$AF$4:$AF1285,"="&amp;$AF1285)))</f>
        <v>SUB ROSA|92</v>
      </c>
      <c r="AI1285" s="41" t="str">
        <f>IF($C1285="","",$B1285&amp;"|"&amp;(COUNTIFS($B$4:$B$1463,$B1285,$AG$4:$AG$1463,"&gt;"&amp;$AG1285)+COUNTIFS($B$4:$B1285,$B1285,$AG$4:$AG1285,"="&amp;$AG1285)))</f>
        <v>SUB ROSA|92</v>
      </c>
    </row>
    <row r="1286" spans="1:35" hidden="1">
      <c r="A1286" s="69" t="s">
        <v>109</v>
      </c>
      <c r="B1286" s="69" t="s">
        <v>116</v>
      </c>
      <c r="C1286" s="63" t="s">
        <v>2707</v>
      </c>
      <c r="D1286" s="69" t="s">
        <v>530</v>
      </c>
      <c r="E1286" s="68" t="s">
        <v>80</v>
      </c>
      <c r="F1286" s="19" t="str">
        <f>IF($C1286="","",IF($E1286="","-",IFERROR(INDEX(SETUP!$B$55:$B$64,MATCH($E1286,SETUP!$A$55:$A$64,0)),"Other")))</f>
        <v>Ranged DPS</v>
      </c>
      <c r="G1286" s="70">
        <v>63051</v>
      </c>
      <c r="H1286" s="19" t="str">
        <f>IF($C1286="","",IF($G1286="","-",INDEX(SETUP!$B$26:$B$32,MATCH($G1286,SETUP!$A$26:$A$32,1))))</f>
        <v>63,000 - 63,999</v>
      </c>
      <c r="I1286" s="70">
        <v>4884</v>
      </c>
      <c r="J1286" s="19" t="str">
        <f>IF($C1286="","",IF($I1286="","-",INDEX(SETUP!$B$16:$B$22,MATCH($I1286,SETUP!$A$16:$A$22,1))))</f>
        <v>CORE</v>
      </c>
      <c r="K1286" s="19" t="str">
        <f>IF($C1286="","",IF($I1286="","-",TEXT(INT($I1286/1000)*1000,"#,##0")&amp;" - "&amp;TEXT(INT($I1286/1000)*1000+999,"#,##0")))</f>
        <v>4,000 - 4,999</v>
      </c>
      <c r="L1286" s="71">
        <v>4.8</v>
      </c>
      <c r="M1286" s="19" t="str">
        <f>IF($C1286="","",IF($L1286="","-",INDEX(SETUP!$B$36:$B$42,MATCH($L1286,SETUP!$A$36:$A$42,1))))</f>
        <v>4k - 5k</v>
      </c>
      <c r="N1286" s="21">
        <f>IF($C1286="","",IF(OR($G1286="",$I1286=""),"",ROUND(100*(SETUP!$B$4*MIN(1,$I1286/SETUP!$B$9)+SETUP!$B$5*MAX(0,MIN(1,($G1286-SETUP!$B$10)/(SETUP!$B$11-SETUP!$B$10)))+SETUP!$B$6*MIN(1,IF($L1286="",0,$L1286)/SETUP!$B$12)),1)))</f>
        <v>50.5</v>
      </c>
      <c r="O1286" s="19" t="str">
        <f>IF($C1286="","",IF($N1286="","-",INDEX(SETUP!$B$46:$B$51,MATCH($N1286,SETUP!$A$46:$A$51,1))))</f>
        <v>A</v>
      </c>
      <c r="P1286" s="19">
        <f>IF($C1286="","",IF($I1286="","",RANK($I1286,$I$4:$I$1463)+COUNTIF($I$4:$I1286,$I1286)-1))</f>
        <v>430</v>
      </c>
      <c r="Q1286" s="19">
        <f>IF($C1286="","",COUNTIFS($B$4:$B$1463,$B1286,$X$4:$X$1463,"&gt;"&amp;$X1286)+COUNTIFS($B$4:$B1286,$B1286,$X$4:$X1286,"="&amp;$X1286))</f>
        <v>18</v>
      </c>
      <c r="R1286" s="75">
        <f>IF($C1286="","",IF($I1286="","",ROUND(COUNTIF($I$4:$I$1463,"&lt;"&amp;$I1286)/COUNT($I$4:$I$1463),3)))</f>
        <v>0.67500000000000004</v>
      </c>
      <c r="S1286" s="19" t="str">
        <f>IF($C1286="","",IF($G1286="","Name only",IF(OR($I1286="",$L1286=""),"Partial","Complete")))</f>
        <v>Complete</v>
      </c>
      <c r="T1286" s="1" t="str">
        <f>IF($C1286="","",TRIM(IF(COUNTIF($C$4:$C$1463,$C1286)&gt;1,"Dup name; ","")&amp;IF(AND($G1286&lt;&gt;"",$G1286&lt;55000),"Low CR - verify; ","")&amp;IF(AND($L1286&lt;&gt;"",$L1286&gt;15),"Secondary - verify; ","")&amp;IF($E1286="","No class; ","")))</f>
        <v/>
      </c>
      <c r="U1286" s="68"/>
      <c r="V1286" s="68"/>
      <c r="W1286" s="68"/>
      <c r="X1286" s="76">
        <f t="shared" si="102"/>
        <v>4884</v>
      </c>
      <c r="Y1286" s="1" t="str">
        <f t="shared" si="103"/>
        <v>VENGEANCE|18</v>
      </c>
      <c r="Z1286" s="19">
        <f>IF($C1286="","",IF($G1286="","",RANK($G1286,$G$4:$G$1463)+COUNTIF($G$4:$G1286,$G1286)-1))</f>
        <v>402</v>
      </c>
      <c r="AA1286" s="19">
        <f>IF($C1286="","",IF($N1286="","",RANK($N1286,$N$4:$N$1463)+COUNTIF($N$4:$N1286,$N1286)-1))</f>
        <v>445</v>
      </c>
      <c r="AB1286" s="1" t="str">
        <f>IF($C1286="","",IF($E1286="","",$E1286&amp;"#"&amp;(COUNTIFS($E$4:$E$1463,$E1286,$X$4:$X$1463,"&gt;"&amp;$X1286)+COUNTIFS($E$4:$E1286,$E1286,$X$4:$X1286,"="&amp;$X1286))))</f>
        <v>WIZARD#29</v>
      </c>
      <c r="AC1286" s="1" t="str">
        <f>IF($C1286="","",$B1286&amp;"@"&amp;(COUNTIFS($B$4:$B$1463,$B1286,$C$4:$C$1463,"&lt;"&amp;$C1286)+COUNTIFS($B$4:$B1286,$B1286,$C$4:$C1286,$C1286)))</f>
        <v>VENGEANCE@92</v>
      </c>
      <c r="AD1286" s="1">
        <f t="shared" si="104"/>
        <v>1283</v>
      </c>
      <c r="AE1286" s="1" t="s">
        <v>2708</v>
      </c>
      <c r="AF1286" s="76">
        <f t="shared" si="105"/>
        <v>63051</v>
      </c>
      <c r="AG1286" s="77">
        <f t="shared" si="106"/>
        <v>4.8</v>
      </c>
      <c r="AH1286" s="1" t="str">
        <f>IF($C1286="","",$B1286&amp;"|"&amp;(COUNTIFS($B$4:$B$1463,$B1286,$AF$4:$AF$1463,"&gt;"&amp;$AF1286)+COUNTIFS($B$4:$B1286,$B1286,$AF$4:$AF1286,"="&amp;$AF1286)))</f>
        <v>VENGEANCE|20</v>
      </c>
      <c r="AI1286" s="1" t="str">
        <f>IF($C1286="","",$B1286&amp;"|"&amp;(COUNTIFS($B$4:$B$1463,$B1286,$AG$4:$AG$1463,"&gt;"&amp;$AG1286)+COUNTIFS($B$4:$B1286,$B1286,$AG$4:$AG1286,"="&amp;$AG1286)))</f>
        <v>VENGEANCE|43</v>
      </c>
    </row>
    <row r="1287" spans="1:35" hidden="1">
      <c r="A1287" s="69" t="s">
        <v>109</v>
      </c>
      <c r="B1287" s="69" t="s">
        <v>118</v>
      </c>
      <c r="C1287" s="63" t="s">
        <v>2709</v>
      </c>
      <c r="D1287" s="69"/>
      <c r="E1287" s="68" t="s">
        <v>74</v>
      </c>
      <c r="F1287" s="15" t="str">
        <f>IF($C1287="","",IF($E1287="","-",IFERROR(INDEX(SETUP!$B$55:$B$64,MATCH($E1287,SETUP!$A$55:$A$64,0)),"Other")))</f>
        <v>Ranged DPS</v>
      </c>
      <c r="G1287" s="70">
        <v>54763</v>
      </c>
      <c r="H1287" s="15" t="str">
        <f>IF($C1287="","",IF($G1287="","-",INDEX(SETUP!$B$26:$B$32,MATCH($G1287,SETUP!$A$26:$A$32,1))))</f>
        <v>Under 58,000</v>
      </c>
      <c r="I1287" s="70">
        <v>700</v>
      </c>
      <c r="J1287" s="15" t="str">
        <f>IF($C1287="","",IF($I1287="","-",INDEX(SETUP!$B$16:$B$22,MATCH($I1287,SETUP!$A$16:$A$22,1))))</f>
        <v>ROOKIE</v>
      </c>
      <c r="K1287" s="15" t="str">
        <f>IF($C1287="","",IF($I1287="","-",TEXT(INT($I1287/1000)*1000,"#,##0")&amp;" - "&amp;TEXT(INT($I1287/1000)*1000+999,"#,##0")))</f>
        <v>0 - 999</v>
      </c>
      <c r="L1287" s="71">
        <v>3</v>
      </c>
      <c r="M1287" s="15" t="str">
        <f>IF($C1287="","",IF($L1287="","-",INDEX(SETUP!$B$36:$B$42,MATCH($L1287,SETUP!$A$36:$A$42,1))))</f>
        <v>3k - 4k</v>
      </c>
      <c r="N1287" s="17">
        <f>IF($C1287="","",IF(OR($G1287="",$I1287=""),"",ROUND(100*(SETUP!$B$4*MIN(1,$I1287/SETUP!$B$9)+SETUP!$B$5*MAX(0,MIN(1,($G1287-SETUP!$B$10)/(SETUP!$B$11-SETUP!$B$10)))+SETUP!$B$6*MIN(1,IF($L1287="",0,$L1287)/SETUP!$B$12)),1)))</f>
        <v>8.1</v>
      </c>
      <c r="O1287" s="15" t="str">
        <f>IF($C1287="","",IF($N1287="","-",INDEX(SETUP!$B$46:$B$51,MATCH($N1287,SETUP!$A$46:$A$51,1))))</f>
        <v>D</v>
      </c>
      <c r="P1287" s="15">
        <f>IF($C1287="","",IF($I1287="","",RANK($I1287,$I$4:$I$1463)+COUNTIF($I$4:$I1287,$I1287)-1))</f>
        <v>1306</v>
      </c>
      <c r="Q1287" s="15">
        <f>IF($C1287="","",COUNTIFS($B$4:$B$1463,$B1287,$X$4:$X$1463,"&gt;"&amp;$X1287)+COUNTIFS($B$4:$B1287,$B1287,$X$4:$X1287,"="&amp;$X1287))</f>
        <v>93</v>
      </c>
      <c r="R1287" s="72">
        <f>IF($C1287="","",IF($I1287="","",ROUND(COUNTIF($I$4:$I$1463,"&lt;"&amp;$I1287)/COUNT($I$4:$I$1463),3)))</f>
        <v>1.4E-2</v>
      </c>
      <c r="S1287" s="15" t="str">
        <f>IF($C1287="","",IF($G1287="","Name only",IF(OR($I1287="",$L1287=""),"Partial","Complete")))</f>
        <v>Complete</v>
      </c>
      <c r="T1287" s="41" t="str">
        <f>IF($C1287="","",TRIM(IF(COUNTIF($C$4:$C$1463,$C1287)&gt;1,"Dup name; ","")&amp;IF(AND($G1287&lt;&gt;"",$G1287&lt;55000),"Low CR - verify; ","")&amp;IF(AND($L1287&lt;&gt;"",$L1287&gt;15),"Secondary - verify; ","")&amp;IF($E1287="","No class; ","")))</f>
        <v>Low CR - verify;</v>
      </c>
      <c r="U1287" s="68"/>
      <c r="V1287" s="68"/>
      <c r="W1287" s="68"/>
      <c r="X1287" s="73">
        <f t="shared" si="102"/>
        <v>700</v>
      </c>
      <c r="Y1287" s="41" t="str">
        <f t="shared" si="103"/>
        <v>ZOMBIES|93</v>
      </c>
      <c r="Z1287" s="15">
        <f>IF($C1287="","",IF($G1287="","",RANK($G1287,$G$4:$G$1463)+COUNTIF($G$4:$G1287,$G1287)-1))</f>
        <v>1319</v>
      </c>
      <c r="AA1287" s="15">
        <f>IF($C1287="","",IF($N1287="","",RANK($N1287,$N$4:$N$1463)+COUNTIF($N$4:$N1287,$N1287)-1))</f>
        <v>1322</v>
      </c>
      <c r="AB1287" s="41" t="str">
        <f>IF($C1287="","",IF($E1287="","",$E1287&amp;"#"&amp;(COUNTIFS($E$4:$E$1463,$E1287,$X$4:$X$1463,"&gt;"&amp;$X1287)+COUNTIFS($E$4:$E1287,$E1287,$X$4:$X1287,"="&amp;$X1287))))</f>
        <v>DEMON HUNTER#189</v>
      </c>
      <c r="AC1287" s="41" t="str">
        <f>IF($C1287="","",$B1287&amp;"@"&amp;(COUNTIFS($B$4:$B$1463,$B1287,$C$4:$C$1463,"&lt;"&amp;$C1287)+COUNTIFS($B$4:$B1287,$B1287,$C$4:$C1287,$C1287)))</f>
        <v>ZOMBIES@95</v>
      </c>
      <c r="AD1287" s="41">
        <f t="shared" si="104"/>
        <v>1284</v>
      </c>
      <c r="AE1287" s="41" t="s">
        <v>611</v>
      </c>
      <c r="AF1287" s="73">
        <f t="shared" si="105"/>
        <v>54763</v>
      </c>
      <c r="AG1287" s="74">
        <f t="shared" si="106"/>
        <v>3</v>
      </c>
      <c r="AH1287" s="41" t="str">
        <f>IF($C1287="","",$B1287&amp;"|"&amp;(COUNTIFS($B$4:$B$1463,$B1287,$AF$4:$AF$1463,"&gt;"&amp;$AF1287)+COUNTIFS($B$4:$B1287,$B1287,$AF$4:$AF1287,"="&amp;$AF1287)))</f>
        <v>ZOMBIES|97</v>
      </c>
      <c r="AI1287" s="41" t="str">
        <f>IF($C1287="","",$B1287&amp;"|"&amp;(COUNTIFS($B$4:$B$1463,$B1287,$AG$4:$AG$1463,"&gt;"&amp;$AG1287)+COUNTIFS($B$4:$B1287,$B1287,$AG$4:$AG1287,"="&amp;$AG1287)))</f>
        <v>ZOMBIES|76</v>
      </c>
    </row>
    <row r="1288" spans="1:35" hidden="1">
      <c r="A1288" s="69" t="s">
        <v>109</v>
      </c>
      <c r="B1288" s="69" t="s">
        <v>108</v>
      </c>
      <c r="C1288" s="63" t="s">
        <v>2710</v>
      </c>
      <c r="D1288" s="69"/>
      <c r="E1288" s="68" t="s">
        <v>77</v>
      </c>
      <c r="F1288" s="19" t="str">
        <f>IF($C1288="","",IF($E1288="","-",IFERROR(INDEX(SETUP!$B$55:$B$64,MATCH($E1288,SETUP!$A$55:$A$64,0)),"Other")))</f>
        <v>Control</v>
      </c>
      <c r="G1288" s="70">
        <v>61179</v>
      </c>
      <c r="H1288" s="19" t="str">
        <f>IF($C1288="","",IF($G1288="","-",INDEX(SETUP!$B$26:$B$32,MATCH($G1288,SETUP!$A$26:$A$32,1))))</f>
        <v>61,000 - 61,999</v>
      </c>
      <c r="I1288" s="70">
        <v>3761</v>
      </c>
      <c r="J1288" s="19" t="str">
        <f>IF($C1288="","",IF($I1288="","-",INDEX(SETUP!$B$16:$B$22,MATCH($I1288,SETUP!$A$16:$A$22,1))))</f>
        <v>DEVELOPING</v>
      </c>
      <c r="K1288" s="19" t="str">
        <f>IF($C1288="","",IF($I1288="","-",TEXT(INT($I1288/1000)*1000,"#,##0")&amp;" - "&amp;TEXT(INT($I1288/1000)*1000+999,"#,##0")))</f>
        <v>3,000 - 3,999</v>
      </c>
      <c r="L1288" s="71">
        <v>4.2</v>
      </c>
      <c r="M1288" s="19" t="str">
        <f>IF($C1288="","",IF($L1288="","-",INDEX(SETUP!$B$36:$B$42,MATCH($L1288,SETUP!$A$36:$A$42,1))))</f>
        <v>4k - 5k</v>
      </c>
      <c r="N1288" s="21">
        <f>IF($C1288="","",IF(OR($G1288="",$I1288=""),"",ROUND(100*(SETUP!$B$4*MIN(1,$I1288/SETUP!$B$9)+SETUP!$B$5*MAX(0,MIN(1,($G1288-SETUP!$B$10)/(SETUP!$B$11-SETUP!$B$10)))+SETUP!$B$6*MIN(1,IF($L1288="",0,$L1288)/SETUP!$B$12)),1)))</f>
        <v>39.700000000000003</v>
      </c>
      <c r="O1288" s="19" t="str">
        <f>IF($C1288="","",IF($N1288="","-",INDEX(SETUP!$B$46:$B$51,MATCH($N1288,SETUP!$A$46:$A$51,1))))</f>
        <v>B</v>
      </c>
      <c r="P1288" s="19">
        <f>IF($C1288="","",IF($I1288="","",RANK($I1288,$I$4:$I$1463)+COUNTIF($I$4:$I1288,$I1288)-1))</f>
        <v>661</v>
      </c>
      <c r="Q1288" s="19">
        <f>IF($C1288="","",COUNTIFS($B$4:$B$1463,$B1288,$X$4:$X$1463,"&gt;"&amp;$X1288)+COUNTIFS($B$4:$B1288,$B1288,$X$4:$X1288,"="&amp;$X1288))</f>
        <v>80</v>
      </c>
      <c r="R1288" s="75">
        <f>IF($C1288="","",IF($I1288="","",ROUND(COUNTIF($I$4:$I$1463,"&lt;"&amp;$I1288)/COUNT($I$4:$I$1463),3)))</f>
        <v>0.5</v>
      </c>
      <c r="S1288" s="19" t="str">
        <f>IF($C1288="","",IF($G1288="","Name only",IF(OR($I1288="",$L1288=""),"Partial","Complete")))</f>
        <v>Complete</v>
      </c>
      <c r="T1288" s="1" t="str">
        <f>IF($C1288="","",TRIM(IF(COUNTIF($C$4:$C$1463,$C1288)&gt;1,"Dup name; ","")&amp;IF(AND($G1288&lt;&gt;"",$G1288&lt;55000),"Low CR - verify; ","")&amp;IF(AND($L1288&lt;&gt;"",$L1288&gt;15),"Secondary - verify; ","")&amp;IF($E1288="","No class; ","")))</f>
        <v/>
      </c>
      <c r="U1288" s="68"/>
      <c r="V1288" s="68"/>
      <c r="W1288" s="68"/>
      <c r="X1288" s="76">
        <f t="shared" si="102"/>
        <v>3761</v>
      </c>
      <c r="Y1288" s="1" t="str">
        <f t="shared" si="103"/>
        <v>SBG|80</v>
      </c>
      <c r="Z1288" s="19">
        <f>IF($C1288="","",IF($G1288="","",RANK($G1288,$G$4:$G$1463)+COUNTIF($G$4:$G1288,$G1288)-1))</f>
        <v>1099</v>
      </c>
      <c r="AA1288" s="19">
        <f>IF($C1288="","",IF($N1288="","",RANK($N1288,$N$4:$N$1463)+COUNTIF($N$4:$N1288,$N1288)-1))</f>
        <v>833</v>
      </c>
      <c r="AB1288" s="1" t="str">
        <f>IF($C1288="","",IF($E1288="","",$E1288&amp;"#"&amp;(COUNTIFS($E$4:$E$1463,$E1288,$X$4:$X$1463,"&gt;"&amp;$X1288)+COUNTIFS($E$4:$E1288,$E1288,$X$4:$X1288,"="&amp;$X1288))))</f>
        <v>NECROMANCER#33</v>
      </c>
      <c r="AC1288" s="1" t="str">
        <f>IF($C1288="","",$B1288&amp;"@"&amp;(COUNTIFS($B$4:$B$1463,$B1288,$C$4:$C$1463,"&lt;"&amp;$C1288)+COUNTIFS($B$4:$B1288,$B1288,$C$4:$C1288,$C1288)))</f>
        <v>SBG@92</v>
      </c>
      <c r="AD1288" s="1">
        <f t="shared" si="104"/>
        <v>1285</v>
      </c>
      <c r="AE1288" s="1" t="s">
        <v>2711</v>
      </c>
      <c r="AF1288" s="76">
        <f t="shared" si="105"/>
        <v>61179</v>
      </c>
      <c r="AG1288" s="77">
        <f t="shared" si="106"/>
        <v>4.2</v>
      </c>
      <c r="AH1288" s="1" t="str">
        <f>IF($C1288="","",$B1288&amp;"|"&amp;(COUNTIFS($B$4:$B$1463,$B1288,$AF$4:$AF$1463,"&gt;"&amp;$AF1288)+COUNTIFS($B$4:$B1288,$B1288,$AF$4:$AF1288,"="&amp;$AF1288)))</f>
        <v>SBG|88</v>
      </c>
      <c r="AI1288" s="1" t="str">
        <f>IF($C1288="","",$B1288&amp;"|"&amp;(COUNTIFS($B$4:$B$1463,$B1288,$AG$4:$AG$1463,"&gt;"&amp;$AG1288)+COUNTIFS($B$4:$B1288,$B1288,$AG$4:$AG1288,"="&amp;$AG1288)))</f>
        <v>SBG|92</v>
      </c>
    </row>
    <row r="1289" spans="1:35">
      <c r="A1289" s="69" t="s">
        <v>104</v>
      </c>
      <c r="B1289" s="69" t="s">
        <v>66</v>
      </c>
      <c r="C1289" s="63" t="s">
        <v>2457</v>
      </c>
      <c r="D1289" s="69"/>
      <c r="E1289" s="68" t="s">
        <v>72</v>
      </c>
      <c r="F1289" s="15" t="str">
        <f>IF($C1289="","",IF($E1289="","-",IFERROR(INDEX(SETUP!$B$55:$B$64,MATCH($E1289,SETUP!$A$55:$A$64,0)),"Other")))</f>
        <v>Frontline</v>
      </c>
      <c r="G1289" s="70">
        <v>64270</v>
      </c>
      <c r="H1289" s="15" t="str">
        <f>IF($C1289="","",IF($G1289="","-",INDEX(SETUP!$B$26:$B$32,MATCH($G1289,SETUP!$A$26:$A$32,1))))</f>
        <v>64,000 +</v>
      </c>
      <c r="I1289" s="70">
        <v>9868</v>
      </c>
      <c r="J1289" s="15" t="str">
        <f>IF($C1289="","",IF($I1289="","-",INDEX(SETUP!$B$16:$B$22,MATCH($I1289,SETUP!$A$16:$A$22,1))))</f>
        <v>ELITE</v>
      </c>
      <c r="K1289" s="15" t="str">
        <f>IF($C1289="","",IF($I1289="","-",TEXT(INT($I1289/1000)*1000,"#,##0")&amp;" - "&amp;TEXT(INT($I1289/1000)*1000+999,"#,##0")))</f>
        <v>9,000 - 9,999</v>
      </c>
      <c r="L1289" s="71">
        <v>6.34</v>
      </c>
      <c r="M1289" s="15" t="str">
        <f>IF($C1289="","",IF($L1289="","-",INDEX(SETUP!$B$36:$B$42,MATCH($L1289,SETUP!$A$36:$A$42,1))))</f>
        <v>6k - 8k</v>
      </c>
      <c r="N1289" s="17">
        <f>IF($C1289="","",IF(OR($G1289="",$I1289=""),"",ROUND(100*(SETUP!$B$4*MIN(1,$I1289/SETUP!$B$9)+SETUP!$B$5*MAX(0,MIN(1,($G1289-SETUP!$B$10)/(SETUP!$B$11-SETUP!$B$10)))+SETUP!$B$6*MIN(1,IF($L1289="",0,$L1289)/SETUP!$B$12)),1)))</f>
        <v>78</v>
      </c>
      <c r="O1289" s="15" t="str">
        <f>IF($C1289="","",IF($N1289="","-",INDEX(SETUP!$B$46:$B$51,MATCH($N1289,SETUP!$A$46:$A$51,1))))</f>
        <v>S</v>
      </c>
      <c r="P1289" s="15">
        <f>IF($C1289="","",IF($I1289="","",RANK($I1289,$I$4:$I$1463)+COUNTIF($I$4:$I1289,$I1289)-1))</f>
        <v>61</v>
      </c>
      <c r="Q1289" s="15">
        <f>IF($C1289="","",COUNTIFS($B$4:$B$1463,$B1289,$X$4:$X$1463,"&gt;"&amp;$X1289)+COUNTIFS($B$4:$B1289,$B1289,$X$4:$X1289,"="&amp;$X1289))</f>
        <v>6</v>
      </c>
      <c r="R1289" s="72">
        <f>IF($C1289="","",IF($I1289="","",ROUND(COUNTIF($I$4:$I$1463,"&lt;"&amp;$I1289)/COUNT($I$4:$I$1463),3)))</f>
        <v>0.95399999999999996</v>
      </c>
      <c r="S1289" s="15" t="str">
        <f>IF($C1289="","",IF($G1289="","Name only",IF(OR($I1289="",$L1289=""),"Partial","Complete")))</f>
        <v>Complete</v>
      </c>
      <c r="T1289" s="41" t="str">
        <f>IF($C1289="","",TRIM(IF(COUNTIF($C$4:$C$1463,$C1289)&gt;1,"Dup name; ","")&amp;IF(AND($G1289&lt;&gt;"",$G1289&lt;55000),"Low CR - verify; ","")&amp;IF(AND($L1289&lt;&gt;"",$L1289&gt;15),"Secondary - verify; ","")&amp;IF($E1289="","No class; ","")))</f>
        <v/>
      </c>
      <c r="U1289" s="68"/>
      <c r="V1289" s="68"/>
      <c r="W1289" s="68"/>
      <c r="X1289" s="73">
        <f t="shared" si="102"/>
        <v>9868</v>
      </c>
      <c r="Y1289" s="41" t="str">
        <f t="shared" si="103"/>
        <v>FUCT|6</v>
      </c>
      <c r="Z1289" s="15">
        <f>IF($C1289="","",IF($G1289="","",RANK($G1289,$G$4:$G$1463)+COUNTIF($G$4:$G1289,$G1289)-1))</f>
        <v>27</v>
      </c>
      <c r="AA1289" s="15">
        <f>IF($C1289="","",IF($N1289="","",RANK($N1289,$N$4:$N$1463)+COUNTIF($N$4:$N1289,$N1289)-1))</f>
        <v>70</v>
      </c>
      <c r="AB1289" s="41" t="str">
        <f>IF($C1289="","",IF($E1289="","",$E1289&amp;"#"&amp;(COUNTIFS($E$4:$E$1463,$E1289,$X$4:$X$1463,"&gt;"&amp;$X1289)+COUNTIFS($E$4:$E1289,$E1289,$X$4:$X1289,"="&amp;$X1289))))</f>
        <v>BLOOD KNIGHT#4</v>
      </c>
      <c r="AC1289" s="41" t="str">
        <f>IF($C1289="","",$B1289&amp;"@"&amp;(COUNTIFS($B$4:$B$1463,$B1289,$C$4:$C$1463,"&lt;"&amp;$C1289)+COUNTIFS($B$4:$B1289,$B1289,$C$4:$C1289,$C1289)))</f>
        <v>FUCT@89</v>
      </c>
      <c r="AD1289" s="41">
        <f t="shared" si="104"/>
        <v>1286</v>
      </c>
      <c r="AE1289" s="41" t="s">
        <v>2713</v>
      </c>
      <c r="AF1289" s="73">
        <f t="shared" si="105"/>
        <v>64270</v>
      </c>
      <c r="AG1289" s="74">
        <f t="shared" si="106"/>
        <v>6.34</v>
      </c>
      <c r="AH1289" s="41" t="str">
        <f>IF($C1289="","",$B1289&amp;"|"&amp;(COUNTIFS($B$4:$B$1463,$B1289,$AF$4:$AF$1463,"&gt;"&amp;$AF1289)+COUNTIFS($B$4:$B1289,$B1289,$AF$4:$AF1289,"="&amp;$AF1289)))</f>
        <v>FUCT|2</v>
      </c>
      <c r="AI1289" s="41" t="str">
        <f>IF($C1289="","",$B1289&amp;"|"&amp;(COUNTIFS($B$4:$B$1463,$B1289,$AG$4:$AG$1463,"&gt;"&amp;$AG1289)+COUNTIFS($B$4:$B1289,$B1289,$AG$4:$AG1289,"="&amp;$AG1289)))</f>
        <v>FUCT|12</v>
      </c>
    </row>
    <row r="1290" spans="1:35" hidden="1">
      <c r="A1290" s="69" t="s">
        <v>109</v>
      </c>
      <c r="B1290" s="69" t="s">
        <v>108</v>
      </c>
      <c r="C1290" s="63" t="s">
        <v>2714</v>
      </c>
      <c r="D1290" s="69"/>
      <c r="E1290" s="68" t="s">
        <v>80</v>
      </c>
      <c r="F1290" s="19" t="str">
        <f>IF($C1290="","",IF($E1290="","-",IFERROR(INDEX(SETUP!$B$55:$B$64,MATCH($E1290,SETUP!$A$55:$A$64,0)),"Other")))</f>
        <v>Ranged DPS</v>
      </c>
      <c r="G1290" s="70">
        <v>61235</v>
      </c>
      <c r="H1290" s="19" t="str">
        <f>IF($C1290="","",IF($G1290="","-",INDEX(SETUP!$B$26:$B$32,MATCH($G1290,SETUP!$A$26:$A$32,1))))</f>
        <v>61,000 - 61,999</v>
      </c>
      <c r="I1290" s="70">
        <v>7013</v>
      </c>
      <c r="J1290" s="19" t="str">
        <f>IF($C1290="","",IF($I1290="","-",INDEX(SETUP!$B$16:$B$22,MATCH($I1290,SETUP!$A$16:$A$22,1))))</f>
        <v>VETERAN</v>
      </c>
      <c r="K1290" s="19" t="str">
        <f>IF($C1290="","",IF($I1290="","-",TEXT(INT($I1290/1000)*1000,"#,##0")&amp;" - "&amp;TEXT(INT($I1290/1000)*1000+999,"#,##0")))</f>
        <v>7,000 - 7,999</v>
      </c>
      <c r="L1290" s="71">
        <v>4.75</v>
      </c>
      <c r="M1290" s="19" t="str">
        <f>IF($C1290="","",IF($L1290="","-",INDEX(SETUP!$B$36:$B$42,MATCH($L1290,SETUP!$A$36:$A$42,1))))</f>
        <v>4k - 5k</v>
      </c>
      <c r="N1290" s="21">
        <f>IF($C1290="","",IF(OR($G1290="",$I1290=""),"",ROUND(100*(SETUP!$B$4*MIN(1,$I1290/SETUP!$B$9)+SETUP!$B$5*MAX(0,MIN(1,($G1290-SETUP!$B$10)/(SETUP!$B$11-SETUP!$B$10)))+SETUP!$B$6*MIN(1,IF($L1290="",0,$L1290)/SETUP!$B$12)),1)))</f>
        <v>54.9</v>
      </c>
      <c r="O1290" s="19" t="str">
        <f>IF($C1290="","",IF($N1290="","-",INDEX(SETUP!$B$46:$B$51,MATCH($N1290,SETUP!$A$46:$A$51,1))))</f>
        <v>A</v>
      </c>
      <c r="P1290" s="19">
        <f>IF($C1290="","",IF($I1290="","",RANK($I1290,$I$4:$I$1463)+COUNTIF($I$4:$I1290,$I1290)-1))</f>
        <v>223</v>
      </c>
      <c r="Q1290" s="19">
        <f>IF($C1290="","",COUNTIFS($B$4:$B$1463,$B1290,$X$4:$X$1463,"&gt;"&amp;$X1290)+COUNTIFS($B$4:$B1290,$B1290,$X$4:$X1290,"="&amp;$X1290))</f>
        <v>36</v>
      </c>
      <c r="R1290" s="75">
        <f>IF($C1290="","",IF($I1290="","",ROUND(COUNTIF($I$4:$I$1463,"&lt;"&amp;$I1290)/COUNT($I$4:$I$1463),3)))</f>
        <v>0.83199999999999996</v>
      </c>
      <c r="S1290" s="19" t="str">
        <f>IF($C1290="","",IF($G1290="","Name only",IF(OR($I1290="",$L1290=""),"Partial","Complete")))</f>
        <v>Complete</v>
      </c>
      <c r="T1290" s="1" t="str">
        <f>IF($C1290="","",TRIM(IF(COUNTIF($C$4:$C$1463,$C1290)&gt;1,"Dup name; ","")&amp;IF(AND($G1290&lt;&gt;"",$G1290&lt;55000),"Low CR - verify; ","")&amp;IF(AND($L1290&lt;&gt;"",$L1290&gt;15),"Secondary - verify; ","")&amp;IF($E1290="","No class; ","")))</f>
        <v/>
      </c>
      <c r="U1290" s="68"/>
      <c r="V1290" s="68"/>
      <c r="W1290" s="68"/>
      <c r="X1290" s="76">
        <f t="shared" si="102"/>
        <v>7013</v>
      </c>
      <c r="Y1290" s="1" t="str">
        <f t="shared" si="103"/>
        <v>SBG|36</v>
      </c>
      <c r="Z1290" s="19">
        <f>IF($C1290="","",IF($G1290="","",RANK($G1290,$G$4:$G$1463)+COUNTIF($G$4:$G1290,$G1290)-1))</f>
        <v>1076</v>
      </c>
      <c r="AA1290" s="19">
        <f>IF($C1290="","",IF($N1290="","",RANK($N1290,$N$4:$N$1463)+COUNTIF($N$4:$N1290,$N1290)-1))</f>
        <v>318</v>
      </c>
      <c r="AB1290" s="1" t="str">
        <f>IF($C1290="","",IF($E1290="","",$E1290&amp;"#"&amp;(COUNTIFS($E$4:$E$1463,$E1290,$X$4:$X$1463,"&gt;"&amp;$X1290)+COUNTIFS($E$4:$E1290,$E1290,$X$4:$X1290,"="&amp;$X1290))))</f>
        <v>WIZARD#13</v>
      </c>
      <c r="AC1290" s="1" t="str">
        <f>IF($C1290="","",$B1290&amp;"@"&amp;(COUNTIFS($B$4:$B$1463,$B1290,$C$4:$C$1463,"&lt;"&amp;$C1290)+COUNTIFS($B$4:$B1290,$B1290,$C$4:$C1290,$C1290)))</f>
        <v>SBG@93</v>
      </c>
      <c r="AD1290" s="1">
        <f t="shared" si="104"/>
        <v>1287</v>
      </c>
      <c r="AE1290" s="1" t="s">
        <v>2715</v>
      </c>
      <c r="AF1290" s="76">
        <f t="shared" si="105"/>
        <v>61235</v>
      </c>
      <c r="AG1290" s="77">
        <f t="shared" si="106"/>
        <v>4.75</v>
      </c>
      <c r="AH1290" s="1" t="str">
        <f>IF($C1290="","",$B1290&amp;"|"&amp;(COUNTIFS($B$4:$B$1463,$B1290,$AF$4:$AF$1463,"&gt;"&amp;$AF1290)+COUNTIFS($B$4:$B1290,$B1290,$AF$4:$AF1290,"="&amp;$AF1290)))</f>
        <v>SBG|87</v>
      </c>
      <c r="AI1290" s="1" t="str">
        <f>IF($C1290="","",$B1290&amp;"|"&amp;(COUNTIFS($B$4:$B$1463,$B1290,$AG$4:$AG$1463,"&gt;"&amp;$AG1290)+COUNTIFS($B$4:$B1290,$B1290,$AG$4:$AG1290,"="&amp;$AG1290)))</f>
        <v>SBG|80</v>
      </c>
    </row>
    <row r="1291" spans="1:35" hidden="1">
      <c r="A1291" s="69" t="s">
        <v>109</v>
      </c>
      <c r="B1291" s="69" t="s">
        <v>108</v>
      </c>
      <c r="C1291" s="63" t="s">
        <v>2716</v>
      </c>
      <c r="D1291" s="69"/>
      <c r="E1291" s="68" t="s">
        <v>79</v>
      </c>
      <c r="F1291" s="15" t="str">
        <f>IF($C1291="","",IF($E1291="","-",IFERROR(INDEX(SETUP!$B$55:$B$64,MATCH($E1291,SETUP!$A$55:$A$64,0)),"Other")))</f>
        <v>Control</v>
      </c>
      <c r="G1291" s="70">
        <v>63150</v>
      </c>
      <c r="H1291" s="15" t="str">
        <f>IF($C1291="","",IF($G1291="","-",INDEX(SETUP!$B$26:$B$32,MATCH($G1291,SETUP!$A$26:$A$32,1))))</f>
        <v>63,000 - 63,999</v>
      </c>
      <c r="I1291" s="70">
        <v>3761</v>
      </c>
      <c r="J1291" s="15" t="str">
        <f>IF($C1291="","",IF($I1291="","-",INDEX(SETUP!$B$16:$B$22,MATCH($I1291,SETUP!$A$16:$A$22,1))))</f>
        <v>DEVELOPING</v>
      </c>
      <c r="K1291" s="15" t="str">
        <f>IF($C1291="","",IF($I1291="","-",TEXT(INT($I1291/1000)*1000,"#,##0")&amp;" - "&amp;TEXT(INT($I1291/1000)*1000+999,"#,##0")))</f>
        <v>3,000 - 3,999</v>
      </c>
      <c r="L1291" s="71">
        <v>5.15</v>
      </c>
      <c r="M1291" s="15" t="str">
        <f>IF($C1291="","",IF($L1291="","-",INDEX(SETUP!$B$36:$B$42,MATCH($L1291,SETUP!$A$36:$A$42,1))))</f>
        <v>5k - 6k</v>
      </c>
      <c r="N1291" s="17">
        <f>IF($C1291="","",IF(OR($G1291="",$I1291=""),"",ROUND(100*(SETUP!$B$4*MIN(1,$I1291/SETUP!$B$9)+SETUP!$B$5*MAX(0,MIN(1,($G1291-SETUP!$B$10)/(SETUP!$B$11-SETUP!$B$10)))+SETUP!$B$6*MIN(1,IF($L1291="",0,$L1291)/SETUP!$B$12)),1)))</f>
        <v>46.4</v>
      </c>
      <c r="O1291" s="15" t="str">
        <f>IF($C1291="","",IF($N1291="","-",INDEX(SETUP!$B$46:$B$51,MATCH($N1291,SETUP!$A$46:$A$51,1))))</f>
        <v>B</v>
      </c>
      <c r="P1291" s="15">
        <f>IF($C1291="","",IF($I1291="","",RANK($I1291,$I$4:$I$1463)+COUNTIF($I$4:$I1291,$I1291)-1))</f>
        <v>662</v>
      </c>
      <c r="Q1291" s="15">
        <f>IF($C1291="","",COUNTIFS($B$4:$B$1463,$B1291,$X$4:$X$1463,"&gt;"&amp;$X1291)+COUNTIFS($B$4:$B1291,$B1291,$X$4:$X1291,"="&amp;$X1291))</f>
        <v>81</v>
      </c>
      <c r="R1291" s="72">
        <f>IF($C1291="","",IF($I1291="","",ROUND(COUNTIF($I$4:$I$1463,"&lt;"&amp;$I1291)/COUNT($I$4:$I$1463),3)))</f>
        <v>0.5</v>
      </c>
      <c r="S1291" s="15" t="str">
        <f>IF($C1291="","",IF($G1291="","Name only",IF(OR($I1291="",$L1291=""),"Partial","Complete")))</f>
        <v>Complete</v>
      </c>
      <c r="T1291" s="41" t="str">
        <f>IF($C1291="","",TRIM(IF(COUNTIF($C$4:$C$1463,$C1291)&gt;1,"Dup name; ","")&amp;IF(AND($G1291&lt;&gt;"",$G1291&lt;55000),"Low CR - verify; ","")&amp;IF(AND($L1291&lt;&gt;"",$L1291&gt;15),"Secondary - verify; ","")&amp;IF($E1291="","No class; ","")))</f>
        <v/>
      </c>
      <c r="U1291" s="68"/>
      <c r="V1291" s="68"/>
      <c r="W1291" s="68"/>
      <c r="X1291" s="73">
        <f t="shared" si="102"/>
        <v>3761</v>
      </c>
      <c r="Y1291" s="41" t="str">
        <f t="shared" si="103"/>
        <v>SBG|81</v>
      </c>
      <c r="Z1291" s="15">
        <f>IF($C1291="","",IF($G1291="","",RANK($G1291,$G$4:$G$1463)+COUNTIF($G$4:$G1291,$G1291)-1))</f>
        <v>345</v>
      </c>
      <c r="AA1291" s="15">
        <f>IF($C1291="","",IF($N1291="","",RANK($N1291,$N$4:$N$1463)+COUNTIF($N$4:$N1291,$N1291)-1))</f>
        <v>575</v>
      </c>
      <c r="AB1291" s="41" t="str">
        <f>IF($C1291="","",IF($E1291="","",$E1291&amp;"#"&amp;(COUNTIFS($E$4:$E$1463,$E1291,$X$4:$X$1463,"&gt;"&amp;$X1291)+COUNTIFS($E$4:$E1291,$E1291,$X$4:$X1291,"="&amp;$X1291))))</f>
        <v>WARLOCK#159</v>
      </c>
      <c r="AC1291" s="41" t="str">
        <f>IF($C1291="","",$B1291&amp;"@"&amp;(COUNTIFS($B$4:$B$1463,$B1291,$C$4:$C$1463,"&lt;"&amp;$C1291)+COUNTIFS($B$4:$B1291,$B1291,$C$4:$C1291,$C1291)))</f>
        <v>SBG@94</v>
      </c>
      <c r="AD1291" s="41">
        <f t="shared" si="104"/>
        <v>1288</v>
      </c>
      <c r="AE1291" s="41" t="s">
        <v>2717</v>
      </c>
      <c r="AF1291" s="73">
        <f t="shared" si="105"/>
        <v>63150</v>
      </c>
      <c r="AG1291" s="74">
        <f t="shared" si="106"/>
        <v>5.15</v>
      </c>
      <c r="AH1291" s="41" t="str">
        <f>IF($C1291="","",$B1291&amp;"|"&amp;(COUNTIFS($B$4:$B$1463,$B1291,$AF$4:$AF$1463,"&gt;"&amp;$AF1291)+COUNTIFS($B$4:$B1291,$B1291,$AF$4:$AF1291,"="&amp;$AF1291)))</f>
        <v>SBG|43</v>
      </c>
      <c r="AI1291" s="41" t="str">
        <f>IF($C1291="","",$B1291&amp;"|"&amp;(COUNTIFS($B$4:$B$1463,$B1291,$AG$4:$AG$1463,"&gt;"&amp;$AG1291)+COUNTIFS($B$4:$B1291,$B1291,$AG$4:$AG1291,"="&amp;$AG1291)))</f>
        <v>SBG|72</v>
      </c>
    </row>
    <row r="1292" spans="1:35" hidden="1">
      <c r="A1292" s="69" t="s">
        <v>106</v>
      </c>
      <c r="B1292" s="69" t="s">
        <v>105</v>
      </c>
      <c r="C1292" s="63" t="s">
        <v>2718</v>
      </c>
      <c r="D1292" s="69"/>
      <c r="E1292" s="68" t="s">
        <v>71</v>
      </c>
      <c r="F1292" s="19" t="str">
        <f>IF($C1292="","",IF($E1292="","-",IFERROR(INDEX(SETUP!$B$55:$B$64,MATCH($E1292,SETUP!$A$55:$A$64,0)),"Other")))</f>
        <v>Frontline</v>
      </c>
      <c r="G1292" s="70">
        <v>62641</v>
      </c>
      <c r="H1292" s="19" t="str">
        <f>IF($C1292="","",IF($G1292="","-",INDEX(SETUP!$B$26:$B$32,MATCH($G1292,SETUP!$A$26:$A$32,1))))</f>
        <v>62,000 - 62,999</v>
      </c>
      <c r="I1292" s="70">
        <v>4769</v>
      </c>
      <c r="J1292" s="19" t="str">
        <f>IF($C1292="","",IF($I1292="","-",INDEX(SETUP!$B$16:$B$22,MATCH($I1292,SETUP!$A$16:$A$22,1))))</f>
        <v>CORE</v>
      </c>
      <c r="K1292" s="19" t="str">
        <f>IF($C1292="","",IF($I1292="","-",TEXT(INT($I1292/1000)*1000,"#,##0")&amp;" - "&amp;TEXT(INT($I1292/1000)*1000+999,"#,##0")))</f>
        <v>4,000 - 4,999</v>
      </c>
      <c r="L1292" s="71">
        <v>4.99</v>
      </c>
      <c r="M1292" s="19" t="str">
        <f>IF($C1292="","",IF($L1292="","-",INDEX(SETUP!$B$36:$B$42,MATCH($L1292,SETUP!$A$36:$A$42,1))))</f>
        <v>4k - 5k</v>
      </c>
      <c r="N1292" s="21">
        <f>IF($C1292="","",IF(OR($G1292="",$I1292=""),"",ROUND(100*(SETUP!$B$4*MIN(1,$I1292/SETUP!$B$9)+SETUP!$B$5*MAX(0,MIN(1,($G1292-SETUP!$B$10)/(SETUP!$B$11-SETUP!$B$10)))+SETUP!$B$6*MIN(1,IF($L1292="",0,$L1292)/SETUP!$B$12)),1)))</f>
        <v>49.2</v>
      </c>
      <c r="O1292" s="19" t="str">
        <f>IF($C1292="","",IF($N1292="","-",INDEX(SETUP!$B$46:$B$51,MATCH($N1292,SETUP!$A$46:$A$51,1))))</f>
        <v>B</v>
      </c>
      <c r="P1292" s="19">
        <f>IF($C1292="","",IF($I1292="","",RANK($I1292,$I$4:$I$1463)+COUNTIF($I$4:$I1292,$I1292)-1))</f>
        <v>444</v>
      </c>
      <c r="Q1292" s="19">
        <f>IF($C1292="","",COUNTIFS($B$4:$B$1463,$B1292,$X$4:$X$1463,"&gt;"&amp;$X1292)+COUNTIFS($B$4:$B1292,$B1292,$X$4:$X1292,"="&amp;$X1292))</f>
        <v>57</v>
      </c>
      <c r="R1292" s="75">
        <f>IF($C1292="","",IF($I1292="","",ROUND(COUNTIF($I$4:$I$1463,"&lt;"&amp;$I1292)/COUNT($I$4:$I$1463),3)))</f>
        <v>0.66500000000000004</v>
      </c>
      <c r="S1292" s="19" t="str">
        <f>IF($C1292="","",IF($G1292="","Name only",IF(OR($I1292="",$L1292=""),"Partial","Complete")))</f>
        <v>Complete</v>
      </c>
      <c r="T1292" s="1" t="str">
        <f>IF($C1292="","",TRIM(IF(COUNTIF($C$4:$C$1463,$C1292)&gt;1,"Dup name; ","")&amp;IF(AND($G1292&lt;&gt;"",$G1292&lt;55000),"Low CR - verify; ","")&amp;IF(AND($L1292&lt;&gt;"",$L1292&gt;15),"Secondary - verify; ","")&amp;IF($E1292="","No class; ","")))</f>
        <v/>
      </c>
      <c r="U1292" s="68"/>
      <c r="V1292" s="68"/>
      <c r="W1292" s="68"/>
      <c r="X1292" s="76">
        <f t="shared" si="102"/>
        <v>4769</v>
      </c>
      <c r="Y1292" s="1" t="str">
        <f t="shared" si="103"/>
        <v>LEGENDS|57</v>
      </c>
      <c r="Z1292" s="19">
        <f>IF($C1292="","",IF($G1292="","",RANK($G1292,$G$4:$G$1463)+COUNTIF($G$4:$G1292,$G1292)-1))</f>
        <v>591</v>
      </c>
      <c r="AA1292" s="19">
        <f>IF($C1292="","",IF($N1292="","",RANK($N1292,$N$4:$N$1463)+COUNTIF($N$4:$N1292,$N1292)-1))</f>
        <v>476</v>
      </c>
      <c r="AB1292" s="1" t="str">
        <f>IF($C1292="","",IF($E1292="","",$E1292&amp;"#"&amp;(COUNTIFS($E$4:$E$1463,$E1292,$X$4:$X$1463,"&gt;"&amp;$X1292)+COUNTIFS($E$4:$E1292,$E1292,$X$4:$X1292,"="&amp;$X1292))))</f>
        <v>BARBARIAN#89</v>
      </c>
      <c r="AC1292" s="1" t="str">
        <f>IF($C1292="","",$B1292&amp;"@"&amp;(COUNTIFS($B$4:$B$1463,$B1292,$C$4:$C$1463,"&lt;"&amp;$C1292)+COUNTIFS($B$4:$B1292,$B1292,$C$4:$C1292,$C1292)))</f>
        <v>LEGENDS@98</v>
      </c>
      <c r="AD1292" s="1">
        <f t="shared" si="104"/>
        <v>1289</v>
      </c>
      <c r="AE1292" s="1" t="s">
        <v>2719</v>
      </c>
      <c r="AF1292" s="76">
        <f t="shared" si="105"/>
        <v>62641</v>
      </c>
      <c r="AG1292" s="77">
        <f t="shared" si="106"/>
        <v>4.99</v>
      </c>
      <c r="AH1292" s="1" t="str">
        <f>IF($C1292="","",$B1292&amp;"|"&amp;(COUNTIFS($B$4:$B$1463,$B1292,$AF$4:$AF$1463,"&gt;"&amp;$AF1292)+COUNTIFS($B$4:$B1292,$B1292,$AF$4:$AF1292,"="&amp;$AF1292)))</f>
        <v>LEGENDS|63</v>
      </c>
      <c r="AI1292" s="1" t="str">
        <f>IF($C1292="","",$B1292&amp;"|"&amp;(COUNTIFS($B$4:$B$1463,$B1292,$AG$4:$AG$1463,"&gt;"&amp;$AG1292)+COUNTIFS($B$4:$B1292,$B1292,$AG$4:$AG1292,"="&amp;$AG1292)))</f>
        <v>LEGENDS|65</v>
      </c>
    </row>
    <row r="1293" spans="1:35" hidden="1">
      <c r="A1293" s="69" t="s">
        <v>109</v>
      </c>
      <c r="B1293" s="69" t="s">
        <v>113</v>
      </c>
      <c r="C1293" s="63" t="s">
        <v>2720</v>
      </c>
      <c r="D1293" s="69" t="s">
        <v>548</v>
      </c>
      <c r="E1293" s="68" t="s">
        <v>77</v>
      </c>
      <c r="F1293" s="15" t="str">
        <f>IF($C1293="","",IF($E1293="","-",IFERROR(INDEX(SETUP!$B$55:$B$64,MATCH($E1293,SETUP!$A$55:$A$64,0)),"Other")))</f>
        <v>Control</v>
      </c>
      <c r="G1293" s="70">
        <v>62152</v>
      </c>
      <c r="H1293" s="15" t="str">
        <f>IF($C1293="","",IF($G1293="","-",INDEX(SETUP!$B$26:$B$32,MATCH($G1293,SETUP!$A$26:$A$32,1))))</f>
        <v>62,000 - 62,999</v>
      </c>
      <c r="I1293" s="70">
        <v>2634</v>
      </c>
      <c r="J1293" s="15" t="str">
        <f>IF($C1293="","",IF($I1293="","-",INDEX(SETUP!$B$16:$B$22,MATCH($I1293,SETUP!$A$16:$A$22,1))))</f>
        <v>DEVELOPING</v>
      </c>
      <c r="K1293" s="15" t="str">
        <f>IF($C1293="","",IF($I1293="","-",TEXT(INT($I1293/1000)*1000,"#,##0")&amp;" - "&amp;TEXT(INT($I1293/1000)*1000+999,"#,##0")))</f>
        <v>2,000 - 2,999</v>
      </c>
      <c r="L1293" s="71">
        <v>3.43</v>
      </c>
      <c r="M1293" s="15" t="str">
        <f>IF($C1293="","",IF($L1293="","-",INDEX(SETUP!$B$36:$B$42,MATCH($L1293,SETUP!$A$36:$A$42,1))))</f>
        <v>3k - 4k</v>
      </c>
      <c r="N1293" s="17">
        <f>IF($C1293="","",IF(OR($G1293="",$I1293=""),"",ROUND(100*(SETUP!$B$4*MIN(1,$I1293/SETUP!$B$9)+SETUP!$B$5*MAX(0,MIN(1,($G1293-SETUP!$B$10)/(SETUP!$B$11-SETUP!$B$10)))+SETUP!$B$6*MIN(1,IF($L1293="",0,$L1293)/SETUP!$B$12)),1)))</f>
        <v>36</v>
      </c>
      <c r="O1293" s="15" t="str">
        <f>IF($C1293="","",IF($N1293="","-",INDEX(SETUP!$B$46:$B$51,MATCH($N1293,SETUP!$A$46:$A$51,1))))</f>
        <v>B</v>
      </c>
      <c r="P1293" s="15">
        <f>IF($C1293="","",IF($I1293="","",RANK($I1293,$I$4:$I$1463)+COUNTIF($I$4:$I1293,$I1293)-1))</f>
        <v>970</v>
      </c>
      <c r="Q1293" s="15">
        <f>IF($C1293="","",COUNTIFS($B$4:$B$1463,$B1293,$X$4:$X$1463,"&gt;"&amp;$X1293)+COUNTIFS($B$4:$B1293,$B1293,$X$4:$X1293,"="&amp;$X1293))</f>
        <v>65</v>
      </c>
      <c r="R1293" s="72">
        <f>IF($C1293="","",IF($I1293="","",ROUND(COUNTIF($I$4:$I$1463,"&lt;"&amp;$I1293)/COUNT($I$4:$I$1463),3)))</f>
        <v>0.26800000000000002</v>
      </c>
      <c r="S1293" s="15" t="str">
        <f>IF($C1293="","",IF($G1293="","Name only",IF(OR($I1293="",$L1293=""),"Partial","Complete")))</f>
        <v>Complete</v>
      </c>
      <c r="T1293" s="41" t="str">
        <f>IF($C1293="","",TRIM(IF(COUNTIF($C$4:$C$1463,$C1293)&gt;1,"Dup name; ","")&amp;IF(AND($G1293&lt;&gt;"",$G1293&lt;55000),"Low CR - verify; ","")&amp;IF(AND($L1293&lt;&gt;"",$L1293&gt;15),"Secondary - verify; ","")&amp;IF($E1293="","No class; ","")))</f>
        <v/>
      </c>
      <c r="U1293" s="68"/>
      <c r="V1293" s="68"/>
      <c r="W1293" s="68"/>
      <c r="X1293" s="73">
        <f t="shared" si="102"/>
        <v>2634</v>
      </c>
      <c r="Y1293" s="41" t="str">
        <f t="shared" si="103"/>
        <v>INVICTUS|65</v>
      </c>
      <c r="Z1293" s="15">
        <f>IF($C1293="","",IF($G1293="","",RANK($G1293,$G$4:$G$1463)+COUNTIF($G$4:$G1293,$G1293)-1))</f>
        <v>776</v>
      </c>
      <c r="AA1293" s="15">
        <f>IF($C1293="","",IF($N1293="","",RANK($N1293,$N$4:$N$1463)+COUNTIF($N$4:$N1293,$N1293)-1))</f>
        <v>969</v>
      </c>
      <c r="AB1293" s="41" t="str">
        <f>IF($C1293="","",IF($E1293="","",$E1293&amp;"#"&amp;(COUNTIFS($E$4:$E$1463,$E1293,$X$4:$X$1463,"&gt;"&amp;$X1293)+COUNTIFS($E$4:$E1293,$E1293,$X$4:$X1293,"="&amp;$X1293))))</f>
        <v>NECROMANCER#59</v>
      </c>
      <c r="AC1293" s="41" t="str">
        <f>IF($C1293="","",$B1293&amp;"@"&amp;(COUNTIFS($B$4:$B$1463,$B1293,$C$4:$C$1463,"&lt;"&amp;$C1293)+COUNTIFS($B$4:$B1293,$B1293,$C$4:$C1293,$C1293)))</f>
        <v>INVICTUS@97</v>
      </c>
      <c r="AD1293" s="41">
        <f t="shared" si="104"/>
        <v>1290</v>
      </c>
      <c r="AE1293" s="41" t="s">
        <v>2721</v>
      </c>
      <c r="AF1293" s="73">
        <f t="shared" si="105"/>
        <v>62152</v>
      </c>
      <c r="AG1293" s="74">
        <f t="shared" si="106"/>
        <v>3.43</v>
      </c>
      <c r="AH1293" s="41" t="str">
        <f>IF($C1293="","",$B1293&amp;"|"&amp;(COUNTIFS($B$4:$B$1463,$B1293,$AF$4:$AF$1463,"&gt;"&amp;$AF1293)+COUNTIFS($B$4:$B1293,$B1293,$AF$4:$AF1293,"="&amp;$AF1293)))</f>
        <v>INVICTUS|50</v>
      </c>
      <c r="AI1293" s="41" t="str">
        <f>IF($C1293="","",$B1293&amp;"|"&amp;(COUNTIFS($B$4:$B$1463,$B1293,$AG$4:$AG$1463,"&gt;"&amp;$AG1293)+COUNTIFS($B$4:$B1293,$B1293,$AG$4:$AG1293,"="&amp;$AG1293)))</f>
        <v>INVICTUS|81</v>
      </c>
    </row>
    <row r="1294" spans="1:35" hidden="1">
      <c r="A1294" s="69" t="s">
        <v>109</v>
      </c>
      <c r="B1294" s="69" t="s">
        <v>111</v>
      </c>
      <c r="C1294" s="63" t="s">
        <v>2722</v>
      </c>
      <c r="D1294" s="69" t="s">
        <v>527</v>
      </c>
      <c r="E1294" s="68" t="s">
        <v>73</v>
      </c>
      <c r="F1294" s="19" t="str">
        <f>IF($C1294="","",IF($E1294="","-",IFERROR(INDEX(SETUP!$B$55:$B$64,MATCH($E1294,SETUP!$A$55:$A$64,0)),"Other")))</f>
        <v>Frontline</v>
      </c>
      <c r="G1294" s="70">
        <v>62019</v>
      </c>
      <c r="H1294" s="19" t="str">
        <f>IF($C1294="","",IF($G1294="","-",INDEX(SETUP!$B$26:$B$32,MATCH($G1294,SETUP!$A$26:$A$32,1))))</f>
        <v>62,000 - 62,999</v>
      </c>
      <c r="I1294" s="70">
        <v>2730</v>
      </c>
      <c r="J1294" s="19" t="str">
        <f>IF($C1294="","",IF($I1294="","-",INDEX(SETUP!$B$16:$B$22,MATCH($I1294,SETUP!$A$16:$A$22,1))))</f>
        <v>DEVELOPING</v>
      </c>
      <c r="K1294" s="19" t="str">
        <f>IF($C1294="","",IF($I1294="","-",TEXT(INT($I1294/1000)*1000,"#,##0")&amp;" - "&amp;TEXT(INT($I1294/1000)*1000+999,"#,##0")))</f>
        <v>2,000 - 2,999</v>
      </c>
      <c r="L1294" s="71">
        <v>3.5</v>
      </c>
      <c r="M1294" s="19" t="str">
        <f>IF($C1294="","",IF($L1294="","-",INDEX(SETUP!$B$36:$B$42,MATCH($L1294,SETUP!$A$36:$A$42,1))))</f>
        <v>3k - 4k</v>
      </c>
      <c r="N1294" s="21">
        <f>IF($C1294="","",IF(OR($G1294="",$I1294=""),"",ROUND(100*(SETUP!$B$4*MIN(1,$I1294/SETUP!$B$9)+SETUP!$B$5*MAX(0,MIN(1,($G1294-SETUP!$B$10)/(SETUP!$B$11-SETUP!$B$10)))+SETUP!$B$6*MIN(1,IF($L1294="",0,$L1294)/SETUP!$B$12)),1)))</f>
        <v>36.200000000000003</v>
      </c>
      <c r="O1294" s="19" t="str">
        <f>IF($C1294="","",IF($N1294="","-",INDEX(SETUP!$B$46:$B$51,MATCH($N1294,SETUP!$A$46:$A$51,1))))</f>
        <v>B</v>
      </c>
      <c r="P1294" s="19">
        <f>IF($C1294="","",IF($I1294="","",RANK($I1294,$I$4:$I$1463)+COUNTIF($I$4:$I1294,$I1294)-1))</f>
        <v>945</v>
      </c>
      <c r="Q1294" s="19">
        <f>IF($C1294="","",COUNTIFS($B$4:$B$1463,$B1294,$X$4:$X$1463,"&gt;"&amp;$X1294)+COUNTIFS($B$4:$B1294,$B1294,$X$4:$X1294,"="&amp;$X1294))</f>
        <v>89</v>
      </c>
      <c r="R1294" s="75">
        <f>IF($C1294="","",IF($I1294="","",ROUND(COUNTIF($I$4:$I$1463,"&lt;"&amp;$I1294)/COUNT($I$4:$I$1463),3)))</f>
        <v>0.28699999999999998</v>
      </c>
      <c r="S1294" s="19" t="str">
        <f>IF($C1294="","",IF($G1294="","Name only",IF(OR($I1294="",$L1294=""),"Partial","Complete")))</f>
        <v>Complete</v>
      </c>
      <c r="T1294" s="1" t="str">
        <f>IF($C1294="","",TRIM(IF(COUNTIF($C$4:$C$1463,$C1294)&gt;1,"Dup name; ","")&amp;IF(AND($G1294&lt;&gt;"",$G1294&lt;55000),"Low CR - verify; ","")&amp;IF(AND($L1294&lt;&gt;"",$L1294&gt;15),"Secondary - verify; ","")&amp;IF($E1294="","No class; ","")))</f>
        <v/>
      </c>
      <c r="U1294" s="68"/>
      <c r="V1294" s="68"/>
      <c r="W1294" s="68"/>
      <c r="X1294" s="76">
        <f t="shared" si="102"/>
        <v>2730</v>
      </c>
      <c r="Y1294" s="1" t="str">
        <f t="shared" si="103"/>
        <v>RECKONING|89</v>
      </c>
      <c r="Z1294" s="19">
        <f>IF($C1294="","",IF($G1294="","",RANK($G1294,$G$4:$G$1463)+COUNTIF($G$4:$G1294,$G1294)-1))</f>
        <v>834</v>
      </c>
      <c r="AA1294" s="19">
        <f>IF($C1294="","",IF($N1294="","",RANK($N1294,$N$4:$N$1463)+COUNTIF($N$4:$N1294,$N1294)-1))</f>
        <v>959</v>
      </c>
      <c r="AB1294" s="1" t="str">
        <f>IF($C1294="","",IF($E1294="","",$E1294&amp;"#"&amp;(COUNTIFS($E$4:$E$1463,$E1294,$X$4:$X$1463,"&gt;"&amp;$X1294)+COUNTIFS($E$4:$E1294,$E1294,$X$4:$X1294,"="&amp;$X1294))))</f>
        <v>CRUSADER#92</v>
      </c>
      <c r="AC1294" s="1" t="str">
        <f>IF($C1294="","",$B1294&amp;"@"&amp;(COUNTIFS($B$4:$B$1463,$B1294,$C$4:$C$1463,"&lt;"&amp;$C1294)+COUNTIFS($B$4:$B1294,$B1294,$C$4:$C1294,$C1294)))</f>
        <v>RECKONING@92</v>
      </c>
      <c r="AD1294" s="1">
        <f t="shared" si="104"/>
        <v>1291</v>
      </c>
      <c r="AE1294" s="1" t="s">
        <v>568</v>
      </c>
      <c r="AF1294" s="76">
        <f t="shared" si="105"/>
        <v>62019</v>
      </c>
      <c r="AG1294" s="77">
        <f t="shared" si="106"/>
        <v>3.5</v>
      </c>
      <c r="AH1294" s="1" t="str">
        <f>IF($C1294="","",$B1294&amp;"|"&amp;(COUNTIFS($B$4:$B$1463,$B1294,$AF$4:$AF$1463,"&gt;"&amp;$AF1294)+COUNTIFS($B$4:$B1294,$B1294,$AF$4:$AF1294,"="&amp;$AF1294)))</f>
        <v>RECKONING|74</v>
      </c>
      <c r="AI1294" s="1" t="str">
        <f>IF($C1294="","",$B1294&amp;"|"&amp;(COUNTIFS($B$4:$B$1463,$B1294,$AG$4:$AG$1463,"&gt;"&amp;$AG1294)+COUNTIFS($B$4:$B1294,$B1294,$AG$4:$AG1294,"="&amp;$AG1294)))</f>
        <v>RECKONING|95</v>
      </c>
    </row>
    <row r="1295" spans="1:35">
      <c r="A1295" s="69" t="s">
        <v>104</v>
      </c>
      <c r="B1295" s="69" t="s">
        <v>66</v>
      </c>
      <c r="C1295" s="63" t="s">
        <v>373</v>
      </c>
      <c r="D1295" s="69"/>
      <c r="E1295" s="68" t="s">
        <v>72</v>
      </c>
      <c r="F1295" s="15" t="str">
        <f>IF($C1295="","",IF($E1295="","-",IFERROR(INDEX(SETUP!$B$55:$B$64,MATCH($E1295,SETUP!$A$55:$A$64,0)),"Other")))</f>
        <v>Frontline</v>
      </c>
      <c r="G1295" s="70">
        <v>63797</v>
      </c>
      <c r="H1295" s="15" t="str">
        <f>IF($C1295="","",IF($G1295="","-",INDEX(SETUP!$B$26:$B$32,MATCH($G1295,SETUP!$A$26:$A$32,1))))</f>
        <v>63,000 - 63,999</v>
      </c>
      <c r="I1295" s="70">
        <v>7134</v>
      </c>
      <c r="J1295" s="15" t="str">
        <f>IF($C1295="","",IF($I1295="","-",INDEX(SETUP!$B$16:$B$22,MATCH($I1295,SETUP!$A$16:$A$22,1))))</f>
        <v>VETERAN</v>
      </c>
      <c r="K1295" s="15" t="str">
        <f>IF($C1295="","",IF($I1295="","-",TEXT(INT($I1295/1000)*1000,"#,##0")&amp;" - "&amp;TEXT(INT($I1295/1000)*1000+999,"#,##0")))</f>
        <v>7,000 - 7,999</v>
      </c>
      <c r="L1295" s="71">
        <v>6.08</v>
      </c>
      <c r="M1295" s="15" t="str">
        <f>IF($C1295="","",IF($L1295="","-",INDEX(SETUP!$B$36:$B$42,MATCH($L1295,SETUP!$A$36:$A$42,1))))</f>
        <v>6k - 8k</v>
      </c>
      <c r="N1295" s="17">
        <f>IF($C1295="","",IF(OR($G1295="",$I1295=""),"",ROUND(100*(SETUP!$B$4*MIN(1,$I1295/SETUP!$B$9)+SETUP!$B$5*MAX(0,MIN(1,($G1295-SETUP!$B$10)/(SETUP!$B$11-SETUP!$B$10)))+SETUP!$B$6*MIN(1,IF($L1295="",0,$L1295)/SETUP!$B$12)),1)))</f>
        <v>64.400000000000006</v>
      </c>
      <c r="O1295" s="15" t="str">
        <f>IF($C1295="","",IF($N1295="","-",INDEX(SETUP!$B$46:$B$51,MATCH($N1295,SETUP!$A$46:$A$51,1))))</f>
        <v>A</v>
      </c>
      <c r="P1295" s="15">
        <f>IF($C1295="","",IF($I1295="","",RANK($I1295,$I$4:$I$1463)+COUNTIF($I$4:$I1295,$I1295)-1))</f>
        <v>211</v>
      </c>
      <c r="Q1295" s="15">
        <f>IF($C1295="","",COUNTIFS($B$4:$B$1463,$B1295,$X$4:$X$1463,"&gt;"&amp;$X1295)+COUNTIFS($B$4:$B1295,$B1295,$X$4:$X1295,"="&amp;$X1295))</f>
        <v>23</v>
      </c>
      <c r="R1295" s="72">
        <f>IF($C1295="","",IF($I1295="","",ROUND(COUNTIF($I$4:$I$1463,"&lt;"&amp;$I1295)/COUNT($I$4:$I$1463),3)))</f>
        <v>0.84099999999999997</v>
      </c>
      <c r="S1295" s="15" t="str">
        <f>IF($C1295="","",IF($G1295="","Name only",IF(OR($I1295="",$L1295=""),"Partial","Complete")))</f>
        <v>Complete</v>
      </c>
      <c r="T1295" s="41" t="str">
        <f>IF($C1295="","",TRIM(IF(COUNTIF($C$4:$C$1463,$C1295)&gt;1,"Dup name; ","")&amp;IF(AND($G1295&lt;&gt;"",$G1295&lt;55000),"Low CR - verify; ","")&amp;IF(AND($L1295&lt;&gt;"",$L1295&gt;15),"Secondary - verify; ","")&amp;IF($E1295="","No class; ","")))</f>
        <v/>
      </c>
      <c r="U1295" s="68" t="s">
        <v>265</v>
      </c>
      <c r="V1295" s="68" t="s">
        <v>66</v>
      </c>
      <c r="W1295" s="68" t="s">
        <v>285</v>
      </c>
      <c r="X1295" s="73">
        <f t="shared" si="102"/>
        <v>7134</v>
      </c>
      <c r="Y1295" s="41" t="str">
        <f t="shared" si="103"/>
        <v>FUCT|23</v>
      </c>
      <c r="Z1295" s="15">
        <f>IF($C1295="","",IF($G1295="","",RANK($G1295,$G$4:$G$1463)+COUNTIF($G$4:$G1295,$G1295)-1))</f>
        <v>116</v>
      </c>
      <c r="AA1295" s="15">
        <f>IF($C1295="","",IF($N1295="","",RANK($N1295,$N$4:$N$1463)+COUNTIF($N$4:$N1295,$N1295)-1))</f>
        <v>183</v>
      </c>
      <c r="AB1295" s="41" t="str">
        <f>IF($C1295="","",IF($E1295="","",$E1295&amp;"#"&amp;(COUNTIFS($E$4:$E$1463,$E1295,$X$4:$X$1463,"&gt;"&amp;$X1295)+COUNTIFS($E$4:$E1295,$E1295,$X$4:$X1295,"="&amp;$X1295))))</f>
        <v>BLOOD KNIGHT#12</v>
      </c>
      <c r="AC1295" s="41" t="str">
        <f>IF($C1295="","",$B1295&amp;"@"&amp;(COUNTIFS($B$4:$B$1463,$B1295,$C$4:$C$1463,"&lt;"&amp;$C1295)+COUNTIFS($B$4:$B1295,$B1295,$C$4:$C1295,$C1295)))</f>
        <v>FUCT@90</v>
      </c>
      <c r="AD1295" s="41">
        <f t="shared" si="104"/>
        <v>1292</v>
      </c>
      <c r="AE1295" s="41" t="s">
        <v>2723</v>
      </c>
      <c r="AF1295" s="73">
        <f t="shared" si="105"/>
        <v>63797</v>
      </c>
      <c r="AG1295" s="74">
        <f t="shared" si="106"/>
        <v>6.08</v>
      </c>
      <c r="AH1295" s="41" t="str">
        <f>IF($C1295="","",$B1295&amp;"|"&amp;(COUNTIFS($B$4:$B$1463,$B1295,$AF$4:$AF$1463,"&gt;"&amp;$AF1295)+COUNTIFS($B$4:$B1295,$B1295,$AF$4:$AF1295,"="&amp;$AF1295)))</f>
        <v>FUCT|12</v>
      </c>
      <c r="AI1295" s="41" t="str">
        <f>IF($C1295="","",$B1295&amp;"|"&amp;(COUNTIFS($B$4:$B$1463,$B1295,$AG$4:$AG$1463,"&gt;"&amp;$AG1295)+COUNTIFS($B$4:$B1295,$B1295,$AG$4:$AG1295,"="&amp;$AG1295)))</f>
        <v>FUCT|18</v>
      </c>
    </row>
    <row r="1296" spans="1:35" hidden="1">
      <c r="A1296" s="69" t="s">
        <v>109</v>
      </c>
      <c r="B1296" s="69" t="s">
        <v>115</v>
      </c>
      <c r="C1296" s="63" t="s">
        <v>2724</v>
      </c>
      <c r="D1296" s="69"/>
      <c r="E1296" s="68"/>
      <c r="F1296" s="19" t="str">
        <f>IF($C1296="","",IF($E1296="","-",IFERROR(INDEX(SETUP!$B$55:$B$64,MATCH($E1296,SETUP!$A$55:$A$64,0)),"Other")))</f>
        <v>-</v>
      </c>
      <c r="G1296" s="70"/>
      <c r="H1296" s="19" t="str">
        <f>IF($C1296="","",IF($G1296="","-",INDEX(SETUP!$B$26:$B$32,MATCH($G1296,SETUP!$A$26:$A$32,1))))</f>
        <v>-</v>
      </c>
      <c r="I1296" s="70"/>
      <c r="J1296" s="19" t="str">
        <f>IF($C1296="","",IF($I1296="","-",INDEX(SETUP!$B$16:$B$22,MATCH($I1296,SETUP!$A$16:$A$22,1))))</f>
        <v>-</v>
      </c>
      <c r="K1296" s="19" t="str">
        <f>IF($C1296="","",IF($I1296="","-",TEXT(INT($I1296/1000)*1000,"#,##0")&amp;" - "&amp;TEXT(INT($I1296/1000)*1000+999,"#,##0")))</f>
        <v>-</v>
      </c>
      <c r="L1296" s="71"/>
      <c r="M1296" s="19" t="str">
        <f>IF($C1296="","",IF($L1296="","-",INDEX(SETUP!$B$36:$B$42,MATCH($L1296,SETUP!$A$36:$A$42,1))))</f>
        <v>-</v>
      </c>
      <c r="N1296" s="21" t="str">
        <f>IF($C1296="","",IF(OR($G1296="",$I1296=""),"",ROUND(100*(SETUP!$B$4*MIN(1,$I1296/SETUP!$B$9)+SETUP!$B$5*MAX(0,MIN(1,($G1296-SETUP!$B$10)/(SETUP!$B$11-SETUP!$B$10)))+SETUP!$B$6*MIN(1,IF($L1296="",0,$L1296)/SETUP!$B$12)),1)))</f>
        <v/>
      </c>
      <c r="O1296" s="19" t="str">
        <f>IF($C1296="","",IF($N1296="","-",INDEX(SETUP!$B$46:$B$51,MATCH($N1296,SETUP!$A$46:$A$51,1))))</f>
        <v>-</v>
      </c>
      <c r="P1296" s="19" t="str">
        <f>IF($C1296="","",IF($I1296="","",RANK($I1296,$I$4:$I$1463)+COUNTIF($I$4:$I1296,$I1296)-1))</f>
        <v/>
      </c>
      <c r="Q1296" s="19">
        <f>IF($C1296="","",COUNTIFS($B$4:$B$1463,$B1296,$X$4:$X$1463,"&gt;"&amp;$X1296)+COUNTIFS($B$4:$B1296,$B1296,$X$4:$X1296,"="&amp;$X1296))</f>
        <v>93</v>
      </c>
      <c r="R1296" s="75" t="str">
        <f>IF($C1296="","",IF($I1296="","",ROUND(COUNTIF($I$4:$I$1463,"&lt;"&amp;$I1296)/COUNT($I$4:$I$1463),3)))</f>
        <v/>
      </c>
      <c r="S1296" s="19" t="str">
        <f>IF($C1296="","",IF($G1296="","Name only",IF(OR($I1296="",$L1296=""),"Partial","Complete")))</f>
        <v>Name only</v>
      </c>
      <c r="T1296" s="1" t="str">
        <f>IF($C1296="","",TRIM(IF(COUNTIF($C$4:$C$1463,$C1296)&gt;1,"Dup name; ","")&amp;IF(AND($G1296&lt;&gt;"",$G1296&lt;55000),"Low CR - verify; ","")&amp;IF(AND($L1296&lt;&gt;"",$L1296&gt;15),"Secondary - verify; ","")&amp;IF($E1296="","No class; ","")))</f>
        <v>No class;</v>
      </c>
      <c r="U1296" s="68"/>
      <c r="V1296" s="68"/>
      <c r="W1296" s="68"/>
      <c r="X1296" s="1">
        <f t="shared" si="102"/>
        <v>-1</v>
      </c>
      <c r="Y1296" s="1" t="str">
        <f t="shared" si="103"/>
        <v>SUB ROSA|93</v>
      </c>
      <c r="Z1296" s="19" t="str">
        <f>IF($C1296="","",IF($G1296="","",RANK($G1296,$G$4:$G$1463)+COUNTIF($G$4:$G1296,$G1296)-1))</f>
        <v/>
      </c>
      <c r="AA1296" s="19" t="str">
        <f>IF($C1296="","",IF($N1296="","",RANK($N1296,$N$4:$N$1463)+COUNTIF($N$4:$N1296,$N1296)-1))</f>
        <v/>
      </c>
      <c r="AB1296" s="1" t="str">
        <f>IF($C1296="","",IF($E1296="","",$E1296&amp;"#"&amp;(COUNTIFS($E$4:$E$1463,$E1296,$X$4:$X$1463,"&gt;"&amp;$X1296)+COUNTIFS($E$4:$E1296,$E1296,$X$4:$X1296,"="&amp;$X1296))))</f>
        <v/>
      </c>
      <c r="AC1296" s="1" t="str">
        <f>IF($C1296="","",$B1296&amp;"@"&amp;(COUNTIFS($B$4:$B$1463,$B1296,$C$4:$C$1463,"&lt;"&amp;$C1296)+COUNTIFS($B$4:$B1296,$B1296,$C$4:$C1296,$C1296)))</f>
        <v>SUB ROSA@93</v>
      </c>
      <c r="AD1296" s="1">
        <f t="shared" si="104"/>
        <v>1293</v>
      </c>
      <c r="AE1296" s="1"/>
      <c r="AF1296" s="1">
        <f t="shared" si="105"/>
        <v>-1</v>
      </c>
      <c r="AG1296" s="1">
        <f t="shared" si="106"/>
        <v>-1</v>
      </c>
      <c r="AH1296" s="1" t="str">
        <f>IF($C1296="","",$B1296&amp;"|"&amp;(COUNTIFS($B$4:$B$1463,$B1296,$AF$4:$AF$1463,"&gt;"&amp;$AF1296)+COUNTIFS($B$4:$B1296,$B1296,$AF$4:$AF1296,"="&amp;$AF1296)))</f>
        <v>SUB ROSA|93</v>
      </c>
      <c r="AI1296" s="1" t="str">
        <f>IF($C1296="","",$B1296&amp;"|"&amp;(COUNTIFS($B$4:$B$1463,$B1296,$AG$4:$AG$1463,"&gt;"&amp;$AG1296)+COUNTIFS($B$4:$B1296,$B1296,$AG$4:$AG1296,"="&amp;$AG1296)))</f>
        <v>SUB ROSA|93</v>
      </c>
    </row>
    <row r="1297" spans="1:35" hidden="1">
      <c r="A1297" s="69" t="s">
        <v>109</v>
      </c>
      <c r="B1297" s="69" t="s">
        <v>117</v>
      </c>
      <c r="C1297" s="63" t="s">
        <v>2725</v>
      </c>
      <c r="D1297" s="69"/>
      <c r="E1297" s="68" t="s">
        <v>77</v>
      </c>
      <c r="F1297" s="15" t="str">
        <f>IF($C1297="","",IF($E1297="","-",IFERROR(INDEX(SETUP!$B$55:$B$64,MATCH($E1297,SETUP!$A$55:$A$64,0)),"Other")))</f>
        <v>Control</v>
      </c>
      <c r="G1297" s="70">
        <v>61168</v>
      </c>
      <c r="H1297" s="15" t="str">
        <f>IF($C1297="","",IF($G1297="","-",INDEX(SETUP!$B$26:$B$32,MATCH($G1297,SETUP!$A$26:$A$32,1))))</f>
        <v>61,000 - 61,999</v>
      </c>
      <c r="I1297" s="70">
        <v>2157</v>
      </c>
      <c r="J1297" s="15" t="str">
        <f>IF($C1297="","",IF($I1297="","-",INDEX(SETUP!$B$16:$B$22,MATCH($I1297,SETUP!$A$16:$A$22,1))))</f>
        <v>DEVELOPING</v>
      </c>
      <c r="K1297" s="15" t="str">
        <f>IF($C1297="","",IF($I1297="","-",TEXT(INT($I1297/1000)*1000,"#,##0")&amp;" - "&amp;TEXT(INT($I1297/1000)*1000+999,"#,##0")))</f>
        <v>2,000 - 2,999</v>
      </c>
      <c r="L1297" s="71">
        <v>4.2699999999999996</v>
      </c>
      <c r="M1297" s="15" t="str">
        <f>IF($C1297="","",IF($L1297="","-",INDEX(SETUP!$B$36:$B$42,MATCH($L1297,SETUP!$A$36:$A$42,1))))</f>
        <v>4k - 5k</v>
      </c>
      <c r="N1297" s="17">
        <f>IF($C1297="","",IF(OR($G1297="",$I1297=""),"",ROUND(100*(SETUP!$B$4*MIN(1,$I1297/SETUP!$B$9)+SETUP!$B$5*MAX(0,MIN(1,($G1297-SETUP!$B$10)/(SETUP!$B$11-SETUP!$B$10)))+SETUP!$B$6*MIN(1,IF($L1297="",0,$L1297)/SETUP!$B$12)),1)))</f>
        <v>32.799999999999997</v>
      </c>
      <c r="O1297" s="15" t="str">
        <f>IF($C1297="","",IF($N1297="","-",INDEX(SETUP!$B$46:$B$51,MATCH($N1297,SETUP!$A$46:$A$51,1))))</f>
        <v>C</v>
      </c>
      <c r="P1297" s="15">
        <f>IF($C1297="","",IF($I1297="","",RANK($I1297,$I$4:$I$1463)+COUNTIF($I$4:$I1297,$I1297)-1))</f>
        <v>1073</v>
      </c>
      <c r="Q1297" s="15">
        <f>IF($C1297="","",COUNTIFS($B$4:$B$1463,$B1297,$X$4:$X$1463,"&gt;"&amp;$X1297)+COUNTIFS($B$4:$B1297,$B1297,$X$4:$X1297,"="&amp;$X1297))</f>
        <v>40</v>
      </c>
      <c r="R1297" s="72">
        <f>IF($C1297="","",IF($I1297="","",ROUND(COUNTIF($I$4:$I$1463,"&lt;"&amp;$I1297)/COUNT($I$4:$I$1463),3)))</f>
        <v>0.19</v>
      </c>
      <c r="S1297" s="15" t="str">
        <f>IF($C1297="","",IF($G1297="","Name only",IF(OR($I1297="",$L1297=""),"Partial","Complete")))</f>
        <v>Complete</v>
      </c>
      <c r="T1297" s="41" t="str">
        <f>IF($C1297="","",TRIM(IF(COUNTIF($C$4:$C$1463,$C1297)&gt;1,"Dup name; ","")&amp;IF(AND($G1297&lt;&gt;"",$G1297&lt;55000),"Low CR - verify; ","")&amp;IF(AND($L1297&lt;&gt;"",$L1297&gt;15),"Secondary - verify; ","")&amp;IF($E1297="","No class; ","")))</f>
        <v/>
      </c>
      <c r="U1297" s="68"/>
      <c r="V1297" s="68"/>
      <c r="W1297" s="68"/>
      <c r="X1297" s="73">
        <f t="shared" si="102"/>
        <v>2157</v>
      </c>
      <c r="Y1297" s="41" t="str">
        <f t="shared" si="103"/>
        <v>VENDETTA|40</v>
      </c>
      <c r="Z1297" s="15">
        <f>IF($C1297="","",IF($G1297="","",RANK($G1297,$G$4:$G$1463)+COUNTIF($G$4:$G1297,$G1297)-1))</f>
        <v>1102</v>
      </c>
      <c r="AA1297" s="15">
        <f>IF($C1297="","",IF($N1297="","",RANK($N1297,$N$4:$N$1463)+COUNTIF($N$4:$N1297,$N1297)-1))</f>
        <v>1076</v>
      </c>
      <c r="AB1297" s="41" t="str">
        <f>IF($C1297="","",IF($E1297="","",$E1297&amp;"#"&amp;(COUNTIFS($E$4:$E$1463,$E1297,$X$4:$X$1463,"&gt;"&amp;$X1297)+COUNTIFS($E$4:$E1297,$E1297,$X$4:$X1297,"="&amp;$X1297))))</f>
        <v>NECROMANCER#70</v>
      </c>
      <c r="AC1297" s="41" t="str">
        <f>IF($C1297="","",$B1297&amp;"@"&amp;(COUNTIFS($B$4:$B$1463,$B1297,$C$4:$C$1463,"&lt;"&amp;$C1297)+COUNTIFS($B$4:$B1297,$B1297,$C$4:$C1297,$C1297)))</f>
        <v>VENDETTA@87</v>
      </c>
      <c r="AD1297" s="41">
        <f t="shared" si="104"/>
        <v>1294</v>
      </c>
      <c r="AE1297" s="41" t="s">
        <v>2726</v>
      </c>
      <c r="AF1297" s="73">
        <f t="shared" si="105"/>
        <v>61168</v>
      </c>
      <c r="AG1297" s="74">
        <f t="shared" si="106"/>
        <v>4.2699999999999996</v>
      </c>
      <c r="AH1297" s="41" t="str">
        <f>IF($C1297="","",$B1297&amp;"|"&amp;(COUNTIFS($B$4:$B$1463,$B1297,$AF$4:$AF$1463,"&gt;"&amp;$AF1297)+COUNTIFS($B$4:$B1297,$B1297,$AF$4:$AF1297,"="&amp;$AF1297)))</f>
        <v>VENDETTA|59</v>
      </c>
      <c r="AI1297" s="41" t="str">
        <f>IF($C1297="","",$B1297&amp;"|"&amp;(COUNTIFS($B$4:$B$1463,$B1297,$AG$4:$AG$1463,"&gt;"&amp;$AG1297)+COUNTIFS($B$4:$B1297,$B1297,$AG$4:$AG1297,"="&amp;$AG1297)))</f>
        <v>VENDETTA|22</v>
      </c>
    </row>
    <row r="1298" spans="1:35" hidden="1">
      <c r="A1298" s="69" t="s">
        <v>109</v>
      </c>
      <c r="B1298" s="69" t="s">
        <v>116</v>
      </c>
      <c r="C1298" s="63" t="s">
        <v>2727</v>
      </c>
      <c r="D1298" s="69" t="s">
        <v>530</v>
      </c>
      <c r="E1298" s="68" t="s">
        <v>74</v>
      </c>
      <c r="F1298" s="19" t="str">
        <f>IF($C1298="","",IF($E1298="","-",IFERROR(INDEX(SETUP!$B$55:$B$64,MATCH($E1298,SETUP!$A$55:$A$64,0)),"Other")))</f>
        <v>Ranged DPS</v>
      </c>
      <c r="G1298" s="70">
        <v>63107</v>
      </c>
      <c r="H1298" s="19" t="str">
        <f>IF($C1298="","",IF($G1298="","-",INDEX(SETUP!$B$26:$B$32,MATCH($G1298,SETUP!$A$26:$A$32,1))))</f>
        <v>63,000 - 63,999</v>
      </c>
      <c r="I1298" s="70">
        <v>4022</v>
      </c>
      <c r="J1298" s="19" t="str">
        <f>IF($C1298="","",IF($I1298="","-",INDEX(SETUP!$B$16:$B$22,MATCH($I1298,SETUP!$A$16:$A$22,1))))</f>
        <v>CORE</v>
      </c>
      <c r="K1298" s="19" t="str">
        <f>IF($C1298="","",IF($I1298="","-",TEXT(INT($I1298/1000)*1000,"#,##0")&amp;" - "&amp;TEXT(INT($I1298/1000)*1000+999,"#,##0")))</f>
        <v>4,000 - 4,999</v>
      </c>
      <c r="L1298" s="71">
        <v>5.35</v>
      </c>
      <c r="M1298" s="19" t="str">
        <f>IF($C1298="","",IF($L1298="","-",INDEX(SETUP!$B$36:$B$42,MATCH($L1298,SETUP!$A$36:$A$42,1))))</f>
        <v>5k - 6k</v>
      </c>
      <c r="N1298" s="21">
        <f>IF($C1298="","",IF(OR($G1298="",$I1298=""),"",ROUND(100*(SETUP!$B$4*MIN(1,$I1298/SETUP!$B$9)+SETUP!$B$5*MAX(0,MIN(1,($G1298-SETUP!$B$10)/(SETUP!$B$11-SETUP!$B$10)))+SETUP!$B$6*MIN(1,IF($L1298="",0,$L1298)/SETUP!$B$12)),1)))</f>
        <v>47.8</v>
      </c>
      <c r="O1298" s="19" t="str">
        <f>IF($C1298="","",IF($N1298="","-",INDEX(SETUP!$B$46:$B$51,MATCH($N1298,SETUP!$A$46:$A$51,1))))</f>
        <v>B</v>
      </c>
      <c r="P1298" s="19">
        <f>IF($C1298="","",IF($I1298="","",RANK($I1298,$I$4:$I$1463)+COUNTIF($I$4:$I1298,$I1298)-1))</f>
        <v>599</v>
      </c>
      <c r="Q1298" s="19">
        <f>IF($C1298="","",COUNTIFS($B$4:$B$1463,$B1298,$X$4:$X$1463,"&gt;"&amp;$X1298)+COUNTIFS($B$4:$B1298,$B1298,$X$4:$X1298,"="&amp;$X1298))</f>
        <v>33</v>
      </c>
      <c r="R1298" s="75">
        <f>IF($C1298="","",IF($I1298="","",ROUND(COUNTIF($I$4:$I$1463,"&lt;"&amp;$I1298)/COUNT($I$4:$I$1463),3)))</f>
        <v>0.54800000000000004</v>
      </c>
      <c r="S1298" s="19" t="str">
        <f>IF($C1298="","",IF($G1298="","Name only",IF(OR($I1298="",$L1298=""),"Partial","Complete")))</f>
        <v>Complete</v>
      </c>
      <c r="T1298" s="1" t="str">
        <f>IF($C1298="","",TRIM(IF(COUNTIF($C$4:$C$1463,$C1298)&gt;1,"Dup name; ","")&amp;IF(AND($G1298&lt;&gt;"",$G1298&lt;55000),"Low CR - verify; ","")&amp;IF(AND($L1298&lt;&gt;"",$L1298&gt;15),"Secondary - verify; ","")&amp;IF($E1298="","No class; ","")))</f>
        <v/>
      </c>
      <c r="U1298" s="68"/>
      <c r="V1298" s="68"/>
      <c r="W1298" s="68"/>
      <c r="X1298" s="76">
        <f t="shared" si="102"/>
        <v>4022</v>
      </c>
      <c r="Y1298" s="1" t="str">
        <f t="shared" si="103"/>
        <v>VENGEANCE|33</v>
      </c>
      <c r="Z1298" s="19">
        <f>IF($C1298="","",IF($G1298="","",RANK($G1298,$G$4:$G$1463)+COUNTIF($G$4:$G1298,$G1298)-1))</f>
        <v>372</v>
      </c>
      <c r="AA1298" s="19">
        <f>IF($C1298="","",IF($N1298="","",RANK($N1298,$N$4:$N$1463)+COUNTIF($N$4:$N1298,$N1298)-1))</f>
        <v>527</v>
      </c>
      <c r="AB1298" s="1" t="str">
        <f>IF($C1298="","",IF($E1298="","",$E1298&amp;"#"&amp;(COUNTIFS($E$4:$E$1463,$E1298,$X$4:$X$1463,"&gt;"&amp;$X1298)+COUNTIFS($E$4:$E1298,$E1298,$X$4:$X1298,"="&amp;$X1298))))</f>
        <v>DEMON HUNTER#96</v>
      </c>
      <c r="AC1298" s="1" t="str">
        <f>IF($C1298="","",$B1298&amp;"@"&amp;(COUNTIFS($B$4:$B$1463,$B1298,$C$4:$C$1463,"&lt;"&amp;$C1298)+COUNTIFS($B$4:$B1298,$B1298,$C$4:$C1298,$C1298)))</f>
        <v>VENGEANCE@93</v>
      </c>
      <c r="AD1298" s="1">
        <f t="shared" si="104"/>
        <v>1295</v>
      </c>
      <c r="AE1298" s="1" t="s">
        <v>2728</v>
      </c>
      <c r="AF1298" s="76">
        <f t="shared" si="105"/>
        <v>63107</v>
      </c>
      <c r="AG1298" s="77">
        <f t="shared" si="106"/>
        <v>5.35</v>
      </c>
      <c r="AH1298" s="1" t="str">
        <f>IF($C1298="","",$B1298&amp;"|"&amp;(COUNTIFS($B$4:$B$1463,$B1298,$AF$4:$AF$1463,"&gt;"&amp;$AF1298)+COUNTIFS($B$4:$B1298,$B1298,$AF$4:$AF1298,"="&amp;$AF1298)))</f>
        <v>VENGEANCE|17</v>
      </c>
      <c r="AI1298" s="1" t="str">
        <f>IF($C1298="","",$B1298&amp;"|"&amp;(COUNTIFS($B$4:$B$1463,$B1298,$AG$4:$AG$1463,"&gt;"&amp;$AG1298)+COUNTIFS($B$4:$B1298,$B1298,$AG$4:$AG1298,"="&amp;$AG1298)))</f>
        <v>VENGEANCE|23</v>
      </c>
    </row>
    <row r="1299" spans="1:35" hidden="1">
      <c r="A1299" s="69" t="s">
        <v>109</v>
      </c>
      <c r="B1299" s="69" t="s">
        <v>112</v>
      </c>
      <c r="C1299" s="63" t="s">
        <v>2729</v>
      </c>
      <c r="D1299" s="69" t="s">
        <v>567</v>
      </c>
      <c r="E1299" s="68" t="s">
        <v>73</v>
      </c>
      <c r="F1299" s="15" t="str">
        <f>IF($C1299="","",IF($E1299="","-",IFERROR(INDEX(SETUP!$B$55:$B$64,MATCH($E1299,SETUP!$A$55:$A$64,0)),"Other")))</f>
        <v>Frontline</v>
      </c>
      <c r="G1299" s="70">
        <v>61705</v>
      </c>
      <c r="H1299" s="15" t="str">
        <f>IF($C1299="","",IF($G1299="","-",INDEX(SETUP!$B$26:$B$32,MATCH($G1299,SETUP!$A$26:$A$32,1))))</f>
        <v>61,000 - 61,999</v>
      </c>
      <c r="I1299" s="70">
        <v>915</v>
      </c>
      <c r="J1299" s="15" t="str">
        <f>IF($C1299="","",IF($I1299="","-",INDEX(SETUP!$B$16:$B$22,MATCH($I1299,SETUP!$A$16:$A$22,1))))</f>
        <v>ROOKIE</v>
      </c>
      <c r="K1299" s="15" t="str">
        <f>IF($C1299="","",IF($I1299="","-",TEXT(INT($I1299/1000)*1000,"#,##0")&amp;" - "&amp;TEXT(INT($I1299/1000)*1000+999,"#,##0")))</f>
        <v>0 - 999</v>
      </c>
      <c r="L1299" s="71">
        <v>4.17</v>
      </c>
      <c r="M1299" s="15" t="str">
        <f>IF($C1299="","",IF($L1299="","-",INDEX(SETUP!$B$36:$B$42,MATCH($L1299,SETUP!$A$36:$A$42,1))))</f>
        <v>4k - 5k</v>
      </c>
      <c r="N1299" s="17">
        <f>IF($C1299="","",IF(OR($G1299="",$I1299=""),"",ROUND(100*(SETUP!$B$4*MIN(1,$I1299/SETUP!$B$9)+SETUP!$B$5*MAX(0,MIN(1,($G1299-SETUP!$B$10)/(SETUP!$B$11-SETUP!$B$10)))+SETUP!$B$6*MIN(1,IF($L1299="",0,$L1299)/SETUP!$B$12)),1)))</f>
        <v>28.6</v>
      </c>
      <c r="O1299" s="15" t="str">
        <f>IF($C1299="","",IF($N1299="","-",INDEX(SETUP!$B$46:$B$51,MATCH($N1299,SETUP!$A$46:$A$51,1))))</f>
        <v>C</v>
      </c>
      <c r="P1299" s="15">
        <f>IF($C1299="","",IF($I1299="","",RANK($I1299,$I$4:$I$1463)+COUNTIF($I$4:$I1299,$I1299)-1))</f>
        <v>1285</v>
      </c>
      <c r="Q1299" s="15">
        <f>IF($C1299="","",COUNTIFS($B$4:$B$1463,$B1299,$X$4:$X$1463,"&gt;"&amp;$X1299)+COUNTIFS($B$4:$B1299,$B1299,$X$4:$X1299,"="&amp;$X1299))</f>
        <v>92</v>
      </c>
      <c r="R1299" s="72">
        <f>IF($C1299="","",IF($I1299="","",ROUND(COUNTIF($I$4:$I$1463,"&lt;"&amp;$I1299)/COUNT($I$4:$I$1463),3)))</f>
        <v>0.03</v>
      </c>
      <c r="S1299" s="15" t="str">
        <f>IF($C1299="","",IF($G1299="","Name only",IF(OR($I1299="",$L1299=""),"Partial","Complete")))</f>
        <v>Complete</v>
      </c>
      <c r="T1299" s="41" t="str">
        <f>IF($C1299="","",TRIM(IF(COUNTIF($C$4:$C$1463,$C1299)&gt;1,"Dup name; ","")&amp;IF(AND($G1299&lt;&gt;"",$G1299&lt;55000),"Low CR - verify; ","")&amp;IF(AND($L1299&lt;&gt;"",$L1299&gt;15),"Secondary - verify; ","")&amp;IF($E1299="","No class; ","")))</f>
        <v/>
      </c>
      <c r="U1299" s="68"/>
      <c r="V1299" s="68"/>
      <c r="W1299" s="68"/>
      <c r="X1299" s="73">
        <f t="shared" si="102"/>
        <v>915</v>
      </c>
      <c r="Y1299" s="41" t="str">
        <f t="shared" si="103"/>
        <v>ACHERON|92</v>
      </c>
      <c r="Z1299" s="15">
        <f>IF($C1299="","",IF($G1299="","",RANK($G1299,$G$4:$G$1463)+COUNTIF($G$4:$G1299,$G1299)-1))</f>
        <v>943</v>
      </c>
      <c r="AA1299" s="15">
        <f>IF($C1299="","",IF($N1299="","",RANK($N1299,$N$4:$N$1463)+COUNTIF($N$4:$N1299,$N1299)-1))</f>
        <v>1180</v>
      </c>
      <c r="AB1299" s="41" t="str">
        <f>IF($C1299="","",IF($E1299="","",$E1299&amp;"#"&amp;(COUNTIFS($E$4:$E$1463,$E1299,$X$4:$X$1463,"&gt;"&amp;$X1299)+COUNTIFS($E$4:$E1299,$E1299,$X$4:$X1299,"="&amp;$X1299))))</f>
        <v>CRUSADER#121</v>
      </c>
      <c r="AC1299" s="41" t="str">
        <f>IF($C1299="","",$B1299&amp;"@"&amp;(COUNTIFS($B$4:$B$1463,$B1299,$C$4:$C$1463,"&lt;"&amp;$C1299)+COUNTIFS($B$4:$B1299,$B1299,$C$4:$C1299,$C1299)))</f>
        <v>ACHERON@90</v>
      </c>
      <c r="AD1299" s="41">
        <f t="shared" si="104"/>
        <v>1296</v>
      </c>
      <c r="AE1299" s="41" t="s">
        <v>2730</v>
      </c>
      <c r="AF1299" s="73">
        <f t="shared" si="105"/>
        <v>61705</v>
      </c>
      <c r="AG1299" s="74">
        <f t="shared" si="106"/>
        <v>4.17</v>
      </c>
      <c r="AH1299" s="41" t="str">
        <f>IF($C1299="","",$B1299&amp;"|"&amp;(COUNTIFS($B$4:$B$1463,$B1299,$AF$4:$AF$1463,"&gt;"&amp;$AF1299)+COUNTIFS($B$4:$B1299,$B1299,$AF$4:$AF1299,"="&amp;$AF1299)))</f>
        <v>ACHERON|76</v>
      </c>
      <c r="AI1299" s="41" t="str">
        <f>IF($C1299="","",$B1299&amp;"|"&amp;(COUNTIFS($B$4:$B$1463,$B1299,$AG$4:$AG$1463,"&gt;"&amp;$AG1299)+COUNTIFS($B$4:$B1299,$B1299,$AG$4:$AG1299,"="&amp;$AG1299)))</f>
        <v>ACHERON|69</v>
      </c>
    </row>
    <row r="1300" spans="1:35" hidden="1">
      <c r="A1300" s="69" t="s">
        <v>109</v>
      </c>
      <c r="B1300" s="69" t="s">
        <v>116</v>
      </c>
      <c r="C1300" s="63" t="s">
        <v>2731</v>
      </c>
      <c r="D1300" s="69" t="s">
        <v>530</v>
      </c>
      <c r="E1300" s="68" t="s">
        <v>74</v>
      </c>
      <c r="F1300" s="19" t="str">
        <f>IF($C1300="","",IF($E1300="","-",IFERROR(INDEX(SETUP!$B$55:$B$64,MATCH($E1300,SETUP!$A$55:$A$64,0)),"Other")))</f>
        <v>Ranged DPS</v>
      </c>
      <c r="G1300" s="70">
        <v>63732</v>
      </c>
      <c r="H1300" s="19" t="str">
        <f>IF($C1300="","",IF($G1300="","-",INDEX(SETUP!$B$26:$B$32,MATCH($G1300,SETUP!$A$26:$A$32,1))))</f>
        <v>63,000 - 63,999</v>
      </c>
      <c r="I1300" s="70">
        <v>7574</v>
      </c>
      <c r="J1300" s="19" t="str">
        <f>IF($C1300="","",IF($I1300="","-",INDEX(SETUP!$B$16:$B$22,MATCH($I1300,SETUP!$A$16:$A$22,1))))</f>
        <v>VETERAN</v>
      </c>
      <c r="K1300" s="19" t="str">
        <f>IF($C1300="","",IF($I1300="","-",TEXT(INT($I1300/1000)*1000,"#,##0")&amp;" - "&amp;TEXT(INT($I1300/1000)*1000+999,"#,##0")))</f>
        <v>7,000 - 7,999</v>
      </c>
      <c r="L1300" s="71">
        <v>9.5500000000000007</v>
      </c>
      <c r="M1300" s="19" t="str">
        <f>IF($C1300="","",IF($L1300="","-",INDEX(SETUP!$B$36:$B$42,MATCH($L1300,SETUP!$A$36:$A$42,1))))</f>
        <v>8k - 10k</v>
      </c>
      <c r="N1300" s="21">
        <f>IF($C1300="","",IF(OR($G1300="",$I1300=""),"",ROUND(100*(SETUP!$B$4*MIN(1,$I1300/SETUP!$B$9)+SETUP!$B$5*MAX(0,MIN(1,($G1300-SETUP!$B$10)/(SETUP!$B$11-SETUP!$B$10)))+SETUP!$B$6*MIN(1,IF($L1300="",0,$L1300)/SETUP!$B$12)),1)))</f>
        <v>72</v>
      </c>
      <c r="O1300" s="19" t="str">
        <f>IF($C1300="","",IF($N1300="","-",INDEX(SETUP!$B$46:$B$51,MATCH($N1300,SETUP!$A$46:$A$51,1))))</f>
        <v>S</v>
      </c>
      <c r="P1300" s="19">
        <f>IF($C1300="","",IF($I1300="","",RANK($I1300,$I$4:$I$1463)+COUNTIF($I$4:$I1300,$I1300)-1))</f>
        <v>163</v>
      </c>
      <c r="Q1300" s="19">
        <f>IF($C1300="","",COUNTIFS($B$4:$B$1463,$B1300,$X$4:$X$1463,"&gt;"&amp;$X1300)+COUNTIFS($B$4:$B1300,$B1300,$X$4:$X1300,"="&amp;$X1300))</f>
        <v>2</v>
      </c>
      <c r="R1300" s="75">
        <f>IF($C1300="","",IF($I1300="","",ROUND(COUNTIF($I$4:$I$1463,"&lt;"&amp;$I1300)/COUNT($I$4:$I$1463),3)))</f>
        <v>0.877</v>
      </c>
      <c r="S1300" s="19" t="str">
        <f>IF($C1300="","",IF($G1300="","Name only",IF(OR($I1300="",$L1300=""),"Partial","Complete")))</f>
        <v>Complete</v>
      </c>
      <c r="T1300" s="1" t="str">
        <f>IF($C1300="","",TRIM(IF(COUNTIF($C$4:$C$1463,$C1300)&gt;1,"Dup name; ","")&amp;IF(AND($G1300&lt;&gt;"",$G1300&lt;55000),"Low CR - verify; ","")&amp;IF(AND($L1300&lt;&gt;"",$L1300&gt;15),"Secondary - verify; ","")&amp;IF($E1300="","No class; ","")))</f>
        <v/>
      </c>
      <c r="U1300" s="68"/>
      <c r="V1300" s="68"/>
      <c r="W1300" s="68"/>
      <c r="X1300" s="76">
        <f t="shared" si="102"/>
        <v>7574</v>
      </c>
      <c r="Y1300" s="1" t="str">
        <f t="shared" si="103"/>
        <v>VENGEANCE|2</v>
      </c>
      <c r="Z1300" s="19">
        <f>IF($C1300="","",IF($G1300="","",RANK($G1300,$G$4:$G$1463)+COUNTIF($G$4:$G1300,$G1300)-1))</f>
        <v>131</v>
      </c>
      <c r="AA1300" s="19">
        <f>IF($C1300="","",IF($N1300="","",RANK($N1300,$N$4:$N$1463)+COUNTIF($N$4:$N1300,$N1300)-1))</f>
        <v>113</v>
      </c>
      <c r="AB1300" s="1" t="str">
        <f>IF($C1300="","",IF($E1300="","",$E1300&amp;"#"&amp;(COUNTIFS($E$4:$E$1463,$E1300,$X$4:$X$1463,"&gt;"&amp;$X1300)+COUNTIFS($E$4:$E1300,$E1300,$X$4:$X1300,"="&amp;$X1300))))</f>
        <v>DEMON HUNTER#29</v>
      </c>
      <c r="AC1300" s="1" t="str">
        <f>IF($C1300="","",$B1300&amp;"@"&amp;(COUNTIFS($B$4:$B$1463,$B1300,$C$4:$C$1463,"&lt;"&amp;$C1300)+COUNTIFS($B$4:$B1300,$B1300,$C$4:$C1300,$C1300)))</f>
        <v>VENGEANCE@94</v>
      </c>
      <c r="AD1300" s="1">
        <f t="shared" si="104"/>
        <v>1297</v>
      </c>
      <c r="AE1300" s="1" t="s">
        <v>2732</v>
      </c>
      <c r="AF1300" s="76">
        <f t="shared" si="105"/>
        <v>63732</v>
      </c>
      <c r="AG1300" s="77">
        <f t="shared" si="106"/>
        <v>9.5500000000000007</v>
      </c>
      <c r="AH1300" s="1" t="str">
        <f>IF($C1300="","",$B1300&amp;"|"&amp;(COUNTIFS($B$4:$B$1463,$B1300,$AF$4:$AF$1463,"&gt;"&amp;$AF1300)+COUNTIFS($B$4:$B1300,$B1300,$AF$4:$AF1300,"="&amp;$AF1300)))</f>
        <v>VENGEANCE|1</v>
      </c>
      <c r="AI1300" s="1" t="str">
        <f>IF($C1300="","",$B1300&amp;"|"&amp;(COUNTIFS($B$4:$B$1463,$B1300,$AG$4:$AG$1463,"&gt;"&amp;$AG1300)+COUNTIFS($B$4:$B1300,$B1300,$AG$4:$AG1300,"="&amp;$AG1300)))</f>
        <v>VENGEANCE|1</v>
      </c>
    </row>
    <row r="1301" spans="1:35" hidden="1">
      <c r="A1301" s="69" t="s">
        <v>109</v>
      </c>
      <c r="B1301" s="69" t="s">
        <v>113</v>
      </c>
      <c r="C1301" s="63" t="s">
        <v>2733</v>
      </c>
      <c r="D1301" s="69" t="s">
        <v>548</v>
      </c>
      <c r="E1301" s="68" t="s">
        <v>80</v>
      </c>
      <c r="F1301" s="15" t="str">
        <f>IF($C1301="","",IF($E1301="","-",IFERROR(INDEX(SETUP!$B$55:$B$64,MATCH($E1301,SETUP!$A$55:$A$64,0)),"Other")))</f>
        <v>Ranged DPS</v>
      </c>
      <c r="G1301" s="70">
        <v>61943</v>
      </c>
      <c r="H1301" s="15" t="str">
        <f>IF($C1301="","",IF($G1301="","-",INDEX(SETUP!$B$26:$B$32,MATCH($G1301,SETUP!$A$26:$A$32,1))))</f>
        <v>61,000 - 61,999</v>
      </c>
      <c r="I1301" s="70">
        <v>3291</v>
      </c>
      <c r="J1301" s="15" t="str">
        <f>IF($C1301="","",IF($I1301="","-",INDEX(SETUP!$B$16:$B$22,MATCH($I1301,SETUP!$A$16:$A$22,1))))</f>
        <v>DEVELOPING</v>
      </c>
      <c r="K1301" s="15" t="str">
        <f>IF($C1301="","",IF($I1301="","-",TEXT(INT($I1301/1000)*1000,"#,##0")&amp;" - "&amp;TEXT(INT($I1301/1000)*1000+999,"#,##0")))</f>
        <v>3,000 - 3,999</v>
      </c>
      <c r="L1301" s="71">
        <v>4.8499999999999996</v>
      </c>
      <c r="M1301" s="15" t="str">
        <f>IF($C1301="","",IF($L1301="","-",INDEX(SETUP!$B$36:$B$42,MATCH($L1301,SETUP!$A$36:$A$42,1))))</f>
        <v>4k - 5k</v>
      </c>
      <c r="N1301" s="17">
        <f>IF($C1301="","",IF(OR($G1301="",$I1301=""),"",ROUND(100*(SETUP!$B$4*MIN(1,$I1301/SETUP!$B$9)+SETUP!$B$5*MAX(0,MIN(1,($G1301-SETUP!$B$10)/(SETUP!$B$11-SETUP!$B$10)))+SETUP!$B$6*MIN(1,IF($L1301="",0,$L1301)/SETUP!$B$12)),1)))</f>
        <v>40.700000000000003</v>
      </c>
      <c r="O1301" s="15" t="str">
        <f>IF($C1301="","",IF($N1301="","-",INDEX(SETUP!$B$46:$B$51,MATCH($N1301,SETUP!$A$46:$A$51,1))))</f>
        <v>B</v>
      </c>
      <c r="P1301" s="15">
        <f>IF($C1301="","",IF($I1301="","",RANK($I1301,$I$4:$I$1463)+COUNTIF($I$4:$I1301,$I1301)-1))</f>
        <v>798</v>
      </c>
      <c r="Q1301" s="15">
        <f>IF($C1301="","",COUNTIFS($B$4:$B$1463,$B1301,$X$4:$X$1463,"&gt;"&amp;$X1301)+COUNTIFS($B$4:$B1301,$B1301,$X$4:$X1301,"="&amp;$X1301))</f>
        <v>43</v>
      </c>
      <c r="R1301" s="72">
        <f>IF($C1301="","",IF($I1301="","",ROUND(COUNTIF($I$4:$I$1463,"&lt;"&amp;$I1301)/COUNT($I$4:$I$1463),3)))</f>
        <v>0.39800000000000002</v>
      </c>
      <c r="S1301" s="15" t="str">
        <f>IF($C1301="","",IF($G1301="","Name only",IF(OR($I1301="",$L1301=""),"Partial","Complete")))</f>
        <v>Complete</v>
      </c>
      <c r="T1301" s="41" t="str">
        <f>IF($C1301="","",TRIM(IF(COUNTIF($C$4:$C$1463,$C1301)&gt;1,"Dup name; ","")&amp;IF(AND($G1301&lt;&gt;"",$G1301&lt;55000),"Low CR - verify; ","")&amp;IF(AND($L1301&lt;&gt;"",$L1301&gt;15),"Secondary - verify; ","")&amp;IF($E1301="","No class; ","")))</f>
        <v/>
      </c>
      <c r="U1301" s="68"/>
      <c r="V1301" s="68"/>
      <c r="W1301" s="68"/>
      <c r="X1301" s="73">
        <f t="shared" si="102"/>
        <v>3291</v>
      </c>
      <c r="Y1301" s="41" t="str">
        <f t="shared" si="103"/>
        <v>INVICTUS|43</v>
      </c>
      <c r="Z1301" s="15">
        <f>IF($C1301="","",IF($G1301="","",RANK($G1301,$G$4:$G$1463)+COUNTIF($G$4:$G1301,$G1301)-1))</f>
        <v>853</v>
      </c>
      <c r="AA1301" s="15">
        <f>IF($C1301="","",IF($N1301="","",RANK($N1301,$N$4:$N$1463)+COUNTIF($N$4:$N1301,$N1301)-1))</f>
        <v>793</v>
      </c>
      <c r="AB1301" s="41" t="str">
        <f>IF($C1301="","",IF($E1301="","",$E1301&amp;"#"&amp;(COUNTIFS($E$4:$E$1463,$E1301,$X$4:$X$1463,"&gt;"&amp;$X1301)+COUNTIFS($E$4:$E1301,$E1301,$X$4:$X1301,"="&amp;$X1301))))</f>
        <v>WIZARD#59</v>
      </c>
      <c r="AC1301" s="41" t="str">
        <f>IF($C1301="","",$B1301&amp;"@"&amp;(COUNTIFS($B$4:$B$1463,$B1301,$C$4:$C$1463,"&lt;"&amp;$C1301)+COUNTIFS($B$4:$B1301,$B1301,$C$4:$C1301,$C1301)))</f>
        <v>INVICTUS@98</v>
      </c>
      <c r="AD1301" s="41">
        <f t="shared" si="104"/>
        <v>1298</v>
      </c>
      <c r="AE1301" s="41" t="s">
        <v>2734</v>
      </c>
      <c r="AF1301" s="73">
        <f t="shared" si="105"/>
        <v>61943</v>
      </c>
      <c r="AG1301" s="74">
        <f t="shared" si="106"/>
        <v>4.8499999999999996</v>
      </c>
      <c r="AH1301" s="41" t="str">
        <f>IF($C1301="","",$B1301&amp;"|"&amp;(COUNTIFS($B$4:$B$1463,$B1301,$AF$4:$AF$1463,"&gt;"&amp;$AF1301)+COUNTIFS($B$4:$B1301,$B1301,$AF$4:$AF1301,"="&amp;$AF1301)))</f>
        <v>INVICTUS|57</v>
      </c>
      <c r="AI1301" s="41" t="str">
        <f>IF($C1301="","",$B1301&amp;"|"&amp;(COUNTIFS($B$4:$B$1463,$B1301,$AG$4:$AG$1463,"&gt;"&amp;$AG1301)+COUNTIFS($B$4:$B1301,$B1301,$AG$4:$AG1301,"="&amp;$AG1301)))</f>
        <v>INVICTUS|37</v>
      </c>
    </row>
    <row r="1302" spans="1:35" hidden="1">
      <c r="A1302" s="69" t="s">
        <v>109</v>
      </c>
      <c r="B1302" s="69" t="s">
        <v>112</v>
      </c>
      <c r="C1302" s="63" t="s">
        <v>2735</v>
      </c>
      <c r="D1302" s="69" t="s">
        <v>567</v>
      </c>
      <c r="E1302" s="68"/>
      <c r="F1302" s="19" t="str">
        <f>IF($C1302="","",IF($E1302="","-",IFERROR(INDEX(SETUP!$B$55:$B$64,MATCH($E1302,SETUP!$A$55:$A$64,0)),"Other")))</f>
        <v>-</v>
      </c>
      <c r="G1302" s="70"/>
      <c r="H1302" s="19" t="str">
        <f>IF($C1302="","",IF($G1302="","-",INDEX(SETUP!$B$26:$B$32,MATCH($G1302,SETUP!$A$26:$A$32,1))))</f>
        <v>-</v>
      </c>
      <c r="I1302" s="70"/>
      <c r="J1302" s="19" t="str">
        <f>IF($C1302="","",IF($I1302="","-",INDEX(SETUP!$B$16:$B$22,MATCH($I1302,SETUP!$A$16:$A$22,1))))</f>
        <v>-</v>
      </c>
      <c r="K1302" s="19" t="str">
        <f>IF($C1302="","",IF($I1302="","-",TEXT(INT($I1302/1000)*1000,"#,##0")&amp;" - "&amp;TEXT(INT($I1302/1000)*1000+999,"#,##0")))</f>
        <v>-</v>
      </c>
      <c r="L1302" s="71"/>
      <c r="M1302" s="19" t="str">
        <f>IF($C1302="","",IF($L1302="","-",INDEX(SETUP!$B$36:$B$42,MATCH($L1302,SETUP!$A$36:$A$42,1))))</f>
        <v>-</v>
      </c>
      <c r="N1302" s="21" t="str">
        <f>IF($C1302="","",IF(OR($G1302="",$I1302=""),"",ROUND(100*(SETUP!$B$4*MIN(1,$I1302/SETUP!$B$9)+SETUP!$B$5*MAX(0,MIN(1,($G1302-SETUP!$B$10)/(SETUP!$B$11-SETUP!$B$10)))+SETUP!$B$6*MIN(1,IF($L1302="",0,$L1302)/SETUP!$B$12)),1)))</f>
        <v/>
      </c>
      <c r="O1302" s="19" t="str">
        <f>IF($C1302="","",IF($N1302="","-",INDEX(SETUP!$B$46:$B$51,MATCH($N1302,SETUP!$A$46:$A$51,1))))</f>
        <v>-</v>
      </c>
      <c r="P1302" s="19" t="str">
        <f>IF($C1302="","",IF($I1302="","",RANK($I1302,$I$4:$I$1463)+COUNTIF($I$4:$I1302,$I1302)-1))</f>
        <v/>
      </c>
      <c r="Q1302" s="19">
        <f>IF($C1302="","",COUNTIFS($B$4:$B$1463,$B1302,$X$4:$X$1463,"&gt;"&amp;$X1302)+COUNTIFS($B$4:$B1302,$B1302,$X$4:$X1302,"="&amp;$X1302))</f>
        <v>96</v>
      </c>
      <c r="R1302" s="75" t="str">
        <f>IF($C1302="","",IF($I1302="","",ROUND(COUNTIF($I$4:$I$1463,"&lt;"&amp;$I1302)/COUNT($I$4:$I$1463),3)))</f>
        <v/>
      </c>
      <c r="S1302" s="19" t="str">
        <f>IF($C1302="","",IF($G1302="","Name only",IF(OR($I1302="",$L1302=""),"Partial","Complete")))</f>
        <v>Name only</v>
      </c>
      <c r="T1302" s="1" t="str">
        <f>IF($C1302="","",TRIM(IF(COUNTIF($C$4:$C$1463,$C1302)&gt;1,"Dup name; ","")&amp;IF(AND($G1302&lt;&gt;"",$G1302&lt;55000),"Low CR - verify; ","")&amp;IF(AND($L1302&lt;&gt;"",$L1302&gt;15),"Secondary - verify; ","")&amp;IF($E1302="","No class; ","")))</f>
        <v>No class;</v>
      </c>
      <c r="U1302" s="68"/>
      <c r="V1302" s="68"/>
      <c r="W1302" s="68"/>
      <c r="X1302" s="1">
        <f t="shared" si="102"/>
        <v>-1</v>
      </c>
      <c r="Y1302" s="1" t="str">
        <f t="shared" si="103"/>
        <v>ACHERON|96</v>
      </c>
      <c r="Z1302" s="19" t="str">
        <f>IF($C1302="","",IF($G1302="","",RANK($G1302,$G$4:$G$1463)+COUNTIF($G$4:$G1302,$G1302)-1))</f>
        <v/>
      </c>
      <c r="AA1302" s="19" t="str">
        <f>IF($C1302="","",IF($N1302="","",RANK($N1302,$N$4:$N$1463)+COUNTIF($N$4:$N1302,$N1302)-1))</f>
        <v/>
      </c>
      <c r="AB1302" s="1" t="str">
        <f>IF($C1302="","",IF($E1302="","",$E1302&amp;"#"&amp;(COUNTIFS($E$4:$E$1463,$E1302,$X$4:$X$1463,"&gt;"&amp;$X1302)+COUNTIFS($E$4:$E1302,$E1302,$X$4:$X1302,"="&amp;$X1302))))</f>
        <v/>
      </c>
      <c r="AC1302" s="1" t="str">
        <f>IF($C1302="","",$B1302&amp;"@"&amp;(COUNTIFS($B$4:$B$1463,$B1302,$C$4:$C$1463,"&lt;"&amp;$C1302)+COUNTIFS($B$4:$B1302,$B1302,$C$4:$C1302,$C1302)))</f>
        <v>ACHERON@91</v>
      </c>
      <c r="AD1302" s="1">
        <f t="shared" si="104"/>
        <v>1299</v>
      </c>
      <c r="AE1302" s="1"/>
      <c r="AF1302" s="1">
        <f t="shared" si="105"/>
        <v>-1</v>
      </c>
      <c r="AG1302" s="1">
        <f t="shared" si="106"/>
        <v>-1</v>
      </c>
      <c r="AH1302" s="1" t="str">
        <f>IF($C1302="","",$B1302&amp;"|"&amp;(COUNTIFS($B$4:$B$1463,$B1302,$AF$4:$AF$1463,"&gt;"&amp;$AF1302)+COUNTIFS($B$4:$B1302,$B1302,$AF$4:$AF1302,"="&amp;$AF1302)))</f>
        <v>ACHERON|96</v>
      </c>
      <c r="AI1302" s="1" t="str">
        <f>IF($C1302="","",$B1302&amp;"|"&amp;(COUNTIFS($B$4:$B$1463,$B1302,$AG$4:$AG$1463,"&gt;"&amp;$AG1302)+COUNTIFS($B$4:$B1302,$B1302,$AG$4:$AG1302,"="&amp;$AG1302)))</f>
        <v>ACHERON|96</v>
      </c>
    </row>
    <row r="1303" spans="1:35" hidden="1">
      <c r="A1303" s="69" t="s">
        <v>109</v>
      </c>
      <c r="B1303" s="69" t="s">
        <v>108</v>
      </c>
      <c r="C1303" s="63" t="s">
        <v>2736</v>
      </c>
      <c r="D1303" s="69"/>
      <c r="E1303" s="68" t="s">
        <v>71</v>
      </c>
      <c r="F1303" s="15" t="str">
        <f>IF($C1303="","",IF($E1303="","-",IFERROR(INDEX(SETUP!$B$55:$B$64,MATCH($E1303,SETUP!$A$55:$A$64,0)),"Other")))</f>
        <v>Frontline</v>
      </c>
      <c r="G1303" s="70">
        <v>62406</v>
      </c>
      <c r="H1303" s="15" t="str">
        <f>IF($C1303="","",IF($G1303="","-",INDEX(SETUP!$B$26:$B$32,MATCH($G1303,SETUP!$A$26:$A$32,1))))</f>
        <v>62,000 - 62,999</v>
      </c>
      <c r="I1303" s="70">
        <v>8329</v>
      </c>
      <c r="J1303" s="15" t="str">
        <f>IF($C1303="","",IF($I1303="","-",INDEX(SETUP!$B$16:$B$22,MATCH($I1303,SETUP!$A$16:$A$22,1))))</f>
        <v>ELITE</v>
      </c>
      <c r="K1303" s="15" t="str">
        <f>IF($C1303="","",IF($I1303="","-",TEXT(INT($I1303/1000)*1000,"#,##0")&amp;" - "&amp;TEXT(INT($I1303/1000)*1000+999,"#,##0")))</f>
        <v>8,000 - 8,999</v>
      </c>
      <c r="L1303" s="71">
        <v>6.55</v>
      </c>
      <c r="M1303" s="15" t="str">
        <f>IF($C1303="","",IF($L1303="","-",INDEX(SETUP!$B$36:$B$42,MATCH($L1303,SETUP!$A$36:$A$42,1))))</f>
        <v>6k - 8k</v>
      </c>
      <c r="N1303" s="17">
        <f>IF($C1303="","",IF(OR($G1303="",$I1303=""),"",ROUND(100*(SETUP!$B$4*MIN(1,$I1303/SETUP!$B$9)+SETUP!$B$5*MAX(0,MIN(1,($G1303-SETUP!$B$10)/(SETUP!$B$11-SETUP!$B$10)))+SETUP!$B$6*MIN(1,IF($L1303="",0,$L1303)/SETUP!$B$12)),1)))</f>
        <v>66.8</v>
      </c>
      <c r="O1303" s="15" t="str">
        <f>IF($C1303="","",IF($N1303="","-",INDEX(SETUP!$B$46:$B$51,MATCH($N1303,SETUP!$A$46:$A$51,1))))</f>
        <v>S</v>
      </c>
      <c r="P1303" s="15">
        <f>IF($C1303="","",IF($I1303="","",RANK($I1303,$I$4:$I$1463)+COUNTIF($I$4:$I1303,$I1303)-1))</f>
        <v>129</v>
      </c>
      <c r="Q1303" s="15">
        <f>IF($C1303="","",COUNTIFS($B$4:$B$1463,$B1303,$X$4:$X$1463,"&gt;"&amp;$X1303)+COUNTIFS($B$4:$B1303,$B1303,$X$4:$X1303,"="&amp;$X1303))</f>
        <v>21</v>
      </c>
      <c r="R1303" s="72">
        <f>IF($C1303="","",IF($I1303="","",ROUND(COUNTIF($I$4:$I$1463,"&lt;"&amp;$I1303)/COUNT($I$4:$I$1463),3)))</f>
        <v>0.90300000000000002</v>
      </c>
      <c r="S1303" s="15" t="str">
        <f>IF($C1303="","",IF($G1303="","Name only",IF(OR($I1303="",$L1303=""),"Partial","Complete")))</f>
        <v>Complete</v>
      </c>
      <c r="T1303" s="41" t="str">
        <f>IF($C1303="","",TRIM(IF(COUNTIF($C$4:$C$1463,$C1303)&gt;1,"Dup name; ","")&amp;IF(AND($G1303&lt;&gt;"",$G1303&lt;55000),"Low CR - verify; ","")&amp;IF(AND($L1303&lt;&gt;"",$L1303&gt;15),"Secondary - verify; ","")&amp;IF($E1303="","No class; ","")))</f>
        <v/>
      </c>
      <c r="U1303" s="68"/>
      <c r="V1303" s="68"/>
      <c r="W1303" s="68"/>
      <c r="X1303" s="73">
        <f t="shared" si="102"/>
        <v>8329</v>
      </c>
      <c r="Y1303" s="41" t="str">
        <f t="shared" si="103"/>
        <v>SBG|21</v>
      </c>
      <c r="Z1303" s="15">
        <f>IF($C1303="","",IF($G1303="","",RANK($G1303,$G$4:$G$1463)+COUNTIF($G$4:$G1303,$G1303)-1))</f>
        <v>690</v>
      </c>
      <c r="AA1303" s="15">
        <f>IF($C1303="","",IF($N1303="","",RANK($N1303,$N$4:$N$1463)+COUNTIF($N$4:$N1303,$N1303)-1))</f>
        <v>159</v>
      </c>
      <c r="AB1303" s="41" t="str">
        <f>IF($C1303="","",IF($E1303="","",$E1303&amp;"#"&amp;(COUNTIFS($E$4:$E$1463,$E1303,$X$4:$X$1463,"&gt;"&amp;$X1303)+COUNTIFS($E$4:$E1303,$E1303,$X$4:$X1303,"="&amp;$X1303))))</f>
        <v>BARBARIAN#27</v>
      </c>
      <c r="AC1303" s="41" t="str">
        <f>IF($C1303="","",$B1303&amp;"@"&amp;(COUNTIFS($B$4:$B$1463,$B1303,$C$4:$C$1463,"&lt;"&amp;$C1303)+COUNTIFS($B$4:$B1303,$B1303,$C$4:$C1303,$C1303)))</f>
        <v>SBG@95</v>
      </c>
      <c r="AD1303" s="41">
        <f t="shared" si="104"/>
        <v>1300</v>
      </c>
      <c r="AE1303" s="41" t="s">
        <v>2737</v>
      </c>
      <c r="AF1303" s="73">
        <f t="shared" si="105"/>
        <v>62406</v>
      </c>
      <c r="AG1303" s="74">
        <f t="shared" si="106"/>
        <v>6.55</v>
      </c>
      <c r="AH1303" s="41" t="str">
        <f>IF($C1303="","",$B1303&amp;"|"&amp;(COUNTIFS($B$4:$B$1463,$B1303,$AF$4:$AF$1463,"&gt;"&amp;$AF1303)+COUNTIFS($B$4:$B1303,$B1303,$AF$4:$AF1303,"="&amp;$AF1303)))</f>
        <v>SBG|62</v>
      </c>
      <c r="AI1303" s="41" t="str">
        <f>IF($C1303="","",$B1303&amp;"|"&amp;(COUNTIFS($B$4:$B$1463,$B1303,$AG$4:$AG$1463,"&gt;"&amp;$AG1303)+COUNTIFS($B$4:$B1303,$B1303,$AG$4:$AG1303,"="&amp;$AG1303)))</f>
        <v>SBG|28</v>
      </c>
    </row>
    <row r="1304" spans="1:35" hidden="1">
      <c r="A1304" s="69" t="s">
        <v>109</v>
      </c>
      <c r="B1304" s="69" t="s">
        <v>110</v>
      </c>
      <c r="C1304" s="63" t="s">
        <v>2738</v>
      </c>
      <c r="D1304" s="69"/>
      <c r="E1304" s="68" t="s">
        <v>80</v>
      </c>
      <c r="F1304" s="19" t="str">
        <f>IF($C1304="","",IF($E1304="","-",IFERROR(INDEX(SETUP!$B$55:$B$64,MATCH($E1304,SETUP!$A$55:$A$64,0)),"Other")))</f>
        <v>Ranged DPS</v>
      </c>
      <c r="G1304" s="70">
        <v>62143</v>
      </c>
      <c r="H1304" s="19" t="str">
        <f>IF($C1304="","",IF($G1304="","-",INDEX(SETUP!$B$26:$B$32,MATCH($G1304,SETUP!$A$26:$A$32,1))))</f>
        <v>62,000 - 62,999</v>
      </c>
      <c r="I1304" s="70">
        <v>6820</v>
      </c>
      <c r="J1304" s="19" t="str">
        <f>IF($C1304="","",IF($I1304="","-",INDEX(SETUP!$B$16:$B$22,MATCH($I1304,SETUP!$A$16:$A$22,1))))</f>
        <v>VETERAN</v>
      </c>
      <c r="K1304" s="19" t="str">
        <f>IF($C1304="","",IF($I1304="","-",TEXT(INT($I1304/1000)*1000,"#,##0")&amp;" - "&amp;TEXT(INT($I1304/1000)*1000+999,"#,##0")))</f>
        <v>6,000 - 6,999</v>
      </c>
      <c r="L1304" s="71">
        <v>4.95</v>
      </c>
      <c r="M1304" s="19" t="str">
        <f>IF($C1304="","",IF($L1304="","-",INDEX(SETUP!$B$36:$B$42,MATCH($L1304,SETUP!$A$36:$A$42,1))))</f>
        <v>4k - 5k</v>
      </c>
      <c r="N1304" s="21">
        <f>IF($C1304="","",IF(OR($G1304="",$I1304=""),"",ROUND(100*(SETUP!$B$4*MIN(1,$I1304/SETUP!$B$9)+SETUP!$B$5*MAX(0,MIN(1,($G1304-SETUP!$B$10)/(SETUP!$B$11-SETUP!$B$10)))+SETUP!$B$6*MIN(1,IF($L1304="",0,$L1304)/SETUP!$B$12)),1)))</f>
        <v>56.8</v>
      </c>
      <c r="O1304" s="19" t="str">
        <f>IF($C1304="","",IF($N1304="","-",INDEX(SETUP!$B$46:$B$51,MATCH($N1304,SETUP!$A$46:$A$51,1))))</f>
        <v>A</v>
      </c>
      <c r="P1304" s="19">
        <f>IF($C1304="","",IF($I1304="","",RANK($I1304,$I$4:$I$1463)+COUNTIF($I$4:$I1304,$I1304)-1))</f>
        <v>232</v>
      </c>
      <c r="Q1304" s="19">
        <f>IF($C1304="","",COUNTIFS($B$4:$B$1463,$B1304,$X$4:$X$1463,"&gt;"&amp;$X1304)+COUNTIFS($B$4:$B1304,$B1304,$X$4:$X1304,"="&amp;$X1304))</f>
        <v>31</v>
      </c>
      <c r="R1304" s="75">
        <f>IF($C1304="","",IF($I1304="","",ROUND(COUNTIF($I$4:$I$1463,"&lt;"&amp;$I1304)/COUNT($I$4:$I$1463),3)))</f>
        <v>0.82499999999999996</v>
      </c>
      <c r="S1304" s="19" t="str">
        <f>IF($C1304="","",IF($G1304="","Name only",IF(OR($I1304="",$L1304=""),"Partial","Complete")))</f>
        <v>Complete</v>
      </c>
      <c r="T1304" s="1" t="str">
        <f>IF($C1304="","",TRIM(IF(COUNTIF($C$4:$C$1463,$C1304)&gt;1,"Dup name; ","")&amp;IF(AND($G1304&lt;&gt;"",$G1304&lt;55000),"Low CR - verify; ","")&amp;IF(AND($L1304&lt;&gt;"",$L1304&gt;15),"Secondary - verify; ","")&amp;IF($E1304="","No class; ","")))</f>
        <v/>
      </c>
      <c r="U1304" s="68"/>
      <c r="V1304" s="68"/>
      <c r="W1304" s="68"/>
      <c r="X1304" s="76">
        <f t="shared" si="102"/>
        <v>6820</v>
      </c>
      <c r="Y1304" s="1" t="str">
        <f t="shared" si="103"/>
        <v>AZUKI|31</v>
      </c>
      <c r="Z1304" s="19">
        <f>IF($C1304="","",IF($G1304="","",RANK($G1304,$G$4:$G$1463)+COUNTIF($G$4:$G1304,$G1304)-1))</f>
        <v>781</v>
      </c>
      <c r="AA1304" s="19">
        <f>IF($C1304="","",IF($N1304="","",RANK($N1304,$N$4:$N$1463)+COUNTIF($N$4:$N1304,$N1304)-1))</f>
        <v>285</v>
      </c>
      <c r="AB1304" s="1" t="str">
        <f>IF($C1304="","",IF($E1304="","",$E1304&amp;"#"&amp;(COUNTIFS($E$4:$E$1463,$E1304,$X$4:$X$1463,"&gt;"&amp;$X1304)+COUNTIFS($E$4:$E1304,$E1304,$X$4:$X1304,"="&amp;$X1304))))</f>
        <v>WIZARD#15</v>
      </c>
      <c r="AC1304" s="1" t="str">
        <f>IF($C1304="","",$B1304&amp;"@"&amp;(COUNTIFS($B$4:$B$1463,$B1304,$C$4:$C$1463,"&lt;"&amp;$C1304)+COUNTIFS($B$4:$B1304,$B1304,$C$4:$C1304,$C1304)))</f>
        <v>AZUKI@99</v>
      </c>
      <c r="AD1304" s="1">
        <f t="shared" si="104"/>
        <v>1301</v>
      </c>
      <c r="AE1304" s="1" t="s">
        <v>2739</v>
      </c>
      <c r="AF1304" s="76">
        <f t="shared" si="105"/>
        <v>62143</v>
      </c>
      <c r="AG1304" s="77">
        <f t="shared" si="106"/>
        <v>4.95</v>
      </c>
      <c r="AH1304" s="1" t="str">
        <f>IF($C1304="","",$B1304&amp;"|"&amp;(COUNTIFS($B$4:$B$1463,$B1304,$AF$4:$AF$1463,"&gt;"&amp;$AF1304)+COUNTIFS($B$4:$B1304,$B1304,$AF$4:$AF1304,"="&amp;$AF1304)))</f>
        <v>AZUKI|70</v>
      </c>
      <c r="AI1304" s="1" t="str">
        <f>IF($C1304="","",$B1304&amp;"|"&amp;(COUNTIFS($B$4:$B$1463,$B1304,$AG$4:$AG$1463,"&gt;"&amp;$AG1304)+COUNTIFS($B$4:$B1304,$B1304,$AG$4:$AG1304,"="&amp;$AG1304)))</f>
        <v>AZUKI|71</v>
      </c>
    </row>
    <row r="1305" spans="1:35" hidden="1">
      <c r="A1305" s="69" t="s">
        <v>109</v>
      </c>
      <c r="B1305" s="69" t="s">
        <v>111</v>
      </c>
      <c r="C1305" s="63" t="s">
        <v>2740</v>
      </c>
      <c r="D1305" s="69" t="s">
        <v>527</v>
      </c>
      <c r="E1305" s="68" t="s">
        <v>77</v>
      </c>
      <c r="F1305" s="15" t="str">
        <f>IF($C1305="","",IF($E1305="","-",IFERROR(INDEX(SETUP!$B$55:$B$64,MATCH($E1305,SETUP!$A$55:$A$64,0)),"Other")))</f>
        <v>Control</v>
      </c>
      <c r="G1305" s="70">
        <v>62963</v>
      </c>
      <c r="H1305" s="15" t="str">
        <f>IF($C1305="","",IF($G1305="","-",INDEX(SETUP!$B$26:$B$32,MATCH($G1305,SETUP!$A$26:$A$32,1))))</f>
        <v>62,000 - 62,999</v>
      </c>
      <c r="I1305" s="70">
        <v>3878</v>
      </c>
      <c r="J1305" s="15" t="str">
        <f>IF($C1305="","",IF($I1305="","-",INDEX(SETUP!$B$16:$B$22,MATCH($I1305,SETUP!$A$16:$A$22,1))))</f>
        <v>DEVELOPING</v>
      </c>
      <c r="K1305" s="15" t="str">
        <f>IF($C1305="","",IF($I1305="","-",TEXT(INT($I1305/1000)*1000,"#,##0")&amp;" - "&amp;TEXT(INT($I1305/1000)*1000+999,"#,##0")))</f>
        <v>3,000 - 3,999</v>
      </c>
      <c r="L1305" s="71">
        <v>4.5</v>
      </c>
      <c r="M1305" s="15" t="str">
        <f>IF($C1305="","",IF($L1305="","-",INDEX(SETUP!$B$36:$B$42,MATCH($L1305,SETUP!$A$36:$A$42,1))))</f>
        <v>4k - 5k</v>
      </c>
      <c r="N1305" s="17">
        <f>IF($C1305="","",IF(OR($G1305="",$I1305=""),"",ROUND(100*(SETUP!$B$4*MIN(1,$I1305/SETUP!$B$9)+SETUP!$B$5*MAX(0,MIN(1,($G1305-SETUP!$B$10)/(SETUP!$B$11-SETUP!$B$10)))+SETUP!$B$6*MIN(1,IF($L1305="",0,$L1305)/SETUP!$B$12)),1)))</f>
        <v>45.4</v>
      </c>
      <c r="O1305" s="15" t="str">
        <f>IF($C1305="","",IF($N1305="","-",INDEX(SETUP!$B$46:$B$51,MATCH($N1305,SETUP!$A$46:$A$51,1))))</f>
        <v>B</v>
      </c>
      <c r="P1305" s="15">
        <f>IF($C1305="","",IF($I1305="","",RANK($I1305,$I$4:$I$1463)+COUNTIF($I$4:$I1305,$I1305)-1))</f>
        <v>626</v>
      </c>
      <c r="Q1305" s="15">
        <f>IF($C1305="","",COUNTIFS($B$4:$B$1463,$B1305,$X$4:$X$1463,"&gt;"&amp;$X1305)+COUNTIFS($B$4:$B1305,$B1305,$X$4:$X1305,"="&amp;$X1305))</f>
        <v>67</v>
      </c>
      <c r="R1305" s="72">
        <f>IF($C1305="","",IF($I1305="","",ROUND(COUNTIF($I$4:$I$1463,"&lt;"&amp;$I1305)/COUNT($I$4:$I$1463),3)))</f>
        <v>0.52800000000000002</v>
      </c>
      <c r="S1305" s="15" t="str">
        <f>IF($C1305="","",IF($G1305="","Name only",IF(OR($I1305="",$L1305=""),"Partial","Complete")))</f>
        <v>Complete</v>
      </c>
      <c r="T1305" s="41" t="str">
        <f>IF($C1305="","",TRIM(IF(COUNTIF($C$4:$C$1463,$C1305)&gt;1,"Dup name; ","")&amp;IF(AND($G1305&lt;&gt;"",$G1305&lt;55000),"Low CR - verify; ","")&amp;IF(AND($L1305&lt;&gt;"",$L1305&gt;15),"Secondary - verify; ","")&amp;IF($E1305="","No class; ","")))</f>
        <v/>
      </c>
      <c r="U1305" s="68"/>
      <c r="V1305" s="68"/>
      <c r="W1305" s="68"/>
      <c r="X1305" s="73">
        <f t="shared" si="102"/>
        <v>3878</v>
      </c>
      <c r="Y1305" s="41" t="str">
        <f t="shared" si="103"/>
        <v>RECKONING|67</v>
      </c>
      <c r="Z1305" s="15">
        <f>IF($C1305="","",IF($G1305="","",RANK($G1305,$G$4:$G$1463)+COUNTIF($G$4:$G1305,$G1305)-1))</f>
        <v>443</v>
      </c>
      <c r="AA1305" s="15">
        <f>IF($C1305="","",IF($N1305="","",RANK($N1305,$N$4:$N$1463)+COUNTIF($N$4:$N1305,$N1305)-1))</f>
        <v>609</v>
      </c>
      <c r="AB1305" s="41" t="str">
        <f>IF($C1305="","",IF($E1305="","",$E1305&amp;"#"&amp;(COUNTIFS($E$4:$E$1463,$E1305,$X$4:$X$1463,"&gt;"&amp;$X1305)+COUNTIFS($E$4:$E1305,$E1305,$X$4:$X1305,"="&amp;$X1305))))</f>
        <v>NECROMANCER#30</v>
      </c>
      <c r="AC1305" s="41" t="str">
        <f>IF($C1305="","",$B1305&amp;"@"&amp;(COUNTIFS($B$4:$B$1463,$B1305,$C$4:$C$1463,"&lt;"&amp;$C1305)+COUNTIFS($B$4:$B1305,$B1305,$C$4:$C1305,$C1305)))</f>
        <v>RECKONING@93</v>
      </c>
      <c r="AD1305" s="41">
        <f t="shared" si="104"/>
        <v>1302</v>
      </c>
      <c r="AE1305" s="41" t="s">
        <v>1246</v>
      </c>
      <c r="AF1305" s="73">
        <f t="shared" si="105"/>
        <v>62963</v>
      </c>
      <c r="AG1305" s="74">
        <f t="shared" si="106"/>
        <v>4.5</v>
      </c>
      <c r="AH1305" s="41" t="str">
        <f>IF($C1305="","",$B1305&amp;"|"&amp;(COUNTIFS($B$4:$B$1463,$B1305,$AF$4:$AF$1463,"&gt;"&amp;$AF1305)+COUNTIFS($B$4:$B1305,$B1305,$AF$4:$AF1305,"="&amp;$AF1305)))</f>
        <v>RECKONING|43</v>
      </c>
      <c r="AI1305" s="41" t="str">
        <f>IF($C1305="","",$B1305&amp;"|"&amp;(COUNTIFS($B$4:$B$1463,$B1305,$AG$4:$AG$1463,"&gt;"&amp;$AG1305)+COUNTIFS($B$4:$B1305,$B1305,$AG$4:$AG1305,"="&amp;$AG1305)))</f>
        <v>RECKONING|84</v>
      </c>
    </row>
    <row r="1306" spans="1:35" hidden="1">
      <c r="A1306" s="69" t="s">
        <v>109</v>
      </c>
      <c r="B1306" s="69" t="s">
        <v>112</v>
      </c>
      <c r="C1306" s="63" t="s">
        <v>2741</v>
      </c>
      <c r="D1306" s="69" t="s">
        <v>567</v>
      </c>
      <c r="E1306" s="68" t="s">
        <v>73</v>
      </c>
      <c r="F1306" s="19" t="str">
        <f>IF($C1306="","",IF($E1306="","-",IFERROR(INDEX(SETUP!$B$55:$B$64,MATCH($E1306,SETUP!$A$55:$A$64,0)),"Other")))</f>
        <v>Frontline</v>
      </c>
      <c r="G1306" s="70">
        <v>62861</v>
      </c>
      <c r="H1306" s="19" t="str">
        <f>IF($C1306="","",IF($G1306="","-",INDEX(SETUP!$B$26:$B$32,MATCH($G1306,SETUP!$A$26:$A$32,1))))</f>
        <v>62,000 - 62,999</v>
      </c>
      <c r="I1306" s="70">
        <v>2426</v>
      </c>
      <c r="J1306" s="19" t="str">
        <f>IF($C1306="","",IF($I1306="","-",INDEX(SETUP!$B$16:$B$22,MATCH($I1306,SETUP!$A$16:$A$22,1))))</f>
        <v>DEVELOPING</v>
      </c>
      <c r="K1306" s="19" t="str">
        <f>IF($C1306="","",IF($I1306="","-",TEXT(INT($I1306/1000)*1000,"#,##0")&amp;" - "&amp;TEXT(INT($I1306/1000)*1000+999,"#,##0")))</f>
        <v>2,000 - 2,999</v>
      </c>
      <c r="L1306" s="71">
        <v>4.8499999999999996</v>
      </c>
      <c r="M1306" s="19" t="str">
        <f>IF($C1306="","",IF($L1306="","-",INDEX(SETUP!$B$36:$B$42,MATCH($L1306,SETUP!$A$36:$A$42,1))))</f>
        <v>4k - 5k</v>
      </c>
      <c r="N1306" s="21">
        <f>IF($C1306="","",IF(OR($G1306="",$I1306=""),"",ROUND(100*(SETUP!$B$4*MIN(1,$I1306/SETUP!$B$9)+SETUP!$B$5*MAX(0,MIN(1,($G1306-SETUP!$B$10)/(SETUP!$B$11-SETUP!$B$10)))+SETUP!$B$6*MIN(1,IF($L1306="",0,$L1306)/SETUP!$B$12)),1)))</f>
        <v>39.4</v>
      </c>
      <c r="O1306" s="19" t="str">
        <f>IF($C1306="","",IF($N1306="","-",INDEX(SETUP!$B$46:$B$51,MATCH($N1306,SETUP!$A$46:$A$51,1))))</f>
        <v>B</v>
      </c>
      <c r="P1306" s="19">
        <f>IF($C1306="","",IF($I1306="","",RANK($I1306,$I$4:$I$1463)+COUNTIF($I$4:$I1306,$I1306)-1))</f>
        <v>1022</v>
      </c>
      <c r="Q1306" s="19">
        <f>IF($C1306="","",COUNTIFS($B$4:$B$1463,$B1306,$X$4:$X$1463,"&gt;"&amp;$X1306)+COUNTIFS($B$4:$B1306,$B1306,$X$4:$X1306,"="&amp;$X1306))</f>
        <v>79</v>
      </c>
      <c r="R1306" s="75">
        <f>IF($C1306="","",IF($I1306="","",ROUND(COUNTIF($I$4:$I$1463,"&lt;"&amp;$I1306)/COUNT($I$4:$I$1463),3)))</f>
        <v>0.22900000000000001</v>
      </c>
      <c r="S1306" s="19" t="str">
        <f>IF($C1306="","",IF($G1306="","Name only",IF(OR($I1306="",$L1306=""),"Partial","Complete")))</f>
        <v>Complete</v>
      </c>
      <c r="T1306" s="1" t="str">
        <f>IF($C1306="","",TRIM(IF(COUNTIF($C$4:$C$1463,$C1306)&gt;1,"Dup name; ","")&amp;IF(AND($G1306&lt;&gt;"",$G1306&lt;55000),"Low CR - verify; ","")&amp;IF(AND($L1306&lt;&gt;"",$L1306&gt;15),"Secondary - verify; ","")&amp;IF($E1306="","No class; ","")))</f>
        <v/>
      </c>
      <c r="U1306" s="68"/>
      <c r="V1306" s="68"/>
      <c r="W1306" s="68"/>
      <c r="X1306" s="76">
        <f t="shared" si="102"/>
        <v>2426</v>
      </c>
      <c r="Y1306" s="1" t="str">
        <f t="shared" si="103"/>
        <v>ACHERON|79</v>
      </c>
      <c r="Z1306" s="19">
        <f>IF($C1306="","",IF($G1306="","",RANK($G1306,$G$4:$G$1463)+COUNTIF($G$4:$G1306,$G1306)-1))</f>
        <v>492</v>
      </c>
      <c r="AA1306" s="19">
        <f>IF($C1306="","",IF($N1306="","",RANK($N1306,$N$4:$N$1463)+COUNTIF($N$4:$N1306,$N1306)-1))</f>
        <v>847</v>
      </c>
      <c r="AB1306" s="1" t="str">
        <f>IF($C1306="","",IF($E1306="","",$E1306&amp;"#"&amp;(COUNTIFS($E$4:$E$1463,$E1306,$X$4:$X$1463,"&gt;"&amp;$X1306)+COUNTIFS($E$4:$E1306,$E1306,$X$4:$X1306,"="&amp;$X1306))))</f>
        <v>CRUSADER#102</v>
      </c>
      <c r="AC1306" s="1" t="str">
        <f>IF($C1306="","",$B1306&amp;"@"&amp;(COUNTIFS($B$4:$B$1463,$B1306,$C$4:$C$1463,"&lt;"&amp;$C1306)+COUNTIFS($B$4:$B1306,$B1306,$C$4:$C1306,$C1306)))</f>
        <v>ACHERON@92</v>
      </c>
      <c r="AD1306" s="1">
        <f t="shared" si="104"/>
        <v>1303</v>
      </c>
      <c r="AE1306" s="1" t="s">
        <v>2742</v>
      </c>
      <c r="AF1306" s="76">
        <f t="shared" si="105"/>
        <v>62861</v>
      </c>
      <c r="AG1306" s="77">
        <f t="shared" si="106"/>
        <v>4.8499999999999996</v>
      </c>
      <c r="AH1306" s="1" t="str">
        <f>IF($C1306="","",$B1306&amp;"|"&amp;(COUNTIFS($B$4:$B$1463,$B1306,$AF$4:$AF$1463,"&gt;"&amp;$AF1306)+COUNTIFS($B$4:$B1306,$B1306,$AF$4:$AF1306,"="&amp;$AF1306)))</f>
        <v>ACHERON|38</v>
      </c>
      <c r="AI1306" s="1" t="str">
        <f>IF($C1306="","",$B1306&amp;"|"&amp;(COUNTIFS($B$4:$B$1463,$B1306,$AG$4:$AG$1463,"&gt;"&amp;$AG1306)+COUNTIFS($B$4:$B1306,$B1306,$AG$4:$AG1306,"="&amp;$AG1306)))</f>
        <v>ACHERON|49</v>
      </c>
    </row>
    <row r="1307" spans="1:35" hidden="1">
      <c r="A1307" s="69" t="s">
        <v>109</v>
      </c>
      <c r="B1307" s="69" t="s">
        <v>113</v>
      </c>
      <c r="C1307" s="63" t="s">
        <v>2743</v>
      </c>
      <c r="D1307" s="69" t="s">
        <v>548</v>
      </c>
      <c r="E1307" s="68" t="s">
        <v>72</v>
      </c>
      <c r="F1307" s="15" t="str">
        <f>IF($C1307="","",IF($E1307="","-",IFERROR(INDEX(SETUP!$B$55:$B$64,MATCH($E1307,SETUP!$A$55:$A$64,0)),"Other")))</f>
        <v>Frontline</v>
      </c>
      <c r="G1307" s="70">
        <v>62868</v>
      </c>
      <c r="H1307" s="15" t="str">
        <f>IF($C1307="","",IF($G1307="","-",INDEX(SETUP!$B$26:$B$32,MATCH($G1307,SETUP!$A$26:$A$32,1))))</f>
        <v>62,000 - 62,999</v>
      </c>
      <c r="I1307" s="70">
        <v>3804</v>
      </c>
      <c r="J1307" s="15" t="str">
        <f>IF($C1307="","",IF($I1307="","-",INDEX(SETUP!$B$16:$B$22,MATCH($I1307,SETUP!$A$16:$A$22,1))))</f>
        <v>DEVELOPING</v>
      </c>
      <c r="K1307" s="15" t="str">
        <f>IF($C1307="","",IF($I1307="","-",TEXT(INT($I1307/1000)*1000,"#,##0")&amp;" - "&amp;TEXT(INT($I1307/1000)*1000+999,"#,##0")))</f>
        <v>3,000 - 3,999</v>
      </c>
      <c r="L1307" s="71">
        <v>5.63</v>
      </c>
      <c r="M1307" s="15" t="str">
        <f>IF($C1307="","",IF($L1307="","-",INDEX(SETUP!$B$36:$B$42,MATCH($L1307,SETUP!$A$36:$A$42,1))))</f>
        <v>5k - 6k</v>
      </c>
      <c r="N1307" s="17">
        <f>IF($C1307="","",IF(OR($G1307="",$I1307=""),"",ROUND(100*(SETUP!$B$4*MIN(1,$I1307/SETUP!$B$9)+SETUP!$B$5*MAX(0,MIN(1,($G1307-SETUP!$B$10)/(SETUP!$B$11-SETUP!$B$10)))+SETUP!$B$6*MIN(1,IF($L1307="",0,$L1307)/SETUP!$B$12)),1)))</f>
        <v>46.7</v>
      </c>
      <c r="O1307" s="15" t="str">
        <f>IF($C1307="","",IF($N1307="","-",INDEX(SETUP!$B$46:$B$51,MATCH($N1307,SETUP!$A$46:$A$51,1))))</f>
        <v>B</v>
      </c>
      <c r="P1307" s="15">
        <f>IF($C1307="","",IF($I1307="","",RANK($I1307,$I$4:$I$1463)+COUNTIF($I$4:$I1307,$I1307)-1))</f>
        <v>645</v>
      </c>
      <c r="Q1307" s="15">
        <f>IF($C1307="","",COUNTIFS($B$4:$B$1463,$B1307,$X$4:$X$1463,"&gt;"&amp;$X1307)+COUNTIFS($B$4:$B1307,$B1307,$X$4:$X1307,"="&amp;$X1307))</f>
        <v>29</v>
      </c>
      <c r="R1307" s="72">
        <f>IF($C1307="","",IF($I1307="","",ROUND(COUNTIF($I$4:$I$1463,"&lt;"&amp;$I1307)/COUNT($I$4:$I$1463),3)))</f>
        <v>0.51300000000000001</v>
      </c>
      <c r="S1307" s="15" t="str">
        <f>IF($C1307="","",IF($G1307="","Name only",IF(OR($I1307="",$L1307=""),"Partial","Complete")))</f>
        <v>Complete</v>
      </c>
      <c r="T1307" s="41" t="str">
        <f>IF($C1307="","",TRIM(IF(COUNTIF($C$4:$C$1463,$C1307)&gt;1,"Dup name; ","")&amp;IF(AND($G1307&lt;&gt;"",$G1307&lt;55000),"Low CR - verify; ","")&amp;IF(AND($L1307&lt;&gt;"",$L1307&gt;15),"Secondary - verify; ","")&amp;IF($E1307="","No class; ","")))</f>
        <v/>
      </c>
      <c r="U1307" s="68"/>
      <c r="V1307" s="68"/>
      <c r="W1307" s="68"/>
      <c r="X1307" s="73">
        <f t="shared" si="102"/>
        <v>3804</v>
      </c>
      <c r="Y1307" s="41" t="str">
        <f t="shared" si="103"/>
        <v>INVICTUS|29</v>
      </c>
      <c r="Z1307" s="15">
        <f>IF($C1307="","",IF($G1307="","",RANK($G1307,$G$4:$G$1463)+COUNTIF($G$4:$G1307,$G1307)-1))</f>
        <v>486</v>
      </c>
      <c r="AA1307" s="15">
        <f>IF($C1307="","",IF($N1307="","",RANK($N1307,$N$4:$N$1463)+COUNTIF($N$4:$N1307,$N1307)-1))</f>
        <v>564</v>
      </c>
      <c r="AB1307" s="41" t="str">
        <f>IF($C1307="","",IF($E1307="","",$E1307&amp;"#"&amp;(COUNTIFS($E$4:$E$1463,$E1307,$X$4:$X$1463,"&gt;"&amp;$X1307)+COUNTIFS($E$4:$E1307,$E1307,$X$4:$X1307,"="&amp;$X1307))))</f>
        <v>BLOOD KNIGHT#40</v>
      </c>
      <c r="AC1307" s="41" t="str">
        <f>IF($C1307="","",$B1307&amp;"@"&amp;(COUNTIFS($B$4:$B$1463,$B1307,$C$4:$C$1463,"&lt;"&amp;$C1307)+COUNTIFS($B$4:$B1307,$B1307,$C$4:$C1307,$C1307)))</f>
        <v>INVICTUS@99</v>
      </c>
      <c r="AD1307" s="41">
        <f t="shared" si="104"/>
        <v>1304</v>
      </c>
      <c r="AE1307" s="41" t="s">
        <v>2744</v>
      </c>
      <c r="AF1307" s="73">
        <f t="shared" si="105"/>
        <v>62868</v>
      </c>
      <c r="AG1307" s="74">
        <f t="shared" si="106"/>
        <v>5.63</v>
      </c>
      <c r="AH1307" s="41" t="str">
        <f>IF($C1307="","",$B1307&amp;"|"&amp;(COUNTIFS($B$4:$B$1463,$B1307,$AF$4:$AF$1463,"&gt;"&amp;$AF1307)+COUNTIFS($B$4:$B1307,$B1307,$AF$4:$AF1307,"="&amp;$AF1307)))</f>
        <v>INVICTUS|25</v>
      </c>
      <c r="AI1307" s="41" t="str">
        <f>IF($C1307="","",$B1307&amp;"|"&amp;(COUNTIFS($B$4:$B$1463,$B1307,$AG$4:$AG$1463,"&gt;"&amp;$AG1307)+COUNTIFS($B$4:$B1307,$B1307,$AG$4:$AG1307,"="&amp;$AG1307)))</f>
        <v>INVICTUS|17</v>
      </c>
    </row>
    <row r="1308" spans="1:35" hidden="1">
      <c r="A1308" s="69" t="s">
        <v>109</v>
      </c>
      <c r="B1308" s="69" t="s">
        <v>110</v>
      </c>
      <c r="C1308" s="63" t="s">
        <v>2745</v>
      </c>
      <c r="D1308" s="69"/>
      <c r="E1308" s="68" t="s">
        <v>73</v>
      </c>
      <c r="F1308" s="19" t="str">
        <f>IF($C1308="","",IF($E1308="","-",IFERROR(INDEX(SETUP!$B$55:$B$64,MATCH($E1308,SETUP!$A$55:$A$64,0)),"Other")))</f>
        <v>Frontline</v>
      </c>
      <c r="G1308" s="70">
        <v>62275</v>
      </c>
      <c r="H1308" s="19" t="str">
        <f>IF($C1308="","",IF($G1308="","-",INDEX(SETUP!$B$26:$B$32,MATCH($G1308,SETUP!$A$26:$A$32,1))))</f>
        <v>62,000 - 62,999</v>
      </c>
      <c r="I1308" s="70">
        <v>5920</v>
      </c>
      <c r="J1308" s="19" t="str">
        <f>IF($C1308="","",IF($I1308="","-",INDEX(SETUP!$B$16:$B$22,MATCH($I1308,SETUP!$A$16:$A$22,1))))</f>
        <v>CORE</v>
      </c>
      <c r="K1308" s="19" t="str">
        <f>IF($C1308="","",IF($I1308="","-",TEXT(INT($I1308/1000)*1000,"#,##0")&amp;" - "&amp;TEXT(INT($I1308/1000)*1000+999,"#,##0")))</f>
        <v>5,000 - 5,999</v>
      </c>
      <c r="L1308" s="71">
        <v>6.8</v>
      </c>
      <c r="M1308" s="19" t="str">
        <f>IF($C1308="","",IF($L1308="","-",INDEX(SETUP!$B$36:$B$42,MATCH($L1308,SETUP!$A$36:$A$42,1))))</f>
        <v>6k - 8k</v>
      </c>
      <c r="N1308" s="21">
        <f>IF($C1308="","",IF(OR($G1308="",$I1308=""),"",ROUND(100*(SETUP!$B$4*MIN(1,$I1308/SETUP!$B$9)+SETUP!$B$5*MAX(0,MIN(1,($G1308-SETUP!$B$10)/(SETUP!$B$11-SETUP!$B$10)))+SETUP!$B$6*MIN(1,IF($L1308="",0,$L1308)/SETUP!$B$12)),1)))</f>
        <v>56.3</v>
      </c>
      <c r="O1308" s="19" t="str">
        <f>IF($C1308="","",IF($N1308="","-",INDEX(SETUP!$B$46:$B$51,MATCH($N1308,SETUP!$A$46:$A$51,1))))</f>
        <v>A</v>
      </c>
      <c r="P1308" s="19">
        <f>IF($C1308="","",IF($I1308="","",RANK($I1308,$I$4:$I$1463)+COUNTIF($I$4:$I1308,$I1308)-1))</f>
        <v>294</v>
      </c>
      <c r="Q1308" s="19">
        <f>IF($C1308="","",COUNTIFS($B$4:$B$1463,$B1308,$X$4:$X$1463,"&gt;"&amp;$X1308)+COUNTIFS($B$4:$B1308,$B1308,$X$4:$X1308,"="&amp;$X1308))</f>
        <v>37</v>
      </c>
      <c r="R1308" s="75">
        <f>IF($C1308="","",IF($I1308="","",ROUND(COUNTIF($I$4:$I$1463,"&lt;"&amp;$I1308)/COUNT($I$4:$I$1463),3)))</f>
        <v>0.77800000000000002</v>
      </c>
      <c r="S1308" s="19" t="str">
        <f>IF($C1308="","",IF($G1308="","Name only",IF(OR($I1308="",$L1308=""),"Partial","Complete")))</f>
        <v>Complete</v>
      </c>
      <c r="T1308" s="1" t="str">
        <f>IF($C1308="","",TRIM(IF(COUNTIF($C$4:$C$1463,$C1308)&gt;1,"Dup name; ","")&amp;IF(AND($G1308&lt;&gt;"",$G1308&lt;55000),"Low CR - verify; ","")&amp;IF(AND($L1308&lt;&gt;"",$L1308&gt;15),"Secondary - verify; ","")&amp;IF($E1308="","No class; ","")))</f>
        <v/>
      </c>
      <c r="U1308" s="68"/>
      <c r="V1308" s="68"/>
      <c r="W1308" s="68"/>
      <c r="X1308" s="76">
        <f t="shared" si="102"/>
        <v>5920</v>
      </c>
      <c r="Y1308" s="1" t="str">
        <f t="shared" si="103"/>
        <v>AZUKI|37</v>
      </c>
      <c r="Z1308" s="19">
        <f>IF($C1308="","",IF($G1308="","",RANK($G1308,$G$4:$G$1463)+COUNTIF($G$4:$G1308,$G1308)-1))</f>
        <v>730</v>
      </c>
      <c r="AA1308" s="19">
        <f>IF($C1308="","",IF($N1308="","",RANK($N1308,$N$4:$N$1463)+COUNTIF($N$4:$N1308,$N1308)-1))</f>
        <v>288</v>
      </c>
      <c r="AB1308" s="1" t="str">
        <f>IF($C1308="","",IF($E1308="","",$E1308&amp;"#"&amp;(COUNTIFS($E$4:$E$1463,$E1308,$X$4:$X$1463,"&gt;"&amp;$X1308)+COUNTIFS($E$4:$E1308,$E1308,$X$4:$X1308,"="&amp;$X1308))))</f>
        <v>CRUSADER#43</v>
      </c>
      <c r="AC1308" s="1" t="str">
        <f>IF($C1308="","",$B1308&amp;"@"&amp;(COUNTIFS($B$4:$B$1463,$B1308,$C$4:$C$1463,"&lt;"&amp;$C1308)+COUNTIFS($B$4:$B1308,$B1308,$C$4:$C1308,$C1308)))</f>
        <v>AZUKI@100</v>
      </c>
      <c r="AD1308" s="1">
        <f t="shared" si="104"/>
        <v>1305</v>
      </c>
      <c r="AE1308" s="1" t="s">
        <v>2746</v>
      </c>
      <c r="AF1308" s="76">
        <f t="shared" si="105"/>
        <v>62275</v>
      </c>
      <c r="AG1308" s="77">
        <f t="shared" si="106"/>
        <v>6.8</v>
      </c>
      <c r="AH1308" s="1" t="str">
        <f>IF($C1308="","",$B1308&amp;"|"&amp;(COUNTIFS($B$4:$B$1463,$B1308,$AF$4:$AF$1463,"&gt;"&amp;$AF1308)+COUNTIFS($B$4:$B1308,$B1308,$AF$4:$AF1308,"="&amp;$AF1308)))</f>
        <v>AZUKI|64</v>
      </c>
      <c r="AI1308" s="1" t="str">
        <f>IF($C1308="","",$B1308&amp;"|"&amp;(COUNTIFS($B$4:$B$1463,$B1308,$AG$4:$AG$1463,"&gt;"&amp;$AG1308)+COUNTIFS($B$4:$B1308,$B1308,$AG$4:$AG1308,"="&amp;$AG1308)))</f>
        <v>AZUKI|34</v>
      </c>
    </row>
    <row r="1309" spans="1:35" hidden="1">
      <c r="A1309" s="69" t="s">
        <v>106</v>
      </c>
      <c r="B1309" s="69" t="s">
        <v>105</v>
      </c>
      <c r="C1309" s="63" t="s">
        <v>2747</v>
      </c>
      <c r="D1309" s="69"/>
      <c r="E1309" s="68" t="s">
        <v>79</v>
      </c>
      <c r="F1309" s="15" t="str">
        <f>IF($C1309="","",IF($E1309="","-",IFERROR(INDEX(SETUP!$B$55:$B$64,MATCH($E1309,SETUP!$A$55:$A$64,0)),"Other")))</f>
        <v>Control</v>
      </c>
      <c r="G1309" s="70">
        <v>60883</v>
      </c>
      <c r="H1309" s="15" t="str">
        <f>IF($C1309="","",IF($G1309="","-",INDEX(SETUP!$B$26:$B$32,MATCH($G1309,SETUP!$A$26:$A$32,1))))</f>
        <v>60,000 - 60,999</v>
      </c>
      <c r="I1309" s="70">
        <v>5001</v>
      </c>
      <c r="J1309" s="15" t="str">
        <f>IF($C1309="","",IF($I1309="","-",INDEX(SETUP!$B$16:$B$22,MATCH($I1309,SETUP!$A$16:$A$22,1))))</f>
        <v>CORE</v>
      </c>
      <c r="K1309" s="15" t="str">
        <f>IF($C1309="","",IF($I1309="","-",TEXT(INT($I1309/1000)*1000,"#,##0")&amp;" - "&amp;TEXT(INT($I1309/1000)*1000+999,"#,##0")))</f>
        <v>5,000 - 5,999</v>
      </c>
      <c r="L1309" s="71">
        <v>3.32</v>
      </c>
      <c r="M1309" s="15" t="str">
        <f>IF($C1309="","",IF($L1309="","-",INDEX(SETUP!$B$36:$B$42,MATCH($L1309,SETUP!$A$36:$A$42,1))))</f>
        <v>3k - 4k</v>
      </c>
      <c r="N1309" s="17">
        <f>IF($C1309="","",IF(OR($G1309="",$I1309=""),"",ROUND(100*(SETUP!$B$4*MIN(1,$I1309/SETUP!$B$9)+SETUP!$B$5*MAX(0,MIN(1,($G1309-SETUP!$B$10)/(SETUP!$B$11-SETUP!$B$10)))+SETUP!$B$6*MIN(1,IF($L1309="",0,$L1309)/SETUP!$B$12)),1)))</f>
        <v>42.8</v>
      </c>
      <c r="O1309" s="15" t="str">
        <f>IF($C1309="","",IF($N1309="","-",INDEX(SETUP!$B$46:$B$51,MATCH($N1309,SETUP!$A$46:$A$51,1))))</f>
        <v>B</v>
      </c>
      <c r="P1309" s="15">
        <f>IF($C1309="","",IF($I1309="","",RANK($I1309,$I$4:$I$1463)+COUNTIF($I$4:$I1309,$I1309)-1))</f>
        <v>412</v>
      </c>
      <c r="Q1309" s="15">
        <f>IF($C1309="","",COUNTIFS($B$4:$B$1463,$B1309,$X$4:$X$1463,"&gt;"&amp;$X1309)+COUNTIFS($B$4:$B1309,$B1309,$X$4:$X1309,"="&amp;$X1309))</f>
        <v>52</v>
      </c>
      <c r="R1309" s="72">
        <f>IF($C1309="","",IF($I1309="","",ROUND(COUNTIF($I$4:$I$1463,"&lt;"&amp;$I1309)/COUNT($I$4:$I$1463),3)))</f>
        <v>0.68899999999999995</v>
      </c>
      <c r="S1309" s="15" t="str">
        <f>IF($C1309="","",IF($G1309="","Name only",IF(OR($I1309="",$L1309=""),"Partial","Complete")))</f>
        <v>Complete</v>
      </c>
      <c r="T1309" s="41" t="str">
        <f>IF($C1309="","",TRIM(IF(COUNTIF($C$4:$C$1463,$C1309)&gt;1,"Dup name; ","")&amp;IF(AND($G1309&lt;&gt;"",$G1309&lt;55000),"Low CR - verify; ","")&amp;IF(AND($L1309&lt;&gt;"",$L1309&gt;15),"Secondary - verify; ","")&amp;IF($E1309="","No class; ","")))</f>
        <v/>
      </c>
      <c r="U1309" s="68"/>
      <c r="V1309" s="68"/>
      <c r="W1309" s="68"/>
      <c r="X1309" s="73">
        <f t="shared" si="102"/>
        <v>5001</v>
      </c>
      <c r="Y1309" s="41" t="str">
        <f t="shared" si="103"/>
        <v>LEGENDS|52</v>
      </c>
      <c r="Z1309" s="15">
        <f>IF($C1309="","",IF($G1309="","",RANK($G1309,$G$4:$G$1463)+COUNTIF($G$4:$G1309,$G1309)-1))</f>
        <v>1157</v>
      </c>
      <c r="AA1309" s="15">
        <f>IF($C1309="","",IF($N1309="","",RANK($N1309,$N$4:$N$1463)+COUNTIF($N$4:$N1309,$N1309)-1))</f>
        <v>714</v>
      </c>
      <c r="AB1309" s="41" t="str">
        <f>IF($C1309="","",IF($E1309="","",$E1309&amp;"#"&amp;(COUNTIFS($E$4:$E$1463,$E1309,$X$4:$X$1463,"&gt;"&amp;$X1309)+COUNTIFS($E$4:$E1309,$E1309,$X$4:$X1309,"="&amp;$X1309))))</f>
        <v>WARLOCK#96</v>
      </c>
      <c r="AC1309" s="41" t="str">
        <f>IF($C1309="","",$B1309&amp;"@"&amp;(COUNTIFS($B$4:$B$1463,$B1309,$C$4:$C$1463,"&lt;"&amp;$C1309)+COUNTIFS($B$4:$B1309,$B1309,$C$4:$C1309,$C1309)))</f>
        <v>LEGENDS@99</v>
      </c>
      <c r="AD1309" s="41">
        <f t="shared" si="104"/>
        <v>1306</v>
      </c>
      <c r="AE1309" s="41" t="s">
        <v>2748</v>
      </c>
      <c r="AF1309" s="73">
        <f t="shared" si="105"/>
        <v>60883</v>
      </c>
      <c r="AG1309" s="74">
        <f t="shared" si="106"/>
        <v>3.32</v>
      </c>
      <c r="AH1309" s="41" t="str">
        <f>IF($C1309="","",$B1309&amp;"|"&amp;(COUNTIFS($B$4:$B$1463,$B1309,$AF$4:$AF$1463,"&gt;"&amp;$AF1309)+COUNTIFS($B$4:$B1309,$B1309,$AF$4:$AF1309,"="&amp;$AF1309)))</f>
        <v>LEGENDS|94</v>
      </c>
      <c r="AI1309" s="41" t="str">
        <f>IF($C1309="","",$B1309&amp;"|"&amp;(COUNTIFS($B$4:$B$1463,$B1309,$AG$4:$AG$1463,"&gt;"&amp;$AG1309)+COUNTIFS($B$4:$B1309,$B1309,$AG$4:$AG1309,"="&amp;$AG1309)))</f>
        <v>LEGENDS|97</v>
      </c>
    </row>
    <row r="1310" spans="1:35" hidden="1">
      <c r="A1310" s="69" t="s">
        <v>109</v>
      </c>
      <c r="B1310" s="69" t="s">
        <v>111</v>
      </c>
      <c r="C1310" s="63" t="s">
        <v>2749</v>
      </c>
      <c r="D1310" s="69" t="s">
        <v>527</v>
      </c>
      <c r="E1310" s="68" t="s">
        <v>79</v>
      </c>
      <c r="F1310" s="19" t="str">
        <f>IF($C1310="","",IF($E1310="","-",IFERROR(INDEX(SETUP!$B$55:$B$64,MATCH($E1310,SETUP!$A$55:$A$64,0)),"Other")))</f>
        <v>Control</v>
      </c>
      <c r="G1310" s="70">
        <v>61720</v>
      </c>
      <c r="H1310" s="19" t="str">
        <f>IF($C1310="","",IF($G1310="","-",INDEX(SETUP!$B$26:$B$32,MATCH($G1310,SETUP!$A$26:$A$32,1))))</f>
        <v>61,000 - 61,999</v>
      </c>
      <c r="I1310" s="70">
        <v>4144</v>
      </c>
      <c r="J1310" s="19" t="str">
        <f>IF($C1310="","",IF($I1310="","-",INDEX(SETUP!$B$16:$B$22,MATCH($I1310,SETUP!$A$16:$A$22,1))))</f>
        <v>CORE</v>
      </c>
      <c r="K1310" s="19" t="str">
        <f>IF($C1310="","",IF($I1310="","-",TEXT(INT($I1310/1000)*1000,"#,##0")&amp;" - "&amp;TEXT(INT($I1310/1000)*1000+999,"#,##0")))</f>
        <v>4,000 - 4,999</v>
      </c>
      <c r="L1310" s="71">
        <v>5.55</v>
      </c>
      <c r="M1310" s="19" t="str">
        <f>IF($C1310="","",IF($L1310="","-",INDEX(SETUP!$B$36:$B$42,MATCH($L1310,SETUP!$A$36:$A$42,1))))</f>
        <v>5k - 6k</v>
      </c>
      <c r="N1310" s="21">
        <f>IF($C1310="","",IF(OR($G1310="",$I1310=""),"",ROUND(100*(SETUP!$B$4*MIN(1,$I1310/SETUP!$B$9)+SETUP!$B$5*MAX(0,MIN(1,($G1310-SETUP!$B$10)/(SETUP!$B$11-SETUP!$B$10)))+SETUP!$B$6*MIN(1,IF($L1310="",0,$L1310)/SETUP!$B$12)),1)))</f>
        <v>45</v>
      </c>
      <c r="O1310" s="19" t="str">
        <f>IF($C1310="","",IF($N1310="","-",INDEX(SETUP!$B$46:$B$51,MATCH($N1310,SETUP!$A$46:$A$51,1))))</f>
        <v>B</v>
      </c>
      <c r="P1310" s="19">
        <f>IF($C1310="","",IF($I1310="","",RANK($I1310,$I$4:$I$1463)+COUNTIF($I$4:$I1310,$I1310)-1))</f>
        <v>572</v>
      </c>
      <c r="Q1310" s="19">
        <f>IF($C1310="","",COUNTIFS($B$4:$B$1463,$B1310,$X$4:$X$1463,"&gt;"&amp;$X1310)+COUNTIFS($B$4:$B1310,$B1310,$X$4:$X1310,"="&amp;$X1310))</f>
        <v>60</v>
      </c>
      <c r="R1310" s="75">
        <f>IF($C1310="","",IF($I1310="","",ROUND(COUNTIF($I$4:$I$1463,"&lt;"&amp;$I1310)/COUNT($I$4:$I$1463),3)))</f>
        <v>0.56799999999999995</v>
      </c>
      <c r="S1310" s="19" t="str">
        <f>IF($C1310="","",IF($G1310="","Name only",IF(OR($I1310="",$L1310=""),"Partial","Complete")))</f>
        <v>Complete</v>
      </c>
      <c r="T1310" s="1" t="str">
        <f>IF($C1310="","",TRIM(IF(COUNTIF($C$4:$C$1463,$C1310)&gt;1,"Dup name; ","")&amp;IF(AND($G1310&lt;&gt;"",$G1310&lt;55000),"Low CR - verify; ","")&amp;IF(AND($L1310&lt;&gt;"",$L1310&gt;15),"Secondary - verify; ","")&amp;IF($E1310="","No class; ","")))</f>
        <v/>
      </c>
      <c r="U1310" s="68"/>
      <c r="V1310" s="68"/>
      <c r="W1310" s="68"/>
      <c r="X1310" s="76">
        <f t="shared" si="102"/>
        <v>4144</v>
      </c>
      <c r="Y1310" s="1" t="str">
        <f t="shared" si="103"/>
        <v>RECKONING|60</v>
      </c>
      <c r="Z1310" s="19">
        <f>IF($C1310="","",IF($G1310="","",RANK($G1310,$G$4:$G$1463)+COUNTIF($G$4:$G1310,$G1310)-1))</f>
        <v>936</v>
      </c>
      <c r="AA1310" s="19">
        <f>IF($C1310="","",IF($N1310="","",RANK($N1310,$N$4:$N$1463)+COUNTIF($N$4:$N1310,$N1310)-1))</f>
        <v>625</v>
      </c>
      <c r="AB1310" s="1" t="str">
        <f>IF($C1310="","",IF($E1310="","",$E1310&amp;"#"&amp;(COUNTIFS($E$4:$E$1463,$E1310,$X$4:$X$1463,"&gt;"&amp;$X1310)+COUNTIFS($E$4:$E1310,$E1310,$X$4:$X1310,"="&amp;$X1310))))</f>
        <v>WARLOCK#134</v>
      </c>
      <c r="AC1310" s="1" t="str">
        <f>IF($C1310="","",$B1310&amp;"@"&amp;(COUNTIFS($B$4:$B$1463,$B1310,$C$4:$C$1463,"&lt;"&amp;$C1310)+COUNTIFS($B$4:$B1310,$B1310,$C$4:$C1310,$C1310)))</f>
        <v>RECKONING@94</v>
      </c>
      <c r="AD1310" s="1">
        <f t="shared" si="104"/>
        <v>1307</v>
      </c>
      <c r="AE1310" s="1" t="s">
        <v>2750</v>
      </c>
      <c r="AF1310" s="76">
        <f t="shared" si="105"/>
        <v>61720</v>
      </c>
      <c r="AG1310" s="77">
        <f t="shared" si="106"/>
        <v>5.55</v>
      </c>
      <c r="AH1310" s="1" t="str">
        <f>IF($C1310="","",$B1310&amp;"|"&amp;(COUNTIFS($B$4:$B$1463,$B1310,$AF$4:$AF$1463,"&gt;"&amp;$AF1310)+COUNTIFS($B$4:$B1310,$B1310,$AF$4:$AF1310,"="&amp;$AF1310)))</f>
        <v>RECKONING|79</v>
      </c>
      <c r="AI1310" s="1" t="str">
        <f>IF($C1310="","",$B1310&amp;"|"&amp;(COUNTIFS($B$4:$B$1463,$B1310,$AG$4:$AG$1463,"&gt;"&amp;$AG1310)+COUNTIFS($B$4:$B1310,$B1310,$AG$4:$AG1310,"="&amp;$AG1310)))</f>
        <v>RECKONING|46</v>
      </c>
    </row>
    <row r="1311" spans="1:35" hidden="1">
      <c r="A1311" s="69" t="s">
        <v>109</v>
      </c>
      <c r="B1311" s="69" t="s">
        <v>110</v>
      </c>
      <c r="C1311" s="63" t="s">
        <v>2751</v>
      </c>
      <c r="D1311" s="69"/>
      <c r="E1311" s="68" t="s">
        <v>71</v>
      </c>
      <c r="F1311" s="15" t="str">
        <f>IF($C1311="","",IF($E1311="","-",IFERROR(INDEX(SETUP!$B$55:$B$64,MATCH($E1311,SETUP!$A$55:$A$64,0)),"Other")))</f>
        <v>Frontline</v>
      </c>
      <c r="G1311" s="70">
        <v>63971</v>
      </c>
      <c r="H1311" s="15" t="str">
        <f>IF($C1311="","",IF($G1311="","-",INDEX(SETUP!$B$26:$B$32,MATCH($G1311,SETUP!$A$26:$A$32,1))))</f>
        <v>63,000 - 63,999</v>
      </c>
      <c r="I1311" s="70">
        <v>10007</v>
      </c>
      <c r="J1311" s="15" t="str">
        <f>IF($C1311="","",IF($I1311="","-",INDEX(SETUP!$B$16:$B$22,MATCH($I1311,SETUP!$A$16:$A$22,1))))</f>
        <v>APEX</v>
      </c>
      <c r="K1311" s="15" t="str">
        <f>IF($C1311="","",IF($I1311="","-",TEXT(INT($I1311/1000)*1000,"#,##0")&amp;" - "&amp;TEXT(INT($I1311/1000)*1000+999,"#,##0")))</f>
        <v>10,000 - 10,999</v>
      </c>
      <c r="L1311" s="71">
        <v>7.85</v>
      </c>
      <c r="M1311" s="15" t="str">
        <f>IF($C1311="","",IF($L1311="","-",INDEX(SETUP!$B$36:$B$42,MATCH($L1311,SETUP!$A$36:$A$42,1))))</f>
        <v>6k - 8k</v>
      </c>
      <c r="N1311" s="17">
        <f>IF($C1311="","",IF(OR($G1311="",$I1311=""),"",ROUND(100*(SETUP!$B$4*MIN(1,$I1311/SETUP!$B$9)+SETUP!$B$5*MAX(0,MIN(1,($G1311-SETUP!$B$10)/(SETUP!$B$11-SETUP!$B$10)))+SETUP!$B$6*MIN(1,IF($L1311="",0,$L1311)/SETUP!$B$12)),1)))</f>
        <v>80.400000000000006</v>
      </c>
      <c r="O1311" s="15" t="str">
        <f>IF($C1311="","",IF($N1311="","-",INDEX(SETUP!$B$46:$B$51,MATCH($N1311,SETUP!$A$46:$A$51,1))))</f>
        <v>S+</v>
      </c>
      <c r="P1311" s="15">
        <f>IF($C1311="","",IF($I1311="","",RANK($I1311,$I$4:$I$1463)+COUNTIF($I$4:$I1311,$I1311)-1))</f>
        <v>55</v>
      </c>
      <c r="Q1311" s="15">
        <f>IF($C1311="","",COUNTIFS($B$4:$B$1463,$B1311,$X$4:$X$1463,"&gt;"&amp;$X1311)+COUNTIFS($B$4:$B1311,$B1311,$X$4:$X1311,"="&amp;$X1311))</f>
        <v>12</v>
      </c>
      <c r="R1311" s="72">
        <f>IF($C1311="","",IF($I1311="","",ROUND(COUNTIF($I$4:$I$1463,"&lt;"&amp;$I1311)/COUNT($I$4:$I$1463),3)))</f>
        <v>0.95799999999999996</v>
      </c>
      <c r="S1311" s="15" t="str">
        <f>IF($C1311="","",IF($G1311="","Name only",IF(OR($I1311="",$L1311=""),"Partial","Complete")))</f>
        <v>Complete</v>
      </c>
      <c r="T1311" s="41" t="str">
        <f>IF($C1311="","",TRIM(IF(COUNTIF($C$4:$C$1463,$C1311)&gt;1,"Dup name; ","")&amp;IF(AND($G1311&lt;&gt;"",$G1311&lt;55000),"Low CR - verify; ","")&amp;IF(AND($L1311&lt;&gt;"",$L1311&gt;15),"Secondary - verify; ","")&amp;IF($E1311="","No class; ","")))</f>
        <v/>
      </c>
      <c r="U1311" s="68"/>
      <c r="V1311" s="68"/>
      <c r="W1311" s="68"/>
      <c r="X1311" s="73">
        <f t="shared" si="102"/>
        <v>10007</v>
      </c>
      <c r="Y1311" s="41" t="str">
        <f t="shared" si="103"/>
        <v>AZUKI|12</v>
      </c>
      <c r="Z1311" s="15">
        <f>IF($C1311="","",IF($G1311="","",RANK($G1311,$G$4:$G$1463)+COUNTIF($G$4:$G1311,$G1311)-1))</f>
        <v>78</v>
      </c>
      <c r="AA1311" s="15">
        <f>IF($C1311="","",IF($N1311="","",RANK($N1311,$N$4:$N$1463)+COUNTIF($N$4:$N1311,$N1311)-1))</f>
        <v>49</v>
      </c>
      <c r="AB1311" s="41" t="str">
        <f>IF($C1311="","",IF($E1311="","",$E1311&amp;"#"&amp;(COUNTIFS($E$4:$E$1463,$E1311,$X$4:$X$1463,"&gt;"&amp;$X1311)+COUNTIFS($E$4:$E1311,$E1311,$X$4:$X1311,"="&amp;$X1311))))</f>
        <v>BARBARIAN#11</v>
      </c>
      <c r="AC1311" s="41" t="str">
        <f>IF($C1311="","",$B1311&amp;"@"&amp;(COUNTIFS($B$4:$B$1463,$B1311,$C$4:$C$1463,"&lt;"&amp;$C1311)+COUNTIFS($B$4:$B1311,$B1311,$C$4:$C1311,$C1311)))</f>
        <v>AZUKI@101</v>
      </c>
      <c r="AD1311" s="41">
        <f t="shared" si="104"/>
        <v>1308</v>
      </c>
      <c r="AE1311" s="41" t="s">
        <v>2752</v>
      </c>
      <c r="AF1311" s="73">
        <f t="shared" si="105"/>
        <v>63971</v>
      </c>
      <c r="AG1311" s="74">
        <f t="shared" si="106"/>
        <v>7.85</v>
      </c>
      <c r="AH1311" s="41" t="str">
        <f>IF($C1311="","",$B1311&amp;"|"&amp;(COUNTIFS($B$4:$B$1463,$B1311,$AF$4:$AF$1463,"&gt;"&amp;$AF1311)+COUNTIFS($B$4:$B1311,$B1311,$AF$4:$AF1311,"="&amp;$AF1311)))</f>
        <v>AZUKI|16</v>
      </c>
      <c r="AI1311" s="41" t="str">
        <f>IF($C1311="","",$B1311&amp;"|"&amp;(COUNTIFS($B$4:$B$1463,$B1311,$AG$4:$AG$1463,"&gt;"&amp;$AG1311)+COUNTIFS($B$4:$B1311,$B1311,$AG$4:$AG1311,"="&amp;$AG1311)))</f>
        <v>AZUKI|19</v>
      </c>
    </row>
    <row r="1312" spans="1:35" hidden="1">
      <c r="A1312" s="69" t="s">
        <v>109</v>
      </c>
      <c r="B1312" s="69" t="s">
        <v>108</v>
      </c>
      <c r="C1312" s="63" t="s">
        <v>2753</v>
      </c>
      <c r="D1312" s="69"/>
      <c r="E1312" s="68" t="s">
        <v>76</v>
      </c>
      <c r="F1312" s="19" t="str">
        <f>IF($C1312="","",IF($E1312="","-",IFERROR(INDEX(SETUP!$B$55:$B$64,MATCH($E1312,SETUP!$A$55:$A$64,0)),"Other")))</f>
        <v>Support</v>
      </c>
      <c r="G1312" s="70">
        <v>63741</v>
      </c>
      <c r="H1312" s="19" t="str">
        <f>IF($C1312="","",IF($G1312="","-",INDEX(SETUP!$B$26:$B$32,MATCH($G1312,SETUP!$A$26:$A$32,1))))</f>
        <v>63,000 - 63,999</v>
      </c>
      <c r="I1312" s="70">
        <v>8070</v>
      </c>
      <c r="J1312" s="19" t="str">
        <f>IF($C1312="","",IF($I1312="","-",INDEX(SETUP!$B$16:$B$22,MATCH($I1312,SETUP!$A$16:$A$22,1))))</f>
        <v>ELITE</v>
      </c>
      <c r="K1312" s="19" t="str">
        <f>IF($C1312="","",IF($I1312="","-",TEXT(INT($I1312/1000)*1000,"#,##0")&amp;" - "&amp;TEXT(INT($I1312/1000)*1000+999,"#,##0")))</f>
        <v>8,000 - 8,999</v>
      </c>
      <c r="L1312" s="71">
        <v>7.15</v>
      </c>
      <c r="M1312" s="19" t="str">
        <f>IF($C1312="","",IF($L1312="","-",INDEX(SETUP!$B$36:$B$42,MATCH($L1312,SETUP!$A$36:$A$42,1))))</f>
        <v>6k - 8k</v>
      </c>
      <c r="N1312" s="21">
        <f>IF($C1312="","",IF(OR($G1312="",$I1312=""),"",ROUND(100*(SETUP!$B$4*MIN(1,$I1312/SETUP!$B$9)+SETUP!$B$5*MAX(0,MIN(1,($G1312-SETUP!$B$10)/(SETUP!$B$11-SETUP!$B$10)))+SETUP!$B$6*MIN(1,IF($L1312="",0,$L1312)/SETUP!$B$12)),1)))</f>
        <v>70.099999999999994</v>
      </c>
      <c r="O1312" s="19" t="str">
        <f>IF($C1312="","",IF($N1312="","-",INDEX(SETUP!$B$46:$B$51,MATCH($N1312,SETUP!$A$46:$A$51,1))))</f>
        <v>S</v>
      </c>
      <c r="P1312" s="19">
        <f>IF($C1312="","",IF($I1312="","",RANK($I1312,$I$4:$I$1463)+COUNTIF($I$4:$I1312,$I1312)-1))</f>
        <v>143</v>
      </c>
      <c r="Q1312" s="19">
        <f>IF($C1312="","",COUNTIFS($B$4:$B$1463,$B1312,$X$4:$X$1463,"&gt;"&amp;$X1312)+COUNTIFS($B$4:$B1312,$B1312,$X$4:$X1312,"="&amp;$X1312))</f>
        <v>23</v>
      </c>
      <c r="R1312" s="75">
        <f>IF($C1312="","",IF($I1312="","",ROUND(COUNTIF($I$4:$I$1463,"&lt;"&amp;$I1312)/COUNT($I$4:$I$1463),3)))</f>
        <v>0.89200000000000002</v>
      </c>
      <c r="S1312" s="19" t="str">
        <f>IF($C1312="","",IF($G1312="","Name only",IF(OR($I1312="",$L1312=""),"Partial","Complete")))</f>
        <v>Complete</v>
      </c>
      <c r="T1312" s="1" t="str">
        <f>IF($C1312="","",TRIM(IF(COUNTIF($C$4:$C$1463,$C1312)&gt;1,"Dup name; ","")&amp;IF(AND($G1312&lt;&gt;"",$G1312&lt;55000),"Low CR - verify; ","")&amp;IF(AND($L1312&lt;&gt;"",$L1312&gt;15),"Secondary - verify; ","")&amp;IF($E1312="","No class; ","")))</f>
        <v/>
      </c>
      <c r="U1312" s="68"/>
      <c r="V1312" s="68"/>
      <c r="W1312" s="68"/>
      <c r="X1312" s="76">
        <f t="shared" si="102"/>
        <v>8070</v>
      </c>
      <c r="Y1312" s="1" t="str">
        <f t="shared" si="103"/>
        <v>SBG|23</v>
      </c>
      <c r="Z1312" s="19">
        <f>IF($C1312="","",IF($G1312="","",RANK($G1312,$G$4:$G$1463)+COUNTIF($G$4:$G1312,$G1312)-1))</f>
        <v>128</v>
      </c>
      <c r="AA1312" s="19">
        <f>IF($C1312="","",IF($N1312="","",RANK($N1312,$N$4:$N$1463)+COUNTIF($N$4:$N1312,$N1312)-1))</f>
        <v>127</v>
      </c>
      <c r="AB1312" s="1" t="str">
        <f>IF($C1312="","",IF($E1312="","",$E1312&amp;"#"&amp;(COUNTIFS($E$4:$E$1463,$E1312,$X$4:$X$1463,"&gt;"&amp;$X1312)+COUNTIFS($E$4:$E1312,$E1312,$X$4:$X1312,"="&amp;$X1312))))</f>
        <v>MONK#7</v>
      </c>
      <c r="AC1312" s="1" t="str">
        <f>IF($C1312="","",$B1312&amp;"@"&amp;(COUNTIFS($B$4:$B$1463,$B1312,$C$4:$C$1463,"&lt;"&amp;$C1312)+COUNTIFS($B$4:$B1312,$B1312,$C$4:$C1312,$C1312)))</f>
        <v>SBG@96</v>
      </c>
      <c r="AD1312" s="1">
        <f t="shared" si="104"/>
        <v>1309</v>
      </c>
      <c r="AE1312" s="1" t="s">
        <v>2754</v>
      </c>
      <c r="AF1312" s="76">
        <f t="shared" si="105"/>
        <v>63741</v>
      </c>
      <c r="AG1312" s="77">
        <f t="shared" si="106"/>
        <v>7.15</v>
      </c>
      <c r="AH1312" s="1" t="str">
        <f>IF($C1312="","",$B1312&amp;"|"&amp;(COUNTIFS($B$4:$B$1463,$B1312,$AF$4:$AF$1463,"&gt;"&amp;$AF1312)+COUNTIFS($B$4:$B1312,$B1312,$AF$4:$AF1312,"="&amp;$AF1312)))</f>
        <v>SBG|22</v>
      </c>
      <c r="AI1312" s="1" t="str">
        <f>IF($C1312="","",$B1312&amp;"|"&amp;(COUNTIFS($B$4:$B$1463,$B1312,$AG$4:$AG$1463,"&gt;"&amp;$AG1312)+COUNTIFS($B$4:$B1312,$B1312,$AG$4:$AG1312,"="&amp;$AG1312)))</f>
        <v>SBG|26</v>
      </c>
    </row>
    <row r="1313" spans="1:35" hidden="1">
      <c r="A1313" s="69" t="s">
        <v>109</v>
      </c>
      <c r="B1313" s="69" t="s">
        <v>117</v>
      </c>
      <c r="C1313" s="63" t="s">
        <v>2755</v>
      </c>
      <c r="D1313" s="69"/>
      <c r="E1313" s="68" t="s">
        <v>71</v>
      </c>
      <c r="F1313" s="15" t="str">
        <f>IF($C1313="","",IF($E1313="","-",IFERROR(INDEX(SETUP!$B$55:$B$64,MATCH($E1313,SETUP!$A$55:$A$64,0)),"Other")))</f>
        <v>Frontline</v>
      </c>
      <c r="G1313" s="70">
        <v>61551</v>
      </c>
      <c r="H1313" s="15" t="str">
        <f>IF($C1313="","",IF($G1313="","-",INDEX(SETUP!$B$26:$B$32,MATCH($G1313,SETUP!$A$26:$A$32,1))))</f>
        <v>61,000 - 61,999</v>
      </c>
      <c r="I1313" s="70">
        <v>2833</v>
      </c>
      <c r="J1313" s="15" t="str">
        <f>IF($C1313="","",IF($I1313="","-",INDEX(SETUP!$B$16:$B$22,MATCH($I1313,SETUP!$A$16:$A$22,1))))</f>
        <v>DEVELOPING</v>
      </c>
      <c r="K1313" s="15" t="str">
        <f>IF($C1313="","",IF($I1313="","-",TEXT(INT($I1313/1000)*1000,"#,##0")&amp;" - "&amp;TEXT(INT($I1313/1000)*1000+999,"#,##0")))</f>
        <v>2,000 - 2,999</v>
      </c>
      <c r="L1313" s="71">
        <v>5.45</v>
      </c>
      <c r="M1313" s="15" t="str">
        <f>IF($C1313="","",IF($L1313="","-",INDEX(SETUP!$B$36:$B$42,MATCH($L1313,SETUP!$A$36:$A$42,1))))</f>
        <v>5k - 6k</v>
      </c>
      <c r="N1313" s="17">
        <f>IF($C1313="","",IF(OR($G1313="",$I1313=""),"",ROUND(100*(SETUP!$B$4*MIN(1,$I1313/SETUP!$B$9)+SETUP!$B$5*MAX(0,MIN(1,($G1313-SETUP!$B$10)/(SETUP!$B$11-SETUP!$B$10)))+SETUP!$B$6*MIN(1,IF($L1313="",0,$L1313)/SETUP!$B$12)),1)))</f>
        <v>38.700000000000003</v>
      </c>
      <c r="O1313" s="15" t="str">
        <f>IF($C1313="","",IF($N1313="","-",INDEX(SETUP!$B$46:$B$51,MATCH($N1313,SETUP!$A$46:$A$51,1))))</f>
        <v>B</v>
      </c>
      <c r="P1313" s="15">
        <f>IF($C1313="","",IF($I1313="","",RANK($I1313,$I$4:$I$1463)+COUNTIF($I$4:$I1313,$I1313)-1))</f>
        <v>924</v>
      </c>
      <c r="Q1313" s="15">
        <f>IF($C1313="","",COUNTIFS($B$4:$B$1463,$B1313,$X$4:$X$1463,"&gt;"&amp;$X1313)+COUNTIFS($B$4:$B1313,$B1313,$X$4:$X1313,"="&amp;$X1313))</f>
        <v>22</v>
      </c>
      <c r="R1313" s="72">
        <f>IF($C1313="","",IF($I1313="","",ROUND(COUNTIF($I$4:$I$1463,"&lt;"&amp;$I1313)/COUNT($I$4:$I$1463),3)))</f>
        <v>0.30299999999999999</v>
      </c>
      <c r="S1313" s="15" t="str">
        <f>IF($C1313="","",IF($G1313="","Name only",IF(OR($I1313="",$L1313=""),"Partial","Complete")))</f>
        <v>Complete</v>
      </c>
      <c r="T1313" s="41" t="str">
        <f>IF($C1313="","",TRIM(IF(COUNTIF($C$4:$C$1463,$C1313)&gt;1,"Dup name; ","")&amp;IF(AND($G1313&lt;&gt;"",$G1313&lt;55000),"Low CR - verify; ","")&amp;IF(AND($L1313&lt;&gt;"",$L1313&gt;15),"Secondary - verify; ","")&amp;IF($E1313="","No class; ","")))</f>
        <v/>
      </c>
      <c r="U1313" s="68"/>
      <c r="V1313" s="68"/>
      <c r="W1313" s="68"/>
      <c r="X1313" s="73">
        <f t="shared" si="102"/>
        <v>2833</v>
      </c>
      <c r="Y1313" s="41" t="str">
        <f t="shared" si="103"/>
        <v>VENDETTA|22</v>
      </c>
      <c r="Z1313" s="15">
        <f>IF($C1313="","",IF($G1313="","",RANK($G1313,$G$4:$G$1463)+COUNTIF($G$4:$G1313,$G1313)-1))</f>
        <v>992</v>
      </c>
      <c r="AA1313" s="15">
        <f>IF($C1313="","",IF($N1313="","",RANK($N1313,$N$4:$N$1463)+COUNTIF($N$4:$N1313,$N1313)-1))</f>
        <v>872</v>
      </c>
      <c r="AB1313" s="41" t="str">
        <f>IF($C1313="","",IF($E1313="","",$E1313&amp;"#"&amp;(COUNTIFS($E$4:$E$1463,$E1313,$X$4:$X$1463,"&gt;"&amp;$X1313)+COUNTIFS($E$4:$E1313,$E1313,$X$4:$X1313,"="&amp;$X1313))))</f>
        <v>BARBARIAN#161</v>
      </c>
      <c r="AC1313" s="41" t="str">
        <f>IF($C1313="","",$B1313&amp;"@"&amp;(COUNTIFS($B$4:$B$1463,$B1313,$C$4:$C$1463,"&lt;"&amp;$C1313)+COUNTIFS($B$4:$B1313,$B1313,$C$4:$C1313,$C1313)))</f>
        <v>VENDETTA@89</v>
      </c>
      <c r="AD1313" s="41">
        <f t="shared" si="104"/>
        <v>1310</v>
      </c>
      <c r="AE1313" s="41" t="s">
        <v>2756</v>
      </c>
      <c r="AF1313" s="73">
        <f t="shared" si="105"/>
        <v>61551</v>
      </c>
      <c r="AG1313" s="74">
        <f t="shared" si="106"/>
        <v>5.45</v>
      </c>
      <c r="AH1313" s="41" t="str">
        <f>IF($C1313="","",$B1313&amp;"|"&amp;(COUNTIFS($B$4:$B$1463,$B1313,$AF$4:$AF$1463,"&gt;"&amp;$AF1313)+COUNTIFS($B$4:$B1313,$B1313,$AF$4:$AF1313,"="&amp;$AF1313)))</f>
        <v>VENDETTA|49</v>
      </c>
      <c r="AI1313" s="41" t="str">
        <f>IF($C1313="","",$B1313&amp;"|"&amp;(COUNTIFS($B$4:$B$1463,$B1313,$AG$4:$AG$1463,"&gt;"&amp;$AG1313)+COUNTIFS($B$4:$B1313,$B1313,$AG$4:$AG1313,"="&amp;$AG1313)))</f>
        <v>VENDETTA|3</v>
      </c>
    </row>
    <row r="1314" spans="1:35" hidden="1">
      <c r="A1314" s="69" t="s">
        <v>106</v>
      </c>
      <c r="B1314" s="69" t="s">
        <v>86</v>
      </c>
      <c r="C1314" s="63" t="s">
        <v>2757</v>
      </c>
      <c r="D1314" s="69"/>
      <c r="E1314" s="68" t="s">
        <v>79</v>
      </c>
      <c r="F1314" s="19" t="str">
        <f>IF($C1314="","",IF($E1314="","-",IFERROR(INDEX(SETUP!$B$55:$B$64,MATCH($E1314,SETUP!$A$55:$A$64,0)),"Other")))</f>
        <v>Control</v>
      </c>
      <c r="G1314" s="70">
        <v>62304</v>
      </c>
      <c r="H1314" s="19" t="str">
        <f>IF($C1314="","",IF($G1314="","-",INDEX(SETUP!$B$26:$B$32,MATCH($G1314,SETUP!$A$26:$A$32,1))))</f>
        <v>62,000 - 62,999</v>
      </c>
      <c r="I1314" s="70">
        <v>5371</v>
      </c>
      <c r="J1314" s="19" t="str">
        <f>IF($C1314="","",IF($I1314="","-",INDEX(SETUP!$B$16:$B$22,MATCH($I1314,SETUP!$A$16:$A$22,1))))</f>
        <v>CORE</v>
      </c>
      <c r="K1314" s="19" t="str">
        <f>IF($C1314="","",IF($I1314="","-",TEXT(INT($I1314/1000)*1000,"#,##0")&amp;" - "&amp;TEXT(INT($I1314/1000)*1000+999,"#,##0")))</f>
        <v>5,000 - 5,999</v>
      </c>
      <c r="L1314" s="71">
        <v>4.45</v>
      </c>
      <c r="M1314" s="19" t="str">
        <f>IF($C1314="","",IF($L1314="","-",INDEX(SETUP!$B$36:$B$42,MATCH($L1314,SETUP!$A$36:$A$42,1))))</f>
        <v>4k - 5k</v>
      </c>
      <c r="N1314" s="21">
        <f>IF($C1314="","",IF(OR($G1314="",$I1314=""),"",ROUND(100*(SETUP!$B$4*MIN(1,$I1314/SETUP!$B$9)+SETUP!$B$5*MAX(0,MIN(1,($G1314-SETUP!$B$10)/(SETUP!$B$11-SETUP!$B$10)))+SETUP!$B$6*MIN(1,IF($L1314="",0,$L1314)/SETUP!$B$12)),1)))</f>
        <v>50.1</v>
      </c>
      <c r="O1314" s="19" t="str">
        <f>IF($C1314="","",IF($N1314="","-",INDEX(SETUP!$B$46:$B$51,MATCH($N1314,SETUP!$A$46:$A$51,1))))</f>
        <v>A</v>
      </c>
      <c r="P1314" s="19">
        <f>IF($C1314="","",IF($I1314="","",RANK($I1314,$I$4:$I$1463)+COUNTIF($I$4:$I1314,$I1314)-1))</f>
        <v>349</v>
      </c>
      <c r="Q1314" s="19">
        <f>IF($C1314="","",COUNTIFS($B$4:$B$1463,$B1314,$X$4:$X$1463,"&gt;"&amp;$X1314)+COUNTIFS($B$4:$B1314,$B1314,$X$4:$X1314,"="&amp;$X1314))</f>
        <v>62</v>
      </c>
      <c r="R1314" s="75">
        <f>IF($C1314="","",IF($I1314="","",ROUND(COUNTIF($I$4:$I$1463,"&lt;"&amp;$I1314)/COUNT($I$4:$I$1463),3)))</f>
        <v>0.73699999999999999</v>
      </c>
      <c r="S1314" s="19" t="str">
        <f>IF($C1314="","",IF($G1314="","Name only",IF(OR($I1314="",$L1314=""),"Partial","Complete")))</f>
        <v>Complete</v>
      </c>
      <c r="T1314" s="1" t="str">
        <f>IF($C1314="","",TRIM(IF(COUNTIF($C$4:$C$1463,$C1314)&gt;1,"Dup name; ","")&amp;IF(AND($G1314&lt;&gt;"",$G1314&lt;55000),"Low CR - verify; ","")&amp;IF(AND($L1314&lt;&gt;"",$L1314&gt;15),"Secondary - verify; ","")&amp;IF($E1314="","No class; ","")))</f>
        <v/>
      </c>
      <c r="U1314" s="68"/>
      <c r="V1314" s="68"/>
      <c r="W1314" s="68"/>
      <c r="X1314" s="76">
        <f t="shared" si="102"/>
        <v>5371</v>
      </c>
      <c r="Y1314" s="1" t="str">
        <f t="shared" si="103"/>
        <v>VANGUARD|62</v>
      </c>
      <c r="Z1314" s="19">
        <f>IF($C1314="","",IF($G1314="","",RANK($G1314,$G$4:$G$1463)+COUNTIF($G$4:$G1314,$G1314)-1))</f>
        <v>722</v>
      </c>
      <c r="AA1314" s="19">
        <f>IF($C1314="","",IF($N1314="","",RANK($N1314,$N$4:$N$1463)+COUNTIF($N$4:$N1314,$N1314)-1))</f>
        <v>457</v>
      </c>
      <c r="AB1314" s="1" t="str">
        <f>IF($C1314="","",IF($E1314="","",$E1314&amp;"#"&amp;(COUNTIFS($E$4:$E$1463,$E1314,$X$4:$X$1463,"&gt;"&amp;$X1314)+COUNTIFS($E$4:$E1314,$E1314,$X$4:$X1314,"="&amp;$X1314))))</f>
        <v>WARLOCK#79</v>
      </c>
      <c r="AC1314" s="1" t="str">
        <f>IF($C1314="","",$B1314&amp;"@"&amp;(COUNTIFS($B$4:$B$1463,$B1314,$C$4:$C$1463,"&lt;"&amp;$C1314)+COUNTIFS($B$4:$B1314,$B1314,$C$4:$C1314,$C1314)))</f>
        <v>VANGUARD@95</v>
      </c>
      <c r="AD1314" s="1">
        <f t="shared" si="104"/>
        <v>1311</v>
      </c>
      <c r="AE1314" s="1" t="s">
        <v>2698</v>
      </c>
      <c r="AF1314" s="76">
        <f t="shared" si="105"/>
        <v>62304</v>
      </c>
      <c r="AG1314" s="77">
        <f t="shared" si="106"/>
        <v>4.45</v>
      </c>
      <c r="AH1314" s="1" t="str">
        <f>IF($C1314="","",$B1314&amp;"|"&amp;(COUNTIFS($B$4:$B$1463,$B1314,$AF$4:$AF$1463,"&gt;"&amp;$AF1314)+COUNTIFS($B$4:$B1314,$B1314,$AF$4:$AF1314,"="&amp;$AF1314)))</f>
        <v>VANGUARD|83</v>
      </c>
      <c r="AI1314" s="1" t="str">
        <f>IF($C1314="","",$B1314&amp;"|"&amp;(COUNTIFS($B$4:$B$1463,$B1314,$AG$4:$AG$1463,"&gt;"&amp;$AG1314)+COUNTIFS($B$4:$B1314,$B1314,$AG$4:$AG1314,"="&amp;$AG1314)))</f>
        <v>VANGUARD|81</v>
      </c>
    </row>
    <row r="1315" spans="1:35" hidden="1">
      <c r="A1315" s="69" t="s">
        <v>109</v>
      </c>
      <c r="B1315" s="69" t="s">
        <v>114</v>
      </c>
      <c r="C1315" s="63" t="s">
        <v>2758</v>
      </c>
      <c r="D1315" s="69"/>
      <c r="E1315" s="68" t="s">
        <v>78</v>
      </c>
      <c r="F1315" s="15" t="str">
        <f>IF($C1315="","",IF($E1315="","-",IFERROR(INDEX(SETUP!$B$55:$B$64,MATCH($E1315,SETUP!$A$55:$A$64,0)),"Other")))</f>
        <v>Melee DPS</v>
      </c>
      <c r="G1315" s="70">
        <v>62900</v>
      </c>
      <c r="H1315" s="15" t="str">
        <f>IF($C1315="","",IF($G1315="","-",INDEX(SETUP!$B$26:$B$32,MATCH($G1315,SETUP!$A$26:$A$32,1))))</f>
        <v>62,000 - 62,999</v>
      </c>
      <c r="I1315" s="70">
        <v>2380</v>
      </c>
      <c r="J1315" s="15" t="str">
        <f>IF($C1315="","",IF($I1315="","-",INDEX(SETUP!$B$16:$B$22,MATCH($I1315,SETUP!$A$16:$A$22,1))))</f>
        <v>DEVELOPING</v>
      </c>
      <c r="K1315" s="15" t="str">
        <f>IF($C1315="","",IF($I1315="","-",TEXT(INT($I1315/1000)*1000,"#,##0")&amp;" - "&amp;TEXT(INT($I1315/1000)*1000+999,"#,##0")))</f>
        <v>2,000 - 2,999</v>
      </c>
      <c r="L1315" s="71">
        <v>4.07</v>
      </c>
      <c r="M1315" s="15" t="str">
        <f>IF($C1315="","",IF($L1315="","-",INDEX(SETUP!$B$36:$B$42,MATCH($L1315,SETUP!$A$36:$A$42,1))))</f>
        <v>4k - 5k</v>
      </c>
      <c r="N1315" s="17">
        <f>IF($C1315="","",IF(OR($G1315="",$I1315=""),"",ROUND(100*(SETUP!$B$4*MIN(1,$I1315/SETUP!$B$9)+SETUP!$B$5*MAX(0,MIN(1,($G1315-SETUP!$B$10)/(SETUP!$B$11-SETUP!$B$10)))+SETUP!$B$6*MIN(1,IF($L1315="",0,$L1315)/SETUP!$B$12)),1)))</f>
        <v>38</v>
      </c>
      <c r="O1315" s="15" t="str">
        <f>IF($C1315="","",IF($N1315="","-",INDEX(SETUP!$B$46:$B$51,MATCH($N1315,SETUP!$A$46:$A$51,1))))</f>
        <v>B</v>
      </c>
      <c r="P1315" s="15">
        <f>IF($C1315="","",IF($I1315="","",RANK($I1315,$I$4:$I$1463)+COUNTIF($I$4:$I1315,$I1315)-1))</f>
        <v>1033</v>
      </c>
      <c r="Q1315" s="15">
        <f>IF($C1315="","",COUNTIFS($B$4:$B$1463,$B1315,$X$4:$X$1463,"&gt;"&amp;$X1315)+COUNTIFS($B$4:$B1315,$B1315,$X$4:$X1315,"="&amp;$X1315))</f>
        <v>45</v>
      </c>
      <c r="R1315" s="72">
        <f>IF($C1315="","",IF($I1315="","",ROUND(COUNTIF($I$4:$I$1463,"&lt;"&amp;$I1315)/COUNT($I$4:$I$1463),3)))</f>
        <v>0.22</v>
      </c>
      <c r="S1315" s="15" t="str">
        <f>IF($C1315="","",IF($G1315="","Name only",IF(OR($I1315="",$L1315=""),"Partial","Complete")))</f>
        <v>Complete</v>
      </c>
      <c r="T1315" s="41" t="str">
        <f>IF($C1315="","",TRIM(IF(COUNTIF($C$4:$C$1463,$C1315)&gt;1,"Dup name; ","")&amp;IF(AND($G1315&lt;&gt;"",$G1315&lt;55000),"Low CR - verify; ","")&amp;IF(AND($L1315&lt;&gt;"",$L1315&gt;15),"Secondary - verify; ","")&amp;IF($E1315="","No class; ","")))</f>
        <v/>
      </c>
      <c r="U1315" s="68"/>
      <c r="V1315" s="68"/>
      <c r="W1315" s="68"/>
      <c r="X1315" s="73">
        <f t="shared" si="102"/>
        <v>2380</v>
      </c>
      <c r="Y1315" s="41" t="str">
        <f t="shared" si="103"/>
        <v>EMERALD LEAF TRIBE|45</v>
      </c>
      <c r="Z1315" s="15">
        <f>IF($C1315="","",IF($G1315="","",RANK($G1315,$G$4:$G$1463)+COUNTIF($G$4:$G1315,$G1315)-1))</f>
        <v>474</v>
      </c>
      <c r="AA1315" s="15">
        <f>IF($C1315="","",IF($N1315="","",RANK($N1315,$N$4:$N$1463)+COUNTIF($N$4:$N1315,$N1315)-1))</f>
        <v>899</v>
      </c>
      <c r="AB1315" s="41" t="str">
        <f>IF($C1315="","",IF($E1315="","",$E1315&amp;"#"&amp;(COUNTIFS($E$4:$E$1463,$E1315,$X$4:$X$1463,"&gt;"&amp;$X1315)+COUNTIFS($E$4:$E1315,$E1315,$X$4:$X1315,"="&amp;$X1315))))</f>
        <v>TEMPEST#46</v>
      </c>
      <c r="AC1315" s="41" t="str">
        <f>IF($C1315="","",$B1315&amp;"@"&amp;(COUNTIFS($B$4:$B$1463,$B1315,$C$4:$C$1463,"&lt;"&amp;$C1315)+COUNTIFS($B$4:$B1315,$B1315,$C$4:$C1315,$C1315)))</f>
        <v>EMERALD LEAF TRIBE@95</v>
      </c>
      <c r="AD1315" s="41">
        <f t="shared" si="104"/>
        <v>1312</v>
      </c>
      <c r="AE1315" s="41" t="s">
        <v>2759</v>
      </c>
      <c r="AF1315" s="73">
        <f t="shared" si="105"/>
        <v>62900</v>
      </c>
      <c r="AG1315" s="74">
        <f t="shared" si="106"/>
        <v>4.07</v>
      </c>
      <c r="AH1315" s="41" t="str">
        <f>IF($C1315="","",$B1315&amp;"|"&amp;(COUNTIFS($B$4:$B$1463,$B1315,$AF$4:$AF$1463,"&gt;"&amp;$AF1315)+COUNTIFS($B$4:$B1315,$B1315,$AF$4:$AF1315,"="&amp;$AF1315)))</f>
        <v>EMERALD LEAF TRIBE|10</v>
      </c>
      <c r="AI1315" s="41" t="str">
        <f>IF($C1315="","",$B1315&amp;"|"&amp;(COUNTIFS($B$4:$B$1463,$B1315,$AG$4:$AG$1463,"&gt;"&amp;$AG1315)+COUNTIFS($B$4:$B1315,$B1315,$AG$4:$AG1315,"="&amp;$AG1315)))</f>
        <v>EMERALD LEAF TRIBE|30</v>
      </c>
    </row>
    <row r="1316" spans="1:35" hidden="1">
      <c r="A1316" s="69" t="s">
        <v>109</v>
      </c>
      <c r="B1316" s="69" t="s">
        <v>117</v>
      </c>
      <c r="C1316" s="63" t="s">
        <v>2760</v>
      </c>
      <c r="D1316" s="69"/>
      <c r="E1316" s="68" t="s">
        <v>80</v>
      </c>
      <c r="F1316" s="19" t="str">
        <f>IF($C1316="","",IF($E1316="","-",IFERROR(INDEX(SETUP!$B$55:$B$64,MATCH($E1316,SETUP!$A$55:$A$64,0)),"Other")))</f>
        <v>Ranged DPS</v>
      </c>
      <c r="G1316" s="70">
        <v>58423</v>
      </c>
      <c r="H1316" s="19" t="str">
        <f>IF($C1316="","",IF($G1316="","-",INDEX(SETUP!$B$26:$B$32,MATCH($G1316,SETUP!$A$26:$A$32,1))))</f>
        <v>58,000 - 59,999</v>
      </c>
      <c r="I1316" s="70">
        <v>1521</v>
      </c>
      <c r="J1316" s="19" t="str">
        <f>IF($C1316="","",IF($I1316="","-",INDEX(SETUP!$B$16:$B$22,MATCH($I1316,SETUP!$A$16:$A$22,1))))</f>
        <v>ROOKIE</v>
      </c>
      <c r="K1316" s="19" t="str">
        <f>IF($C1316="","",IF($I1316="","-",TEXT(INT($I1316/1000)*1000,"#,##0")&amp;" - "&amp;TEXT(INT($I1316/1000)*1000+999,"#,##0")))</f>
        <v>1,000 - 1,999</v>
      </c>
      <c r="L1316" s="71">
        <v>3.7</v>
      </c>
      <c r="M1316" s="19" t="str">
        <f>IF($C1316="","",IF($L1316="","-",INDEX(SETUP!$B$36:$B$42,MATCH($L1316,SETUP!$A$36:$A$42,1))))</f>
        <v>3k - 4k</v>
      </c>
      <c r="N1316" s="21">
        <f>IF($C1316="","",IF(OR($G1316="",$I1316=""),"",ROUND(100*(SETUP!$B$4*MIN(1,$I1316/SETUP!$B$9)+SETUP!$B$5*MAX(0,MIN(1,($G1316-SETUP!$B$10)/(SETUP!$B$11-SETUP!$B$10)))+SETUP!$B$6*MIN(1,IF($L1316="",0,$L1316)/SETUP!$B$12)),1)))</f>
        <v>21.8</v>
      </c>
      <c r="O1316" s="19" t="str">
        <f>IF($C1316="","",IF($N1316="","-",INDEX(SETUP!$B$46:$B$51,MATCH($N1316,SETUP!$A$46:$A$51,1))))</f>
        <v>C</v>
      </c>
      <c r="P1316" s="19">
        <f>IF($C1316="","",IF($I1316="","",RANK($I1316,$I$4:$I$1463)+COUNTIF($I$4:$I1316,$I1316)-1))</f>
        <v>1186</v>
      </c>
      <c r="Q1316" s="19">
        <f>IF($C1316="","",COUNTIFS($B$4:$B$1463,$B1316,$X$4:$X$1463,"&gt;"&amp;$X1316)+COUNTIFS($B$4:$B1316,$B1316,$X$4:$X1316,"="&amp;$X1316))</f>
        <v>64</v>
      </c>
      <c r="R1316" s="75">
        <f>IF($C1316="","",IF($I1316="","",ROUND(COUNTIF($I$4:$I$1463,"&lt;"&amp;$I1316)/COUNT($I$4:$I$1463),3)))</f>
        <v>0.105</v>
      </c>
      <c r="S1316" s="19" t="str">
        <f>IF($C1316="","",IF($G1316="","Name only",IF(OR($I1316="",$L1316=""),"Partial","Complete")))</f>
        <v>Complete</v>
      </c>
      <c r="T1316" s="1" t="str">
        <f>IF($C1316="","",TRIM(IF(COUNTIF($C$4:$C$1463,$C1316)&gt;1,"Dup name; ","")&amp;IF(AND($G1316&lt;&gt;"",$G1316&lt;55000),"Low CR - verify; ","")&amp;IF(AND($L1316&lt;&gt;"",$L1316&gt;15),"Secondary - verify; ","")&amp;IF($E1316="","No class; ","")))</f>
        <v/>
      </c>
      <c r="U1316" s="68"/>
      <c r="V1316" s="68"/>
      <c r="W1316" s="68"/>
      <c r="X1316" s="76">
        <f t="shared" si="102"/>
        <v>1521</v>
      </c>
      <c r="Y1316" s="1" t="str">
        <f t="shared" si="103"/>
        <v>VENDETTA|64</v>
      </c>
      <c r="Z1316" s="19">
        <f>IF($C1316="","",IF($G1316="","",RANK($G1316,$G$4:$G$1463)+COUNTIF($G$4:$G1316,$G1316)-1))</f>
        <v>1291</v>
      </c>
      <c r="AA1316" s="19">
        <f>IF($C1316="","",IF($N1316="","",RANK($N1316,$N$4:$N$1463)+COUNTIF($N$4:$N1316,$N1316)-1))</f>
        <v>1280</v>
      </c>
      <c r="AB1316" s="1" t="str">
        <f>IF($C1316="","",IF($E1316="","",$E1316&amp;"#"&amp;(COUNTIFS($E$4:$E$1463,$E1316,$X$4:$X$1463,"&gt;"&amp;$X1316)+COUNTIFS($E$4:$E1316,$E1316,$X$4:$X1316,"="&amp;$X1316))))</f>
        <v>WIZARD#83</v>
      </c>
      <c r="AC1316" s="1" t="str">
        <f>IF($C1316="","",$B1316&amp;"@"&amp;(COUNTIFS($B$4:$B$1463,$B1316,$C$4:$C$1463,"&lt;"&amp;$C1316)+COUNTIFS($B$4:$B1316,$B1316,$C$4:$C1316,$C1316)))</f>
        <v>VENDETTA@90</v>
      </c>
      <c r="AD1316" s="1">
        <f t="shared" si="104"/>
        <v>1313</v>
      </c>
      <c r="AE1316" s="1" t="s">
        <v>2761</v>
      </c>
      <c r="AF1316" s="76">
        <f t="shared" si="105"/>
        <v>58423</v>
      </c>
      <c r="AG1316" s="77">
        <f t="shared" si="106"/>
        <v>3.7</v>
      </c>
      <c r="AH1316" s="1" t="str">
        <f>IF($C1316="","",$B1316&amp;"|"&amp;(COUNTIFS($B$4:$B$1463,$B1316,$AF$4:$AF$1463,"&gt;"&amp;$AF1316)+COUNTIFS($B$4:$B1316,$B1316,$AF$4:$AF1316,"="&amp;$AF1316)))</f>
        <v>VENDETTA|90</v>
      </c>
      <c r="AI1316" s="1" t="str">
        <f>IF($C1316="","",$B1316&amp;"|"&amp;(COUNTIFS($B$4:$B$1463,$B1316,$AG$4:$AG$1463,"&gt;"&amp;$AG1316)+COUNTIFS($B$4:$B1316,$B1316,$AG$4:$AG1316,"="&amp;$AG1316)))</f>
        <v>VENDETTA|48</v>
      </c>
    </row>
    <row r="1317" spans="1:35" hidden="1">
      <c r="A1317" s="69" t="s">
        <v>106</v>
      </c>
      <c r="B1317" s="69" t="s">
        <v>107</v>
      </c>
      <c r="C1317" s="63" t="s">
        <v>2762</v>
      </c>
      <c r="D1317" s="69"/>
      <c r="E1317" s="68" t="s">
        <v>76</v>
      </c>
      <c r="F1317" s="15" t="str">
        <f>IF($C1317="","",IF($E1317="","-",IFERROR(INDEX(SETUP!$B$55:$B$64,MATCH($E1317,SETUP!$A$55:$A$64,0)),"Other")))</f>
        <v>Support</v>
      </c>
      <c r="G1317" s="70">
        <v>62723</v>
      </c>
      <c r="H1317" s="15" t="str">
        <f>IF($C1317="","",IF($G1317="","-",INDEX(SETUP!$B$26:$B$32,MATCH($G1317,SETUP!$A$26:$A$32,1))))</f>
        <v>62,000 - 62,999</v>
      </c>
      <c r="I1317" s="70">
        <v>5154</v>
      </c>
      <c r="J1317" s="15" t="str">
        <f>IF($C1317="","",IF($I1317="","-",INDEX(SETUP!$B$16:$B$22,MATCH($I1317,SETUP!$A$16:$A$22,1))))</f>
        <v>CORE</v>
      </c>
      <c r="K1317" s="15" t="str">
        <f>IF($C1317="","",IF($I1317="","-",TEXT(INT($I1317/1000)*1000,"#,##0")&amp;" - "&amp;TEXT(INT($I1317/1000)*1000+999,"#,##0")))</f>
        <v>5,000 - 5,999</v>
      </c>
      <c r="L1317" s="71">
        <v>5.0999999999999996</v>
      </c>
      <c r="M1317" s="15" t="str">
        <f>IF($C1317="","",IF($L1317="","-",INDEX(SETUP!$B$36:$B$42,MATCH($L1317,SETUP!$A$36:$A$42,1))))</f>
        <v>5k - 6k</v>
      </c>
      <c r="N1317" s="17">
        <f>IF($C1317="","",IF(OR($G1317="",$I1317=""),"",ROUND(100*(SETUP!$B$4*MIN(1,$I1317/SETUP!$B$9)+SETUP!$B$5*MAX(0,MIN(1,($G1317-SETUP!$B$10)/(SETUP!$B$11-SETUP!$B$10)))+SETUP!$B$6*MIN(1,IF($L1317="",0,$L1317)/SETUP!$B$12)),1)))</f>
        <v>51.3</v>
      </c>
      <c r="O1317" s="15" t="str">
        <f>IF($C1317="","",IF($N1317="","-",INDEX(SETUP!$B$46:$B$51,MATCH($N1317,SETUP!$A$46:$A$51,1))))</f>
        <v>A</v>
      </c>
      <c r="P1317" s="15">
        <f>IF($C1317="","",IF($I1317="","",RANK($I1317,$I$4:$I$1463)+COUNTIF($I$4:$I1317,$I1317)-1))</f>
        <v>384</v>
      </c>
      <c r="Q1317" s="15">
        <f>IF($C1317="","",COUNTIFS($B$4:$B$1463,$B1317,$X$4:$X$1463,"&gt;"&amp;$X1317)+COUNTIFS($B$4:$B1317,$B1317,$X$4:$X1317,"="&amp;$X1317))</f>
        <v>27</v>
      </c>
      <c r="R1317" s="72">
        <f>IF($C1317="","",IF($I1317="","",ROUND(COUNTIF($I$4:$I$1463,"&lt;"&amp;$I1317)/COUNT($I$4:$I$1463),3)))</f>
        <v>0.71</v>
      </c>
      <c r="S1317" s="15" t="str">
        <f>IF($C1317="","",IF($G1317="","Name only",IF(OR($I1317="",$L1317=""),"Partial","Complete")))</f>
        <v>Complete</v>
      </c>
      <c r="T1317" s="41" t="str">
        <f>IF($C1317="","",TRIM(IF(COUNTIF($C$4:$C$1463,$C1317)&gt;1,"Dup name; ","")&amp;IF(AND($G1317&lt;&gt;"",$G1317&lt;55000),"Low CR - verify; ","")&amp;IF(AND($L1317&lt;&gt;"",$L1317&gt;15),"Secondary - verify; ","")&amp;IF($E1317="","No class; ","")))</f>
        <v/>
      </c>
      <c r="U1317" s="68"/>
      <c r="V1317" s="68"/>
      <c r="W1317" s="68"/>
      <c r="X1317" s="73">
        <f t="shared" si="102"/>
        <v>5154</v>
      </c>
      <c r="Y1317" s="41" t="str">
        <f t="shared" si="103"/>
        <v>UNDYING|27</v>
      </c>
      <c r="Z1317" s="15">
        <f>IF($C1317="","",IF($G1317="","",RANK($G1317,$G$4:$G$1463)+COUNTIF($G$4:$G1317,$G1317)-1))</f>
        <v>558</v>
      </c>
      <c r="AA1317" s="15">
        <f>IF($C1317="","",IF($N1317="","",RANK($N1317,$N$4:$N$1463)+COUNTIF($N$4:$N1317,$N1317)-1))</f>
        <v>413</v>
      </c>
      <c r="AB1317" s="41" t="str">
        <f>IF($C1317="","",IF($E1317="","",$E1317&amp;"#"&amp;(COUNTIFS($E$4:$E$1463,$E1317,$X$4:$X$1463,"&gt;"&amp;$X1317)+COUNTIFS($E$4:$E1317,$E1317,$X$4:$X1317,"="&amp;$X1317))))</f>
        <v>MONK#9</v>
      </c>
      <c r="AC1317" s="41" t="str">
        <f>IF($C1317="","",$B1317&amp;"@"&amp;(COUNTIFS($B$4:$B$1463,$B1317,$C$4:$C$1463,"&lt;"&amp;$C1317)+COUNTIFS($B$4:$B1317,$B1317,$C$4:$C1317,$C1317)))</f>
        <v>UNDYING@96</v>
      </c>
      <c r="AD1317" s="41">
        <f t="shared" si="104"/>
        <v>1314</v>
      </c>
      <c r="AE1317" s="41" t="s">
        <v>559</v>
      </c>
      <c r="AF1317" s="73">
        <f t="shared" si="105"/>
        <v>62723</v>
      </c>
      <c r="AG1317" s="74">
        <f t="shared" si="106"/>
        <v>5.0999999999999996</v>
      </c>
      <c r="AH1317" s="41" t="str">
        <f>IF($C1317="","",$B1317&amp;"|"&amp;(COUNTIFS($B$4:$B$1463,$B1317,$AF$4:$AF$1463,"&gt;"&amp;$AF1317)+COUNTIFS($B$4:$B1317,$B1317,$AF$4:$AF1317,"="&amp;$AF1317)))</f>
        <v>UNDYING|54</v>
      </c>
      <c r="AI1317" s="41" t="str">
        <f>IF($C1317="","",$B1317&amp;"|"&amp;(COUNTIFS($B$4:$B$1463,$B1317,$AG$4:$AG$1463,"&gt;"&amp;$AG1317)+COUNTIFS($B$4:$B1317,$B1317,$AG$4:$AG1317,"="&amp;$AG1317)))</f>
        <v>UNDYING|50</v>
      </c>
    </row>
    <row r="1318" spans="1:35" hidden="1">
      <c r="A1318" s="69" t="s">
        <v>109</v>
      </c>
      <c r="B1318" s="69" t="s">
        <v>117</v>
      </c>
      <c r="C1318" s="63" t="s">
        <v>2763</v>
      </c>
      <c r="D1318" s="69"/>
      <c r="E1318" s="68" t="s">
        <v>72</v>
      </c>
      <c r="F1318" s="19" t="str">
        <f>IF($C1318="","",IF($E1318="","-",IFERROR(INDEX(SETUP!$B$55:$B$64,MATCH($E1318,SETUP!$A$55:$A$64,0)),"Other")))</f>
        <v>Frontline</v>
      </c>
      <c r="G1318" s="70">
        <v>62508</v>
      </c>
      <c r="H1318" s="19" t="str">
        <f>IF($C1318="","",IF($G1318="","-",INDEX(SETUP!$B$26:$B$32,MATCH($G1318,SETUP!$A$26:$A$32,1))))</f>
        <v>62,000 - 62,999</v>
      </c>
      <c r="I1318" s="70">
        <v>1388</v>
      </c>
      <c r="J1318" s="19" t="str">
        <f>IF($C1318="","",IF($I1318="","-",INDEX(SETUP!$B$16:$B$22,MATCH($I1318,SETUP!$A$16:$A$22,1))))</f>
        <v>ROOKIE</v>
      </c>
      <c r="K1318" s="19" t="str">
        <f>IF($C1318="","",IF($I1318="","-",TEXT(INT($I1318/1000)*1000,"#,##0")&amp;" - "&amp;TEXT(INT($I1318/1000)*1000+999,"#,##0")))</f>
        <v>1,000 - 1,999</v>
      </c>
      <c r="L1318" s="71">
        <v>4</v>
      </c>
      <c r="M1318" s="19" t="str">
        <f>IF($C1318="","",IF($L1318="","-",INDEX(SETUP!$B$36:$B$42,MATCH($L1318,SETUP!$A$36:$A$42,1))))</f>
        <v>4k - 5k</v>
      </c>
      <c r="N1318" s="21">
        <f>IF($C1318="","",IF(OR($G1318="",$I1318=""),"",ROUND(100*(SETUP!$B$4*MIN(1,$I1318/SETUP!$B$9)+SETUP!$B$5*MAX(0,MIN(1,($G1318-SETUP!$B$10)/(SETUP!$B$11-SETUP!$B$10)))+SETUP!$B$6*MIN(1,IF($L1318="",0,$L1318)/SETUP!$B$12)),1)))</f>
        <v>32.5</v>
      </c>
      <c r="O1318" s="19" t="str">
        <f>IF($C1318="","",IF($N1318="","-",INDEX(SETUP!$B$46:$B$51,MATCH($N1318,SETUP!$A$46:$A$51,1))))</f>
        <v>C</v>
      </c>
      <c r="P1318" s="19">
        <f>IF($C1318="","",IF($I1318="","",RANK($I1318,$I$4:$I$1463)+COUNTIF($I$4:$I1318,$I1318)-1))</f>
        <v>1219</v>
      </c>
      <c r="Q1318" s="19">
        <f>IF($C1318="","",COUNTIFS($B$4:$B$1463,$B1318,$X$4:$X$1463,"&gt;"&amp;$X1318)+COUNTIFS($B$4:$B1318,$B1318,$X$4:$X1318,"="&amp;$X1318))</f>
        <v>75</v>
      </c>
      <c r="R1318" s="75">
        <f>IF($C1318="","",IF($I1318="","",ROUND(COUNTIF($I$4:$I$1463,"&lt;"&amp;$I1318)/COUNT($I$4:$I$1463),3)))</f>
        <v>0.08</v>
      </c>
      <c r="S1318" s="19" t="str">
        <f>IF($C1318="","",IF($G1318="","Name only",IF(OR($I1318="",$L1318=""),"Partial","Complete")))</f>
        <v>Complete</v>
      </c>
      <c r="T1318" s="1" t="str">
        <f>IF($C1318="","",TRIM(IF(COUNTIF($C$4:$C$1463,$C1318)&gt;1,"Dup name; ","")&amp;IF(AND($G1318&lt;&gt;"",$G1318&lt;55000),"Low CR - verify; ","")&amp;IF(AND($L1318&lt;&gt;"",$L1318&gt;15),"Secondary - verify; ","")&amp;IF($E1318="","No class; ","")))</f>
        <v/>
      </c>
      <c r="U1318" s="68"/>
      <c r="V1318" s="68"/>
      <c r="W1318" s="68"/>
      <c r="X1318" s="76">
        <f t="shared" si="102"/>
        <v>1388</v>
      </c>
      <c r="Y1318" s="1" t="str">
        <f t="shared" si="103"/>
        <v>VENDETTA|75</v>
      </c>
      <c r="Z1318" s="19">
        <f>IF($C1318="","",IF($G1318="","",RANK($G1318,$G$4:$G$1463)+COUNTIF($G$4:$G1318,$G1318)-1))</f>
        <v>651</v>
      </c>
      <c r="AA1318" s="19">
        <f>IF($C1318="","",IF($N1318="","",RANK($N1318,$N$4:$N$1463)+COUNTIF($N$4:$N1318,$N1318)-1))</f>
        <v>1084</v>
      </c>
      <c r="AB1318" s="1" t="str">
        <f>IF($C1318="","",IF($E1318="","",$E1318&amp;"#"&amp;(COUNTIFS($E$4:$E$1463,$E1318,$X$4:$X$1463,"&gt;"&amp;$X1318)+COUNTIFS($E$4:$E1318,$E1318,$X$4:$X1318,"="&amp;$X1318))))</f>
        <v>BLOOD KNIGHT#86</v>
      </c>
      <c r="AC1318" s="1" t="str">
        <f>IF($C1318="","",$B1318&amp;"@"&amp;(COUNTIFS($B$4:$B$1463,$B1318,$C$4:$C$1463,"&lt;"&amp;$C1318)+COUNTIFS($B$4:$B1318,$B1318,$C$4:$C1318,$C1318)))</f>
        <v>VENDETTA@91</v>
      </c>
      <c r="AD1318" s="1">
        <f t="shared" si="104"/>
        <v>1315</v>
      </c>
      <c r="AE1318" s="1" t="s">
        <v>851</v>
      </c>
      <c r="AF1318" s="76">
        <f t="shared" si="105"/>
        <v>62508</v>
      </c>
      <c r="AG1318" s="77">
        <f t="shared" si="106"/>
        <v>4</v>
      </c>
      <c r="AH1318" s="1" t="str">
        <f>IF($C1318="","",$B1318&amp;"|"&amp;(COUNTIFS($B$4:$B$1463,$B1318,$AF$4:$AF$1463,"&gt;"&amp;$AF1318)+COUNTIFS($B$4:$B1318,$B1318,$AF$4:$AF1318,"="&amp;$AF1318)))</f>
        <v>VENDETTA|18</v>
      </c>
      <c r="AI1318" s="1" t="str">
        <f>IF($C1318="","",$B1318&amp;"|"&amp;(COUNTIFS($B$4:$B$1463,$B1318,$AG$4:$AG$1463,"&gt;"&amp;$AG1318)+COUNTIFS($B$4:$B1318,$B1318,$AG$4:$AG1318,"="&amp;$AG1318)))</f>
        <v>VENDETTA|41</v>
      </c>
    </row>
    <row r="1319" spans="1:35" hidden="1">
      <c r="A1319" s="69" t="s">
        <v>109</v>
      </c>
      <c r="B1319" s="69" t="s">
        <v>111</v>
      </c>
      <c r="C1319" s="63" t="s">
        <v>2764</v>
      </c>
      <c r="D1319" s="69" t="s">
        <v>527</v>
      </c>
      <c r="E1319" s="68" t="s">
        <v>79</v>
      </c>
      <c r="F1319" s="15" t="str">
        <f>IF($C1319="","",IF($E1319="","-",IFERROR(INDEX(SETUP!$B$55:$B$64,MATCH($E1319,SETUP!$A$55:$A$64,0)),"Other")))</f>
        <v>Control</v>
      </c>
      <c r="G1319" s="70">
        <v>63277</v>
      </c>
      <c r="H1319" s="15" t="str">
        <f>IF($C1319="","",IF($G1319="","-",INDEX(SETUP!$B$26:$B$32,MATCH($G1319,SETUP!$A$26:$A$32,1))))</f>
        <v>63,000 - 63,999</v>
      </c>
      <c r="I1319" s="70">
        <v>4786</v>
      </c>
      <c r="J1319" s="15" t="str">
        <f>IF($C1319="","",IF($I1319="","-",INDEX(SETUP!$B$16:$B$22,MATCH($I1319,SETUP!$A$16:$A$22,1))))</f>
        <v>CORE</v>
      </c>
      <c r="K1319" s="15" t="str">
        <f>IF($C1319="","",IF($I1319="","-",TEXT(INT($I1319/1000)*1000,"#,##0")&amp;" - "&amp;TEXT(INT($I1319/1000)*1000+999,"#,##0")))</f>
        <v>4,000 - 4,999</v>
      </c>
      <c r="L1319" s="71">
        <v>5.7</v>
      </c>
      <c r="M1319" s="15" t="str">
        <f>IF($C1319="","",IF($L1319="","-",INDEX(SETUP!$B$36:$B$42,MATCH($L1319,SETUP!$A$36:$A$42,1))))</f>
        <v>5k - 6k</v>
      </c>
      <c r="N1319" s="17">
        <f>IF($C1319="","",IF(OR($G1319="",$I1319=""),"",ROUND(100*(SETUP!$B$4*MIN(1,$I1319/SETUP!$B$9)+SETUP!$B$5*MAX(0,MIN(1,($G1319-SETUP!$B$10)/(SETUP!$B$11-SETUP!$B$10)))+SETUP!$B$6*MIN(1,IF($L1319="",0,$L1319)/SETUP!$B$12)),1)))</f>
        <v>52.2</v>
      </c>
      <c r="O1319" s="15" t="str">
        <f>IF($C1319="","",IF($N1319="","-",INDEX(SETUP!$B$46:$B$51,MATCH($N1319,SETUP!$A$46:$A$51,1))))</f>
        <v>A</v>
      </c>
      <c r="P1319" s="15">
        <f>IF($C1319="","",IF($I1319="","",RANK($I1319,$I$4:$I$1463)+COUNTIF($I$4:$I1319,$I1319)-1))</f>
        <v>441</v>
      </c>
      <c r="Q1319" s="15">
        <f>IF($C1319="","",COUNTIFS($B$4:$B$1463,$B1319,$X$4:$X$1463,"&gt;"&amp;$X1319)+COUNTIFS($B$4:$B1319,$B1319,$X$4:$X1319,"="&amp;$X1319))</f>
        <v>50</v>
      </c>
      <c r="R1319" s="72">
        <f>IF($C1319="","",IF($I1319="","",ROUND(COUNTIF($I$4:$I$1463,"&lt;"&amp;$I1319)/COUNT($I$4:$I$1463),3)))</f>
        <v>0.66700000000000004</v>
      </c>
      <c r="S1319" s="15" t="str">
        <f>IF($C1319="","",IF($G1319="","Name only",IF(OR($I1319="",$L1319=""),"Partial","Complete")))</f>
        <v>Complete</v>
      </c>
      <c r="T1319" s="41" t="str">
        <f>IF($C1319="","",TRIM(IF(COUNTIF($C$4:$C$1463,$C1319)&gt;1,"Dup name; ","")&amp;IF(AND($G1319&lt;&gt;"",$G1319&lt;55000),"Low CR - verify; ","")&amp;IF(AND($L1319&lt;&gt;"",$L1319&gt;15),"Secondary - verify; ","")&amp;IF($E1319="","No class; ","")))</f>
        <v/>
      </c>
      <c r="U1319" s="68"/>
      <c r="V1319" s="68"/>
      <c r="W1319" s="68"/>
      <c r="X1319" s="73">
        <f t="shared" si="102"/>
        <v>4786</v>
      </c>
      <c r="Y1319" s="41" t="str">
        <f t="shared" si="103"/>
        <v>RECKONING|50</v>
      </c>
      <c r="Z1319" s="15">
        <f>IF($C1319="","",IF($G1319="","",RANK($G1319,$G$4:$G$1463)+COUNTIF($G$4:$G1319,$G1319)-1))</f>
        <v>272</v>
      </c>
      <c r="AA1319" s="15">
        <f>IF($C1319="","",IF($N1319="","",RANK($N1319,$N$4:$N$1463)+COUNTIF($N$4:$N1319,$N1319)-1))</f>
        <v>386</v>
      </c>
      <c r="AB1319" s="41" t="str">
        <f>IF($C1319="","",IF($E1319="","",$E1319&amp;"#"&amp;(COUNTIFS($E$4:$E$1463,$E1319,$X$4:$X$1463,"&gt;"&amp;$X1319)+COUNTIFS($E$4:$E1319,$E1319,$X$4:$X1319,"="&amp;$X1319))))</f>
        <v>WARLOCK#102</v>
      </c>
      <c r="AC1319" s="41" t="str">
        <f>IF($C1319="","",$B1319&amp;"@"&amp;(COUNTIFS($B$4:$B$1463,$B1319,$C$4:$C$1463,"&lt;"&amp;$C1319)+COUNTIFS($B$4:$B1319,$B1319,$C$4:$C1319,$C1319)))</f>
        <v>RECKONING@95</v>
      </c>
      <c r="AD1319" s="41">
        <f t="shared" si="104"/>
        <v>1316</v>
      </c>
      <c r="AE1319" s="41" t="s">
        <v>2765</v>
      </c>
      <c r="AF1319" s="73">
        <f t="shared" si="105"/>
        <v>63277</v>
      </c>
      <c r="AG1319" s="74">
        <f t="shared" si="106"/>
        <v>5.7</v>
      </c>
      <c r="AH1319" s="41" t="str">
        <f>IF($C1319="","",$B1319&amp;"|"&amp;(COUNTIFS($B$4:$B$1463,$B1319,$AF$4:$AF$1463,"&gt;"&amp;$AF1319)+COUNTIFS($B$4:$B1319,$B1319,$AF$4:$AF1319,"="&amp;$AF1319)))</f>
        <v>RECKONING|30</v>
      </c>
      <c r="AI1319" s="41" t="str">
        <f>IF($C1319="","",$B1319&amp;"|"&amp;(COUNTIFS($B$4:$B$1463,$B1319,$AG$4:$AG$1463,"&gt;"&amp;$AG1319)+COUNTIFS($B$4:$B1319,$B1319,$AG$4:$AG1319,"="&amp;$AG1319)))</f>
        <v>RECKONING|44</v>
      </c>
    </row>
    <row r="1320" spans="1:35" hidden="1">
      <c r="A1320" s="69" t="s">
        <v>109</v>
      </c>
      <c r="B1320" s="69" t="s">
        <v>118</v>
      </c>
      <c r="C1320" s="63" t="s">
        <v>2766</v>
      </c>
      <c r="D1320" s="69"/>
      <c r="E1320" s="68" t="s">
        <v>77</v>
      </c>
      <c r="F1320" s="19" t="str">
        <f>IF($C1320="","",IF($E1320="","-",IFERROR(INDEX(SETUP!$B$55:$B$64,MATCH($E1320,SETUP!$A$55:$A$64,0)),"Other")))</f>
        <v>Control</v>
      </c>
      <c r="G1320" s="70">
        <v>61110</v>
      </c>
      <c r="H1320" s="19" t="str">
        <f>IF($C1320="","",IF($G1320="","-",INDEX(SETUP!$B$26:$B$32,MATCH($G1320,SETUP!$A$26:$A$32,1))))</f>
        <v>61,000 - 61,999</v>
      </c>
      <c r="I1320" s="70">
        <v>600</v>
      </c>
      <c r="J1320" s="19" t="str">
        <f>IF($C1320="","",IF($I1320="","-",INDEX(SETUP!$B$16:$B$22,MATCH($I1320,SETUP!$A$16:$A$22,1))))</f>
        <v>ROOKIE</v>
      </c>
      <c r="K1320" s="19" t="str">
        <f>IF($C1320="","",IF($I1320="","-",TEXT(INT($I1320/1000)*1000,"#,##0")&amp;" - "&amp;TEXT(INT($I1320/1000)*1000+999,"#,##0")))</f>
        <v>0 - 999</v>
      </c>
      <c r="L1320" s="71">
        <v>2.7</v>
      </c>
      <c r="M1320" s="19" t="str">
        <f>IF($C1320="","",IF($L1320="","-",INDEX(SETUP!$B$36:$B$42,MATCH($L1320,SETUP!$A$36:$A$42,1))))</f>
        <v>Under 3k</v>
      </c>
      <c r="N1320" s="21">
        <f>IF($C1320="","",IF(OR($G1320="",$I1320=""),"",ROUND(100*(SETUP!$B$4*MIN(1,$I1320/SETUP!$B$9)+SETUP!$B$5*MAX(0,MIN(1,($G1320-SETUP!$B$10)/(SETUP!$B$11-SETUP!$B$10)))+SETUP!$B$6*MIN(1,IF($L1320="",0,$L1320)/SETUP!$B$12)),1)))</f>
        <v>23.2</v>
      </c>
      <c r="O1320" s="19" t="str">
        <f>IF($C1320="","",IF($N1320="","-",INDEX(SETUP!$B$46:$B$51,MATCH($N1320,SETUP!$A$46:$A$51,1))))</f>
        <v>C</v>
      </c>
      <c r="P1320" s="19">
        <f>IF($C1320="","",IF($I1320="","",RANK($I1320,$I$4:$I$1463)+COUNTIF($I$4:$I1320,$I1320)-1))</f>
        <v>1311</v>
      </c>
      <c r="Q1320" s="19">
        <f>IF($C1320="","",COUNTIFS($B$4:$B$1463,$B1320,$X$4:$X$1463,"&gt;"&amp;$X1320)+COUNTIFS($B$4:$B1320,$B1320,$X$4:$X1320,"="&amp;$X1320))</f>
        <v>94</v>
      </c>
      <c r="R1320" s="75">
        <f>IF($C1320="","",IF($I1320="","",ROUND(COUNTIF($I$4:$I$1463,"&lt;"&amp;$I1320)/COUNT($I$4:$I$1463),3)))</f>
        <v>1.0999999999999999E-2</v>
      </c>
      <c r="S1320" s="19" t="str">
        <f>IF($C1320="","",IF($G1320="","Name only",IF(OR($I1320="",$L1320=""),"Partial","Complete")))</f>
        <v>Complete</v>
      </c>
      <c r="T1320" s="1" t="str">
        <f>IF($C1320="","",TRIM(IF(COUNTIF($C$4:$C$1463,$C1320)&gt;1,"Dup name; ","")&amp;IF(AND($G1320&lt;&gt;"",$G1320&lt;55000),"Low CR - verify; ","")&amp;IF(AND($L1320&lt;&gt;"",$L1320&gt;15),"Secondary - verify; ","")&amp;IF($E1320="","No class; ","")))</f>
        <v/>
      </c>
      <c r="U1320" s="68"/>
      <c r="V1320" s="68"/>
      <c r="W1320" s="68"/>
      <c r="X1320" s="76">
        <f t="shared" si="102"/>
        <v>600</v>
      </c>
      <c r="Y1320" s="1" t="str">
        <f t="shared" si="103"/>
        <v>ZOMBIES|94</v>
      </c>
      <c r="Z1320" s="19">
        <f>IF($C1320="","",IF($G1320="","",RANK($G1320,$G$4:$G$1463)+COUNTIF($G$4:$G1320,$G1320)-1))</f>
        <v>1115</v>
      </c>
      <c r="AA1320" s="19">
        <f>IF($C1320="","",IF($N1320="","",RANK($N1320,$N$4:$N$1463)+COUNTIF($N$4:$N1320,$N1320)-1))</f>
        <v>1268</v>
      </c>
      <c r="AB1320" s="1" t="str">
        <f>IF($C1320="","",IF($E1320="","",$E1320&amp;"#"&amp;(COUNTIFS($E$4:$E$1463,$E1320,$X$4:$X$1463,"&gt;"&amp;$X1320)+COUNTIFS($E$4:$E1320,$E1320,$X$4:$X1320,"="&amp;$X1320))))</f>
        <v>NECROMANCER#106</v>
      </c>
      <c r="AC1320" s="1" t="str">
        <f>IF($C1320="","",$B1320&amp;"@"&amp;(COUNTIFS($B$4:$B$1463,$B1320,$C$4:$C$1463,"&lt;"&amp;$C1320)+COUNTIFS($B$4:$B1320,$B1320,$C$4:$C1320,$C1320)))</f>
        <v>ZOMBIES@96</v>
      </c>
      <c r="AD1320" s="1">
        <f t="shared" si="104"/>
        <v>1317</v>
      </c>
      <c r="AE1320" s="1" t="s">
        <v>570</v>
      </c>
      <c r="AF1320" s="76">
        <f t="shared" si="105"/>
        <v>61110</v>
      </c>
      <c r="AG1320" s="77">
        <f t="shared" si="106"/>
        <v>2.7</v>
      </c>
      <c r="AH1320" s="1" t="str">
        <f>IF($C1320="","",$B1320&amp;"|"&amp;(COUNTIFS($B$4:$B$1463,$B1320,$AF$4:$AF$1463,"&gt;"&amp;$AF1320)+COUNTIFS($B$4:$B1320,$B1320,$AF$4:$AF1320,"="&amp;$AF1320)))</f>
        <v>ZOMBIES|51</v>
      </c>
      <c r="AI1320" s="1" t="str">
        <f>IF($C1320="","",$B1320&amp;"|"&amp;(COUNTIFS($B$4:$B$1463,$B1320,$AG$4:$AG$1463,"&gt;"&amp;$AG1320)+COUNTIFS($B$4:$B1320,$B1320,$AG$4:$AG1320,"="&amp;$AG1320)))</f>
        <v>ZOMBIES|90</v>
      </c>
    </row>
    <row r="1321" spans="1:35" hidden="1">
      <c r="A1321" s="69" t="s">
        <v>109</v>
      </c>
      <c r="B1321" s="69" t="s">
        <v>118</v>
      </c>
      <c r="C1321" s="63" t="s">
        <v>2767</v>
      </c>
      <c r="D1321" s="69"/>
      <c r="E1321" s="68" t="s">
        <v>79</v>
      </c>
      <c r="F1321" s="15" t="str">
        <f>IF($C1321="","",IF($E1321="","-",IFERROR(INDEX(SETUP!$B$55:$B$64,MATCH($E1321,SETUP!$A$55:$A$64,0)),"Other")))</f>
        <v>Control</v>
      </c>
      <c r="G1321" s="70">
        <v>59921</v>
      </c>
      <c r="H1321" s="15" t="str">
        <f>IF($C1321="","",IF($G1321="","-",INDEX(SETUP!$B$26:$B$32,MATCH($G1321,SETUP!$A$26:$A$32,1))))</f>
        <v>58,000 - 59,999</v>
      </c>
      <c r="I1321" s="70">
        <v>1085</v>
      </c>
      <c r="J1321" s="15" t="str">
        <f>IF($C1321="","",IF($I1321="","-",INDEX(SETUP!$B$16:$B$22,MATCH($I1321,SETUP!$A$16:$A$22,1))))</f>
        <v>ROOKIE</v>
      </c>
      <c r="K1321" s="15" t="str">
        <f>IF($C1321="","",IF($I1321="","-",TEXT(INT($I1321/1000)*1000,"#,##0")&amp;" - "&amp;TEXT(INT($I1321/1000)*1000+999,"#,##0")))</f>
        <v>1,000 - 1,999</v>
      </c>
      <c r="L1321" s="71">
        <v>3.7</v>
      </c>
      <c r="M1321" s="15" t="str">
        <f>IF($C1321="","",IF($L1321="","-",INDEX(SETUP!$B$36:$B$42,MATCH($L1321,SETUP!$A$36:$A$42,1))))</f>
        <v>3k - 4k</v>
      </c>
      <c r="N1321" s="17">
        <f>IF($C1321="","",IF(OR($G1321="",$I1321=""),"",ROUND(100*(SETUP!$B$4*MIN(1,$I1321/SETUP!$B$9)+SETUP!$B$5*MAX(0,MIN(1,($G1321-SETUP!$B$10)/(SETUP!$B$11-SETUP!$B$10)))+SETUP!$B$6*MIN(1,IF($L1321="",0,$L1321)/SETUP!$B$12)),1)))</f>
        <v>23.9</v>
      </c>
      <c r="O1321" s="15" t="str">
        <f>IF($C1321="","",IF($N1321="","-",INDEX(SETUP!$B$46:$B$51,MATCH($N1321,SETUP!$A$46:$A$51,1))))</f>
        <v>C</v>
      </c>
      <c r="P1321" s="15">
        <f>IF($C1321="","",IF($I1321="","",RANK($I1321,$I$4:$I$1463)+COUNTIF($I$4:$I1321,$I1321)-1))</f>
        <v>1258</v>
      </c>
      <c r="Q1321" s="15">
        <f>IF($C1321="","",COUNTIFS($B$4:$B$1463,$B1321,$X$4:$X$1463,"&gt;"&amp;$X1321)+COUNTIFS($B$4:$B1321,$B1321,$X$4:$X1321,"="&amp;$X1321))</f>
        <v>77</v>
      </c>
      <c r="R1321" s="72">
        <f>IF($C1321="","",IF($I1321="","",ROUND(COUNTIF($I$4:$I$1463,"&lt;"&amp;$I1321)/COUNT($I$4:$I$1463),3)))</f>
        <v>5.0999999999999997E-2</v>
      </c>
      <c r="S1321" s="15" t="str">
        <f>IF($C1321="","",IF($G1321="","Name only",IF(OR($I1321="",$L1321=""),"Partial","Complete")))</f>
        <v>Complete</v>
      </c>
      <c r="T1321" s="41" t="str">
        <f>IF($C1321="","",TRIM(IF(COUNTIF($C$4:$C$1463,$C1321)&gt;1,"Dup name; ","")&amp;IF(AND($G1321&lt;&gt;"",$G1321&lt;55000),"Low CR - verify; ","")&amp;IF(AND($L1321&lt;&gt;"",$L1321&gt;15),"Secondary - verify; ","")&amp;IF($E1321="","No class; ","")))</f>
        <v/>
      </c>
      <c r="U1321" s="68"/>
      <c r="V1321" s="68"/>
      <c r="W1321" s="68"/>
      <c r="X1321" s="73">
        <f t="shared" si="102"/>
        <v>1085</v>
      </c>
      <c r="Y1321" s="41" t="str">
        <f t="shared" si="103"/>
        <v>ZOMBIES|77</v>
      </c>
      <c r="Z1321" s="15">
        <f>IF($C1321="","",IF($G1321="","",RANK($G1321,$G$4:$G$1463)+COUNTIF($G$4:$G1321,$G1321)-1))</f>
        <v>1242</v>
      </c>
      <c r="AA1321" s="15">
        <f>IF($C1321="","",IF($N1321="","",RANK($N1321,$N$4:$N$1463)+COUNTIF($N$4:$N1321,$N1321)-1))</f>
        <v>1260</v>
      </c>
      <c r="AB1321" s="41" t="str">
        <f>IF($C1321="","",IF($E1321="","",$E1321&amp;"#"&amp;(COUNTIFS($E$4:$E$1463,$E1321,$X$4:$X$1463,"&gt;"&amp;$X1321)+COUNTIFS($E$4:$E1321,$E1321,$X$4:$X1321,"="&amp;$X1321))))</f>
        <v>WARLOCK#308</v>
      </c>
      <c r="AC1321" s="41" t="str">
        <f>IF($C1321="","",$B1321&amp;"@"&amp;(COUNTIFS($B$4:$B$1463,$B1321,$C$4:$C$1463,"&lt;"&amp;$C1321)+COUNTIFS($B$4:$B1321,$B1321,$C$4:$C1321,$C1321)))</f>
        <v>ZOMBIES@97</v>
      </c>
      <c r="AD1321" s="41">
        <f t="shared" si="104"/>
        <v>1318</v>
      </c>
      <c r="AE1321" s="41" t="s">
        <v>1781</v>
      </c>
      <c r="AF1321" s="73">
        <f t="shared" si="105"/>
        <v>59921</v>
      </c>
      <c r="AG1321" s="74">
        <f t="shared" si="106"/>
        <v>3.7</v>
      </c>
      <c r="AH1321" s="41" t="str">
        <f>IF($C1321="","",$B1321&amp;"|"&amp;(COUNTIFS($B$4:$B$1463,$B1321,$AF$4:$AF$1463,"&gt;"&amp;$AF1321)+COUNTIFS($B$4:$B1321,$B1321,$AF$4:$AF1321,"="&amp;$AF1321)))</f>
        <v>ZOMBIES|80</v>
      </c>
      <c r="AI1321" s="41" t="str">
        <f>IF($C1321="","",$B1321&amp;"|"&amp;(COUNTIFS($B$4:$B$1463,$B1321,$AG$4:$AG$1463,"&gt;"&amp;$AG1321)+COUNTIFS($B$4:$B1321,$B1321,$AG$4:$AG1321,"="&amp;$AG1321)))</f>
        <v>ZOMBIES|44</v>
      </c>
    </row>
    <row r="1322" spans="1:35" hidden="1">
      <c r="A1322" s="69" t="s">
        <v>109</v>
      </c>
      <c r="B1322" s="69" t="s">
        <v>111</v>
      </c>
      <c r="C1322" s="63" t="s">
        <v>2768</v>
      </c>
      <c r="D1322" s="69" t="s">
        <v>527</v>
      </c>
      <c r="E1322" s="68" t="s">
        <v>77</v>
      </c>
      <c r="F1322" s="19" t="str">
        <f>IF($C1322="","",IF($E1322="","-",IFERROR(INDEX(SETUP!$B$55:$B$64,MATCH($E1322,SETUP!$A$55:$A$64,0)),"Other")))</f>
        <v>Control</v>
      </c>
      <c r="G1322" s="70">
        <v>64007</v>
      </c>
      <c r="H1322" s="19" t="str">
        <f>IF($C1322="","",IF($G1322="","-",INDEX(SETUP!$B$26:$B$32,MATCH($G1322,SETUP!$A$26:$A$32,1))))</f>
        <v>64,000 +</v>
      </c>
      <c r="I1322" s="70">
        <v>9414</v>
      </c>
      <c r="J1322" s="19" t="str">
        <f>IF($C1322="","",IF($I1322="","-",INDEX(SETUP!$B$16:$B$22,MATCH($I1322,SETUP!$A$16:$A$22,1))))</f>
        <v>ELITE</v>
      </c>
      <c r="K1322" s="19" t="str">
        <f>IF($C1322="","",IF($I1322="","-",TEXT(INT($I1322/1000)*1000,"#,##0")&amp;" - "&amp;TEXT(INT($I1322/1000)*1000+999,"#,##0")))</f>
        <v>9,000 - 9,999</v>
      </c>
      <c r="L1322" s="71">
        <v>9.0500000000000007</v>
      </c>
      <c r="M1322" s="19" t="str">
        <f>IF($C1322="","",IF($L1322="","-",INDEX(SETUP!$B$36:$B$42,MATCH($L1322,SETUP!$A$36:$A$42,1))))</f>
        <v>8k - 10k</v>
      </c>
      <c r="N1322" s="21">
        <f>IF($C1322="","",IF(OR($G1322="",$I1322=""),"",ROUND(100*(SETUP!$B$4*MIN(1,$I1322/SETUP!$B$9)+SETUP!$B$5*MAX(0,MIN(1,($G1322-SETUP!$B$10)/(SETUP!$B$11-SETUP!$B$10)))+SETUP!$B$6*MIN(1,IF($L1322="",0,$L1322)/SETUP!$B$12)),1)))</f>
        <v>79.900000000000006</v>
      </c>
      <c r="O1322" s="19" t="str">
        <f>IF($C1322="","",IF($N1322="","-",INDEX(SETUP!$B$46:$B$51,MATCH($N1322,SETUP!$A$46:$A$51,1))))</f>
        <v>S</v>
      </c>
      <c r="P1322" s="19">
        <f>IF($C1322="","",IF($I1322="","",RANK($I1322,$I$4:$I$1463)+COUNTIF($I$4:$I1322,$I1322)-1))</f>
        <v>75</v>
      </c>
      <c r="Q1322" s="19">
        <f>IF($C1322="","",COUNTIFS($B$4:$B$1463,$B1322,$X$4:$X$1463,"&gt;"&amp;$X1322)+COUNTIFS($B$4:$B1322,$B1322,$X$4:$X1322,"="&amp;$X1322))</f>
        <v>11</v>
      </c>
      <c r="R1322" s="75">
        <f>IF($C1322="","",IF($I1322="","",ROUND(COUNTIF($I$4:$I$1463,"&lt;"&amp;$I1322)/COUNT($I$4:$I$1463),3)))</f>
        <v>0.94299999999999995</v>
      </c>
      <c r="S1322" s="19" t="str">
        <f>IF($C1322="","",IF($G1322="","Name only",IF(OR($I1322="",$L1322=""),"Partial","Complete")))</f>
        <v>Complete</v>
      </c>
      <c r="T1322" s="1" t="str">
        <f>IF($C1322="","",TRIM(IF(COUNTIF($C$4:$C$1463,$C1322)&gt;1,"Dup name; ","")&amp;IF(AND($G1322&lt;&gt;"",$G1322&lt;55000),"Low CR - verify; ","")&amp;IF(AND($L1322&lt;&gt;"",$L1322&gt;15),"Secondary - verify; ","")&amp;IF($E1322="","No class; ","")))</f>
        <v/>
      </c>
      <c r="U1322" s="68"/>
      <c r="V1322" s="68"/>
      <c r="W1322" s="68"/>
      <c r="X1322" s="76">
        <f t="shared" si="102"/>
        <v>9414</v>
      </c>
      <c r="Y1322" s="1" t="str">
        <f t="shared" si="103"/>
        <v>RECKONING|11</v>
      </c>
      <c r="Z1322" s="19">
        <f>IF($C1322="","",IF($G1322="","",RANK($G1322,$G$4:$G$1463)+COUNTIF($G$4:$G1322,$G1322)-1))</f>
        <v>72</v>
      </c>
      <c r="AA1322" s="19">
        <f>IF($C1322="","",IF($N1322="","",RANK($N1322,$N$4:$N$1463)+COUNTIF($N$4:$N1322,$N1322)-1))</f>
        <v>53</v>
      </c>
      <c r="AB1322" s="1" t="str">
        <f>IF($C1322="","",IF($E1322="","",$E1322&amp;"#"&amp;(COUNTIFS($E$4:$E$1463,$E1322,$X$4:$X$1463,"&gt;"&amp;$X1322)+COUNTIFS($E$4:$E1322,$E1322,$X$4:$X1322,"="&amp;$X1322))))</f>
        <v>NECROMANCER#1</v>
      </c>
      <c r="AC1322" s="1" t="str">
        <f>IF($C1322="","",$B1322&amp;"@"&amp;(COUNTIFS($B$4:$B$1463,$B1322,$C$4:$C$1463,"&lt;"&amp;$C1322)+COUNTIFS($B$4:$B1322,$B1322,$C$4:$C1322,$C1322)))</f>
        <v>RECKONING@96</v>
      </c>
      <c r="AD1322" s="1">
        <f t="shared" si="104"/>
        <v>1319</v>
      </c>
      <c r="AE1322" s="1" t="s">
        <v>2769</v>
      </c>
      <c r="AF1322" s="76">
        <f t="shared" si="105"/>
        <v>64007</v>
      </c>
      <c r="AG1322" s="77">
        <f t="shared" si="106"/>
        <v>9.0500000000000007</v>
      </c>
      <c r="AH1322" s="1" t="str">
        <f>IF($C1322="","",$B1322&amp;"|"&amp;(COUNTIFS($B$4:$B$1463,$B1322,$AF$4:$AF$1463,"&gt;"&amp;$AF1322)+COUNTIFS($B$4:$B1322,$B1322,$AF$4:$AF1322,"="&amp;$AF1322)))</f>
        <v>RECKONING|9</v>
      </c>
      <c r="AI1322" s="1" t="str">
        <f>IF($C1322="","",$B1322&amp;"|"&amp;(COUNTIFS($B$4:$B$1463,$B1322,$AG$4:$AG$1463,"&gt;"&amp;$AG1322)+COUNTIFS($B$4:$B1322,$B1322,$AG$4:$AG1322,"="&amp;$AG1322)))</f>
        <v>RECKONING|6</v>
      </c>
    </row>
    <row r="1323" spans="1:35" hidden="1">
      <c r="A1323" s="69" t="s">
        <v>109</v>
      </c>
      <c r="B1323" s="69" t="s">
        <v>108</v>
      </c>
      <c r="C1323" s="63" t="s">
        <v>2770</v>
      </c>
      <c r="D1323" s="69"/>
      <c r="E1323" s="68" t="s">
        <v>79</v>
      </c>
      <c r="F1323" s="15" t="str">
        <f>IF($C1323="","",IF($E1323="","-",IFERROR(INDEX(SETUP!$B$55:$B$64,MATCH($E1323,SETUP!$A$55:$A$64,0)),"Other")))</f>
        <v>Control</v>
      </c>
      <c r="G1323" s="70">
        <v>62766</v>
      </c>
      <c r="H1323" s="15" t="str">
        <f>IF($C1323="","",IF($G1323="","-",INDEX(SETUP!$B$26:$B$32,MATCH($G1323,SETUP!$A$26:$A$32,1))))</f>
        <v>62,000 - 62,999</v>
      </c>
      <c r="I1323" s="70">
        <v>3901</v>
      </c>
      <c r="J1323" s="15" t="str">
        <f>IF($C1323="","",IF($I1323="","-",INDEX(SETUP!$B$16:$B$22,MATCH($I1323,SETUP!$A$16:$A$22,1))))</f>
        <v>DEVELOPING</v>
      </c>
      <c r="K1323" s="15" t="str">
        <f>IF($C1323="","",IF($I1323="","-",TEXT(INT($I1323/1000)*1000,"#,##0")&amp;" - "&amp;TEXT(INT($I1323/1000)*1000+999,"#,##0")))</f>
        <v>3,000 - 3,999</v>
      </c>
      <c r="L1323" s="71">
        <v>6.35</v>
      </c>
      <c r="M1323" s="15" t="str">
        <f>IF($C1323="","",IF($L1323="","-",INDEX(SETUP!$B$36:$B$42,MATCH($L1323,SETUP!$A$36:$A$42,1))))</f>
        <v>6k - 8k</v>
      </c>
      <c r="N1323" s="17">
        <f>IF($C1323="","",IF(OR($G1323="",$I1323=""),"",ROUND(100*(SETUP!$B$4*MIN(1,$I1323/SETUP!$B$9)+SETUP!$B$5*MAX(0,MIN(1,($G1323-SETUP!$B$10)/(SETUP!$B$11-SETUP!$B$10)))+SETUP!$B$6*MIN(1,IF($L1323="",0,$L1323)/SETUP!$B$12)),1)))</f>
        <v>48</v>
      </c>
      <c r="O1323" s="15" t="str">
        <f>IF($C1323="","",IF($N1323="","-",INDEX(SETUP!$B$46:$B$51,MATCH($N1323,SETUP!$A$46:$A$51,1))))</f>
        <v>B</v>
      </c>
      <c r="P1323" s="15">
        <f>IF($C1323="","",IF($I1323="","",RANK($I1323,$I$4:$I$1463)+COUNTIF($I$4:$I1323,$I1323)-1))</f>
        <v>624</v>
      </c>
      <c r="Q1323" s="15">
        <f>IF($C1323="","",COUNTIFS($B$4:$B$1463,$B1323,$X$4:$X$1463,"&gt;"&amp;$X1323)+COUNTIFS($B$4:$B1323,$B1323,$X$4:$X1323,"="&amp;$X1323))</f>
        <v>76</v>
      </c>
      <c r="R1323" s="72">
        <f>IF($C1323="","",IF($I1323="","",ROUND(COUNTIF($I$4:$I$1463,"&lt;"&amp;$I1323)/COUNT($I$4:$I$1463),3)))</f>
        <v>0.52900000000000003</v>
      </c>
      <c r="S1323" s="15" t="str">
        <f>IF($C1323="","",IF($G1323="","Name only",IF(OR($I1323="",$L1323=""),"Partial","Complete")))</f>
        <v>Complete</v>
      </c>
      <c r="T1323" s="41" t="str">
        <f>IF($C1323="","",TRIM(IF(COUNTIF($C$4:$C$1463,$C1323)&gt;1,"Dup name; ","")&amp;IF(AND($G1323&lt;&gt;"",$G1323&lt;55000),"Low CR - verify; ","")&amp;IF(AND($L1323&lt;&gt;"",$L1323&gt;15),"Secondary - verify; ","")&amp;IF($E1323="","No class; ","")))</f>
        <v/>
      </c>
      <c r="U1323" s="68"/>
      <c r="V1323" s="68"/>
      <c r="W1323" s="68"/>
      <c r="X1323" s="73">
        <f t="shared" si="102"/>
        <v>3901</v>
      </c>
      <c r="Y1323" s="41" t="str">
        <f t="shared" si="103"/>
        <v>SBG|76</v>
      </c>
      <c r="Z1323" s="15">
        <f>IF($C1323="","",IF($G1323="","",RANK($G1323,$G$4:$G$1463)+COUNTIF($G$4:$G1323,$G1323)-1))</f>
        <v>535</v>
      </c>
      <c r="AA1323" s="15">
        <f>IF($C1323="","",IF($N1323="","",RANK($N1323,$N$4:$N$1463)+COUNTIF($N$4:$N1323,$N1323)-1))</f>
        <v>519</v>
      </c>
      <c r="AB1323" s="41" t="str">
        <f>IF($C1323="","",IF($E1323="","",$E1323&amp;"#"&amp;(COUNTIFS($E$4:$E$1463,$E1323,$X$4:$X$1463,"&gt;"&amp;$X1323)+COUNTIFS($E$4:$E1323,$E1323,$X$4:$X1323,"="&amp;$X1323))))</f>
        <v>WARLOCK#147</v>
      </c>
      <c r="AC1323" s="41" t="str">
        <f>IF($C1323="","",$B1323&amp;"@"&amp;(COUNTIFS($B$4:$B$1463,$B1323,$C$4:$C$1463,"&lt;"&amp;$C1323)+COUNTIFS($B$4:$B1323,$B1323,$C$4:$C1323,$C1323)))</f>
        <v>SBG@97</v>
      </c>
      <c r="AD1323" s="41">
        <f t="shared" si="104"/>
        <v>1320</v>
      </c>
      <c r="AE1323" s="41" t="s">
        <v>2771</v>
      </c>
      <c r="AF1323" s="73">
        <f t="shared" si="105"/>
        <v>62766</v>
      </c>
      <c r="AG1323" s="74">
        <f t="shared" si="106"/>
        <v>6.35</v>
      </c>
      <c r="AH1323" s="41" t="str">
        <f>IF($C1323="","",$B1323&amp;"|"&amp;(COUNTIFS($B$4:$B$1463,$B1323,$AF$4:$AF$1463,"&gt;"&amp;$AF1323)+COUNTIFS($B$4:$B1323,$B1323,$AF$4:$AF1323,"="&amp;$AF1323)))</f>
        <v>SBG|50</v>
      </c>
      <c r="AI1323" s="41" t="str">
        <f>IF($C1323="","",$B1323&amp;"|"&amp;(COUNTIFS($B$4:$B$1463,$B1323,$AG$4:$AG$1463,"&gt;"&amp;$AG1323)+COUNTIFS($B$4:$B1323,$B1323,$AG$4:$AG1323,"="&amp;$AG1323)))</f>
        <v>SBG|32</v>
      </c>
    </row>
    <row r="1324" spans="1:35" hidden="1">
      <c r="A1324" s="69" t="s">
        <v>109</v>
      </c>
      <c r="B1324" s="69" t="s">
        <v>116</v>
      </c>
      <c r="C1324" s="63" t="s">
        <v>2772</v>
      </c>
      <c r="D1324" s="69" t="s">
        <v>530</v>
      </c>
      <c r="E1324" s="68" t="s">
        <v>71</v>
      </c>
      <c r="F1324" s="19" t="str">
        <f>IF($C1324="","",IF($E1324="","-",IFERROR(INDEX(SETUP!$B$55:$B$64,MATCH($E1324,SETUP!$A$55:$A$64,0)),"Other")))</f>
        <v>Frontline</v>
      </c>
      <c r="G1324" s="70">
        <v>62673</v>
      </c>
      <c r="H1324" s="19" t="str">
        <f>IF($C1324="","",IF($G1324="","-",INDEX(SETUP!$B$26:$B$32,MATCH($G1324,SETUP!$A$26:$A$32,1))))</f>
        <v>62,000 - 62,999</v>
      </c>
      <c r="I1324" s="70">
        <v>4213</v>
      </c>
      <c r="J1324" s="19" t="str">
        <f>IF($C1324="","",IF($I1324="","-",INDEX(SETUP!$B$16:$B$22,MATCH($I1324,SETUP!$A$16:$A$22,1))))</f>
        <v>CORE</v>
      </c>
      <c r="K1324" s="19" t="str">
        <f>IF($C1324="","",IF($I1324="","-",TEXT(INT($I1324/1000)*1000,"#,##0")&amp;" - "&amp;TEXT(INT($I1324/1000)*1000+999,"#,##0")))</f>
        <v>4,000 - 4,999</v>
      </c>
      <c r="L1324" s="71">
        <v>5.0999999999999996</v>
      </c>
      <c r="M1324" s="19" t="str">
        <f>IF($C1324="","",IF($L1324="","-",INDEX(SETUP!$B$36:$B$42,MATCH($L1324,SETUP!$A$36:$A$42,1))))</f>
        <v>5k - 6k</v>
      </c>
      <c r="N1324" s="21">
        <f>IF($C1324="","",IF(OR($G1324="",$I1324=""),"",ROUND(100*(SETUP!$B$4*MIN(1,$I1324/SETUP!$B$9)+SETUP!$B$5*MAX(0,MIN(1,($G1324-SETUP!$B$10)/(SETUP!$B$11-SETUP!$B$10)))+SETUP!$B$6*MIN(1,IF($L1324="",0,$L1324)/SETUP!$B$12)),1)))</f>
        <v>47.1</v>
      </c>
      <c r="O1324" s="19" t="str">
        <f>IF($C1324="","",IF($N1324="","-",INDEX(SETUP!$B$46:$B$51,MATCH($N1324,SETUP!$A$46:$A$51,1))))</f>
        <v>B</v>
      </c>
      <c r="P1324" s="19">
        <f>IF($C1324="","",IF($I1324="","",RANK($I1324,$I$4:$I$1463)+COUNTIF($I$4:$I1324,$I1324)-1))</f>
        <v>554</v>
      </c>
      <c r="Q1324" s="19">
        <f>IF($C1324="","",COUNTIFS($B$4:$B$1463,$B1324,$X$4:$X$1463,"&gt;"&amp;$X1324)+COUNTIFS($B$4:$B1324,$B1324,$X$4:$X1324,"="&amp;$X1324))</f>
        <v>28</v>
      </c>
      <c r="R1324" s="75">
        <f>IF($C1324="","",IF($I1324="","",ROUND(COUNTIF($I$4:$I$1463,"&lt;"&amp;$I1324)/COUNT($I$4:$I$1463),3)))</f>
        <v>0.58199999999999996</v>
      </c>
      <c r="S1324" s="19" t="str">
        <f>IF($C1324="","",IF($G1324="","Name only",IF(OR($I1324="",$L1324=""),"Partial","Complete")))</f>
        <v>Complete</v>
      </c>
      <c r="T1324" s="1" t="str">
        <f>IF($C1324="","",TRIM(IF(COUNTIF($C$4:$C$1463,$C1324)&gt;1,"Dup name; ","")&amp;IF(AND($G1324&lt;&gt;"",$G1324&lt;55000),"Low CR - verify; ","")&amp;IF(AND($L1324&lt;&gt;"",$L1324&gt;15),"Secondary - verify; ","")&amp;IF($E1324="","No class; ","")))</f>
        <v/>
      </c>
      <c r="U1324" s="68"/>
      <c r="V1324" s="68"/>
      <c r="W1324" s="68"/>
      <c r="X1324" s="76">
        <f t="shared" si="102"/>
        <v>4213</v>
      </c>
      <c r="Y1324" s="1" t="str">
        <f t="shared" si="103"/>
        <v>VENGEANCE|28</v>
      </c>
      <c r="Z1324" s="19">
        <f>IF($C1324="","",IF($G1324="","",RANK($G1324,$G$4:$G$1463)+COUNTIF($G$4:$G1324,$G1324)-1))</f>
        <v>576</v>
      </c>
      <c r="AA1324" s="19">
        <f>IF($C1324="","",IF($N1324="","",RANK($N1324,$N$4:$N$1463)+COUNTIF($N$4:$N1324,$N1324)-1))</f>
        <v>551</v>
      </c>
      <c r="AB1324" s="1" t="str">
        <f>IF($C1324="","",IF($E1324="","",$E1324&amp;"#"&amp;(COUNTIFS($E$4:$E$1463,$E1324,$X$4:$X$1463,"&gt;"&amp;$X1324)+COUNTIFS($E$4:$E1324,$E1324,$X$4:$X1324,"="&amp;$X1324))))</f>
        <v>BARBARIAN#106</v>
      </c>
      <c r="AC1324" s="1" t="str">
        <f>IF($C1324="","",$B1324&amp;"@"&amp;(COUNTIFS($B$4:$B$1463,$B1324,$C$4:$C$1463,"&lt;"&amp;$C1324)+COUNTIFS($B$4:$B1324,$B1324,$C$4:$C1324,$C1324)))</f>
        <v>VENGEANCE@95</v>
      </c>
      <c r="AD1324" s="1">
        <f t="shared" si="104"/>
        <v>1321</v>
      </c>
      <c r="AE1324" s="1" t="s">
        <v>2773</v>
      </c>
      <c r="AF1324" s="76">
        <f t="shared" si="105"/>
        <v>62673</v>
      </c>
      <c r="AG1324" s="77">
        <f t="shared" si="106"/>
        <v>5.0999999999999996</v>
      </c>
      <c r="AH1324" s="1" t="str">
        <f>IF($C1324="","",$B1324&amp;"|"&amp;(COUNTIFS($B$4:$B$1463,$B1324,$AF$4:$AF$1463,"&gt;"&amp;$AF1324)+COUNTIFS($B$4:$B1324,$B1324,$AF$4:$AF1324,"="&amp;$AF1324)))</f>
        <v>VENGEANCE|33</v>
      </c>
      <c r="AI1324" s="1" t="str">
        <f>IF($C1324="","",$B1324&amp;"|"&amp;(COUNTIFS($B$4:$B$1463,$B1324,$AG$4:$AG$1463,"&gt;"&amp;$AG1324)+COUNTIFS($B$4:$B1324,$B1324,$AG$4:$AG1324,"="&amp;$AG1324)))</f>
        <v>VENGEANCE|30</v>
      </c>
    </row>
    <row r="1325" spans="1:35" hidden="1">
      <c r="A1325" s="69" t="s">
        <v>109</v>
      </c>
      <c r="B1325" s="69" t="s">
        <v>112</v>
      </c>
      <c r="C1325" s="63" t="s">
        <v>2774</v>
      </c>
      <c r="D1325" s="69" t="s">
        <v>567</v>
      </c>
      <c r="E1325" s="68" t="s">
        <v>73</v>
      </c>
      <c r="F1325" s="15" t="str">
        <f>IF($C1325="","",IF($E1325="","-",IFERROR(INDEX(SETUP!$B$55:$B$64,MATCH($E1325,SETUP!$A$55:$A$64,0)),"Other")))</f>
        <v>Frontline</v>
      </c>
      <c r="G1325" s="70">
        <v>64228</v>
      </c>
      <c r="H1325" s="15" t="str">
        <f>IF($C1325="","",IF($G1325="","-",INDEX(SETUP!$B$26:$B$32,MATCH($G1325,SETUP!$A$26:$A$32,1))))</f>
        <v>64,000 +</v>
      </c>
      <c r="I1325" s="70">
        <v>9142</v>
      </c>
      <c r="J1325" s="15" t="str">
        <f>IF($C1325="","",IF($I1325="","-",INDEX(SETUP!$B$16:$B$22,MATCH($I1325,SETUP!$A$16:$A$22,1))))</f>
        <v>ELITE</v>
      </c>
      <c r="K1325" s="15" t="str">
        <f>IF($C1325="","",IF($I1325="","-",TEXT(INT($I1325/1000)*1000,"#,##0")&amp;" - "&amp;TEXT(INT($I1325/1000)*1000+999,"#,##0")))</f>
        <v>9,000 - 9,999</v>
      </c>
      <c r="L1325" s="71">
        <v>5.77</v>
      </c>
      <c r="M1325" s="15" t="str">
        <f>IF($C1325="","",IF($L1325="","-",INDEX(SETUP!$B$36:$B$42,MATCH($L1325,SETUP!$A$36:$A$42,1))))</f>
        <v>5k - 6k</v>
      </c>
      <c r="N1325" s="17">
        <f>IF($C1325="","",IF(OR($G1325="",$I1325=""),"",ROUND(100*(SETUP!$B$4*MIN(1,$I1325/SETUP!$B$9)+SETUP!$B$5*MAX(0,MIN(1,($G1325-SETUP!$B$10)/(SETUP!$B$11-SETUP!$B$10)))+SETUP!$B$6*MIN(1,IF($L1325="",0,$L1325)/SETUP!$B$12)),1)))</f>
        <v>73.8</v>
      </c>
      <c r="O1325" s="15" t="str">
        <f>IF($C1325="","",IF($N1325="","-",INDEX(SETUP!$B$46:$B$51,MATCH($N1325,SETUP!$A$46:$A$51,1))))</f>
        <v>S</v>
      </c>
      <c r="P1325" s="15">
        <f>IF($C1325="","",IF($I1325="","",RANK($I1325,$I$4:$I$1463)+COUNTIF($I$4:$I1325,$I1325)-1))</f>
        <v>87</v>
      </c>
      <c r="Q1325" s="15">
        <f>IF($C1325="","",COUNTIFS($B$4:$B$1463,$B1325,$X$4:$X$1463,"&gt;"&amp;$X1325)+COUNTIFS($B$4:$B1325,$B1325,$X$4:$X1325,"="&amp;$X1325))</f>
        <v>3</v>
      </c>
      <c r="R1325" s="72">
        <f>IF($C1325="","",IF($I1325="","",ROUND(COUNTIF($I$4:$I$1463,"&lt;"&amp;$I1325)/COUNT($I$4:$I$1463),3)))</f>
        <v>0.93400000000000005</v>
      </c>
      <c r="S1325" s="15" t="str">
        <f>IF($C1325="","",IF($G1325="","Name only",IF(OR($I1325="",$L1325=""),"Partial","Complete")))</f>
        <v>Complete</v>
      </c>
      <c r="T1325" s="41" t="str">
        <f>IF($C1325="","",TRIM(IF(COUNTIF($C$4:$C$1463,$C1325)&gt;1,"Dup name; ","")&amp;IF(AND($G1325&lt;&gt;"",$G1325&lt;55000),"Low CR - verify; ","")&amp;IF(AND($L1325&lt;&gt;"",$L1325&gt;15),"Secondary - verify; ","")&amp;IF($E1325="","No class; ","")))</f>
        <v/>
      </c>
      <c r="U1325" s="68"/>
      <c r="V1325" s="68"/>
      <c r="W1325" s="68"/>
      <c r="X1325" s="73">
        <f t="shared" si="102"/>
        <v>9142</v>
      </c>
      <c r="Y1325" s="41" t="str">
        <f t="shared" si="103"/>
        <v>ACHERON|3</v>
      </c>
      <c r="Z1325" s="15">
        <f>IF($C1325="","",IF($G1325="","",RANK($G1325,$G$4:$G$1463)+COUNTIF($G$4:$G1325,$G1325)-1))</f>
        <v>35</v>
      </c>
      <c r="AA1325" s="15">
        <f>IF($C1325="","",IF($N1325="","",RANK($N1325,$N$4:$N$1463)+COUNTIF($N$4:$N1325,$N1325)-1))</f>
        <v>96</v>
      </c>
      <c r="AB1325" s="41" t="str">
        <f>IF($C1325="","",IF($E1325="","",$E1325&amp;"#"&amp;(COUNTIFS($E$4:$E$1463,$E1325,$X$4:$X$1463,"&gt;"&amp;$X1325)+COUNTIFS($E$4:$E1325,$E1325,$X$4:$X1325,"="&amp;$X1325))))</f>
        <v>CRUSADER#16</v>
      </c>
      <c r="AC1325" s="41" t="str">
        <f>IF($C1325="","",$B1325&amp;"@"&amp;(COUNTIFS($B$4:$B$1463,$B1325,$C$4:$C$1463,"&lt;"&amp;$C1325)+COUNTIFS($B$4:$B1325,$B1325,$C$4:$C1325,$C1325)))</f>
        <v>ACHERON@93</v>
      </c>
      <c r="AD1325" s="41">
        <f t="shared" si="104"/>
        <v>1322</v>
      </c>
      <c r="AE1325" s="41" t="s">
        <v>2775</v>
      </c>
      <c r="AF1325" s="73">
        <f t="shared" si="105"/>
        <v>64228</v>
      </c>
      <c r="AG1325" s="74">
        <f t="shared" si="106"/>
        <v>5.77</v>
      </c>
      <c r="AH1325" s="41" t="str">
        <f>IF($C1325="","",$B1325&amp;"|"&amp;(COUNTIFS($B$4:$B$1463,$B1325,$AF$4:$AF$1463,"&gt;"&amp;$AF1325)+COUNTIFS($B$4:$B1325,$B1325,$AF$4:$AF1325,"="&amp;$AF1325)))</f>
        <v>ACHERON|2</v>
      </c>
      <c r="AI1325" s="41" t="str">
        <f>IF($C1325="","",$B1325&amp;"|"&amp;(COUNTIFS($B$4:$B$1463,$B1325,$AG$4:$AG$1463,"&gt;"&amp;$AG1325)+COUNTIFS($B$4:$B1325,$B1325,$AG$4:$AG1325,"="&amp;$AG1325)))</f>
        <v>ACHERON|23</v>
      </c>
    </row>
    <row r="1326" spans="1:35" hidden="1">
      <c r="A1326" s="69" t="s">
        <v>109</v>
      </c>
      <c r="B1326" s="69" t="s">
        <v>110</v>
      </c>
      <c r="C1326" s="63" t="s">
        <v>2776</v>
      </c>
      <c r="D1326" s="69"/>
      <c r="E1326" s="68" t="s">
        <v>78</v>
      </c>
      <c r="F1326" s="19" t="str">
        <f>IF($C1326="","",IF($E1326="","-",IFERROR(INDEX(SETUP!$B$55:$B$64,MATCH($E1326,SETUP!$A$55:$A$64,0)),"Other")))</f>
        <v>Melee DPS</v>
      </c>
      <c r="G1326" s="70">
        <v>62149</v>
      </c>
      <c r="H1326" s="19" t="str">
        <f>IF($C1326="","",IF($G1326="","-",INDEX(SETUP!$B$26:$B$32,MATCH($G1326,SETUP!$A$26:$A$32,1))))</f>
        <v>62,000 - 62,999</v>
      </c>
      <c r="I1326" s="70">
        <v>3055</v>
      </c>
      <c r="J1326" s="19" t="str">
        <f>IF($C1326="","",IF($I1326="","-",INDEX(SETUP!$B$16:$B$22,MATCH($I1326,SETUP!$A$16:$A$22,1))))</f>
        <v>DEVELOPING</v>
      </c>
      <c r="K1326" s="19" t="str">
        <f>IF($C1326="","",IF($I1326="","-",TEXT(INT($I1326/1000)*1000,"#,##0")&amp;" - "&amp;TEXT(INT($I1326/1000)*1000+999,"#,##0")))</f>
        <v>3,000 - 3,999</v>
      </c>
      <c r="L1326" s="71">
        <v>5.05</v>
      </c>
      <c r="M1326" s="19" t="str">
        <f>IF($C1326="","",IF($L1326="","-",INDEX(SETUP!$B$36:$B$42,MATCH($L1326,SETUP!$A$36:$A$42,1))))</f>
        <v>5k - 6k</v>
      </c>
      <c r="N1326" s="21">
        <f>IF($C1326="","",IF(OR($G1326="",$I1326=""),"",ROUND(100*(SETUP!$B$4*MIN(1,$I1326/SETUP!$B$9)+SETUP!$B$5*MAX(0,MIN(1,($G1326-SETUP!$B$10)/(SETUP!$B$11-SETUP!$B$10)))+SETUP!$B$6*MIN(1,IF($L1326="",0,$L1326)/SETUP!$B$12)),1)))</f>
        <v>40.6</v>
      </c>
      <c r="O1326" s="19" t="str">
        <f>IF($C1326="","",IF($N1326="","-",INDEX(SETUP!$B$46:$B$51,MATCH($N1326,SETUP!$A$46:$A$51,1))))</f>
        <v>B</v>
      </c>
      <c r="P1326" s="19">
        <f>IF($C1326="","",IF($I1326="","",RANK($I1326,$I$4:$I$1463)+COUNTIF($I$4:$I1326,$I1326)-1))</f>
        <v>859</v>
      </c>
      <c r="Q1326" s="19">
        <f>IF($C1326="","",COUNTIFS($B$4:$B$1463,$B1326,$X$4:$X$1463,"&gt;"&amp;$X1326)+COUNTIFS($B$4:$B1326,$B1326,$X$4:$X1326,"="&amp;$X1326))</f>
        <v>88</v>
      </c>
      <c r="R1326" s="75">
        <f>IF($C1326="","",IF($I1326="","",ROUND(COUNTIF($I$4:$I$1463,"&lt;"&amp;$I1326)/COUNT($I$4:$I$1463),3)))</f>
        <v>0.35199999999999998</v>
      </c>
      <c r="S1326" s="19" t="str">
        <f>IF($C1326="","",IF($G1326="","Name only",IF(OR($I1326="",$L1326=""),"Partial","Complete")))</f>
        <v>Complete</v>
      </c>
      <c r="T1326" s="1" t="str">
        <f>IF($C1326="","",TRIM(IF(COUNTIF($C$4:$C$1463,$C1326)&gt;1,"Dup name; ","")&amp;IF(AND($G1326&lt;&gt;"",$G1326&lt;55000),"Low CR - verify; ","")&amp;IF(AND($L1326&lt;&gt;"",$L1326&gt;15),"Secondary - verify; ","")&amp;IF($E1326="","No class; ","")))</f>
        <v/>
      </c>
      <c r="U1326" s="68"/>
      <c r="V1326" s="68"/>
      <c r="W1326" s="68"/>
      <c r="X1326" s="76">
        <f t="shared" si="102"/>
        <v>3055</v>
      </c>
      <c r="Y1326" s="1" t="str">
        <f t="shared" si="103"/>
        <v>AZUKI|88</v>
      </c>
      <c r="Z1326" s="19">
        <f>IF($C1326="","",IF($G1326="","",RANK($G1326,$G$4:$G$1463)+COUNTIF($G$4:$G1326,$G1326)-1))</f>
        <v>777</v>
      </c>
      <c r="AA1326" s="19">
        <f>IF($C1326="","",IF($N1326="","",RANK($N1326,$N$4:$N$1463)+COUNTIF($N$4:$N1326,$N1326)-1))</f>
        <v>801</v>
      </c>
      <c r="AB1326" s="1" t="str">
        <f>IF($C1326="","",IF($E1326="","",$E1326&amp;"#"&amp;(COUNTIFS($E$4:$E$1463,$E1326,$X$4:$X$1463,"&gt;"&amp;$X1326)+COUNTIFS($E$4:$E1326,$E1326,$X$4:$X1326,"="&amp;$X1326))))</f>
        <v>TEMPEST#34</v>
      </c>
      <c r="AC1326" s="1" t="str">
        <f>IF($C1326="","",$B1326&amp;"@"&amp;(COUNTIFS($B$4:$B$1463,$B1326,$C$4:$C$1463,"&lt;"&amp;$C1326)+COUNTIFS($B$4:$B1326,$B1326,$C$4:$C1326,$C1326)))</f>
        <v>AZUKI@102</v>
      </c>
      <c r="AD1326" s="1">
        <f t="shared" si="104"/>
        <v>1323</v>
      </c>
      <c r="AE1326" s="1" t="s">
        <v>2777</v>
      </c>
      <c r="AF1326" s="76">
        <f t="shared" si="105"/>
        <v>62149</v>
      </c>
      <c r="AG1326" s="77">
        <f t="shared" si="106"/>
        <v>5.05</v>
      </c>
      <c r="AH1326" s="1" t="str">
        <f>IF($C1326="","",$B1326&amp;"|"&amp;(COUNTIFS($B$4:$B$1463,$B1326,$AF$4:$AF$1463,"&gt;"&amp;$AF1326)+COUNTIFS($B$4:$B1326,$B1326,$AF$4:$AF1326,"="&amp;$AF1326)))</f>
        <v>AZUKI|69</v>
      </c>
      <c r="AI1326" s="1" t="str">
        <f>IF($C1326="","",$B1326&amp;"|"&amp;(COUNTIFS($B$4:$B$1463,$B1326,$AG$4:$AG$1463,"&gt;"&amp;$AG1326)+COUNTIFS($B$4:$B1326,$B1326,$AG$4:$AG1326,"="&amp;$AG1326)))</f>
        <v>AZUKI|66</v>
      </c>
    </row>
    <row r="1327" spans="1:35">
      <c r="A1327" s="69" t="s">
        <v>104</v>
      </c>
      <c r="B1327" s="69" t="s">
        <v>66</v>
      </c>
      <c r="C1327" s="63" t="s">
        <v>2514</v>
      </c>
      <c r="D1327" s="69"/>
      <c r="E1327" s="68" t="s">
        <v>74</v>
      </c>
      <c r="F1327" s="19" t="str">
        <f>IF($C1327="","",IF($E1327="","-",IFERROR(INDEX(SETUP!$B$55:$B$64,MATCH($E1327,SETUP!$A$55:$A$64,0)),"Other")))</f>
        <v>Ranged DPS</v>
      </c>
      <c r="G1327" s="70">
        <v>61667</v>
      </c>
      <c r="H1327" s="19" t="str">
        <f>IF($C1327="","",IF($G1327="","-",INDEX(SETUP!$B$26:$B$32,MATCH($G1327,SETUP!$A$26:$A$32,1))))</f>
        <v>61,000 - 61,999</v>
      </c>
      <c r="I1327" s="70">
        <v>3615</v>
      </c>
      <c r="J1327" s="19" t="str">
        <f>IF($C1327="","",IF($I1327="","-",INDEX(SETUP!$B$16:$B$22,MATCH($I1327,SETUP!$A$16:$A$22,1))))</f>
        <v>DEVELOPING</v>
      </c>
      <c r="K1327" s="19" t="str">
        <f>IF($C1327="","",IF($I1327="","-",TEXT(INT($I1327/1000)*1000,"#,##0")&amp;" - "&amp;TEXT(INT($I1327/1000)*1000+999,"#,##0")))</f>
        <v>3,000 - 3,999</v>
      </c>
      <c r="L1327" s="71">
        <v>3.92</v>
      </c>
      <c r="M1327" s="19" t="str">
        <f>IF($C1327="","",IF($L1327="","-",INDEX(SETUP!$B$36:$B$42,MATCH($L1327,SETUP!$A$36:$A$42,1))))</f>
        <v>3k - 4k</v>
      </c>
      <c r="N1327" s="21">
        <f>IF($C1327="","",IF(OR($G1327="",$I1327=""),"",ROUND(100*(SETUP!$B$4*MIN(1,$I1327/SETUP!$B$9)+SETUP!$B$5*MAX(0,MIN(1,($G1327-SETUP!$B$10)/(SETUP!$B$11-SETUP!$B$10)))+SETUP!$B$6*MIN(1,IF($L1327="",0,$L1327)/SETUP!$B$12)),1)))</f>
        <v>39.9</v>
      </c>
      <c r="O1327" s="19" t="str">
        <f>IF($C1327="","",IF($N1327="","-",INDEX(SETUP!$B$46:$B$51,MATCH($N1327,SETUP!$A$46:$A$51,1))))</f>
        <v>B</v>
      </c>
      <c r="P1327" s="19">
        <f>IF($C1327="","",IF($I1327="","",RANK($I1327,$I$4:$I$1463)+COUNTIF($I$4:$I1327,$I1327)-1))</f>
        <v>696</v>
      </c>
      <c r="Q1327" s="19">
        <f>IF($C1327="","",COUNTIFS($B$4:$B$1463,$B1327,$X$4:$X$1463,"&gt;"&amp;$X1327)+COUNTIFS($B$4:$B1327,$B1327,$X$4:$X1327,"="&amp;$X1327))</f>
        <v>73</v>
      </c>
      <c r="R1327" s="75">
        <f>IF($C1327="","",IF($I1327="","",ROUND(COUNTIF($I$4:$I$1463,"&lt;"&amp;$I1327)/COUNT($I$4:$I$1463),3)))</f>
        <v>0.47499999999999998</v>
      </c>
      <c r="S1327" s="19" t="str">
        <f>IF($C1327="","",IF($G1327="","Name only",IF(OR($I1327="",$L1327=""),"Partial","Complete")))</f>
        <v>Complete</v>
      </c>
      <c r="T1327" s="1" t="str">
        <f>IF($C1327="","",TRIM(IF(COUNTIF($C$4:$C$1463,$C1327)&gt;1,"Dup name; ","")&amp;IF(AND($G1327&lt;&gt;"",$G1327&lt;55000),"Low CR - verify; ","")&amp;IF(AND($L1327&lt;&gt;"",$L1327&gt;15),"Secondary - verify; ","")&amp;IF($E1327="","No class; ","")))</f>
        <v/>
      </c>
      <c r="U1327" s="68" t="s">
        <v>264</v>
      </c>
      <c r="V1327" s="68" t="s">
        <v>66</v>
      </c>
      <c r="W1327" s="68" t="s">
        <v>285</v>
      </c>
      <c r="X1327" s="73">
        <f t="shared" si="102"/>
        <v>3615</v>
      </c>
      <c r="Y1327" s="41" t="str">
        <f t="shared" si="103"/>
        <v>FUCT|73</v>
      </c>
      <c r="Z1327" s="15">
        <f>IF($C1327="","",IF($G1327="","",RANK($G1327,$G$4:$G$1463)+COUNTIF($G$4:$G1327,$G1327)-1))</f>
        <v>955</v>
      </c>
      <c r="AA1327" s="15">
        <f>IF($C1327="","",IF($N1327="","",RANK($N1327,$N$4:$N$1463)+COUNTIF($N$4:$N1327,$N1327)-1))</f>
        <v>826</v>
      </c>
      <c r="AB1327" s="41" t="str">
        <f>IF($C1327="","",IF($E1327="","",$E1327&amp;"#"&amp;(COUNTIFS($E$4:$E$1463,$E1327,$X$4:$X$1463,"&gt;"&amp;$X1327)+COUNTIFS($E$4:$E1327,$E1327,$X$4:$X1327,"="&amp;$X1327))))</f>
        <v>DEMON HUNTER#113</v>
      </c>
      <c r="AC1327" s="41" t="str">
        <f>IF($C1327="","",$B1327&amp;"@"&amp;(COUNTIFS($B$4:$B$1463,$B1327,$C$4:$C$1463,"&lt;"&amp;$C1327)+COUNTIFS($B$4:$B1327,$B1327,$C$4:$C1327,$C1327)))</f>
        <v>FUCT@91</v>
      </c>
      <c r="AD1327" s="41">
        <f t="shared" si="104"/>
        <v>1324</v>
      </c>
      <c r="AE1327" s="41" t="s">
        <v>2778</v>
      </c>
      <c r="AF1327" s="73">
        <f t="shared" si="105"/>
        <v>61667</v>
      </c>
      <c r="AG1327" s="74">
        <f t="shared" si="106"/>
        <v>3.92</v>
      </c>
      <c r="AH1327" s="41" t="str">
        <f>IF($C1327="","",$B1327&amp;"|"&amp;(COUNTIFS($B$4:$B$1463,$B1327,$AF$4:$AF$1463,"&gt;"&amp;$AF1327)+COUNTIFS($B$4:$B1327,$B1327,$AF$4:$AF1327,"="&amp;$AF1327)))</f>
        <v>FUCT|89</v>
      </c>
      <c r="AI1327" s="41" t="str">
        <f>IF($C1327="","",$B1327&amp;"|"&amp;(COUNTIFS($B$4:$B$1463,$B1327,$AG$4:$AG$1463,"&gt;"&amp;$AG1327)+COUNTIFS($B$4:$B1327,$B1327,$AG$4:$AG1327,"="&amp;$AG1327)))</f>
        <v>FUCT|85</v>
      </c>
    </row>
    <row r="1328" spans="1:35" hidden="1">
      <c r="A1328" s="69" t="s">
        <v>109</v>
      </c>
      <c r="B1328" s="69" t="s">
        <v>112</v>
      </c>
      <c r="C1328" s="63" t="s">
        <v>2779</v>
      </c>
      <c r="D1328" s="69" t="s">
        <v>567</v>
      </c>
      <c r="E1328" s="68" t="s">
        <v>77</v>
      </c>
      <c r="F1328" s="19" t="str">
        <f>IF($C1328="","",IF($E1328="","-",IFERROR(INDEX(SETUP!$B$55:$B$64,MATCH($E1328,SETUP!$A$55:$A$64,0)),"Other")))</f>
        <v>Control</v>
      </c>
      <c r="G1328" s="70">
        <v>60940</v>
      </c>
      <c r="H1328" s="19" t="str">
        <f>IF($C1328="","",IF($G1328="","-",INDEX(SETUP!$B$26:$B$32,MATCH($G1328,SETUP!$A$26:$A$32,1))))</f>
        <v>60,000 - 60,999</v>
      </c>
      <c r="I1328" s="70">
        <v>3144</v>
      </c>
      <c r="J1328" s="19" t="str">
        <f>IF($C1328="","",IF($I1328="","-",INDEX(SETUP!$B$16:$B$22,MATCH($I1328,SETUP!$A$16:$A$22,1))))</f>
        <v>DEVELOPING</v>
      </c>
      <c r="K1328" s="19" t="str">
        <f>IF($C1328="","",IF($I1328="","-",TEXT(INT($I1328/1000)*1000,"#,##0")&amp;" - "&amp;TEXT(INT($I1328/1000)*1000+999,"#,##0")))</f>
        <v>3,000 - 3,999</v>
      </c>
      <c r="L1328" s="71">
        <v>4.5</v>
      </c>
      <c r="M1328" s="19" t="str">
        <f>IF($C1328="","",IF($L1328="","-",INDEX(SETUP!$B$36:$B$42,MATCH($L1328,SETUP!$A$36:$A$42,1))))</f>
        <v>4k - 5k</v>
      </c>
      <c r="N1328" s="21">
        <f>IF($C1328="","",IF(OR($G1328="",$I1328=""),"",ROUND(100*(SETUP!$B$4*MIN(1,$I1328/SETUP!$B$9)+SETUP!$B$5*MAX(0,MIN(1,($G1328-SETUP!$B$10)/(SETUP!$B$11-SETUP!$B$10)))+SETUP!$B$6*MIN(1,IF($L1328="",0,$L1328)/SETUP!$B$12)),1)))</f>
        <v>36.9</v>
      </c>
      <c r="O1328" s="19" t="str">
        <f>IF($C1328="","",IF($N1328="","-",INDEX(SETUP!$B$46:$B$51,MATCH($N1328,SETUP!$A$46:$A$51,1))))</f>
        <v>B</v>
      </c>
      <c r="P1328" s="19">
        <f>IF($C1328="","",IF($I1328="","",RANK($I1328,$I$4:$I$1463)+COUNTIF($I$4:$I1328,$I1328)-1))</f>
        <v>843</v>
      </c>
      <c r="Q1328" s="19">
        <f>IF($C1328="","",COUNTIFS($B$4:$B$1463,$B1328,$X$4:$X$1463,"&gt;"&amp;$X1328)+COUNTIFS($B$4:$B1328,$B1328,$X$4:$X1328,"="&amp;$X1328))</f>
        <v>65</v>
      </c>
      <c r="R1328" s="75">
        <f>IF($C1328="","",IF($I1328="","",ROUND(COUNTIF($I$4:$I$1463,"&lt;"&amp;$I1328)/COUNT($I$4:$I$1463),3)))</f>
        <v>0.36399999999999999</v>
      </c>
      <c r="S1328" s="19" t="str">
        <f>IF($C1328="","",IF($G1328="","Name only",IF(OR($I1328="",$L1328=""),"Partial","Complete")))</f>
        <v>Complete</v>
      </c>
      <c r="T1328" s="1" t="str">
        <f>IF($C1328="","",TRIM(IF(COUNTIF($C$4:$C$1463,$C1328)&gt;1,"Dup name; ","")&amp;IF(AND($G1328&lt;&gt;"",$G1328&lt;55000),"Low CR - verify; ","")&amp;IF(AND($L1328&lt;&gt;"",$L1328&gt;15),"Secondary - verify; ","")&amp;IF($E1328="","No class; ","")))</f>
        <v/>
      </c>
      <c r="U1328" s="68"/>
      <c r="V1328" s="68"/>
      <c r="W1328" s="68"/>
      <c r="X1328" s="76">
        <f t="shared" si="102"/>
        <v>3144</v>
      </c>
      <c r="Y1328" s="1" t="str">
        <f t="shared" si="103"/>
        <v>ACHERON|65</v>
      </c>
      <c r="Z1328" s="19">
        <f>IF($C1328="","",IF($G1328="","",RANK($G1328,$G$4:$G$1463)+COUNTIF($G$4:$G1328,$G1328)-1))</f>
        <v>1145</v>
      </c>
      <c r="AA1328" s="19">
        <f>IF($C1328="","",IF($N1328="","",RANK($N1328,$N$4:$N$1463)+COUNTIF($N$4:$N1328,$N1328)-1))</f>
        <v>934</v>
      </c>
      <c r="AB1328" s="1" t="str">
        <f>IF($C1328="","",IF($E1328="","",$E1328&amp;"#"&amp;(COUNTIFS($E$4:$E$1463,$E1328,$X$4:$X$1463,"&gt;"&amp;$X1328)+COUNTIFS($E$4:$E1328,$E1328,$X$4:$X1328,"="&amp;$X1328))))</f>
        <v>NECROMANCER#43</v>
      </c>
      <c r="AC1328" s="1" t="str">
        <f>IF($C1328="","",$B1328&amp;"@"&amp;(COUNTIFS($B$4:$B$1463,$B1328,$C$4:$C$1463,"&lt;"&amp;$C1328)+COUNTIFS($B$4:$B1328,$B1328,$C$4:$C1328,$C1328)))</f>
        <v>ACHERON@94</v>
      </c>
      <c r="AD1328" s="1">
        <f t="shared" si="104"/>
        <v>1325</v>
      </c>
      <c r="AE1328" s="1" t="s">
        <v>2780</v>
      </c>
      <c r="AF1328" s="76">
        <f t="shared" si="105"/>
        <v>60940</v>
      </c>
      <c r="AG1328" s="77">
        <f t="shared" si="106"/>
        <v>4.5</v>
      </c>
      <c r="AH1328" s="1" t="str">
        <f>IF($C1328="","",$B1328&amp;"|"&amp;(COUNTIFS($B$4:$B$1463,$B1328,$AF$4:$AF$1463,"&gt;"&amp;$AF1328)+COUNTIFS($B$4:$B1328,$B1328,$AF$4:$AF1328,"="&amp;$AF1328)))</f>
        <v>ACHERON|88</v>
      </c>
      <c r="AI1328" s="1" t="str">
        <f>IF($C1328="","",$B1328&amp;"|"&amp;(COUNTIFS($B$4:$B$1463,$B1328,$AG$4:$AG$1463,"&gt;"&amp;$AG1328)+COUNTIFS($B$4:$B1328,$B1328,$AG$4:$AG1328,"="&amp;$AG1328)))</f>
        <v>ACHERON|64</v>
      </c>
    </row>
    <row r="1329" spans="1:35" hidden="1">
      <c r="A1329" s="69" t="s">
        <v>109</v>
      </c>
      <c r="B1329" s="69" t="s">
        <v>117</v>
      </c>
      <c r="C1329" s="63" t="s">
        <v>2781</v>
      </c>
      <c r="D1329" s="69"/>
      <c r="E1329" s="68" t="s">
        <v>80</v>
      </c>
      <c r="F1329" s="15" t="str">
        <f>IF($C1329="","",IF($E1329="","-",IFERROR(INDEX(SETUP!$B$55:$B$64,MATCH($E1329,SETUP!$A$55:$A$64,0)),"Other")))</f>
        <v>Ranged DPS</v>
      </c>
      <c r="G1329" s="70">
        <v>62066</v>
      </c>
      <c r="H1329" s="15" t="str">
        <f>IF($C1329="","",IF($G1329="","-",INDEX(SETUP!$B$26:$B$32,MATCH($G1329,SETUP!$A$26:$A$32,1))))</f>
        <v>62,000 - 62,999</v>
      </c>
      <c r="I1329" s="70">
        <v>2415</v>
      </c>
      <c r="J1329" s="15" t="str">
        <f>IF($C1329="","",IF($I1329="","-",INDEX(SETUP!$B$16:$B$22,MATCH($I1329,SETUP!$A$16:$A$22,1))))</f>
        <v>DEVELOPING</v>
      </c>
      <c r="K1329" s="15" t="str">
        <f>IF($C1329="","",IF($I1329="","-",TEXT(INT($I1329/1000)*1000,"#,##0")&amp;" - "&amp;TEXT(INT($I1329/1000)*1000+999,"#,##0")))</f>
        <v>2,000 - 2,999</v>
      </c>
      <c r="L1329" s="71">
        <v>3.2</v>
      </c>
      <c r="M1329" s="15" t="str">
        <f>IF($C1329="","",IF($L1329="","-",INDEX(SETUP!$B$36:$B$42,MATCH($L1329,SETUP!$A$36:$A$42,1))))</f>
        <v>3k - 4k</v>
      </c>
      <c r="N1329" s="17">
        <f>IF($C1329="","",IF(OR($G1329="",$I1329=""),"",ROUND(100*(SETUP!$B$4*MIN(1,$I1329/SETUP!$B$9)+SETUP!$B$5*MAX(0,MIN(1,($G1329-SETUP!$B$10)/(SETUP!$B$11-SETUP!$B$10)))+SETUP!$B$6*MIN(1,IF($L1329="",0,$L1329)/SETUP!$B$12)),1)))</f>
        <v>34.5</v>
      </c>
      <c r="O1329" s="15" t="str">
        <f>IF($C1329="","",IF($N1329="","-",INDEX(SETUP!$B$46:$B$51,MATCH($N1329,SETUP!$A$46:$A$51,1))))</f>
        <v>C</v>
      </c>
      <c r="P1329" s="15">
        <f>IF($C1329="","",IF($I1329="","",RANK($I1329,$I$4:$I$1463)+COUNTIF($I$4:$I1329,$I1329)-1))</f>
        <v>1024</v>
      </c>
      <c r="Q1329" s="15">
        <f>IF($C1329="","",COUNTIFS($B$4:$B$1463,$B1329,$X$4:$X$1463,"&gt;"&amp;$X1329)+COUNTIFS($B$4:$B1329,$B1329,$X$4:$X1329,"="&amp;$X1329))</f>
        <v>33</v>
      </c>
      <c r="R1329" s="72">
        <f>IF($C1329="","",IF($I1329="","",ROUND(COUNTIF($I$4:$I$1463,"&lt;"&amp;$I1329)/COUNT($I$4:$I$1463),3)))</f>
        <v>0.22700000000000001</v>
      </c>
      <c r="S1329" s="15" t="str">
        <f>IF($C1329="","",IF($G1329="","Name only",IF(OR($I1329="",$L1329=""),"Partial","Complete")))</f>
        <v>Complete</v>
      </c>
      <c r="T1329" s="41" t="str">
        <f>IF($C1329="","",TRIM(IF(COUNTIF($C$4:$C$1463,$C1329)&gt;1,"Dup name; ","")&amp;IF(AND($G1329&lt;&gt;"",$G1329&lt;55000),"Low CR - verify; ","")&amp;IF(AND($L1329&lt;&gt;"",$L1329&gt;15),"Secondary - verify; ","")&amp;IF($E1329="","No class; ","")))</f>
        <v/>
      </c>
      <c r="U1329" s="68"/>
      <c r="V1329" s="68"/>
      <c r="W1329" s="68"/>
      <c r="X1329" s="73">
        <f t="shared" si="102"/>
        <v>2415</v>
      </c>
      <c r="Y1329" s="41" t="str">
        <f t="shared" si="103"/>
        <v>VENDETTA|33</v>
      </c>
      <c r="Z1329" s="15">
        <f>IF($C1329="","",IF($G1329="","",RANK($G1329,$G$4:$G$1463)+COUNTIF($G$4:$G1329,$G1329)-1))</f>
        <v>809</v>
      </c>
      <c r="AA1329" s="15">
        <f>IF($C1329="","",IF($N1329="","",RANK($N1329,$N$4:$N$1463)+COUNTIF($N$4:$N1329,$N1329)-1))</f>
        <v>1024</v>
      </c>
      <c r="AB1329" s="41" t="str">
        <f>IF($C1329="","",IF($E1329="","",$E1329&amp;"#"&amp;(COUNTIFS($E$4:$E$1463,$E1329,$X$4:$X$1463,"&gt;"&amp;$X1329)+COUNTIFS($E$4:$E1329,$E1329,$X$4:$X1329,"="&amp;$X1329))))</f>
        <v>WIZARD#72</v>
      </c>
      <c r="AC1329" s="41" t="str">
        <f>IF($C1329="","",$B1329&amp;"@"&amp;(COUNTIFS($B$4:$B$1463,$B1329,$C$4:$C$1463,"&lt;"&amp;$C1329)+COUNTIFS($B$4:$B1329,$B1329,$C$4:$C1329,$C1329)))</f>
        <v>VENDETTA@92</v>
      </c>
      <c r="AD1329" s="41">
        <f t="shared" si="104"/>
        <v>1326</v>
      </c>
      <c r="AE1329" s="41" t="s">
        <v>1160</v>
      </c>
      <c r="AF1329" s="73">
        <f t="shared" si="105"/>
        <v>62066</v>
      </c>
      <c r="AG1329" s="74">
        <f t="shared" si="106"/>
        <v>3.2</v>
      </c>
      <c r="AH1329" s="41" t="str">
        <f>IF($C1329="","",$B1329&amp;"|"&amp;(COUNTIFS($B$4:$B$1463,$B1329,$AF$4:$AF$1463,"&gt;"&amp;$AF1329)+COUNTIFS($B$4:$B1329,$B1329,$AF$4:$AF1329,"="&amp;$AF1329)))</f>
        <v>VENDETTA|35</v>
      </c>
      <c r="AI1329" s="41" t="str">
        <f>IF($C1329="","",$B1329&amp;"|"&amp;(COUNTIFS($B$4:$B$1463,$B1329,$AG$4:$AG$1463,"&gt;"&amp;$AG1329)+COUNTIFS($B$4:$B1329,$B1329,$AG$4:$AG1329,"="&amp;$AG1329)))</f>
        <v>VENDETTA|70</v>
      </c>
    </row>
    <row r="1330" spans="1:35" hidden="1">
      <c r="A1330" s="69" t="s">
        <v>106</v>
      </c>
      <c r="B1330" s="69" t="s">
        <v>105</v>
      </c>
      <c r="C1330" s="63" t="s">
        <v>2782</v>
      </c>
      <c r="D1330" s="69"/>
      <c r="E1330" s="68" t="s">
        <v>79</v>
      </c>
      <c r="F1330" s="19" t="str">
        <f>IF($C1330="","",IF($E1330="","-",IFERROR(INDEX(SETUP!$B$55:$B$64,MATCH($E1330,SETUP!$A$55:$A$64,0)),"Other")))</f>
        <v>Control</v>
      </c>
      <c r="G1330" s="70">
        <v>62607</v>
      </c>
      <c r="H1330" s="19" t="str">
        <f>IF($C1330="","",IF($G1330="","-",INDEX(SETUP!$B$26:$B$32,MATCH($G1330,SETUP!$A$26:$A$32,1))))</f>
        <v>62,000 - 62,999</v>
      </c>
      <c r="I1330" s="70">
        <v>4630</v>
      </c>
      <c r="J1330" s="19" t="str">
        <f>IF($C1330="","",IF($I1330="","-",INDEX(SETUP!$B$16:$B$22,MATCH($I1330,SETUP!$A$16:$A$22,1))))</f>
        <v>CORE</v>
      </c>
      <c r="K1330" s="19" t="str">
        <f>IF($C1330="","",IF($I1330="","-",TEXT(INT($I1330/1000)*1000,"#,##0")&amp;" - "&amp;TEXT(INT($I1330/1000)*1000+999,"#,##0")))</f>
        <v>4,000 - 4,999</v>
      </c>
      <c r="L1330" s="71">
        <v>5.4</v>
      </c>
      <c r="M1330" s="19" t="str">
        <f>IF($C1330="","",IF($L1330="","-",INDEX(SETUP!$B$36:$B$42,MATCH($L1330,SETUP!$A$36:$A$42,1))))</f>
        <v>5k - 6k</v>
      </c>
      <c r="N1330" s="21">
        <f>IF($C1330="","",IF(OR($G1330="",$I1330=""),"",ROUND(100*(SETUP!$B$4*MIN(1,$I1330/SETUP!$B$9)+SETUP!$B$5*MAX(0,MIN(1,($G1330-SETUP!$B$10)/(SETUP!$B$11-SETUP!$B$10)))+SETUP!$B$6*MIN(1,IF($L1330="",0,$L1330)/SETUP!$B$12)),1)))</f>
        <v>49.2</v>
      </c>
      <c r="O1330" s="19" t="str">
        <f>IF($C1330="","",IF($N1330="","-",INDEX(SETUP!$B$46:$B$51,MATCH($N1330,SETUP!$A$46:$A$51,1))))</f>
        <v>B</v>
      </c>
      <c r="P1330" s="19">
        <f>IF($C1330="","",IF($I1330="","",RANK($I1330,$I$4:$I$1463)+COUNTIF($I$4:$I1330,$I1330)-1))</f>
        <v>465</v>
      </c>
      <c r="Q1330" s="19">
        <f>IF($C1330="","",COUNTIFS($B$4:$B$1463,$B1330,$X$4:$X$1463,"&gt;"&amp;$X1330)+COUNTIFS($B$4:$B1330,$B1330,$X$4:$X1330,"="&amp;$X1330))</f>
        <v>58</v>
      </c>
      <c r="R1330" s="75">
        <f>IF($C1330="","",IF($I1330="","",ROUND(COUNTIF($I$4:$I$1463,"&lt;"&amp;$I1330)/COUNT($I$4:$I$1463),3)))</f>
        <v>0.64900000000000002</v>
      </c>
      <c r="S1330" s="19" t="str">
        <f>IF($C1330="","",IF($G1330="","Name only",IF(OR($I1330="",$L1330=""),"Partial","Complete")))</f>
        <v>Complete</v>
      </c>
      <c r="T1330" s="1" t="str">
        <f>IF($C1330="","",TRIM(IF(COUNTIF($C$4:$C$1463,$C1330)&gt;1,"Dup name; ","")&amp;IF(AND($G1330&lt;&gt;"",$G1330&lt;55000),"Low CR - verify; ","")&amp;IF(AND($L1330&lt;&gt;"",$L1330&gt;15),"Secondary - verify; ","")&amp;IF($E1330="","No class; ","")))</f>
        <v/>
      </c>
      <c r="U1330" s="68"/>
      <c r="V1330" s="68"/>
      <c r="W1330" s="68"/>
      <c r="X1330" s="76">
        <f t="shared" si="102"/>
        <v>4630</v>
      </c>
      <c r="Y1330" s="1" t="str">
        <f t="shared" si="103"/>
        <v>LEGENDS|58</v>
      </c>
      <c r="Z1330" s="19">
        <f>IF($C1330="","",IF($G1330="","",RANK($G1330,$G$4:$G$1463)+COUNTIF($G$4:$G1330,$G1330)-1))</f>
        <v>609</v>
      </c>
      <c r="AA1330" s="19">
        <f>IF($C1330="","",IF($N1330="","",RANK($N1330,$N$4:$N$1463)+COUNTIF($N$4:$N1330,$N1330)-1))</f>
        <v>477</v>
      </c>
      <c r="AB1330" s="1" t="str">
        <f>IF($C1330="","",IF($E1330="","",$E1330&amp;"#"&amp;(COUNTIFS($E$4:$E$1463,$E1330,$X$4:$X$1463,"&gt;"&amp;$X1330)+COUNTIFS($E$4:$E1330,$E1330,$X$4:$X1330,"="&amp;$X1330))))</f>
        <v>WARLOCK#107</v>
      </c>
      <c r="AC1330" s="1" t="str">
        <f>IF($C1330="","",$B1330&amp;"@"&amp;(COUNTIFS($B$4:$B$1463,$B1330,$C$4:$C$1463,"&lt;"&amp;$C1330)+COUNTIFS($B$4:$B1330,$B1330,$C$4:$C1330,$C1330)))</f>
        <v>LEGENDS@100</v>
      </c>
      <c r="AD1330" s="1">
        <f t="shared" si="104"/>
        <v>1327</v>
      </c>
      <c r="AE1330" s="1" t="s">
        <v>2783</v>
      </c>
      <c r="AF1330" s="76">
        <f t="shared" si="105"/>
        <v>62607</v>
      </c>
      <c r="AG1330" s="77">
        <f t="shared" si="106"/>
        <v>5.4</v>
      </c>
      <c r="AH1330" s="1" t="str">
        <f>IF($C1330="","",$B1330&amp;"|"&amp;(COUNTIFS($B$4:$B$1463,$B1330,$AF$4:$AF$1463,"&gt;"&amp;$AF1330)+COUNTIFS($B$4:$B1330,$B1330,$AF$4:$AF1330,"="&amp;$AF1330)))</f>
        <v>LEGENDS|64</v>
      </c>
      <c r="AI1330" s="1" t="str">
        <f>IF($C1330="","",$B1330&amp;"|"&amp;(COUNTIFS($B$4:$B$1463,$B1330,$AG$4:$AG$1463,"&gt;"&amp;$AG1330)+COUNTIFS($B$4:$B1330,$B1330,$AG$4:$AG1330,"="&amp;$AG1330)))</f>
        <v>LEGENDS|44</v>
      </c>
    </row>
    <row r="1331" spans="1:35" hidden="1">
      <c r="A1331" s="69" t="s">
        <v>109</v>
      </c>
      <c r="B1331" s="69" t="s">
        <v>118</v>
      </c>
      <c r="C1331" s="63" t="s">
        <v>2784</v>
      </c>
      <c r="D1331" s="69"/>
      <c r="E1331" s="68" t="s">
        <v>79</v>
      </c>
      <c r="F1331" s="15" t="str">
        <f>IF($C1331="","",IF($E1331="","-",IFERROR(INDEX(SETUP!$B$55:$B$64,MATCH($E1331,SETUP!$A$55:$A$64,0)),"Other")))</f>
        <v>Control</v>
      </c>
      <c r="G1331" s="70">
        <v>62626</v>
      </c>
      <c r="H1331" s="15" t="str">
        <f>IF($C1331="","",IF($G1331="","-",INDEX(SETUP!$B$26:$B$32,MATCH($G1331,SETUP!$A$26:$A$32,1))))</f>
        <v>62,000 - 62,999</v>
      </c>
      <c r="I1331" s="70">
        <v>2496</v>
      </c>
      <c r="J1331" s="15" t="str">
        <f>IF($C1331="","",IF($I1331="","-",INDEX(SETUP!$B$16:$B$22,MATCH($I1331,SETUP!$A$16:$A$22,1))))</f>
        <v>DEVELOPING</v>
      </c>
      <c r="K1331" s="15" t="str">
        <f>IF($C1331="","",IF($I1331="","-",TEXT(INT($I1331/1000)*1000,"#,##0")&amp;" - "&amp;TEXT(INT($I1331/1000)*1000+999,"#,##0")))</f>
        <v>2,000 - 2,999</v>
      </c>
      <c r="L1331" s="71">
        <v>5.3</v>
      </c>
      <c r="M1331" s="15" t="str">
        <f>IF($C1331="","",IF($L1331="","-",INDEX(SETUP!$B$36:$B$42,MATCH($L1331,SETUP!$A$36:$A$42,1))))</f>
        <v>5k - 6k</v>
      </c>
      <c r="N1331" s="17">
        <f>IF($C1331="","",IF(OR($G1331="",$I1331=""),"",ROUND(100*(SETUP!$B$4*MIN(1,$I1331/SETUP!$B$9)+SETUP!$B$5*MAX(0,MIN(1,($G1331-SETUP!$B$10)/(SETUP!$B$11-SETUP!$B$10)))+SETUP!$B$6*MIN(1,IF($L1331="",0,$L1331)/SETUP!$B$12)),1)))</f>
        <v>39.799999999999997</v>
      </c>
      <c r="O1331" s="15" t="str">
        <f>IF($C1331="","",IF($N1331="","-",INDEX(SETUP!$B$46:$B$51,MATCH($N1331,SETUP!$A$46:$A$51,1))))</f>
        <v>B</v>
      </c>
      <c r="P1331" s="15">
        <f>IF($C1331="","",IF($I1331="","",RANK($I1331,$I$4:$I$1463)+COUNTIF($I$4:$I1331,$I1331)-1))</f>
        <v>1010</v>
      </c>
      <c r="Q1331" s="15">
        <f>IF($C1331="","",COUNTIFS($B$4:$B$1463,$B1331,$X$4:$X$1463,"&gt;"&amp;$X1331)+COUNTIFS($B$4:$B1331,$B1331,$X$4:$X1331,"="&amp;$X1331))</f>
        <v>25</v>
      </c>
      <c r="R1331" s="72">
        <f>IF($C1331="","",IF($I1331="","",ROUND(COUNTIF($I$4:$I$1463,"&lt;"&amp;$I1331)/COUNT($I$4:$I$1463),3)))</f>
        <v>0.23799999999999999</v>
      </c>
      <c r="S1331" s="15" t="str">
        <f>IF($C1331="","",IF($G1331="","Name only",IF(OR($I1331="",$L1331=""),"Partial","Complete")))</f>
        <v>Complete</v>
      </c>
      <c r="T1331" s="41" t="str">
        <f>IF($C1331="","",TRIM(IF(COUNTIF($C$4:$C$1463,$C1331)&gt;1,"Dup name; ","")&amp;IF(AND($G1331&lt;&gt;"",$G1331&lt;55000),"Low CR - verify; ","")&amp;IF(AND($L1331&lt;&gt;"",$L1331&gt;15),"Secondary - verify; ","")&amp;IF($E1331="","No class; ","")))</f>
        <v/>
      </c>
      <c r="U1331" s="68"/>
      <c r="V1331" s="68"/>
      <c r="W1331" s="68"/>
      <c r="X1331" s="73">
        <f t="shared" si="102"/>
        <v>2496</v>
      </c>
      <c r="Y1331" s="41" t="str">
        <f t="shared" si="103"/>
        <v>ZOMBIES|25</v>
      </c>
      <c r="Z1331" s="15">
        <f>IF($C1331="","",IF($G1331="","",RANK($G1331,$G$4:$G$1463)+COUNTIF($G$4:$G1331,$G1331)-1))</f>
        <v>598</v>
      </c>
      <c r="AA1331" s="15">
        <f>IF($C1331="","",IF($N1331="","",RANK($N1331,$N$4:$N$1463)+COUNTIF($N$4:$N1331,$N1331)-1))</f>
        <v>830</v>
      </c>
      <c r="AB1331" s="41" t="str">
        <f>IF($C1331="","",IF($E1331="","",$E1331&amp;"#"&amp;(COUNTIFS($E$4:$E$1463,$E1331,$X$4:$X$1463,"&gt;"&amp;$X1331)+COUNTIFS($E$4:$E1331,$E1331,$X$4:$X1331,"="&amp;$X1331))))</f>
        <v>WARLOCK#250</v>
      </c>
      <c r="AC1331" s="41" t="str">
        <f>IF($C1331="","",$B1331&amp;"@"&amp;(COUNTIFS($B$4:$B$1463,$B1331,$C$4:$C$1463,"&lt;"&amp;$C1331)+COUNTIFS($B$4:$B1331,$B1331,$C$4:$C1331,$C1331)))</f>
        <v>ZOMBIES@98</v>
      </c>
      <c r="AD1331" s="41">
        <f t="shared" si="104"/>
        <v>1328</v>
      </c>
      <c r="AE1331" s="41" t="s">
        <v>2785</v>
      </c>
      <c r="AF1331" s="73">
        <f t="shared" si="105"/>
        <v>62626</v>
      </c>
      <c r="AG1331" s="74">
        <f t="shared" si="106"/>
        <v>5.3</v>
      </c>
      <c r="AH1331" s="41" t="str">
        <f>IF($C1331="","",$B1331&amp;"|"&amp;(COUNTIFS($B$4:$B$1463,$B1331,$AF$4:$AF$1463,"&gt;"&amp;$AF1331)+COUNTIFS($B$4:$B1331,$B1331,$AF$4:$AF1331,"="&amp;$AF1331)))</f>
        <v>ZOMBIES|12</v>
      </c>
      <c r="AI1331" s="41" t="str">
        <f>IF($C1331="","",$B1331&amp;"|"&amp;(COUNTIFS($B$4:$B$1463,$B1331,$AG$4:$AG$1463,"&gt;"&amp;$AG1331)+COUNTIFS($B$4:$B1331,$B1331,$AG$4:$AG1331,"="&amp;$AG1331)))</f>
        <v>ZOMBIES|7</v>
      </c>
    </row>
    <row r="1332" spans="1:35" hidden="1">
      <c r="A1332" s="69" t="s">
        <v>106</v>
      </c>
      <c r="B1332" s="69" t="s">
        <v>86</v>
      </c>
      <c r="C1332" s="63" t="s">
        <v>2786</v>
      </c>
      <c r="D1332" s="69"/>
      <c r="E1332" s="68" t="s">
        <v>71</v>
      </c>
      <c r="F1332" s="19" t="str">
        <f>IF($C1332="","",IF($E1332="","-",IFERROR(INDEX(SETUP!$B$55:$B$64,MATCH($E1332,SETUP!$A$55:$A$64,0)),"Other")))</f>
        <v>Frontline</v>
      </c>
      <c r="G1332" s="70">
        <v>63654</v>
      </c>
      <c r="H1332" s="19" t="str">
        <f>IF($C1332="","",IF($G1332="","-",INDEX(SETUP!$B$26:$B$32,MATCH($G1332,SETUP!$A$26:$A$32,1))))</f>
        <v>63,000 - 63,999</v>
      </c>
      <c r="I1332" s="70">
        <v>6392</v>
      </c>
      <c r="J1332" s="19" t="str">
        <f>IF($C1332="","",IF($I1332="","-",INDEX(SETUP!$B$16:$B$22,MATCH($I1332,SETUP!$A$16:$A$22,1))))</f>
        <v>VETERAN</v>
      </c>
      <c r="K1332" s="19" t="str">
        <f>IF($C1332="","",IF($I1332="","-",TEXT(INT($I1332/1000)*1000,"#,##0")&amp;" - "&amp;TEXT(INT($I1332/1000)*1000+999,"#,##0")))</f>
        <v>6,000 - 6,999</v>
      </c>
      <c r="L1332" s="71">
        <v>4.8</v>
      </c>
      <c r="M1332" s="19" t="str">
        <f>IF($C1332="","",IF($L1332="","-",INDEX(SETUP!$B$36:$B$42,MATCH($L1332,SETUP!$A$36:$A$42,1))))</f>
        <v>4k - 5k</v>
      </c>
      <c r="N1332" s="21">
        <f>IF($C1332="","",IF(OR($G1332="",$I1332=""),"",ROUND(100*(SETUP!$B$4*MIN(1,$I1332/SETUP!$B$9)+SETUP!$B$5*MAX(0,MIN(1,($G1332-SETUP!$B$10)/(SETUP!$B$11-SETUP!$B$10)))+SETUP!$B$6*MIN(1,IF($L1332="",0,$L1332)/SETUP!$B$12)),1)))</f>
        <v>58.7</v>
      </c>
      <c r="O1332" s="19" t="str">
        <f>IF($C1332="","",IF($N1332="","-",INDEX(SETUP!$B$46:$B$51,MATCH($N1332,SETUP!$A$46:$A$51,1))))</f>
        <v>A</v>
      </c>
      <c r="P1332" s="19">
        <f>IF($C1332="","",IF($I1332="","",RANK($I1332,$I$4:$I$1463)+COUNTIF($I$4:$I1332,$I1332)-1))</f>
        <v>252</v>
      </c>
      <c r="Q1332" s="19">
        <f>IF($C1332="","",COUNTIFS($B$4:$B$1463,$B1332,$X$4:$X$1463,"&gt;"&amp;$X1332)+COUNTIFS($B$4:$B1332,$B1332,$X$4:$X1332,"="&amp;$X1332))</f>
        <v>50</v>
      </c>
      <c r="R1332" s="75">
        <f>IF($C1332="","",IF($I1332="","",ROUND(COUNTIF($I$4:$I$1463,"&lt;"&amp;$I1332)/COUNT($I$4:$I$1463),3)))</f>
        <v>0.81</v>
      </c>
      <c r="S1332" s="19" t="str">
        <f>IF($C1332="","",IF($G1332="","Name only",IF(OR($I1332="",$L1332=""),"Partial","Complete")))</f>
        <v>Complete</v>
      </c>
      <c r="T1332" s="1" t="str">
        <f>IF($C1332="","",TRIM(IF(COUNTIF($C$4:$C$1463,$C1332)&gt;1,"Dup name; ","")&amp;IF(AND($G1332&lt;&gt;"",$G1332&lt;55000),"Low CR - verify; ","")&amp;IF(AND($L1332&lt;&gt;"",$L1332&gt;15),"Secondary - verify; ","")&amp;IF($E1332="","No class; ","")))</f>
        <v/>
      </c>
      <c r="U1332" s="68"/>
      <c r="V1332" s="68"/>
      <c r="W1332" s="68"/>
      <c r="X1332" s="76">
        <f t="shared" si="102"/>
        <v>6392</v>
      </c>
      <c r="Y1332" s="1" t="str">
        <f t="shared" si="103"/>
        <v>VANGUARD|50</v>
      </c>
      <c r="Z1332" s="19">
        <f>IF($C1332="","",IF($G1332="","",RANK($G1332,$G$4:$G$1463)+COUNTIF($G$4:$G1332,$G1332)-1))</f>
        <v>150</v>
      </c>
      <c r="AA1332" s="19">
        <f>IF($C1332="","",IF($N1332="","",RANK($N1332,$N$4:$N$1463)+COUNTIF($N$4:$N1332,$N1332)-1))</f>
        <v>252</v>
      </c>
      <c r="AB1332" s="1" t="str">
        <f>IF($C1332="","",IF($E1332="","",$E1332&amp;"#"&amp;(COUNTIFS($E$4:$E$1463,$E1332,$X$4:$X$1463,"&gt;"&amp;$X1332)+COUNTIFS($E$4:$E1332,$E1332,$X$4:$X1332,"="&amp;$X1332))))</f>
        <v>BARBARIAN#50</v>
      </c>
      <c r="AC1332" s="1" t="str">
        <f>IF($C1332="","",$B1332&amp;"@"&amp;(COUNTIFS($B$4:$B$1463,$B1332,$C$4:$C$1463,"&lt;"&amp;$C1332)+COUNTIFS($B$4:$B1332,$B1332,$C$4:$C1332,$C1332)))</f>
        <v>VANGUARD@3</v>
      </c>
      <c r="AD1332" s="1">
        <f t="shared" si="104"/>
        <v>1329</v>
      </c>
      <c r="AE1332" s="1" t="s">
        <v>986</v>
      </c>
      <c r="AF1332" s="76">
        <f t="shared" si="105"/>
        <v>63654</v>
      </c>
      <c r="AG1332" s="77">
        <f t="shared" si="106"/>
        <v>4.8</v>
      </c>
      <c r="AH1332" s="1" t="str">
        <f>IF($C1332="","",$B1332&amp;"|"&amp;(COUNTIFS($B$4:$B$1463,$B1332,$AF$4:$AF$1463,"&gt;"&amp;$AF1332)+COUNTIFS($B$4:$B1332,$B1332,$AF$4:$AF1332,"="&amp;$AF1332)))</f>
        <v>VANGUARD|32</v>
      </c>
      <c r="AI1332" s="1" t="str">
        <f>IF($C1332="","",$B1332&amp;"|"&amp;(COUNTIFS($B$4:$B$1463,$B1332,$AG$4:$AG$1463,"&gt;"&amp;$AG1332)+COUNTIFS($B$4:$B1332,$B1332,$AG$4:$AG1332,"="&amp;$AG1332)))</f>
        <v>VANGUARD|74</v>
      </c>
    </row>
    <row r="1333" spans="1:35" hidden="1">
      <c r="A1333" s="69" t="s">
        <v>106</v>
      </c>
      <c r="B1333" s="69" t="s">
        <v>107</v>
      </c>
      <c r="C1333" s="63" t="s">
        <v>2787</v>
      </c>
      <c r="D1333" s="69"/>
      <c r="E1333" s="68" t="s">
        <v>73</v>
      </c>
      <c r="F1333" s="15" t="str">
        <f>IF($C1333="","",IF($E1333="","-",IFERROR(INDEX(SETUP!$B$55:$B$64,MATCH($E1333,SETUP!$A$55:$A$64,0)),"Other")))</f>
        <v>Frontline</v>
      </c>
      <c r="G1333" s="70">
        <v>62733</v>
      </c>
      <c r="H1333" s="15" t="str">
        <f>IF($C1333="","",IF($G1333="","-",INDEX(SETUP!$B$26:$B$32,MATCH($G1333,SETUP!$A$26:$A$32,1))))</f>
        <v>62,000 - 62,999</v>
      </c>
      <c r="I1333" s="70">
        <v>2626</v>
      </c>
      <c r="J1333" s="15" t="str">
        <f>IF($C1333="","",IF($I1333="","-",INDEX(SETUP!$B$16:$B$22,MATCH($I1333,SETUP!$A$16:$A$22,1))))</f>
        <v>DEVELOPING</v>
      </c>
      <c r="K1333" s="15" t="str">
        <f>IF($C1333="","",IF($I1333="","-",TEXT(INT($I1333/1000)*1000,"#,##0")&amp;" - "&amp;TEXT(INT($I1333/1000)*1000+999,"#,##0")))</f>
        <v>2,000 - 2,999</v>
      </c>
      <c r="L1333" s="71">
        <v>4</v>
      </c>
      <c r="M1333" s="15" t="str">
        <f>IF($C1333="","",IF($L1333="","-",INDEX(SETUP!$B$36:$B$42,MATCH($L1333,SETUP!$A$36:$A$42,1))))</f>
        <v>4k - 5k</v>
      </c>
      <c r="N1333" s="17">
        <f>IF($C1333="","",IF(OR($G1333="",$I1333=""),"",ROUND(100*(SETUP!$B$4*MIN(1,$I1333/SETUP!$B$9)+SETUP!$B$5*MAX(0,MIN(1,($G1333-SETUP!$B$10)/(SETUP!$B$11-SETUP!$B$10)))+SETUP!$B$6*MIN(1,IF($L1333="",0,$L1333)/SETUP!$B$12)),1)))</f>
        <v>38.5</v>
      </c>
      <c r="O1333" s="15" t="str">
        <f>IF($C1333="","",IF($N1333="","-",INDEX(SETUP!$B$46:$B$51,MATCH($N1333,SETUP!$A$46:$A$51,1))))</f>
        <v>B</v>
      </c>
      <c r="P1333" s="15">
        <f>IF($C1333="","",IF($I1333="","",RANK($I1333,$I$4:$I$1463)+COUNTIF($I$4:$I1333,$I1333)-1))</f>
        <v>973</v>
      </c>
      <c r="Q1333" s="15">
        <f>IF($C1333="","",COUNTIFS($B$4:$B$1463,$B1333,$X$4:$X$1463,"&gt;"&amp;$X1333)+COUNTIFS($B$4:$B1333,$B1333,$X$4:$X1333,"="&amp;$X1333))</f>
        <v>89</v>
      </c>
      <c r="R1333" s="72">
        <f>IF($C1333="","",IF($I1333="","",ROUND(COUNTIF($I$4:$I$1463,"&lt;"&amp;$I1333)/COUNT($I$4:$I$1463),3)))</f>
        <v>0.26600000000000001</v>
      </c>
      <c r="S1333" s="15" t="str">
        <f>IF($C1333="","",IF($G1333="","Name only",IF(OR($I1333="",$L1333=""),"Partial","Complete")))</f>
        <v>Complete</v>
      </c>
      <c r="T1333" s="41" t="str">
        <f>IF($C1333="","",TRIM(IF(COUNTIF($C$4:$C$1463,$C1333)&gt;1,"Dup name; ","")&amp;IF(AND($G1333&lt;&gt;"",$G1333&lt;55000),"Low CR - verify; ","")&amp;IF(AND($L1333&lt;&gt;"",$L1333&gt;15),"Secondary - verify; ","")&amp;IF($E1333="","No class; ","")))</f>
        <v/>
      </c>
      <c r="U1333" s="68"/>
      <c r="V1333" s="68"/>
      <c r="W1333" s="68"/>
      <c r="X1333" s="73">
        <f t="shared" si="102"/>
        <v>2626</v>
      </c>
      <c r="Y1333" s="41" t="str">
        <f t="shared" si="103"/>
        <v>UNDYING|89</v>
      </c>
      <c r="Z1333" s="15">
        <f>IF($C1333="","",IF($G1333="","",RANK($G1333,$G$4:$G$1463)+COUNTIF($G$4:$G1333,$G1333)-1))</f>
        <v>555</v>
      </c>
      <c r="AA1333" s="15">
        <f>IF($C1333="","",IF($N1333="","",RANK($N1333,$N$4:$N$1463)+COUNTIF($N$4:$N1333,$N1333)-1))</f>
        <v>887</v>
      </c>
      <c r="AB1333" s="41" t="str">
        <f>IF($C1333="","",IF($E1333="","",$E1333&amp;"#"&amp;(COUNTIFS($E$4:$E$1463,$E1333,$X$4:$X$1463,"&gt;"&amp;$X1333)+COUNTIFS($E$4:$E1333,$E1333,$X$4:$X1333,"="&amp;$X1333))))</f>
        <v>CRUSADER#95</v>
      </c>
      <c r="AC1333" s="41" t="str">
        <f>IF($C1333="","",$B1333&amp;"@"&amp;(COUNTIFS($B$4:$B$1463,$B1333,$C$4:$C$1463,"&lt;"&amp;$C1333)+COUNTIFS($B$4:$B1333,$B1333,$C$4:$C1333,$C1333)))</f>
        <v>UNDYING@4</v>
      </c>
      <c r="AD1333" s="41">
        <f t="shared" si="104"/>
        <v>1330</v>
      </c>
      <c r="AE1333" s="41" t="s">
        <v>1081</v>
      </c>
      <c r="AF1333" s="73">
        <f t="shared" si="105"/>
        <v>62733</v>
      </c>
      <c r="AG1333" s="74">
        <f t="shared" si="106"/>
        <v>4</v>
      </c>
      <c r="AH1333" s="41" t="str">
        <f>IF($C1333="","",$B1333&amp;"|"&amp;(COUNTIFS($B$4:$B$1463,$B1333,$AF$4:$AF$1463,"&gt;"&amp;$AF1333)+COUNTIFS($B$4:$B1333,$B1333,$AF$4:$AF1333,"="&amp;$AF1333)))</f>
        <v>UNDYING|53</v>
      </c>
      <c r="AI1333" s="41" t="str">
        <f>IF($C1333="","",$B1333&amp;"|"&amp;(COUNTIFS($B$4:$B$1463,$B1333,$AG$4:$AG$1463,"&gt;"&amp;$AG1333)+COUNTIFS($B$4:$B1333,$B1333,$AG$4:$AG1333,"="&amp;$AG1333)))</f>
        <v>UNDYING|80</v>
      </c>
    </row>
    <row r="1334" spans="1:35" hidden="1">
      <c r="A1334" s="69" t="s">
        <v>109</v>
      </c>
      <c r="B1334" s="69" t="s">
        <v>113</v>
      </c>
      <c r="C1334" s="63" t="s">
        <v>2788</v>
      </c>
      <c r="D1334" s="69" t="s">
        <v>548</v>
      </c>
      <c r="E1334" s="68" t="s">
        <v>71</v>
      </c>
      <c r="F1334" s="19" t="str">
        <f>IF($C1334="","",IF($E1334="","-",IFERROR(INDEX(SETUP!$B$55:$B$64,MATCH($E1334,SETUP!$A$55:$A$64,0)),"Other")))</f>
        <v>Frontline</v>
      </c>
      <c r="G1334" s="70">
        <v>61879</v>
      </c>
      <c r="H1334" s="19" t="str">
        <f>IF($C1334="","",IF($G1334="","-",INDEX(SETUP!$B$26:$B$32,MATCH($G1334,SETUP!$A$26:$A$32,1))))</f>
        <v>61,000 - 61,999</v>
      </c>
      <c r="I1334" s="70">
        <v>3304</v>
      </c>
      <c r="J1334" s="19" t="str">
        <f>IF($C1334="","",IF($I1334="","-",INDEX(SETUP!$B$16:$B$22,MATCH($I1334,SETUP!$A$16:$A$22,1))))</f>
        <v>DEVELOPING</v>
      </c>
      <c r="K1334" s="19" t="str">
        <f>IF($C1334="","",IF($I1334="","-",TEXT(INT($I1334/1000)*1000,"#,##0")&amp;" - "&amp;TEXT(INT($I1334/1000)*1000+999,"#,##0")))</f>
        <v>3,000 - 3,999</v>
      </c>
      <c r="L1334" s="71">
        <v>3.65</v>
      </c>
      <c r="M1334" s="19" t="str">
        <f>IF($C1334="","",IF($L1334="","-",INDEX(SETUP!$B$36:$B$42,MATCH($L1334,SETUP!$A$36:$A$42,1))))</f>
        <v>3k - 4k</v>
      </c>
      <c r="N1334" s="21">
        <f>IF($C1334="","",IF(OR($G1334="",$I1334=""),"",ROUND(100*(SETUP!$B$4*MIN(1,$I1334/SETUP!$B$9)+SETUP!$B$5*MAX(0,MIN(1,($G1334-SETUP!$B$10)/(SETUP!$B$11-SETUP!$B$10)))+SETUP!$B$6*MIN(1,IF($L1334="",0,$L1334)/SETUP!$B$12)),1)))</f>
        <v>38.6</v>
      </c>
      <c r="O1334" s="19" t="str">
        <f>IF($C1334="","",IF($N1334="","-",INDEX(SETUP!$B$46:$B$51,MATCH($N1334,SETUP!$A$46:$A$51,1))))</f>
        <v>B</v>
      </c>
      <c r="P1334" s="19">
        <f>IF($C1334="","",IF($I1334="","",RANK($I1334,$I$4:$I$1463)+COUNTIF($I$4:$I1334,$I1334)-1))</f>
        <v>789</v>
      </c>
      <c r="Q1334" s="19">
        <f>IF($C1334="","",COUNTIFS($B$4:$B$1463,$B1334,$X$4:$X$1463,"&gt;"&amp;$X1334)+COUNTIFS($B$4:$B1334,$B1334,$X$4:$X1334,"="&amp;$X1334))</f>
        <v>41</v>
      </c>
      <c r="R1334" s="75">
        <f>IF($C1334="","",IF($I1334="","",ROUND(COUNTIF($I$4:$I$1463,"&lt;"&amp;$I1334)/COUNT($I$4:$I$1463),3)))</f>
        <v>0.40500000000000003</v>
      </c>
      <c r="S1334" s="19" t="str">
        <f>IF($C1334="","",IF($G1334="","Name only",IF(OR($I1334="",$L1334=""),"Partial","Complete")))</f>
        <v>Complete</v>
      </c>
      <c r="T1334" s="1" t="str">
        <f>IF($C1334="","",TRIM(IF(COUNTIF($C$4:$C$1463,$C1334)&gt;1,"Dup name; ","")&amp;IF(AND($G1334&lt;&gt;"",$G1334&lt;55000),"Low CR - verify; ","")&amp;IF(AND($L1334&lt;&gt;"",$L1334&gt;15),"Secondary - verify; ","")&amp;IF($E1334="","No class; ","")))</f>
        <v/>
      </c>
      <c r="U1334" s="68"/>
      <c r="V1334" s="68"/>
      <c r="W1334" s="68"/>
      <c r="X1334" s="76">
        <f t="shared" si="102"/>
        <v>3304</v>
      </c>
      <c r="Y1334" s="1" t="str">
        <f t="shared" si="103"/>
        <v>INVICTUS|41</v>
      </c>
      <c r="Z1334" s="19">
        <f>IF($C1334="","",IF($G1334="","",RANK($G1334,$G$4:$G$1463)+COUNTIF($G$4:$G1334,$G1334)-1))</f>
        <v>883</v>
      </c>
      <c r="AA1334" s="19">
        <f>IF($C1334="","",IF($N1334="","",RANK($N1334,$N$4:$N$1463)+COUNTIF($N$4:$N1334,$N1334)-1))</f>
        <v>880</v>
      </c>
      <c r="AB1334" s="1" t="str">
        <f>IF($C1334="","",IF($E1334="","",$E1334&amp;"#"&amp;(COUNTIFS($E$4:$E$1463,$E1334,$X$4:$X$1463,"&gt;"&amp;$X1334)+COUNTIFS($E$4:$E1334,$E1334,$X$4:$X1334,"="&amp;$X1334))))</f>
        <v>BARBARIAN#140</v>
      </c>
      <c r="AC1334" s="1" t="str">
        <f>IF($C1334="","",$B1334&amp;"@"&amp;(COUNTIFS($B$4:$B$1463,$B1334,$C$4:$C$1463,"&lt;"&amp;$C1334)+COUNTIFS($B$4:$B1334,$B1334,$C$4:$C1334,$C1334)))</f>
        <v>INVICTUS@5</v>
      </c>
      <c r="AD1334" s="1">
        <f t="shared" si="104"/>
        <v>1331</v>
      </c>
      <c r="AE1334" s="1" t="s">
        <v>2789</v>
      </c>
      <c r="AF1334" s="76">
        <f t="shared" si="105"/>
        <v>61879</v>
      </c>
      <c r="AG1334" s="77">
        <f t="shared" si="106"/>
        <v>3.65</v>
      </c>
      <c r="AH1334" s="1" t="str">
        <f>IF($C1334="","",$B1334&amp;"|"&amp;(COUNTIFS($B$4:$B$1463,$B1334,$AF$4:$AF$1463,"&gt;"&amp;$AF1334)+COUNTIFS($B$4:$B1334,$B1334,$AF$4:$AF1334,"="&amp;$AF1334)))</f>
        <v>INVICTUS|61</v>
      </c>
      <c r="AI1334" s="1" t="str">
        <f>IF($C1334="","",$B1334&amp;"|"&amp;(COUNTIFS($B$4:$B$1463,$B1334,$AG$4:$AG$1463,"&gt;"&amp;$AG1334)+COUNTIFS($B$4:$B1334,$B1334,$AG$4:$AG1334,"="&amp;$AG1334)))</f>
        <v>INVICTUS|72</v>
      </c>
    </row>
    <row r="1335" spans="1:35" hidden="1">
      <c r="A1335" s="69" t="s">
        <v>109</v>
      </c>
      <c r="B1335" s="69" t="s">
        <v>115</v>
      </c>
      <c r="C1335" s="63" t="s">
        <v>2790</v>
      </c>
      <c r="D1335" s="69" t="s">
        <v>1182</v>
      </c>
      <c r="E1335" s="68" t="s">
        <v>72</v>
      </c>
      <c r="F1335" s="15" t="str">
        <f>IF($C1335="","",IF($E1335="","-",IFERROR(INDEX(SETUP!$B$55:$B$64,MATCH($E1335,SETUP!$A$55:$A$64,0)),"Other")))</f>
        <v>Frontline</v>
      </c>
      <c r="G1335" s="70">
        <v>62753</v>
      </c>
      <c r="H1335" s="15" t="str">
        <f>IF($C1335="","",IF($G1335="","-",INDEX(SETUP!$B$26:$B$32,MATCH($G1335,SETUP!$A$26:$A$32,1))))</f>
        <v>62,000 - 62,999</v>
      </c>
      <c r="I1335" s="70">
        <v>4110</v>
      </c>
      <c r="J1335" s="15" t="str">
        <f>IF($C1335="","",IF($I1335="","-",INDEX(SETUP!$B$16:$B$22,MATCH($I1335,SETUP!$A$16:$A$22,1))))</f>
        <v>CORE</v>
      </c>
      <c r="K1335" s="15" t="str">
        <f>IF($C1335="","",IF($I1335="","-",TEXT(INT($I1335/1000)*1000,"#,##0")&amp;" - "&amp;TEXT(INT($I1335/1000)*1000+999,"#,##0")))</f>
        <v>4,000 - 4,999</v>
      </c>
      <c r="L1335" s="71">
        <v>4.5</v>
      </c>
      <c r="M1335" s="15" t="str">
        <f>IF($C1335="","",IF($L1335="","-",INDEX(SETUP!$B$36:$B$42,MATCH($L1335,SETUP!$A$36:$A$42,1))))</f>
        <v>4k - 5k</v>
      </c>
      <c r="N1335" s="17">
        <f>IF($C1335="","",IF(OR($G1335="",$I1335=""),"",ROUND(100*(SETUP!$B$4*MIN(1,$I1335/SETUP!$B$9)+SETUP!$B$5*MAX(0,MIN(1,($G1335-SETUP!$B$10)/(SETUP!$B$11-SETUP!$B$10)))+SETUP!$B$6*MIN(1,IF($L1335="",0,$L1335)/SETUP!$B$12)),1)))</f>
        <v>45.8</v>
      </c>
      <c r="O1335" s="15" t="str">
        <f>IF($C1335="","",IF($N1335="","-",INDEX(SETUP!$B$46:$B$51,MATCH($N1335,SETUP!$A$46:$A$51,1))))</f>
        <v>B</v>
      </c>
      <c r="P1335" s="15">
        <f>IF($C1335="","",IF($I1335="","",RANK($I1335,$I$4:$I$1463)+COUNTIF($I$4:$I1335,$I1335)-1))</f>
        <v>576</v>
      </c>
      <c r="Q1335" s="15">
        <f>IF($C1335="","",COUNTIFS($B$4:$B$1463,$B1335,$X$4:$X$1463,"&gt;"&amp;$X1335)+COUNTIFS($B$4:$B1335,$B1335,$X$4:$X1335,"="&amp;$X1335))</f>
        <v>15</v>
      </c>
      <c r="R1335" s="72">
        <f>IF($C1335="","",IF($I1335="","",ROUND(COUNTIF($I$4:$I$1463,"&lt;"&amp;$I1335)/COUNT($I$4:$I$1463),3)))</f>
        <v>0.56499999999999995</v>
      </c>
      <c r="S1335" s="15" t="str">
        <f>IF($C1335="","",IF($G1335="","Name only",IF(OR($I1335="",$L1335=""),"Partial","Complete")))</f>
        <v>Complete</v>
      </c>
      <c r="T1335" s="41" t="str">
        <f>IF($C1335="","",TRIM(IF(COUNTIF($C$4:$C$1463,$C1335)&gt;1,"Dup name; ","")&amp;IF(AND($G1335&lt;&gt;"",$G1335&lt;55000),"Low CR - verify; ","")&amp;IF(AND($L1335&lt;&gt;"",$L1335&gt;15),"Secondary - verify; ","")&amp;IF($E1335="","No class; ","")))</f>
        <v/>
      </c>
      <c r="U1335" s="68"/>
      <c r="V1335" s="68"/>
      <c r="W1335" s="68"/>
      <c r="X1335" s="73">
        <f t="shared" si="102"/>
        <v>4110</v>
      </c>
      <c r="Y1335" s="41" t="str">
        <f t="shared" si="103"/>
        <v>SUB ROSA|15</v>
      </c>
      <c r="Z1335" s="15">
        <f>IF($C1335="","",IF($G1335="","",RANK($G1335,$G$4:$G$1463)+COUNTIF($G$4:$G1335,$G1335)-1))</f>
        <v>544</v>
      </c>
      <c r="AA1335" s="15">
        <f>IF($C1335="","",IF($N1335="","",RANK($N1335,$N$4:$N$1463)+COUNTIF($N$4:$N1335,$N1335)-1))</f>
        <v>597</v>
      </c>
      <c r="AB1335" s="41" t="str">
        <f>IF($C1335="","",IF($E1335="","",$E1335&amp;"#"&amp;(COUNTIFS($E$4:$E$1463,$E1335,$X$4:$X$1463,"&gt;"&amp;$X1335)+COUNTIFS($E$4:$E1335,$E1335,$X$4:$X1335,"="&amp;$X1335))))</f>
        <v>BLOOD KNIGHT#35</v>
      </c>
      <c r="AC1335" s="41" t="str">
        <f>IF($C1335="","",$B1335&amp;"@"&amp;(COUNTIFS($B$4:$B$1463,$B1335,$C$4:$C$1463,"&lt;"&amp;$C1335)+COUNTIFS($B$4:$B1335,$B1335,$C$4:$C1335,$C1335)))</f>
        <v>SUB ROSA@3</v>
      </c>
      <c r="AD1335" s="41">
        <f t="shared" si="104"/>
        <v>1332</v>
      </c>
      <c r="AE1335" s="41" t="s">
        <v>630</v>
      </c>
      <c r="AF1335" s="73">
        <f t="shared" si="105"/>
        <v>62753</v>
      </c>
      <c r="AG1335" s="74">
        <f t="shared" si="106"/>
        <v>4.5</v>
      </c>
      <c r="AH1335" s="41" t="str">
        <f>IF($C1335="","",$B1335&amp;"|"&amp;(COUNTIFS($B$4:$B$1463,$B1335,$AF$4:$AF$1463,"&gt;"&amp;$AF1335)+COUNTIFS($B$4:$B1335,$B1335,$AF$4:$AF1335,"="&amp;$AF1335)))</f>
        <v>SUB ROSA|16</v>
      </c>
      <c r="AI1335" s="41" t="str">
        <f>IF($C1335="","",$B1335&amp;"|"&amp;(COUNTIFS($B$4:$B$1463,$B1335,$AG$4:$AG$1463,"&gt;"&amp;$AG1335)+COUNTIFS($B$4:$B1335,$B1335,$AG$4:$AG1335,"="&amp;$AG1335)))</f>
        <v>SUB ROSA|22</v>
      </c>
    </row>
    <row r="1336" spans="1:35" hidden="1">
      <c r="A1336" s="69" t="s">
        <v>109</v>
      </c>
      <c r="B1336" s="69" t="s">
        <v>113</v>
      </c>
      <c r="C1336" s="63" t="s">
        <v>2791</v>
      </c>
      <c r="D1336" s="69" t="s">
        <v>548</v>
      </c>
      <c r="E1336" s="68" t="s">
        <v>79</v>
      </c>
      <c r="F1336" s="19" t="str">
        <f>IF($C1336="","",IF($E1336="","-",IFERROR(INDEX(SETUP!$B$55:$B$64,MATCH($E1336,SETUP!$A$55:$A$64,0)),"Other")))</f>
        <v>Control</v>
      </c>
      <c r="G1336" s="70">
        <v>63194</v>
      </c>
      <c r="H1336" s="19" t="str">
        <f>IF($C1336="","",IF($G1336="","-",INDEX(SETUP!$B$26:$B$32,MATCH($G1336,SETUP!$A$26:$A$32,1))))</f>
        <v>63,000 - 63,999</v>
      </c>
      <c r="I1336" s="70">
        <v>6182</v>
      </c>
      <c r="J1336" s="19" t="str">
        <f>IF($C1336="","",IF($I1336="","-",INDEX(SETUP!$B$16:$B$22,MATCH($I1336,SETUP!$A$16:$A$22,1))))</f>
        <v>VETERAN</v>
      </c>
      <c r="K1336" s="19" t="str">
        <f>IF($C1336="","",IF($I1336="","-",TEXT(INT($I1336/1000)*1000,"#,##0")&amp;" - "&amp;TEXT(INT($I1336/1000)*1000+999,"#,##0")))</f>
        <v>6,000 - 6,999</v>
      </c>
      <c r="L1336" s="71">
        <v>5.4</v>
      </c>
      <c r="M1336" s="19" t="str">
        <f>IF($C1336="","",IF($L1336="","-",INDEX(SETUP!$B$36:$B$42,MATCH($L1336,SETUP!$A$36:$A$42,1))))</f>
        <v>5k - 6k</v>
      </c>
      <c r="N1336" s="21">
        <f>IF($C1336="","",IF(OR($G1336="",$I1336=""),"",ROUND(100*(SETUP!$B$4*MIN(1,$I1336/SETUP!$B$9)+SETUP!$B$5*MAX(0,MIN(1,($G1336-SETUP!$B$10)/(SETUP!$B$11-SETUP!$B$10)))+SETUP!$B$6*MIN(1,IF($L1336="",0,$L1336)/SETUP!$B$12)),1)))</f>
        <v>57.5</v>
      </c>
      <c r="O1336" s="19" t="str">
        <f>IF($C1336="","",IF($N1336="","-",INDEX(SETUP!$B$46:$B$51,MATCH($N1336,SETUP!$A$46:$A$51,1))))</f>
        <v>A</v>
      </c>
      <c r="P1336" s="19">
        <f>IF($C1336="","",IF($I1336="","",RANK($I1336,$I$4:$I$1463)+COUNTIF($I$4:$I1336,$I1336)-1))</f>
        <v>268</v>
      </c>
      <c r="Q1336" s="19">
        <f>IF($C1336="","",COUNTIFS($B$4:$B$1463,$B1336,$X$4:$X$1463,"&gt;"&amp;$X1336)+COUNTIFS($B$4:$B1336,$B1336,$X$4:$X1336,"="&amp;$X1336))</f>
        <v>8</v>
      </c>
      <c r="R1336" s="75">
        <f>IF($C1336="","",IF($I1336="","",ROUND(COUNTIF($I$4:$I$1463,"&lt;"&amp;$I1336)/COUNT($I$4:$I$1463),3)))</f>
        <v>0.79800000000000004</v>
      </c>
      <c r="S1336" s="19" t="str">
        <f>IF($C1336="","",IF($G1336="","Name only",IF(OR($I1336="",$L1336=""),"Partial","Complete")))</f>
        <v>Complete</v>
      </c>
      <c r="T1336" s="1" t="str">
        <f>IF($C1336="","",TRIM(IF(COUNTIF($C$4:$C$1463,$C1336)&gt;1,"Dup name; ","")&amp;IF(AND($G1336&lt;&gt;"",$G1336&lt;55000),"Low CR - verify; ","")&amp;IF(AND($L1336&lt;&gt;"",$L1336&gt;15),"Secondary - verify; ","")&amp;IF($E1336="","No class; ","")))</f>
        <v/>
      </c>
      <c r="U1336" s="68"/>
      <c r="V1336" s="68"/>
      <c r="W1336" s="68"/>
      <c r="X1336" s="76">
        <f t="shared" si="102"/>
        <v>6182</v>
      </c>
      <c r="Y1336" s="1" t="str">
        <f t="shared" si="103"/>
        <v>INVICTUS|8</v>
      </c>
      <c r="Z1336" s="19">
        <f>IF($C1336="","",IF($G1336="","",RANK($G1336,$G$4:$G$1463)+COUNTIF($G$4:$G1336,$G1336)-1))</f>
        <v>320</v>
      </c>
      <c r="AA1336" s="19">
        <f>IF($C1336="","",IF($N1336="","",RANK($N1336,$N$4:$N$1463)+COUNTIF($N$4:$N1336,$N1336)-1))</f>
        <v>271</v>
      </c>
      <c r="AB1336" s="1" t="str">
        <f>IF($C1336="","",IF($E1336="","",$E1336&amp;"#"&amp;(COUNTIFS($E$4:$E$1463,$E1336,$X$4:$X$1463,"&gt;"&amp;$X1336)+COUNTIFS($E$4:$E1336,$E1336,$X$4:$X1336,"="&amp;$X1336))))</f>
        <v>WARLOCK#56</v>
      </c>
      <c r="AC1336" s="1" t="str">
        <f>IF($C1336="","",$B1336&amp;"@"&amp;(COUNTIFS($B$4:$B$1463,$B1336,$C$4:$C$1463,"&lt;"&amp;$C1336)+COUNTIFS($B$4:$B1336,$B1336,$C$4:$C1336,$C1336)))</f>
        <v>INVICTUS@3</v>
      </c>
      <c r="AD1336" s="1">
        <f t="shared" si="104"/>
        <v>1333</v>
      </c>
      <c r="AE1336" s="1" t="s">
        <v>2792</v>
      </c>
      <c r="AF1336" s="76">
        <f t="shared" si="105"/>
        <v>63194</v>
      </c>
      <c r="AG1336" s="77">
        <f t="shared" si="106"/>
        <v>5.4</v>
      </c>
      <c r="AH1336" s="1" t="str">
        <f>IF($C1336="","",$B1336&amp;"|"&amp;(COUNTIFS($B$4:$B$1463,$B1336,$AF$4:$AF$1463,"&gt;"&amp;$AF1336)+COUNTIFS($B$4:$B1336,$B1336,$AF$4:$AF1336,"="&amp;$AF1336)))</f>
        <v>INVICTUS|14</v>
      </c>
      <c r="AI1336" s="1" t="str">
        <f>IF($C1336="","",$B1336&amp;"|"&amp;(COUNTIFS($B$4:$B$1463,$B1336,$AG$4:$AG$1463,"&gt;"&amp;$AG1336)+COUNTIFS($B$4:$B1336,$B1336,$AG$4:$AG1336,"="&amp;$AG1336)))</f>
        <v>INVICTUS|22</v>
      </c>
    </row>
    <row r="1337" spans="1:35" hidden="1">
      <c r="A1337" s="69" t="s">
        <v>109</v>
      </c>
      <c r="B1337" s="69" t="s">
        <v>117</v>
      </c>
      <c r="C1337" s="63" t="s">
        <v>2793</v>
      </c>
      <c r="D1337" s="69"/>
      <c r="E1337" s="68" t="s">
        <v>73</v>
      </c>
      <c r="F1337" s="15" t="str">
        <f>IF($C1337="","",IF($E1337="","-",IFERROR(INDEX(SETUP!$B$55:$B$64,MATCH($E1337,SETUP!$A$55:$A$64,0)),"Other")))</f>
        <v>Frontline</v>
      </c>
      <c r="G1337" s="70">
        <v>60870</v>
      </c>
      <c r="H1337" s="15" t="str">
        <f>IF($C1337="","",IF($G1337="","-",INDEX(SETUP!$B$26:$B$32,MATCH($G1337,SETUP!$A$26:$A$32,1))))</f>
        <v>60,000 - 60,999</v>
      </c>
      <c r="I1337" s="70">
        <v>1854</v>
      </c>
      <c r="J1337" s="15" t="str">
        <f>IF($C1337="","",IF($I1337="","-",INDEX(SETUP!$B$16:$B$22,MATCH($I1337,SETUP!$A$16:$A$22,1))))</f>
        <v>ROOKIE</v>
      </c>
      <c r="K1337" s="15" t="str">
        <f>IF($C1337="","",IF($I1337="","-",TEXT(INT($I1337/1000)*1000,"#,##0")&amp;" - "&amp;TEXT(INT($I1337/1000)*1000+999,"#,##0")))</f>
        <v>1,000 - 1,999</v>
      </c>
      <c r="L1337" s="71">
        <v>4.5999999999999996</v>
      </c>
      <c r="M1337" s="15" t="str">
        <f>IF($C1337="","",IF($L1337="","-",INDEX(SETUP!$B$36:$B$42,MATCH($L1337,SETUP!$A$36:$A$42,1))))</f>
        <v>4k - 5k</v>
      </c>
      <c r="N1337" s="17">
        <f>IF($C1337="","",IF(OR($G1337="",$I1337=""),"",ROUND(100*(SETUP!$B$4*MIN(1,$I1337/SETUP!$B$9)+SETUP!$B$5*MAX(0,MIN(1,($G1337-SETUP!$B$10)/(SETUP!$B$11-SETUP!$B$10)))+SETUP!$B$6*MIN(1,IF($L1337="",0,$L1337)/SETUP!$B$12)),1)))</f>
        <v>31.2</v>
      </c>
      <c r="O1337" s="15" t="str">
        <f>IF($C1337="","",IF($N1337="","-",INDEX(SETUP!$B$46:$B$51,MATCH($N1337,SETUP!$A$46:$A$51,1))))</f>
        <v>C</v>
      </c>
      <c r="P1337" s="15">
        <f>IF($C1337="","",IF($I1337="","",RANK($I1337,$I$4:$I$1463)+COUNTIF($I$4:$I1337,$I1337)-1))</f>
        <v>1139</v>
      </c>
      <c r="Q1337" s="15">
        <f>IF($C1337="","",COUNTIFS($B$4:$B$1463,$B1337,$X$4:$X$1463,"&gt;"&amp;$X1337)+COUNTIFS($B$4:$B1337,$B1337,$X$4:$X1337,"="&amp;$X1337))</f>
        <v>53</v>
      </c>
      <c r="R1337" s="72">
        <f>IF($C1337="","",IF($I1337="","",ROUND(COUNTIF($I$4:$I$1463,"&lt;"&amp;$I1337)/COUNT($I$4:$I$1463),3)))</f>
        <v>0.14000000000000001</v>
      </c>
      <c r="S1337" s="15" t="str">
        <f>IF($C1337="","",IF($G1337="","Name only",IF(OR($I1337="",$L1337=""),"Partial","Complete")))</f>
        <v>Complete</v>
      </c>
      <c r="T1337" s="41" t="str">
        <f>IF($C1337="","",TRIM(IF(COUNTIF($C$4:$C$1463,$C1337)&gt;1,"Dup name; ","")&amp;IF(AND($G1337&lt;&gt;"",$G1337&lt;55000),"Low CR - verify; ","")&amp;IF(AND($L1337&lt;&gt;"",$L1337&gt;15),"Secondary - verify; ","")&amp;IF($E1337="","No class; ","")))</f>
        <v/>
      </c>
      <c r="U1337" s="68"/>
      <c r="V1337" s="68"/>
      <c r="W1337" s="68"/>
      <c r="X1337" s="73">
        <f t="shared" si="102"/>
        <v>1854</v>
      </c>
      <c r="Y1337" s="41" t="str">
        <f t="shared" si="103"/>
        <v>VENDETTA|53</v>
      </c>
      <c r="Z1337" s="15">
        <f>IF($C1337="","",IF($G1337="","",RANK($G1337,$G$4:$G$1463)+COUNTIF($G$4:$G1337,$G1337)-1))</f>
        <v>1161</v>
      </c>
      <c r="AA1337" s="15">
        <f>IF($C1337="","",IF($N1337="","",RANK($N1337,$N$4:$N$1463)+COUNTIF($N$4:$N1337,$N1337)-1))</f>
        <v>1119</v>
      </c>
      <c r="AB1337" s="41" t="str">
        <f>IF($C1337="","",IF($E1337="","",$E1337&amp;"#"&amp;(COUNTIFS($E$4:$E$1463,$E1337,$X$4:$X$1463,"&gt;"&amp;$X1337)+COUNTIFS($E$4:$E1337,$E1337,$X$4:$X1337,"="&amp;$X1337))))</f>
        <v>CRUSADER#110</v>
      </c>
      <c r="AC1337" s="41" t="str">
        <f>IF($C1337="","",$B1337&amp;"@"&amp;(COUNTIFS($B$4:$B$1463,$B1337,$C$4:$C$1463,"&lt;"&amp;$C1337)+COUNTIFS($B$4:$B1337,$B1337,$C$4:$C1337,$C1337)))</f>
        <v>VENDETTA@8</v>
      </c>
      <c r="AD1337" s="41">
        <f t="shared" si="104"/>
        <v>1334</v>
      </c>
      <c r="AE1337" s="41" t="s">
        <v>1038</v>
      </c>
      <c r="AF1337" s="73">
        <f t="shared" si="105"/>
        <v>60870</v>
      </c>
      <c r="AG1337" s="74">
        <f t="shared" si="106"/>
        <v>4.5999999999999996</v>
      </c>
      <c r="AH1337" s="41" t="str">
        <f>IF($C1337="","",$B1337&amp;"|"&amp;(COUNTIFS($B$4:$B$1463,$B1337,$AF$4:$AF$1463,"&gt;"&amp;$AF1337)+COUNTIFS($B$4:$B1337,$B1337,$AF$4:$AF1337,"="&amp;$AF1337)))</f>
        <v>VENDETTA|70</v>
      </c>
      <c r="AI1337" s="41" t="str">
        <f>IF($C1337="","",$B1337&amp;"|"&amp;(COUNTIFS($B$4:$B$1463,$B1337,$AG$4:$AG$1463,"&gt;"&amp;$AG1337)+COUNTIFS($B$4:$B1337,$B1337,$AG$4:$AG1337,"="&amp;$AG1337)))</f>
        <v>VENDETTA|15</v>
      </c>
    </row>
    <row r="1338" spans="1:35" hidden="1">
      <c r="A1338" s="69" t="s">
        <v>109</v>
      </c>
      <c r="B1338" s="69" t="s">
        <v>117</v>
      </c>
      <c r="C1338" s="63" t="s">
        <v>2794</v>
      </c>
      <c r="D1338" s="69"/>
      <c r="E1338" s="68" t="s">
        <v>71</v>
      </c>
      <c r="F1338" s="19" t="str">
        <f>IF($C1338="","",IF($E1338="","-",IFERROR(INDEX(SETUP!$B$55:$B$64,MATCH($E1338,SETUP!$A$55:$A$64,0)),"Other")))</f>
        <v>Frontline</v>
      </c>
      <c r="G1338" s="70">
        <v>61390</v>
      </c>
      <c r="H1338" s="19" t="str">
        <f>IF($C1338="","",IF($G1338="","-",INDEX(SETUP!$B$26:$B$32,MATCH($G1338,SETUP!$A$26:$A$32,1))))</f>
        <v>61,000 - 61,999</v>
      </c>
      <c r="I1338" s="70">
        <v>2085</v>
      </c>
      <c r="J1338" s="19" t="str">
        <f>IF($C1338="","",IF($I1338="","-",INDEX(SETUP!$B$16:$B$22,MATCH($I1338,SETUP!$A$16:$A$22,1))))</f>
        <v>DEVELOPING</v>
      </c>
      <c r="K1338" s="19" t="str">
        <f>IF($C1338="","",IF($I1338="","-",TEXT(INT($I1338/1000)*1000,"#,##0")&amp;" - "&amp;TEXT(INT($I1338/1000)*1000+999,"#,##0")))</f>
        <v>2,000 - 2,999</v>
      </c>
      <c r="L1338" s="71">
        <v>4</v>
      </c>
      <c r="M1338" s="19" t="str">
        <f>IF($C1338="","",IF($L1338="","-",INDEX(SETUP!$B$36:$B$42,MATCH($L1338,SETUP!$A$36:$A$42,1))))</f>
        <v>4k - 5k</v>
      </c>
      <c r="N1338" s="21">
        <f>IF($C1338="","",IF(OR($G1338="",$I1338=""),"",ROUND(100*(SETUP!$B$4*MIN(1,$I1338/SETUP!$B$9)+SETUP!$B$5*MAX(0,MIN(1,($G1338-SETUP!$B$10)/(SETUP!$B$11-SETUP!$B$10)))+SETUP!$B$6*MIN(1,IF($L1338="",0,$L1338)/SETUP!$B$12)),1)))</f>
        <v>32.6</v>
      </c>
      <c r="O1338" s="19" t="str">
        <f>IF($C1338="","",IF($N1338="","-",INDEX(SETUP!$B$46:$B$51,MATCH($N1338,SETUP!$A$46:$A$51,1))))</f>
        <v>C</v>
      </c>
      <c r="P1338" s="19">
        <f>IF($C1338="","",IF($I1338="","",RANK($I1338,$I$4:$I$1463)+COUNTIF($I$4:$I1338,$I1338)-1))</f>
        <v>1093</v>
      </c>
      <c r="Q1338" s="19">
        <f>IF($C1338="","",COUNTIFS($B$4:$B$1463,$B1338,$X$4:$X$1463,"&gt;"&amp;$X1338)+COUNTIFS($B$4:$B1338,$B1338,$X$4:$X1338,"="&amp;$X1338))</f>
        <v>44</v>
      </c>
      <c r="R1338" s="75">
        <f>IF($C1338="","",IF($I1338="","",ROUND(COUNTIF($I$4:$I$1463,"&lt;"&amp;$I1338)/COUNT($I$4:$I$1463),3)))</f>
        <v>0.17499999999999999</v>
      </c>
      <c r="S1338" s="19" t="str">
        <f>IF($C1338="","",IF($G1338="","Name only",IF(OR($I1338="",$L1338=""),"Partial","Complete")))</f>
        <v>Complete</v>
      </c>
      <c r="T1338" s="1" t="str">
        <f>IF($C1338="","",TRIM(IF(COUNTIF($C$4:$C$1463,$C1338)&gt;1,"Dup name; ","")&amp;IF(AND($G1338&lt;&gt;"",$G1338&lt;55000),"Low CR - verify; ","")&amp;IF(AND($L1338&lt;&gt;"",$L1338&gt;15),"Secondary - verify; ","")&amp;IF($E1338="","No class; ","")))</f>
        <v/>
      </c>
      <c r="U1338" s="68"/>
      <c r="V1338" s="68"/>
      <c r="W1338" s="68"/>
      <c r="X1338" s="76">
        <f t="shared" si="102"/>
        <v>2085</v>
      </c>
      <c r="Y1338" s="1" t="str">
        <f t="shared" si="103"/>
        <v>VENDETTA|44</v>
      </c>
      <c r="Z1338" s="19">
        <f>IF($C1338="","",IF($G1338="","",RANK($G1338,$G$4:$G$1463)+COUNTIF($G$4:$G1338,$G1338)-1))</f>
        <v>1035</v>
      </c>
      <c r="AA1338" s="19">
        <f>IF($C1338="","",IF($N1338="","",RANK($N1338,$N$4:$N$1463)+COUNTIF($N$4:$N1338,$N1338)-1))</f>
        <v>1079</v>
      </c>
      <c r="AB1338" s="1" t="str">
        <f>IF($C1338="","",IF($E1338="","",$E1338&amp;"#"&amp;(COUNTIFS($E$4:$E$1463,$E1338,$X$4:$X$1463,"&gt;"&amp;$X1338)+COUNTIFS($E$4:$E1338,$E1338,$X$4:$X1338,"="&amp;$X1338))))</f>
        <v>BARBARIAN#188</v>
      </c>
      <c r="AC1338" s="1" t="str">
        <f>IF($C1338="","",$B1338&amp;"@"&amp;(COUNTIFS($B$4:$B$1463,$B1338,$C$4:$C$1463,"&lt;"&amp;$C1338)+COUNTIFS($B$4:$B1338,$B1338,$C$4:$C1338,$C1338)))</f>
        <v>VENDETTA@5</v>
      </c>
      <c r="AD1338" s="1">
        <f t="shared" si="104"/>
        <v>1335</v>
      </c>
      <c r="AE1338" s="1" t="s">
        <v>970</v>
      </c>
      <c r="AF1338" s="76">
        <f t="shared" si="105"/>
        <v>61390</v>
      </c>
      <c r="AG1338" s="77">
        <f t="shared" si="106"/>
        <v>4</v>
      </c>
      <c r="AH1338" s="1" t="str">
        <f>IF($C1338="","",$B1338&amp;"|"&amp;(COUNTIFS($B$4:$B$1463,$B1338,$AF$4:$AF$1463,"&gt;"&amp;$AF1338)+COUNTIFS($B$4:$B1338,$B1338,$AF$4:$AF1338,"="&amp;$AF1338)))</f>
        <v>VENDETTA|53</v>
      </c>
      <c r="AI1338" s="1" t="str">
        <f>IF($C1338="","",$B1338&amp;"|"&amp;(COUNTIFS($B$4:$B$1463,$B1338,$AG$4:$AG$1463,"&gt;"&amp;$AG1338)+COUNTIFS($B$4:$B1338,$B1338,$AG$4:$AG1338,"="&amp;$AG1338)))</f>
        <v>VENDETTA|42</v>
      </c>
    </row>
    <row r="1339" spans="1:35" hidden="1">
      <c r="A1339" s="69" t="s">
        <v>106</v>
      </c>
      <c r="B1339" s="69" t="s">
        <v>105</v>
      </c>
      <c r="C1339" s="63" t="s">
        <v>2795</v>
      </c>
      <c r="D1339" s="69" t="s">
        <v>691</v>
      </c>
      <c r="E1339" s="68" t="s">
        <v>79</v>
      </c>
      <c r="F1339" s="15" t="str">
        <f>IF($C1339="","",IF($E1339="","-",IFERROR(INDEX(SETUP!$B$55:$B$64,MATCH($E1339,SETUP!$A$55:$A$64,0)),"Other")))</f>
        <v>Control</v>
      </c>
      <c r="G1339" s="70">
        <v>63309</v>
      </c>
      <c r="H1339" s="15" t="str">
        <f>IF($C1339="","",IF($G1339="","-",INDEX(SETUP!$B$26:$B$32,MATCH($G1339,SETUP!$A$26:$A$32,1))))</f>
        <v>63,000 - 63,999</v>
      </c>
      <c r="I1339" s="70">
        <v>6336</v>
      </c>
      <c r="J1339" s="15" t="str">
        <f>IF($C1339="","",IF($I1339="","-",INDEX(SETUP!$B$16:$B$22,MATCH($I1339,SETUP!$A$16:$A$22,1))))</f>
        <v>VETERAN</v>
      </c>
      <c r="K1339" s="15" t="str">
        <f>IF($C1339="","",IF($I1339="","-",TEXT(INT($I1339/1000)*1000,"#,##0")&amp;" - "&amp;TEXT(INT($I1339/1000)*1000+999,"#,##0")))</f>
        <v>6,000 - 6,999</v>
      </c>
      <c r="L1339" s="71">
        <v>5.52</v>
      </c>
      <c r="M1339" s="15" t="str">
        <f>IF($C1339="","",IF($L1339="","-",INDEX(SETUP!$B$36:$B$42,MATCH($L1339,SETUP!$A$36:$A$42,1))))</f>
        <v>5k - 6k</v>
      </c>
      <c r="N1339" s="17">
        <f>IF($C1339="","",IF(OR($G1339="",$I1339=""),"",ROUND(100*(SETUP!$B$4*MIN(1,$I1339/SETUP!$B$9)+SETUP!$B$5*MAX(0,MIN(1,($G1339-SETUP!$B$10)/(SETUP!$B$11-SETUP!$B$10)))+SETUP!$B$6*MIN(1,IF($L1339="",0,$L1339)/SETUP!$B$12)),1)))</f>
        <v>58.7</v>
      </c>
      <c r="O1339" s="15" t="str">
        <f>IF($C1339="","",IF($N1339="","-",INDEX(SETUP!$B$46:$B$51,MATCH($N1339,SETUP!$A$46:$A$51,1))))</f>
        <v>A</v>
      </c>
      <c r="P1339" s="15">
        <f>IF($C1339="","",IF($I1339="","",RANK($I1339,$I$4:$I$1463)+COUNTIF($I$4:$I1339,$I1339)-1))</f>
        <v>256</v>
      </c>
      <c r="Q1339" s="15">
        <f>IF($C1339="","",COUNTIFS($B$4:$B$1463,$B1339,$X$4:$X$1463,"&gt;"&amp;$X1339)+COUNTIFS($B$4:$B1339,$B1339,$X$4:$X1339,"="&amp;$X1339))</f>
        <v>27</v>
      </c>
      <c r="R1339" s="72">
        <f>IF($C1339="","",IF($I1339="","",ROUND(COUNTIF($I$4:$I$1463,"&lt;"&amp;$I1339)/COUNT($I$4:$I$1463),3)))</f>
        <v>0.80700000000000005</v>
      </c>
      <c r="S1339" s="15" t="str">
        <f>IF($C1339="","",IF($G1339="","Name only",IF(OR($I1339="",$L1339=""),"Partial","Complete")))</f>
        <v>Complete</v>
      </c>
      <c r="T1339" s="41" t="str">
        <f>IF($C1339="","",TRIM(IF(COUNTIF($C$4:$C$1463,$C1339)&gt;1,"Dup name; ","")&amp;IF(AND($G1339&lt;&gt;"",$G1339&lt;55000),"Low CR - verify; ","")&amp;IF(AND($L1339&lt;&gt;"",$L1339&gt;15),"Secondary - verify; ","")&amp;IF($E1339="","No class; ","")))</f>
        <v/>
      </c>
      <c r="U1339" s="68"/>
      <c r="V1339" s="68"/>
      <c r="W1339" s="68"/>
      <c r="X1339" s="73">
        <f t="shared" si="102"/>
        <v>6336</v>
      </c>
      <c r="Y1339" s="41" t="str">
        <f t="shared" si="103"/>
        <v>LEGENDS|27</v>
      </c>
      <c r="Z1339" s="15">
        <f>IF($C1339="","",IF($G1339="","",RANK($G1339,$G$4:$G$1463)+COUNTIF($G$4:$G1339,$G1339)-1))</f>
        <v>257</v>
      </c>
      <c r="AA1339" s="15">
        <f>IF($C1339="","",IF($N1339="","",RANK($N1339,$N$4:$N$1463)+COUNTIF($N$4:$N1339,$N1339)-1))</f>
        <v>253</v>
      </c>
      <c r="AB1339" s="41" t="str">
        <f>IF($C1339="","",IF($E1339="","",$E1339&amp;"#"&amp;(COUNTIFS($E$4:$E$1463,$E1339,$X$4:$X$1463,"&gt;"&amp;$X1339)+COUNTIFS($E$4:$E1339,$E1339,$X$4:$X1339,"="&amp;$X1339))))</f>
        <v>WARLOCK#53</v>
      </c>
      <c r="AC1339" s="41" t="str">
        <f>IF($C1339="","",$B1339&amp;"@"&amp;(COUNTIFS($B$4:$B$1463,$B1339,$C$4:$C$1463,"&lt;"&amp;$C1339)+COUNTIFS($B$4:$B1339,$B1339,$C$4:$C1339,$C1339)))</f>
        <v>LEGENDS@23</v>
      </c>
      <c r="AD1339" s="41">
        <f t="shared" si="104"/>
        <v>1336</v>
      </c>
      <c r="AE1339" s="41" t="s">
        <v>2796</v>
      </c>
      <c r="AF1339" s="73">
        <f t="shared" si="105"/>
        <v>63309</v>
      </c>
      <c r="AG1339" s="74">
        <f t="shared" si="106"/>
        <v>5.52</v>
      </c>
      <c r="AH1339" s="41" t="str">
        <f>IF($C1339="","",$B1339&amp;"|"&amp;(COUNTIFS($B$4:$B$1463,$B1339,$AF$4:$AF$1463,"&gt;"&amp;$AF1339)+COUNTIFS($B$4:$B1339,$B1339,$AF$4:$AF1339,"="&amp;$AF1339)))</f>
        <v>LEGENDS|33</v>
      </c>
      <c r="AI1339" s="41" t="str">
        <f>IF($C1339="","",$B1339&amp;"|"&amp;(COUNTIFS($B$4:$B$1463,$B1339,$AG$4:$AG$1463,"&gt;"&amp;$AG1339)+COUNTIFS($B$4:$B1339,$B1339,$AG$4:$AG1339,"="&amp;$AG1339)))</f>
        <v>LEGENDS|37</v>
      </c>
    </row>
    <row r="1340" spans="1:35" hidden="1">
      <c r="A1340" s="69" t="s">
        <v>109</v>
      </c>
      <c r="B1340" s="69" t="s">
        <v>108</v>
      </c>
      <c r="C1340" s="63" t="s">
        <v>2797</v>
      </c>
      <c r="D1340" s="69"/>
      <c r="E1340" s="68" t="s">
        <v>79</v>
      </c>
      <c r="F1340" s="19" t="str">
        <f>IF($C1340="","",IF($E1340="","-",IFERROR(INDEX(SETUP!$B$55:$B$64,MATCH($E1340,SETUP!$A$55:$A$64,0)),"Other")))</f>
        <v>Control</v>
      </c>
      <c r="G1340" s="70">
        <v>63107</v>
      </c>
      <c r="H1340" s="19" t="str">
        <f>IF($C1340="","",IF($G1340="","-",INDEX(SETUP!$B$26:$B$32,MATCH($G1340,SETUP!$A$26:$A$32,1))))</f>
        <v>63,000 - 63,999</v>
      </c>
      <c r="I1340" s="70">
        <v>6402</v>
      </c>
      <c r="J1340" s="19" t="str">
        <f>IF($C1340="","",IF($I1340="","-",INDEX(SETUP!$B$16:$B$22,MATCH($I1340,SETUP!$A$16:$A$22,1))))</f>
        <v>VETERAN</v>
      </c>
      <c r="K1340" s="19" t="str">
        <f>IF($C1340="","",IF($I1340="","-",TEXT(INT($I1340/1000)*1000,"#,##0")&amp;" - "&amp;TEXT(INT($I1340/1000)*1000+999,"#,##0")))</f>
        <v>6,000 - 6,999</v>
      </c>
      <c r="L1340" s="71">
        <v>5</v>
      </c>
      <c r="M1340" s="19" t="str">
        <f>IF($C1340="","",IF($L1340="","-",INDEX(SETUP!$B$36:$B$42,MATCH($L1340,SETUP!$A$36:$A$42,1))))</f>
        <v>5k - 6k</v>
      </c>
      <c r="N1340" s="21">
        <f>IF($C1340="","",IF(OR($G1340="",$I1340=""),"",ROUND(100*(SETUP!$B$4*MIN(1,$I1340/SETUP!$B$9)+SETUP!$B$5*MAX(0,MIN(1,($G1340-SETUP!$B$10)/(SETUP!$B$11-SETUP!$B$10)))+SETUP!$B$6*MIN(1,IF($L1340="",0,$L1340)/SETUP!$B$12)),1)))</f>
        <v>57.6</v>
      </c>
      <c r="O1340" s="19" t="str">
        <f>IF($C1340="","",IF($N1340="","-",INDEX(SETUP!$B$46:$B$51,MATCH($N1340,SETUP!$A$46:$A$51,1))))</f>
        <v>A</v>
      </c>
      <c r="P1340" s="19">
        <f>IF($C1340="","",IF($I1340="","",RANK($I1340,$I$4:$I$1463)+COUNTIF($I$4:$I1340,$I1340)-1))</f>
        <v>251</v>
      </c>
      <c r="Q1340" s="19">
        <f>IF($C1340="","",COUNTIFS($B$4:$B$1463,$B1340,$X$4:$X$1463,"&gt;"&amp;$X1340)+COUNTIFS($B$4:$B1340,$B1340,$X$4:$X1340,"="&amp;$X1340))</f>
        <v>41</v>
      </c>
      <c r="R1340" s="75">
        <f>IF($C1340="","",IF($I1340="","",ROUND(COUNTIF($I$4:$I$1463,"&lt;"&amp;$I1340)/COUNT($I$4:$I$1463),3)))</f>
        <v>0.81100000000000005</v>
      </c>
      <c r="S1340" s="19" t="str">
        <f>IF($C1340="","",IF($G1340="","Name only",IF(OR($I1340="",$L1340=""),"Partial","Complete")))</f>
        <v>Complete</v>
      </c>
      <c r="T1340" s="1" t="str">
        <f>IF($C1340="","",TRIM(IF(COUNTIF($C$4:$C$1463,$C1340)&gt;1,"Dup name; ","")&amp;IF(AND($G1340&lt;&gt;"",$G1340&lt;55000),"Low CR - verify; ","")&amp;IF(AND($L1340&lt;&gt;"",$L1340&gt;15),"Secondary - verify; ","")&amp;IF($E1340="","No class; ","")))</f>
        <v/>
      </c>
      <c r="U1340" s="68"/>
      <c r="V1340" s="68"/>
      <c r="W1340" s="68"/>
      <c r="X1340" s="76">
        <f t="shared" si="102"/>
        <v>6402</v>
      </c>
      <c r="Y1340" s="1" t="str">
        <f t="shared" si="103"/>
        <v>SBG|41</v>
      </c>
      <c r="Z1340" s="19">
        <f>IF($C1340="","",IF($G1340="","",RANK($G1340,$G$4:$G$1463)+COUNTIF($G$4:$G1340,$G1340)-1))</f>
        <v>373</v>
      </c>
      <c r="AA1340" s="19">
        <f>IF($C1340="","",IF($N1340="","",RANK($N1340,$N$4:$N$1463)+COUNTIF($N$4:$N1340,$N1340)-1))</f>
        <v>268</v>
      </c>
      <c r="AB1340" s="1" t="str">
        <f>IF($C1340="","",IF($E1340="","",$E1340&amp;"#"&amp;(COUNTIFS($E$4:$E$1463,$E1340,$X$4:$X$1463,"&gt;"&amp;$X1340)+COUNTIFS($E$4:$E1340,$E1340,$X$4:$X1340,"="&amp;$X1340))))</f>
        <v>WARLOCK#52</v>
      </c>
      <c r="AC1340" s="1" t="str">
        <f>IF($C1340="","",$B1340&amp;"@"&amp;(COUNTIFS($B$4:$B$1463,$B1340,$C$4:$C$1463,"&lt;"&amp;$C1340)+COUNTIFS($B$4:$B1340,$B1340,$C$4:$C1340,$C1340)))</f>
        <v>SBG@8</v>
      </c>
      <c r="AD1340" s="1">
        <f t="shared" si="104"/>
        <v>1337</v>
      </c>
      <c r="AE1340" s="1" t="s">
        <v>2798</v>
      </c>
      <c r="AF1340" s="76">
        <f t="shared" si="105"/>
        <v>63107</v>
      </c>
      <c r="AG1340" s="77">
        <f t="shared" si="106"/>
        <v>5</v>
      </c>
      <c r="AH1340" s="1" t="str">
        <f>IF($C1340="","",$B1340&amp;"|"&amp;(COUNTIFS($B$4:$B$1463,$B1340,$AF$4:$AF$1463,"&gt;"&amp;$AF1340)+COUNTIFS($B$4:$B1340,$B1340,$AF$4:$AF1340,"="&amp;$AF1340)))</f>
        <v>SBG|45</v>
      </c>
      <c r="AI1340" s="1" t="str">
        <f>IF($C1340="","",$B1340&amp;"|"&amp;(COUNTIFS($B$4:$B$1463,$B1340,$AG$4:$AG$1463,"&gt;"&amp;$AG1340)+COUNTIFS($B$4:$B1340,$B1340,$AG$4:$AG1340,"="&amp;$AG1340)))</f>
        <v>SBG|76</v>
      </c>
    </row>
    <row r="1341" spans="1:35" hidden="1">
      <c r="A1341" s="69" t="s">
        <v>109</v>
      </c>
      <c r="B1341" s="69" t="s">
        <v>108</v>
      </c>
      <c r="C1341" s="63" t="s">
        <v>2799</v>
      </c>
      <c r="D1341" s="69"/>
      <c r="E1341" s="68" t="s">
        <v>71</v>
      </c>
      <c r="F1341" s="15" t="str">
        <f>IF($C1341="","",IF($E1341="","-",IFERROR(INDEX(SETUP!$B$55:$B$64,MATCH($E1341,SETUP!$A$55:$A$64,0)),"Other")))</f>
        <v>Frontline</v>
      </c>
      <c r="G1341" s="70">
        <v>61536</v>
      </c>
      <c r="H1341" s="15" t="str">
        <f>IF($C1341="","",IF($G1341="","-",INDEX(SETUP!$B$26:$B$32,MATCH($G1341,SETUP!$A$26:$A$32,1))))</f>
        <v>61,000 - 61,999</v>
      </c>
      <c r="I1341" s="70">
        <v>7130</v>
      </c>
      <c r="J1341" s="15" t="str">
        <f>IF($C1341="","",IF($I1341="","-",INDEX(SETUP!$B$16:$B$22,MATCH($I1341,SETUP!$A$16:$A$22,1))))</f>
        <v>VETERAN</v>
      </c>
      <c r="K1341" s="15" t="str">
        <f>IF($C1341="","",IF($I1341="","-",TEXT(INT($I1341/1000)*1000,"#,##0")&amp;" - "&amp;TEXT(INT($I1341/1000)*1000+999,"#,##0")))</f>
        <v>7,000 - 7,999</v>
      </c>
      <c r="L1341" s="71">
        <v>5.05</v>
      </c>
      <c r="M1341" s="15" t="str">
        <f>IF($C1341="","",IF($L1341="","-",INDEX(SETUP!$B$36:$B$42,MATCH($L1341,SETUP!$A$36:$A$42,1))))</f>
        <v>5k - 6k</v>
      </c>
      <c r="N1341" s="17">
        <f>IF($C1341="","",IF(OR($G1341="",$I1341=""),"",ROUND(100*(SETUP!$B$4*MIN(1,$I1341/SETUP!$B$9)+SETUP!$B$5*MAX(0,MIN(1,($G1341-SETUP!$B$10)/(SETUP!$B$11-SETUP!$B$10)))+SETUP!$B$6*MIN(1,IF($L1341="",0,$L1341)/SETUP!$B$12)),1)))</f>
        <v>56.7</v>
      </c>
      <c r="O1341" s="15" t="str">
        <f>IF($C1341="","",IF($N1341="","-",INDEX(SETUP!$B$46:$B$51,MATCH($N1341,SETUP!$A$46:$A$51,1))))</f>
        <v>A</v>
      </c>
      <c r="P1341" s="15">
        <f>IF($C1341="","",IF($I1341="","",RANK($I1341,$I$4:$I$1463)+COUNTIF($I$4:$I1341,$I1341)-1))</f>
        <v>213</v>
      </c>
      <c r="Q1341" s="15">
        <f>IF($C1341="","",COUNTIFS($B$4:$B$1463,$B1341,$X$4:$X$1463,"&gt;"&amp;$X1341)+COUNTIFS($B$4:$B1341,$B1341,$X$4:$X1341,"="&amp;$X1341))</f>
        <v>32</v>
      </c>
      <c r="R1341" s="72">
        <f>IF($C1341="","",IF($I1341="","",ROUND(COUNTIF($I$4:$I$1463,"&lt;"&amp;$I1341)/COUNT($I$4:$I$1463),3)))</f>
        <v>0.83899999999999997</v>
      </c>
      <c r="S1341" s="15" t="str">
        <f>IF($C1341="","",IF($G1341="","Name only",IF(OR($I1341="",$L1341=""),"Partial","Complete")))</f>
        <v>Complete</v>
      </c>
      <c r="T1341" s="41" t="str">
        <f>IF($C1341="","",TRIM(IF(COUNTIF($C$4:$C$1463,$C1341)&gt;1,"Dup name; ","")&amp;IF(AND($G1341&lt;&gt;"",$G1341&lt;55000),"Low CR - verify; ","")&amp;IF(AND($L1341&lt;&gt;"",$L1341&gt;15),"Secondary - verify; ","")&amp;IF($E1341="","No class; ","")))</f>
        <v/>
      </c>
      <c r="U1341" s="68"/>
      <c r="V1341" s="68"/>
      <c r="W1341" s="68"/>
      <c r="X1341" s="73">
        <f t="shared" si="102"/>
        <v>7130</v>
      </c>
      <c r="Y1341" s="41" t="str">
        <f t="shared" si="103"/>
        <v>SBG|32</v>
      </c>
      <c r="Z1341" s="15">
        <f>IF($C1341="","",IF($G1341="","",RANK($G1341,$G$4:$G$1463)+COUNTIF($G$4:$G1341,$G1341)-1))</f>
        <v>996</v>
      </c>
      <c r="AA1341" s="15">
        <f>IF($C1341="","",IF($N1341="","",RANK($N1341,$N$4:$N$1463)+COUNTIF($N$4:$N1341,$N1341)-1))</f>
        <v>287</v>
      </c>
      <c r="AB1341" s="41" t="str">
        <f>IF($C1341="","",IF($E1341="","",$E1341&amp;"#"&amp;(COUNTIFS($E$4:$E$1463,$E1341,$X$4:$X$1463,"&gt;"&amp;$X1341)+COUNTIFS($E$4:$E1341,$E1341,$X$4:$X1341,"="&amp;$X1341))))</f>
        <v>BARBARIAN#46</v>
      </c>
      <c r="AC1341" s="41" t="str">
        <f>IF($C1341="","",$B1341&amp;"@"&amp;(COUNTIFS($B$4:$B$1463,$B1341,$C$4:$C$1463,"&lt;"&amp;$C1341)+COUNTIFS($B$4:$B1341,$B1341,$C$4:$C1341,$C1341)))</f>
        <v>SBG@11</v>
      </c>
      <c r="AD1341" s="41">
        <f t="shared" si="104"/>
        <v>1338</v>
      </c>
      <c r="AE1341" s="41" t="s">
        <v>2800</v>
      </c>
      <c r="AF1341" s="73">
        <f t="shared" si="105"/>
        <v>61536</v>
      </c>
      <c r="AG1341" s="74">
        <f t="shared" si="106"/>
        <v>5.05</v>
      </c>
      <c r="AH1341" s="41" t="str">
        <f>IF($C1341="","",$B1341&amp;"|"&amp;(COUNTIFS($B$4:$B$1463,$B1341,$AF$4:$AF$1463,"&gt;"&amp;$AF1341)+COUNTIFS($B$4:$B1341,$B1341,$AF$4:$AF1341,"="&amp;$AF1341)))</f>
        <v>SBG|82</v>
      </c>
      <c r="AI1341" s="41" t="str">
        <f>IF($C1341="","",$B1341&amp;"|"&amp;(COUNTIFS($B$4:$B$1463,$B1341,$AG$4:$AG$1463,"&gt;"&amp;$AG1341)+COUNTIFS($B$4:$B1341,$B1341,$AG$4:$AG1341,"="&amp;$AG1341)))</f>
        <v>SBG|73</v>
      </c>
    </row>
    <row r="1342" spans="1:35">
      <c r="A1342" s="69" t="s">
        <v>104</v>
      </c>
      <c r="B1342" s="69" t="s">
        <v>66</v>
      </c>
      <c r="C1342" s="63" t="s">
        <v>2606</v>
      </c>
      <c r="D1342" s="69"/>
      <c r="E1342" s="68" t="s">
        <v>72</v>
      </c>
      <c r="F1342" s="19" t="str">
        <f>IF($C1342="","",IF($E1342="","-",IFERROR(INDEX(SETUP!$B$55:$B$64,MATCH($E1342,SETUP!$A$55:$A$64,0)),"Other")))</f>
        <v>Frontline</v>
      </c>
      <c r="G1342" s="70">
        <v>62347</v>
      </c>
      <c r="H1342" s="19" t="str">
        <f>IF($C1342="","",IF($G1342="","-",INDEX(SETUP!$B$26:$B$32,MATCH($G1342,SETUP!$A$26:$A$32,1))))</f>
        <v>62,000 - 62,999</v>
      </c>
      <c r="I1342" s="70">
        <v>3326</v>
      </c>
      <c r="J1342" s="19" t="str">
        <f>IF($C1342="","",IF($I1342="","-",INDEX(SETUP!$B$16:$B$22,MATCH($I1342,SETUP!$A$16:$A$22,1))))</f>
        <v>DEVELOPING</v>
      </c>
      <c r="K1342" s="19" t="str">
        <f>IF($C1342="","",IF($I1342="","-",TEXT(INT($I1342/1000)*1000,"#,##0")&amp;" - "&amp;TEXT(INT($I1342/1000)*1000+999,"#,##0")))</f>
        <v>3,000 - 3,999</v>
      </c>
      <c r="L1342" s="71">
        <v>3.66</v>
      </c>
      <c r="M1342" s="19" t="str">
        <f>IF($C1342="","",IF($L1342="","-",INDEX(SETUP!$B$36:$B$42,MATCH($L1342,SETUP!$A$36:$A$42,1))))</f>
        <v>3k - 4k</v>
      </c>
      <c r="N1342" s="21">
        <f>IF($C1342="","",IF(OR($G1342="",$I1342=""),"",ROUND(100*(SETUP!$B$4*MIN(1,$I1342/SETUP!$B$9)+SETUP!$B$5*MAX(0,MIN(1,($G1342-SETUP!$B$10)/(SETUP!$B$11-SETUP!$B$10)))+SETUP!$B$6*MIN(1,IF($L1342="",0,$L1342)/SETUP!$B$12)),1)))</f>
        <v>40</v>
      </c>
      <c r="O1342" s="19" t="str">
        <f>IF($C1342="","",IF($N1342="","-",INDEX(SETUP!$B$46:$B$51,MATCH($N1342,SETUP!$A$46:$A$51,1))))</f>
        <v>B</v>
      </c>
      <c r="P1342" s="19">
        <f>IF($C1342="","",IF($I1342="","",RANK($I1342,$I$4:$I$1463)+COUNTIF($I$4:$I1342,$I1342)-1))</f>
        <v>780</v>
      </c>
      <c r="Q1342" s="19">
        <f>IF($C1342="","",COUNTIFS($B$4:$B$1463,$B1342,$X$4:$X$1463,"&gt;"&amp;$X1342)+COUNTIFS($B$4:$B1342,$B1342,$X$4:$X1342,"="&amp;$X1342))</f>
        <v>78</v>
      </c>
      <c r="R1342" s="75">
        <f>IF($C1342="","",IF($I1342="","",ROUND(COUNTIF($I$4:$I$1463,"&lt;"&amp;$I1342)/COUNT($I$4:$I$1463),3)))</f>
        <v>0.41099999999999998</v>
      </c>
      <c r="S1342" s="19" t="str">
        <f>IF($C1342="","",IF($G1342="","Name only",IF(OR($I1342="",$L1342=""),"Partial","Complete")))</f>
        <v>Complete</v>
      </c>
      <c r="T1342" s="1" t="str">
        <f>IF($C1342="","",TRIM(IF(COUNTIF($C$4:$C$1463,$C1342)&gt;1,"Dup name; ","")&amp;IF(AND($G1342&lt;&gt;"",$G1342&lt;55000),"Low CR - verify; ","")&amp;IF(AND($L1342&lt;&gt;"",$L1342&gt;15),"Secondary - verify; ","")&amp;IF($E1342="","No class; ","")))</f>
        <v/>
      </c>
      <c r="U1342" s="68"/>
      <c r="V1342" s="68"/>
      <c r="W1342" s="68"/>
      <c r="X1342" s="76">
        <f t="shared" si="102"/>
        <v>3326</v>
      </c>
      <c r="Y1342" s="1" t="str">
        <f t="shared" si="103"/>
        <v>FUCT|78</v>
      </c>
      <c r="Z1342" s="19">
        <f>IF($C1342="","",IF($G1342="","",RANK($G1342,$G$4:$G$1463)+COUNTIF($G$4:$G1342,$G1342)-1))</f>
        <v>712</v>
      </c>
      <c r="AA1342" s="19">
        <f>IF($C1342="","",IF($N1342="","",RANK($N1342,$N$4:$N$1463)+COUNTIF($N$4:$N1342,$N1342)-1))</f>
        <v>822</v>
      </c>
      <c r="AB1342" s="1" t="str">
        <f>IF($C1342="","",IF($E1342="","",$E1342&amp;"#"&amp;(COUNTIFS($E$4:$E$1463,$E1342,$X$4:$X$1463,"&gt;"&amp;$X1342)+COUNTIFS($E$4:$E1342,$E1342,$X$4:$X1342,"="&amp;$X1342))))</f>
        <v>BLOOD KNIGHT#55</v>
      </c>
      <c r="AC1342" s="1" t="str">
        <f>IF($C1342="","",$B1342&amp;"@"&amp;(COUNTIFS($B$4:$B$1463,$B1342,$C$4:$C$1463,"&lt;"&amp;$C1342)+COUNTIFS($B$4:$B1342,$B1342,$C$4:$C1342,$C1342)))</f>
        <v>FUCT@92</v>
      </c>
      <c r="AD1342" s="1">
        <f t="shared" si="104"/>
        <v>1339</v>
      </c>
      <c r="AE1342" s="1" t="s">
        <v>2801</v>
      </c>
      <c r="AF1342" s="76">
        <f t="shared" si="105"/>
        <v>62347</v>
      </c>
      <c r="AG1342" s="77">
        <f t="shared" si="106"/>
        <v>3.66</v>
      </c>
      <c r="AH1342" s="1" t="str">
        <f>IF($C1342="","",$B1342&amp;"|"&amp;(COUNTIFS($B$4:$B$1463,$B1342,$AF$4:$AF$1463,"&gt;"&amp;$AF1342)+COUNTIFS($B$4:$B1342,$B1342,$AF$4:$AF1342,"="&amp;$AF1342)))</f>
        <v>FUCT|73</v>
      </c>
      <c r="AI1342" s="1" t="str">
        <f>IF($C1342="","",$B1342&amp;"|"&amp;(COUNTIFS($B$4:$B$1463,$B1342,$AG$4:$AG$1463,"&gt;"&amp;$AG1342)+COUNTIFS($B$4:$B1342,$B1342,$AG$4:$AG1342,"="&amp;$AG1342)))</f>
        <v>FUCT|93</v>
      </c>
    </row>
    <row r="1343" spans="1:35">
      <c r="A1343" s="69" t="s">
        <v>104</v>
      </c>
      <c r="B1343" s="69" t="s">
        <v>66</v>
      </c>
      <c r="C1343" s="63" t="s">
        <v>2684</v>
      </c>
      <c r="D1343" s="69" t="s">
        <v>1019</v>
      </c>
      <c r="E1343" s="68" t="s">
        <v>71</v>
      </c>
      <c r="F1343" s="15" t="str">
        <f>IF($C1343="","",IF($E1343="","-",IFERROR(INDEX(SETUP!$B$55:$B$64,MATCH($E1343,SETUP!$A$55:$A$64,0)),"Other")))</f>
        <v>Frontline</v>
      </c>
      <c r="G1343" s="70">
        <v>64040</v>
      </c>
      <c r="H1343" s="15" t="str">
        <f>IF($C1343="","",IF($G1343="","-",INDEX(SETUP!$B$26:$B$32,MATCH($G1343,SETUP!$A$26:$A$32,1))))</f>
        <v>64,000 +</v>
      </c>
      <c r="I1343" s="70">
        <v>11602</v>
      </c>
      <c r="J1343" s="15" t="str">
        <f>IF($C1343="","",IF($I1343="","-",INDEX(SETUP!$B$16:$B$22,MATCH($I1343,SETUP!$A$16:$A$22,1))))</f>
        <v>APEX</v>
      </c>
      <c r="K1343" s="15" t="str">
        <f>IF($C1343="","",IF($I1343="","-",TEXT(INT($I1343/1000)*1000,"#,##0")&amp;" - "&amp;TEXT(INT($I1343/1000)*1000+999,"#,##0")))</f>
        <v>11,000 - 11,999</v>
      </c>
      <c r="L1343" s="71">
        <v>7.47</v>
      </c>
      <c r="M1343" s="15" t="str">
        <f>IF($C1343="","",IF($L1343="","-",INDEX(SETUP!$B$36:$B$42,MATCH($L1343,SETUP!$A$36:$A$42,1))))</f>
        <v>6k - 8k</v>
      </c>
      <c r="N1343" s="17">
        <f>IF($C1343="","",IF(OR($G1343="",$I1343=""),"",ROUND(100*(SETUP!$B$4*MIN(1,$I1343/SETUP!$B$9)+SETUP!$B$5*MAX(0,MIN(1,($G1343-SETUP!$B$10)/(SETUP!$B$11-SETUP!$B$10)))+SETUP!$B$6*MIN(1,IF($L1343="",0,$L1343)/SETUP!$B$12)),1)))</f>
        <v>86.9</v>
      </c>
      <c r="O1343" s="15" t="str">
        <f>IF($C1343="","",IF($N1343="","-",INDEX(SETUP!$B$46:$B$51,MATCH($N1343,SETUP!$A$46:$A$51,1))))</f>
        <v>S+</v>
      </c>
      <c r="P1343" s="15">
        <f>IF($C1343="","",IF($I1343="","",RANK($I1343,$I$4:$I$1463)+COUNTIF($I$4:$I1343,$I1343)-1))</f>
        <v>5</v>
      </c>
      <c r="Q1343" s="15">
        <f>IF($C1343="","",COUNTIFS($B$4:$B$1463,$B1343,$X$4:$X$1463,"&gt;"&amp;$X1343)+COUNTIFS($B$4:$B1343,$B1343,$X$4:$X1343,"="&amp;$X1343))</f>
        <v>1</v>
      </c>
      <c r="R1343" s="72">
        <f>IF($C1343="","",IF($I1343="","",ROUND(COUNTIF($I$4:$I$1463,"&lt;"&amp;$I1343)/COUNT($I$4:$I$1463),3)))</f>
        <v>0.996</v>
      </c>
      <c r="S1343" s="15" t="str">
        <f>IF($C1343="","",IF($G1343="","Name only",IF(OR($I1343="",$L1343=""),"Partial","Complete")))</f>
        <v>Complete</v>
      </c>
      <c r="T1343" s="41" t="str">
        <f>IF($C1343="","",TRIM(IF(COUNTIF($C$4:$C$1463,$C1343)&gt;1,"Dup name; ","")&amp;IF(AND($G1343&lt;&gt;"",$G1343&lt;55000),"Low CR - verify; ","")&amp;IF(AND($L1343&lt;&gt;"",$L1343&gt;15),"Secondary - verify; ","")&amp;IF($E1343="","No class; ","")))</f>
        <v/>
      </c>
      <c r="U1343" s="68" t="s">
        <v>66</v>
      </c>
      <c r="V1343" s="68" t="s">
        <v>86</v>
      </c>
      <c r="W1343" s="68" t="s">
        <v>285</v>
      </c>
      <c r="X1343" s="73">
        <f t="shared" si="102"/>
        <v>11602</v>
      </c>
      <c r="Y1343" s="41" t="str">
        <f t="shared" si="103"/>
        <v>FUCT|1</v>
      </c>
      <c r="Z1343" s="15">
        <f>IF($C1343="","",IF($G1343="","",RANK($G1343,$G$4:$G$1463)+COUNTIF($G$4:$G1343,$G1343)-1))</f>
        <v>64</v>
      </c>
      <c r="AA1343" s="15">
        <f>IF($C1343="","",IF($N1343="","",RANK($N1343,$N$4:$N$1463)+COUNTIF($N$4:$N1343,$N1343)-1))</f>
        <v>14</v>
      </c>
      <c r="AB1343" s="41" t="str">
        <f>IF($C1343="","",IF($E1343="","",$E1343&amp;"#"&amp;(COUNTIFS($E$4:$E$1463,$E1343,$X$4:$X$1463,"&gt;"&amp;$X1343)+COUNTIFS($E$4:$E1343,$E1343,$X$4:$X1343,"="&amp;$X1343))))</f>
        <v>BARBARIAN#1</v>
      </c>
      <c r="AC1343" s="41" t="str">
        <f>IF($C1343="","",$B1343&amp;"@"&amp;(COUNTIFS($B$4:$B$1463,$B1343,$C$4:$C$1463,"&lt;"&amp;$C1343)+COUNTIFS($B$4:$B1343,$B1343,$C$4:$C1343,$C1343)))</f>
        <v>FUCT@94</v>
      </c>
      <c r="AD1343" s="41">
        <f t="shared" si="104"/>
        <v>1340</v>
      </c>
      <c r="AE1343" s="41" t="s">
        <v>2802</v>
      </c>
      <c r="AF1343" s="73">
        <f t="shared" si="105"/>
        <v>64040</v>
      </c>
      <c r="AG1343" s="74">
        <f t="shared" si="106"/>
        <v>7.47</v>
      </c>
      <c r="AH1343" s="41" t="str">
        <f>IF($C1343="","",$B1343&amp;"|"&amp;(COUNTIFS($B$4:$B$1463,$B1343,$AF$4:$AF$1463,"&gt;"&amp;$AF1343)+COUNTIFS($B$4:$B1343,$B1343,$AF$4:$AF1343,"="&amp;$AF1343)))</f>
        <v>FUCT|4</v>
      </c>
      <c r="AI1343" s="41" t="str">
        <f>IF($C1343="","",$B1343&amp;"|"&amp;(COUNTIFS($B$4:$B$1463,$B1343,$AG$4:$AG$1463,"&gt;"&amp;$AG1343)+COUNTIFS($B$4:$B1343,$B1343,$AG$4:$AG1343,"="&amp;$AG1343)))</f>
        <v>FUCT|7</v>
      </c>
    </row>
    <row r="1344" spans="1:35" hidden="1">
      <c r="A1344" s="69" t="s">
        <v>109</v>
      </c>
      <c r="B1344" s="69" t="s">
        <v>111</v>
      </c>
      <c r="C1344" s="63" t="s">
        <v>2803</v>
      </c>
      <c r="D1344" s="69" t="s">
        <v>527</v>
      </c>
      <c r="E1344" s="68" t="s">
        <v>79</v>
      </c>
      <c r="F1344" s="19" t="str">
        <f>IF($C1344="","",IF($E1344="","-",IFERROR(INDEX(SETUP!$B$55:$B$64,MATCH($E1344,SETUP!$A$55:$A$64,0)),"Other")))</f>
        <v>Control</v>
      </c>
      <c r="G1344" s="70">
        <v>62397</v>
      </c>
      <c r="H1344" s="19" t="str">
        <f>IF($C1344="","",IF($G1344="","-",INDEX(SETUP!$B$26:$B$32,MATCH($G1344,SETUP!$A$26:$A$32,1))))</f>
        <v>62,000 - 62,999</v>
      </c>
      <c r="I1344" s="70">
        <v>7352</v>
      </c>
      <c r="J1344" s="19" t="str">
        <f>IF($C1344="","",IF($I1344="","-",INDEX(SETUP!$B$16:$B$22,MATCH($I1344,SETUP!$A$16:$A$22,1))))</f>
        <v>VETERAN</v>
      </c>
      <c r="K1344" s="19" t="str">
        <f>IF($C1344="","",IF($I1344="","-",TEXT(INT($I1344/1000)*1000,"#,##0")&amp;" - "&amp;TEXT(INT($I1344/1000)*1000+999,"#,##0")))</f>
        <v>7,000 - 7,999</v>
      </c>
      <c r="L1344" s="71">
        <v>5</v>
      </c>
      <c r="M1344" s="19" t="str">
        <f>IF($C1344="","",IF($L1344="","-",INDEX(SETUP!$B$36:$B$42,MATCH($L1344,SETUP!$A$36:$A$42,1))))</f>
        <v>5k - 6k</v>
      </c>
      <c r="N1344" s="21">
        <f>IF($C1344="","",IF(OR($G1344="",$I1344=""),"",ROUND(100*(SETUP!$B$4*MIN(1,$I1344/SETUP!$B$9)+SETUP!$B$5*MAX(0,MIN(1,($G1344-SETUP!$B$10)/(SETUP!$B$11-SETUP!$B$10)))+SETUP!$B$6*MIN(1,IF($L1344="",0,$L1344)/SETUP!$B$12)),1)))</f>
        <v>59.9</v>
      </c>
      <c r="O1344" s="19" t="str">
        <f>IF($C1344="","",IF($N1344="","-",INDEX(SETUP!$B$46:$B$51,MATCH($N1344,SETUP!$A$46:$A$51,1))))</f>
        <v>A</v>
      </c>
      <c r="P1344" s="19">
        <f>IF($C1344="","",IF($I1344="","",RANK($I1344,$I$4:$I$1463)+COUNTIF($I$4:$I1344,$I1344)-1))</f>
        <v>188</v>
      </c>
      <c r="Q1344" s="19">
        <f>IF($C1344="","",COUNTIFS($B$4:$B$1463,$B1344,$X$4:$X$1463,"&gt;"&amp;$X1344)+COUNTIFS($B$4:$B1344,$B1344,$X$4:$X1344,"="&amp;$X1344))</f>
        <v>24</v>
      </c>
      <c r="R1344" s="75">
        <f>IF($C1344="","",IF($I1344="","",ROUND(COUNTIF($I$4:$I$1463,"&lt;"&amp;$I1344)/COUNT($I$4:$I$1463),3)))</f>
        <v>0.85799999999999998</v>
      </c>
      <c r="S1344" s="19" t="str">
        <f>IF($C1344="","",IF($G1344="","Name only",IF(OR($I1344="",$L1344=""),"Partial","Complete")))</f>
        <v>Complete</v>
      </c>
      <c r="T1344" s="1" t="str">
        <f>IF($C1344="","",TRIM(IF(COUNTIF($C$4:$C$1463,$C1344)&gt;1,"Dup name; ","")&amp;IF(AND($G1344&lt;&gt;"",$G1344&lt;55000),"Low CR - verify; ","")&amp;IF(AND($L1344&lt;&gt;"",$L1344&gt;15),"Secondary - verify; ","")&amp;IF($E1344="","No class; ","")))</f>
        <v/>
      </c>
      <c r="U1344" s="68"/>
      <c r="V1344" s="68"/>
      <c r="W1344" s="68"/>
      <c r="X1344" s="76">
        <f t="shared" si="102"/>
        <v>7352</v>
      </c>
      <c r="Y1344" s="1" t="str">
        <f t="shared" si="103"/>
        <v>RECKONING|24</v>
      </c>
      <c r="Z1344" s="19">
        <f>IF($C1344="","",IF($G1344="","",RANK($G1344,$G$4:$G$1463)+COUNTIF($G$4:$G1344,$G1344)-1))</f>
        <v>694</v>
      </c>
      <c r="AA1344" s="19">
        <f>IF($C1344="","",IF($N1344="","",RANK($N1344,$N$4:$N$1463)+COUNTIF($N$4:$N1344,$N1344)-1))</f>
        <v>238</v>
      </c>
      <c r="AB1344" s="1" t="str">
        <f>IF($C1344="","",IF($E1344="","",$E1344&amp;"#"&amp;(COUNTIFS($E$4:$E$1463,$E1344,$X$4:$X$1463,"&gt;"&amp;$X1344)+COUNTIFS($E$4:$E1344,$E1344,$X$4:$X1344,"="&amp;$X1344))))</f>
        <v>WARLOCK#40</v>
      </c>
      <c r="AC1344" s="1" t="str">
        <f>IF($C1344="","",$B1344&amp;"@"&amp;(COUNTIFS($B$4:$B$1463,$B1344,$C$4:$C$1463,"&lt;"&amp;$C1344)+COUNTIFS($B$4:$B1344,$B1344,$C$4:$C1344,$C1344)))</f>
        <v>RECKONING@64</v>
      </c>
      <c r="AD1344" s="1">
        <f t="shared" si="104"/>
        <v>1341</v>
      </c>
      <c r="AE1344" s="1" t="s">
        <v>2804</v>
      </c>
      <c r="AF1344" s="76">
        <f t="shared" si="105"/>
        <v>62397</v>
      </c>
      <c r="AG1344" s="77">
        <f t="shared" si="106"/>
        <v>5</v>
      </c>
      <c r="AH1344" s="1" t="str">
        <f>IF($C1344="","",$B1344&amp;"|"&amp;(COUNTIFS($B$4:$B$1463,$B1344,$AF$4:$AF$1463,"&gt;"&amp;$AF1344)+COUNTIFS($B$4:$B1344,$B1344,$AF$4:$AF1344,"="&amp;$AF1344)))</f>
        <v>RECKONING|62</v>
      </c>
      <c r="AI1344" s="1" t="str">
        <f>IF($C1344="","",$B1344&amp;"|"&amp;(COUNTIFS($B$4:$B$1463,$B1344,$AG$4:$AG$1463,"&gt;"&amp;$AG1344)+COUNTIFS($B$4:$B1344,$B1344,$AG$4:$AG1344,"="&amp;$AG1344)))</f>
        <v>RECKONING|69</v>
      </c>
    </row>
    <row r="1345" spans="1:35">
      <c r="A1345" s="69" t="s">
        <v>104</v>
      </c>
      <c r="B1345" s="69" t="s">
        <v>66</v>
      </c>
      <c r="C1345" s="63" t="s">
        <v>392</v>
      </c>
      <c r="D1345" s="69" t="s">
        <v>1019</v>
      </c>
      <c r="E1345" s="68" t="s">
        <v>77</v>
      </c>
      <c r="F1345" s="19" t="str">
        <f>IF($C1345="","",IF($E1345="","-",IFERROR(INDEX(SETUP!$B$55:$B$64,MATCH($E1345,SETUP!$A$55:$A$64,0)),"Other")))</f>
        <v>Control</v>
      </c>
      <c r="G1345" s="70">
        <v>63600</v>
      </c>
      <c r="H1345" s="19" t="str">
        <f>IF($C1345="","",IF($G1345="","-",INDEX(SETUP!$B$26:$B$32,MATCH($G1345,SETUP!$A$26:$A$32,1))))</f>
        <v>63,000 - 63,999</v>
      </c>
      <c r="I1345" s="70">
        <v>7793</v>
      </c>
      <c r="J1345" s="19" t="str">
        <f>IF($C1345="","",IF($I1345="","-",INDEX(SETUP!$B$16:$B$22,MATCH($I1345,SETUP!$A$16:$A$22,1))))</f>
        <v>VETERAN</v>
      </c>
      <c r="K1345" s="19" t="str">
        <f>IF($C1345="","",IF($I1345="","-",TEXT(INT($I1345/1000)*1000,"#,##0")&amp;" - "&amp;TEXT(INT($I1345/1000)*1000+999,"#,##0")))</f>
        <v>7,000 - 7,999</v>
      </c>
      <c r="L1345" s="71">
        <v>8</v>
      </c>
      <c r="M1345" s="19" t="str">
        <f>IF($C1345="","",IF($L1345="","-",INDEX(SETUP!$B$36:$B$42,MATCH($L1345,SETUP!$A$36:$A$42,1))))</f>
        <v>8k - 10k</v>
      </c>
      <c r="N1345" s="21">
        <f>IF($C1345="","",IF(OR($G1345="",$I1345=""),"",ROUND(100*(SETUP!$B$4*MIN(1,$I1345/SETUP!$B$9)+SETUP!$B$5*MAX(0,MIN(1,($G1345-SETUP!$B$10)/(SETUP!$B$11-SETUP!$B$10)))+SETUP!$B$6*MIN(1,IF($L1345="",0,$L1345)/SETUP!$B$12)),1)))</f>
        <v>70</v>
      </c>
      <c r="O1345" s="19" t="str">
        <f>IF($C1345="","",IF($N1345="","-",INDEX(SETUP!$B$46:$B$51,MATCH($N1345,SETUP!$A$46:$A$51,1))))</f>
        <v>S</v>
      </c>
      <c r="P1345" s="19">
        <f>IF($C1345="","",IF($I1345="","",RANK($I1345,$I$4:$I$1463)+COUNTIF($I$4:$I1345,$I1345)-1))</f>
        <v>157</v>
      </c>
      <c r="Q1345" s="19">
        <f>IF($C1345="","",COUNTIFS($B$4:$B$1463,$B1345,$X$4:$X$1463,"&gt;"&amp;$X1345)+COUNTIFS($B$4:$B1345,$B1345,$X$4:$X1345,"="&amp;$X1345))</f>
        <v>16</v>
      </c>
      <c r="R1345" s="75">
        <f>IF($C1345="","",IF($I1345="","",ROUND(COUNTIF($I$4:$I$1463,"&lt;"&amp;$I1345)/COUNT($I$4:$I$1463),3)))</f>
        <v>0.88200000000000001</v>
      </c>
      <c r="S1345" s="19" t="str">
        <f>IF($C1345="","",IF($G1345="","Name only",IF(OR($I1345="",$L1345=""),"Partial","Complete")))</f>
        <v>Complete</v>
      </c>
      <c r="T1345" s="1" t="str">
        <f>IF($C1345="","",TRIM(IF(COUNTIF($C$4:$C$1463,$C1345)&gt;1,"Dup name; ","")&amp;IF(AND($G1345&lt;&gt;"",$G1345&lt;55000),"Low CR - verify; ","")&amp;IF(AND($L1345&lt;&gt;"",$L1345&gt;15),"Secondary - verify; ","")&amp;IF($E1345="","No class; ","")))</f>
        <v/>
      </c>
      <c r="U1345" s="68" t="s">
        <v>66</v>
      </c>
      <c r="V1345" s="68" t="s">
        <v>388</v>
      </c>
      <c r="W1345" s="68" t="s">
        <v>285</v>
      </c>
      <c r="X1345" s="73">
        <f t="shared" si="102"/>
        <v>7793</v>
      </c>
      <c r="Y1345" s="41" t="str">
        <f t="shared" si="103"/>
        <v>FUCT|16</v>
      </c>
      <c r="Z1345" s="15">
        <f>IF($C1345="","",IF($G1345="","",RANK($G1345,$G$4:$G$1463)+COUNTIF($G$4:$G1345,$G1345)-1))</f>
        <v>170</v>
      </c>
      <c r="AA1345" s="15">
        <f>IF($C1345="","",IF($N1345="","",RANK($N1345,$N$4:$N$1463)+COUNTIF($N$4:$N1345,$N1345)-1))</f>
        <v>129</v>
      </c>
      <c r="AB1345" s="41" t="str">
        <f>IF($C1345="","",IF($E1345="","",$E1345&amp;"#"&amp;(COUNTIFS($E$4:$E$1463,$E1345,$X$4:$X$1463,"&gt;"&amp;$X1345)+COUNTIFS($E$4:$E1345,$E1345,$X$4:$X1345,"="&amp;$X1345))))</f>
        <v>NECROMANCER#3</v>
      </c>
      <c r="AC1345" s="41" t="str">
        <f>IF($C1345="","",$B1345&amp;"@"&amp;(COUNTIFS($B$4:$B$1463,$B1345,$C$4:$C$1463,"&lt;"&amp;$C1345)+COUNTIFS($B$4:$B1345,$B1345,$C$4:$C1345,$C1345)))</f>
        <v>FUCT@95</v>
      </c>
      <c r="AD1345" s="41">
        <f t="shared" si="104"/>
        <v>1342</v>
      </c>
      <c r="AE1345" s="41" t="s">
        <v>2805</v>
      </c>
      <c r="AF1345" s="73">
        <f t="shared" si="105"/>
        <v>63600</v>
      </c>
      <c r="AG1345" s="74">
        <f t="shared" si="106"/>
        <v>8</v>
      </c>
      <c r="AH1345" s="41" t="str">
        <f>IF($C1345="","",$B1345&amp;"|"&amp;(COUNTIFS($B$4:$B$1463,$B1345,$AF$4:$AF$1463,"&gt;"&amp;$AF1345)+COUNTIFS($B$4:$B1345,$B1345,$AF$4:$AF1345,"="&amp;$AF1345)))</f>
        <v>FUCT|18</v>
      </c>
      <c r="AI1345" s="41" t="str">
        <f>IF($C1345="","",$B1345&amp;"|"&amp;(COUNTIFS($B$4:$B$1463,$B1345,$AG$4:$AG$1463,"&gt;"&amp;$AG1345)+COUNTIFS($B$4:$B1345,$B1345,$AG$4:$AG1345,"="&amp;$AG1345)))</f>
        <v>FUCT|5</v>
      </c>
    </row>
    <row r="1346" spans="1:35" hidden="1">
      <c r="A1346" s="69" t="s">
        <v>109</v>
      </c>
      <c r="B1346" s="69" t="s">
        <v>116</v>
      </c>
      <c r="C1346" s="63" t="s">
        <v>2806</v>
      </c>
      <c r="D1346" s="69" t="s">
        <v>530</v>
      </c>
      <c r="E1346" s="68"/>
      <c r="F1346" s="19" t="str">
        <f>IF($C1346="","",IF($E1346="","-",IFERROR(INDEX(SETUP!$B$55:$B$64,MATCH($E1346,SETUP!$A$55:$A$64,0)),"Other")))</f>
        <v>-</v>
      </c>
      <c r="G1346" s="70"/>
      <c r="H1346" s="19" t="str">
        <f>IF($C1346="","",IF($G1346="","-",INDEX(SETUP!$B$26:$B$32,MATCH($G1346,SETUP!$A$26:$A$32,1))))</f>
        <v>-</v>
      </c>
      <c r="I1346" s="70"/>
      <c r="J1346" s="19" t="str">
        <f>IF($C1346="","",IF($I1346="","-",INDEX(SETUP!$B$16:$B$22,MATCH($I1346,SETUP!$A$16:$A$22,1))))</f>
        <v>-</v>
      </c>
      <c r="K1346" s="19" t="str">
        <f>IF($C1346="","",IF($I1346="","-",TEXT(INT($I1346/1000)*1000,"#,##0")&amp;" - "&amp;TEXT(INT($I1346/1000)*1000+999,"#,##0")))</f>
        <v>-</v>
      </c>
      <c r="L1346" s="71"/>
      <c r="M1346" s="19" t="str">
        <f>IF($C1346="","",IF($L1346="","-",INDEX(SETUP!$B$36:$B$42,MATCH($L1346,SETUP!$A$36:$A$42,1))))</f>
        <v>-</v>
      </c>
      <c r="N1346" s="21" t="str">
        <f>IF($C1346="","",IF(OR($G1346="",$I1346=""),"",ROUND(100*(SETUP!$B$4*MIN(1,$I1346/SETUP!$B$9)+SETUP!$B$5*MAX(0,MIN(1,($G1346-SETUP!$B$10)/(SETUP!$B$11-SETUP!$B$10)))+SETUP!$B$6*MIN(1,IF($L1346="",0,$L1346)/SETUP!$B$12)),1)))</f>
        <v/>
      </c>
      <c r="O1346" s="19" t="str">
        <f>IF($C1346="","",IF($N1346="","-",INDEX(SETUP!$B$46:$B$51,MATCH($N1346,SETUP!$A$46:$A$51,1))))</f>
        <v>-</v>
      </c>
      <c r="P1346" s="19" t="str">
        <f>IF($C1346="","",IF($I1346="","",RANK($I1346,$I$4:$I$1463)+COUNTIF($I$4:$I1346,$I1346)-1))</f>
        <v/>
      </c>
      <c r="Q1346" s="19">
        <f>IF($C1346="","",COUNTIFS($B$4:$B$1463,$B1346,$X$4:$X$1463,"&gt;"&amp;$X1346)+COUNTIFS($B$4:$B1346,$B1346,$X$4:$X1346,"="&amp;$X1346))</f>
        <v>96</v>
      </c>
      <c r="R1346" s="75" t="str">
        <f>IF($C1346="","",IF($I1346="","",ROUND(COUNTIF($I$4:$I$1463,"&lt;"&amp;$I1346)/COUNT($I$4:$I$1463),3)))</f>
        <v/>
      </c>
      <c r="S1346" s="19" t="str">
        <f>IF($C1346="","",IF($G1346="","Name only",IF(OR($I1346="",$L1346=""),"Partial","Complete")))</f>
        <v>Name only</v>
      </c>
      <c r="T1346" s="1" t="str">
        <f>IF($C1346="","",TRIM(IF(COUNTIF($C$4:$C$1463,$C1346)&gt;1,"Dup name; ","")&amp;IF(AND($G1346&lt;&gt;"",$G1346&lt;55000),"Low CR - verify; ","")&amp;IF(AND($L1346&lt;&gt;"",$L1346&gt;15),"Secondary - verify; ","")&amp;IF($E1346="","No class; ","")))</f>
        <v>No class;</v>
      </c>
      <c r="U1346" s="68"/>
      <c r="V1346" s="68"/>
      <c r="W1346" s="68"/>
      <c r="X1346" s="1">
        <f t="shared" si="102"/>
        <v>-1</v>
      </c>
      <c r="Y1346" s="1" t="str">
        <f t="shared" si="103"/>
        <v>VENGEANCE|96</v>
      </c>
      <c r="Z1346" s="19" t="str">
        <f>IF($C1346="","",IF($G1346="","",RANK($G1346,$G$4:$G$1463)+COUNTIF($G$4:$G1346,$G1346)-1))</f>
        <v/>
      </c>
      <c r="AA1346" s="19" t="str">
        <f>IF($C1346="","",IF($N1346="","",RANK($N1346,$N$4:$N$1463)+COUNTIF($N$4:$N1346,$N1346)-1))</f>
        <v/>
      </c>
      <c r="AB1346" s="1" t="str">
        <f>IF($C1346="","",IF($E1346="","",$E1346&amp;"#"&amp;(COUNTIFS($E$4:$E$1463,$E1346,$X$4:$X$1463,"&gt;"&amp;$X1346)+COUNTIFS($E$4:$E1346,$E1346,$X$4:$X1346,"="&amp;$X1346))))</f>
        <v/>
      </c>
      <c r="AC1346" s="1" t="str">
        <f>IF($C1346="","",$B1346&amp;"@"&amp;(COUNTIFS($B$4:$B$1463,$B1346,$C$4:$C$1463,"&lt;"&amp;$C1346)+COUNTIFS($B$4:$B1346,$B1346,$C$4:$C1346,$C1346)))</f>
        <v>VENGEANCE@31</v>
      </c>
      <c r="AD1346" s="1">
        <f t="shared" si="104"/>
        <v>1343</v>
      </c>
      <c r="AE1346" s="1"/>
      <c r="AF1346" s="1">
        <f t="shared" si="105"/>
        <v>-1</v>
      </c>
      <c r="AG1346" s="1">
        <f t="shared" si="106"/>
        <v>-1</v>
      </c>
      <c r="AH1346" s="1" t="str">
        <f>IF($C1346="","",$B1346&amp;"|"&amp;(COUNTIFS($B$4:$B$1463,$B1346,$AF$4:$AF$1463,"&gt;"&amp;$AF1346)+COUNTIFS($B$4:$B1346,$B1346,$AF$4:$AF1346,"="&amp;$AF1346)))</f>
        <v>VENGEANCE|96</v>
      </c>
      <c r="AI1346" s="1" t="str">
        <f>IF($C1346="","",$B1346&amp;"|"&amp;(COUNTIFS($B$4:$B$1463,$B1346,$AG$4:$AG$1463,"&gt;"&amp;$AG1346)+COUNTIFS($B$4:$B1346,$B1346,$AG$4:$AG1346,"="&amp;$AG1346)))</f>
        <v>VENGEANCE|96</v>
      </c>
    </row>
    <row r="1347" spans="1:35">
      <c r="A1347" s="69" t="s">
        <v>104</v>
      </c>
      <c r="B1347" s="69" t="s">
        <v>66</v>
      </c>
      <c r="C1347" s="63" t="s">
        <v>2712</v>
      </c>
      <c r="D1347" s="69"/>
      <c r="E1347" s="68" t="s">
        <v>72</v>
      </c>
      <c r="F1347" s="15" t="str">
        <f>IF($C1347="","",IF($E1347="","-",IFERROR(INDEX(SETUP!$B$55:$B$64,MATCH($E1347,SETUP!$A$55:$A$64,0)),"Other")))</f>
        <v>Frontline</v>
      </c>
      <c r="G1347" s="70">
        <v>62618</v>
      </c>
      <c r="H1347" s="15" t="str">
        <f>IF($C1347="","",IF($G1347="","-",INDEX(SETUP!$B$26:$B$32,MATCH($G1347,SETUP!$A$26:$A$32,1))))</f>
        <v>62,000 - 62,999</v>
      </c>
      <c r="I1347" s="70">
        <v>4065</v>
      </c>
      <c r="J1347" s="15" t="str">
        <f>IF($C1347="","",IF($I1347="","-",INDEX(SETUP!$B$16:$B$22,MATCH($I1347,SETUP!$A$16:$A$22,1))))</f>
        <v>CORE</v>
      </c>
      <c r="K1347" s="15" t="str">
        <f>IF($C1347="","",IF($I1347="","-",TEXT(INT($I1347/1000)*1000,"#,##0")&amp;" - "&amp;TEXT(INT($I1347/1000)*1000+999,"#,##0")))</f>
        <v>4,000 - 4,999</v>
      </c>
      <c r="L1347" s="71">
        <v>4.01</v>
      </c>
      <c r="M1347" s="15" t="str">
        <f>IF($C1347="","",IF($L1347="","-",INDEX(SETUP!$B$36:$B$42,MATCH($L1347,SETUP!$A$36:$A$42,1))))</f>
        <v>4k - 5k</v>
      </c>
      <c r="N1347" s="17">
        <f>IF($C1347="","",IF(OR($G1347="",$I1347=""),"",ROUND(100*(SETUP!$B$4*MIN(1,$I1347/SETUP!$B$9)+SETUP!$B$5*MAX(0,MIN(1,($G1347-SETUP!$B$10)/(SETUP!$B$11-SETUP!$B$10)))+SETUP!$B$6*MIN(1,IF($L1347="",0,$L1347)/SETUP!$B$12)),1)))</f>
        <v>44.5</v>
      </c>
      <c r="O1347" s="15" t="str">
        <f>IF($C1347="","",IF($N1347="","-",INDEX(SETUP!$B$46:$B$51,MATCH($N1347,SETUP!$A$46:$A$51,1))))</f>
        <v>B</v>
      </c>
      <c r="P1347" s="15">
        <f>IF($C1347="","",IF($I1347="","",RANK($I1347,$I$4:$I$1463)+COUNTIF($I$4:$I1347,$I1347)-1))</f>
        <v>584</v>
      </c>
      <c r="Q1347" s="15">
        <f>IF($C1347="","",COUNTIFS($B$4:$B$1463,$B1347,$X$4:$X$1463,"&gt;"&amp;$X1347)+COUNTIFS($B$4:$B1347,$B1347,$X$4:$X1347,"="&amp;$X1347))</f>
        <v>58</v>
      </c>
      <c r="R1347" s="72">
        <f>IF($C1347="","",IF($I1347="","",ROUND(COUNTIF($I$4:$I$1463,"&lt;"&amp;$I1347)/COUNT($I$4:$I$1463),3)))</f>
        <v>0.55900000000000005</v>
      </c>
      <c r="S1347" s="15" t="str">
        <f>IF($C1347="","",IF($G1347="","Name only",IF(OR($I1347="",$L1347=""),"Partial","Complete")))</f>
        <v>Complete</v>
      </c>
      <c r="T1347" s="41" t="str">
        <f>IF($C1347="","",TRIM(IF(COUNTIF($C$4:$C$1463,$C1347)&gt;1,"Dup name; ","")&amp;IF(AND($G1347&lt;&gt;"",$G1347&lt;55000),"Low CR - verify; ","")&amp;IF(AND($L1347&lt;&gt;"",$L1347&gt;15),"Secondary - verify; ","")&amp;IF($E1347="","No class; ","")))</f>
        <v/>
      </c>
      <c r="U1347" s="68" t="s">
        <v>264</v>
      </c>
      <c r="V1347" s="68" t="s">
        <v>66</v>
      </c>
      <c r="W1347" s="68" t="s">
        <v>285</v>
      </c>
      <c r="X1347" s="73">
        <f t="shared" ref="X1347:X1410" si="107">IF($C1347="","",IF($I1347="",-1,$I1347))</f>
        <v>4065</v>
      </c>
      <c r="Y1347" s="41" t="str">
        <f t="shared" ref="Y1347:Y1410" si="108">IF($C1347="","",$B1347&amp;"|"&amp;$Q1347)</f>
        <v>FUCT|58</v>
      </c>
      <c r="Z1347" s="15">
        <f>IF($C1347="","",IF($G1347="","",RANK($G1347,$G$4:$G$1463)+COUNTIF($G$4:$G1347,$G1347)-1))</f>
        <v>603</v>
      </c>
      <c r="AA1347" s="15">
        <f>IF($C1347="","",IF($N1347="","",RANK($N1347,$N$4:$N$1463)+COUNTIF($N$4:$N1347,$N1347)-1))</f>
        <v>643</v>
      </c>
      <c r="AB1347" s="41" t="str">
        <f>IF($C1347="","",IF($E1347="","",$E1347&amp;"#"&amp;(COUNTIFS($E$4:$E$1463,$E1347,$X$4:$X$1463,"&gt;"&amp;$X1347)+COUNTIFS($E$4:$E1347,$E1347,$X$4:$X1347,"="&amp;$X1347))))</f>
        <v>BLOOD KNIGHT#37</v>
      </c>
      <c r="AC1347" s="41" t="str">
        <f>IF($C1347="","",$B1347&amp;"@"&amp;(COUNTIFS($B$4:$B$1463,$B1347,$C$4:$C$1463,"&lt;"&amp;$C1347)+COUNTIFS($B$4:$B1347,$B1347,$C$4:$C1347,$C1347)))</f>
        <v>FUCT@96</v>
      </c>
      <c r="AD1347" s="41">
        <f t="shared" ref="AD1347:AD1410" si="109">IF($C1347="","",ROW()-4+1)</f>
        <v>1344</v>
      </c>
      <c r="AE1347" s="41" t="s">
        <v>2807</v>
      </c>
      <c r="AF1347" s="73">
        <f t="shared" ref="AF1347:AF1410" si="110">IF($C1347="","",IF($G1347="",-1,$G1347))</f>
        <v>62618</v>
      </c>
      <c r="AG1347" s="74">
        <f t="shared" ref="AG1347:AG1410" si="111">IF($C1347="","",IF($L1347="",-1,$L1347))</f>
        <v>4.01</v>
      </c>
      <c r="AH1347" s="41" t="str">
        <f>IF($C1347="","",$B1347&amp;"|"&amp;(COUNTIFS($B$4:$B$1463,$B1347,$AF$4:$AF$1463,"&gt;"&amp;$AF1347)+COUNTIFS($B$4:$B1347,$B1347,$AF$4:$AF1347,"="&amp;$AF1347)))</f>
        <v>FUCT|62</v>
      </c>
      <c r="AI1347" s="41" t="str">
        <f>IF($C1347="","",$B1347&amp;"|"&amp;(COUNTIFS($B$4:$B$1463,$B1347,$AG$4:$AG$1463,"&gt;"&amp;$AG1347)+COUNTIFS($B$4:$B1347,$B1347,$AG$4:$AG1347,"="&amp;$AG1347)))</f>
        <v>FUCT|81</v>
      </c>
    </row>
    <row r="1348" spans="1:35" hidden="1">
      <c r="A1348" s="69" t="s">
        <v>109</v>
      </c>
      <c r="B1348" s="69" t="s">
        <v>118</v>
      </c>
      <c r="C1348" s="63" t="s">
        <v>2808</v>
      </c>
      <c r="D1348" s="69"/>
      <c r="E1348" s="68" t="s">
        <v>79</v>
      </c>
      <c r="F1348" s="19" t="str">
        <f>IF($C1348="","",IF($E1348="","-",IFERROR(INDEX(SETUP!$B$55:$B$64,MATCH($E1348,SETUP!$A$55:$A$64,0)),"Other")))</f>
        <v>Control</v>
      </c>
      <c r="G1348" s="70">
        <v>61133</v>
      </c>
      <c r="H1348" s="19" t="str">
        <f>IF($C1348="","",IF($G1348="","-",INDEX(SETUP!$B$26:$B$32,MATCH($G1348,SETUP!$A$26:$A$32,1))))</f>
        <v>61,000 - 61,999</v>
      </c>
      <c r="I1348" s="70">
        <v>2804</v>
      </c>
      <c r="J1348" s="19" t="str">
        <f>IF($C1348="","",IF($I1348="","-",INDEX(SETUP!$B$16:$B$22,MATCH($I1348,SETUP!$A$16:$A$22,1))))</f>
        <v>DEVELOPING</v>
      </c>
      <c r="K1348" s="19" t="str">
        <f>IF($C1348="","",IF($I1348="","-",TEXT(INT($I1348/1000)*1000,"#,##0")&amp;" - "&amp;TEXT(INT($I1348/1000)*1000+999,"#,##0")))</f>
        <v>2,000 - 2,999</v>
      </c>
      <c r="L1348" s="71">
        <v>4.5</v>
      </c>
      <c r="M1348" s="19" t="str">
        <f>IF($C1348="","",IF($L1348="","-",INDEX(SETUP!$B$36:$B$42,MATCH($L1348,SETUP!$A$36:$A$42,1))))</f>
        <v>4k - 5k</v>
      </c>
      <c r="N1348" s="21">
        <f>IF($C1348="","",IF(OR($G1348="",$I1348=""),"",ROUND(100*(SETUP!$B$4*MIN(1,$I1348/SETUP!$B$9)+SETUP!$B$5*MAX(0,MIN(1,($G1348-SETUP!$B$10)/(SETUP!$B$11-SETUP!$B$10)))+SETUP!$B$6*MIN(1,IF($L1348="",0,$L1348)/SETUP!$B$12)),1)))</f>
        <v>35.9</v>
      </c>
      <c r="O1348" s="19" t="str">
        <f>IF($C1348="","",IF($N1348="","-",INDEX(SETUP!$B$46:$B$51,MATCH($N1348,SETUP!$A$46:$A$51,1))))</f>
        <v>B</v>
      </c>
      <c r="P1348" s="19">
        <f>IF($C1348="","",IF($I1348="","",RANK($I1348,$I$4:$I$1463)+COUNTIF($I$4:$I1348,$I1348)-1))</f>
        <v>933</v>
      </c>
      <c r="Q1348" s="19">
        <f>IF($C1348="","",COUNTIFS($B$4:$B$1463,$B1348,$X$4:$X$1463,"&gt;"&amp;$X1348)+COUNTIFS($B$4:$B1348,$B1348,$X$4:$X1348,"="&amp;$X1348))</f>
        <v>19</v>
      </c>
      <c r="R1348" s="75">
        <f>IF($C1348="","",IF($I1348="","",ROUND(COUNTIF($I$4:$I$1463,"&lt;"&amp;$I1348)/COUNT($I$4:$I$1463),3)))</f>
        <v>0.29599999999999999</v>
      </c>
      <c r="S1348" s="19" t="str">
        <f>IF($C1348="","",IF($G1348="","Name only",IF(OR($I1348="",$L1348=""),"Partial","Complete")))</f>
        <v>Complete</v>
      </c>
      <c r="T1348" s="1" t="str">
        <f>IF($C1348="","",TRIM(IF(COUNTIF($C$4:$C$1463,$C1348)&gt;1,"Dup name; ","")&amp;IF(AND($G1348&lt;&gt;"",$G1348&lt;55000),"Low CR - verify; ","")&amp;IF(AND($L1348&lt;&gt;"",$L1348&gt;15),"Secondary - verify; ","")&amp;IF($E1348="","No class; ","")))</f>
        <v/>
      </c>
      <c r="U1348" s="68"/>
      <c r="V1348" s="68"/>
      <c r="W1348" s="68"/>
      <c r="X1348" s="76">
        <f t="shared" si="107"/>
        <v>2804</v>
      </c>
      <c r="Y1348" s="1" t="str">
        <f t="shared" si="108"/>
        <v>ZOMBIES|19</v>
      </c>
      <c r="Z1348" s="19">
        <f>IF($C1348="","",IF($G1348="","",RANK($G1348,$G$4:$G$1463)+COUNTIF($G$4:$G1348,$G1348)-1))</f>
        <v>1110</v>
      </c>
      <c r="AA1348" s="19">
        <f>IF($C1348="","",IF($N1348="","",RANK($N1348,$N$4:$N$1463)+COUNTIF($N$4:$N1348,$N1348)-1))</f>
        <v>976</v>
      </c>
      <c r="AB1348" s="1" t="str">
        <f>IF($C1348="","",IF($E1348="","",$E1348&amp;"#"&amp;(COUNTIFS($E$4:$E$1463,$E1348,$X$4:$X$1463,"&gt;"&amp;$X1348)+COUNTIFS($E$4:$E1348,$E1348,$X$4:$X1348,"="&amp;$X1348))))</f>
        <v>WARLOCK#231</v>
      </c>
      <c r="AC1348" s="1" t="str">
        <f>IF($C1348="","",$B1348&amp;"@"&amp;(COUNTIFS($B$4:$B$1463,$B1348,$C$4:$C$1463,"&lt;"&amp;$C1348)+COUNTIFS($B$4:$B1348,$B1348,$C$4:$C1348,$C1348)))</f>
        <v>ZOMBIES@32</v>
      </c>
      <c r="AD1348" s="1">
        <f t="shared" si="109"/>
        <v>1345</v>
      </c>
      <c r="AE1348" s="1" t="s">
        <v>2809</v>
      </c>
      <c r="AF1348" s="76">
        <f t="shared" si="110"/>
        <v>61133</v>
      </c>
      <c r="AG1348" s="77">
        <f t="shared" si="111"/>
        <v>4.5</v>
      </c>
      <c r="AH1348" s="1" t="str">
        <f>IF($C1348="","",$B1348&amp;"|"&amp;(COUNTIFS($B$4:$B$1463,$B1348,$AF$4:$AF$1463,"&gt;"&amp;$AF1348)+COUNTIFS($B$4:$B1348,$B1348,$AF$4:$AF1348,"="&amp;$AF1348)))</f>
        <v>ZOMBIES|50</v>
      </c>
      <c r="AI1348" s="1" t="str">
        <f>IF($C1348="","",$B1348&amp;"|"&amp;(COUNTIFS($B$4:$B$1463,$B1348,$AG$4:$AG$1463,"&gt;"&amp;$AG1348)+COUNTIFS($B$4:$B1348,$B1348,$AG$4:$AG1348,"="&amp;$AG1348)))</f>
        <v>ZOMBIES|20</v>
      </c>
    </row>
    <row r="1349" spans="1:35">
      <c r="A1349" s="69" t="s">
        <v>104</v>
      </c>
      <c r="B1349" s="69" t="s">
        <v>66</v>
      </c>
      <c r="C1349" s="63" t="s">
        <v>402</v>
      </c>
      <c r="D1349" s="69" t="s">
        <v>1019</v>
      </c>
      <c r="E1349" s="68" t="s">
        <v>79</v>
      </c>
      <c r="F1349" s="15" t="str">
        <f>IF($C1349="","",IF($E1349="","-",IFERROR(INDEX(SETUP!$B$55:$B$64,MATCH($E1349,SETUP!$A$55:$A$64,0)),"Other")))</f>
        <v>Control</v>
      </c>
      <c r="G1349" s="70">
        <v>64122</v>
      </c>
      <c r="H1349" s="15" t="str">
        <f>IF($C1349="","",IF($G1349="","-",INDEX(SETUP!$B$26:$B$32,MATCH($G1349,SETUP!$A$26:$A$32,1))))</f>
        <v>64,000 +</v>
      </c>
      <c r="I1349" s="70">
        <v>10023</v>
      </c>
      <c r="J1349" s="15" t="str">
        <f>IF($C1349="","",IF($I1349="","-",INDEX(SETUP!$B$16:$B$22,MATCH($I1349,SETUP!$A$16:$A$22,1))))</f>
        <v>APEX</v>
      </c>
      <c r="K1349" s="15" t="str">
        <f>IF($C1349="","",IF($I1349="","-",TEXT(INT($I1349/1000)*1000,"#,##0")&amp;" - "&amp;TEXT(INT($I1349/1000)*1000+999,"#,##0")))</f>
        <v>10,000 - 10,999</v>
      </c>
      <c r="L1349" s="71">
        <v>6.72</v>
      </c>
      <c r="M1349" s="15" t="str">
        <f>IF($C1349="","",IF($L1349="","-",INDEX(SETUP!$B$36:$B$42,MATCH($L1349,SETUP!$A$36:$A$42,1))))</f>
        <v>6k - 8k</v>
      </c>
      <c r="N1349" s="17">
        <f>IF($C1349="","",IF(OR($G1349="",$I1349=""),"",ROUND(100*(SETUP!$B$4*MIN(1,$I1349/SETUP!$B$9)+SETUP!$B$5*MAX(0,MIN(1,($G1349-SETUP!$B$10)/(SETUP!$B$11-SETUP!$B$10)))+SETUP!$B$6*MIN(1,IF($L1349="",0,$L1349)/SETUP!$B$12)),1)))</f>
        <v>79</v>
      </c>
      <c r="O1349" s="15" t="str">
        <f>IF($C1349="","",IF($N1349="","-",INDEX(SETUP!$B$46:$B$51,MATCH($N1349,SETUP!$A$46:$A$51,1))))</f>
        <v>S</v>
      </c>
      <c r="P1349" s="15">
        <f>IF($C1349="","",IF($I1349="","",RANK($I1349,$I$4:$I$1463)+COUNTIF($I$4:$I1349,$I1349)-1))</f>
        <v>54</v>
      </c>
      <c r="Q1349" s="15">
        <f>IF($C1349="","",COUNTIFS($B$4:$B$1463,$B1349,$X$4:$X$1463,"&gt;"&amp;$X1349)+COUNTIFS($B$4:$B1349,$B1349,$X$4:$X1349,"="&amp;$X1349))</f>
        <v>5</v>
      </c>
      <c r="R1349" s="72">
        <f>IF($C1349="","",IF($I1349="","",ROUND(COUNTIF($I$4:$I$1463,"&lt;"&amp;$I1349)/COUNT($I$4:$I$1463),3)))</f>
        <v>0.95899999999999996</v>
      </c>
      <c r="S1349" s="15" t="str">
        <f>IF($C1349="","",IF($G1349="","Name only",IF(OR($I1349="",$L1349=""),"Partial","Complete")))</f>
        <v>Complete</v>
      </c>
      <c r="T1349" s="41" t="str">
        <f>IF($C1349="","",TRIM(IF(COUNTIF($C$4:$C$1463,$C1349)&gt;1,"Dup name; ","")&amp;IF(AND($G1349&lt;&gt;"",$G1349&lt;55000),"Low CR - verify; ","")&amp;IF(AND($L1349&lt;&gt;"",$L1349&gt;15),"Secondary - verify; ","")&amp;IF($E1349="","No class; ","")))</f>
        <v/>
      </c>
      <c r="U1349" s="68" t="s">
        <v>66</v>
      </c>
      <c r="V1349" s="68" t="s">
        <v>107</v>
      </c>
      <c r="W1349" s="68" t="s">
        <v>285</v>
      </c>
      <c r="X1349" s="73">
        <f t="shared" si="107"/>
        <v>10023</v>
      </c>
      <c r="Y1349" s="41" t="str">
        <f t="shared" si="108"/>
        <v>FUCT|5</v>
      </c>
      <c r="Z1349" s="15">
        <f>IF($C1349="","",IF($G1349="","",RANK($G1349,$G$4:$G$1463)+COUNTIF($G$4:$G1349,$G1349)-1))</f>
        <v>56</v>
      </c>
      <c r="AA1349" s="15">
        <f>IF($C1349="","",IF($N1349="","",RANK($N1349,$N$4:$N$1463)+COUNTIF($N$4:$N1349,$N1349)-1))</f>
        <v>60</v>
      </c>
      <c r="AB1349" s="41" t="str">
        <f>IF($C1349="","",IF($E1349="","",$E1349&amp;"#"&amp;(COUNTIFS($E$4:$E$1463,$E1349,$X$4:$X$1463,"&gt;"&amp;$X1349)+COUNTIFS($E$4:$E1349,$E1349,$X$4:$X1349,"="&amp;$X1349))))</f>
        <v>WARLOCK#11</v>
      </c>
      <c r="AC1349" s="41" t="str">
        <f>IF($C1349="","",$B1349&amp;"@"&amp;(COUNTIFS($B$4:$B$1463,$B1349,$C$4:$C$1463,"&lt;"&amp;$C1349)+COUNTIFS($B$4:$B1349,$B1349,$C$4:$C1349,$C1349)))</f>
        <v>FUCT@97</v>
      </c>
      <c r="AD1349" s="41">
        <f t="shared" si="109"/>
        <v>1346</v>
      </c>
      <c r="AE1349" s="41" t="s">
        <v>2810</v>
      </c>
      <c r="AF1349" s="73">
        <f t="shared" si="110"/>
        <v>64122</v>
      </c>
      <c r="AG1349" s="74">
        <f t="shared" si="111"/>
        <v>6.72</v>
      </c>
      <c r="AH1349" s="41" t="str">
        <f>IF($C1349="","",$B1349&amp;"|"&amp;(COUNTIFS($B$4:$B$1463,$B1349,$AF$4:$AF$1463,"&gt;"&amp;$AF1349)+COUNTIFS($B$4:$B1349,$B1349,$AF$4:$AF1349,"="&amp;$AF1349)))</f>
        <v>FUCT|3</v>
      </c>
      <c r="AI1349" s="41" t="str">
        <f>IF($C1349="","",$B1349&amp;"|"&amp;(COUNTIFS($B$4:$B$1463,$B1349,$AG$4:$AG$1463,"&gt;"&amp;$AG1349)+COUNTIFS($B$4:$B1349,$B1349,$AG$4:$AG1349,"="&amp;$AG1349)))</f>
        <v>FUCT|8</v>
      </c>
    </row>
    <row r="1350" spans="1:35">
      <c r="A1350" s="69" t="s">
        <v>104</v>
      </c>
      <c r="B1350" s="69" t="s">
        <v>66</v>
      </c>
      <c r="C1350" s="63" t="s">
        <v>379</v>
      </c>
      <c r="D1350" s="69"/>
      <c r="E1350" s="68" t="s">
        <v>74</v>
      </c>
      <c r="F1350" s="15" t="str">
        <f>IF($C1350="","",IF($E1350="","-",IFERROR(INDEX(SETUP!$B$55:$B$64,MATCH($E1350,SETUP!$A$55:$A$64,0)),"Other")))</f>
        <v>Ranged DPS</v>
      </c>
      <c r="G1350" s="70">
        <v>62609</v>
      </c>
      <c r="H1350" s="15" t="str">
        <f>IF($C1350="","",IF($G1350="","-",INDEX(SETUP!$B$26:$B$32,MATCH($G1350,SETUP!$A$26:$A$32,1))))</f>
        <v>62,000 - 62,999</v>
      </c>
      <c r="I1350" s="70">
        <v>3227</v>
      </c>
      <c r="J1350" s="15" t="str">
        <f>IF($C1350="","",IF($I1350="","-",INDEX(SETUP!$B$16:$B$22,MATCH($I1350,SETUP!$A$16:$A$22,1))))</f>
        <v>DEVELOPING</v>
      </c>
      <c r="K1350" s="15" t="str">
        <f>IF($C1350="","",IF($I1350="","-",TEXT(INT($I1350/1000)*1000,"#,##0")&amp;" - "&amp;TEXT(INT($I1350/1000)*1000+999,"#,##0")))</f>
        <v>3,000 - 3,999</v>
      </c>
      <c r="L1350" s="71">
        <v>4.21</v>
      </c>
      <c r="M1350" s="15" t="str">
        <f>IF($C1350="","",IF($L1350="","-",INDEX(SETUP!$B$36:$B$42,MATCH($L1350,SETUP!$A$36:$A$42,1))))</f>
        <v>4k - 5k</v>
      </c>
      <c r="N1350" s="17">
        <f>IF($C1350="","",IF(OR($G1350="",$I1350=""),"",ROUND(100*(SETUP!$B$4*MIN(1,$I1350/SETUP!$B$9)+SETUP!$B$5*MAX(0,MIN(1,($G1350-SETUP!$B$10)/(SETUP!$B$11-SETUP!$B$10)))+SETUP!$B$6*MIN(1,IF($L1350="",0,$L1350)/SETUP!$B$12)),1)))</f>
        <v>41.1</v>
      </c>
      <c r="O1350" s="15" t="str">
        <f>IF($C1350="","",IF($N1350="","-",INDEX(SETUP!$B$46:$B$51,MATCH($N1350,SETUP!$A$46:$A$51,1))))</f>
        <v>B</v>
      </c>
      <c r="P1350" s="15">
        <f>IF($C1350="","",IF($I1350="","",RANK($I1350,$I$4:$I$1463)+COUNTIF($I$4:$I1350,$I1350)-1))</f>
        <v>813</v>
      </c>
      <c r="Q1350" s="15">
        <f>IF($C1350="","",COUNTIFS($B$4:$B$1463,$B1350,$X$4:$X$1463,"&gt;"&amp;$X1350)+COUNTIFS($B$4:$B1350,$B1350,$X$4:$X1350,"="&amp;$X1350))</f>
        <v>83</v>
      </c>
      <c r="R1350" s="72">
        <f>IF($C1350="","",IF($I1350="","",ROUND(COUNTIF($I$4:$I$1463,"&lt;"&amp;$I1350)/COUNT($I$4:$I$1463),3)))</f>
        <v>0.38600000000000001</v>
      </c>
      <c r="S1350" s="15" t="str">
        <f>IF($C1350="","",IF($G1350="","Name only",IF(OR($I1350="",$L1350=""),"Partial","Complete")))</f>
        <v>Complete</v>
      </c>
      <c r="T1350" s="41" t="str">
        <f>IF($C1350="","",TRIM(IF(COUNTIF($C$4:$C$1463,$C1350)&gt;1,"Dup name; ","")&amp;IF(AND($G1350&lt;&gt;"",$G1350&lt;55000),"Low CR - verify; ","")&amp;IF(AND($L1350&lt;&gt;"",$L1350&gt;15),"Secondary - verify; ","")&amp;IF($E1350="","No class; ","")))</f>
        <v/>
      </c>
      <c r="U1350" s="68" t="s">
        <v>267</v>
      </c>
      <c r="V1350" s="68" t="s">
        <v>66</v>
      </c>
      <c r="W1350" s="68" t="s">
        <v>285</v>
      </c>
      <c r="X1350" s="76">
        <f t="shared" si="107"/>
        <v>3227</v>
      </c>
      <c r="Y1350" s="1" t="str">
        <f t="shared" si="108"/>
        <v>FUCT|83</v>
      </c>
      <c r="Z1350" s="19">
        <f>IF($C1350="","",IF($G1350="","",RANK($G1350,$G$4:$G$1463)+COUNTIF($G$4:$G1350,$G1350)-1))</f>
        <v>608</v>
      </c>
      <c r="AA1350" s="19">
        <f>IF($C1350="","",IF($N1350="","",RANK($N1350,$N$4:$N$1463)+COUNTIF($N$4:$N1350,$N1350)-1))</f>
        <v>773</v>
      </c>
      <c r="AB1350" s="1" t="str">
        <f>IF($C1350="","",IF($E1350="","",$E1350&amp;"#"&amp;(COUNTIFS($E$4:$E$1463,$E1350,$X$4:$X$1463,"&gt;"&amp;$X1350)+COUNTIFS($E$4:$E1350,$E1350,$X$4:$X1350,"="&amp;$X1350))))</f>
        <v>DEMON HUNTER#130</v>
      </c>
      <c r="AC1350" s="1" t="str">
        <f>IF($C1350="","",$B1350&amp;"@"&amp;(COUNTIFS($B$4:$B$1463,$B1350,$C$4:$C$1463,"&lt;"&amp;$C1350)+COUNTIFS($B$4:$B1350,$B1350,$C$4:$C1350,$C1350)))</f>
        <v>FUCT@98</v>
      </c>
      <c r="AD1350" s="1">
        <f t="shared" si="109"/>
        <v>1347</v>
      </c>
      <c r="AE1350" s="1" t="s">
        <v>2811</v>
      </c>
      <c r="AF1350" s="76">
        <f t="shared" si="110"/>
        <v>62609</v>
      </c>
      <c r="AG1350" s="77">
        <f t="shared" si="111"/>
        <v>4.21</v>
      </c>
      <c r="AH1350" s="1" t="str">
        <f>IF($C1350="","",$B1350&amp;"|"&amp;(COUNTIFS($B$4:$B$1463,$B1350,$AF$4:$AF$1463,"&gt;"&amp;$AF1350)+COUNTIFS($B$4:$B1350,$B1350,$AF$4:$AF1350,"="&amp;$AF1350)))</f>
        <v>FUCT|63</v>
      </c>
      <c r="AI1350" s="1" t="str">
        <f>IF($C1350="","",$B1350&amp;"|"&amp;(COUNTIFS($B$4:$B$1463,$B1350,$AG$4:$AG$1463,"&gt;"&amp;$AG1350)+COUNTIFS($B$4:$B1350,$B1350,$AG$4:$AG1350,"="&amp;$AG1350)))</f>
        <v>FUCT|70</v>
      </c>
    </row>
    <row r="1351" spans="1:35" hidden="1">
      <c r="A1351" s="69" t="s">
        <v>109</v>
      </c>
      <c r="B1351" s="69" t="s">
        <v>111</v>
      </c>
      <c r="C1351" s="63" t="s">
        <v>2812</v>
      </c>
      <c r="D1351" s="69" t="s">
        <v>527</v>
      </c>
      <c r="E1351" s="68" t="s">
        <v>80</v>
      </c>
      <c r="F1351" s="15" t="str">
        <f>IF($C1351="","",IF($E1351="","-",IFERROR(INDEX(SETUP!$B$55:$B$64,MATCH($E1351,SETUP!$A$55:$A$64,0)),"Other")))</f>
        <v>Ranged DPS</v>
      </c>
      <c r="G1351" s="70">
        <v>63846</v>
      </c>
      <c r="H1351" s="15" t="str">
        <f>IF($C1351="","",IF($G1351="","-",INDEX(SETUP!$B$26:$B$32,MATCH($G1351,SETUP!$A$26:$A$32,1))))</f>
        <v>63,000 - 63,999</v>
      </c>
      <c r="I1351" s="70">
        <v>8685</v>
      </c>
      <c r="J1351" s="15" t="str">
        <f>IF($C1351="","",IF($I1351="","-",INDEX(SETUP!$B$16:$B$22,MATCH($I1351,SETUP!$A$16:$A$22,1))))</f>
        <v>ELITE</v>
      </c>
      <c r="K1351" s="15" t="str">
        <f>IF($C1351="","",IF($I1351="","-",TEXT(INT($I1351/1000)*1000,"#,##0")&amp;" - "&amp;TEXT(INT($I1351/1000)*1000+999,"#,##0")))</f>
        <v>8,000 - 8,999</v>
      </c>
      <c r="L1351" s="71">
        <v>9.75</v>
      </c>
      <c r="M1351" s="15" t="str">
        <f>IF($C1351="","",IF($L1351="","-",INDEX(SETUP!$B$36:$B$42,MATCH($L1351,SETUP!$A$36:$A$42,1))))</f>
        <v>8k - 10k</v>
      </c>
      <c r="N1351" s="17">
        <f>IF($C1351="","",IF(OR($G1351="",$I1351=""),"",ROUND(100*(SETUP!$B$4*MIN(1,$I1351/SETUP!$B$9)+SETUP!$B$5*MAX(0,MIN(1,($G1351-SETUP!$B$10)/(SETUP!$B$11-SETUP!$B$10)))+SETUP!$B$6*MIN(1,IF($L1351="",0,$L1351)/SETUP!$B$12)),1)))</f>
        <v>77.400000000000006</v>
      </c>
      <c r="O1351" s="15" t="str">
        <f>IF($C1351="","",IF($N1351="","-",INDEX(SETUP!$B$46:$B$51,MATCH($N1351,SETUP!$A$46:$A$51,1))))</f>
        <v>S</v>
      </c>
      <c r="P1351" s="15">
        <f>IF($C1351="","",IF($I1351="","",RANK($I1351,$I$4:$I$1463)+COUNTIF($I$4:$I1351,$I1351)-1))</f>
        <v>110</v>
      </c>
      <c r="Q1351" s="15">
        <f>IF($C1351="","",COUNTIFS($B$4:$B$1463,$B1351,$X$4:$X$1463,"&gt;"&amp;$X1351)+COUNTIFS($B$4:$B1351,$B1351,$X$4:$X1351,"="&amp;$X1351))</f>
        <v>17</v>
      </c>
      <c r="R1351" s="72">
        <f>IF($C1351="","",IF($I1351="","",ROUND(COUNTIF($I$4:$I$1463,"&lt;"&amp;$I1351)/COUNT($I$4:$I$1463),3)))</f>
        <v>0.91700000000000004</v>
      </c>
      <c r="S1351" s="15" t="str">
        <f>IF($C1351="","",IF($G1351="","Name only",IF(OR($I1351="",$L1351=""),"Partial","Complete")))</f>
        <v>Complete</v>
      </c>
      <c r="T1351" s="41" t="str">
        <f>IF($C1351="","",TRIM(IF(COUNTIF($C$4:$C$1463,$C1351)&gt;1,"Dup name; ","")&amp;IF(AND($G1351&lt;&gt;"",$G1351&lt;55000),"Low CR - verify; ","")&amp;IF(AND($L1351&lt;&gt;"",$L1351&gt;15),"Secondary - verify; ","")&amp;IF($E1351="","No class; ","")))</f>
        <v/>
      </c>
      <c r="U1351" s="68"/>
      <c r="V1351" s="68"/>
      <c r="W1351" s="68"/>
      <c r="X1351" s="73">
        <f t="shared" si="107"/>
        <v>8685</v>
      </c>
      <c r="Y1351" s="41" t="str">
        <f t="shared" si="108"/>
        <v>RECKONING|17</v>
      </c>
      <c r="Z1351" s="15">
        <f>IF($C1351="","",IF($G1351="","",RANK($G1351,$G$4:$G$1463)+COUNTIF($G$4:$G1351,$G1351)-1))</f>
        <v>111</v>
      </c>
      <c r="AA1351" s="15">
        <f>IF($C1351="","",IF($N1351="","",RANK($N1351,$N$4:$N$1463)+COUNTIF($N$4:$N1351,$N1351)-1))</f>
        <v>74</v>
      </c>
      <c r="AB1351" s="41" t="str">
        <f>IF($C1351="","",IF($E1351="","",$E1351&amp;"#"&amp;(COUNTIFS($E$4:$E$1463,$E1351,$X$4:$X$1463,"&gt;"&amp;$X1351)+COUNTIFS($E$4:$E1351,$E1351,$X$4:$X1351,"="&amp;$X1351))))</f>
        <v>WIZARD#7</v>
      </c>
      <c r="AC1351" s="41" t="str">
        <f>IF($C1351="","",$B1351&amp;"@"&amp;(COUNTIFS($B$4:$B$1463,$B1351,$C$4:$C$1463,"&lt;"&amp;$C1351)+COUNTIFS($B$4:$B1351,$B1351,$C$4:$C1351,$C1351)))</f>
        <v>RECKONING@86</v>
      </c>
      <c r="AD1351" s="41">
        <f t="shared" si="109"/>
        <v>1348</v>
      </c>
      <c r="AE1351" s="41" t="s">
        <v>2813</v>
      </c>
      <c r="AF1351" s="73">
        <f t="shared" si="110"/>
        <v>63846</v>
      </c>
      <c r="AG1351" s="74">
        <f t="shared" si="111"/>
        <v>9.75</v>
      </c>
      <c r="AH1351" s="41" t="str">
        <f>IF($C1351="","",$B1351&amp;"|"&amp;(COUNTIFS($B$4:$B$1463,$B1351,$AF$4:$AF$1463,"&gt;"&amp;$AF1351)+COUNTIFS($B$4:$B1351,$B1351,$AF$4:$AF1351,"="&amp;$AF1351)))</f>
        <v>RECKONING|14</v>
      </c>
      <c r="AI1351" s="41" t="str">
        <f>IF($C1351="","",$B1351&amp;"|"&amp;(COUNTIFS($B$4:$B$1463,$B1351,$AG$4:$AG$1463,"&gt;"&amp;$AG1351)+COUNTIFS($B$4:$B1351,$B1351,$AG$4:$AG1351,"="&amp;$AG1351)))</f>
        <v>RECKONING|2</v>
      </c>
    </row>
    <row r="1352" spans="1:35" hidden="1">
      <c r="A1352" s="69" t="s">
        <v>109</v>
      </c>
      <c r="B1352" s="69" t="s">
        <v>114</v>
      </c>
      <c r="C1352" s="63" t="s">
        <v>2814</v>
      </c>
      <c r="D1352" s="69"/>
      <c r="E1352" s="68" t="s">
        <v>79</v>
      </c>
      <c r="F1352" s="19" t="str">
        <f>IF($C1352="","",IF($E1352="","-",IFERROR(INDEX(SETUP!$B$55:$B$64,MATCH($E1352,SETUP!$A$55:$A$64,0)),"Other")))</f>
        <v>Control</v>
      </c>
      <c r="G1352" s="70">
        <v>61940</v>
      </c>
      <c r="H1352" s="19" t="str">
        <f>IF($C1352="","",IF($G1352="","-",INDEX(SETUP!$B$26:$B$32,MATCH($G1352,SETUP!$A$26:$A$32,1))))</f>
        <v>61,000 - 61,999</v>
      </c>
      <c r="I1352" s="70">
        <v>4389</v>
      </c>
      <c r="J1352" s="19" t="str">
        <f>IF($C1352="","",IF($I1352="","-",INDEX(SETUP!$B$16:$B$22,MATCH($I1352,SETUP!$A$16:$A$22,1))))</f>
        <v>CORE</v>
      </c>
      <c r="K1352" s="19" t="str">
        <f>IF($C1352="","",IF($I1352="","-",TEXT(INT($I1352/1000)*1000,"#,##0")&amp;" - "&amp;TEXT(INT($I1352/1000)*1000+999,"#,##0")))</f>
        <v>4,000 - 4,999</v>
      </c>
      <c r="L1352" s="71">
        <v>4.1500000000000004</v>
      </c>
      <c r="M1352" s="19" t="str">
        <f>IF($C1352="","",IF($L1352="","-",INDEX(SETUP!$B$36:$B$42,MATCH($L1352,SETUP!$A$36:$A$42,1))))</f>
        <v>4k - 5k</v>
      </c>
      <c r="N1352" s="21">
        <f>IF($C1352="","",IF(OR($G1352="",$I1352=""),"",ROUND(100*(SETUP!$B$4*MIN(1,$I1352/SETUP!$B$9)+SETUP!$B$5*MAX(0,MIN(1,($G1352-SETUP!$B$10)/(SETUP!$B$11-SETUP!$B$10)))+SETUP!$B$6*MIN(1,IF($L1352="",0,$L1352)/SETUP!$B$12)),1)))</f>
        <v>44.3</v>
      </c>
      <c r="O1352" s="19" t="str">
        <f>IF($C1352="","",IF($N1352="","-",INDEX(SETUP!$B$46:$B$51,MATCH($N1352,SETUP!$A$46:$A$51,1))))</f>
        <v>B</v>
      </c>
      <c r="P1352" s="19">
        <f>IF($C1352="","",IF($I1352="","",RANK($I1352,$I$4:$I$1463)+COUNTIF($I$4:$I1352,$I1352)-1))</f>
        <v>517</v>
      </c>
      <c r="Q1352" s="19">
        <f>IF($C1352="","",COUNTIFS($B$4:$B$1463,$B1352,$X$4:$X$1463,"&gt;"&amp;$X1352)+COUNTIFS($B$4:$B1352,$B1352,$X$4:$X1352,"="&amp;$X1352))</f>
        <v>7</v>
      </c>
      <c r="R1352" s="75">
        <f>IF($C1352="","",IF($I1352="","",ROUND(COUNTIF($I$4:$I$1463,"&lt;"&amp;$I1352)/COUNT($I$4:$I$1463),3)))</f>
        <v>0.61</v>
      </c>
      <c r="S1352" s="19" t="str">
        <f>IF($C1352="","",IF($G1352="","Name only",IF(OR($I1352="",$L1352=""),"Partial","Complete")))</f>
        <v>Complete</v>
      </c>
      <c r="T1352" s="1" t="str">
        <f>IF($C1352="","",TRIM(IF(COUNTIF($C$4:$C$1463,$C1352)&gt;1,"Dup name; ","")&amp;IF(AND($G1352&lt;&gt;"",$G1352&lt;55000),"Low CR - verify; ","")&amp;IF(AND($L1352&lt;&gt;"",$L1352&gt;15),"Secondary - verify; ","")&amp;IF($E1352="","No class; ","")))</f>
        <v/>
      </c>
      <c r="U1352" s="68"/>
      <c r="V1352" s="68"/>
      <c r="W1352" s="68"/>
      <c r="X1352" s="76">
        <f t="shared" si="107"/>
        <v>4389</v>
      </c>
      <c r="Y1352" s="1" t="str">
        <f t="shared" si="108"/>
        <v>EMERALD LEAF TRIBE|7</v>
      </c>
      <c r="Z1352" s="19">
        <f>IF($C1352="","",IF($G1352="","",RANK($G1352,$G$4:$G$1463)+COUNTIF($G$4:$G1352,$G1352)-1))</f>
        <v>855</v>
      </c>
      <c r="AA1352" s="19">
        <f>IF($C1352="","",IF($N1352="","",RANK($N1352,$N$4:$N$1463)+COUNTIF($N$4:$N1352,$N1352)-1))</f>
        <v>651</v>
      </c>
      <c r="AB1352" s="1" t="str">
        <f>IF($C1352="","",IF($E1352="","",$E1352&amp;"#"&amp;(COUNTIFS($E$4:$E$1463,$E1352,$X$4:$X$1463,"&gt;"&amp;$X1352)+COUNTIFS($E$4:$E1352,$E1352,$X$4:$X1352,"="&amp;$X1352))))</f>
        <v>WARLOCK#119</v>
      </c>
      <c r="AC1352" s="1" t="str">
        <f>IF($C1352="","",$B1352&amp;"@"&amp;(COUNTIFS($B$4:$B$1463,$B1352,$C$4:$C$1463,"&lt;"&amp;$C1352)+COUNTIFS($B$4:$B1352,$B1352,$C$4:$C1352,$C1352)))</f>
        <v>EMERALD LEAF TRIBE@96</v>
      </c>
      <c r="AD1352" s="1">
        <f t="shared" si="109"/>
        <v>1349</v>
      </c>
      <c r="AE1352" s="1" t="s">
        <v>2815</v>
      </c>
      <c r="AF1352" s="76">
        <f t="shared" si="110"/>
        <v>61940</v>
      </c>
      <c r="AG1352" s="77">
        <f t="shared" si="111"/>
        <v>4.1500000000000004</v>
      </c>
      <c r="AH1352" s="1" t="str">
        <f>IF($C1352="","",$B1352&amp;"|"&amp;(COUNTIFS($B$4:$B$1463,$B1352,$AF$4:$AF$1463,"&gt;"&amp;$AF1352)+COUNTIFS($B$4:$B1352,$B1352,$AF$4:$AF1352,"="&amp;$AF1352)))</f>
        <v>EMERALD LEAF TRIBE|28</v>
      </c>
      <c r="AI1352" s="1" t="str">
        <f>IF($C1352="","",$B1352&amp;"|"&amp;(COUNTIFS($B$4:$B$1463,$B1352,$AG$4:$AG$1463,"&gt;"&amp;$AG1352)+COUNTIFS($B$4:$B1352,$B1352,$AG$4:$AG1352,"="&amp;$AG1352)))</f>
        <v>EMERALD LEAF TRIBE|28</v>
      </c>
    </row>
    <row r="1353" spans="1:35" hidden="1">
      <c r="A1353" s="69" t="s">
        <v>109</v>
      </c>
      <c r="B1353" s="69" t="s">
        <v>112</v>
      </c>
      <c r="C1353" s="63" t="s">
        <v>2816</v>
      </c>
      <c r="D1353" s="69" t="s">
        <v>567</v>
      </c>
      <c r="E1353" s="68" t="s">
        <v>71</v>
      </c>
      <c r="F1353" s="15" t="str">
        <f>IF($C1353="","",IF($E1353="","-",IFERROR(INDEX(SETUP!$B$55:$B$64,MATCH($E1353,SETUP!$A$55:$A$64,0)),"Other")))</f>
        <v>Frontline</v>
      </c>
      <c r="G1353" s="70">
        <v>63005</v>
      </c>
      <c r="H1353" s="15" t="str">
        <f>IF($C1353="","",IF($G1353="","-",INDEX(SETUP!$B$26:$B$32,MATCH($G1353,SETUP!$A$26:$A$32,1))))</f>
        <v>63,000 - 63,999</v>
      </c>
      <c r="I1353" s="70">
        <v>2932</v>
      </c>
      <c r="J1353" s="15" t="str">
        <f>IF($C1353="","",IF($I1353="","-",INDEX(SETUP!$B$16:$B$22,MATCH($I1353,SETUP!$A$16:$A$22,1))))</f>
        <v>DEVELOPING</v>
      </c>
      <c r="K1353" s="15" t="str">
        <f>IF($C1353="","",IF($I1353="","-",TEXT(INT($I1353/1000)*1000,"#,##0")&amp;" - "&amp;TEXT(INT($I1353/1000)*1000+999,"#,##0")))</f>
        <v>2,000 - 2,999</v>
      </c>
      <c r="L1353" s="71">
        <v>3.85</v>
      </c>
      <c r="M1353" s="15" t="str">
        <f>IF($C1353="","",IF($L1353="","-",INDEX(SETUP!$B$36:$B$42,MATCH($L1353,SETUP!$A$36:$A$42,1))))</f>
        <v>3k - 4k</v>
      </c>
      <c r="N1353" s="17">
        <f>IF($C1353="","",IF(OR($G1353="",$I1353=""),"",ROUND(100*(SETUP!$B$4*MIN(1,$I1353/SETUP!$B$9)+SETUP!$B$5*MAX(0,MIN(1,($G1353-SETUP!$B$10)/(SETUP!$B$11-SETUP!$B$10)))+SETUP!$B$6*MIN(1,IF($L1353="",0,$L1353)/SETUP!$B$12)),1)))</f>
        <v>40.299999999999997</v>
      </c>
      <c r="O1353" s="15" t="str">
        <f>IF($C1353="","",IF($N1353="","-",INDEX(SETUP!$B$46:$B$51,MATCH($N1353,SETUP!$A$46:$A$51,1))))</f>
        <v>B</v>
      </c>
      <c r="P1353" s="15">
        <f>IF($C1353="","",IF($I1353="","",RANK($I1353,$I$4:$I$1463)+COUNTIF($I$4:$I1353,$I1353)-1))</f>
        <v>900</v>
      </c>
      <c r="Q1353" s="15">
        <f>IF($C1353="","",COUNTIFS($B$4:$B$1463,$B1353,$X$4:$X$1463,"&gt;"&amp;$X1353)+COUNTIFS($B$4:$B1353,$B1353,$X$4:$X1353,"="&amp;$X1353))</f>
        <v>68</v>
      </c>
      <c r="R1353" s="72">
        <f>IF($C1353="","",IF($I1353="","",ROUND(COUNTIF($I$4:$I$1463,"&lt;"&amp;$I1353)/COUNT($I$4:$I$1463),3)))</f>
        <v>0.32100000000000001</v>
      </c>
      <c r="S1353" s="15" t="str">
        <f>IF($C1353="","",IF($G1353="","Name only",IF(OR($I1353="",$L1353=""),"Partial","Complete")))</f>
        <v>Complete</v>
      </c>
      <c r="T1353" s="41" t="str">
        <f>IF($C1353="","",TRIM(IF(COUNTIF($C$4:$C$1463,$C1353)&gt;1,"Dup name; ","")&amp;IF(AND($G1353&lt;&gt;"",$G1353&lt;55000),"Low CR - verify; ","")&amp;IF(AND($L1353&lt;&gt;"",$L1353&gt;15),"Secondary - verify; ","")&amp;IF($E1353="","No class; ","")))</f>
        <v/>
      </c>
      <c r="U1353" s="68"/>
      <c r="V1353" s="68"/>
      <c r="W1353" s="68"/>
      <c r="X1353" s="73">
        <f t="shared" si="107"/>
        <v>2932</v>
      </c>
      <c r="Y1353" s="41" t="str">
        <f t="shared" si="108"/>
        <v>ACHERON|68</v>
      </c>
      <c r="Z1353" s="15">
        <f>IF($C1353="","",IF($G1353="","",RANK($G1353,$G$4:$G$1463)+COUNTIF($G$4:$G1353,$G1353)-1))</f>
        <v>425</v>
      </c>
      <c r="AA1353" s="15">
        <f>IF($C1353="","",IF($N1353="","",RANK($N1353,$N$4:$N$1463)+COUNTIF($N$4:$N1353,$N1353)-1))</f>
        <v>813</v>
      </c>
      <c r="AB1353" s="41" t="str">
        <f>IF($C1353="","",IF($E1353="","",$E1353&amp;"#"&amp;(COUNTIFS($E$4:$E$1463,$E1353,$X$4:$X$1463,"&gt;"&amp;$X1353)+COUNTIFS($E$4:$E1353,$E1353,$X$4:$X1353,"="&amp;$X1353))))</f>
        <v>BARBARIAN#157</v>
      </c>
      <c r="AC1353" s="41" t="str">
        <f>IF($C1353="","",$B1353&amp;"@"&amp;(COUNTIFS($B$4:$B$1463,$B1353,$C$4:$C$1463,"&lt;"&amp;$C1353)+COUNTIFS($B$4:$B1353,$B1353,$C$4:$C1353,$C1353)))</f>
        <v>ACHERON@95</v>
      </c>
      <c r="AD1353" s="41">
        <f t="shared" si="109"/>
        <v>1350</v>
      </c>
      <c r="AE1353" s="41" t="s">
        <v>2817</v>
      </c>
      <c r="AF1353" s="73">
        <f t="shared" si="110"/>
        <v>63005</v>
      </c>
      <c r="AG1353" s="74">
        <f t="shared" si="111"/>
        <v>3.85</v>
      </c>
      <c r="AH1353" s="41" t="str">
        <f>IF($C1353="","",$B1353&amp;"|"&amp;(COUNTIFS($B$4:$B$1463,$B1353,$AF$4:$AF$1463,"&gt;"&amp;$AF1353)+COUNTIFS($B$4:$B1353,$B1353,$AF$4:$AF1353,"="&amp;$AF1353)))</f>
        <v>ACHERON|29</v>
      </c>
      <c r="AI1353" s="41" t="str">
        <f>IF($C1353="","",$B1353&amp;"|"&amp;(COUNTIFS($B$4:$B$1463,$B1353,$AG$4:$AG$1463,"&gt;"&amp;$AG1353)+COUNTIFS($B$4:$B1353,$B1353,$AG$4:$AG1353,"="&amp;$AG1353)))</f>
        <v>ACHERON|81</v>
      </c>
    </row>
    <row r="1354" spans="1:35">
      <c r="A1354" s="69" t="s">
        <v>104</v>
      </c>
      <c r="B1354" s="69" t="s">
        <v>66</v>
      </c>
      <c r="C1354" s="63" t="s">
        <v>2819</v>
      </c>
      <c r="D1354" s="69"/>
      <c r="E1354" s="68" t="s">
        <v>80</v>
      </c>
      <c r="F1354" s="15" t="str">
        <f>IF($C1354="","",IF($E1354="","-",IFERROR(INDEX(SETUP!$B$55:$B$64,MATCH($E1354,SETUP!$A$55:$A$64,0)),"Other")))</f>
        <v>Ranged DPS</v>
      </c>
      <c r="G1354" s="70">
        <v>62657</v>
      </c>
      <c r="H1354" s="15" t="str">
        <f>IF($C1354="","",IF($G1354="","-",INDEX(SETUP!$B$26:$B$32,MATCH($G1354,SETUP!$A$26:$A$32,1))))</f>
        <v>62,000 - 62,999</v>
      </c>
      <c r="I1354" s="70">
        <v>4164</v>
      </c>
      <c r="J1354" s="15" t="str">
        <f>IF($C1354="","",IF($I1354="","-",INDEX(SETUP!$B$16:$B$22,MATCH($I1354,SETUP!$A$16:$A$22,1))))</f>
        <v>CORE</v>
      </c>
      <c r="K1354" s="15" t="str">
        <f>IF($C1354="","",IF($I1354="","-",TEXT(INT($I1354/1000)*1000,"#,##0")&amp;" - "&amp;TEXT(INT($I1354/1000)*1000+999,"#,##0")))</f>
        <v>4,000 - 4,999</v>
      </c>
      <c r="L1354" s="71">
        <v>4.2300000000000004</v>
      </c>
      <c r="M1354" s="15" t="str">
        <f>IF($C1354="","",IF($L1354="","-",INDEX(SETUP!$B$36:$B$42,MATCH($L1354,SETUP!$A$36:$A$42,1))))</f>
        <v>4k - 5k</v>
      </c>
      <c r="N1354" s="17">
        <f>IF($C1354="","",IF(OR($G1354="",$I1354=""),"",ROUND(100*(SETUP!$B$4*MIN(1,$I1354/SETUP!$B$9)+SETUP!$B$5*MAX(0,MIN(1,($G1354-SETUP!$B$10)/(SETUP!$B$11-SETUP!$B$10)))+SETUP!$B$6*MIN(1,IF($L1354="",0,$L1354)/SETUP!$B$12)),1)))</f>
        <v>45.4</v>
      </c>
      <c r="O1354" s="15" t="str">
        <f>IF($C1354="","",IF($N1354="","-",INDEX(SETUP!$B$46:$B$51,MATCH($N1354,SETUP!$A$46:$A$51,1))))</f>
        <v>B</v>
      </c>
      <c r="P1354" s="15">
        <f>IF($C1354="","",IF($I1354="","",RANK($I1354,$I$4:$I$1463)+COUNTIF($I$4:$I1354,$I1354)-1))</f>
        <v>565</v>
      </c>
      <c r="Q1354" s="15">
        <f>IF($C1354="","",COUNTIFS($B$4:$B$1463,$B1354,$X$4:$X$1463,"&gt;"&amp;$X1354)+COUNTIFS($B$4:$B1354,$B1354,$X$4:$X1354,"="&amp;$X1354))</f>
        <v>55</v>
      </c>
      <c r="R1354" s="72">
        <f>IF($C1354="","",IF($I1354="","",ROUND(COUNTIF($I$4:$I$1463,"&lt;"&amp;$I1354)/COUNT($I$4:$I$1463),3)))</f>
        <v>0.57399999999999995</v>
      </c>
      <c r="S1354" s="15" t="str">
        <f>IF($C1354="","",IF($G1354="","Name only",IF(OR($I1354="",$L1354=""),"Partial","Complete")))</f>
        <v>Complete</v>
      </c>
      <c r="T1354" s="41" t="str">
        <f>IF($C1354="","",TRIM(IF(COUNTIF($C$4:$C$1463,$C1354)&gt;1,"Dup name; ","")&amp;IF(AND($G1354&lt;&gt;"",$G1354&lt;55000),"Low CR - verify; ","")&amp;IF(AND($L1354&lt;&gt;"",$L1354&gt;15),"Secondary - verify; ","")&amp;IF($E1354="","No class; ","")))</f>
        <v/>
      </c>
      <c r="U1354" s="68"/>
      <c r="V1354" s="68"/>
      <c r="W1354" s="68"/>
      <c r="X1354" s="76">
        <f t="shared" si="107"/>
        <v>4164</v>
      </c>
      <c r="Y1354" s="1" t="str">
        <f t="shared" si="108"/>
        <v>FUCT|55</v>
      </c>
      <c r="Z1354" s="19">
        <f>IF($C1354="","",IF($G1354="","",RANK($G1354,$G$4:$G$1463)+COUNTIF($G$4:$G1354,$G1354)-1))</f>
        <v>585</v>
      </c>
      <c r="AA1354" s="19">
        <f>IF($C1354="","",IF($N1354="","",RANK($N1354,$N$4:$N$1463)+COUNTIF($N$4:$N1354,$N1354)-1))</f>
        <v>610</v>
      </c>
      <c r="AB1354" s="1" t="str">
        <f>IF($C1354="","",IF($E1354="","",$E1354&amp;"#"&amp;(COUNTIFS($E$4:$E$1463,$E1354,$X$4:$X$1463,"&gt;"&amp;$X1354)+COUNTIFS($E$4:$E1354,$E1354,$X$4:$X1354,"="&amp;$X1354))))</f>
        <v>WIZARD#40</v>
      </c>
      <c r="AC1354" s="1" t="str">
        <f>IF($C1354="","",$B1354&amp;"@"&amp;(COUNTIFS($B$4:$B$1463,$B1354,$C$4:$C$1463,"&lt;"&amp;$C1354)+COUNTIFS($B$4:$B1354,$B1354,$C$4:$C1354,$C1354)))</f>
        <v>FUCT@99</v>
      </c>
      <c r="AD1354" s="1">
        <f t="shared" si="109"/>
        <v>1351</v>
      </c>
      <c r="AE1354" s="1" t="s">
        <v>2818</v>
      </c>
      <c r="AF1354" s="76">
        <f t="shared" si="110"/>
        <v>62657</v>
      </c>
      <c r="AG1354" s="77">
        <f t="shared" si="111"/>
        <v>4.2300000000000004</v>
      </c>
      <c r="AH1354" s="1" t="str">
        <f>IF($C1354="","",$B1354&amp;"|"&amp;(COUNTIFS($B$4:$B$1463,$B1354,$AF$4:$AF$1463,"&gt;"&amp;$AF1354)+COUNTIFS($B$4:$B1354,$B1354,$AF$4:$AF1354,"="&amp;$AF1354)))</f>
        <v>FUCT|61</v>
      </c>
      <c r="AI1354" s="1" t="str">
        <f>IF($C1354="","",$B1354&amp;"|"&amp;(COUNTIFS($B$4:$B$1463,$B1354,$AG$4:$AG$1463,"&gt;"&amp;$AG1354)+COUNTIFS($B$4:$B1354,$B1354,$AG$4:$AG1354,"="&amp;$AG1354)))</f>
        <v>FUCT|69</v>
      </c>
    </row>
    <row r="1355" spans="1:35">
      <c r="A1355" s="69" t="s">
        <v>104</v>
      </c>
      <c r="B1355" s="69" t="s">
        <v>66</v>
      </c>
      <c r="C1355" s="63" t="s">
        <v>2915</v>
      </c>
      <c r="D1355" s="69"/>
      <c r="E1355" s="68" t="s">
        <v>71</v>
      </c>
      <c r="F1355" s="19" t="str">
        <f>IF($C1355="","",IF($E1355="","-",IFERROR(INDEX(SETUP!$B$55:$B$64,MATCH($E1355,SETUP!$A$55:$A$64,0)),"Other")))</f>
        <v>Frontline</v>
      </c>
      <c r="G1355" s="70">
        <v>63166</v>
      </c>
      <c r="H1355" s="19" t="str">
        <f>IF($C1355="","",IF($G1355="","-",INDEX(SETUP!$B$26:$B$32,MATCH($G1355,SETUP!$A$26:$A$32,1))))</f>
        <v>63,000 - 63,999</v>
      </c>
      <c r="I1355" s="70">
        <v>4820</v>
      </c>
      <c r="J1355" s="19" t="str">
        <f>IF($C1355="","",IF($I1355="","-",INDEX(SETUP!$B$16:$B$22,MATCH($I1355,SETUP!$A$16:$A$22,1))))</f>
        <v>CORE</v>
      </c>
      <c r="K1355" s="19" t="str">
        <f>IF($C1355="","",IF($I1355="","-",TEXT(INT($I1355/1000)*1000,"#,##0")&amp;" - "&amp;TEXT(INT($I1355/1000)*1000+999,"#,##0")))</f>
        <v>4,000 - 4,999</v>
      </c>
      <c r="L1355" s="71">
        <v>4.82</v>
      </c>
      <c r="M1355" s="19" t="str">
        <f>IF($C1355="","",IF($L1355="","-",INDEX(SETUP!$B$36:$B$42,MATCH($L1355,SETUP!$A$36:$A$42,1))))</f>
        <v>4k - 5k</v>
      </c>
      <c r="N1355" s="21">
        <f>IF($C1355="","",IF(OR($G1355="",$I1355=""),"",ROUND(100*(SETUP!$B$4*MIN(1,$I1355/SETUP!$B$9)+SETUP!$B$5*MAX(0,MIN(1,($G1355-SETUP!$B$10)/(SETUP!$B$11-SETUP!$B$10)))+SETUP!$B$6*MIN(1,IF($L1355="",0,$L1355)/SETUP!$B$12)),1)))</f>
        <v>50.6</v>
      </c>
      <c r="O1355" s="19" t="str">
        <f>IF($C1355="","",IF($N1355="","-",INDEX(SETUP!$B$46:$B$51,MATCH($N1355,SETUP!$A$46:$A$51,1))))</f>
        <v>A</v>
      </c>
      <c r="P1355" s="19">
        <f>IF($C1355="","",IF($I1355="","",RANK($I1355,$I$4:$I$1463)+COUNTIF($I$4:$I1355,$I1355)-1))</f>
        <v>438</v>
      </c>
      <c r="Q1355" s="19">
        <f>IF($C1355="","",COUNTIFS($B$4:$B$1463,$B1355,$X$4:$X$1463,"&gt;"&amp;$X1355)+COUNTIFS($B$4:$B1355,$B1355,$X$4:$X1355,"="&amp;$X1355))</f>
        <v>44</v>
      </c>
      <c r="R1355" s="75">
        <f>IF($C1355="","",IF($I1355="","",ROUND(COUNTIF($I$4:$I$1463,"&lt;"&amp;$I1355)/COUNT($I$4:$I$1463),3)))</f>
        <v>0.66900000000000004</v>
      </c>
      <c r="S1355" s="19" t="str">
        <f>IF($C1355="","",IF($G1355="","Name only",IF(OR($I1355="",$L1355=""),"Partial","Complete")))</f>
        <v>Complete</v>
      </c>
      <c r="T1355" s="1" t="str">
        <f>IF($C1355="","",TRIM(IF(COUNTIF($C$4:$C$1463,$C1355)&gt;1,"Dup name; ","")&amp;IF(AND($G1355&lt;&gt;"",$G1355&lt;55000),"Low CR - verify; ","")&amp;IF(AND($L1355&lt;&gt;"",$L1355&gt;15),"Secondary - verify; ","")&amp;IF($E1355="","No class; ","")))</f>
        <v/>
      </c>
      <c r="U1355" s="68"/>
      <c r="V1355" s="68"/>
      <c r="W1355" s="68"/>
      <c r="X1355" s="73">
        <f t="shared" si="107"/>
        <v>4820</v>
      </c>
      <c r="Y1355" s="41" t="str">
        <f t="shared" si="108"/>
        <v>FUCT|44</v>
      </c>
      <c r="Z1355" s="15">
        <f>IF($C1355="","",IF($G1355="","",RANK($G1355,$G$4:$G$1463)+COUNTIF($G$4:$G1355,$G1355)-1))</f>
        <v>337</v>
      </c>
      <c r="AA1355" s="15">
        <f>IF($C1355="","",IF($N1355="","",RANK($N1355,$N$4:$N$1463)+COUNTIF($N$4:$N1355,$N1355)-1))</f>
        <v>443</v>
      </c>
      <c r="AB1355" s="41" t="str">
        <f>IF($C1355="","",IF($E1355="","",$E1355&amp;"#"&amp;(COUNTIFS($E$4:$E$1463,$E1355,$X$4:$X$1463,"&gt;"&amp;$X1355)+COUNTIFS($E$4:$E1355,$E1355,$X$4:$X1355,"="&amp;$X1355))))</f>
        <v>BARBARIAN#84</v>
      </c>
      <c r="AC1355" s="41" t="str">
        <f>IF($C1355="","",$B1355&amp;"@"&amp;(COUNTIFS($B$4:$B$1463,$B1355,$C$4:$C$1463,"&lt;"&amp;$C1355)+COUNTIFS($B$4:$B1355,$B1355,$C$4:$C1355,$C1355)))</f>
        <v>FUCT@93</v>
      </c>
      <c r="AD1355" s="41">
        <f t="shared" si="109"/>
        <v>1352</v>
      </c>
      <c r="AE1355" s="41" t="s">
        <v>2820</v>
      </c>
      <c r="AF1355" s="73">
        <f t="shared" si="110"/>
        <v>63166</v>
      </c>
      <c r="AG1355" s="74">
        <f t="shared" si="111"/>
        <v>4.82</v>
      </c>
      <c r="AH1355" s="41" t="str">
        <f>IF($C1355="","",$B1355&amp;"|"&amp;(COUNTIFS($B$4:$B$1463,$B1355,$AF$4:$AF$1463,"&gt;"&amp;$AF1355)+COUNTIFS($B$4:$B1355,$B1355,$AF$4:$AF1355,"="&amp;$AF1355)))</f>
        <v>FUCT|32</v>
      </c>
      <c r="AI1355" s="41" t="str">
        <f>IF($C1355="","",$B1355&amp;"|"&amp;(COUNTIFS($B$4:$B$1463,$B1355,$AG$4:$AG$1463,"&gt;"&amp;$AG1355)+COUNTIFS($B$4:$B1355,$B1355,$AG$4:$AG1355,"="&amp;$AG1355)))</f>
        <v>FUCT|57</v>
      </c>
    </row>
    <row r="1356" spans="1:35" hidden="1">
      <c r="A1356" s="69" t="s">
        <v>109</v>
      </c>
      <c r="B1356" s="69" t="s">
        <v>117</v>
      </c>
      <c r="C1356" s="63" t="s">
        <v>2821</v>
      </c>
      <c r="D1356" s="69"/>
      <c r="E1356" s="68"/>
      <c r="F1356" s="19" t="str">
        <f>IF($C1356="","",IF($E1356="","-",IFERROR(INDEX(SETUP!$B$55:$B$64,MATCH($E1356,SETUP!$A$55:$A$64,0)),"Other")))</f>
        <v>-</v>
      </c>
      <c r="G1356" s="70"/>
      <c r="H1356" s="19" t="str">
        <f>IF($C1356="","",IF($G1356="","-",INDEX(SETUP!$B$26:$B$32,MATCH($G1356,SETUP!$A$26:$A$32,1))))</f>
        <v>-</v>
      </c>
      <c r="I1356" s="70"/>
      <c r="J1356" s="19" t="str">
        <f>IF($C1356="","",IF($I1356="","-",INDEX(SETUP!$B$16:$B$22,MATCH($I1356,SETUP!$A$16:$A$22,1))))</f>
        <v>-</v>
      </c>
      <c r="K1356" s="19" t="str">
        <f t="shared" ref="K1347:K1410" si="112">IF($C1356="","",IF($I1356="","-",TEXT(INT($I1356/1000)*1000,"#,##0")&amp;" - "&amp;TEXT(INT($I1356/1000)*1000+999,"#,##0")))</f>
        <v>-</v>
      </c>
      <c r="L1356" s="71"/>
      <c r="M1356" s="19" t="str">
        <f>IF($C1356="","",IF($L1356="","-",INDEX(SETUP!$B$36:$B$42,MATCH($L1356,SETUP!$A$36:$A$42,1))))</f>
        <v>-</v>
      </c>
      <c r="N1356" s="21" t="str">
        <f>IF($C1356="","",IF(OR($G1356="",$I1356=""),"",ROUND(100*(SETUP!$B$4*MIN(1,$I1356/SETUP!$B$9)+SETUP!$B$5*MAX(0,MIN(1,($G1356-SETUP!$B$10)/(SETUP!$B$11-SETUP!$B$10)))+SETUP!$B$6*MIN(1,IF($L1356="",0,$L1356)/SETUP!$B$12)),1)))</f>
        <v/>
      </c>
      <c r="O1356" s="19" t="str">
        <f>IF($C1356="","",IF($N1356="","-",INDEX(SETUP!$B$46:$B$51,MATCH($N1356,SETUP!$A$46:$A$51,1))))</f>
        <v>-</v>
      </c>
      <c r="P1356" s="19" t="str">
        <f>IF($C1356="","",IF($I1356="","",RANK($I1356,$I$4:$I$1463)+COUNTIF($I$4:$I1356,$I1356)-1))</f>
        <v/>
      </c>
      <c r="Q1356" s="19">
        <f>IF($C1356="","",COUNTIFS($B$4:$B$1463,$B1356,$X$4:$X$1463,"&gt;"&amp;$X1356)+COUNTIFS($B$4:$B1356,$B1356,$X$4:$X1356,"="&amp;$X1356))</f>
        <v>94</v>
      </c>
      <c r="R1356" s="75" t="str">
        <f>IF($C1356="","",IF($I1356="","",ROUND(COUNTIF($I$4:$I$1463,"&lt;"&amp;$I1356)/COUNT($I$4:$I$1463),3)))</f>
        <v/>
      </c>
      <c r="S1356" s="19" t="str">
        <f t="shared" ref="S1347:S1410" si="113">IF($C1356="","",IF($G1356="","Name only",IF(OR($I1356="",$L1356=""),"Partial","Complete")))</f>
        <v>Name only</v>
      </c>
      <c r="T1356" s="1" t="str">
        <f>IF($C1356="","",TRIM(IF(COUNTIF($C$4:$C$1463,$C1356)&gt;1,"Dup name; ","")&amp;IF(AND($G1356&lt;&gt;"",$G1356&lt;55000),"Low CR - verify; ","")&amp;IF(AND($L1356&lt;&gt;"",$L1356&gt;15),"Secondary - verify; ","")&amp;IF($E1356="","No class; ","")))</f>
        <v>No class;</v>
      </c>
      <c r="U1356" s="68"/>
      <c r="V1356" s="68"/>
      <c r="W1356" s="68"/>
      <c r="X1356" s="1">
        <f t="shared" si="107"/>
        <v>-1</v>
      </c>
      <c r="Y1356" s="1" t="str">
        <f t="shared" si="108"/>
        <v>VENDETTA|94</v>
      </c>
      <c r="Z1356" s="19" t="str">
        <f>IF($C1356="","",IF($G1356="","",RANK($G1356,$G$4:$G$1463)+COUNTIF($G$4:$G1356,$G1356)-1))</f>
        <v/>
      </c>
      <c r="AA1356" s="19" t="str">
        <f>IF($C1356="","",IF($N1356="","",RANK($N1356,$N$4:$N$1463)+COUNTIF($N$4:$N1356,$N1356)-1))</f>
        <v/>
      </c>
      <c r="AB1356" s="1" t="str">
        <f>IF($C1356="","",IF($E1356="","",$E1356&amp;"#"&amp;(COUNTIFS($E$4:$E$1463,$E1356,$X$4:$X$1463,"&gt;"&amp;$X1356)+COUNTIFS($E$4:$E1356,$E1356,$X$4:$X1356,"="&amp;$X1356))))</f>
        <v/>
      </c>
      <c r="AC1356" s="1" t="str">
        <f>IF($C1356="","",$B1356&amp;"@"&amp;(COUNTIFS($B$4:$B$1463,$B1356,$C$4:$C$1463,"&lt;"&amp;$C1356)+COUNTIFS($B$4:$B1356,$B1356,$C$4:$C1356,$C1356)))</f>
        <v>VENDETTA@1</v>
      </c>
      <c r="AD1356" s="1">
        <f t="shared" si="109"/>
        <v>1353</v>
      </c>
      <c r="AE1356" s="1"/>
      <c r="AF1356" s="1">
        <f t="shared" si="110"/>
        <v>-1</v>
      </c>
      <c r="AG1356" s="1">
        <f t="shared" si="111"/>
        <v>-1</v>
      </c>
      <c r="AH1356" s="1" t="str">
        <f>IF($C1356="","",$B1356&amp;"|"&amp;(COUNTIFS($B$4:$B$1463,$B1356,$AF$4:$AF$1463,"&gt;"&amp;$AF1356)+COUNTIFS($B$4:$B1356,$B1356,$AF$4:$AF1356,"="&amp;$AF1356)))</f>
        <v>VENDETTA|94</v>
      </c>
      <c r="AI1356" s="1" t="str">
        <f>IF($C1356="","",$B1356&amp;"|"&amp;(COUNTIFS($B$4:$B$1463,$B1356,$AG$4:$AG$1463,"&gt;"&amp;$AG1356)+COUNTIFS($B$4:$B1356,$B1356,$AG$4:$AG1356,"="&amp;$AG1356)))</f>
        <v>VENDETTA|94</v>
      </c>
    </row>
    <row r="1357" spans="1:35" hidden="1">
      <c r="A1357" s="69" t="s">
        <v>109</v>
      </c>
      <c r="B1357" s="69" t="s">
        <v>113</v>
      </c>
      <c r="C1357" s="79" t="s">
        <v>2822</v>
      </c>
      <c r="D1357" s="69" t="s">
        <v>548</v>
      </c>
      <c r="E1357" s="68" t="s">
        <v>78</v>
      </c>
      <c r="F1357" s="15" t="str">
        <f>IF($C1357="","",IF($E1357="","-",IFERROR(INDEX(SETUP!$B$55:$B$64,MATCH($E1357,SETUP!$A$55:$A$64,0)),"Other")))</f>
        <v>Melee DPS</v>
      </c>
      <c r="G1357" s="70">
        <v>62453</v>
      </c>
      <c r="H1357" s="15" t="str">
        <f>IF($C1357="","",IF($G1357="","-",INDEX(SETUP!$B$26:$B$32,MATCH($G1357,SETUP!$A$26:$A$32,1))))</f>
        <v>62,000 - 62,999</v>
      </c>
      <c r="I1357" s="70">
        <v>2900</v>
      </c>
      <c r="J1357" s="15" t="str">
        <f>IF($C1357="","",IF($I1357="","-",INDEX(SETUP!$B$16:$B$22,MATCH($I1357,SETUP!$A$16:$A$22,1))))</f>
        <v>DEVELOPING</v>
      </c>
      <c r="K1357" s="15" t="str">
        <f t="shared" si="112"/>
        <v>2,000 - 2,999</v>
      </c>
      <c r="L1357" s="71">
        <v>3.27</v>
      </c>
      <c r="M1357" s="15" t="str">
        <f>IF($C1357="","",IF($L1357="","-",INDEX(SETUP!$B$36:$B$42,MATCH($L1357,SETUP!$A$36:$A$42,1))))</f>
        <v>3k - 4k</v>
      </c>
      <c r="N1357" s="17">
        <f>IF($C1357="","",IF(OR($G1357="",$I1357=""),"",ROUND(100*(SETUP!$B$4*MIN(1,$I1357/SETUP!$B$9)+SETUP!$B$5*MAX(0,MIN(1,($G1357-SETUP!$B$10)/(SETUP!$B$11-SETUP!$B$10)))+SETUP!$B$6*MIN(1,IF($L1357="",0,$L1357)/SETUP!$B$12)),1)))</f>
        <v>37.700000000000003</v>
      </c>
      <c r="O1357" s="15" t="str">
        <f>IF($C1357="","",IF($N1357="","-",INDEX(SETUP!$B$46:$B$51,MATCH($N1357,SETUP!$A$46:$A$51,1))))</f>
        <v>B</v>
      </c>
      <c r="P1357" s="15">
        <f>IF($C1357="","",IF($I1357="","",RANK($I1357,$I$4:$I$1463)+COUNTIF($I$4:$I1357,$I1357)-1))</f>
        <v>907</v>
      </c>
      <c r="Q1357" s="15">
        <f>IF($C1357="","",COUNTIFS($B$4:$B$1463,$B1357,$X$4:$X$1463,"&gt;"&amp;$X1357)+COUNTIFS($B$4:$B1357,$B1357,$X$4:$X1357,"="&amp;$X1357))</f>
        <v>55</v>
      </c>
      <c r="R1357" s="72">
        <f>IF($C1357="","",IF($I1357="","",ROUND(COUNTIF($I$4:$I$1463,"&lt;"&amp;$I1357)/COUNT($I$4:$I$1463),3)))</f>
        <v>0.315</v>
      </c>
      <c r="S1357" s="15" t="str">
        <f t="shared" si="113"/>
        <v>Complete</v>
      </c>
      <c r="T1357" s="41" t="str">
        <f>IF($C1357="","",TRIM(IF(COUNTIF($C$4:$C$1463,$C1357)&gt;1,"Dup name; ","")&amp;IF(AND($G1357&lt;&gt;"",$G1357&lt;55000),"Low CR - verify; ","")&amp;IF(AND($L1357&lt;&gt;"",$L1357&gt;15),"Secondary - verify; ","")&amp;IF($E1357="","No class; ","")))</f>
        <v/>
      </c>
      <c r="U1357" s="68"/>
      <c r="V1357" s="68"/>
      <c r="W1357" s="68"/>
      <c r="X1357" s="73">
        <f t="shared" si="107"/>
        <v>2900</v>
      </c>
      <c r="Y1357" s="41" t="str">
        <f t="shared" si="108"/>
        <v>INVICTUS|55</v>
      </c>
      <c r="Z1357" s="15">
        <f>IF($C1357="","",IF($G1357="","",RANK($G1357,$G$4:$G$1463)+COUNTIF($G$4:$G1357,$G1357)-1))</f>
        <v>670</v>
      </c>
      <c r="AA1357" s="15">
        <f>IF($C1357="","",IF($N1357="","",RANK($N1357,$N$4:$N$1463)+COUNTIF($N$4:$N1357,$N1357)-1))</f>
        <v>909</v>
      </c>
      <c r="AB1357" s="41" t="str">
        <f>IF($C1357="","",IF($E1357="","",$E1357&amp;"#"&amp;(COUNTIFS($E$4:$E$1463,$E1357,$X$4:$X$1463,"&gt;"&amp;$X1357)+COUNTIFS($E$4:$E1357,$E1357,$X$4:$X1357,"="&amp;$X1357))))</f>
        <v>TEMPEST#37</v>
      </c>
      <c r="AC1357" s="41" t="str">
        <f>IF($C1357="","",$B1357&amp;"@"&amp;(COUNTIFS($B$4:$B$1463,$B1357,$C$4:$C$1463,"&lt;"&amp;$C1357)+COUNTIFS($B$4:$B1357,$B1357,$C$4:$C1357,$C1357)))</f>
        <v>INVICTUS@100</v>
      </c>
      <c r="AD1357" s="41">
        <f t="shared" si="109"/>
        <v>1354</v>
      </c>
      <c r="AE1357" s="41" t="s">
        <v>2823</v>
      </c>
      <c r="AF1357" s="73">
        <f t="shared" si="110"/>
        <v>62453</v>
      </c>
      <c r="AG1357" s="74">
        <f t="shared" si="111"/>
        <v>3.27</v>
      </c>
      <c r="AH1357" s="41" t="str">
        <f>IF($C1357="","",$B1357&amp;"|"&amp;(COUNTIFS($B$4:$B$1463,$B1357,$AF$4:$AF$1463,"&gt;"&amp;$AF1357)+COUNTIFS($B$4:$B1357,$B1357,$AF$4:$AF1357,"="&amp;$AF1357)))</f>
        <v>INVICTUS|40</v>
      </c>
      <c r="AI1357" s="41" t="str">
        <f>IF($C1357="","",$B1357&amp;"|"&amp;(COUNTIFS($B$4:$B$1463,$B1357,$AG$4:$AG$1463,"&gt;"&amp;$AG1357)+COUNTIFS($B$4:$B1357,$B1357,$AG$4:$AG1357,"="&amp;$AG1357)))</f>
        <v>INVICTUS|87</v>
      </c>
    </row>
    <row r="1358" spans="1:35" hidden="1">
      <c r="A1358" s="69" t="s">
        <v>109</v>
      </c>
      <c r="B1358" s="69" t="s">
        <v>116</v>
      </c>
      <c r="C1358" s="79" t="s">
        <v>2824</v>
      </c>
      <c r="D1358" s="69" t="s">
        <v>530</v>
      </c>
      <c r="E1358" s="68" t="s">
        <v>78</v>
      </c>
      <c r="F1358" s="19" t="str">
        <f>IF($C1358="","",IF($E1358="","-",IFERROR(INDEX(SETUP!$B$55:$B$64,MATCH($E1358,SETUP!$A$55:$A$64,0)),"Other")))</f>
        <v>Melee DPS</v>
      </c>
      <c r="G1358" s="70">
        <v>59722</v>
      </c>
      <c r="H1358" s="19" t="str">
        <f>IF($C1358="","",IF($G1358="","-",INDEX(SETUP!$B$26:$B$32,MATCH($G1358,SETUP!$A$26:$A$32,1))))</f>
        <v>58,000 - 59,999</v>
      </c>
      <c r="I1358" s="70">
        <v>2450</v>
      </c>
      <c r="J1358" s="19" t="str">
        <f>IF($C1358="","",IF($I1358="","-",INDEX(SETUP!$B$16:$B$22,MATCH($I1358,SETUP!$A$16:$A$22,1))))</f>
        <v>DEVELOPING</v>
      </c>
      <c r="K1358" s="19" t="str">
        <f t="shared" si="112"/>
        <v>2,000 - 2,999</v>
      </c>
      <c r="L1358" s="71">
        <v>4.45</v>
      </c>
      <c r="M1358" s="19" t="str">
        <f>IF($C1358="","",IF($L1358="","-",INDEX(SETUP!$B$36:$B$42,MATCH($L1358,SETUP!$A$36:$A$42,1))))</f>
        <v>4k - 5k</v>
      </c>
      <c r="N1358" s="21">
        <f>IF($C1358="","",IF(OR($G1358="",$I1358=""),"",ROUND(100*(SETUP!$B$4*MIN(1,$I1358/SETUP!$B$9)+SETUP!$B$5*MAX(0,MIN(1,($G1358-SETUP!$B$10)/(SETUP!$B$11-SETUP!$B$10)))+SETUP!$B$6*MIN(1,IF($L1358="",0,$L1358)/SETUP!$B$12)),1)))</f>
        <v>30.5</v>
      </c>
      <c r="O1358" s="19" t="str">
        <f>IF($C1358="","",IF($N1358="","-",INDEX(SETUP!$B$46:$B$51,MATCH($N1358,SETUP!$A$46:$A$51,1))))</f>
        <v>C</v>
      </c>
      <c r="P1358" s="19">
        <f>IF($C1358="","",IF($I1358="","",RANK($I1358,$I$4:$I$1463)+COUNTIF($I$4:$I1358,$I1358)-1))</f>
        <v>1020</v>
      </c>
      <c r="Q1358" s="19">
        <f>IF($C1358="","",COUNTIFS($B$4:$B$1463,$B1358,$X$4:$X$1463,"&gt;"&amp;$X1358)+COUNTIFS($B$4:$B1358,$B1358,$X$4:$X1358,"="&amp;$X1358))</f>
        <v>74</v>
      </c>
      <c r="R1358" s="75">
        <f>IF($C1358="","",IF($I1358="","",ROUND(COUNTIF($I$4:$I$1463,"&lt;"&amp;$I1358)/COUNT($I$4:$I$1463),3)))</f>
        <v>0.23</v>
      </c>
      <c r="S1358" s="19" t="str">
        <f t="shared" si="113"/>
        <v>Complete</v>
      </c>
      <c r="T1358" s="1" t="str">
        <f>IF($C1358="","",TRIM(IF(COUNTIF($C$4:$C$1463,$C1358)&gt;1,"Dup name; ","")&amp;IF(AND($G1358&lt;&gt;"",$G1358&lt;55000),"Low CR - verify; ","")&amp;IF(AND($L1358&lt;&gt;"",$L1358&gt;15),"Secondary - verify; ","")&amp;IF($E1358="","No class; ","")))</f>
        <v/>
      </c>
      <c r="U1358" s="68"/>
      <c r="V1358" s="68"/>
      <c r="W1358" s="68"/>
      <c r="X1358" s="76">
        <f t="shared" si="107"/>
        <v>2450</v>
      </c>
      <c r="Y1358" s="1" t="str">
        <f t="shared" si="108"/>
        <v>VENGEANCE|74</v>
      </c>
      <c r="Z1358" s="19">
        <f>IF($C1358="","",IF($G1358="","",RANK($G1358,$G$4:$G$1463)+COUNTIF($G$4:$G1358,$G1358)-1))</f>
        <v>1254</v>
      </c>
      <c r="AA1358" s="19">
        <f>IF($C1358="","",IF($N1358="","",RANK($N1358,$N$4:$N$1463)+COUNTIF($N$4:$N1358,$N1358)-1))</f>
        <v>1139</v>
      </c>
      <c r="AB1358" s="1" t="str">
        <f>IF($C1358="","",IF($E1358="","",$E1358&amp;"#"&amp;(COUNTIFS($E$4:$E$1463,$E1358,$X$4:$X$1463,"&gt;"&amp;$X1358)+COUNTIFS($E$4:$E1358,$E1358,$X$4:$X1358,"="&amp;$X1358))))</f>
        <v>TEMPEST#45</v>
      </c>
      <c r="AC1358" s="1" t="str">
        <f>IF($C1358="","",$B1358&amp;"@"&amp;(COUNTIFS($B$4:$B$1463,$B1358,$C$4:$C$1463,"&lt;"&amp;$C1358)+COUNTIFS($B$4:$B1358,$B1358,$C$4:$C1358,$C1358)))</f>
        <v>VENGEANCE@96</v>
      </c>
      <c r="AD1358" s="1">
        <f t="shared" si="109"/>
        <v>1355</v>
      </c>
      <c r="AE1358" s="1" t="s">
        <v>2825</v>
      </c>
      <c r="AF1358" s="76">
        <f t="shared" si="110"/>
        <v>59722</v>
      </c>
      <c r="AG1358" s="77">
        <f t="shared" si="111"/>
        <v>4.45</v>
      </c>
      <c r="AH1358" s="1" t="str">
        <f>IF($C1358="","",$B1358&amp;"|"&amp;(COUNTIFS($B$4:$B$1463,$B1358,$AF$4:$AF$1463,"&gt;"&amp;$AF1358)+COUNTIFS($B$4:$B1358,$B1358,$AF$4:$AF1358,"="&amp;$AF1358)))</f>
        <v>VENGEANCE|90</v>
      </c>
      <c r="AI1358" s="1" t="str">
        <f>IF($C1358="","",$B1358&amp;"|"&amp;(COUNTIFS($B$4:$B$1463,$B1358,$AG$4:$AG$1463,"&gt;"&amp;$AG1358)+COUNTIFS($B$4:$B1358,$B1358,$AG$4:$AG1358,"="&amp;$AG1358)))</f>
        <v>VENGEANCE|55</v>
      </c>
    </row>
    <row r="1359" spans="1:35" hidden="1">
      <c r="A1359" s="69" t="s">
        <v>109</v>
      </c>
      <c r="B1359" s="69" t="s">
        <v>117</v>
      </c>
      <c r="C1359" s="79" t="s">
        <v>2826</v>
      </c>
      <c r="D1359" s="69"/>
      <c r="E1359" s="68" t="s">
        <v>77</v>
      </c>
      <c r="F1359" s="15" t="str">
        <f>IF($C1359="","",IF($E1359="","-",IFERROR(INDEX(SETUP!$B$55:$B$64,MATCH($E1359,SETUP!$A$55:$A$64,0)),"Other")))</f>
        <v>Control</v>
      </c>
      <c r="G1359" s="70">
        <v>55058</v>
      </c>
      <c r="H1359" s="15" t="str">
        <f>IF($C1359="","",IF($G1359="","-",INDEX(SETUP!$B$26:$B$32,MATCH($G1359,SETUP!$A$26:$A$32,1))))</f>
        <v>Under 58,000</v>
      </c>
      <c r="I1359" s="70">
        <v>1395</v>
      </c>
      <c r="J1359" s="15" t="str">
        <f>IF($C1359="","",IF($I1359="","-",INDEX(SETUP!$B$16:$B$22,MATCH($I1359,SETUP!$A$16:$A$22,1))))</f>
        <v>ROOKIE</v>
      </c>
      <c r="K1359" s="15" t="str">
        <f t="shared" si="112"/>
        <v>1,000 - 1,999</v>
      </c>
      <c r="L1359" s="71">
        <v>4.2</v>
      </c>
      <c r="M1359" s="15" t="str">
        <f>IF($C1359="","",IF($L1359="","-",INDEX(SETUP!$B$36:$B$42,MATCH($L1359,SETUP!$A$36:$A$42,1))))</f>
        <v>4k - 5k</v>
      </c>
      <c r="N1359" s="17">
        <f>IF($C1359="","",IF(OR($G1359="",$I1359=""),"",ROUND(100*(SETUP!$B$4*MIN(1,$I1359/SETUP!$B$9)+SETUP!$B$5*MAX(0,MIN(1,($G1359-SETUP!$B$10)/(SETUP!$B$11-SETUP!$B$10)))+SETUP!$B$6*MIN(1,IF($L1359="",0,$L1359)/SETUP!$B$12)),1)))</f>
        <v>13.2</v>
      </c>
      <c r="O1359" s="15" t="str">
        <f>IF($C1359="","",IF($N1359="","-",INDEX(SETUP!$B$46:$B$51,MATCH($N1359,SETUP!$A$46:$A$51,1))))</f>
        <v>D</v>
      </c>
      <c r="P1359" s="15">
        <f>IF($C1359="","",IF($I1359="","",RANK($I1359,$I$4:$I$1463)+COUNTIF($I$4:$I1359,$I1359)-1))</f>
        <v>1216</v>
      </c>
      <c r="Q1359" s="15">
        <f>IF($C1359="","",COUNTIFS($B$4:$B$1463,$B1359,$X$4:$X$1463,"&gt;"&amp;$X1359)+COUNTIFS($B$4:$B1359,$B1359,$X$4:$X1359,"="&amp;$X1359))</f>
        <v>73</v>
      </c>
      <c r="R1359" s="72">
        <f>IF($C1359="","",IF($I1359="","",ROUND(COUNTIF($I$4:$I$1463,"&lt;"&amp;$I1359)/COUNT($I$4:$I$1463),3)))</f>
        <v>8.2000000000000003E-2</v>
      </c>
      <c r="S1359" s="15" t="str">
        <f t="shared" si="113"/>
        <v>Complete</v>
      </c>
      <c r="T1359" s="41" t="str">
        <f>IF($C1359="","",TRIM(IF(COUNTIF($C$4:$C$1463,$C1359)&gt;1,"Dup name; ","")&amp;IF(AND($G1359&lt;&gt;"",$G1359&lt;55000),"Low CR - verify; ","")&amp;IF(AND($L1359&lt;&gt;"",$L1359&gt;15),"Secondary - verify; ","")&amp;IF($E1359="","No class; ","")))</f>
        <v/>
      </c>
      <c r="U1359" s="68"/>
      <c r="V1359" s="68"/>
      <c r="W1359" s="68"/>
      <c r="X1359" s="73">
        <f t="shared" si="107"/>
        <v>1395</v>
      </c>
      <c r="Y1359" s="41" t="str">
        <f t="shared" si="108"/>
        <v>VENDETTA|73</v>
      </c>
      <c r="Z1359" s="15">
        <f>IF($C1359="","",IF($G1359="","",RANK($G1359,$G$4:$G$1463)+COUNTIF($G$4:$G1359,$G1359)-1))</f>
        <v>1318</v>
      </c>
      <c r="AA1359" s="15">
        <f>IF($C1359="","",IF($N1359="","",RANK($N1359,$N$4:$N$1463)+COUNTIF($N$4:$N1359,$N1359)-1))</f>
        <v>1314</v>
      </c>
      <c r="AB1359" s="41" t="str">
        <f>IF($C1359="","",IF($E1359="","",$E1359&amp;"#"&amp;(COUNTIFS($E$4:$E$1463,$E1359,$X$4:$X$1463,"&gt;"&amp;$X1359)+COUNTIFS($E$4:$E1359,$E1359,$X$4:$X1359,"="&amp;$X1359))))</f>
        <v>NECROMANCER#92</v>
      </c>
      <c r="AC1359" s="41" t="str">
        <f>IF($C1359="","",$B1359&amp;"@"&amp;(COUNTIFS($B$4:$B$1463,$B1359,$C$4:$C$1463,"&lt;"&amp;$C1359)+COUNTIFS($B$4:$B1359,$B1359,$C$4:$C1359,$C1359)))</f>
        <v>VENDETTA@93</v>
      </c>
      <c r="AD1359" s="41">
        <f t="shared" si="109"/>
        <v>1356</v>
      </c>
      <c r="AE1359" s="41" t="s">
        <v>2827</v>
      </c>
      <c r="AF1359" s="73">
        <f t="shared" si="110"/>
        <v>55058</v>
      </c>
      <c r="AG1359" s="74">
        <f t="shared" si="111"/>
        <v>4.2</v>
      </c>
      <c r="AH1359" s="41" t="str">
        <f>IF($C1359="","",$B1359&amp;"|"&amp;(COUNTIFS($B$4:$B$1463,$B1359,$AF$4:$AF$1463,"&gt;"&amp;$AF1359)+COUNTIFS($B$4:$B1359,$B1359,$AF$4:$AF1359,"="&amp;$AF1359)))</f>
        <v>VENDETTA|93</v>
      </c>
      <c r="AI1359" s="41" t="str">
        <f>IF($C1359="","",$B1359&amp;"|"&amp;(COUNTIFS($B$4:$B$1463,$B1359,$AG$4:$AG$1463,"&gt;"&amp;$AG1359)+COUNTIFS($B$4:$B1359,$B1359,$AG$4:$AG1359,"="&amp;$AG1359)))</f>
        <v>VENDETTA|30</v>
      </c>
    </row>
    <row r="1360" spans="1:35" hidden="1">
      <c r="A1360" s="69" t="s">
        <v>109</v>
      </c>
      <c r="B1360" s="69" t="s">
        <v>117</v>
      </c>
      <c r="C1360" s="79" t="s">
        <v>2828</v>
      </c>
      <c r="D1360" s="69"/>
      <c r="E1360" s="68" t="s">
        <v>73</v>
      </c>
      <c r="F1360" s="19" t="str">
        <f>IF($C1360="","",IF($E1360="","-",IFERROR(INDEX(SETUP!$B$55:$B$64,MATCH($E1360,SETUP!$A$55:$A$64,0)),"Other")))</f>
        <v>Frontline</v>
      </c>
      <c r="G1360" s="70">
        <v>60804</v>
      </c>
      <c r="H1360" s="19" t="str">
        <f>IF($C1360="","",IF($G1360="","-",INDEX(SETUP!$B$26:$B$32,MATCH($G1360,SETUP!$A$26:$A$32,1))))</f>
        <v>60,000 - 60,999</v>
      </c>
      <c r="I1360" s="70">
        <v>1610</v>
      </c>
      <c r="J1360" s="19" t="str">
        <f>IF($C1360="","",IF($I1360="","-",INDEX(SETUP!$B$16:$B$22,MATCH($I1360,SETUP!$A$16:$A$22,1))))</f>
        <v>ROOKIE</v>
      </c>
      <c r="K1360" s="19" t="str">
        <f t="shared" si="112"/>
        <v>1,000 - 1,999</v>
      </c>
      <c r="L1360" s="71">
        <v>3.2</v>
      </c>
      <c r="M1360" s="19" t="str">
        <f>IF($C1360="","",IF($L1360="","-",INDEX(SETUP!$B$36:$B$42,MATCH($L1360,SETUP!$A$36:$A$42,1))))</f>
        <v>3k - 4k</v>
      </c>
      <c r="N1360" s="21">
        <f>IF($C1360="","",IF(OR($G1360="",$I1360=""),"",ROUND(100*(SETUP!$B$4*MIN(1,$I1360/SETUP!$B$9)+SETUP!$B$5*MAX(0,MIN(1,($G1360-SETUP!$B$10)/(SETUP!$B$11-SETUP!$B$10)))+SETUP!$B$6*MIN(1,IF($L1360="",0,$L1360)/SETUP!$B$12)),1)))</f>
        <v>27.6</v>
      </c>
      <c r="O1360" s="19" t="str">
        <f>IF($C1360="","",IF($N1360="","-",INDEX(SETUP!$B$46:$B$51,MATCH($N1360,SETUP!$A$46:$A$51,1))))</f>
        <v>C</v>
      </c>
      <c r="P1360" s="19">
        <f>IF($C1360="","",IF($I1360="","",RANK($I1360,$I$4:$I$1463)+COUNTIF($I$4:$I1360,$I1360)-1))</f>
        <v>1175</v>
      </c>
      <c r="Q1360" s="19">
        <f>IF($C1360="","",COUNTIFS($B$4:$B$1463,$B1360,$X$4:$X$1463,"&gt;"&amp;$X1360)+COUNTIFS($B$4:$B1360,$B1360,$X$4:$X1360,"="&amp;$X1360))</f>
        <v>60</v>
      </c>
      <c r="R1360" s="75">
        <f>IF($C1360="","",IF($I1360="","",ROUND(COUNTIF($I$4:$I$1463,"&lt;"&amp;$I1360)/COUNT($I$4:$I$1463),3)))</f>
        <v>0.113</v>
      </c>
      <c r="S1360" s="19" t="str">
        <f t="shared" si="113"/>
        <v>Complete</v>
      </c>
      <c r="T1360" s="1" t="str">
        <f>IF($C1360="","",TRIM(IF(COUNTIF($C$4:$C$1463,$C1360)&gt;1,"Dup name; ","")&amp;IF(AND($G1360&lt;&gt;"",$G1360&lt;55000),"Low CR - verify; ","")&amp;IF(AND($L1360&lt;&gt;"",$L1360&gt;15),"Secondary - verify; ","")&amp;IF($E1360="","No class; ","")))</f>
        <v/>
      </c>
      <c r="U1360" s="68"/>
      <c r="V1360" s="68"/>
      <c r="W1360" s="68"/>
      <c r="X1360" s="76">
        <f t="shared" si="107"/>
        <v>1610</v>
      </c>
      <c r="Y1360" s="1" t="str">
        <f t="shared" si="108"/>
        <v>VENDETTA|60</v>
      </c>
      <c r="Z1360" s="19">
        <f>IF($C1360="","",IF($G1360="","",RANK($G1360,$G$4:$G$1463)+COUNTIF($G$4:$G1360,$G1360)-1))</f>
        <v>1172</v>
      </c>
      <c r="AA1360" s="19">
        <f>IF($C1360="","",IF($N1360="","",RANK($N1360,$N$4:$N$1463)+COUNTIF($N$4:$N1360,$N1360)-1))</f>
        <v>1200</v>
      </c>
      <c r="AB1360" s="1" t="str">
        <f>IF($C1360="","",IF($E1360="","",$E1360&amp;"#"&amp;(COUNTIFS($E$4:$E$1463,$E1360,$X$4:$X$1463,"&gt;"&amp;$X1360)+COUNTIFS($E$4:$E1360,$E1360,$X$4:$X1360,"="&amp;$X1360))))</f>
        <v>CRUSADER#116</v>
      </c>
      <c r="AC1360" s="1" t="str">
        <f>IF($C1360="","",$B1360&amp;"@"&amp;(COUNTIFS($B$4:$B$1463,$B1360,$C$4:$C$1463,"&lt;"&amp;$C1360)+COUNTIFS($B$4:$B1360,$B1360,$C$4:$C1360,$C1360)))</f>
        <v>VENDETTA@94</v>
      </c>
      <c r="AD1360" s="1">
        <f t="shared" si="109"/>
        <v>1357</v>
      </c>
      <c r="AE1360" s="1" t="s">
        <v>1160</v>
      </c>
      <c r="AF1360" s="76">
        <f t="shared" si="110"/>
        <v>60804</v>
      </c>
      <c r="AG1360" s="77">
        <f t="shared" si="111"/>
        <v>3.2</v>
      </c>
      <c r="AH1360" s="1" t="str">
        <f>IF($C1360="","",$B1360&amp;"|"&amp;(COUNTIFS($B$4:$B$1463,$B1360,$AF$4:$AF$1463,"&gt;"&amp;$AF1360)+COUNTIFS($B$4:$B1360,$B1360,$AF$4:$AF1360,"="&amp;$AF1360)))</f>
        <v>VENDETTA|72</v>
      </c>
      <c r="AI1360" s="1" t="str">
        <f>IF($C1360="","",$B1360&amp;"|"&amp;(COUNTIFS($B$4:$B$1463,$B1360,$AG$4:$AG$1463,"&gt;"&amp;$AG1360)+COUNTIFS($B$4:$B1360,$B1360,$AG$4:$AG1360,"="&amp;$AG1360)))</f>
        <v>VENDETTA|71</v>
      </c>
    </row>
    <row r="1361" spans="1:35" hidden="1">
      <c r="A1361" s="69" t="s">
        <v>109</v>
      </c>
      <c r="B1361" s="69" t="s">
        <v>112</v>
      </c>
      <c r="C1361" s="79" t="s">
        <v>2829</v>
      </c>
      <c r="D1361" s="69" t="s">
        <v>567</v>
      </c>
      <c r="E1361" s="68" t="s">
        <v>80</v>
      </c>
      <c r="F1361" s="15" t="str">
        <f>IF($C1361="","",IF($E1361="","-",IFERROR(INDEX(SETUP!$B$55:$B$64,MATCH($E1361,SETUP!$A$55:$A$64,0)),"Other")))</f>
        <v>Ranged DPS</v>
      </c>
      <c r="G1361" s="70">
        <v>61941</v>
      </c>
      <c r="H1361" s="15" t="str">
        <f>IF($C1361="","",IF($G1361="","-",INDEX(SETUP!$B$26:$B$32,MATCH($G1361,SETUP!$A$26:$A$32,1))))</f>
        <v>61,000 - 61,999</v>
      </c>
      <c r="I1361" s="70">
        <v>3333</v>
      </c>
      <c r="J1361" s="15" t="str">
        <f>IF($C1361="","",IF($I1361="","-",INDEX(SETUP!$B$16:$B$22,MATCH($I1361,SETUP!$A$16:$A$22,1))))</f>
        <v>DEVELOPING</v>
      </c>
      <c r="K1361" s="15" t="str">
        <f t="shared" si="112"/>
        <v>3,000 - 3,999</v>
      </c>
      <c r="L1361" s="71">
        <v>7.1</v>
      </c>
      <c r="M1361" s="15" t="str">
        <f>IF($C1361="","",IF($L1361="","-",INDEX(SETUP!$B$36:$B$42,MATCH($L1361,SETUP!$A$36:$A$42,1))))</f>
        <v>6k - 8k</v>
      </c>
      <c r="N1361" s="17">
        <f>IF($C1361="","",IF(OR($G1361="",$I1361=""),"",ROUND(100*(SETUP!$B$4*MIN(1,$I1361/SETUP!$B$9)+SETUP!$B$5*MAX(0,MIN(1,($G1361-SETUP!$B$10)/(SETUP!$B$11-SETUP!$B$10)))+SETUP!$B$6*MIN(1,IF($L1361="",0,$L1361)/SETUP!$B$12)),1)))</f>
        <v>44.6</v>
      </c>
      <c r="O1361" s="15" t="str">
        <f>IF($C1361="","",IF($N1361="","-",INDEX(SETUP!$B$46:$B$51,MATCH($N1361,SETUP!$A$46:$A$51,1))))</f>
        <v>B</v>
      </c>
      <c r="P1361" s="15">
        <f>IF($C1361="","",IF($I1361="","",RANK($I1361,$I$4:$I$1463)+COUNTIF($I$4:$I1361,$I1361)-1))</f>
        <v>777</v>
      </c>
      <c r="Q1361" s="15">
        <f>IF($C1361="","",COUNTIFS($B$4:$B$1463,$B1361,$X$4:$X$1463,"&gt;"&amp;$X1361)+COUNTIFS($B$4:$B1361,$B1361,$X$4:$X1361,"="&amp;$X1361))</f>
        <v>59</v>
      </c>
      <c r="R1361" s="72">
        <f>IF($C1361="","",IF($I1361="","",ROUND(COUNTIF($I$4:$I$1463,"&lt;"&amp;$I1361)/COUNT($I$4:$I$1463),3)))</f>
        <v>0.41399999999999998</v>
      </c>
      <c r="S1361" s="15" t="str">
        <f t="shared" si="113"/>
        <v>Complete</v>
      </c>
      <c r="T1361" s="41" t="str">
        <f>IF($C1361="","",TRIM(IF(COUNTIF($C$4:$C$1463,$C1361)&gt;1,"Dup name; ","")&amp;IF(AND($G1361&lt;&gt;"",$G1361&lt;55000),"Low CR - verify; ","")&amp;IF(AND($L1361&lt;&gt;"",$L1361&gt;15),"Secondary - verify; ","")&amp;IF($E1361="","No class; ","")))</f>
        <v/>
      </c>
      <c r="U1361" s="68"/>
      <c r="V1361" s="68"/>
      <c r="W1361" s="68"/>
      <c r="X1361" s="73">
        <f t="shared" si="107"/>
        <v>3333</v>
      </c>
      <c r="Y1361" s="41" t="str">
        <f t="shared" si="108"/>
        <v>ACHERON|59</v>
      </c>
      <c r="Z1361" s="15">
        <f>IF($C1361="","",IF($G1361="","",RANK($G1361,$G$4:$G$1463)+COUNTIF($G$4:$G1361,$G1361)-1))</f>
        <v>854</v>
      </c>
      <c r="AA1361" s="15">
        <f>IF($C1361="","",IF($N1361="","",RANK($N1361,$N$4:$N$1463)+COUNTIF($N$4:$N1361,$N1361)-1))</f>
        <v>639</v>
      </c>
      <c r="AB1361" s="41" t="str">
        <f>IF($C1361="","",IF($E1361="","",$E1361&amp;"#"&amp;(COUNTIFS($E$4:$E$1463,$E1361,$X$4:$X$1463,"&gt;"&amp;$X1361)+COUNTIFS($E$4:$E1361,$E1361,$X$4:$X1361,"="&amp;$X1361))))</f>
        <v>WIZARD#58</v>
      </c>
      <c r="AC1361" s="41" t="str">
        <f>IF($C1361="","",$B1361&amp;"@"&amp;(COUNTIFS($B$4:$B$1463,$B1361,$C$4:$C$1463,"&lt;"&amp;$C1361)+COUNTIFS($B$4:$B1361,$B1361,$C$4:$C1361,$C1361)))</f>
        <v>ACHERON@96</v>
      </c>
      <c r="AD1361" s="41">
        <f t="shared" si="109"/>
        <v>1358</v>
      </c>
      <c r="AE1361" s="41" t="s">
        <v>2830</v>
      </c>
      <c r="AF1361" s="73">
        <f t="shared" si="110"/>
        <v>61941</v>
      </c>
      <c r="AG1361" s="74">
        <f t="shared" si="111"/>
        <v>7.1</v>
      </c>
      <c r="AH1361" s="41" t="str">
        <f>IF($C1361="","",$B1361&amp;"|"&amp;(COUNTIFS($B$4:$B$1463,$B1361,$AF$4:$AF$1463,"&gt;"&amp;$AF1361)+COUNTIFS($B$4:$B1361,$B1361,$AF$4:$AF1361,"="&amp;$AF1361)))</f>
        <v>ACHERON|68</v>
      </c>
      <c r="AI1361" s="41" t="str">
        <f>IF($C1361="","",$B1361&amp;"|"&amp;(COUNTIFS($B$4:$B$1463,$B1361,$AG$4:$AG$1463,"&gt;"&amp;$AG1361)+COUNTIFS($B$4:$B1361,$B1361,$AG$4:$AG1361,"="&amp;$AG1361)))</f>
        <v>ACHERON|9</v>
      </c>
    </row>
    <row r="1362" spans="1:35" hidden="1">
      <c r="A1362" s="69" t="s">
        <v>109</v>
      </c>
      <c r="B1362" s="69" t="s">
        <v>111</v>
      </c>
      <c r="C1362" s="79" t="s">
        <v>2831</v>
      </c>
      <c r="D1362" s="69" t="s">
        <v>527</v>
      </c>
      <c r="E1362" s="68" t="s">
        <v>78</v>
      </c>
      <c r="F1362" s="19" t="str">
        <f>IF($C1362="","",IF($E1362="","-",IFERROR(INDEX(SETUP!$B$55:$B$64,MATCH($E1362,SETUP!$A$55:$A$64,0)),"Other")))</f>
        <v>Melee DPS</v>
      </c>
      <c r="G1362" s="70">
        <v>60078</v>
      </c>
      <c r="H1362" s="19" t="str">
        <f>IF($C1362="","",IF($G1362="","-",INDEX(SETUP!$B$26:$B$32,MATCH($G1362,SETUP!$A$26:$A$32,1))))</f>
        <v>60,000 - 60,999</v>
      </c>
      <c r="I1362" s="70">
        <v>5574</v>
      </c>
      <c r="J1362" s="19" t="str">
        <f>IF($C1362="","",IF($I1362="","-",INDEX(SETUP!$B$16:$B$22,MATCH($I1362,SETUP!$A$16:$A$22,1))))</f>
        <v>CORE</v>
      </c>
      <c r="K1362" s="19" t="str">
        <f t="shared" si="112"/>
        <v>5,000 - 5,999</v>
      </c>
      <c r="L1362" s="71">
        <v>5</v>
      </c>
      <c r="M1362" s="19" t="str">
        <f>IF($C1362="","",IF($L1362="","-",INDEX(SETUP!$B$36:$B$42,MATCH($L1362,SETUP!$A$36:$A$42,1))))</f>
        <v>5k - 6k</v>
      </c>
      <c r="N1362" s="21">
        <f>IF($C1362="","",IF(OR($G1362="",$I1362=""),"",ROUND(100*(SETUP!$B$4*MIN(1,$I1362/SETUP!$B$9)+SETUP!$B$5*MAX(0,MIN(1,($G1362-SETUP!$B$10)/(SETUP!$B$11-SETUP!$B$10)))+SETUP!$B$6*MIN(1,IF($L1362="",0,$L1362)/SETUP!$B$12)),1)))</f>
        <v>46</v>
      </c>
      <c r="O1362" s="19" t="str">
        <f>IF($C1362="","",IF($N1362="","-",INDEX(SETUP!$B$46:$B$51,MATCH($N1362,SETUP!$A$46:$A$51,1))))</f>
        <v>B</v>
      </c>
      <c r="P1362" s="19">
        <f>IF($C1362="","",IF($I1362="","",RANK($I1362,$I$4:$I$1463)+COUNTIF($I$4:$I1362,$I1362)-1))</f>
        <v>327</v>
      </c>
      <c r="Q1362" s="19">
        <f>IF($C1362="","",COUNTIFS($B$4:$B$1463,$B1362,$X$4:$X$1463,"&gt;"&amp;$X1362)+COUNTIFS($B$4:$B1362,$B1362,$X$4:$X1362,"="&amp;$X1362))</f>
        <v>36</v>
      </c>
      <c r="R1362" s="75">
        <f>IF($C1362="","",IF($I1362="","",ROUND(COUNTIF($I$4:$I$1463,"&lt;"&amp;$I1362)/COUNT($I$4:$I$1463),3)))</f>
        <v>0.753</v>
      </c>
      <c r="S1362" s="19" t="str">
        <f t="shared" si="113"/>
        <v>Complete</v>
      </c>
      <c r="T1362" s="1" t="str">
        <f>IF($C1362="","",TRIM(IF(COUNTIF($C$4:$C$1463,$C1362)&gt;1,"Dup name; ","")&amp;IF(AND($G1362&lt;&gt;"",$G1362&lt;55000),"Low CR - verify; ","")&amp;IF(AND($L1362&lt;&gt;"",$L1362&gt;15),"Secondary - verify; ","")&amp;IF($E1362="","No class; ","")))</f>
        <v/>
      </c>
      <c r="U1362" s="68"/>
      <c r="V1362" s="68"/>
      <c r="W1362" s="68"/>
      <c r="X1362" s="76">
        <f t="shared" si="107"/>
        <v>5574</v>
      </c>
      <c r="Y1362" s="1" t="str">
        <f t="shared" si="108"/>
        <v>RECKONING|36</v>
      </c>
      <c r="Z1362" s="19">
        <f>IF($C1362="","",IF($G1362="","",RANK($G1362,$G$4:$G$1463)+COUNTIF($G$4:$G1362,$G1362)-1))</f>
        <v>1234</v>
      </c>
      <c r="AA1362" s="19">
        <f>IF($C1362="","",IF($N1362="","",RANK($N1362,$N$4:$N$1463)+COUNTIF($N$4:$N1362,$N1362)-1))</f>
        <v>592</v>
      </c>
      <c r="AB1362" s="1" t="str">
        <f>IF($C1362="","",IF($E1362="","",$E1362&amp;"#"&amp;(COUNTIFS($E$4:$E$1463,$E1362,$X$4:$X$1463,"&gt;"&amp;$X1362)+COUNTIFS($E$4:$E1362,$E1362,$X$4:$X1362,"="&amp;$X1362))))</f>
        <v>TEMPEST#10</v>
      </c>
      <c r="AC1362" s="1" t="str">
        <f>IF($C1362="","",$B1362&amp;"@"&amp;(COUNTIFS($B$4:$B$1463,$B1362,$C$4:$C$1463,"&lt;"&amp;$C1362)+COUNTIFS($B$4:$B1362,$B1362,$C$4:$C1362,$C1362)))</f>
        <v>RECKONING@97</v>
      </c>
      <c r="AD1362" s="1">
        <f t="shared" si="109"/>
        <v>1359</v>
      </c>
      <c r="AE1362" s="1" t="s">
        <v>2832</v>
      </c>
      <c r="AF1362" s="76">
        <f t="shared" si="110"/>
        <v>60078</v>
      </c>
      <c r="AG1362" s="77">
        <f t="shared" si="111"/>
        <v>5</v>
      </c>
      <c r="AH1362" s="1" t="str">
        <f>IF($C1362="","",$B1362&amp;"|"&amp;(COUNTIFS($B$4:$B$1463,$B1362,$AF$4:$AF$1463,"&gt;"&amp;$AF1362)+COUNTIFS($B$4:$B1362,$B1362,$AF$4:$AF1362,"="&amp;$AF1362)))</f>
        <v>RECKONING|95</v>
      </c>
      <c r="AI1362" s="1" t="str">
        <f>IF($C1362="","",$B1362&amp;"|"&amp;(COUNTIFS($B$4:$B$1463,$B1362,$AG$4:$AG$1463,"&gt;"&amp;$AG1362)+COUNTIFS($B$4:$B1362,$B1362,$AG$4:$AG1362,"="&amp;$AG1362)))</f>
        <v>RECKONING|70</v>
      </c>
    </row>
    <row r="1363" spans="1:35" hidden="1">
      <c r="A1363" s="69" t="s">
        <v>109</v>
      </c>
      <c r="B1363" s="69" t="s">
        <v>114</v>
      </c>
      <c r="C1363" s="79" t="s">
        <v>2833</v>
      </c>
      <c r="D1363" s="69"/>
      <c r="E1363" s="68" t="s">
        <v>74</v>
      </c>
      <c r="F1363" s="15" t="str">
        <f>IF($C1363="","",IF($E1363="","-",IFERROR(INDEX(SETUP!$B$55:$B$64,MATCH($E1363,SETUP!$A$55:$A$64,0)),"Other")))</f>
        <v>Ranged DPS</v>
      </c>
      <c r="G1363" s="70">
        <v>61159</v>
      </c>
      <c r="H1363" s="15" t="str">
        <f>IF($C1363="","",IF($G1363="","-",INDEX(SETUP!$B$26:$B$32,MATCH($G1363,SETUP!$A$26:$A$32,1))))</f>
        <v>61,000 - 61,999</v>
      </c>
      <c r="I1363" s="70">
        <v>4229</v>
      </c>
      <c r="J1363" s="15" t="str">
        <f>IF($C1363="","",IF($I1363="","-",INDEX(SETUP!$B$16:$B$22,MATCH($I1363,SETUP!$A$16:$A$22,1))))</f>
        <v>CORE</v>
      </c>
      <c r="K1363" s="15" t="str">
        <f t="shared" si="112"/>
        <v>4,000 - 4,999</v>
      </c>
      <c r="L1363" s="71">
        <v>5.25</v>
      </c>
      <c r="M1363" s="15" t="str">
        <f>IF($C1363="","",IF($L1363="","-",INDEX(SETUP!$B$36:$B$42,MATCH($L1363,SETUP!$A$36:$A$42,1))))</f>
        <v>5k - 6k</v>
      </c>
      <c r="N1363" s="17">
        <f>IF($C1363="","",IF(OR($G1363="",$I1363=""),"",ROUND(100*(SETUP!$B$4*MIN(1,$I1363/SETUP!$B$9)+SETUP!$B$5*MAX(0,MIN(1,($G1363-SETUP!$B$10)/(SETUP!$B$11-SETUP!$B$10)))+SETUP!$B$6*MIN(1,IF($L1363="",0,$L1363)/SETUP!$B$12)),1)))</f>
        <v>43.4</v>
      </c>
      <c r="O1363" s="15" t="str">
        <f>IF($C1363="","",IF($N1363="","-",INDEX(SETUP!$B$46:$B$51,MATCH($N1363,SETUP!$A$46:$A$51,1))))</f>
        <v>B</v>
      </c>
      <c r="P1363" s="15">
        <f>IF($C1363="","",IF($I1363="","",RANK($I1363,$I$4:$I$1463)+COUNTIF($I$4:$I1363,$I1363)-1))</f>
        <v>551</v>
      </c>
      <c r="Q1363" s="15">
        <f>IF($C1363="","",COUNTIFS($B$4:$B$1463,$B1363,$X$4:$X$1463,"&gt;"&amp;$X1363)+COUNTIFS($B$4:$B1363,$B1363,$X$4:$X1363,"="&amp;$X1363))</f>
        <v>11</v>
      </c>
      <c r="R1363" s="72">
        <f>IF($C1363="","",IF($I1363="","",ROUND(COUNTIF($I$4:$I$1463,"&lt;"&amp;$I1363)/COUNT($I$4:$I$1463),3)))</f>
        <v>0.58399999999999996</v>
      </c>
      <c r="S1363" s="15" t="str">
        <f t="shared" si="113"/>
        <v>Complete</v>
      </c>
      <c r="T1363" s="41" t="str">
        <f>IF($C1363="","",TRIM(IF(COUNTIF($C$4:$C$1463,$C1363)&gt;1,"Dup name; ","")&amp;IF(AND($G1363&lt;&gt;"",$G1363&lt;55000),"Low CR - verify; ","")&amp;IF(AND($L1363&lt;&gt;"",$L1363&gt;15),"Secondary - verify; ","")&amp;IF($E1363="","No class; ","")))</f>
        <v/>
      </c>
      <c r="U1363" s="68"/>
      <c r="V1363" s="68"/>
      <c r="W1363" s="68"/>
      <c r="X1363" s="73">
        <f t="shared" si="107"/>
        <v>4229</v>
      </c>
      <c r="Y1363" s="41" t="str">
        <f t="shared" si="108"/>
        <v>EMERALD LEAF TRIBE|11</v>
      </c>
      <c r="Z1363" s="15">
        <f>IF($C1363="","",IF($G1363="","",RANK($G1363,$G$4:$G$1463)+COUNTIF($G$4:$G1363,$G1363)-1))</f>
        <v>1106</v>
      </c>
      <c r="AA1363" s="15">
        <f>IF($C1363="","",IF($N1363="","",RANK($N1363,$N$4:$N$1463)+COUNTIF($N$4:$N1363,$N1363)-1))</f>
        <v>688</v>
      </c>
      <c r="AB1363" s="41" t="str">
        <f>IF($C1363="","",IF($E1363="","",$E1363&amp;"#"&amp;(COUNTIFS($E$4:$E$1463,$E1363,$X$4:$X$1463,"&gt;"&amp;$X1363)+COUNTIFS($E$4:$E1363,$E1363,$X$4:$X1363,"="&amp;$X1363))))</f>
        <v>DEMON HUNTER#89</v>
      </c>
      <c r="AC1363" s="41" t="str">
        <f>IF($C1363="","",$B1363&amp;"@"&amp;(COUNTIFS($B$4:$B$1463,$B1363,$C$4:$C$1463,"&lt;"&amp;$C1363)+COUNTIFS($B$4:$B1363,$B1363,$C$4:$C1363,$C1363)))</f>
        <v>EMERALD LEAF TRIBE@97</v>
      </c>
      <c r="AD1363" s="41">
        <f t="shared" si="109"/>
        <v>1360</v>
      </c>
      <c r="AE1363" s="41" t="s">
        <v>2834</v>
      </c>
      <c r="AF1363" s="73">
        <f t="shared" si="110"/>
        <v>61159</v>
      </c>
      <c r="AG1363" s="74">
        <f t="shared" si="111"/>
        <v>5.25</v>
      </c>
      <c r="AH1363" s="41" t="str">
        <f>IF($C1363="","",$B1363&amp;"|"&amp;(COUNTIFS($B$4:$B$1463,$B1363,$AF$4:$AF$1463,"&gt;"&amp;$AF1363)+COUNTIFS($B$4:$B1363,$B1363,$AF$4:$AF1363,"="&amp;$AF1363)))</f>
        <v>EMERALD LEAF TRIBE|53</v>
      </c>
      <c r="AI1363" s="41" t="str">
        <f>IF($C1363="","",$B1363&amp;"|"&amp;(COUNTIFS($B$4:$B$1463,$B1363,$AG$4:$AG$1463,"&gt;"&amp;$AG1363)+COUNTIFS($B$4:$B1363,$B1363,$AG$4:$AG1363,"="&amp;$AG1363)))</f>
        <v>EMERALD LEAF TRIBE|4</v>
      </c>
    </row>
    <row r="1364" spans="1:35" hidden="1">
      <c r="A1364" s="69"/>
      <c r="B1364" s="69"/>
      <c r="C1364" s="63"/>
      <c r="D1364" s="69"/>
      <c r="E1364" s="68"/>
      <c r="F1364" s="19" t="str">
        <f>IF($C1364="","",IF($E1364="","-",IFERROR(INDEX(SETUP!$B$55:$B$64,MATCH($E1364,SETUP!$A$55:$A$64,0)),"Other")))</f>
        <v/>
      </c>
      <c r="G1364" s="70"/>
      <c r="H1364" s="19" t="str">
        <f>IF($C1364="","",IF($G1364="","-",INDEX(SETUP!$B$26:$B$32,MATCH($G1364,SETUP!$A$26:$A$32,1))))</f>
        <v/>
      </c>
      <c r="I1364" s="70"/>
      <c r="J1364" s="19" t="str">
        <f>IF($C1364="","",IF($I1364="","-",INDEX(SETUP!$B$16:$B$22,MATCH($I1364,SETUP!$A$16:$A$22,1))))</f>
        <v/>
      </c>
      <c r="K1364" s="19" t="str">
        <f t="shared" si="112"/>
        <v/>
      </c>
      <c r="L1364" s="71"/>
      <c r="M1364" s="19" t="str">
        <f>IF($C1364="","",IF($L1364="","-",INDEX(SETUP!$B$36:$B$42,MATCH($L1364,SETUP!$A$36:$A$42,1))))</f>
        <v/>
      </c>
      <c r="N1364" s="21" t="str">
        <f>IF($C1364="","",IF(OR($G1364="",$I1364=""),"",ROUND(100*(SETUP!$B$4*MIN(1,$I1364/SETUP!$B$9)+SETUP!$B$5*MAX(0,MIN(1,($G1364-SETUP!$B$10)/(SETUP!$B$11-SETUP!$B$10)))+SETUP!$B$6*MIN(1,IF($L1364="",0,$L1364)/SETUP!$B$12)),1)))</f>
        <v/>
      </c>
      <c r="O1364" s="19" t="str">
        <f>IF($C1364="","",IF($N1364="","-",INDEX(SETUP!$B$46:$B$51,MATCH($N1364,SETUP!$A$46:$A$51,1))))</f>
        <v/>
      </c>
      <c r="P1364" s="19" t="str">
        <f>IF($C1364="","",IF($I1364="","",RANK($I1364,$I$4:$I$1463)+COUNTIF($I$4:$I1364,$I1364)-1))</f>
        <v/>
      </c>
      <c r="Q1364" s="19" t="str">
        <f>IF($C1364="","",COUNTIFS($B$4:$B$1463,$B1364,$X$4:$X$1463,"&gt;"&amp;$X1364)+COUNTIFS($B$4:$B1364,$B1364,$X$4:$X1364,"="&amp;$X1364))</f>
        <v/>
      </c>
      <c r="R1364" s="75" t="str">
        <f>IF($C1364="","",IF($I1364="","",ROUND(COUNTIF($I$4:$I$1463,"&lt;"&amp;$I1364)/COUNT($I$4:$I$1463),3)))</f>
        <v/>
      </c>
      <c r="S1364" s="19" t="str">
        <f t="shared" si="113"/>
        <v/>
      </c>
      <c r="T1364" s="1" t="str">
        <f>IF($C1364="","",TRIM(IF(COUNTIF($C$4:$C$1463,$C1364)&gt;1,"Dup name; ","")&amp;IF(AND($G1364&lt;&gt;"",$G1364&lt;55000),"Low CR - verify; ","")&amp;IF(AND($L1364&lt;&gt;"",$L1364&gt;15),"Secondary - verify; ","")&amp;IF($E1364="","No class; ","")))</f>
        <v/>
      </c>
      <c r="U1364" s="68"/>
      <c r="V1364" s="68"/>
      <c r="W1364" s="68"/>
      <c r="X1364" s="1" t="str">
        <f t="shared" si="107"/>
        <v/>
      </c>
      <c r="Y1364" s="1" t="str">
        <f t="shared" si="108"/>
        <v/>
      </c>
      <c r="Z1364" s="19" t="str">
        <f>IF($C1364="","",IF($G1364="","",RANK($G1364,$G$4:$G$1463)+COUNTIF($G$4:$G1364,$G1364)-1))</f>
        <v/>
      </c>
      <c r="AA1364" s="19" t="str">
        <f>IF($C1364="","",IF($N1364="","",RANK($N1364,$N$4:$N$1463)+COUNTIF($N$4:$N1364,$N1364)-1))</f>
        <v/>
      </c>
      <c r="AB1364" s="1" t="str">
        <f>IF($C1364="","",IF($E1364="","",$E1364&amp;"#"&amp;(COUNTIFS($E$4:$E$1463,$E1364,$X$4:$X$1463,"&gt;"&amp;$X1364)+COUNTIFS($E$4:$E1364,$E1364,$X$4:$X1364,"="&amp;$X1364))))</f>
        <v/>
      </c>
      <c r="AC1364" s="1" t="str">
        <f>IF($C1364="","",$B1364&amp;"@"&amp;(COUNTIFS($B$4:$B$1463,$B1364,$C$4:$C$1463,"&lt;"&amp;$C1364)+COUNTIFS($B$4:$B1364,$B1364,$C$4:$C1364,$C1364)))</f>
        <v/>
      </c>
      <c r="AD1364" s="1" t="str">
        <f t="shared" si="109"/>
        <v/>
      </c>
      <c r="AE1364" s="1"/>
      <c r="AF1364" s="1" t="str">
        <f t="shared" si="110"/>
        <v/>
      </c>
      <c r="AG1364" s="1" t="str">
        <f t="shared" si="111"/>
        <v/>
      </c>
      <c r="AH1364" s="1" t="str">
        <f>IF($C1364="","",$B1364&amp;"|"&amp;(COUNTIFS($B$4:$B$1463,$B1364,$AF$4:$AF$1463,"&gt;"&amp;$AF1364)+COUNTIFS($B$4:$B1364,$B1364,$AF$4:$AF1364,"="&amp;$AF1364)))</f>
        <v/>
      </c>
      <c r="AI1364" s="1" t="str">
        <f>IF($C1364="","",$B1364&amp;"|"&amp;(COUNTIFS($B$4:$B$1463,$B1364,$AG$4:$AG$1463,"&gt;"&amp;$AG1364)+COUNTIFS($B$4:$B1364,$B1364,$AG$4:$AG1364,"="&amp;$AG1364)))</f>
        <v/>
      </c>
    </row>
    <row r="1365" spans="1:35" hidden="1">
      <c r="A1365" s="69"/>
      <c r="B1365" s="69"/>
      <c r="C1365" s="63"/>
      <c r="D1365" s="69"/>
      <c r="E1365" s="68"/>
      <c r="F1365" s="15" t="str">
        <f>IF($C1365="","",IF($E1365="","-",IFERROR(INDEX(SETUP!$B$55:$B$64,MATCH($E1365,SETUP!$A$55:$A$64,0)),"Other")))</f>
        <v/>
      </c>
      <c r="G1365" s="70"/>
      <c r="H1365" s="15" t="str">
        <f>IF($C1365="","",IF($G1365="","-",INDEX(SETUP!$B$26:$B$32,MATCH($G1365,SETUP!$A$26:$A$32,1))))</f>
        <v/>
      </c>
      <c r="I1365" s="70"/>
      <c r="J1365" s="15" t="str">
        <f>IF($C1365="","",IF($I1365="","-",INDEX(SETUP!$B$16:$B$22,MATCH($I1365,SETUP!$A$16:$A$22,1))))</f>
        <v/>
      </c>
      <c r="K1365" s="15" t="str">
        <f t="shared" si="112"/>
        <v/>
      </c>
      <c r="L1365" s="71"/>
      <c r="M1365" s="15" t="str">
        <f>IF($C1365="","",IF($L1365="","-",INDEX(SETUP!$B$36:$B$42,MATCH($L1365,SETUP!$A$36:$A$42,1))))</f>
        <v/>
      </c>
      <c r="N1365" s="17" t="str">
        <f>IF($C1365="","",IF(OR($G1365="",$I1365=""),"",ROUND(100*(SETUP!$B$4*MIN(1,$I1365/SETUP!$B$9)+SETUP!$B$5*MAX(0,MIN(1,($G1365-SETUP!$B$10)/(SETUP!$B$11-SETUP!$B$10)))+SETUP!$B$6*MIN(1,IF($L1365="",0,$L1365)/SETUP!$B$12)),1)))</f>
        <v/>
      </c>
      <c r="O1365" s="15" t="str">
        <f>IF($C1365="","",IF($N1365="","-",INDEX(SETUP!$B$46:$B$51,MATCH($N1365,SETUP!$A$46:$A$51,1))))</f>
        <v/>
      </c>
      <c r="P1365" s="15" t="str">
        <f>IF($C1365="","",IF($I1365="","",RANK($I1365,$I$4:$I$1463)+COUNTIF($I$4:$I1365,$I1365)-1))</f>
        <v/>
      </c>
      <c r="Q1365" s="15" t="str">
        <f>IF($C1365="","",COUNTIFS($B$4:$B$1463,$B1365,$X$4:$X$1463,"&gt;"&amp;$X1365)+COUNTIFS($B$4:$B1365,$B1365,$X$4:$X1365,"="&amp;$X1365))</f>
        <v/>
      </c>
      <c r="R1365" s="72" t="str">
        <f>IF($C1365="","",IF($I1365="","",ROUND(COUNTIF($I$4:$I$1463,"&lt;"&amp;$I1365)/COUNT($I$4:$I$1463),3)))</f>
        <v/>
      </c>
      <c r="S1365" s="15" t="str">
        <f t="shared" si="113"/>
        <v/>
      </c>
      <c r="T1365" s="41" t="str">
        <f>IF($C1365="","",TRIM(IF(COUNTIF($C$4:$C$1463,$C1365)&gt;1,"Dup name; ","")&amp;IF(AND($G1365&lt;&gt;"",$G1365&lt;55000),"Low CR - verify; ","")&amp;IF(AND($L1365&lt;&gt;"",$L1365&gt;15),"Secondary - verify; ","")&amp;IF($E1365="","No class; ","")))</f>
        <v/>
      </c>
      <c r="U1365" s="68"/>
      <c r="V1365" s="68"/>
      <c r="W1365" s="68"/>
      <c r="X1365" s="41" t="str">
        <f t="shared" si="107"/>
        <v/>
      </c>
      <c r="Y1365" s="41" t="str">
        <f t="shared" si="108"/>
        <v/>
      </c>
      <c r="Z1365" s="15" t="str">
        <f>IF($C1365="","",IF($G1365="","",RANK($G1365,$G$4:$G$1463)+COUNTIF($G$4:$G1365,$G1365)-1))</f>
        <v/>
      </c>
      <c r="AA1365" s="15" t="str">
        <f>IF($C1365="","",IF($N1365="","",RANK($N1365,$N$4:$N$1463)+COUNTIF($N$4:$N1365,$N1365)-1))</f>
        <v/>
      </c>
      <c r="AB1365" s="41" t="str">
        <f>IF($C1365="","",IF($E1365="","",$E1365&amp;"#"&amp;(COUNTIFS($E$4:$E$1463,$E1365,$X$4:$X$1463,"&gt;"&amp;$X1365)+COUNTIFS($E$4:$E1365,$E1365,$X$4:$X1365,"="&amp;$X1365))))</f>
        <v/>
      </c>
      <c r="AC1365" s="41" t="str">
        <f>IF($C1365="","",$B1365&amp;"@"&amp;(COUNTIFS($B$4:$B$1463,$B1365,$C$4:$C$1463,"&lt;"&amp;$C1365)+COUNTIFS($B$4:$B1365,$B1365,$C$4:$C1365,$C1365)))</f>
        <v/>
      </c>
      <c r="AD1365" s="41" t="str">
        <f t="shared" si="109"/>
        <v/>
      </c>
      <c r="AE1365" s="41"/>
      <c r="AF1365" s="41" t="str">
        <f t="shared" si="110"/>
        <v/>
      </c>
      <c r="AG1365" s="41" t="str">
        <f t="shared" si="111"/>
        <v/>
      </c>
      <c r="AH1365" s="41" t="str">
        <f>IF($C1365="","",$B1365&amp;"|"&amp;(COUNTIFS($B$4:$B$1463,$B1365,$AF$4:$AF$1463,"&gt;"&amp;$AF1365)+COUNTIFS($B$4:$B1365,$B1365,$AF$4:$AF1365,"="&amp;$AF1365)))</f>
        <v/>
      </c>
      <c r="AI1365" s="41" t="str">
        <f>IF($C1365="","",$B1365&amp;"|"&amp;(COUNTIFS($B$4:$B$1463,$B1365,$AG$4:$AG$1463,"&gt;"&amp;$AG1365)+COUNTIFS($B$4:$B1365,$B1365,$AG$4:$AG1365,"="&amp;$AG1365)))</f>
        <v/>
      </c>
    </row>
    <row r="1366" spans="1:35" hidden="1">
      <c r="A1366" s="69"/>
      <c r="B1366" s="69"/>
      <c r="C1366" s="63"/>
      <c r="D1366" s="69"/>
      <c r="E1366" s="68"/>
      <c r="F1366" s="19" t="str">
        <f>IF($C1366="","",IF($E1366="","-",IFERROR(INDEX(SETUP!$B$55:$B$64,MATCH($E1366,SETUP!$A$55:$A$64,0)),"Other")))</f>
        <v/>
      </c>
      <c r="G1366" s="70"/>
      <c r="H1366" s="19" t="str">
        <f>IF($C1366="","",IF($G1366="","-",INDEX(SETUP!$B$26:$B$32,MATCH($G1366,SETUP!$A$26:$A$32,1))))</f>
        <v/>
      </c>
      <c r="I1366" s="70"/>
      <c r="J1366" s="19" t="str">
        <f>IF($C1366="","",IF($I1366="","-",INDEX(SETUP!$B$16:$B$22,MATCH($I1366,SETUP!$A$16:$A$22,1))))</f>
        <v/>
      </c>
      <c r="K1366" s="19" t="str">
        <f t="shared" si="112"/>
        <v/>
      </c>
      <c r="L1366" s="71"/>
      <c r="M1366" s="19" t="str">
        <f>IF($C1366="","",IF($L1366="","-",INDEX(SETUP!$B$36:$B$42,MATCH($L1366,SETUP!$A$36:$A$42,1))))</f>
        <v/>
      </c>
      <c r="N1366" s="21" t="str">
        <f>IF($C1366="","",IF(OR($G1366="",$I1366=""),"",ROUND(100*(SETUP!$B$4*MIN(1,$I1366/SETUP!$B$9)+SETUP!$B$5*MAX(0,MIN(1,($G1366-SETUP!$B$10)/(SETUP!$B$11-SETUP!$B$10)))+SETUP!$B$6*MIN(1,IF($L1366="",0,$L1366)/SETUP!$B$12)),1)))</f>
        <v/>
      </c>
      <c r="O1366" s="19" t="str">
        <f>IF($C1366="","",IF($N1366="","-",INDEX(SETUP!$B$46:$B$51,MATCH($N1366,SETUP!$A$46:$A$51,1))))</f>
        <v/>
      </c>
      <c r="P1366" s="19" t="str">
        <f>IF($C1366="","",IF($I1366="","",RANK($I1366,$I$4:$I$1463)+COUNTIF($I$4:$I1366,$I1366)-1))</f>
        <v/>
      </c>
      <c r="Q1366" s="19" t="str">
        <f>IF($C1366="","",COUNTIFS($B$4:$B$1463,$B1366,$X$4:$X$1463,"&gt;"&amp;$X1366)+COUNTIFS($B$4:$B1366,$B1366,$X$4:$X1366,"="&amp;$X1366))</f>
        <v/>
      </c>
      <c r="R1366" s="75" t="str">
        <f>IF($C1366="","",IF($I1366="","",ROUND(COUNTIF($I$4:$I$1463,"&lt;"&amp;$I1366)/COUNT($I$4:$I$1463),3)))</f>
        <v/>
      </c>
      <c r="S1366" s="19" t="str">
        <f t="shared" si="113"/>
        <v/>
      </c>
      <c r="T1366" s="1" t="str">
        <f>IF($C1366="","",TRIM(IF(COUNTIF($C$4:$C$1463,$C1366)&gt;1,"Dup name; ","")&amp;IF(AND($G1366&lt;&gt;"",$G1366&lt;55000),"Low CR - verify; ","")&amp;IF(AND($L1366&lt;&gt;"",$L1366&gt;15),"Secondary - verify; ","")&amp;IF($E1366="","No class; ","")))</f>
        <v/>
      </c>
      <c r="U1366" s="68"/>
      <c r="V1366" s="68"/>
      <c r="W1366" s="68"/>
      <c r="X1366" s="1" t="str">
        <f t="shared" si="107"/>
        <v/>
      </c>
      <c r="Y1366" s="1" t="str">
        <f t="shared" si="108"/>
        <v/>
      </c>
      <c r="Z1366" s="19" t="str">
        <f>IF($C1366="","",IF($G1366="","",RANK($G1366,$G$4:$G$1463)+COUNTIF($G$4:$G1366,$G1366)-1))</f>
        <v/>
      </c>
      <c r="AA1366" s="19" t="str">
        <f>IF($C1366="","",IF($N1366="","",RANK($N1366,$N$4:$N$1463)+COUNTIF($N$4:$N1366,$N1366)-1))</f>
        <v/>
      </c>
      <c r="AB1366" s="1" t="str">
        <f>IF($C1366="","",IF($E1366="","",$E1366&amp;"#"&amp;(COUNTIFS($E$4:$E$1463,$E1366,$X$4:$X$1463,"&gt;"&amp;$X1366)+COUNTIFS($E$4:$E1366,$E1366,$X$4:$X1366,"="&amp;$X1366))))</f>
        <v/>
      </c>
      <c r="AC1366" s="1" t="str">
        <f>IF($C1366="","",$B1366&amp;"@"&amp;(COUNTIFS($B$4:$B$1463,$B1366,$C$4:$C$1463,"&lt;"&amp;$C1366)+COUNTIFS($B$4:$B1366,$B1366,$C$4:$C1366,$C1366)))</f>
        <v/>
      </c>
      <c r="AD1366" s="1" t="str">
        <f t="shared" si="109"/>
        <v/>
      </c>
      <c r="AE1366" s="1"/>
      <c r="AF1366" s="1" t="str">
        <f t="shared" si="110"/>
        <v/>
      </c>
      <c r="AG1366" s="1" t="str">
        <f t="shared" si="111"/>
        <v/>
      </c>
      <c r="AH1366" s="1" t="str">
        <f>IF($C1366="","",$B1366&amp;"|"&amp;(COUNTIFS($B$4:$B$1463,$B1366,$AF$4:$AF$1463,"&gt;"&amp;$AF1366)+COUNTIFS($B$4:$B1366,$B1366,$AF$4:$AF1366,"="&amp;$AF1366)))</f>
        <v/>
      </c>
      <c r="AI1366" s="1" t="str">
        <f>IF($C1366="","",$B1366&amp;"|"&amp;(COUNTIFS($B$4:$B$1463,$B1366,$AG$4:$AG$1463,"&gt;"&amp;$AG1366)+COUNTIFS($B$4:$B1366,$B1366,$AG$4:$AG1366,"="&amp;$AG1366)))</f>
        <v/>
      </c>
    </row>
    <row r="1367" spans="1:35" hidden="1">
      <c r="A1367" s="69"/>
      <c r="B1367" s="69"/>
      <c r="C1367" s="63"/>
      <c r="D1367" s="69"/>
      <c r="E1367" s="68"/>
      <c r="F1367" s="15" t="str">
        <f>IF($C1367="","",IF($E1367="","-",IFERROR(INDEX(SETUP!$B$55:$B$64,MATCH($E1367,SETUP!$A$55:$A$64,0)),"Other")))</f>
        <v/>
      </c>
      <c r="G1367" s="70"/>
      <c r="H1367" s="15" t="str">
        <f>IF($C1367="","",IF($G1367="","-",INDEX(SETUP!$B$26:$B$32,MATCH($G1367,SETUP!$A$26:$A$32,1))))</f>
        <v/>
      </c>
      <c r="I1367" s="70"/>
      <c r="J1367" s="15" t="str">
        <f>IF($C1367="","",IF($I1367="","-",INDEX(SETUP!$B$16:$B$22,MATCH($I1367,SETUP!$A$16:$A$22,1))))</f>
        <v/>
      </c>
      <c r="K1367" s="15" t="str">
        <f t="shared" si="112"/>
        <v/>
      </c>
      <c r="L1367" s="71"/>
      <c r="M1367" s="15" t="str">
        <f>IF($C1367="","",IF($L1367="","-",INDEX(SETUP!$B$36:$B$42,MATCH($L1367,SETUP!$A$36:$A$42,1))))</f>
        <v/>
      </c>
      <c r="N1367" s="17" t="str">
        <f>IF($C1367="","",IF(OR($G1367="",$I1367=""),"",ROUND(100*(SETUP!$B$4*MIN(1,$I1367/SETUP!$B$9)+SETUP!$B$5*MAX(0,MIN(1,($G1367-SETUP!$B$10)/(SETUP!$B$11-SETUP!$B$10)))+SETUP!$B$6*MIN(1,IF($L1367="",0,$L1367)/SETUP!$B$12)),1)))</f>
        <v/>
      </c>
      <c r="O1367" s="15" t="str">
        <f>IF($C1367="","",IF($N1367="","-",INDEX(SETUP!$B$46:$B$51,MATCH($N1367,SETUP!$A$46:$A$51,1))))</f>
        <v/>
      </c>
      <c r="P1367" s="15" t="str">
        <f>IF($C1367="","",IF($I1367="","",RANK($I1367,$I$4:$I$1463)+COUNTIF($I$4:$I1367,$I1367)-1))</f>
        <v/>
      </c>
      <c r="Q1367" s="15" t="str">
        <f>IF($C1367="","",COUNTIFS($B$4:$B$1463,$B1367,$X$4:$X$1463,"&gt;"&amp;$X1367)+COUNTIFS($B$4:$B1367,$B1367,$X$4:$X1367,"="&amp;$X1367))</f>
        <v/>
      </c>
      <c r="R1367" s="72" t="str">
        <f>IF($C1367="","",IF($I1367="","",ROUND(COUNTIF($I$4:$I$1463,"&lt;"&amp;$I1367)/COUNT($I$4:$I$1463),3)))</f>
        <v/>
      </c>
      <c r="S1367" s="15" t="str">
        <f t="shared" si="113"/>
        <v/>
      </c>
      <c r="T1367" s="41" t="str">
        <f>IF($C1367="","",TRIM(IF(COUNTIF($C$4:$C$1463,$C1367)&gt;1,"Dup name; ","")&amp;IF(AND($G1367&lt;&gt;"",$G1367&lt;55000),"Low CR - verify; ","")&amp;IF(AND($L1367&lt;&gt;"",$L1367&gt;15),"Secondary - verify; ","")&amp;IF($E1367="","No class; ","")))</f>
        <v/>
      </c>
      <c r="U1367" s="68"/>
      <c r="V1367" s="68"/>
      <c r="W1367" s="68"/>
      <c r="X1367" s="41" t="str">
        <f t="shared" si="107"/>
        <v/>
      </c>
      <c r="Y1367" s="41" t="str">
        <f t="shared" si="108"/>
        <v/>
      </c>
      <c r="Z1367" s="15" t="str">
        <f>IF($C1367="","",IF($G1367="","",RANK($G1367,$G$4:$G$1463)+COUNTIF($G$4:$G1367,$G1367)-1))</f>
        <v/>
      </c>
      <c r="AA1367" s="15" t="str">
        <f>IF($C1367="","",IF($N1367="","",RANK($N1367,$N$4:$N$1463)+COUNTIF($N$4:$N1367,$N1367)-1))</f>
        <v/>
      </c>
      <c r="AB1367" s="41" t="str">
        <f>IF($C1367="","",IF($E1367="","",$E1367&amp;"#"&amp;(COUNTIFS($E$4:$E$1463,$E1367,$X$4:$X$1463,"&gt;"&amp;$X1367)+COUNTIFS($E$4:$E1367,$E1367,$X$4:$X1367,"="&amp;$X1367))))</f>
        <v/>
      </c>
      <c r="AC1367" s="41" t="str">
        <f>IF($C1367="","",$B1367&amp;"@"&amp;(COUNTIFS($B$4:$B$1463,$B1367,$C$4:$C$1463,"&lt;"&amp;$C1367)+COUNTIFS($B$4:$B1367,$B1367,$C$4:$C1367,$C1367)))</f>
        <v/>
      </c>
      <c r="AD1367" s="41" t="str">
        <f t="shared" si="109"/>
        <v/>
      </c>
      <c r="AE1367" s="41"/>
      <c r="AF1367" s="41" t="str">
        <f t="shared" si="110"/>
        <v/>
      </c>
      <c r="AG1367" s="41" t="str">
        <f t="shared" si="111"/>
        <v/>
      </c>
      <c r="AH1367" s="41" t="str">
        <f>IF($C1367="","",$B1367&amp;"|"&amp;(COUNTIFS($B$4:$B$1463,$B1367,$AF$4:$AF$1463,"&gt;"&amp;$AF1367)+COUNTIFS($B$4:$B1367,$B1367,$AF$4:$AF1367,"="&amp;$AF1367)))</f>
        <v/>
      </c>
      <c r="AI1367" s="41" t="str">
        <f>IF($C1367="","",$B1367&amp;"|"&amp;(COUNTIFS($B$4:$B$1463,$B1367,$AG$4:$AG$1463,"&gt;"&amp;$AG1367)+COUNTIFS($B$4:$B1367,$B1367,$AG$4:$AG1367,"="&amp;$AG1367)))</f>
        <v/>
      </c>
    </row>
    <row r="1368" spans="1:35" hidden="1">
      <c r="A1368" s="69"/>
      <c r="B1368" s="69"/>
      <c r="C1368" s="63"/>
      <c r="D1368" s="69"/>
      <c r="E1368" s="68"/>
      <c r="F1368" s="19" t="str">
        <f>IF($C1368="","",IF($E1368="","-",IFERROR(INDEX(SETUP!$B$55:$B$64,MATCH($E1368,SETUP!$A$55:$A$64,0)),"Other")))</f>
        <v/>
      </c>
      <c r="G1368" s="70"/>
      <c r="H1368" s="19" t="str">
        <f>IF($C1368="","",IF($G1368="","-",INDEX(SETUP!$B$26:$B$32,MATCH($G1368,SETUP!$A$26:$A$32,1))))</f>
        <v/>
      </c>
      <c r="I1368" s="70"/>
      <c r="J1368" s="19" t="str">
        <f>IF($C1368="","",IF($I1368="","-",INDEX(SETUP!$B$16:$B$22,MATCH($I1368,SETUP!$A$16:$A$22,1))))</f>
        <v/>
      </c>
      <c r="K1368" s="19" t="str">
        <f t="shared" si="112"/>
        <v/>
      </c>
      <c r="L1368" s="71"/>
      <c r="M1368" s="19" t="str">
        <f>IF($C1368="","",IF($L1368="","-",INDEX(SETUP!$B$36:$B$42,MATCH($L1368,SETUP!$A$36:$A$42,1))))</f>
        <v/>
      </c>
      <c r="N1368" s="21" t="str">
        <f>IF($C1368="","",IF(OR($G1368="",$I1368=""),"",ROUND(100*(SETUP!$B$4*MIN(1,$I1368/SETUP!$B$9)+SETUP!$B$5*MAX(0,MIN(1,($G1368-SETUP!$B$10)/(SETUP!$B$11-SETUP!$B$10)))+SETUP!$B$6*MIN(1,IF($L1368="",0,$L1368)/SETUP!$B$12)),1)))</f>
        <v/>
      </c>
      <c r="O1368" s="19" t="str">
        <f>IF($C1368="","",IF($N1368="","-",INDEX(SETUP!$B$46:$B$51,MATCH($N1368,SETUP!$A$46:$A$51,1))))</f>
        <v/>
      </c>
      <c r="P1368" s="19" t="str">
        <f>IF($C1368="","",IF($I1368="","",RANK($I1368,$I$4:$I$1463)+COUNTIF($I$4:$I1368,$I1368)-1))</f>
        <v/>
      </c>
      <c r="Q1368" s="19" t="str">
        <f>IF($C1368="","",COUNTIFS($B$4:$B$1463,$B1368,$X$4:$X$1463,"&gt;"&amp;$X1368)+COUNTIFS($B$4:$B1368,$B1368,$X$4:$X1368,"="&amp;$X1368))</f>
        <v/>
      </c>
      <c r="R1368" s="75" t="str">
        <f>IF($C1368="","",IF($I1368="","",ROUND(COUNTIF($I$4:$I$1463,"&lt;"&amp;$I1368)/COUNT($I$4:$I$1463),3)))</f>
        <v/>
      </c>
      <c r="S1368" s="19" t="str">
        <f t="shared" si="113"/>
        <v/>
      </c>
      <c r="T1368" s="1" t="str">
        <f>IF($C1368="","",TRIM(IF(COUNTIF($C$4:$C$1463,$C1368)&gt;1,"Dup name; ","")&amp;IF(AND($G1368&lt;&gt;"",$G1368&lt;55000),"Low CR - verify; ","")&amp;IF(AND($L1368&lt;&gt;"",$L1368&gt;15),"Secondary - verify; ","")&amp;IF($E1368="","No class; ","")))</f>
        <v/>
      </c>
      <c r="U1368" s="68"/>
      <c r="V1368" s="68"/>
      <c r="W1368" s="68"/>
      <c r="X1368" s="1" t="str">
        <f t="shared" si="107"/>
        <v/>
      </c>
      <c r="Y1368" s="1" t="str">
        <f t="shared" si="108"/>
        <v/>
      </c>
      <c r="Z1368" s="19" t="str">
        <f>IF($C1368="","",IF($G1368="","",RANK($G1368,$G$4:$G$1463)+COUNTIF($G$4:$G1368,$G1368)-1))</f>
        <v/>
      </c>
      <c r="AA1368" s="19" t="str">
        <f>IF($C1368="","",IF($N1368="","",RANK($N1368,$N$4:$N$1463)+COUNTIF($N$4:$N1368,$N1368)-1))</f>
        <v/>
      </c>
      <c r="AB1368" s="1" t="str">
        <f>IF($C1368="","",IF($E1368="","",$E1368&amp;"#"&amp;(COUNTIFS($E$4:$E$1463,$E1368,$X$4:$X$1463,"&gt;"&amp;$X1368)+COUNTIFS($E$4:$E1368,$E1368,$X$4:$X1368,"="&amp;$X1368))))</f>
        <v/>
      </c>
      <c r="AC1368" s="1" t="str">
        <f>IF($C1368="","",$B1368&amp;"@"&amp;(COUNTIFS($B$4:$B$1463,$B1368,$C$4:$C$1463,"&lt;"&amp;$C1368)+COUNTIFS($B$4:$B1368,$B1368,$C$4:$C1368,$C1368)))</f>
        <v/>
      </c>
      <c r="AD1368" s="1" t="str">
        <f t="shared" si="109"/>
        <v/>
      </c>
      <c r="AE1368" s="1"/>
      <c r="AF1368" s="1" t="str">
        <f t="shared" si="110"/>
        <v/>
      </c>
      <c r="AG1368" s="1" t="str">
        <f t="shared" si="111"/>
        <v/>
      </c>
      <c r="AH1368" s="1" t="str">
        <f>IF($C1368="","",$B1368&amp;"|"&amp;(COUNTIFS($B$4:$B$1463,$B1368,$AF$4:$AF$1463,"&gt;"&amp;$AF1368)+COUNTIFS($B$4:$B1368,$B1368,$AF$4:$AF1368,"="&amp;$AF1368)))</f>
        <v/>
      </c>
      <c r="AI1368" s="1" t="str">
        <f>IF($C1368="","",$B1368&amp;"|"&amp;(COUNTIFS($B$4:$B$1463,$B1368,$AG$4:$AG$1463,"&gt;"&amp;$AG1368)+COUNTIFS($B$4:$B1368,$B1368,$AG$4:$AG1368,"="&amp;$AG1368)))</f>
        <v/>
      </c>
    </row>
    <row r="1369" spans="1:35" hidden="1">
      <c r="A1369" s="69"/>
      <c r="B1369" s="69"/>
      <c r="C1369" s="63"/>
      <c r="D1369" s="69"/>
      <c r="E1369" s="68"/>
      <c r="F1369" s="15" t="str">
        <f>IF($C1369="","",IF($E1369="","-",IFERROR(INDEX(SETUP!$B$55:$B$64,MATCH($E1369,SETUP!$A$55:$A$64,0)),"Other")))</f>
        <v/>
      </c>
      <c r="G1369" s="70"/>
      <c r="H1369" s="15" t="str">
        <f>IF($C1369="","",IF($G1369="","-",INDEX(SETUP!$B$26:$B$32,MATCH($G1369,SETUP!$A$26:$A$32,1))))</f>
        <v/>
      </c>
      <c r="I1369" s="70"/>
      <c r="J1369" s="15" t="str">
        <f>IF($C1369="","",IF($I1369="","-",INDEX(SETUP!$B$16:$B$22,MATCH($I1369,SETUP!$A$16:$A$22,1))))</f>
        <v/>
      </c>
      <c r="K1369" s="15" t="str">
        <f t="shared" si="112"/>
        <v/>
      </c>
      <c r="L1369" s="71"/>
      <c r="M1369" s="15" t="str">
        <f>IF($C1369="","",IF($L1369="","-",INDEX(SETUP!$B$36:$B$42,MATCH($L1369,SETUP!$A$36:$A$42,1))))</f>
        <v/>
      </c>
      <c r="N1369" s="17" t="str">
        <f>IF($C1369="","",IF(OR($G1369="",$I1369=""),"",ROUND(100*(SETUP!$B$4*MIN(1,$I1369/SETUP!$B$9)+SETUP!$B$5*MAX(0,MIN(1,($G1369-SETUP!$B$10)/(SETUP!$B$11-SETUP!$B$10)))+SETUP!$B$6*MIN(1,IF($L1369="",0,$L1369)/SETUP!$B$12)),1)))</f>
        <v/>
      </c>
      <c r="O1369" s="15" t="str">
        <f>IF($C1369="","",IF($N1369="","-",INDEX(SETUP!$B$46:$B$51,MATCH($N1369,SETUP!$A$46:$A$51,1))))</f>
        <v/>
      </c>
      <c r="P1369" s="15" t="str">
        <f>IF($C1369="","",IF($I1369="","",RANK($I1369,$I$4:$I$1463)+COUNTIF($I$4:$I1369,$I1369)-1))</f>
        <v/>
      </c>
      <c r="Q1369" s="15" t="str">
        <f>IF($C1369="","",COUNTIFS($B$4:$B$1463,$B1369,$X$4:$X$1463,"&gt;"&amp;$X1369)+COUNTIFS($B$4:$B1369,$B1369,$X$4:$X1369,"="&amp;$X1369))</f>
        <v/>
      </c>
      <c r="R1369" s="72" t="str">
        <f>IF($C1369="","",IF($I1369="","",ROUND(COUNTIF($I$4:$I$1463,"&lt;"&amp;$I1369)/COUNT($I$4:$I$1463),3)))</f>
        <v/>
      </c>
      <c r="S1369" s="15" t="str">
        <f t="shared" si="113"/>
        <v/>
      </c>
      <c r="T1369" s="41" t="str">
        <f>IF($C1369="","",TRIM(IF(COUNTIF($C$4:$C$1463,$C1369)&gt;1,"Dup name; ","")&amp;IF(AND($G1369&lt;&gt;"",$G1369&lt;55000),"Low CR - verify; ","")&amp;IF(AND($L1369&lt;&gt;"",$L1369&gt;15),"Secondary - verify; ","")&amp;IF($E1369="","No class; ","")))</f>
        <v/>
      </c>
      <c r="U1369" s="68"/>
      <c r="V1369" s="68"/>
      <c r="W1369" s="68"/>
      <c r="X1369" s="41" t="str">
        <f t="shared" si="107"/>
        <v/>
      </c>
      <c r="Y1369" s="41" t="str">
        <f t="shared" si="108"/>
        <v/>
      </c>
      <c r="Z1369" s="15" t="str">
        <f>IF($C1369="","",IF($G1369="","",RANK($G1369,$G$4:$G$1463)+COUNTIF($G$4:$G1369,$G1369)-1))</f>
        <v/>
      </c>
      <c r="AA1369" s="15" t="str">
        <f>IF($C1369="","",IF($N1369="","",RANK($N1369,$N$4:$N$1463)+COUNTIF($N$4:$N1369,$N1369)-1))</f>
        <v/>
      </c>
      <c r="AB1369" s="41" t="str">
        <f>IF($C1369="","",IF($E1369="","",$E1369&amp;"#"&amp;(COUNTIFS($E$4:$E$1463,$E1369,$X$4:$X$1463,"&gt;"&amp;$X1369)+COUNTIFS($E$4:$E1369,$E1369,$X$4:$X1369,"="&amp;$X1369))))</f>
        <v/>
      </c>
      <c r="AC1369" s="41" t="str">
        <f>IF($C1369="","",$B1369&amp;"@"&amp;(COUNTIFS($B$4:$B$1463,$B1369,$C$4:$C$1463,"&lt;"&amp;$C1369)+COUNTIFS($B$4:$B1369,$B1369,$C$4:$C1369,$C1369)))</f>
        <v/>
      </c>
      <c r="AD1369" s="41" t="str">
        <f t="shared" si="109"/>
        <v/>
      </c>
      <c r="AE1369" s="41"/>
      <c r="AF1369" s="41" t="str">
        <f t="shared" si="110"/>
        <v/>
      </c>
      <c r="AG1369" s="41" t="str">
        <f t="shared" si="111"/>
        <v/>
      </c>
      <c r="AH1369" s="41" t="str">
        <f>IF($C1369="","",$B1369&amp;"|"&amp;(COUNTIFS($B$4:$B$1463,$B1369,$AF$4:$AF$1463,"&gt;"&amp;$AF1369)+COUNTIFS($B$4:$B1369,$B1369,$AF$4:$AF1369,"="&amp;$AF1369)))</f>
        <v/>
      </c>
      <c r="AI1369" s="41" t="str">
        <f>IF($C1369="","",$B1369&amp;"|"&amp;(COUNTIFS($B$4:$B$1463,$B1369,$AG$4:$AG$1463,"&gt;"&amp;$AG1369)+COUNTIFS($B$4:$B1369,$B1369,$AG$4:$AG1369,"="&amp;$AG1369)))</f>
        <v/>
      </c>
    </row>
    <row r="1370" spans="1:35" hidden="1">
      <c r="A1370" s="69"/>
      <c r="B1370" s="69"/>
      <c r="C1370" s="63"/>
      <c r="D1370" s="69"/>
      <c r="E1370" s="68"/>
      <c r="F1370" s="19" t="str">
        <f>IF($C1370="","",IF($E1370="","-",IFERROR(INDEX(SETUP!$B$55:$B$64,MATCH($E1370,SETUP!$A$55:$A$64,0)),"Other")))</f>
        <v/>
      </c>
      <c r="G1370" s="70"/>
      <c r="H1370" s="19" t="str">
        <f>IF($C1370="","",IF($G1370="","-",INDEX(SETUP!$B$26:$B$32,MATCH($G1370,SETUP!$A$26:$A$32,1))))</f>
        <v/>
      </c>
      <c r="I1370" s="70"/>
      <c r="J1370" s="19" t="str">
        <f>IF($C1370="","",IF($I1370="","-",INDEX(SETUP!$B$16:$B$22,MATCH($I1370,SETUP!$A$16:$A$22,1))))</f>
        <v/>
      </c>
      <c r="K1370" s="19" t="str">
        <f t="shared" si="112"/>
        <v/>
      </c>
      <c r="L1370" s="71"/>
      <c r="M1370" s="19" t="str">
        <f>IF($C1370="","",IF($L1370="","-",INDEX(SETUP!$B$36:$B$42,MATCH($L1370,SETUP!$A$36:$A$42,1))))</f>
        <v/>
      </c>
      <c r="N1370" s="21" t="str">
        <f>IF($C1370="","",IF(OR($G1370="",$I1370=""),"",ROUND(100*(SETUP!$B$4*MIN(1,$I1370/SETUP!$B$9)+SETUP!$B$5*MAX(0,MIN(1,($G1370-SETUP!$B$10)/(SETUP!$B$11-SETUP!$B$10)))+SETUP!$B$6*MIN(1,IF($L1370="",0,$L1370)/SETUP!$B$12)),1)))</f>
        <v/>
      </c>
      <c r="O1370" s="19" t="str">
        <f>IF($C1370="","",IF($N1370="","-",INDEX(SETUP!$B$46:$B$51,MATCH($N1370,SETUP!$A$46:$A$51,1))))</f>
        <v/>
      </c>
      <c r="P1370" s="19" t="str">
        <f>IF($C1370="","",IF($I1370="","",RANK($I1370,$I$4:$I$1463)+COUNTIF($I$4:$I1370,$I1370)-1))</f>
        <v/>
      </c>
      <c r="Q1370" s="19" t="str">
        <f>IF($C1370="","",COUNTIFS($B$4:$B$1463,$B1370,$X$4:$X$1463,"&gt;"&amp;$X1370)+COUNTIFS($B$4:$B1370,$B1370,$X$4:$X1370,"="&amp;$X1370))</f>
        <v/>
      </c>
      <c r="R1370" s="75" t="str">
        <f>IF($C1370="","",IF($I1370="","",ROUND(COUNTIF($I$4:$I$1463,"&lt;"&amp;$I1370)/COUNT($I$4:$I$1463),3)))</f>
        <v/>
      </c>
      <c r="S1370" s="19" t="str">
        <f t="shared" si="113"/>
        <v/>
      </c>
      <c r="T1370" s="1" t="str">
        <f>IF($C1370="","",TRIM(IF(COUNTIF($C$4:$C$1463,$C1370)&gt;1,"Dup name; ","")&amp;IF(AND($G1370&lt;&gt;"",$G1370&lt;55000),"Low CR - verify; ","")&amp;IF(AND($L1370&lt;&gt;"",$L1370&gt;15),"Secondary - verify; ","")&amp;IF($E1370="","No class; ","")))</f>
        <v/>
      </c>
      <c r="U1370" s="68"/>
      <c r="V1370" s="68"/>
      <c r="W1370" s="68"/>
      <c r="X1370" s="1" t="str">
        <f t="shared" si="107"/>
        <v/>
      </c>
      <c r="Y1370" s="1" t="str">
        <f t="shared" si="108"/>
        <v/>
      </c>
      <c r="Z1370" s="19" t="str">
        <f>IF($C1370="","",IF($G1370="","",RANK($G1370,$G$4:$G$1463)+COUNTIF($G$4:$G1370,$G1370)-1))</f>
        <v/>
      </c>
      <c r="AA1370" s="19" t="str">
        <f>IF($C1370="","",IF($N1370="","",RANK($N1370,$N$4:$N$1463)+COUNTIF($N$4:$N1370,$N1370)-1))</f>
        <v/>
      </c>
      <c r="AB1370" s="1" t="str">
        <f>IF($C1370="","",IF($E1370="","",$E1370&amp;"#"&amp;(COUNTIFS($E$4:$E$1463,$E1370,$X$4:$X$1463,"&gt;"&amp;$X1370)+COUNTIFS($E$4:$E1370,$E1370,$X$4:$X1370,"="&amp;$X1370))))</f>
        <v/>
      </c>
      <c r="AC1370" s="1" t="str">
        <f>IF($C1370="","",$B1370&amp;"@"&amp;(COUNTIFS($B$4:$B$1463,$B1370,$C$4:$C$1463,"&lt;"&amp;$C1370)+COUNTIFS($B$4:$B1370,$B1370,$C$4:$C1370,$C1370)))</f>
        <v/>
      </c>
      <c r="AD1370" s="1" t="str">
        <f t="shared" si="109"/>
        <v/>
      </c>
      <c r="AE1370" s="1"/>
      <c r="AF1370" s="1" t="str">
        <f t="shared" si="110"/>
        <v/>
      </c>
      <c r="AG1370" s="1" t="str">
        <f t="shared" si="111"/>
        <v/>
      </c>
      <c r="AH1370" s="1" t="str">
        <f>IF($C1370="","",$B1370&amp;"|"&amp;(COUNTIFS($B$4:$B$1463,$B1370,$AF$4:$AF$1463,"&gt;"&amp;$AF1370)+COUNTIFS($B$4:$B1370,$B1370,$AF$4:$AF1370,"="&amp;$AF1370)))</f>
        <v/>
      </c>
      <c r="AI1370" s="1" t="str">
        <f>IF($C1370="","",$B1370&amp;"|"&amp;(COUNTIFS($B$4:$B$1463,$B1370,$AG$4:$AG$1463,"&gt;"&amp;$AG1370)+COUNTIFS($B$4:$B1370,$B1370,$AG$4:$AG1370,"="&amp;$AG1370)))</f>
        <v/>
      </c>
    </row>
    <row r="1371" spans="1:35" hidden="1">
      <c r="A1371" s="69"/>
      <c r="B1371" s="69"/>
      <c r="C1371" s="63"/>
      <c r="D1371" s="69"/>
      <c r="E1371" s="68"/>
      <c r="F1371" s="15" t="str">
        <f>IF($C1371="","",IF($E1371="","-",IFERROR(INDEX(SETUP!$B$55:$B$64,MATCH($E1371,SETUP!$A$55:$A$64,0)),"Other")))</f>
        <v/>
      </c>
      <c r="G1371" s="70"/>
      <c r="H1371" s="15" t="str">
        <f>IF($C1371="","",IF($G1371="","-",INDEX(SETUP!$B$26:$B$32,MATCH($G1371,SETUP!$A$26:$A$32,1))))</f>
        <v/>
      </c>
      <c r="I1371" s="70"/>
      <c r="J1371" s="15" t="str">
        <f>IF($C1371="","",IF($I1371="","-",INDEX(SETUP!$B$16:$B$22,MATCH($I1371,SETUP!$A$16:$A$22,1))))</f>
        <v/>
      </c>
      <c r="K1371" s="15" t="str">
        <f t="shared" si="112"/>
        <v/>
      </c>
      <c r="L1371" s="71"/>
      <c r="M1371" s="15" t="str">
        <f>IF($C1371="","",IF($L1371="","-",INDEX(SETUP!$B$36:$B$42,MATCH($L1371,SETUP!$A$36:$A$42,1))))</f>
        <v/>
      </c>
      <c r="N1371" s="17" t="str">
        <f>IF($C1371="","",IF(OR($G1371="",$I1371=""),"",ROUND(100*(SETUP!$B$4*MIN(1,$I1371/SETUP!$B$9)+SETUP!$B$5*MAX(0,MIN(1,($G1371-SETUP!$B$10)/(SETUP!$B$11-SETUP!$B$10)))+SETUP!$B$6*MIN(1,IF($L1371="",0,$L1371)/SETUP!$B$12)),1)))</f>
        <v/>
      </c>
      <c r="O1371" s="15" t="str">
        <f>IF($C1371="","",IF($N1371="","-",INDEX(SETUP!$B$46:$B$51,MATCH($N1371,SETUP!$A$46:$A$51,1))))</f>
        <v/>
      </c>
      <c r="P1371" s="15" t="str">
        <f>IF($C1371="","",IF($I1371="","",RANK($I1371,$I$4:$I$1463)+COUNTIF($I$4:$I1371,$I1371)-1))</f>
        <v/>
      </c>
      <c r="Q1371" s="15" t="str">
        <f>IF($C1371="","",COUNTIFS($B$4:$B$1463,$B1371,$X$4:$X$1463,"&gt;"&amp;$X1371)+COUNTIFS($B$4:$B1371,$B1371,$X$4:$X1371,"="&amp;$X1371))</f>
        <v/>
      </c>
      <c r="R1371" s="72" t="str">
        <f>IF($C1371="","",IF($I1371="","",ROUND(COUNTIF($I$4:$I$1463,"&lt;"&amp;$I1371)/COUNT($I$4:$I$1463),3)))</f>
        <v/>
      </c>
      <c r="S1371" s="15" t="str">
        <f t="shared" si="113"/>
        <v/>
      </c>
      <c r="T1371" s="41" t="str">
        <f>IF($C1371="","",TRIM(IF(COUNTIF($C$4:$C$1463,$C1371)&gt;1,"Dup name; ","")&amp;IF(AND($G1371&lt;&gt;"",$G1371&lt;55000),"Low CR - verify; ","")&amp;IF(AND($L1371&lt;&gt;"",$L1371&gt;15),"Secondary - verify; ","")&amp;IF($E1371="","No class; ","")))</f>
        <v/>
      </c>
      <c r="U1371" s="68"/>
      <c r="V1371" s="68"/>
      <c r="W1371" s="68"/>
      <c r="X1371" s="41" t="str">
        <f t="shared" si="107"/>
        <v/>
      </c>
      <c r="Y1371" s="41" t="str">
        <f t="shared" si="108"/>
        <v/>
      </c>
      <c r="Z1371" s="15" t="str">
        <f>IF($C1371="","",IF($G1371="","",RANK($G1371,$G$4:$G$1463)+COUNTIF($G$4:$G1371,$G1371)-1))</f>
        <v/>
      </c>
      <c r="AA1371" s="15" t="str">
        <f>IF($C1371="","",IF($N1371="","",RANK($N1371,$N$4:$N$1463)+COUNTIF($N$4:$N1371,$N1371)-1))</f>
        <v/>
      </c>
      <c r="AB1371" s="41" t="str">
        <f>IF($C1371="","",IF($E1371="","",$E1371&amp;"#"&amp;(COUNTIFS($E$4:$E$1463,$E1371,$X$4:$X$1463,"&gt;"&amp;$X1371)+COUNTIFS($E$4:$E1371,$E1371,$X$4:$X1371,"="&amp;$X1371))))</f>
        <v/>
      </c>
      <c r="AC1371" s="41" t="str">
        <f>IF($C1371="","",$B1371&amp;"@"&amp;(COUNTIFS($B$4:$B$1463,$B1371,$C$4:$C$1463,"&lt;"&amp;$C1371)+COUNTIFS($B$4:$B1371,$B1371,$C$4:$C1371,$C1371)))</f>
        <v/>
      </c>
      <c r="AD1371" s="41" t="str">
        <f t="shared" si="109"/>
        <v/>
      </c>
      <c r="AE1371" s="41"/>
      <c r="AF1371" s="41" t="str">
        <f t="shared" si="110"/>
        <v/>
      </c>
      <c r="AG1371" s="41" t="str">
        <f t="shared" si="111"/>
        <v/>
      </c>
      <c r="AH1371" s="41" t="str">
        <f>IF($C1371="","",$B1371&amp;"|"&amp;(COUNTIFS($B$4:$B$1463,$B1371,$AF$4:$AF$1463,"&gt;"&amp;$AF1371)+COUNTIFS($B$4:$B1371,$B1371,$AF$4:$AF1371,"="&amp;$AF1371)))</f>
        <v/>
      </c>
      <c r="AI1371" s="41" t="str">
        <f>IF($C1371="","",$B1371&amp;"|"&amp;(COUNTIFS($B$4:$B$1463,$B1371,$AG$4:$AG$1463,"&gt;"&amp;$AG1371)+COUNTIFS($B$4:$B1371,$B1371,$AG$4:$AG1371,"="&amp;$AG1371)))</f>
        <v/>
      </c>
    </row>
    <row r="1372" spans="1:35" hidden="1">
      <c r="A1372" s="69"/>
      <c r="B1372" s="69"/>
      <c r="C1372" s="63"/>
      <c r="D1372" s="69"/>
      <c r="E1372" s="68"/>
      <c r="F1372" s="19" t="str">
        <f>IF($C1372="","",IF($E1372="","-",IFERROR(INDEX(SETUP!$B$55:$B$64,MATCH($E1372,SETUP!$A$55:$A$64,0)),"Other")))</f>
        <v/>
      </c>
      <c r="G1372" s="70"/>
      <c r="H1372" s="19" t="str">
        <f>IF($C1372="","",IF($G1372="","-",INDEX(SETUP!$B$26:$B$32,MATCH($G1372,SETUP!$A$26:$A$32,1))))</f>
        <v/>
      </c>
      <c r="I1372" s="70"/>
      <c r="J1372" s="19" t="str">
        <f>IF($C1372="","",IF($I1372="","-",INDEX(SETUP!$B$16:$B$22,MATCH($I1372,SETUP!$A$16:$A$22,1))))</f>
        <v/>
      </c>
      <c r="K1372" s="19" t="str">
        <f t="shared" si="112"/>
        <v/>
      </c>
      <c r="L1372" s="71"/>
      <c r="M1372" s="19" t="str">
        <f>IF($C1372="","",IF($L1372="","-",INDEX(SETUP!$B$36:$B$42,MATCH($L1372,SETUP!$A$36:$A$42,1))))</f>
        <v/>
      </c>
      <c r="N1372" s="21" t="str">
        <f>IF($C1372="","",IF(OR($G1372="",$I1372=""),"",ROUND(100*(SETUP!$B$4*MIN(1,$I1372/SETUP!$B$9)+SETUP!$B$5*MAX(0,MIN(1,($G1372-SETUP!$B$10)/(SETUP!$B$11-SETUP!$B$10)))+SETUP!$B$6*MIN(1,IF($L1372="",0,$L1372)/SETUP!$B$12)),1)))</f>
        <v/>
      </c>
      <c r="O1372" s="19" t="str">
        <f>IF($C1372="","",IF($N1372="","-",INDEX(SETUP!$B$46:$B$51,MATCH($N1372,SETUP!$A$46:$A$51,1))))</f>
        <v/>
      </c>
      <c r="P1372" s="19" t="str">
        <f>IF($C1372="","",IF($I1372="","",RANK($I1372,$I$4:$I$1463)+COUNTIF($I$4:$I1372,$I1372)-1))</f>
        <v/>
      </c>
      <c r="Q1372" s="19" t="str">
        <f>IF($C1372="","",COUNTIFS($B$4:$B$1463,$B1372,$X$4:$X$1463,"&gt;"&amp;$X1372)+COUNTIFS($B$4:$B1372,$B1372,$X$4:$X1372,"="&amp;$X1372))</f>
        <v/>
      </c>
      <c r="R1372" s="75" t="str">
        <f>IF($C1372="","",IF($I1372="","",ROUND(COUNTIF($I$4:$I$1463,"&lt;"&amp;$I1372)/COUNT($I$4:$I$1463),3)))</f>
        <v/>
      </c>
      <c r="S1372" s="19" t="str">
        <f t="shared" si="113"/>
        <v/>
      </c>
      <c r="T1372" s="1" t="str">
        <f>IF($C1372="","",TRIM(IF(COUNTIF($C$4:$C$1463,$C1372)&gt;1,"Dup name; ","")&amp;IF(AND($G1372&lt;&gt;"",$G1372&lt;55000),"Low CR - verify; ","")&amp;IF(AND($L1372&lt;&gt;"",$L1372&gt;15),"Secondary - verify; ","")&amp;IF($E1372="","No class; ","")))</f>
        <v/>
      </c>
      <c r="U1372" s="68"/>
      <c r="V1372" s="68"/>
      <c r="W1372" s="68"/>
      <c r="X1372" s="1" t="str">
        <f t="shared" si="107"/>
        <v/>
      </c>
      <c r="Y1372" s="1" t="str">
        <f t="shared" si="108"/>
        <v/>
      </c>
      <c r="Z1372" s="19" t="str">
        <f>IF($C1372="","",IF($G1372="","",RANK($G1372,$G$4:$G$1463)+COUNTIF($G$4:$G1372,$G1372)-1))</f>
        <v/>
      </c>
      <c r="AA1372" s="19" t="str">
        <f>IF($C1372="","",IF($N1372="","",RANK($N1372,$N$4:$N$1463)+COUNTIF($N$4:$N1372,$N1372)-1))</f>
        <v/>
      </c>
      <c r="AB1372" s="1" t="str">
        <f>IF($C1372="","",IF($E1372="","",$E1372&amp;"#"&amp;(COUNTIFS($E$4:$E$1463,$E1372,$X$4:$X$1463,"&gt;"&amp;$X1372)+COUNTIFS($E$4:$E1372,$E1372,$X$4:$X1372,"="&amp;$X1372))))</f>
        <v/>
      </c>
      <c r="AC1372" s="1" t="str">
        <f>IF($C1372="","",$B1372&amp;"@"&amp;(COUNTIFS($B$4:$B$1463,$B1372,$C$4:$C$1463,"&lt;"&amp;$C1372)+COUNTIFS($B$4:$B1372,$B1372,$C$4:$C1372,$C1372)))</f>
        <v/>
      </c>
      <c r="AD1372" s="1" t="str">
        <f t="shared" si="109"/>
        <v/>
      </c>
      <c r="AE1372" s="1"/>
      <c r="AF1372" s="1" t="str">
        <f t="shared" si="110"/>
        <v/>
      </c>
      <c r="AG1372" s="1" t="str">
        <f t="shared" si="111"/>
        <v/>
      </c>
      <c r="AH1372" s="1" t="str">
        <f>IF($C1372="","",$B1372&amp;"|"&amp;(COUNTIFS($B$4:$B$1463,$B1372,$AF$4:$AF$1463,"&gt;"&amp;$AF1372)+COUNTIFS($B$4:$B1372,$B1372,$AF$4:$AF1372,"="&amp;$AF1372)))</f>
        <v/>
      </c>
      <c r="AI1372" s="1" t="str">
        <f>IF($C1372="","",$B1372&amp;"|"&amp;(COUNTIFS($B$4:$B$1463,$B1372,$AG$4:$AG$1463,"&gt;"&amp;$AG1372)+COUNTIFS($B$4:$B1372,$B1372,$AG$4:$AG1372,"="&amp;$AG1372)))</f>
        <v/>
      </c>
    </row>
    <row r="1373" spans="1:35" hidden="1">
      <c r="A1373" s="69"/>
      <c r="B1373" s="69"/>
      <c r="C1373" s="63"/>
      <c r="D1373" s="69"/>
      <c r="E1373" s="68"/>
      <c r="F1373" s="15" t="str">
        <f>IF($C1373="","",IF($E1373="","-",IFERROR(INDEX(SETUP!$B$55:$B$64,MATCH($E1373,SETUP!$A$55:$A$64,0)),"Other")))</f>
        <v/>
      </c>
      <c r="G1373" s="70"/>
      <c r="H1373" s="15" t="str">
        <f>IF($C1373="","",IF($G1373="","-",INDEX(SETUP!$B$26:$B$32,MATCH($G1373,SETUP!$A$26:$A$32,1))))</f>
        <v/>
      </c>
      <c r="I1373" s="70"/>
      <c r="J1373" s="15" t="str">
        <f>IF($C1373="","",IF($I1373="","-",INDEX(SETUP!$B$16:$B$22,MATCH($I1373,SETUP!$A$16:$A$22,1))))</f>
        <v/>
      </c>
      <c r="K1373" s="15" t="str">
        <f t="shared" si="112"/>
        <v/>
      </c>
      <c r="L1373" s="71"/>
      <c r="M1373" s="15" t="str">
        <f>IF($C1373="","",IF($L1373="","-",INDEX(SETUP!$B$36:$B$42,MATCH($L1373,SETUP!$A$36:$A$42,1))))</f>
        <v/>
      </c>
      <c r="N1373" s="17" t="str">
        <f>IF($C1373="","",IF(OR($G1373="",$I1373=""),"",ROUND(100*(SETUP!$B$4*MIN(1,$I1373/SETUP!$B$9)+SETUP!$B$5*MAX(0,MIN(1,($G1373-SETUP!$B$10)/(SETUP!$B$11-SETUP!$B$10)))+SETUP!$B$6*MIN(1,IF($L1373="",0,$L1373)/SETUP!$B$12)),1)))</f>
        <v/>
      </c>
      <c r="O1373" s="15" t="str">
        <f>IF($C1373="","",IF($N1373="","-",INDEX(SETUP!$B$46:$B$51,MATCH($N1373,SETUP!$A$46:$A$51,1))))</f>
        <v/>
      </c>
      <c r="P1373" s="15" t="str">
        <f>IF($C1373="","",IF($I1373="","",RANK($I1373,$I$4:$I$1463)+COUNTIF($I$4:$I1373,$I1373)-1))</f>
        <v/>
      </c>
      <c r="Q1373" s="15" t="str">
        <f>IF($C1373="","",COUNTIFS($B$4:$B$1463,$B1373,$X$4:$X$1463,"&gt;"&amp;$X1373)+COUNTIFS($B$4:$B1373,$B1373,$X$4:$X1373,"="&amp;$X1373))</f>
        <v/>
      </c>
      <c r="R1373" s="72" t="str">
        <f>IF($C1373="","",IF($I1373="","",ROUND(COUNTIF($I$4:$I$1463,"&lt;"&amp;$I1373)/COUNT($I$4:$I$1463),3)))</f>
        <v/>
      </c>
      <c r="S1373" s="15" t="str">
        <f t="shared" si="113"/>
        <v/>
      </c>
      <c r="T1373" s="41" t="str">
        <f>IF($C1373="","",TRIM(IF(COUNTIF($C$4:$C$1463,$C1373)&gt;1,"Dup name; ","")&amp;IF(AND($G1373&lt;&gt;"",$G1373&lt;55000),"Low CR - verify; ","")&amp;IF(AND($L1373&lt;&gt;"",$L1373&gt;15),"Secondary - verify; ","")&amp;IF($E1373="","No class; ","")))</f>
        <v/>
      </c>
      <c r="U1373" s="68"/>
      <c r="V1373" s="68"/>
      <c r="W1373" s="68"/>
      <c r="X1373" s="41" t="str">
        <f t="shared" si="107"/>
        <v/>
      </c>
      <c r="Y1373" s="41" t="str">
        <f t="shared" si="108"/>
        <v/>
      </c>
      <c r="Z1373" s="15" t="str">
        <f>IF($C1373="","",IF($G1373="","",RANK($G1373,$G$4:$G$1463)+COUNTIF($G$4:$G1373,$G1373)-1))</f>
        <v/>
      </c>
      <c r="AA1373" s="15" t="str">
        <f>IF($C1373="","",IF($N1373="","",RANK($N1373,$N$4:$N$1463)+COUNTIF($N$4:$N1373,$N1373)-1))</f>
        <v/>
      </c>
      <c r="AB1373" s="41" t="str">
        <f>IF($C1373="","",IF($E1373="","",$E1373&amp;"#"&amp;(COUNTIFS($E$4:$E$1463,$E1373,$X$4:$X$1463,"&gt;"&amp;$X1373)+COUNTIFS($E$4:$E1373,$E1373,$X$4:$X1373,"="&amp;$X1373))))</f>
        <v/>
      </c>
      <c r="AC1373" s="41" t="str">
        <f>IF($C1373="","",$B1373&amp;"@"&amp;(COUNTIFS($B$4:$B$1463,$B1373,$C$4:$C$1463,"&lt;"&amp;$C1373)+COUNTIFS($B$4:$B1373,$B1373,$C$4:$C1373,$C1373)))</f>
        <v/>
      </c>
      <c r="AD1373" s="41" t="str">
        <f t="shared" si="109"/>
        <v/>
      </c>
      <c r="AE1373" s="41"/>
      <c r="AF1373" s="41" t="str">
        <f t="shared" si="110"/>
        <v/>
      </c>
      <c r="AG1373" s="41" t="str">
        <f t="shared" si="111"/>
        <v/>
      </c>
      <c r="AH1373" s="41" t="str">
        <f>IF($C1373="","",$B1373&amp;"|"&amp;(COUNTIFS($B$4:$B$1463,$B1373,$AF$4:$AF$1463,"&gt;"&amp;$AF1373)+COUNTIFS($B$4:$B1373,$B1373,$AF$4:$AF1373,"="&amp;$AF1373)))</f>
        <v/>
      </c>
      <c r="AI1373" s="41" t="str">
        <f>IF($C1373="","",$B1373&amp;"|"&amp;(COUNTIFS($B$4:$B$1463,$B1373,$AG$4:$AG$1463,"&gt;"&amp;$AG1373)+COUNTIFS($B$4:$B1373,$B1373,$AG$4:$AG1373,"="&amp;$AG1373)))</f>
        <v/>
      </c>
    </row>
    <row r="1374" spans="1:35" hidden="1">
      <c r="A1374" s="69"/>
      <c r="B1374" s="69"/>
      <c r="C1374" s="63"/>
      <c r="D1374" s="69"/>
      <c r="E1374" s="68"/>
      <c r="F1374" s="19" t="str">
        <f>IF($C1374="","",IF($E1374="","-",IFERROR(INDEX(SETUP!$B$55:$B$64,MATCH($E1374,SETUP!$A$55:$A$64,0)),"Other")))</f>
        <v/>
      </c>
      <c r="G1374" s="70"/>
      <c r="H1374" s="19" t="str">
        <f>IF($C1374="","",IF($G1374="","-",INDEX(SETUP!$B$26:$B$32,MATCH($G1374,SETUP!$A$26:$A$32,1))))</f>
        <v/>
      </c>
      <c r="I1374" s="70"/>
      <c r="J1374" s="19" t="str">
        <f>IF($C1374="","",IF($I1374="","-",INDEX(SETUP!$B$16:$B$22,MATCH($I1374,SETUP!$A$16:$A$22,1))))</f>
        <v/>
      </c>
      <c r="K1374" s="19" t="str">
        <f t="shared" si="112"/>
        <v/>
      </c>
      <c r="L1374" s="71"/>
      <c r="M1374" s="19" t="str">
        <f>IF($C1374="","",IF($L1374="","-",INDEX(SETUP!$B$36:$B$42,MATCH($L1374,SETUP!$A$36:$A$42,1))))</f>
        <v/>
      </c>
      <c r="N1374" s="21" t="str">
        <f>IF($C1374="","",IF(OR($G1374="",$I1374=""),"",ROUND(100*(SETUP!$B$4*MIN(1,$I1374/SETUP!$B$9)+SETUP!$B$5*MAX(0,MIN(1,($G1374-SETUP!$B$10)/(SETUP!$B$11-SETUP!$B$10)))+SETUP!$B$6*MIN(1,IF($L1374="",0,$L1374)/SETUP!$B$12)),1)))</f>
        <v/>
      </c>
      <c r="O1374" s="19" t="str">
        <f>IF($C1374="","",IF($N1374="","-",INDEX(SETUP!$B$46:$B$51,MATCH($N1374,SETUP!$A$46:$A$51,1))))</f>
        <v/>
      </c>
      <c r="P1374" s="19" t="str">
        <f>IF($C1374="","",IF($I1374="","",RANK($I1374,$I$4:$I$1463)+COUNTIF($I$4:$I1374,$I1374)-1))</f>
        <v/>
      </c>
      <c r="Q1374" s="19" t="str">
        <f>IF($C1374="","",COUNTIFS($B$4:$B$1463,$B1374,$X$4:$X$1463,"&gt;"&amp;$X1374)+COUNTIFS($B$4:$B1374,$B1374,$X$4:$X1374,"="&amp;$X1374))</f>
        <v/>
      </c>
      <c r="R1374" s="75" t="str">
        <f>IF($C1374="","",IF($I1374="","",ROUND(COUNTIF($I$4:$I$1463,"&lt;"&amp;$I1374)/COUNT($I$4:$I$1463),3)))</f>
        <v/>
      </c>
      <c r="S1374" s="19" t="str">
        <f t="shared" si="113"/>
        <v/>
      </c>
      <c r="T1374" s="1" t="str">
        <f>IF($C1374="","",TRIM(IF(COUNTIF($C$4:$C$1463,$C1374)&gt;1,"Dup name; ","")&amp;IF(AND($G1374&lt;&gt;"",$G1374&lt;55000),"Low CR - verify; ","")&amp;IF(AND($L1374&lt;&gt;"",$L1374&gt;15),"Secondary - verify; ","")&amp;IF($E1374="","No class; ","")))</f>
        <v/>
      </c>
      <c r="U1374" s="68"/>
      <c r="V1374" s="68"/>
      <c r="W1374" s="68"/>
      <c r="X1374" s="1" t="str">
        <f t="shared" si="107"/>
        <v/>
      </c>
      <c r="Y1374" s="1" t="str">
        <f t="shared" si="108"/>
        <v/>
      </c>
      <c r="Z1374" s="19" t="str">
        <f>IF($C1374="","",IF($G1374="","",RANK($G1374,$G$4:$G$1463)+COUNTIF($G$4:$G1374,$G1374)-1))</f>
        <v/>
      </c>
      <c r="AA1374" s="19" t="str">
        <f>IF($C1374="","",IF($N1374="","",RANK($N1374,$N$4:$N$1463)+COUNTIF($N$4:$N1374,$N1374)-1))</f>
        <v/>
      </c>
      <c r="AB1374" s="1" t="str">
        <f>IF($C1374="","",IF($E1374="","",$E1374&amp;"#"&amp;(COUNTIFS($E$4:$E$1463,$E1374,$X$4:$X$1463,"&gt;"&amp;$X1374)+COUNTIFS($E$4:$E1374,$E1374,$X$4:$X1374,"="&amp;$X1374))))</f>
        <v/>
      </c>
      <c r="AC1374" s="1" t="str">
        <f>IF($C1374="","",$B1374&amp;"@"&amp;(COUNTIFS($B$4:$B$1463,$B1374,$C$4:$C$1463,"&lt;"&amp;$C1374)+COUNTIFS($B$4:$B1374,$B1374,$C$4:$C1374,$C1374)))</f>
        <v/>
      </c>
      <c r="AD1374" s="1" t="str">
        <f t="shared" si="109"/>
        <v/>
      </c>
      <c r="AE1374" s="1"/>
      <c r="AF1374" s="1" t="str">
        <f t="shared" si="110"/>
        <v/>
      </c>
      <c r="AG1374" s="1" t="str">
        <f t="shared" si="111"/>
        <v/>
      </c>
      <c r="AH1374" s="1" t="str">
        <f>IF($C1374="","",$B1374&amp;"|"&amp;(COUNTIFS($B$4:$B$1463,$B1374,$AF$4:$AF$1463,"&gt;"&amp;$AF1374)+COUNTIFS($B$4:$B1374,$B1374,$AF$4:$AF1374,"="&amp;$AF1374)))</f>
        <v/>
      </c>
      <c r="AI1374" s="1" t="str">
        <f>IF($C1374="","",$B1374&amp;"|"&amp;(COUNTIFS($B$4:$B$1463,$B1374,$AG$4:$AG$1463,"&gt;"&amp;$AG1374)+COUNTIFS($B$4:$B1374,$B1374,$AG$4:$AG1374,"="&amp;$AG1374)))</f>
        <v/>
      </c>
    </row>
    <row r="1375" spans="1:35" hidden="1">
      <c r="A1375" s="69"/>
      <c r="B1375" s="69"/>
      <c r="C1375" s="63"/>
      <c r="D1375" s="69"/>
      <c r="E1375" s="68"/>
      <c r="F1375" s="15" t="str">
        <f>IF($C1375="","",IF($E1375="","-",IFERROR(INDEX(SETUP!$B$55:$B$64,MATCH($E1375,SETUP!$A$55:$A$64,0)),"Other")))</f>
        <v/>
      </c>
      <c r="G1375" s="70"/>
      <c r="H1375" s="15" t="str">
        <f>IF($C1375="","",IF($G1375="","-",INDEX(SETUP!$B$26:$B$32,MATCH($G1375,SETUP!$A$26:$A$32,1))))</f>
        <v/>
      </c>
      <c r="I1375" s="70"/>
      <c r="J1375" s="15" t="str">
        <f>IF($C1375="","",IF($I1375="","-",INDEX(SETUP!$B$16:$B$22,MATCH($I1375,SETUP!$A$16:$A$22,1))))</f>
        <v/>
      </c>
      <c r="K1375" s="15" t="str">
        <f t="shared" si="112"/>
        <v/>
      </c>
      <c r="L1375" s="71"/>
      <c r="M1375" s="15" t="str">
        <f>IF($C1375="","",IF($L1375="","-",INDEX(SETUP!$B$36:$B$42,MATCH($L1375,SETUP!$A$36:$A$42,1))))</f>
        <v/>
      </c>
      <c r="N1375" s="17" t="str">
        <f>IF($C1375="","",IF(OR($G1375="",$I1375=""),"",ROUND(100*(SETUP!$B$4*MIN(1,$I1375/SETUP!$B$9)+SETUP!$B$5*MAX(0,MIN(1,($G1375-SETUP!$B$10)/(SETUP!$B$11-SETUP!$B$10)))+SETUP!$B$6*MIN(1,IF($L1375="",0,$L1375)/SETUP!$B$12)),1)))</f>
        <v/>
      </c>
      <c r="O1375" s="15" t="str">
        <f>IF($C1375="","",IF($N1375="","-",INDEX(SETUP!$B$46:$B$51,MATCH($N1375,SETUP!$A$46:$A$51,1))))</f>
        <v/>
      </c>
      <c r="P1375" s="15" t="str">
        <f>IF($C1375="","",IF($I1375="","",RANK($I1375,$I$4:$I$1463)+COUNTIF($I$4:$I1375,$I1375)-1))</f>
        <v/>
      </c>
      <c r="Q1375" s="15" t="str">
        <f>IF($C1375="","",COUNTIFS($B$4:$B$1463,$B1375,$X$4:$X$1463,"&gt;"&amp;$X1375)+COUNTIFS($B$4:$B1375,$B1375,$X$4:$X1375,"="&amp;$X1375))</f>
        <v/>
      </c>
      <c r="R1375" s="72" t="str">
        <f>IF($C1375="","",IF($I1375="","",ROUND(COUNTIF($I$4:$I$1463,"&lt;"&amp;$I1375)/COUNT($I$4:$I$1463),3)))</f>
        <v/>
      </c>
      <c r="S1375" s="15" t="str">
        <f t="shared" si="113"/>
        <v/>
      </c>
      <c r="T1375" s="41" t="str">
        <f>IF($C1375="","",TRIM(IF(COUNTIF($C$4:$C$1463,$C1375)&gt;1,"Dup name; ","")&amp;IF(AND($G1375&lt;&gt;"",$G1375&lt;55000),"Low CR - verify; ","")&amp;IF(AND($L1375&lt;&gt;"",$L1375&gt;15),"Secondary - verify; ","")&amp;IF($E1375="","No class; ","")))</f>
        <v/>
      </c>
      <c r="U1375" s="68"/>
      <c r="V1375" s="68"/>
      <c r="W1375" s="68"/>
      <c r="X1375" s="41" t="str">
        <f t="shared" si="107"/>
        <v/>
      </c>
      <c r="Y1375" s="41" t="str">
        <f t="shared" si="108"/>
        <v/>
      </c>
      <c r="Z1375" s="15" t="str">
        <f>IF($C1375="","",IF($G1375="","",RANK($G1375,$G$4:$G$1463)+COUNTIF($G$4:$G1375,$G1375)-1))</f>
        <v/>
      </c>
      <c r="AA1375" s="15" t="str">
        <f>IF($C1375="","",IF($N1375="","",RANK($N1375,$N$4:$N$1463)+COUNTIF($N$4:$N1375,$N1375)-1))</f>
        <v/>
      </c>
      <c r="AB1375" s="41" t="str">
        <f>IF($C1375="","",IF($E1375="","",$E1375&amp;"#"&amp;(COUNTIFS($E$4:$E$1463,$E1375,$X$4:$X$1463,"&gt;"&amp;$X1375)+COUNTIFS($E$4:$E1375,$E1375,$X$4:$X1375,"="&amp;$X1375))))</f>
        <v/>
      </c>
      <c r="AC1375" s="41" t="str">
        <f>IF($C1375="","",$B1375&amp;"@"&amp;(COUNTIFS($B$4:$B$1463,$B1375,$C$4:$C$1463,"&lt;"&amp;$C1375)+COUNTIFS($B$4:$B1375,$B1375,$C$4:$C1375,$C1375)))</f>
        <v/>
      </c>
      <c r="AD1375" s="41" t="str">
        <f t="shared" si="109"/>
        <v/>
      </c>
      <c r="AE1375" s="41"/>
      <c r="AF1375" s="41" t="str">
        <f t="shared" si="110"/>
        <v/>
      </c>
      <c r="AG1375" s="41" t="str">
        <f t="shared" si="111"/>
        <v/>
      </c>
      <c r="AH1375" s="41" t="str">
        <f>IF($C1375="","",$B1375&amp;"|"&amp;(COUNTIFS($B$4:$B$1463,$B1375,$AF$4:$AF$1463,"&gt;"&amp;$AF1375)+COUNTIFS($B$4:$B1375,$B1375,$AF$4:$AF1375,"="&amp;$AF1375)))</f>
        <v/>
      </c>
      <c r="AI1375" s="41" t="str">
        <f>IF($C1375="","",$B1375&amp;"|"&amp;(COUNTIFS($B$4:$B$1463,$B1375,$AG$4:$AG$1463,"&gt;"&amp;$AG1375)+COUNTIFS($B$4:$B1375,$B1375,$AG$4:$AG1375,"="&amp;$AG1375)))</f>
        <v/>
      </c>
    </row>
    <row r="1376" spans="1:35" hidden="1">
      <c r="A1376" s="69"/>
      <c r="B1376" s="69"/>
      <c r="C1376" s="63"/>
      <c r="D1376" s="69"/>
      <c r="E1376" s="68"/>
      <c r="F1376" s="19" t="str">
        <f>IF($C1376="","",IF($E1376="","-",IFERROR(INDEX(SETUP!$B$55:$B$64,MATCH($E1376,SETUP!$A$55:$A$64,0)),"Other")))</f>
        <v/>
      </c>
      <c r="G1376" s="70"/>
      <c r="H1376" s="19" t="str">
        <f>IF($C1376="","",IF($G1376="","-",INDEX(SETUP!$B$26:$B$32,MATCH($G1376,SETUP!$A$26:$A$32,1))))</f>
        <v/>
      </c>
      <c r="I1376" s="70"/>
      <c r="J1376" s="19" t="str">
        <f>IF($C1376="","",IF($I1376="","-",INDEX(SETUP!$B$16:$B$22,MATCH($I1376,SETUP!$A$16:$A$22,1))))</f>
        <v/>
      </c>
      <c r="K1376" s="19" t="str">
        <f t="shared" si="112"/>
        <v/>
      </c>
      <c r="L1376" s="71"/>
      <c r="M1376" s="19" t="str">
        <f>IF($C1376="","",IF($L1376="","-",INDEX(SETUP!$B$36:$B$42,MATCH($L1376,SETUP!$A$36:$A$42,1))))</f>
        <v/>
      </c>
      <c r="N1376" s="21" t="str">
        <f>IF($C1376="","",IF(OR($G1376="",$I1376=""),"",ROUND(100*(SETUP!$B$4*MIN(1,$I1376/SETUP!$B$9)+SETUP!$B$5*MAX(0,MIN(1,($G1376-SETUP!$B$10)/(SETUP!$B$11-SETUP!$B$10)))+SETUP!$B$6*MIN(1,IF($L1376="",0,$L1376)/SETUP!$B$12)),1)))</f>
        <v/>
      </c>
      <c r="O1376" s="19" t="str">
        <f>IF($C1376="","",IF($N1376="","-",INDEX(SETUP!$B$46:$B$51,MATCH($N1376,SETUP!$A$46:$A$51,1))))</f>
        <v/>
      </c>
      <c r="P1376" s="19" t="str">
        <f>IF($C1376="","",IF($I1376="","",RANK($I1376,$I$4:$I$1463)+COUNTIF($I$4:$I1376,$I1376)-1))</f>
        <v/>
      </c>
      <c r="Q1376" s="19" t="str">
        <f>IF($C1376="","",COUNTIFS($B$4:$B$1463,$B1376,$X$4:$X$1463,"&gt;"&amp;$X1376)+COUNTIFS($B$4:$B1376,$B1376,$X$4:$X1376,"="&amp;$X1376))</f>
        <v/>
      </c>
      <c r="R1376" s="75" t="str">
        <f>IF($C1376="","",IF($I1376="","",ROUND(COUNTIF($I$4:$I$1463,"&lt;"&amp;$I1376)/COUNT($I$4:$I$1463),3)))</f>
        <v/>
      </c>
      <c r="S1376" s="19" t="str">
        <f t="shared" si="113"/>
        <v/>
      </c>
      <c r="T1376" s="1" t="str">
        <f>IF($C1376="","",TRIM(IF(COUNTIF($C$4:$C$1463,$C1376)&gt;1,"Dup name; ","")&amp;IF(AND($G1376&lt;&gt;"",$G1376&lt;55000),"Low CR - verify; ","")&amp;IF(AND($L1376&lt;&gt;"",$L1376&gt;15),"Secondary - verify; ","")&amp;IF($E1376="","No class; ","")))</f>
        <v/>
      </c>
      <c r="U1376" s="68"/>
      <c r="V1376" s="68"/>
      <c r="W1376" s="68"/>
      <c r="X1376" s="1" t="str">
        <f t="shared" si="107"/>
        <v/>
      </c>
      <c r="Y1376" s="1" t="str">
        <f t="shared" si="108"/>
        <v/>
      </c>
      <c r="Z1376" s="19" t="str">
        <f>IF($C1376="","",IF($G1376="","",RANK($G1376,$G$4:$G$1463)+COUNTIF($G$4:$G1376,$G1376)-1))</f>
        <v/>
      </c>
      <c r="AA1376" s="19" t="str">
        <f>IF($C1376="","",IF($N1376="","",RANK($N1376,$N$4:$N$1463)+COUNTIF($N$4:$N1376,$N1376)-1))</f>
        <v/>
      </c>
      <c r="AB1376" s="1" t="str">
        <f>IF($C1376="","",IF($E1376="","",$E1376&amp;"#"&amp;(COUNTIFS($E$4:$E$1463,$E1376,$X$4:$X$1463,"&gt;"&amp;$X1376)+COUNTIFS($E$4:$E1376,$E1376,$X$4:$X1376,"="&amp;$X1376))))</f>
        <v/>
      </c>
      <c r="AC1376" s="1" t="str">
        <f>IF($C1376="","",$B1376&amp;"@"&amp;(COUNTIFS($B$4:$B$1463,$B1376,$C$4:$C$1463,"&lt;"&amp;$C1376)+COUNTIFS($B$4:$B1376,$B1376,$C$4:$C1376,$C1376)))</f>
        <v/>
      </c>
      <c r="AD1376" s="1" t="str">
        <f t="shared" si="109"/>
        <v/>
      </c>
      <c r="AE1376" s="1"/>
      <c r="AF1376" s="1" t="str">
        <f t="shared" si="110"/>
        <v/>
      </c>
      <c r="AG1376" s="1" t="str">
        <f t="shared" si="111"/>
        <v/>
      </c>
      <c r="AH1376" s="1" t="str">
        <f>IF($C1376="","",$B1376&amp;"|"&amp;(COUNTIFS($B$4:$B$1463,$B1376,$AF$4:$AF$1463,"&gt;"&amp;$AF1376)+COUNTIFS($B$4:$B1376,$B1376,$AF$4:$AF1376,"="&amp;$AF1376)))</f>
        <v/>
      </c>
      <c r="AI1376" s="1" t="str">
        <f>IF($C1376="","",$B1376&amp;"|"&amp;(COUNTIFS($B$4:$B$1463,$B1376,$AG$4:$AG$1463,"&gt;"&amp;$AG1376)+COUNTIFS($B$4:$B1376,$B1376,$AG$4:$AG1376,"="&amp;$AG1376)))</f>
        <v/>
      </c>
    </row>
    <row r="1377" spans="1:35" hidden="1">
      <c r="A1377" s="69"/>
      <c r="B1377" s="69"/>
      <c r="C1377" s="63"/>
      <c r="D1377" s="69"/>
      <c r="E1377" s="68"/>
      <c r="F1377" s="15" t="str">
        <f>IF($C1377="","",IF($E1377="","-",IFERROR(INDEX(SETUP!$B$55:$B$64,MATCH($E1377,SETUP!$A$55:$A$64,0)),"Other")))</f>
        <v/>
      </c>
      <c r="G1377" s="70"/>
      <c r="H1377" s="15" t="str">
        <f>IF($C1377="","",IF($G1377="","-",INDEX(SETUP!$B$26:$B$32,MATCH($G1377,SETUP!$A$26:$A$32,1))))</f>
        <v/>
      </c>
      <c r="I1377" s="70"/>
      <c r="J1377" s="15" t="str">
        <f>IF($C1377="","",IF($I1377="","-",INDEX(SETUP!$B$16:$B$22,MATCH($I1377,SETUP!$A$16:$A$22,1))))</f>
        <v/>
      </c>
      <c r="K1377" s="15" t="str">
        <f t="shared" si="112"/>
        <v/>
      </c>
      <c r="L1377" s="71"/>
      <c r="M1377" s="15" t="str">
        <f>IF($C1377="","",IF($L1377="","-",INDEX(SETUP!$B$36:$B$42,MATCH($L1377,SETUP!$A$36:$A$42,1))))</f>
        <v/>
      </c>
      <c r="N1377" s="17" t="str">
        <f>IF($C1377="","",IF(OR($G1377="",$I1377=""),"",ROUND(100*(SETUP!$B$4*MIN(1,$I1377/SETUP!$B$9)+SETUP!$B$5*MAX(0,MIN(1,($G1377-SETUP!$B$10)/(SETUP!$B$11-SETUP!$B$10)))+SETUP!$B$6*MIN(1,IF($L1377="",0,$L1377)/SETUP!$B$12)),1)))</f>
        <v/>
      </c>
      <c r="O1377" s="15" t="str">
        <f>IF($C1377="","",IF($N1377="","-",INDEX(SETUP!$B$46:$B$51,MATCH($N1377,SETUP!$A$46:$A$51,1))))</f>
        <v/>
      </c>
      <c r="P1377" s="15" t="str">
        <f>IF($C1377="","",IF($I1377="","",RANK($I1377,$I$4:$I$1463)+COUNTIF($I$4:$I1377,$I1377)-1))</f>
        <v/>
      </c>
      <c r="Q1377" s="15" t="str">
        <f>IF($C1377="","",COUNTIFS($B$4:$B$1463,$B1377,$X$4:$X$1463,"&gt;"&amp;$X1377)+COUNTIFS($B$4:$B1377,$B1377,$X$4:$X1377,"="&amp;$X1377))</f>
        <v/>
      </c>
      <c r="R1377" s="72" t="str">
        <f>IF($C1377="","",IF($I1377="","",ROUND(COUNTIF($I$4:$I$1463,"&lt;"&amp;$I1377)/COUNT($I$4:$I$1463),3)))</f>
        <v/>
      </c>
      <c r="S1377" s="15" t="str">
        <f t="shared" si="113"/>
        <v/>
      </c>
      <c r="T1377" s="41" t="str">
        <f>IF($C1377="","",TRIM(IF(COUNTIF($C$4:$C$1463,$C1377)&gt;1,"Dup name; ","")&amp;IF(AND($G1377&lt;&gt;"",$G1377&lt;55000),"Low CR - verify; ","")&amp;IF(AND($L1377&lt;&gt;"",$L1377&gt;15),"Secondary - verify; ","")&amp;IF($E1377="","No class; ","")))</f>
        <v/>
      </c>
      <c r="U1377" s="68"/>
      <c r="V1377" s="68"/>
      <c r="W1377" s="68"/>
      <c r="X1377" s="41" t="str">
        <f t="shared" si="107"/>
        <v/>
      </c>
      <c r="Y1377" s="41" t="str">
        <f t="shared" si="108"/>
        <v/>
      </c>
      <c r="Z1377" s="15" t="str">
        <f>IF($C1377="","",IF($G1377="","",RANK($G1377,$G$4:$G$1463)+COUNTIF($G$4:$G1377,$G1377)-1))</f>
        <v/>
      </c>
      <c r="AA1377" s="15" t="str">
        <f>IF($C1377="","",IF($N1377="","",RANK($N1377,$N$4:$N$1463)+COUNTIF($N$4:$N1377,$N1377)-1))</f>
        <v/>
      </c>
      <c r="AB1377" s="41" t="str">
        <f>IF($C1377="","",IF($E1377="","",$E1377&amp;"#"&amp;(COUNTIFS($E$4:$E$1463,$E1377,$X$4:$X$1463,"&gt;"&amp;$X1377)+COUNTIFS($E$4:$E1377,$E1377,$X$4:$X1377,"="&amp;$X1377))))</f>
        <v/>
      </c>
      <c r="AC1377" s="41" t="str">
        <f>IF($C1377="","",$B1377&amp;"@"&amp;(COUNTIFS($B$4:$B$1463,$B1377,$C$4:$C$1463,"&lt;"&amp;$C1377)+COUNTIFS($B$4:$B1377,$B1377,$C$4:$C1377,$C1377)))</f>
        <v/>
      </c>
      <c r="AD1377" s="41" t="str">
        <f t="shared" si="109"/>
        <v/>
      </c>
      <c r="AE1377" s="41"/>
      <c r="AF1377" s="41" t="str">
        <f t="shared" si="110"/>
        <v/>
      </c>
      <c r="AG1377" s="41" t="str">
        <f t="shared" si="111"/>
        <v/>
      </c>
      <c r="AH1377" s="41" t="str">
        <f>IF($C1377="","",$B1377&amp;"|"&amp;(COUNTIFS($B$4:$B$1463,$B1377,$AF$4:$AF$1463,"&gt;"&amp;$AF1377)+COUNTIFS($B$4:$B1377,$B1377,$AF$4:$AF1377,"="&amp;$AF1377)))</f>
        <v/>
      </c>
      <c r="AI1377" s="41" t="str">
        <f>IF($C1377="","",$B1377&amp;"|"&amp;(COUNTIFS($B$4:$B$1463,$B1377,$AG$4:$AG$1463,"&gt;"&amp;$AG1377)+COUNTIFS($B$4:$B1377,$B1377,$AG$4:$AG1377,"="&amp;$AG1377)))</f>
        <v/>
      </c>
    </row>
    <row r="1378" spans="1:35" hidden="1">
      <c r="A1378" s="69"/>
      <c r="B1378" s="69"/>
      <c r="C1378" s="63"/>
      <c r="D1378" s="69"/>
      <c r="E1378" s="68"/>
      <c r="F1378" s="19" t="str">
        <f>IF($C1378="","",IF($E1378="","-",IFERROR(INDEX(SETUP!$B$55:$B$64,MATCH($E1378,SETUP!$A$55:$A$64,0)),"Other")))</f>
        <v/>
      </c>
      <c r="G1378" s="70"/>
      <c r="H1378" s="19" t="str">
        <f>IF($C1378="","",IF($G1378="","-",INDEX(SETUP!$B$26:$B$32,MATCH($G1378,SETUP!$A$26:$A$32,1))))</f>
        <v/>
      </c>
      <c r="I1378" s="70"/>
      <c r="J1378" s="19" t="str">
        <f>IF($C1378="","",IF($I1378="","-",INDEX(SETUP!$B$16:$B$22,MATCH($I1378,SETUP!$A$16:$A$22,1))))</f>
        <v/>
      </c>
      <c r="K1378" s="19" t="str">
        <f t="shared" si="112"/>
        <v/>
      </c>
      <c r="L1378" s="71"/>
      <c r="M1378" s="19" t="str">
        <f>IF($C1378="","",IF($L1378="","-",INDEX(SETUP!$B$36:$B$42,MATCH($L1378,SETUP!$A$36:$A$42,1))))</f>
        <v/>
      </c>
      <c r="N1378" s="21" t="str">
        <f>IF($C1378="","",IF(OR($G1378="",$I1378=""),"",ROUND(100*(SETUP!$B$4*MIN(1,$I1378/SETUP!$B$9)+SETUP!$B$5*MAX(0,MIN(1,($G1378-SETUP!$B$10)/(SETUP!$B$11-SETUP!$B$10)))+SETUP!$B$6*MIN(1,IF($L1378="",0,$L1378)/SETUP!$B$12)),1)))</f>
        <v/>
      </c>
      <c r="O1378" s="19" t="str">
        <f>IF($C1378="","",IF($N1378="","-",INDEX(SETUP!$B$46:$B$51,MATCH($N1378,SETUP!$A$46:$A$51,1))))</f>
        <v/>
      </c>
      <c r="P1378" s="19" t="str">
        <f>IF($C1378="","",IF($I1378="","",RANK($I1378,$I$4:$I$1463)+COUNTIF($I$4:$I1378,$I1378)-1))</f>
        <v/>
      </c>
      <c r="Q1378" s="19" t="str">
        <f>IF($C1378="","",COUNTIFS($B$4:$B$1463,$B1378,$X$4:$X$1463,"&gt;"&amp;$X1378)+COUNTIFS($B$4:$B1378,$B1378,$X$4:$X1378,"="&amp;$X1378))</f>
        <v/>
      </c>
      <c r="R1378" s="75" t="str">
        <f>IF($C1378="","",IF($I1378="","",ROUND(COUNTIF($I$4:$I$1463,"&lt;"&amp;$I1378)/COUNT($I$4:$I$1463),3)))</f>
        <v/>
      </c>
      <c r="S1378" s="19" t="str">
        <f t="shared" si="113"/>
        <v/>
      </c>
      <c r="T1378" s="1" t="str">
        <f>IF($C1378="","",TRIM(IF(COUNTIF($C$4:$C$1463,$C1378)&gt;1,"Dup name; ","")&amp;IF(AND($G1378&lt;&gt;"",$G1378&lt;55000),"Low CR - verify; ","")&amp;IF(AND($L1378&lt;&gt;"",$L1378&gt;15),"Secondary - verify; ","")&amp;IF($E1378="","No class; ","")))</f>
        <v/>
      </c>
      <c r="U1378" s="68"/>
      <c r="V1378" s="68"/>
      <c r="W1378" s="68"/>
      <c r="X1378" s="1" t="str">
        <f t="shared" si="107"/>
        <v/>
      </c>
      <c r="Y1378" s="1" t="str">
        <f t="shared" si="108"/>
        <v/>
      </c>
      <c r="Z1378" s="19" t="str">
        <f>IF($C1378="","",IF($G1378="","",RANK($G1378,$G$4:$G$1463)+COUNTIF($G$4:$G1378,$G1378)-1))</f>
        <v/>
      </c>
      <c r="AA1378" s="19" t="str">
        <f>IF($C1378="","",IF($N1378="","",RANK($N1378,$N$4:$N$1463)+COUNTIF($N$4:$N1378,$N1378)-1))</f>
        <v/>
      </c>
      <c r="AB1378" s="1" t="str">
        <f>IF($C1378="","",IF($E1378="","",$E1378&amp;"#"&amp;(COUNTIFS($E$4:$E$1463,$E1378,$X$4:$X$1463,"&gt;"&amp;$X1378)+COUNTIFS($E$4:$E1378,$E1378,$X$4:$X1378,"="&amp;$X1378))))</f>
        <v/>
      </c>
      <c r="AC1378" s="1" t="str">
        <f>IF($C1378="","",$B1378&amp;"@"&amp;(COUNTIFS($B$4:$B$1463,$B1378,$C$4:$C$1463,"&lt;"&amp;$C1378)+COUNTIFS($B$4:$B1378,$B1378,$C$4:$C1378,$C1378)))</f>
        <v/>
      </c>
      <c r="AD1378" s="1" t="str">
        <f t="shared" si="109"/>
        <v/>
      </c>
      <c r="AE1378" s="1"/>
      <c r="AF1378" s="1" t="str">
        <f t="shared" si="110"/>
        <v/>
      </c>
      <c r="AG1378" s="1" t="str">
        <f t="shared" si="111"/>
        <v/>
      </c>
      <c r="AH1378" s="1" t="str">
        <f>IF($C1378="","",$B1378&amp;"|"&amp;(COUNTIFS($B$4:$B$1463,$B1378,$AF$4:$AF$1463,"&gt;"&amp;$AF1378)+COUNTIFS($B$4:$B1378,$B1378,$AF$4:$AF1378,"="&amp;$AF1378)))</f>
        <v/>
      </c>
      <c r="AI1378" s="1" t="str">
        <f>IF($C1378="","",$B1378&amp;"|"&amp;(COUNTIFS($B$4:$B$1463,$B1378,$AG$4:$AG$1463,"&gt;"&amp;$AG1378)+COUNTIFS($B$4:$B1378,$B1378,$AG$4:$AG1378,"="&amp;$AG1378)))</f>
        <v/>
      </c>
    </row>
    <row r="1379" spans="1:35" hidden="1">
      <c r="A1379" s="69"/>
      <c r="B1379" s="69"/>
      <c r="C1379" s="63"/>
      <c r="D1379" s="69"/>
      <c r="E1379" s="68"/>
      <c r="F1379" s="15" t="str">
        <f>IF($C1379="","",IF($E1379="","-",IFERROR(INDEX(SETUP!$B$55:$B$64,MATCH($E1379,SETUP!$A$55:$A$64,0)),"Other")))</f>
        <v/>
      </c>
      <c r="G1379" s="70"/>
      <c r="H1379" s="15" t="str">
        <f>IF($C1379="","",IF($G1379="","-",INDEX(SETUP!$B$26:$B$32,MATCH($G1379,SETUP!$A$26:$A$32,1))))</f>
        <v/>
      </c>
      <c r="I1379" s="70"/>
      <c r="J1379" s="15" t="str">
        <f>IF($C1379="","",IF($I1379="","-",INDEX(SETUP!$B$16:$B$22,MATCH($I1379,SETUP!$A$16:$A$22,1))))</f>
        <v/>
      </c>
      <c r="K1379" s="15" t="str">
        <f t="shared" si="112"/>
        <v/>
      </c>
      <c r="L1379" s="71"/>
      <c r="M1379" s="15" t="str">
        <f>IF($C1379="","",IF($L1379="","-",INDEX(SETUP!$B$36:$B$42,MATCH($L1379,SETUP!$A$36:$A$42,1))))</f>
        <v/>
      </c>
      <c r="N1379" s="17" t="str">
        <f>IF($C1379="","",IF(OR($G1379="",$I1379=""),"",ROUND(100*(SETUP!$B$4*MIN(1,$I1379/SETUP!$B$9)+SETUP!$B$5*MAX(0,MIN(1,($G1379-SETUP!$B$10)/(SETUP!$B$11-SETUP!$B$10)))+SETUP!$B$6*MIN(1,IF($L1379="",0,$L1379)/SETUP!$B$12)),1)))</f>
        <v/>
      </c>
      <c r="O1379" s="15" t="str">
        <f>IF($C1379="","",IF($N1379="","-",INDEX(SETUP!$B$46:$B$51,MATCH($N1379,SETUP!$A$46:$A$51,1))))</f>
        <v/>
      </c>
      <c r="P1379" s="15" t="str">
        <f>IF($C1379="","",IF($I1379="","",RANK($I1379,$I$4:$I$1463)+COUNTIF($I$4:$I1379,$I1379)-1))</f>
        <v/>
      </c>
      <c r="Q1379" s="15" t="str">
        <f>IF($C1379="","",COUNTIFS($B$4:$B$1463,$B1379,$X$4:$X$1463,"&gt;"&amp;$X1379)+COUNTIFS($B$4:$B1379,$B1379,$X$4:$X1379,"="&amp;$X1379))</f>
        <v/>
      </c>
      <c r="R1379" s="72" t="str">
        <f>IF($C1379="","",IF($I1379="","",ROUND(COUNTIF($I$4:$I$1463,"&lt;"&amp;$I1379)/COUNT($I$4:$I$1463),3)))</f>
        <v/>
      </c>
      <c r="S1379" s="15" t="str">
        <f t="shared" si="113"/>
        <v/>
      </c>
      <c r="T1379" s="41" t="str">
        <f>IF($C1379="","",TRIM(IF(COUNTIF($C$4:$C$1463,$C1379)&gt;1,"Dup name; ","")&amp;IF(AND($G1379&lt;&gt;"",$G1379&lt;55000),"Low CR - verify; ","")&amp;IF(AND($L1379&lt;&gt;"",$L1379&gt;15),"Secondary - verify; ","")&amp;IF($E1379="","No class; ","")))</f>
        <v/>
      </c>
      <c r="U1379" s="68"/>
      <c r="V1379" s="68"/>
      <c r="W1379" s="68"/>
      <c r="X1379" s="41" t="str">
        <f t="shared" si="107"/>
        <v/>
      </c>
      <c r="Y1379" s="41" t="str">
        <f t="shared" si="108"/>
        <v/>
      </c>
      <c r="Z1379" s="15" t="str">
        <f>IF($C1379="","",IF($G1379="","",RANK($G1379,$G$4:$G$1463)+COUNTIF($G$4:$G1379,$G1379)-1))</f>
        <v/>
      </c>
      <c r="AA1379" s="15" t="str">
        <f>IF($C1379="","",IF($N1379="","",RANK($N1379,$N$4:$N$1463)+COUNTIF($N$4:$N1379,$N1379)-1))</f>
        <v/>
      </c>
      <c r="AB1379" s="41" t="str">
        <f>IF($C1379="","",IF($E1379="","",$E1379&amp;"#"&amp;(COUNTIFS($E$4:$E$1463,$E1379,$X$4:$X$1463,"&gt;"&amp;$X1379)+COUNTIFS($E$4:$E1379,$E1379,$X$4:$X1379,"="&amp;$X1379))))</f>
        <v/>
      </c>
      <c r="AC1379" s="41" t="str">
        <f>IF($C1379="","",$B1379&amp;"@"&amp;(COUNTIFS($B$4:$B$1463,$B1379,$C$4:$C$1463,"&lt;"&amp;$C1379)+COUNTIFS($B$4:$B1379,$B1379,$C$4:$C1379,$C1379)))</f>
        <v/>
      </c>
      <c r="AD1379" s="41" t="str">
        <f t="shared" si="109"/>
        <v/>
      </c>
      <c r="AE1379" s="41"/>
      <c r="AF1379" s="41" t="str">
        <f t="shared" si="110"/>
        <v/>
      </c>
      <c r="AG1379" s="41" t="str">
        <f t="shared" si="111"/>
        <v/>
      </c>
      <c r="AH1379" s="41" t="str">
        <f>IF($C1379="","",$B1379&amp;"|"&amp;(COUNTIFS($B$4:$B$1463,$B1379,$AF$4:$AF$1463,"&gt;"&amp;$AF1379)+COUNTIFS($B$4:$B1379,$B1379,$AF$4:$AF1379,"="&amp;$AF1379)))</f>
        <v/>
      </c>
      <c r="AI1379" s="41" t="str">
        <f>IF($C1379="","",$B1379&amp;"|"&amp;(COUNTIFS($B$4:$B$1463,$B1379,$AG$4:$AG$1463,"&gt;"&amp;$AG1379)+COUNTIFS($B$4:$B1379,$B1379,$AG$4:$AG1379,"="&amp;$AG1379)))</f>
        <v/>
      </c>
    </row>
    <row r="1380" spans="1:35" hidden="1">
      <c r="A1380" s="69"/>
      <c r="B1380" s="69"/>
      <c r="C1380" s="63"/>
      <c r="D1380" s="69"/>
      <c r="E1380" s="68"/>
      <c r="F1380" s="19" t="str">
        <f>IF($C1380="","",IF($E1380="","-",IFERROR(INDEX(SETUP!$B$55:$B$64,MATCH($E1380,SETUP!$A$55:$A$64,0)),"Other")))</f>
        <v/>
      </c>
      <c r="G1380" s="70"/>
      <c r="H1380" s="19" t="str">
        <f>IF($C1380="","",IF($G1380="","-",INDEX(SETUP!$B$26:$B$32,MATCH($G1380,SETUP!$A$26:$A$32,1))))</f>
        <v/>
      </c>
      <c r="I1380" s="70"/>
      <c r="J1380" s="19" t="str">
        <f>IF($C1380="","",IF($I1380="","-",INDEX(SETUP!$B$16:$B$22,MATCH($I1380,SETUP!$A$16:$A$22,1))))</f>
        <v/>
      </c>
      <c r="K1380" s="19" t="str">
        <f t="shared" si="112"/>
        <v/>
      </c>
      <c r="L1380" s="71"/>
      <c r="M1380" s="19" t="str">
        <f>IF($C1380="","",IF($L1380="","-",INDEX(SETUP!$B$36:$B$42,MATCH($L1380,SETUP!$A$36:$A$42,1))))</f>
        <v/>
      </c>
      <c r="N1380" s="21" t="str">
        <f>IF($C1380="","",IF(OR($G1380="",$I1380=""),"",ROUND(100*(SETUP!$B$4*MIN(1,$I1380/SETUP!$B$9)+SETUP!$B$5*MAX(0,MIN(1,($G1380-SETUP!$B$10)/(SETUP!$B$11-SETUP!$B$10)))+SETUP!$B$6*MIN(1,IF($L1380="",0,$L1380)/SETUP!$B$12)),1)))</f>
        <v/>
      </c>
      <c r="O1380" s="19" t="str">
        <f>IF($C1380="","",IF($N1380="","-",INDEX(SETUP!$B$46:$B$51,MATCH($N1380,SETUP!$A$46:$A$51,1))))</f>
        <v/>
      </c>
      <c r="P1380" s="19" t="str">
        <f>IF($C1380="","",IF($I1380="","",RANK($I1380,$I$4:$I$1463)+COUNTIF($I$4:$I1380,$I1380)-1))</f>
        <v/>
      </c>
      <c r="Q1380" s="19" t="str">
        <f>IF($C1380="","",COUNTIFS($B$4:$B$1463,$B1380,$X$4:$X$1463,"&gt;"&amp;$X1380)+COUNTIFS($B$4:$B1380,$B1380,$X$4:$X1380,"="&amp;$X1380))</f>
        <v/>
      </c>
      <c r="R1380" s="75" t="str">
        <f>IF($C1380="","",IF($I1380="","",ROUND(COUNTIF($I$4:$I$1463,"&lt;"&amp;$I1380)/COUNT($I$4:$I$1463),3)))</f>
        <v/>
      </c>
      <c r="S1380" s="19" t="str">
        <f t="shared" si="113"/>
        <v/>
      </c>
      <c r="T1380" s="1" t="str">
        <f>IF($C1380="","",TRIM(IF(COUNTIF($C$4:$C$1463,$C1380)&gt;1,"Dup name; ","")&amp;IF(AND($G1380&lt;&gt;"",$G1380&lt;55000),"Low CR - verify; ","")&amp;IF(AND($L1380&lt;&gt;"",$L1380&gt;15),"Secondary - verify; ","")&amp;IF($E1380="","No class; ","")))</f>
        <v/>
      </c>
      <c r="U1380" s="68"/>
      <c r="V1380" s="68"/>
      <c r="W1380" s="68"/>
      <c r="X1380" s="1" t="str">
        <f t="shared" si="107"/>
        <v/>
      </c>
      <c r="Y1380" s="1" t="str">
        <f t="shared" si="108"/>
        <v/>
      </c>
      <c r="Z1380" s="19" t="str">
        <f>IF($C1380="","",IF($G1380="","",RANK($G1380,$G$4:$G$1463)+COUNTIF($G$4:$G1380,$G1380)-1))</f>
        <v/>
      </c>
      <c r="AA1380" s="19" t="str">
        <f>IF($C1380="","",IF($N1380="","",RANK($N1380,$N$4:$N$1463)+COUNTIF($N$4:$N1380,$N1380)-1))</f>
        <v/>
      </c>
      <c r="AB1380" s="1" t="str">
        <f>IF($C1380="","",IF($E1380="","",$E1380&amp;"#"&amp;(COUNTIFS($E$4:$E$1463,$E1380,$X$4:$X$1463,"&gt;"&amp;$X1380)+COUNTIFS($E$4:$E1380,$E1380,$X$4:$X1380,"="&amp;$X1380))))</f>
        <v/>
      </c>
      <c r="AC1380" s="1" t="str">
        <f>IF($C1380="","",$B1380&amp;"@"&amp;(COUNTIFS($B$4:$B$1463,$B1380,$C$4:$C$1463,"&lt;"&amp;$C1380)+COUNTIFS($B$4:$B1380,$B1380,$C$4:$C1380,$C1380)))</f>
        <v/>
      </c>
      <c r="AD1380" s="1" t="str">
        <f t="shared" si="109"/>
        <v/>
      </c>
      <c r="AE1380" s="1"/>
      <c r="AF1380" s="1" t="str">
        <f t="shared" si="110"/>
        <v/>
      </c>
      <c r="AG1380" s="1" t="str">
        <f t="shared" si="111"/>
        <v/>
      </c>
      <c r="AH1380" s="1" t="str">
        <f>IF($C1380="","",$B1380&amp;"|"&amp;(COUNTIFS($B$4:$B$1463,$B1380,$AF$4:$AF$1463,"&gt;"&amp;$AF1380)+COUNTIFS($B$4:$B1380,$B1380,$AF$4:$AF1380,"="&amp;$AF1380)))</f>
        <v/>
      </c>
      <c r="AI1380" s="1" t="str">
        <f>IF($C1380="","",$B1380&amp;"|"&amp;(COUNTIFS($B$4:$B$1463,$B1380,$AG$4:$AG$1463,"&gt;"&amp;$AG1380)+COUNTIFS($B$4:$B1380,$B1380,$AG$4:$AG1380,"="&amp;$AG1380)))</f>
        <v/>
      </c>
    </row>
    <row r="1381" spans="1:35" hidden="1">
      <c r="A1381" s="69"/>
      <c r="B1381" s="69"/>
      <c r="C1381" s="63"/>
      <c r="D1381" s="69"/>
      <c r="E1381" s="68"/>
      <c r="F1381" s="15" t="str">
        <f>IF($C1381="","",IF($E1381="","-",IFERROR(INDEX(SETUP!$B$55:$B$64,MATCH($E1381,SETUP!$A$55:$A$64,0)),"Other")))</f>
        <v/>
      </c>
      <c r="G1381" s="70"/>
      <c r="H1381" s="15" t="str">
        <f>IF($C1381="","",IF($G1381="","-",INDEX(SETUP!$B$26:$B$32,MATCH($G1381,SETUP!$A$26:$A$32,1))))</f>
        <v/>
      </c>
      <c r="I1381" s="70"/>
      <c r="J1381" s="15" t="str">
        <f>IF($C1381="","",IF($I1381="","-",INDEX(SETUP!$B$16:$B$22,MATCH($I1381,SETUP!$A$16:$A$22,1))))</f>
        <v/>
      </c>
      <c r="K1381" s="15" t="str">
        <f t="shared" si="112"/>
        <v/>
      </c>
      <c r="L1381" s="71"/>
      <c r="M1381" s="15" t="str">
        <f>IF($C1381="","",IF($L1381="","-",INDEX(SETUP!$B$36:$B$42,MATCH($L1381,SETUP!$A$36:$A$42,1))))</f>
        <v/>
      </c>
      <c r="N1381" s="17" t="str">
        <f>IF($C1381="","",IF(OR($G1381="",$I1381=""),"",ROUND(100*(SETUP!$B$4*MIN(1,$I1381/SETUP!$B$9)+SETUP!$B$5*MAX(0,MIN(1,($G1381-SETUP!$B$10)/(SETUP!$B$11-SETUP!$B$10)))+SETUP!$B$6*MIN(1,IF($L1381="",0,$L1381)/SETUP!$B$12)),1)))</f>
        <v/>
      </c>
      <c r="O1381" s="15" t="str">
        <f>IF($C1381="","",IF($N1381="","-",INDEX(SETUP!$B$46:$B$51,MATCH($N1381,SETUP!$A$46:$A$51,1))))</f>
        <v/>
      </c>
      <c r="P1381" s="15" t="str">
        <f>IF($C1381="","",IF($I1381="","",RANK($I1381,$I$4:$I$1463)+COUNTIF($I$4:$I1381,$I1381)-1))</f>
        <v/>
      </c>
      <c r="Q1381" s="15" t="str">
        <f>IF($C1381="","",COUNTIFS($B$4:$B$1463,$B1381,$X$4:$X$1463,"&gt;"&amp;$X1381)+COUNTIFS($B$4:$B1381,$B1381,$X$4:$X1381,"="&amp;$X1381))</f>
        <v/>
      </c>
      <c r="R1381" s="72" t="str">
        <f>IF($C1381="","",IF($I1381="","",ROUND(COUNTIF($I$4:$I$1463,"&lt;"&amp;$I1381)/COUNT($I$4:$I$1463),3)))</f>
        <v/>
      </c>
      <c r="S1381" s="15" t="str">
        <f t="shared" si="113"/>
        <v/>
      </c>
      <c r="T1381" s="41" t="str">
        <f>IF($C1381="","",TRIM(IF(COUNTIF($C$4:$C$1463,$C1381)&gt;1,"Dup name; ","")&amp;IF(AND($G1381&lt;&gt;"",$G1381&lt;55000),"Low CR - verify; ","")&amp;IF(AND($L1381&lt;&gt;"",$L1381&gt;15),"Secondary - verify; ","")&amp;IF($E1381="","No class; ","")))</f>
        <v/>
      </c>
      <c r="U1381" s="68"/>
      <c r="V1381" s="68"/>
      <c r="W1381" s="68"/>
      <c r="X1381" s="41" t="str">
        <f t="shared" si="107"/>
        <v/>
      </c>
      <c r="Y1381" s="41" t="str">
        <f t="shared" si="108"/>
        <v/>
      </c>
      <c r="Z1381" s="15" t="str">
        <f>IF($C1381="","",IF($G1381="","",RANK($G1381,$G$4:$G$1463)+COUNTIF($G$4:$G1381,$G1381)-1))</f>
        <v/>
      </c>
      <c r="AA1381" s="15" t="str">
        <f>IF($C1381="","",IF($N1381="","",RANK($N1381,$N$4:$N$1463)+COUNTIF($N$4:$N1381,$N1381)-1))</f>
        <v/>
      </c>
      <c r="AB1381" s="41" t="str">
        <f>IF($C1381="","",IF($E1381="","",$E1381&amp;"#"&amp;(COUNTIFS($E$4:$E$1463,$E1381,$X$4:$X$1463,"&gt;"&amp;$X1381)+COUNTIFS($E$4:$E1381,$E1381,$X$4:$X1381,"="&amp;$X1381))))</f>
        <v/>
      </c>
      <c r="AC1381" s="41" t="str">
        <f>IF($C1381="","",$B1381&amp;"@"&amp;(COUNTIFS($B$4:$B$1463,$B1381,$C$4:$C$1463,"&lt;"&amp;$C1381)+COUNTIFS($B$4:$B1381,$B1381,$C$4:$C1381,$C1381)))</f>
        <v/>
      </c>
      <c r="AD1381" s="41" t="str">
        <f t="shared" si="109"/>
        <v/>
      </c>
      <c r="AE1381" s="41"/>
      <c r="AF1381" s="41" t="str">
        <f t="shared" si="110"/>
        <v/>
      </c>
      <c r="AG1381" s="41" t="str">
        <f t="shared" si="111"/>
        <v/>
      </c>
      <c r="AH1381" s="41" t="str">
        <f>IF($C1381="","",$B1381&amp;"|"&amp;(COUNTIFS($B$4:$B$1463,$B1381,$AF$4:$AF$1463,"&gt;"&amp;$AF1381)+COUNTIFS($B$4:$B1381,$B1381,$AF$4:$AF1381,"="&amp;$AF1381)))</f>
        <v/>
      </c>
      <c r="AI1381" s="41" t="str">
        <f>IF($C1381="","",$B1381&amp;"|"&amp;(COUNTIFS($B$4:$B$1463,$B1381,$AG$4:$AG$1463,"&gt;"&amp;$AG1381)+COUNTIFS($B$4:$B1381,$B1381,$AG$4:$AG1381,"="&amp;$AG1381)))</f>
        <v/>
      </c>
    </row>
    <row r="1382" spans="1:35" hidden="1">
      <c r="A1382" s="69"/>
      <c r="B1382" s="69"/>
      <c r="C1382" s="63"/>
      <c r="D1382" s="69"/>
      <c r="E1382" s="68"/>
      <c r="F1382" s="19" t="str">
        <f>IF($C1382="","",IF($E1382="","-",IFERROR(INDEX(SETUP!$B$55:$B$64,MATCH($E1382,SETUP!$A$55:$A$64,0)),"Other")))</f>
        <v/>
      </c>
      <c r="G1382" s="70"/>
      <c r="H1382" s="19" t="str">
        <f>IF($C1382="","",IF($G1382="","-",INDEX(SETUP!$B$26:$B$32,MATCH($G1382,SETUP!$A$26:$A$32,1))))</f>
        <v/>
      </c>
      <c r="I1382" s="70"/>
      <c r="J1382" s="19" t="str">
        <f>IF($C1382="","",IF($I1382="","-",INDEX(SETUP!$B$16:$B$22,MATCH($I1382,SETUP!$A$16:$A$22,1))))</f>
        <v/>
      </c>
      <c r="K1382" s="19" t="str">
        <f t="shared" si="112"/>
        <v/>
      </c>
      <c r="L1382" s="71"/>
      <c r="M1382" s="19" t="str">
        <f>IF($C1382="","",IF($L1382="","-",INDEX(SETUP!$B$36:$B$42,MATCH($L1382,SETUP!$A$36:$A$42,1))))</f>
        <v/>
      </c>
      <c r="N1382" s="21" t="str">
        <f>IF($C1382="","",IF(OR($G1382="",$I1382=""),"",ROUND(100*(SETUP!$B$4*MIN(1,$I1382/SETUP!$B$9)+SETUP!$B$5*MAX(0,MIN(1,($G1382-SETUP!$B$10)/(SETUP!$B$11-SETUP!$B$10)))+SETUP!$B$6*MIN(1,IF($L1382="",0,$L1382)/SETUP!$B$12)),1)))</f>
        <v/>
      </c>
      <c r="O1382" s="19" t="str">
        <f>IF($C1382="","",IF($N1382="","-",INDEX(SETUP!$B$46:$B$51,MATCH($N1382,SETUP!$A$46:$A$51,1))))</f>
        <v/>
      </c>
      <c r="P1382" s="19" t="str">
        <f>IF($C1382="","",IF($I1382="","",RANK($I1382,$I$4:$I$1463)+COUNTIF($I$4:$I1382,$I1382)-1))</f>
        <v/>
      </c>
      <c r="Q1382" s="19" t="str">
        <f>IF($C1382="","",COUNTIFS($B$4:$B$1463,$B1382,$X$4:$X$1463,"&gt;"&amp;$X1382)+COUNTIFS($B$4:$B1382,$B1382,$X$4:$X1382,"="&amp;$X1382))</f>
        <v/>
      </c>
      <c r="R1382" s="75" t="str">
        <f>IF($C1382="","",IF($I1382="","",ROUND(COUNTIF($I$4:$I$1463,"&lt;"&amp;$I1382)/COUNT($I$4:$I$1463),3)))</f>
        <v/>
      </c>
      <c r="S1382" s="19" t="str">
        <f t="shared" si="113"/>
        <v/>
      </c>
      <c r="T1382" s="1" t="str">
        <f>IF($C1382="","",TRIM(IF(COUNTIF($C$4:$C$1463,$C1382)&gt;1,"Dup name; ","")&amp;IF(AND($G1382&lt;&gt;"",$G1382&lt;55000),"Low CR - verify; ","")&amp;IF(AND($L1382&lt;&gt;"",$L1382&gt;15),"Secondary - verify; ","")&amp;IF($E1382="","No class; ","")))</f>
        <v/>
      </c>
      <c r="U1382" s="68"/>
      <c r="V1382" s="68"/>
      <c r="W1382" s="68"/>
      <c r="X1382" s="1" t="str">
        <f t="shared" si="107"/>
        <v/>
      </c>
      <c r="Y1382" s="1" t="str">
        <f t="shared" si="108"/>
        <v/>
      </c>
      <c r="Z1382" s="19" t="str">
        <f>IF($C1382="","",IF($G1382="","",RANK($G1382,$G$4:$G$1463)+COUNTIF($G$4:$G1382,$G1382)-1))</f>
        <v/>
      </c>
      <c r="AA1382" s="19" t="str">
        <f>IF($C1382="","",IF($N1382="","",RANK($N1382,$N$4:$N$1463)+COUNTIF($N$4:$N1382,$N1382)-1))</f>
        <v/>
      </c>
      <c r="AB1382" s="1" t="str">
        <f>IF($C1382="","",IF($E1382="","",$E1382&amp;"#"&amp;(COUNTIFS($E$4:$E$1463,$E1382,$X$4:$X$1463,"&gt;"&amp;$X1382)+COUNTIFS($E$4:$E1382,$E1382,$X$4:$X1382,"="&amp;$X1382))))</f>
        <v/>
      </c>
      <c r="AC1382" s="1" t="str">
        <f>IF($C1382="","",$B1382&amp;"@"&amp;(COUNTIFS($B$4:$B$1463,$B1382,$C$4:$C$1463,"&lt;"&amp;$C1382)+COUNTIFS($B$4:$B1382,$B1382,$C$4:$C1382,$C1382)))</f>
        <v/>
      </c>
      <c r="AD1382" s="1" t="str">
        <f t="shared" si="109"/>
        <v/>
      </c>
      <c r="AE1382" s="1"/>
      <c r="AF1382" s="1" t="str">
        <f t="shared" si="110"/>
        <v/>
      </c>
      <c r="AG1382" s="1" t="str">
        <f t="shared" si="111"/>
        <v/>
      </c>
      <c r="AH1382" s="1" t="str">
        <f>IF($C1382="","",$B1382&amp;"|"&amp;(COUNTIFS($B$4:$B$1463,$B1382,$AF$4:$AF$1463,"&gt;"&amp;$AF1382)+COUNTIFS($B$4:$B1382,$B1382,$AF$4:$AF1382,"="&amp;$AF1382)))</f>
        <v/>
      </c>
      <c r="AI1382" s="1" t="str">
        <f>IF($C1382="","",$B1382&amp;"|"&amp;(COUNTIFS($B$4:$B$1463,$B1382,$AG$4:$AG$1463,"&gt;"&amp;$AG1382)+COUNTIFS($B$4:$B1382,$B1382,$AG$4:$AG1382,"="&amp;$AG1382)))</f>
        <v/>
      </c>
    </row>
    <row r="1383" spans="1:35" hidden="1">
      <c r="A1383" s="69"/>
      <c r="B1383" s="69"/>
      <c r="C1383" s="63"/>
      <c r="D1383" s="69"/>
      <c r="E1383" s="68"/>
      <c r="F1383" s="15" t="str">
        <f>IF($C1383="","",IF($E1383="","-",IFERROR(INDEX(SETUP!$B$55:$B$64,MATCH($E1383,SETUP!$A$55:$A$64,0)),"Other")))</f>
        <v/>
      </c>
      <c r="G1383" s="70"/>
      <c r="H1383" s="15" t="str">
        <f>IF($C1383="","",IF($G1383="","-",INDEX(SETUP!$B$26:$B$32,MATCH($G1383,SETUP!$A$26:$A$32,1))))</f>
        <v/>
      </c>
      <c r="I1383" s="70"/>
      <c r="J1383" s="15" t="str">
        <f>IF($C1383="","",IF($I1383="","-",INDEX(SETUP!$B$16:$B$22,MATCH($I1383,SETUP!$A$16:$A$22,1))))</f>
        <v/>
      </c>
      <c r="K1383" s="15" t="str">
        <f t="shared" si="112"/>
        <v/>
      </c>
      <c r="L1383" s="71"/>
      <c r="M1383" s="15" t="str">
        <f>IF($C1383="","",IF($L1383="","-",INDEX(SETUP!$B$36:$B$42,MATCH($L1383,SETUP!$A$36:$A$42,1))))</f>
        <v/>
      </c>
      <c r="N1383" s="17" t="str">
        <f>IF($C1383="","",IF(OR($G1383="",$I1383=""),"",ROUND(100*(SETUP!$B$4*MIN(1,$I1383/SETUP!$B$9)+SETUP!$B$5*MAX(0,MIN(1,($G1383-SETUP!$B$10)/(SETUP!$B$11-SETUP!$B$10)))+SETUP!$B$6*MIN(1,IF($L1383="",0,$L1383)/SETUP!$B$12)),1)))</f>
        <v/>
      </c>
      <c r="O1383" s="15" t="str">
        <f>IF($C1383="","",IF($N1383="","-",INDEX(SETUP!$B$46:$B$51,MATCH($N1383,SETUP!$A$46:$A$51,1))))</f>
        <v/>
      </c>
      <c r="P1383" s="15" t="str">
        <f>IF($C1383="","",IF($I1383="","",RANK($I1383,$I$4:$I$1463)+COUNTIF($I$4:$I1383,$I1383)-1))</f>
        <v/>
      </c>
      <c r="Q1383" s="15" t="str">
        <f>IF($C1383="","",COUNTIFS($B$4:$B$1463,$B1383,$X$4:$X$1463,"&gt;"&amp;$X1383)+COUNTIFS($B$4:$B1383,$B1383,$X$4:$X1383,"="&amp;$X1383))</f>
        <v/>
      </c>
      <c r="R1383" s="72" t="str">
        <f>IF($C1383="","",IF($I1383="","",ROUND(COUNTIF($I$4:$I$1463,"&lt;"&amp;$I1383)/COUNT($I$4:$I$1463),3)))</f>
        <v/>
      </c>
      <c r="S1383" s="15" t="str">
        <f t="shared" si="113"/>
        <v/>
      </c>
      <c r="T1383" s="41" t="str">
        <f>IF($C1383="","",TRIM(IF(COUNTIF($C$4:$C$1463,$C1383)&gt;1,"Dup name; ","")&amp;IF(AND($G1383&lt;&gt;"",$G1383&lt;55000),"Low CR - verify; ","")&amp;IF(AND($L1383&lt;&gt;"",$L1383&gt;15),"Secondary - verify; ","")&amp;IF($E1383="","No class; ","")))</f>
        <v/>
      </c>
      <c r="U1383" s="68"/>
      <c r="V1383" s="68"/>
      <c r="W1383" s="68"/>
      <c r="X1383" s="41" t="str">
        <f t="shared" si="107"/>
        <v/>
      </c>
      <c r="Y1383" s="41" t="str">
        <f t="shared" si="108"/>
        <v/>
      </c>
      <c r="Z1383" s="15" t="str">
        <f>IF($C1383="","",IF($G1383="","",RANK($G1383,$G$4:$G$1463)+COUNTIF($G$4:$G1383,$G1383)-1))</f>
        <v/>
      </c>
      <c r="AA1383" s="15" t="str">
        <f>IF($C1383="","",IF($N1383="","",RANK($N1383,$N$4:$N$1463)+COUNTIF($N$4:$N1383,$N1383)-1))</f>
        <v/>
      </c>
      <c r="AB1383" s="41" t="str">
        <f>IF($C1383="","",IF($E1383="","",$E1383&amp;"#"&amp;(COUNTIFS($E$4:$E$1463,$E1383,$X$4:$X$1463,"&gt;"&amp;$X1383)+COUNTIFS($E$4:$E1383,$E1383,$X$4:$X1383,"="&amp;$X1383))))</f>
        <v/>
      </c>
      <c r="AC1383" s="41" t="str">
        <f>IF($C1383="","",$B1383&amp;"@"&amp;(COUNTIFS($B$4:$B$1463,$B1383,$C$4:$C$1463,"&lt;"&amp;$C1383)+COUNTIFS($B$4:$B1383,$B1383,$C$4:$C1383,$C1383)))</f>
        <v/>
      </c>
      <c r="AD1383" s="41" t="str">
        <f t="shared" si="109"/>
        <v/>
      </c>
      <c r="AE1383" s="41"/>
      <c r="AF1383" s="41" t="str">
        <f t="shared" si="110"/>
        <v/>
      </c>
      <c r="AG1383" s="41" t="str">
        <f t="shared" si="111"/>
        <v/>
      </c>
      <c r="AH1383" s="41" t="str">
        <f>IF($C1383="","",$B1383&amp;"|"&amp;(COUNTIFS($B$4:$B$1463,$B1383,$AF$4:$AF$1463,"&gt;"&amp;$AF1383)+COUNTIFS($B$4:$B1383,$B1383,$AF$4:$AF1383,"="&amp;$AF1383)))</f>
        <v/>
      </c>
      <c r="AI1383" s="41" t="str">
        <f>IF($C1383="","",$B1383&amp;"|"&amp;(COUNTIFS($B$4:$B$1463,$B1383,$AG$4:$AG$1463,"&gt;"&amp;$AG1383)+COUNTIFS($B$4:$B1383,$B1383,$AG$4:$AG1383,"="&amp;$AG1383)))</f>
        <v/>
      </c>
    </row>
    <row r="1384" spans="1:35" hidden="1">
      <c r="A1384" s="69"/>
      <c r="B1384" s="69"/>
      <c r="C1384" s="63"/>
      <c r="D1384" s="69"/>
      <c r="E1384" s="68"/>
      <c r="F1384" s="19" t="str">
        <f>IF($C1384="","",IF($E1384="","-",IFERROR(INDEX(SETUP!$B$55:$B$64,MATCH($E1384,SETUP!$A$55:$A$64,0)),"Other")))</f>
        <v/>
      </c>
      <c r="G1384" s="70"/>
      <c r="H1384" s="19" t="str">
        <f>IF($C1384="","",IF($G1384="","-",INDEX(SETUP!$B$26:$B$32,MATCH($G1384,SETUP!$A$26:$A$32,1))))</f>
        <v/>
      </c>
      <c r="I1384" s="70"/>
      <c r="J1384" s="19" t="str">
        <f>IF($C1384="","",IF($I1384="","-",INDEX(SETUP!$B$16:$B$22,MATCH($I1384,SETUP!$A$16:$A$22,1))))</f>
        <v/>
      </c>
      <c r="K1384" s="19" t="str">
        <f t="shared" si="112"/>
        <v/>
      </c>
      <c r="L1384" s="71"/>
      <c r="M1384" s="19" t="str">
        <f>IF($C1384="","",IF($L1384="","-",INDEX(SETUP!$B$36:$B$42,MATCH($L1384,SETUP!$A$36:$A$42,1))))</f>
        <v/>
      </c>
      <c r="N1384" s="21" t="str">
        <f>IF($C1384="","",IF(OR($G1384="",$I1384=""),"",ROUND(100*(SETUP!$B$4*MIN(1,$I1384/SETUP!$B$9)+SETUP!$B$5*MAX(0,MIN(1,($G1384-SETUP!$B$10)/(SETUP!$B$11-SETUP!$B$10)))+SETUP!$B$6*MIN(1,IF($L1384="",0,$L1384)/SETUP!$B$12)),1)))</f>
        <v/>
      </c>
      <c r="O1384" s="19" t="str">
        <f>IF($C1384="","",IF($N1384="","-",INDEX(SETUP!$B$46:$B$51,MATCH($N1384,SETUP!$A$46:$A$51,1))))</f>
        <v/>
      </c>
      <c r="P1384" s="19" t="str">
        <f>IF($C1384="","",IF($I1384="","",RANK($I1384,$I$4:$I$1463)+COUNTIF($I$4:$I1384,$I1384)-1))</f>
        <v/>
      </c>
      <c r="Q1384" s="19" t="str">
        <f>IF($C1384="","",COUNTIFS($B$4:$B$1463,$B1384,$X$4:$X$1463,"&gt;"&amp;$X1384)+COUNTIFS($B$4:$B1384,$B1384,$X$4:$X1384,"="&amp;$X1384))</f>
        <v/>
      </c>
      <c r="R1384" s="75" t="str">
        <f>IF($C1384="","",IF($I1384="","",ROUND(COUNTIF($I$4:$I$1463,"&lt;"&amp;$I1384)/COUNT($I$4:$I$1463),3)))</f>
        <v/>
      </c>
      <c r="S1384" s="19" t="str">
        <f t="shared" si="113"/>
        <v/>
      </c>
      <c r="T1384" s="1" t="str">
        <f>IF($C1384="","",TRIM(IF(COUNTIF($C$4:$C$1463,$C1384)&gt;1,"Dup name; ","")&amp;IF(AND($G1384&lt;&gt;"",$G1384&lt;55000),"Low CR - verify; ","")&amp;IF(AND($L1384&lt;&gt;"",$L1384&gt;15),"Secondary - verify; ","")&amp;IF($E1384="","No class; ","")))</f>
        <v/>
      </c>
      <c r="U1384" s="68"/>
      <c r="V1384" s="68"/>
      <c r="W1384" s="68"/>
      <c r="X1384" s="1" t="str">
        <f t="shared" si="107"/>
        <v/>
      </c>
      <c r="Y1384" s="1" t="str">
        <f t="shared" si="108"/>
        <v/>
      </c>
      <c r="Z1384" s="19" t="str">
        <f>IF($C1384="","",IF($G1384="","",RANK($G1384,$G$4:$G$1463)+COUNTIF($G$4:$G1384,$G1384)-1))</f>
        <v/>
      </c>
      <c r="AA1384" s="19" t="str">
        <f>IF($C1384="","",IF($N1384="","",RANK($N1384,$N$4:$N$1463)+COUNTIF($N$4:$N1384,$N1384)-1))</f>
        <v/>
      </c>
      <c r="AB1384" s="1" t="str">
        <f>IF($C1384="","",IF($E1384="","",$E1384&amp;"#"&amp;(COUNTIFS($E$4:$E$1463,$E1384,$X$4:$X$1463,"&gt;"&amp;$X1384)+COUNTIFS($E$4:$E1384,$E1384,$X$4:$X1384,"="&amp;$X1384))))</f>
        <v/>
      </c>
      <c r="AC1384" s="1" t="str">
        <f>IF($C1384="","",$B1384&amp;"@"&amp;(COUNTIFS($B$4:$B$1463,$B1384,$C$4:$C$1463,"&lt;"&amp;$C1384)+COUNTIFS($B$4:$B1384,$B1384,$C$4:$C1384,$C1384)))</f>
        <v/>
      </c>
      <c r="AD1384" s="1" t="str">
        <f t="shared" si="109"/>
        <v/>
      </c>
      <c r="AE1384" s="1"/>
      <c r="AF1384" s="1" t="str">
        <f t="shared" si="110"/>
        <v/>
      </c>
      <c r="AG1384" s="1" t="str">
        <f t="shared" si="111"/>
        <v/>
      </c>
      <c r="AH1384" s="1" t="str">
        <f>IF($C1384="","",$B1384&amp;"|"&amp;(COUNTIFS($B$4:$B$1463,$B1384,$AF$4:$AF$1463,"&gt;"&amp;$AF1384)+COUNTIFS($B$4:$B1384,$B1384,$AF$4:$AF1384,"="&amp;$AF1384)))</f>
        <v/>
      </c>
      <c r="AI1384" s="1" t="str">
        <f>IF($C1384="","",$B1384&amp;"|"&amp;(COUNTIFS($B$4:$B$1463,$B1384,$AG$4:$AG$1463,"&gt;"&amp;$AG1384)+COUNTIFS($B$4:$B1384,$B1384,$AG$4:$AG1384,"="&amp;$AG1384)))</f>
        <v/>
      </c>
    </row>
    <row r="1385" spans="1:35" hidden="1">
      <c r="A1385" s="69"/>
      <c r="B1385" s="69"/>
      <c r="C1385" s="63"/>
      <c r="D1385" s="69"/>
      <c r="E1385" s="68"/>
      <c r="F1385" s="15" t="str">
        <f>IF($C1385="","",IF($E1385="","-",IFERROR(INDEX(SETUP!$B$55:$B$64,MATCH($E1385,SETUP!$A$55:$A$64,0)),"Other")))</f>
        <v/>
      </c>
      <c r="G1385" s="70"/>
      <c r="H1385" s="15" t="str">
        <f>IF($C1385="","",IF($G1385="","-",INDEX(SETUP!$B$26:$B$32,MATCH($G1385,SETUP!$A$26:$A$32,1))))</f>
        <v/>
      </c>
      <c r="I1385" s="70"/>
      <c r="J1385" s="15" t="str">
        <f>IF($C1385="","",IF($I1385="","-",INDEX(SETUP!$B$16:$B$22,MATCH($I1385,SETUP!$A$16:$A$22,1))))</f>
        <v/>
      </c>
      <c r="K1385" s="15" t="str">
        <f t="shared" si="112"/>
        <v/>
      </c>
      <c r="L1385" s="71"/>
      <c r="M1385" s="15" t="str">
        <f>IF($C1385="","",IF($L1385="","-",INDEX(SETUP!$B$36:$B$42,MATCH($L1385,SETUP!$A$36:$A$42,1))))</f>
        <v/>
      </c>
      <c r="N1385" s="17" t="str">
        <f>IF($C1385="","",IF(OR($G1385="",$I1385=""),"",ROUND(100*(SETUP!$B$4*MIN(1,$I1385/SETUP!$B$9)+SETUP!$B$5*MAX(0,MIN(1,($G1385-SETUP!$B$10)/(SETUP!$B$11-SETUP!$B$10)))+SETUP!$B$6*MIN(1,IF($L1385="",0,$L1385)/SETUP!$B$12)),1)))</f>
        <v/>
      </c>
      <c r="O1385" s="15" t="str">
        <f>IF($C1385="","",IF($N1385="","-",INDEX(SETUP!$B$46:$B$51,MATCH($N1385,SETUP!$A$46:$A$51,1))))</f>
        <v/>
      </c>
      <c r="P1385" s="15" t="str">
        <f>IF($C1385="","",IF($I1385="","",RANK($I1385,$I$4:$I$1463)+COUNTIF($I$4:$I1385,$I1385)-1))</f>
        <v/>
      </c>
      <c r="Q1385" s="15" t="str">
        <f>IF($C1385="","",COUNTIFS($B$4:$B$1463,$B1385,$X$4:$X$1463,"&gt;"&amp;$X1385)+COUNTIFS($B$4:$B1385,$B1385,$X$4:$X1385,"="&amp;$X1385))</f>
        <v/>
      </c>
      <c r="R1385" s="72" t="str">
        <f>IF($C1385="","",IF($I1385="","",ROUND(COUNTIF($I$4:$I$1463,"&lt;"&amp;$I1385)/COUNT($I$4:$I$1463),3)))</f>
        <v/>
      </c>
      <c r="S1385" s="15" t="str">
        <f t="shared" si="113"/>
        <v/>
      </c>
      <c r="T1385" s="41" t="str">
        <f>IF($C1385="","",TRIM(IF(COUNTIF($C$4:$C$1463,$C1385)&gt;1,"Dup name; ","")&amp;IF(AND($G1385&lt;&gt;"",$G1385&lt;55000),"Low CR - verify; ","")&amp;IF(AND($L1385&lt;&gt;"",$L1385&gt;15),"Secondary - verify; ","")&amp;IF($E1385="","No class; ","")))</f>
        <v/>
      </c>
      <c r="U1385" s="68"/>
      <c r="V1385" s="68"/>
      <c r="W1385" s="68"/>
      <c r="X1385" s="41" t="str">
        <f t="shared" si="107"/>
        <v/>
      </c>
      <c r="Y1385" s="41" t="str">
        <f t="shared" si="108"/>
        <v/>
      </c>
      <c r="Z1385" s="15" t="str">
        <f>IF($C1385="","",IF($G1385="","",RANK($G1385,$G$4:$G$1463)+COUNTIF($G$4:$G1385,$G1385)-1))</f>
        <v/>
      </c>
      <c r="AA1385" s="15" t="str">
        <f>IF($C1385="","",IF($N1385="","",RANK($N1385,$N$4:$N$1463)+COUNTIF($N$4:$N1385,$N1385)-1))</f>
        <v/>
      </c>
      <c r="AB1385" s="41" t="str">
        <f>IF($C1385="","",IF($E1385="","",$E1385&amp;"#"&amp;(COUNTIFS($E$4:$E$1463,$E1385,$X$4:$X$1463,"&gt;"&amp;$X1385)+COUNTIFS($E$4:$E1385,$E1385,$X$4:$X1385,"="&amp;$X1385))))</f>
        <v/>
      </c>
      <c r="AC1385" s="41" t="str">
        <f>IF($C1385="","",$B1385&amp;"@"&amp;(COUNTIFS($B$4:$B$1463,$B1385,$C$4:$C$1463,"&lt;"&amp;$C1385)+COUNTIFS($B$4:$B1385,$B1385,$C$4:$C1385,$C1385)))</f>
        <v/>
      </c>
      <c r="AD1385" s="41" t="str">
        <f t="shared" si="109"/>
        <v/>
      </c>
      <c r="AE1385" s="41"/>
      <c r="AF1385" s="41" t="str">
        <f t="shared" si="110"/>
        <v/>
      </c>
      <c r="AG1385" s="41" t="str">
        <f t="shared" si="111"/>
        <v/>
      </c>
      <c r="AH1385" s="41" t="str">
        <f>IF($C1385="","",$B1385&amp;"|"&amp;(COUNTIFS($B$4:$B$1463,$B1385,$AF$4:$AF$1463,"&gt;"&amp;$AF1385)+COUNTIFS($B$4:$B1385,$B1385,$AF$4:$AF1385,"="&amp;$AF1385)))</f>
        <v/>
      </c>
      <c r="AI1385" s="41" t="str">
        <f>IF($C1385="","",$B1385&amp;"|"&amp;(COUNTIFS($B$4:$B$1463,$B1385,$AG$4:$AG$1463,"&gt;"&amp;$AG1385)+COUNTIFS($B$4:$B1385,$B1385,$AG$4:$AG1385,"="&amp;$AG1385)))</f>
        <v/>
      </c>
    </row>
    <row r="1386" spans="1:35" hidden="1">
      <c r="A1386" s="69"/>
      <c r="B1386" s="69"/>
      <c r="C1386" s="63"/>
      <c r="D1386" s="69"/>
      <c r="E1386" s="68"/>
      <c r="F1386" s="19" t="str">
        <f>IF($C1386="","",IF($E1386="","-",IFERROR(INDEX(SETUP!$B$55:$B$64,MATCH($E1386,SETUP!$A$55:$A$64,0)),"Other")))</f>
        <v/>
      </c>
      <c r="G1386" s="70"/>
      <c r="H1386" s="19" t="str">
        <f>IF($C1386="","",IF($G1386="","-",INDEX(SETUP!$B$26:$B$32,MATCH($G1386,SETUP!$A$26:$A$32,1))))</f>
        <v/>
      </c>
      <c r="I1386" s="70"/>
      <c r="J1386" s="19" t="str">
        <f>IF($C1386="","",IF($I1386="","-",INDEX(SETUP!$B$16:$B$22,MATCH($I1386,SETUP!$A$16:$A$22,1))))</f>
        <v/>
      </c>
      <c r="K1386" s="19" t="str">
        <f t="shared" si="112"/>
        <v/>
      </c>
      <c r="L1386" s="71"/>
      <c r="M1386" s="19" t="str">
        <f>IF($C1386="","",IF($L1386="","-",INDEX(SETUP!$B$36:$B$42,MATCH($L1386,SETUP!$A$36:$A$42,1))))</f>
        <v/>
      </c>
      <c r="N1386" s="21" t="str">
        <f>IF($C1386="","",IF(OR($G1386="",$I1386=""),"",ROUND(100*(SETUP!$B$4*MIN(1,$I1386/SETUP!$B$9)+SETUP!$B$5*MAX(0,MIN(1,($G1386-SETUP!$B$10)/(SETUP!$B$11-SETUP!$B$10)))+SETUP!$B$6*MIN(1,IF($L1386="",0,$L1386)/SETUP!$B$12)),1)))</f>
        <v/>
      </c>
      <c r="O1386" s="19" t="str">
        <f>IF($C1386="","",IF($N1386="","-",INDEX(SETUP!$B$46:$B$51,MATCH($N1386,SETUP!$A$46:$A$51,1))))</f>
        <v/>
      </c>
      <c r="P1386" s="19" t="str">
        <f>IF($C1386="","",IF($I1386="","",RANK($I1386,$I$4:$I$1463)+COUNTIF($I$4:$I1386,$I1386)-1))</f>
        <v/>
      </c>
      <c r="Q1386" s="19" t="str">
        <f>IF($C1386="","",COUNTIFS($B$4:$B$1463,$B1386,$X$4:$X$1463,"&gt;"&amp;$X1386)+COUNTIFS($B$4:$B1386,$B1386,$X$4:$X1386,"="&amp;$X1386))</f>
        <v/>
      </c>
      <c r="R1386" s="75" t="str">
        <f>IF($C1386="","",IF($I1386="","",ROUND(COUNTIF($I$4:$I$1463,"&lt;"&amp;$I1386)/COUNT($I$4:$I$1463),3)))</f>
        <v/>
      </c>
      <c r="S1386" s="19" t="str">
        <f t="shared" si="113"/>
        <v/>
      </c>
      <c r="T1386" s="1" t="str">
        <f>IF($C1386="","",TRIM(IF(COUNTIF($C$4:$C$1463,$C1386)&gt;1,"Dup name; ","")&amp;IF(AND($G1386&lt;&gt;"",$G1386&lt;55000),"Low CR - verify; ","")&amp;IF(AND($L1386&lt;&gt;"",$L1386&gt;15),"Secondary - verify; ","")&amp;IF($E1386="","No class; ","")))</f>
        <v/>
      </c>
      <c r="U1386" s="68"/>
      <c r="V1386" s="68"/>
      <c r="W1386" s="68"/>
      <c r="X1386" s="1" t="str">
        <f t="shared" si="107"/>
        <v/>
      </c>
      <c r="Y1386" s="1" t="str">
        <f t="shared" si="108"/>
        <v/>
      </c>
      <c r="Z1386" s="19" t="str">
        <f>IF($C1386="","",IF($G1386="","",RANK($G1386,$G$4:$G$1463)+COUNTIF($G$4:$G1386,$G1386)-1))</f>
        <v/>
      </c>
      <c r="AA1386" s="19" t="str">
        <f>IF($C1386="","",IF($N1386="","",RANK($N1386,$N$4:$N$1463)+COUNTIF($N$4:$N1386,$N1386)-1))</f>
        <v/>
      </c>
      <c r="AB1386" s="1" t="str">
        <f>IF($C1386="","",IF($E1386="","",$E1386&amp;"#"&amp;(COUNTIFS($E$4:$E$1463,$E1386,$X$4:$X$1463,"&gt;"&amp;$X1386)+COUNTIFS($E$4:$E1386,$E1386,$X$4:$X1386,"="&amp;$X1386))))</f>
        <v/>
      </c>
      <c r="AC1386" s="1" t="str">
        <f>IF($C1386="","",$B1386&amp;"@"&amp;(COUNTIFS($B$4:$B$1463,$B1386,$C$4:$C$1463,"&lt;"&amp;$C1386)+COUNTIFS($B$4:$B1386,$B1386,$C$4:$C1386,$C1386)))</f>
        <v/>
      </c>
      <c r="AD1386" s="1" t="str">
        <f t="shared" si="109"/>
        <v/>
      </c>
      <c r="AE1386" s="1"/>
      <c r="AF1386" s="1" t="str">
        <f t="shared" si="110"/>
        <v/>
      </c>
      <c r="AG1386" s="1" t="str">
        <f t="shared" si="111"/>
        <v/>
      </c>
      <c r="AH1386" s="1" t="str">
        <f>IF($C1386="","",$B1386&amp;"|"&amp;(COUNTIFS($B$4:$B$1463,$B1386,$AF$4:$AF$1463,"&gt;"&amp;$AF1386)+COUNTIFS($B$4:$B1386,$B1386,$AF$4:$AF1386,"="&amp;$AF1386)))</f>
        <v/>
      </c>
      <c r="AI1386" s="1" t="str">
        <f>IF($C1386="","",$B1386&amp;"|"&amp;(COUNTIFS($B$4:$B$1463,$B1386,$AG$4:$AG$1463,"&gt;"&amp;$AG1386)+COUNTIFS($B$4:$B1386,$B1386,$AG$4:$AG1386,"="&amp;$AG1386)))</f>
        <v/>
      </c>
    </row>
    <row r="1387" spans="1:35" hidden="1">
      <c r="A1387" s="69"/>
      <c r="B1387" s="69"/>
      <c r="C1387" s="63"/>
      <c r="D1387" s="69"/>
      <c r="E1387" s="68"/>
      <c r="F1387" s="15" t="str">
        <f>IF($C1387="","",IF($E1387="","-",IFERROR(INDEX(SETUP!$B$55:$B$64,MATCH($E1387,SETUP!$A$55:$A$64,0)),"Other")))</f>
        <v/>
      </c>
      <c r="G1387" s="70"/>
      <c r="H1387" s="15" t="str">
        <f>IF($C1387="","",IF($G1387="","-",INDEX(SETUP!$B$26:$B$32,MATCH($G1387,SETUP!$A$26:$A$32,1))))</f>
        <v/>
      </c>
      <c r="I1387" s="70"/>
      <c r="J1387" s="15" t="str">
        <f>IF($C1387="","",IF($I1387="","-",INDEX(SETUP!$B$16:$B$22,MATCH($I1387,SETUP!$A$16:$A$22,1))))</f>
        <v/>
      </c>
      <c r="K1387" s="15" t="str">
        <f t="shared" si="112"/>
        <v/>
      </c>
      <c r="L1387" s="71"/>
      <c r="M1387" s="15" t="str">
        <f>IF($C1387="","",IF($L1387="","-",INDEX(SETUP!$B$36:$B$42,MATCH($L1387,SETUP!$A$36:$A$42,1))))</f>
        <v/>
      </c>
      <c r="N1387" s="17" t="str">
        <f>IF($C1387="","",IF(OR($G1387="",$I1387=""),"",ROUND(100*(SETUP!$B$4*MIN(1,$I1387/SETUP!$B$9)+SETUP!$B$5*MAX(0,MIN(1,($G1387-SETUP!$B$10)/(SETUP!$B$11-SETUP!$B$10)))+SETUP!$B$6*MIN(1,IF($L1387="",0,$L1387)/SETUP!$B$12)),1)))</f>
        <v/>
      </c>
      <c r="O1387" s="15" t="str">
        <f>IF($C1387="","",IF($N1387="","-",INDEX(SETUP!$B$46:$B$51,MATCH($N1387,SETUP!$A$46:$A$51,1))))</f>
        <v/>
      </c>
      <c r="P1387" s="15" t="str">
        <f>IF($C1387="","",IF($I1387="","",RANK($I1387,$I$4:$I$1463)+COUNTIF($I$4:$I1387,$I1387)-1))</f>
        <v/>
      </c>
      <c r="Q1387" s="15" t="str">
        <f>IF($C1387="","",COUNTIFS($B$4:$B$1463,$B1387,$X$4:$X$1463,"&gt;"&amp;$X1387)+COUNTIFS($B$4:$B1387,$B1387,$X$4:$X1387,"="&amp;$X1387))</f>
        <v/>
      </c>
      <c r="R1387" s="72" t="str">
        <f>IF($C1387="","",IF($I1387="","",ROUND(COUNTIF($I$4:$I$1463,"&lt;"&amp;$I1387)/COUNT($I$4:$I$1463),3)))</f>
        <v/>
      </c>
      <c r="S1387" s="15" t="str">
        <f t="shared" si="113"/>
        <v/>
      </c>
      <c r="T1387" s="41" t="str">
        <f>IF($C1387="","",TRIM(IF(COUNTIF($C$4:$C$1463,$C1387)&gt;1,"Dup name; ","")&amp;IF(AND($G1387&lt;&gt;"",$G1387&lt;55000),"Low CR - verify; ","")&amp;IF(AND($L1387&lt;&gt;"",$L1387&gt;15),"Secondary - verify; ","")&amp;IF($E1387="","No class; ","")))</f>
        <v/>
      </c>
      <c r="U1387" s="68"/>
      <c r="V1387" s="68"/>
      <c r="W1387" s="68"/>
      <c r="X1387" s="41" t="str">
        <f t="shared" si="107"/>
        <v/>
      </c>
      <c r="Y1387" s="41" t="str">
        <f t="shared" si="108"/>
        <v/>
      </c>
      <c r="Z1387" s="15" t="str">
        <f>IF($C1387="","",IF($G1387="","",RANK($G1387,$G$4:$G$1463)+COUNTIF($G$4:$G1387,$G1387)-1))</f>
        <v/>
      </c>
      <c r="AA1387" s="15" t="str">
        <f>IF($C1387="","",IF($N1387="","",RANK($N1387,$N$4:$N$1463)+COUNTIF($N$4:$N1387,$N1387)-1))</f>
        <v/>
      </c>
      <c r="AB1387" s="41" t="str">
        <f>IF($C1387="","",IF($E1387="","",$E1387&amp;"#"&amp;(COUNTIFS($E$4:$E$1463,$E1387,$X$4:$X$1463,"&gt;"&amp;$X1387)+COUNTIFS($E$4:$E1387,$E1387,$X$4:$X1387,"="&amp;$X1387))))</f>
        <v/>
      </c>
      <c r="AC1387" s="41" t="str">
        <f>IF($C1387="","",$B1387&amp;"@"&amp;(COUNTIFS($B$4:$B$1463,$B1387,$C$4:$C$1463,"&lt;"&amp;$C1387)+COUNTIFS($B$4:$B1387,$B1387,$C$4:$C1387,$C1387)))</f>
        <v/>
      </c>
      <c r="AD1387" s="41" t="str">
        <f t="shared" si="109"/>
        <v/>
      </c>
      <c r="AE1387" s="41"/>
      <c r="AF1387" s="41" t="str">
        <f t="shared" si="110"/>
        <v/>
      </c>
      <c r="AG1387" s="41" t="str">
        <f t="shared" si="111"/>
        <v/>
      </c>
      <c r="AH1387" s="41" t="str">
        <f>IF($C1387="","",$B1387&amp;"|"&amp;(COUNTIFS($B$4:$B$1463,$B1387,$AF$4:$AF$1463,"&gt;"&amp;$AF1387)+COUNTIFS($B$4:$B1387,$B1387,$AF$4:$AF1387,"="&amp;$AF1387)))</f>
        <v/>
      </c>
      <c r="AI1387" s="41" t="str">
        <f>IF($C1387="","",$B1387&amp;"|"&amp;(COUNTIFS($B$4:$B$1463,$B1387,$AG$4:$AG$1463,"&gt;"&amp;$AG1387)+COUNTIFS($B$4:$B1387,$B1387,$AG$4:$AG1387,"="&amp;$AG1387)))</f>
        <v/>
      </c>
    </row>
    <row r="1388" spans="1:35" hidden="1">
      <c r="A1388" s="69"/>
      <c r="B1388" s="69"/>
      <c r="C1388" s="63"/>
      <c r="D1388" s="69"/>
      <c r="E1388" s="68"/>
      <c r="F1388" s="19" t="str">
        <f>IF($C1388="","",IF($E1388="","-",IFERROR(INDEX(SETUP!$B$55:$B$64,MATCH($E1388,SETUP!$A$55:$A$64,0)),"Other")))</f>
        <v/>
      </c>
      <c r="G1388" s="70"/>
      <c r="H1388" s="19" t="str">
        <f>IF($C1388="","",IF($G1388="","-",INDEX(SETUP!$B$26:$B$32,MATCH($G1388,SETUP!$A$26:$A$32,1))))</f>
        <v/>
      </c>
      <c r="I1388" s="70"/>
      <c r="J1388" s="19" t="str">
        <f>IF($C1388="","",IF($I1388="","-",INDEX(SETUP!$B$16:$B$22,MATCH($I1388,SETUP!$A$16:$A$22,1))))</f>
        <v/>
      </c>
      <c r="K1388" s="19" t="str">
        <f t="shared" si="112"/>
        <v/>
      </c>
      <c r="L1388" s="71"/>
      <c r="M1388" s="19" t="str">
        <f>IF($C1388="","",IF($L1388="","-",INDEX(SETUP!$B$36:$B$42,MATCH($L1388,SETUP!$A$36:$A$42,1))))</f>
        <v/>
      </c>
      <c r="N1388" s="21" t="str">
        <f>IF($C1388="","",IF(OR($G1388="",$I1388=""),"",ROUND(100*(SETUP!$B$4*MIN(1,$I1388/SETUP!$B$9)+SETUP!$B$5*MAX(0,MIN(1,($G1388-SETUP!$B$10)/(SETUP!$B$11-SETUP!$B$10)))+SETUP!$B$6*MIN(1,IF($L1388="",0,$L1388)/SETUP!$B$12)),1)))</f>
        <v/>
      </c>
      <c r="O1388" s="19" t="str">
        <f>IF($C1388="","",IF($N1388="","-",INDEX(SETUP!$B$46:$B$51,MATCH($N1388,SETUP!$A$46:$A$51,1))))</f>
        <v/>
      </c>
      <c r="P1388" s="19" t="str">
        <f>IF($C1388="","",IF($I1388="","",RANK($I1388,$I$4:$I$1463)+COUNTIF($I$4:$I1388,$I1388)-1))</f>
        <v/>
      </c>
      <c r="Q1388" s="19" t="str">
        <f>IF($C1388="","",COUNTIFS($B$4:$B$1463,$B1388,$X$4:$X$1463,"&gt;"&amp;$X1388)+COUNTIFS($B$4:$B1388,$B1388,$X$4:$X1388,"="&amp;$X1388))</f>
        <v/>
      </c>
      <c r="R1388" s="75" t="str">
        <f>IF($C1388="","",IF($I1388="","",ROUND(COUNTIF($I$4:$I$1463,"&lt;"&amp;$I1388)/COUNT($I$4:$I$1463),3)))</f>
        <v/>
      </c>
      <c r="S1388" s="19" t="str">
        <f t="shared" si="113"/>
        <v/>
      </c>
      <c r="T1388" s="1" t="str">
        <f>IF($C1388="","",TRIM(IF(COUNTIF($C$4:$C$1463,$C1388)&gt;1,"Dup name; ","")&amp;IF(AND($G1388&lt;&gt;"",$G1388&lt;55000),"Low CR - verify; ","")&amp;IF(AND($L1388&lt;&gt;"",$L1388&gt;15),"Secondary - verify; ","")&amp;IF($E1388="","No class; ","")))</f>
        <v/>
      </c>
      <c r="U1388" s="68"/>
      <c r="V1388" s="68"/>
      <c r="W1388" s="68"/>
      <c r="X1388" s="1" t="str">
        <f t="shared" si="107"/>
        <v/>
      </c>
      <c r="Y1388" s="1" t="str">
        <f t="shared" si="108"/>
        <v/>
      </c>
      <c r="Z1388" s="19" t="str">
        <f>IF($C1388="","",IF($G1388="","",RANK($G1388,$G$4:$G$1463)+COUNTIF($G$4:$G1388,$G1388)-1))</f>
        <v/>
      </c>
      <c r="AA1388" s="19" t="str">
        <f>IF($C1388="","",IF($N1388="","",RANK($N1388,$N$4:$N$1463)+COUNTIF($N$4:$N1388,$N1388)-1))</f>
        <v/>
      </c>
      <c r="AB1388" s="1" t="str">
        <f>IF($C1388="","",IF($E1388="","",$E1388&amp;"#"&amp;(COUNTIFS($E$4:$E$1463,$E1388,$X$4:$X$1463,"&gt;"&amp;$X1388)+COUNTIFS($E$4:$E1388,$E1388,$X$4:$X1388,"="&amp;$X1388))))</f>
        <v/>
      </c>
      <c r="AC1388" s="1" t="str">
        <f>IF($C1388="","",$B1388&amp;"@"&amp;(COUNTIFS($B$4:$B$1463,$B1388,$C$4:$C$1463,"&lt;"&amp;$C1388)+COUNTIFS($B$4:$B1388,$B1388,$C$4:$C1388,$C1388)))</f>
        <v/>
      </c>
      <c r="AD1388" s="1" t="str">
        <f t="shared" si="109"/>
        <v/>
      </c>
      <c r="AE1388" s="1"/>
      <c r="AF1388" s="1" t="str">
        <f t="shared" si="110"/>
        <v/>
      </c>
      <c r="AG1388" s="1" t="str">
        <f t="shared" si="111"/>
        <v/>
      </c>
      <c r="AH1388" s="1" t="str">
        <f>IF($C1388="","",$B1388&amp;"|"&amp;(COUNTIFS($B$4:$B$1463,$B1388,$AF$4:$AF$1463,"&gt;"&amp;$AF1388)+COUNTIFS($B$4:$B1388,$B1388,$AF$4:$AF1388,"="&amp;$AF1388)))</f>
        <v/>
      </c>
      <c r="AI1388" s="1" t="str">
        <f>IF($C1388="","",$B1388&amp;"|"&amp;(COUNTIFS($B$4:$B$1463,$B1388,$AG$4:$AG$1463,"&gt;"&amp;$AG1388)+COUNTIFS($B$4:$B1388,$B1388,$AG$4:$AG1388,"="&amp;$AG1388)))</f>
        <v/>
      </c>
    </row>
    <row r="1389" spans="1:35" hidden="1">
      <c r="A1389" s="69"/>
      <c r="B1389" s="69"/>
      <c r="C1389" s="63"/>
      <c r="D1389" s="69"/>
      <c r="E1389" s="68"/>
      <c r="F1389" s="15" t="str">
        <f>IF($C1389="","",IF($E1389="","-",IFERROR(INDEX(SETUP!$B$55:$B$64,MATCH($E1389,SETUP!$A$55:$A$64,0)),"Other")))</f>
        <v/>
      </c>
      <c r="G1389" s="70"/>
      <c r="H1389" s="15" t="str">
        <f>IF($C1389="","",IF($G1389="","-",INDEX(SETUP!$B$26:$B$32,MATCH($G1389,SETUP!$A$26:$A$32,1))))</f>
        <v/>
      </c>
      <c r="I1389" s="70"/>
      <c r="J1389" s="15" t="str">
        <f>IF($C1389="","",IF($I1389="","-",INDEX(SETUP!$B$16:$B$22,MATCH($I1389,SETUP!$A$16:$A$22,1))))</f>
        <v/>
      </c>
      <c r="K1389" s="15" t="str">
        <f t="shared" si="112"/>
        <v/>
      </c>
      <c r="L1389" s="71"/>
      <c r="M1389" s="15" t="str">
        <f>IF($C1389="","",IF($L1389="","-",INDEX(SETUP!$B$36:$B$42,MATCH($L1389,SETUP!$A$36:$A$42,1))))</f>
        <v/>
      </c>
      <c r="N1389" s="17" t="str">
        <f>IF($C1389="","",IF(OR($G1389="",$I1389=""),"",ROUND(100*(SETUP!$B$4*MIN(1,$I1389/SETUP!$B$9)+SETUP!$B$5*MAX(0,MIN(1,($G1389-SETUP!$B$10)/(SETUP!$B$11-SETUP!$B$10)))+SETUP!$B$6*MIN(1,IF($L1389="",0,$L1389)/SETUP!$B$12)),1)))</f>
        <v/>
      </c>
      <c r="O1389" s="15" t="str">
        <f>IF($C1389="","",IF($N1389="","-",INDEX(SETUP!$B$46:$B$51,MATCH($N1389,SETUP!$A$46:$A$51,1))))</f>
        <v/>
      </c>
      <c r="P1389" s="15" t="str">
        <f>IF($C1389="","",IF($I1389="","",RANK($I1389,$I$4:$I$1463)+COUNTIF($I$4:$I1389,$I1389)-1))</f>
        <v/>
      </c>
      <c r="Q1389" s="15" t="str">
        <f>IF($C1389="","",COUNTIFS($B$4:$B$1463,$B1389,$X$4:$X$1463,"&gt;"&amp;$X1389)+COUNTIFS($B$4:$B1389,$B1389,$X$4:$X1389,"="&amp;$X1389))</f>
        <v/>
      </c>
      <c r="R1389" s="72" t="str">
        <f>IF($C1389="","",IF($I1389="","",ROUND(COUNTIF($I$4:$I$1463,"&lt;"&amp;$I1389)/COUNT($I$4:$I$1463),3)))</f>
        <v/>
      </c>
      <c r="S1389" s="15" t="str">
        <f t="shared" si="113"/>
        <v/>
      </c>
      <c r="T1389" s="41" t="str">
        <f>IF($C1389="","",TRIM(IF(COUNTIF($C$4:$C$1463,$C1389)&gt;1,"Dup name; ","")&amp;IF(AND($G1389&lt;&gt;"",$G1389&lt;55000),"Low CR - verify; ","")&amp;IF(AND($L1389&lt;&gt;"",$L1389&gt;15),"Secondary - verify; ","")&amp;IF($E1389="","No class; ","")))</f>
        <v/>
      </c>
      <c r="U1389" s="68"/>
      <c r="V1389" s="68"/>
      <c r="W1389" s="68"/>
      <c r="X1389" s="41" t="str">
        <f t="shared" si="107"/>
        <v/>
      </c>
      <c r="Y1389" s="41" t="str">
        <f t="shared" si="108"/>
        <v/>
      </c>
      <c r="Z1389" s="15" t="str">
        <f>IF($C1389="","",IF($G1389="","",RANK($G1389,$G$4:$G$1463)+COUNTIF($G$4:$G1389,$G1389)-1))</f>
        <v/>
      </c>
      <c r="AA1389" s="15" t="str">
        <f>IF($C1389="","",IF($N1389="","",RANK($N1389,$N$4:$N$1463)+COUNTIF($N$4:$N1389,$N1389)-1))</f>
        <v/>
      </c>
      <c r="AB1389" s="41" t="str">
        <f>IF($C1389="","",IF($E1389="","",$E1389&amp;"#"&amp;(COUNTIFS($E$4:$E$1463,$E1389,$X$4:$X$1463,"&gt;"&amp;$X1389)+COUNTIFS($E$4:$E1389,$E1389,$X$4:$X1389,"="&amp;$X1389))))</f>
        <v/>
      </c>
      <c r="AC1389" s="41" t="str">
        <f>IF($C1389="","",$B1389&amp;"@"&amp;(COUNTIFS($B$4:$B$1463,$B1389,$C$4:$C$1463,"&lt;"&amp;$C1389)+COUNTIFS($B$4:$B1389,$B1389,$C$4:$C1389,$C1389)))</f>
        <v/>
      </c>
      <c r="AD1389" s="41" t="str">
        <f t="shared" si="109"/>
        <v/>
      </c>
      <c r="AE1389" s="41"/>
      <c r="AF1389" s="41" t="str">
        <f t="shared" si="110"/>
        <v/>
      </c>
      <c r="AG1389" s="41" t="str">
        <f t="shared" si="111"/>
        <v/>
      </c>
      <c r="AH1389" s="41" t="str">
        <f>IF($C1389="","",$B1389&amp;"|"&amp;(COUNTIFS($B$4:$B$1463,$B1389,$AF$4:$AF$1463,"&gt;"&amp;$AF1389)+COUNTIFS($B$4:$B1389,$B1389,$AF$4:$AF1389,"="&amp;$AF1389)))</f>
        <v/>
      </c>
      <c r="AI1389" s="41" t="str">
        <f>IF($C1389="","",$B1389&amp;"|"&amp;(COUNTIFS($B$4:$B$1463,$B1389,$AG$4:$AG$1463,"&gt;"&amp;$AG1389)+COUNTIFS($B$4:$B1389,$B1389,$AG$4:$AG1389,"="&amp;$AG1389)))</f>
        <v/>
      </c>
    </row>
    <row r="1390" spans="1:35" hidden="1">
      <c r="A1390" s="69"/>
      <c r="B1390" s="69"/>
      <c r="C1390" s="63"/>
      <c r="D1390" s="69"/>
      <c r="E1390" s="68"/>
      <c r="F1390" s="19" t="str">
        <f>IF($C1390="","",IF($E1390="","-",IFERROR(INDEX(SETUP!$B$55:$B$64,MATCH($E1390,SETUP!$A$55:$A$64,0)),"Other")))</f>
        <v/>
      </c>
      <c r="G1390" s="70"/>
      <c r="H1390" s="19" t="str">
        <f>IF($C1390="","",IF($G1390="","-",INDEX(SETUP!$B$26:$B$32,MATCH($G1390,SETUP!$A$26:$A$32,1))))</f>
        <v/>
      </c>
      <c r="I1390" s="70"/>
      <c r="J1390" s="19" t="str">
        <f>IF($C1390="","",IF($I1390="","-",INDEX(SETUP!$B$16:$B$22,MATCH($I1390,SETUP!$A$16:$A$22,1))))</f>
        <v/>
      </c>
      <c r="K1390" s="19" t="str">
        <f t="shared" si="112"/>
        <v/>
      </c>
      <c r="L1390" s="71"/>
      <c r="M1390" s="19" t="str">
        <f>IF($C1390="","",IF($L1390="","-",INDEX(SETUP!$B$36:$B$42,MATCH($L1390,SETUP!$A$36:$A$42,1))))</f>
        <v/>
      </c>
      <c r="N1390" s="21" t="str">
        <f>IF($C1390="","",IF(OR($G1390="",$I1390=""),"",ROUND(100*(SETUP!$B$4*MIN(1,$I1390/SETUP!$B$9)+SETUP!$B$5*MAX(0,MIN(1,($G1390-SETUP!$B$10)/(SETUP!$B$11-SETUP!$B$10)))+SETUP!$B$6*MIN(1,IF($L1390="",0,$L1390)/SETUP!$B$12)),1)))</f>
        <v/>
      </c>
      <c r="O1390" s="19" t="str">
        <f>IF($C1390="","",IF($N1390="","-",INDEX(SETUP!$B$46:$B$51,MATCH($N1390,SETUP!$A$46:$A$51,1))))</f>
        <v/>
      </c>
      <c r="P1390" s="19" t="str">
        <f>IF($C1390="","",IF($I1390="","",RANK($I1390,$I$4:$I$1463)+COUNTIF($I$4:$I1390,$I1390)-1))</f>
        <v/>
      </c>
      <c r="Q1390" s="19" t="str">
        <f>IF($C1390="","",COUNTIFS($B$4:$B$1463,$B1390,$X$4:$X$1463,"&gt;"&amp;$X1390)+COUNTIFS($B$4:$B1390,$B1390,$X$4:$X1390,"="&amp;$X1390))</f>
        <v/>
      </c>
      <c r="R1390" s="75" t="str">
        <f>IF($C1390="","",IF($I1390="","",ROUND(COUNTIF($I$4:$I$1463,"&lt;"&amp;$I1390)/COUNT($I$4:$I$1463),3)))</f>
        <v/>
      </c>
      <c r="S1390" s="19" t="str">
        <f t="shared" si="113"/>
        <v/>
      </c>
      <c r="T1390" s="1" t="str">
        <f>IF($C1390="","",TRIM(IF(COUNTIF($C$4:$C$1463,$C1390)&gt;1,"Dup name; ","")&amp;IF(AND($G1390&lt;&gt;"",$G1390&lt;55000),"Low CR - verify; ","")&amp;IF(AND($L1390&lt;&gt;"",$L1390&gt;15),"Secondary - verify; ","")&amp;IF($E1390="","No class; ","")))</f>
        <v/>
      </c>
      <c r="U1390" s="68"/>
      <c r="V1390" s="68"/>
      <c r="W1390" s="68"/>
      <c r="X1390" s="1" t="str">
        <f t="shared" si="107"/>
        <v/>
      </c>
      <c r="Y1390" s="1" t="str">
        <f t="shared" si="108"/>
        <v/>
      </c>
      <c r="Z1390" s="19" t="str">
        <f>IF($C1390="","",IF($G1390="","",RANK($G1390,$G$4:$G$1463)+COUNTIF($G$4:$G1390,$G1390)-1))</f>
        <v/>
      </c>
      <c r="AA1390" s="19" t="str">
        <f>IF($C1390="","",IF($N1390="","",RANK($N1390,$N$4:$N$1463)+COUNTIF($N$4:$N1390,$N1390)-1))</f>
        <v/>
      </c>
      <c r="AB1390" s="1" t="str">
        <f>IF($C1390="","",IF($E1390="","",$E1390&amp;"#"&amp;(COUNTIFS($E$4:$E$1463,$E1390,$X$4:$X$1463,"&gt;"&amp;$X1390)+COUNTIFS($E$4:$E1390,$E1390,$X$4:$X1390,"="&amp;$X1390))))</f>
        <v/>
      </c>
      <c r="AC1390" s="1" t="str">
        <f>IF($C1390="","",$B1390&amp;"@"&amp;(COUNTIFS($B$4:$B$1463,$B1390,$C$4:$C$1463,"&lt;"&amp;$C1390)+COUNTIFS($B$4:$B1390,$B1390,$C$4:$C1390,$C1390)))</f>
        <v/>
      </c>
      <c r="AD1390" s="1" t="str">
        <f t="shared" si="109"/>
        <v/>
      </c>
      <c r="AE1390" s="1"/>
      <c r="AF1390" s="1" t="str">
        <f t="shared" si="110"/>
        <v/>
      </c>
      <c r="AG1390" s="1" t="str">
        <f t="shared" si="111"/>
        <v/>
      </c>
      <c r="AH1390" s="1" t="str">
        <f>IF($C1390="","",$B1390&amp;"|"&amp;(COUNTIFS($B$4:$B$1463,$B1390,$AF$4:$AF$1463,"&gt;"&amp;$AF1390)+COUNTIFS($B$4:$B1390,$B1390,$AF$4:$AF1390,"="&amp;$AF1390)))</f>
        <v/>
      </c>
      <c r="AI1390" s="1" t="str">
        <f>IF($C1390="","",$B1390&amp;"|"&amp;(COUNTIFS($B$4:$B$1463,$B1390,$AG$4:$AG$1463,"&gt;"&amp;$AG1390)+COUNTIFS($B$4:$B1390,$B1390,$AG$4:$AG1390,"="&amp;$AG1390)))</f>
        <v/>
      </c>
    </row>
    <row r="1391" spans="1:35" hidden="1">
      <c r="A1391" s="69"/>
      <c r="B1391" s="69"/>
      <c r="C1391" s="63"/>
      <c r="D1391" s="69"/>
      <c r="E1391" s="68"/>
      <c r="F1391" s="15" t="str">
        <f>IF($C1391="","",IF($E1391="","-",IFERROR(INDEX(SETUP!$B$55:$B$64,MATCH($E1391,SETUP!$A$55:$A$64,0)),"Other")))</f>
        <v/>
      </c>
      <c r="G1391" s="70"/>
      <c r="H1391" s="15" t="str">
        <f>IF($C1391="","",IF($G1391="","-",INDEX(SETUP!$B$26:$B$32,MATCH($G1391,SETUP!$A$26:$A$32,1))))</f>
        <v/>
      </c>
      <c r="I1391" s="70"/>
      <c r="J1391" s="15" t="str">
        <f>IF($C1391="","",IF($I1391="","-",INDEX(SETUP!$B$16:$B$22,MATCH($I1391,SETUP!$A$16:$A$22,1))))</f>
        <v/>
      </c>
      <c r="K1391" s="15" t="str">
        <f t="shared" si="112"/>
        <v/>
      </c>
      <c r="L1391" s="71"/>
      <c r="M1391" s="15" t="str">
        <f>IF($C1391="","",IF($L1391="","-",INDEX(SETUP!$B$36:$B$42,MATCH($L1391,SETUP!$A$36:$A$42,1))))</f>
        <v/>
      </c>
      <c r="N1391" s="17" t="str">
        <f>IF($C1391="","",IF(OR($G1391="",$I1391=""),"",ROUND(100*(SETUP!$B$4*MIN(1,$I1391/SETUP!$B$9)+SETUP!$B$5*MAX(0,MIN(1,($G1391-SETUP!$B$10)/(SETUP!$B$11-SETUP!$B$10)))+SETUP!$B$6*MIN(1,IF($L1391="",0,$L1391)/SETUP!$B$12)),1)))</f>
        <v/>
      </c>
      <c r="O1391" s="15" t="str">
        <f>IF($C1391="","",IF($N1391="","-",INDEX(SETUP!$B$46:$B$51,MATCH($N1391,SETUP!$A$46:$A$51,1))))</f>
        <v/>
      </c>
      <c r="P1391" s="15" t="str">
        <f>IF($C1391="","",IF($I1391="","",RANK($I1391,$I$4:$I$1463)+COUNTIF($I$4:$I1391,$I1391)-1))</f>
        <v/>
      </c>
      <c r="Q1391" s="15" t="str">
        <f>IF($C1391="","",COUNTIFS($B$4:$B$1463,$B1391,$X$4:$X$1463,"&gt;"&amp;$X1391)+COUNTIFS($B$4:$B1391,$B1391,$X$4:$X1391,"="&amp;$X1391))</f>
        <v/>
      </c>
      <c r="R1391" s="72" t="str">
        <f>IF($C1391="","",IF($I1391="","",ROUND(COUNTIF($I$4:$I$1463,"&lt;"&amp;$I1391)/COUNT($I$4:$I$1463),3)))</f>
        <v/>
      </c>
      <c r="S1391" s="15" t="str">
        <f t="shared" si="113"/>
        <v/>
      </c>
      <c r="T1391" s="41" t="str">
        <f>IF($C1391="","",TRIM(IF(COUNTIF($C$4:$C$1463,$C1391)&gt;1,"Dup name; ","")&amp;IF(AND($G1391&lt;&gt;"",$G1391&lt;55000),"Low CR - verify; ","")&amp;IF(AND($L1391&lt;&gt;"",$L1391&gt;15),"Secondary - verify; ","")&amp;IF($E1391="","No class; ","")))</f>
        <v/>
      </c>
      <c r="U1391" s="68"/>
      <c r="V1391" s="68"/>
      <c r="W1391" s="68"/>
      <c r="X1391" s="41" t="str">
        <f t="shared" si="107"/>
        <v/>
      </c>
      <c r="Y1391" s="41" t="str">
        <f t="shared" si="108"/>
        <v/>
      </c>
      <c r="Z1391" s="15" t="str">
        <f>IF($C1391="","",IF($G1391="","",RANK($G1391,$G$4:$G$1463)+COUNTIF($G$4:$G1391,$G1391)-1))</f>
        <v/>
      </c>
      <c r="AA1391" s="15" t="str">
        <f>IF($C1391="","",IF($N1391="","",RANK($N1391,$N$4:$N$1463)+COUNTIF($N$4:$N1391,$N1391)-1))</f>
        <v/>
      </c>
      <c r="AB1391" s="41" t="str">
        <f>IF($C1391="","",IF($E1391="","",$E1391&amp;"#"&amp;(COUNTIFS($E$4:$E$1463,$E1391,$X$4:$X$1463,"&gt;"&amp;$X1391)+COUNTIFS($E$4:$E1391,$E1391,$X$4:$X1391,"="&amp;$X1391))))</f>
        <v/>
      </c>
      <c r="AC1391" s="41" t="str">
        <f>IF($C1391="","",$B1391&amp;"@"&amp;(COUNTIFS($B$4:$B$1463,$B1391,$C$4:$C$1463,"&lt;"&amp;$C1391)+COUNTIFS($B$4:$B1391,$B1391,$C$4:$C1391,$C1391)))</f>
        <v/>
      </c>
      <c r="AD1391" s="41" t="str">
        <f t="shared" si="109"/>
        <v/>
      </c>
      <c r="AE1391" s="41"/>
      <c r="AF1391" s="41" t="str">
        <f t="shared" si="110"/>
        <v/>
      </c>
      <c r="AG1391" s="41" t="str">
        <f t="shared" si="111"/>
        <v/>
      </c>
      <c r="AH1391" s="41" t="str">
        <f>IF($C1391="","",$B1391&amp;"|"&amp;(COUNTIFS($B$4:$B$1463,$B1391,$AF$4:$AF$1463,"&gt;"&amp;$AF1391)+COUNTIFS($B$4:$B1391,$B1391,$AF$4:$AF1391,"="&amp;$AF1391)))</f>
        <v/>
      </c>
      <c r="AI1391" s="41" t="str">
        <f>IF($C1391="","",$B1391&amp;"|"&amp;(COUNTIFS($B$4:$B$1463,$B1391,$AG$4:$AG$1463,"&gt;"&amp;$AG1391)+COUNTIFS($B$4:$B1391,$B1391,$AG$4:$AG1391,"="&amp;$AG1391)))</f>
        <v/>
      </c>
    </row>
    <row r="1392" spans="1:35" hidden="1">
      <c r="A1392" s="69"/>
      <c r="B1392" s="69"/>
      <c r="C1392" s="63"/>
      <c r="D1392" s="69"/>
      <c r="E1392" s="68"/>
      <c r="F1392" s="19" t="str">
        <f>IF($C1392="","",IF($E1392="","-",IFERROR(INDEX(SETUP!$B$55:$B$64,MATCH($E1392,SETUP!$A$55:$A$64,0)),"Other")))</f>
        <v/>
      </c>
      <c r="G1392" s="70"/>
      <c r="H1392" s="19" t="str">
        <f>IF($C1392="","",IF($G1392="","-",INDEX(SETUP!$B$26:$B$32,MATCH($G1392,SETUP!$A$26:$A$32,1))))</f>
        <v/>
      </c>
      <c r="I1392" s="70"/>
      <c r="J1392" s="19" t="str">
        <f>IF($C1392="","",IF($I1392="","-",INDEX(SETUP!$B$16:$B$22,MATCH($I1392,SETUP!$A$16:$A$22,1))))</f>
        <v/>
      </c>
      <c r="K1392" s="19" t="str">
        <f t="shared" si="112"/>
        <v/>
      </c>
      <c r="L1392" s="71"/>
      <c r="M1392" s="19" t="str">
        <f>IF($C1392="","",IF($L1392="","-",INDEX(SETUP!$B$36:$B$42,MATCH($L1392,SETUP!$A$36:$A$42,1))))</f>
        <v/>
      </c>
      <c r="N1392" s="21" t="str">
        <f>IF($C1392="","",IF(OR($G1392="",$I1392=""),"",ROUND(100*(SETUP!$B$4*MIN(1,$I1392/SETUP!$B$9)+SETUP!$B$5*MAX(0,MIN(1,($G1392-SETUP!$B$10)/(SETUP!$B$11-SETUP!$B$10)))+SETUP!$B$6*MIN(1,IF($L1392="",0,$L1392)/SETUP!$B$12)),1)))</f>
        <v/>
      </c>
      <c r="O1392" s="19" t="str">
        <f>IF($C1392="","",IF($N1392="","-",INDEX(SETUP!$B$46:$B$51,MATCH($N1392,SETUP!$A$46:$A$51,1))))</f>
        <v/>
      </c>
      <c r="P1392" s="19" t="str">
        <f>IF($C1392="","",IF($I1392="","",RANK($I1392,$I$4:$I$1463)+COUNTIF($I$4:$I1392,$I1392)-1))</f>
        <v/>
      </c>
      <c r="Q1392" s="19" t="str">
        <f>IF($C1392="","",COUNTIFS($B$4:$B$1463,$B1392,$X$4:$X$1463,"&gt;"&amp;$X1392)+COUNTIFS($B$4:$B1392,$B1392,$X$4:$X1392,"="&amp;$X1392))</f>
        <v/>
      </c>
      <c r="R1392" s="75" t="str">
        <f>IF($C1392="","",IF($I1392="","",ROUND(COUNTIF($I$4:$I$1463,"&lt;"&amp;$I1392)/COUNT($I$4:$I$1463),3)))</f>
        <v/>
      </c>
      <c r="S1392" s="19" t="str">
        <f t="shared" si="113"/>
        <v/>
      </c>
      <c r="T1392" s="1" t="str">
        <f>IF($C1392="","",TRIM(IF(COUNTIF($C$4:$C$1463,$C1392)&gt;1,"Dup name; ","")&amp;IF(AND($G1392&lt;&gt;"",$G1392&lt;55000),"Low CR - verify; ","")&amp;IF(AND($L1392&lt;&gt;"",$L1392&gt;15),"Secondary - verify; ","")&amp;IF($E1392="","No class; ","")))</f>
        <v/>
      </c>
      <c r="U1392" s="68"/>
      <c r="V1392" s="68"/>
      <c r="W1392" s="68"/>
      <c r="X1392" s="1" t="str">
        <f t="shared" si="107"/>
        <v/>
      </c>
      <c r="Y1392" s="1" t="str">
        <f t="shared" si="108"/>
        <v/>
      </c>
      <c r="Z1392" s="19" t="str">
        <f>IF($C1392="","",IF($G1392="","",RANK($G1392,$G$4:$G$1463)+COUNTIF($G$4:$G1392,$G1392)-1))</f>
        <v/>
      </c>
      <c r="AA1392" s="19" t="str">
        <f>IF($C1392="","",IF($N1392="","",RANK($N1392,$N$4:$N$1463)+COUNTIF($N$4:$N1392,$N1392)-1))</f>
        <v/>
      </c>
      <c r="AB1392" s="1" t="str">
        <f>IF($C1392="","",IF($E1392="","",$E1392&amp;"#"&amp;(COUNTIFS($E$4:$E$1463,$E1392,$X$4:$X$1463,"&gt;"&amp;$X1392)+COUNTIFS($E$4:$E1392,$E1392,$X$4:$X1392,"="&amp;$X1392))))</f>
        <v/>
      </c>
      <c r="AC1392" s="1" t="str">
        <f>IF($C1392="","",$B1392&amp;"@"&amp;(COUNTIFS($B$4:$B$1463,$B1392,$C$4:$C$1463,"&lt;"&amp;$C1392)+COUNTIFS($B$4:$B1392,$B1392,$C$4:$C1392,$C1392)))</f>
        <v/>
      </c>
      <c r="AD1392" s="1" t="str">
        <f t="shared" si="109"/>
        <v/>
      </c>
      <c r="AE1392" s="1"/>
      <c r="AF1392" s="1" t="str">
        <f t="shared" si="110"/>
        <v/>
      </c>
      <c r="AG1392" s="1" t="str">
        <f t="shared" si="111"/>
        <v/>
      </c>
      <c r="AH1392" s="1" t="str">
        <f>IF($C1392="","",$B1392&amp;"|"&amp;(COUNTIFS($B$4:$B$1463,$B1392,$AF$4:$AF$1463,"&gt;"&amp;$AF1392)+COUNTIFS($B$4:$B1392,$B1392,$AF$4:$AF1392,"="&amp;$AF1392)))</f>
        <v/>
      </c>
      <c r="AI1392" s="1" t="str">
        <f>IF($C1392="","",$B1392&amp;"|"&amp;(COUNTIFS($B$4:$B$1463,$B1392,$AG$4:$AG$1463,"&gt;"&amp;$AG1392)+COUNTIFS($B$4:$B1392,$B1392,$AG$4:$AG1392,"="&amp;$AG1392)))</f>
        <v/>
      </c>
    </row>
    <row r="1393" spans="1:35" hidden="1">
      <c r="A1393" s="69"/>
      <c r="B1393" s="69"/>
      <c r="C1393" s="63"/>
      <c r="D1393" s="69"/>
      <c r="E1393" s="68"/>
      <c r="F1393" s="15" t="str">
        <f>IF($C1393="","",IF($E1393="","-",IFERROR(INDEX(SETUP!$B$55:$B$64,MATCH($E1393,SETUP!$A$55:$A$64,0)),"Other")))</f>
        <v/>
      </c>
      <c r="G1393" s="70"/>
      <c r="H1393" s="15" t="str">
        <f>IF($C1393="","",IF($G1393="","-",INDEX(SETUP!$B$26:$B$32,MATCH($G1393,SETUP!$A$26:$A$32,1))))</f>
        <v/>
      </c>
      <c r="I1393" s="70"/>
      <c r="J1393" s="15" t="str">
        <f>IF($C1393="","",IF($I1393="","-",INDEX(SETUP!$B$16:$B$22,MATCH($I1393,SETUP!$A$16:$A$22,1))))</f>
        <v/>
      </c>
      <c r="K1393" s="15" t="str">
        <f t="shared" si="112"/>
        <v/>
      </c>
      <c r="L1393" s="71"/>
      <c r="M1393" s="15" t="str">
        <f>IF($C1393="","",IF($L1393="","-",INDEX(SETUP!$B$36:$B$42,MATCH($L1393,SETUP!$A$36:$A$42,1))))</f>
        <v/>
      </c>
      <c r="N1393" s="17" t="str">
        <f>IF($C1393="","",IF(OR($G1393="",$I1393=""),"",ROUND(100*(SETUP!$B$4*MIN(1,$I1393/SETUP!$B$9)+SETUP!$B$5*MAX(0,MIN(1,($G1393-SETUP!$B$10)/(SETUP!$B$11-SETUP!$B$10)))+SETUP!$B$6*MIN(1,IF($L1393="",0,$L1393)/SETUP!$B$12)),1)))</f>
        <v/>
      </c>
      <c r="O1393" s="15" t="str">
        <f>IF($C1393="","",IF($N1393="","-",INDEX(SETUP!$B$46:$B$51,MATCH($N1393,SETUP!$A$46:$A$51,1))))</f>
        <v/>
      </c>
      <c r="P1393" s="15" t="str">
        <f>IF($C1393="","",IF($I1393="","",RANK($I1393,$I$4:$I$1463)+COUNTIF($I$4:$I1393,$I1393)-1))</f>
        <v/>
      </c>
      <c r="Q1393" s="15" t="str">
        <f>IF($C1393="","",COUNTIFS($B$4:$B$1463,$B1393,$X$4:$X$1463,"&gt;"&amp;$X1393)+COUNTIFS($B$4:$B1393,$B1393,$X$4:$X1393,"="&amp;$X1393))</f>
        <v/>
      </c>
      <c r="R1393" s="72" t="str">
        <f>IF($C1393="","",IF($I1393="","",ROUND(COUNTIF($I$4:$I$1463,"&lt;"&amp;$I1393)/COUNT($I$4:$I$1463),3)))</f>
        <v/>
      </c>
      <c r="S1393" s="15" t="str">
        <f t="shared" si="113"/>
        <v/>
      </c>
      <c r="T1393" s="41" t="str">
        <f>IF($C1393="","",TRIM(IF(COUNTIF($C$4:$C$1463,$C1393)&gt;1,"Dup name; ","")&amp;IF(AND($G1393&lt;&gt;"",$G1393&lt;55000),"Low CR - verify; ","")&amp;IF(AND($L1393&lt;&gt;"",$L1393&gt;15),"Secondary - verify; ","")&amp;IF($E1393="","No class; ","")))</f>
        <v/>
      </c>
      <c r="U1393" s="68"/>
      <c r="V1393" s="68"/>
      <c r="W1393" s="68"/>
      <c r="X1393" s="41" t="str">
        <f t="shared" si="107"/>
        <v/>
      </c>
      <c r="Y1393" s="41" t="str">
        <f t="shared" si="108"/>
        <v/>
      </c>
      <c r="Z1393" s="15" t="str">
        <f>IF($C1393="","",IF($G1393="","",RANK($G1393,$G$4:$G$1463)+COUNTIF($G$4:$G1393,$G1393)-1))</f>
        <v/>
      </c>
      <c r="AA1393" s="15" t="str">
        <f>IF($C1393="","",IF($N1393="","",RANK($N1393,$N$4:$N$1463)+COUNTIF($N$4:$N1393,$N1393)-1))</f>
        <v/>
      </c>
      <c r="AB1393" s="41" t="str">
        <f>IF($C1393="","",IF($E1393="","",$E1393&amp;"#"&amp;(COUNTIFS($E$4:$E$1463,$E1393,$X$4:$X$1463,"&gt;"&amp;$X1393)+COUNTIFS($E$4:$E1393,$E1393,$X$4:$X1393,"="&amp;$X1393))))</f>
        <v/>
      </c>
      <c r="AC1393" s="41" t="str">
        <f>IF($C1393="","",$B1393&amp;"@"&amp;(COUNTIFS($B$4:$B$1463,$B1393,$C$4:$C$1463,"&lt;"&amp;$C1393)+COUNTIFS($B$4:$B1393,$B1393,$C$4:$C1393,$C1393)))</f>
        <v/>
      </c>
      <c r="AD1393" s="41" t="str">
        <f t="shared" si="109"/>
        <v/>
      </c>
      <c r="AE1393" s="41"/>
      <c r="AF1393" s="41" t="str">
        <f t="shared" si="110"/>
        <v/>
      </c>
      <c r="AG1393" s="41" t="str">
        <f t="shared" si="111"/>
        <v/>
      </c>
      <c r="AH1393" s="41" t="str">
        <f>IF($C1393="","",$B1393&amp;"|"&amp;(COUNTIFS($B$4:$B$1463,$B1393,$AF$4:$AF$1463,"&gt;"&amp;$AF1393)+COUNTIFS($B$4:$B1393,$B1393,$AF$4:$AF1393,"="&amp;$AF1393)))</f>
        <v/>
      </c>
      <c r="AI1393" s="41" t="str">
        <f>IF($C1393="","",$B1393&amp;"|"&amp;(COUNTIFS($B$4:$B$1463,$B1393,$AG$4:$AG$1463,"&gt;"&amp;$AG1393)+COUNTIFS($B$4:$B1393,$B1393,$AG$4:$AG1393,"="&amp;$AG1393)))</f>
        <v/>
      </c>
    </row>
    <row r="1394" spans="1:35" hidden="1">
      <c r="A1394" s="69"/>
      <c r="B1394" s="69"/>
      <c r="C1394" s="63"/>
      <c r="D1394" s="69"/>
      <c r="E1394" s="68"/>
      <c r="F1394" s="19" t="str">
        <f>IF($C1394="","",IF($E1394="","-",IFERROR(INDEX(SETUP!$B$55:$B$64,MATCH($E1394,SETUP!$A$55:$A$64,0)),"Other")))</f>
        <v/>
      </c>
      <c r="G1394" s="70"/>
      <c r="H1394" s="19" t="str">
        <f>IF($C1394="","",IF($G1394="","-",INDEX(SETUP!$B$26:$B$32,MATCH($G1394,SETUP!$A$26:$A$32,1))))</f>
        <v/>
      </c>
      <c r="I1394" s="70"/>
      <c r="J1394" s="19" t="str">
        <f>IF($C1394="","",IF($I1394="","-",INDEX(SETUP!$B$16:$B$22,MATCH($I1394,SETUP!$A$16:$A$22,1))))</f>
        <v/>
      </c>
      <c r="K1394" s="19" t="str">
        <f t="shared" si="112"/>
        <v/>
      </c>
      <c r="L1394" s="71"/>
      <c r="M1394" s="19" t="str">
        <f>IF($C1394="","",IF($L1394="","-",INDEX(SETUP!$B$36:$B$42,MATCH($L1394,SETUP!$A$36:$A$42,1))))</f>
        <v/>
      </c>
      <c r="N1394" s="21" t="str">
        <f>IF($C1394="","",IF(OR($G1394="",$I1394=""),"",ROUND(100*(SETUP!$B$4*MIN(1,$I1394/SETUP!$B$9)+SETUP!$B$5*MAX(0,MIN(1,($G1394-SETUP!$B$10)/(SETUP!$B$11-SETUP!$B$10)))+SETUP!$B$6*MIN(1,IF($L1394="",0,$L1394)/SETUP!$B$12)),1)))</f>
        <v/>
      </c>
      <c r="O1394" s="19" t="str">
        <f>IF($C1394="","",IF($N1394="","-",INDEX(SETUP!$B$46:$B$51,MATCH($N1394,SETUP!$A$46:$A$51,1))))</f>
        <v/>
      </c>
      <c r="P1394" s="19" t="str">
        <f>IF($C1394="","",IF($I1394="","",RANK($I1394,$I$4:$I$1463)+COUNTIF($I$4:$I1394,$I1394)-1))</f>
        <v/>
      </c>
      <c r="Q1394" s="19" t="str">
        <f>IF($C1394="","",COUNTIFS($B$4:$B$1463,$B1394,$X$4:$X$1463,"&gt;"&amp;$X1394)+COUNTIFS($B$4:$B1394,$B1394,$X$4:$X1394,"="&amp;$X1394))</f>
        <v/>
      </c>
      <c r="R1394" s="75" t="str">
        <f>IF($C1394="","",IF($I1394="","",ROUND(COUNTIF($I$4:$I$1463,"&lt;"&amp;$I1394)/COUNT($I$4:$I$1463),3)))</f>
        <v/>
      </c>
      <c r="S1394" s="19" t="str">
        <f t="shared" si="113"/>
        <v/>
      </c>
      <c r="T1394" s="1" t="str">
        <f>IF($C1394="","",TRIM(IF(COUNTIF($C$4:$C$1463,$C1394)&gt;1,"Dup name; ","")&amp;IF(AND($G1394&lt;&gt;"",$G1394&lt;55000),"Low CR - verify; ","")&amp;IF(AND($L1394&lt;&gt;"",$L1394&gt;15),"Secondary - verify; ","")&amp;IF($E1394="","No class; ","")))</f>
        <v/>
      </c>
      <c r="U1394" s="68"/>
      <c r="V1394" s="68"/>
      <c r="W1394" s="68"/>
      <c r="X1394" s="1" t="str">
        <f t="shared" si="107"/>
        <v/>
      </c>
      <c r="Y1394" s="1" t="str">
        <f t="shared" si="108"/>
        <v/>
      </c>
      <c r="Z1394" s="19" t="str">
        <f>IF($C1394="","",IF($G1394="","",RANK($G1394,$G$4:$G$1463)+COUNTIF($G$4:$G1394,$G1394)-1))</f>
        <v/>
      </c>
      <c r="AA1394" s="19" t="str">
        <f>IF($C1394="","",IF($N1394="","",RANK($N1394,$N$4:$N$1463)+COUNTIF($N$4:$N1394,$N1394)-1))</f>
        <v/>
      </c>
      <c r="AB1394" s="1" t="str">
        <f>IF($C1394="","",IF($E1394="","",$E1394&amp;"#"&amp;(COUNTIFS($E$4:$E$1463,$E1394,$X$4:$X$1463,"&gt;"&amp;$X1394)+COUNTIFS($E$4:$E1394,$E1394,$X$4:$X1394,"="&amp;$X1394))))</f>
        <v/>
      </c>
      <c r="AC1394" s="1" t="str">
        <f>IF($C1394="","",$B1394&amp;"@"&amp;(COUNTIFS($B$4:$B$1463,$B1394,$C$4:$C$1463,"&lt;"&amp;$C1394)+COUNTIFS($B$4:$B1394,$B1394,$C$4:$C1394,$C1394)))</f>
        <v/>
      </c>
      <c r="AD1394" s="1" t="str">
        <f t="shared" si="109"/>
        <v/>
      </c>
      <c r="AE1394" s="1"/>
      <c r="AF1394" s="1" t="str">
        <f t="shared" si="110"/>
        <v/>
      </c>
      <c r="AG1394" s="1" t="str">
        <f t="shared" si="111"/>
        <v/>
      </c>
      <c r="AH1394" s="1" t="str">
        <f>IF($C1394="","",$B1394&amp;"|"&amp;(COUNTIFS($B$4:$B$1463,$B1394,$AF$4:$AF$1463,"&gt;"&amp;$AF1394)+COUNTIFS($B$4:$B1394,$B1394,$AF$4:$AF1394,"="&amp;$AF1394)))</f>
        <v/>
      </c>
      <c r="AI1394" s="1" t="str">
        <f>IF($C1394="","",$B1394&amp;"|"&amp;(COUNTIFS($B$4:$B$1463,$B1394,$AG$4:$AG$1463,"&gt;"&amp;$AG1394)+COUNTIFS($B$4:$B1394,$B1394,$AG$4:$AG1394,"="&amp;$AG1394)))</f>
        <v/>
      </c>
    </row>
    <row r="1395" spans="1:35" hidden="1">
      <c r="A1395" s="69"/>
      <c r="B1395" s="69"/>
      <c r="C1395" s="63"/>
      <c r="D1395" s="69"/>
      <c r="E1395" s="68"/>
      <c r="F1395" s="15" t="str">
        <f>IF($C1395="","",IF($E1395="","-",IFERROR(INDEX(SETUP!$B$55:$B$64,MATCH($E1395,SETUP!$A$55:$A$64,0)),"Other")))</f>
        <v/>
      </c>
      <c r="G1395" s="70"/>
      <c r="H1395" s="15" t="str">
        <f>IF($C1395="","",IF($G1395="","-",INDEX(SETUP!$B$26:$B$32,MATCH($G1395,SETUP!$A$26:$A$32,1))))</f>
        <v/>
      </c>
      <c r="I1395" s="70"/>
      <c r="J1395" s="15" t="str">
        <f>IF($C1395="","",IF($I1395="","-",INDEX(SETUP!$B$16:$B$22,MATCH($I1395,SETUP!$A$16:$A$22,1))))</f>
        <v/>
      </c>
      <c r="K1395" s="15" t="str">
        <f t="shared" si="112"/>
        <v/>
      </c>
      <c r="L1395" s="71"/>
      <c r="M1395" s="15" t="str">
        <f>IF($C1395="","",IF($L1395="","-",INDEX(SETUP!$B$36:$B$42,MATCH($L1395,SETUP!$A$36:$A$42,1))))</f>
        <v/>
      </c>
      <c r="N1395" s="17" t="str">
        <f>IF($C1395="","",IF(OR($G1395="",$I1395=""),"",ROUND(100*(SETUP!$B$4*MIN(1,$I1395/SETUP!$B$9)+SETUP!$B$5*MAX(0,MIN(1,($G1395-SETUP!$B$10)/(SETUP!$B$11-SETUP!$B$10)))+SETUP!$B$6*MIN(1,IF($L1395="",0,$L1395)/SETUP!$B$12)),1)))</f>
        <v/>
      </c>
      <c r="O1395" s="15" t="str">
        <f>IF($C1395="","",IF($N1395="","-",INDEX(SETUP!$B$46:$B$51,MATCH($N1395,SETUP!$A$46:$A$51,1))))</f>
        <v/>
      </c>
      <c r="P1395" s="15" t="str">
        <f>IF($C1395="","",IF($I1395="","",RANK($I1395,$I$4:$I$1463)+COUNTIF($I$4:$I1395,$I1395)-1))</f>
        <v/>
      </c>
      <c r="Q1395" s="15" t="str">
        <f>IF($C1395="","",COUNTIFS($B$4:$B$1463,$B1395,$X$4:$X$1463,"&gt;"&amp;$X1395)+COUNTIFS($B$4:$B1395,$B1395,$X$4:$X1395,"="&amp;$X1395))</f>
        <v/>
      </c>
      <c r="R1395" s="72" t="str">
        <f>IF($C1395="","",IF($I1395="","",ROUND(COUNTIF($I$4:$I$1463,"&lt;"&amp;$I1395)/COUNT($I$4:$I$1463),3)))</f>
        <v/>
      </c>
      <c r="S1395" s="15" t="str">
        <f t="shared" si="113"/>
        <v/>
      </c>
      <c r="T1395" s="41" t="str">
        <f>IF($C1395="","",TRIM(IF(COUNTIF($C$4:$C$1463,$C1395)&gt;1,"Dup name; ","")&amp;IF(AND($G1395&lt;&gt;"",$G1395&lt;55000),"Low CR - verify; ","")&amp;IF(AND($L1395&lt;&gt;"",$L1395&gt;15),"Secondary - verify; ","")&amp;IF($E1395="","No class; ","")))</f>
        <v/>
      </c>
      <c r="U1395" s="68"/>
      <c r="V1395" s="68"/>
      <c r="W1395" s="68"/>
      <c r="X1395" s="41" t="str">
        <f t="shared" si="107"/>
        <v/>
      </c>
      <c r="Y1395" s="41" t="str">
        <f t="shared" si="108"/>
        <v/>
      </c>
      <c r="Z1395" s="15" t="str">
        <f>IF($C1395="","",IF($G1395="","",RANK($G1395,$G$4:$G$1463)+COUNTIF($G$4:$G1395,$G1395)-1))</f>
        <v/>
      </c>
      <c r="AA1395" s="15" t="str">
        <f>IF($C1395="","",IF($N1395="","",RANK($N1395,$N$4:$N$1463)+COUNTIF($N$4:$N1395,$N1395)-1))</f>
        <v/>
      </c>
      <c r="AB1395" s="41" t="str">
        <f>IF($C1395="","",IF($E1395="","",$E1395&amp;"#"&amp;(COUNTIFS($E$4:$E$1463,$E1395,$X$4:$X$1463,"&gt;"&amp;$X1395)+COUNTIFS($E$4:$E1395,$E1395,$X$4:$X1395,"="&amp;$X1395))))</f>
        <v/>
      </c>
      <c r="AC1395" s="41" t="str">
        <f>IF($C1395="","",$B1395&amp;"@"&amp;(COUNTIFS($B$4:$B$1463,$B1395,$C$4:$C$1463,"&lt;"&amp;$C1395)+COUNTIFS($B$4:$B1395,$B1395,$C$4:$C1395,$C1395)))</f>
        <v/>
      </c>
      <c r="AD1395" s="41" t="str">
        <f t="shared" si="109"/>
        <v/>
      </c>
      <c r="AE1395" s="41"/>
      <c r="AF1395" s="41" t="str">
        <f t="shared" si="110"/>
        <v/>
      </c>
      <c r="AG1395" s="41" t="str">
        <f t="shared" si="111"/>
        <v/>
      </c>
      <c r="AH1395" s="41" t="str">
        <f>IF($C1395="","",$B1395&amp;"|"&amp;(COUNTIFS($B$4:$B$1463,$B1395,$AF$4:$AF$1463,"&gt;"&amp;$AF1395)+COUNTIFS($B$4:$B1395,$B1395,$AF$4:$AF1395,"="&amp;$AF1395)))</f>
        <v/>
      </c>
      <c r="AI1395" s="41" t="str">
        <f>IF($C1395="","",$B1395&amp;"|"&amp;(COUNTIFS($B$4:$B$1463,$B1395,$AG$4:$AG$1463,"&gt;"&amp;$AG1395)+COUNTIFS($B$4:$B1395,$B1395,$AG$4:$AG1395,"="&amp;$AG1395)))</f>
        <v/>
      </c>
    </row>
    <row r="1396" spans="1:35" hidden="1">
      <c r="A1396" s="69"/>
      <c r="B1396" s="69"/>
      <c r="C1396" s="63"/>
      <c r="D1396" s="69"/>
      <c r="E1396" s="68"/>
      <c r="F1396" s="19" t="str">
        <f>IF($C1396="","",IF($E1396="","-",IFERROR(INDEX(SETUP!$B$55:$B$64,MATCH($E1396,SETUP!$A$55:$A$64,0)),"Other")))</f>
        <v/>
      </c>
      <c r="G1396" s="70"/>
      <c r="H1396" s="19" t="str">
        <f>IF($C1396="","",IF($G1396="","-",INDEX(SETUP!$B$26:$B$32,MATCH($G1396,SETUP!$A$26:$A$32,1))))</f>
        <v/>
      </c>
      <c r="I1396" s="70"/>
      <c r="J1396" s="19" t="str">
        <f>IF($C1396="","",IF($I1396="","-",INDEX(SETUP!$B$16:$B$22,MATCH($I1396,SETUP!$A$16:$A$22,1))))</f>
        <v/>
      </c>
      <c r="K1396" s="19" t="str">
        <f t="shared" si="112"/>
        <v/>
      </c>
      <c r="L1396" s="71"/>
      <c r="M1396" s="19" t="str">
        <f>IF($C1396="","",IF($L1396="","-",INDEX(SETUP!$B$36:$B$42,MATCH($L1396,SETUP!$A$36:$A$42,1))))</f>
        <v/>
      </c>
      <c r="N1396" s="21" t="str">
        <f>IF($C1396="","",IF(OR($G1396="",$I1396=""),"",ROUND(100*(SETUP!$B$4*MIN(1,$I1396/SETUP!$B$9)+SETUP!$B$5*MAX(0,MIN(1,($G1396-SETUP!$B$10)/(SETUP!$B$11-SETUP!$B$10)))+SETUP!$B$6*MIN(1,IF($L1396="",0,$L1396)/SETUP!$B$12)),1)))</f>
        <v/>
      </c>
      <c r="O1396" s="19" t="str">
        <f>IF($C1396="","",IF($N1396="","-",INDEX(SETUP!$B$46:$B$51,MATCH($N1396,SETUP!$A$46:$A$51,1))))</f>
        <v/>
      </c>
      <c r="P1396" s="19" t="str">
        <f>IF($C1396="","",IF($I1396="","",RANK($I1396,$I$4:$I$1463)+COUNTIF($I$4:$I1396,$I1396)-1))</f>
        <v/>
      </c>
      <c r="Q1396" s="19" t="str">
        <f>IF($C1396="","",COUNTIFS($B$4:$B$1463,$B1396,$X$4:$X$1463,"&gt;"&amp;$X1396)+COUNTIFS($B$4:$B1396,$B1396,$X$4:$X1396,"="&amp;$X1396))</f>
        <v/>
      </c>
      <c r="R1396" s="75" t="str">
        <f>IF($C1396="","",IF($I1396="","",ROUND(COUNTIF($I$4:$I$1463,"&lt;"&amp;$I1396)/COUNT($I$4:$I$1463),3)))</f>
        <v/>
      </c>
      <c r="S1396" s="19" t="str">
        <f t="shared" si="113"/>
        <v/>
      </c>
      <c r="T1396" s="1" t="str">
        <f>IF($C1396="","",TRIM(IF(COUNTIF($C$4:$C$1463,$C1396)&gt;1,"Dup name; ","")&amp;IF(AND($G1396&lt;&gt;"",$G1396&lt;55000),"Low CR - verify; ","")&amp;IF(AND($L1396&lt;&gt;"",$L1396&gt;15),"Secondary - verify; ","")&amp;IF($E1396="","No class; ","")))</f>
        <v/>
      </c>
      <c r="U1396" s="68"/>
      <c r="V1396" s="68"/>
      <c r="W1396" s="68"/>
      <c r="X1396" s="1" t="str">
        <f t="shared" si="107"/>
        <v/>
      </c>
      <c r="Y1396" s="1" t="str">
        <f t="shared" si="108"/>
        <v/>
      </c>
      <c r="Z1396" s="19" t="str">
        <f>IF($C1396="","",IF($G1396="","",RANK($G1396,$G$4:$G$1463)+COUNTIF($G$4:$G1396,$G1396)-1))</f>
        <v/>
      </c>
      <c r="AA1396" s="19" t="str">
        <f>IF($C1396="","",IF($N1396="","",RANK($N1396,$N$4:$N$1463)+COUNTIF($N$4:$N1396,$N1396)-1))</f>
        <v/>
      </c>
      <c r="AB1396" s="1" t="str">
        <f>IF($C1396="","",IF($E1396="","",$E1396&amp;"#"&amp;(COUNTIFS($E$4:$E$1463,$E1396,$X$4:$X$1463,"&gt;"&amp;$X1396)+COUNTIFS($E$4:$E1396,$E1396,$X$4:$X1396,"="&amp;$X1396))))</f>
        <v/>
      </c>
      <c r="AC1396" s="1" t="str">
        <f>IF($C1396="","",$B1396&amp;"@"&amp;(COUNTIFS($B$4:$B$1463,$B1396,$C$4:$C$1463,"&lt;"&amp;$C1396)+COUNTIFS($B$4:$B1396,$B1396,$C$4:$C1396,$C1396)))</f>
        <v/>
      </c>
      <c r="AD1396" s="1" t="str">
        <f t="shared" si="109"/>
        <v/>
      </c>
      <c r="AE1396" s="1"/>
      <c r="AF1396" s="1" t="str">
        <f t="shared" si="110"/>
        <v/>
      </c>
      <c r="AG1396" s="1" t="str">
        <f t="shared" si="111"/>
        <v/>
      </c>
      <c r="AH1396" s="1" t="str">
        <f>IF($C1396="","",$B1396&amp;"|"&amp;(COUNTIFS($B$4:$B$1463,$B1396,$AF$4:$AF$1463,"&gt;"&amp;$AF1396)+COUNTIFS($B$4:$B1396,$B1396,$AF$4:$AF1396,"="&amp;$AF1396)))</f>
        <v/>
      </c>
      <c r="AI1396" s="1" t="str">
        <f>IF($C1396="","",$B1396&amp;"|"&amp;(COUNTIFS($B$4:$B$1463,$B1396,$AG$4:$AG$1463,"&gt;"&amp;$AG1396)+COUNTIFS($B$4:$B1396,$B1396,$AG$4:$AG1396,"="&amp;$AG1396)))</f>
        <v/>
      </c>
    </row>
    <row r="1397" spans="1:35" hidden="1">
      <c r="A1397" s="69"/>
      <c r="B1397" s="69"/>
      <c r="C1397" s="63"/>
      <c r="D1397" s="69"/>
      <c r="E1397" s="68"/>
      <c r="F1397" s="15" t="str">
        <f>IF($C1397="","",IF($E1397="","-",IFERROR(INDEX(SETUP!$B$55:$B$64,MATCH($E1397,SETUP!$A$55:$A$64,0)),"Other")))</f>
        <v/>
      </c>
      <c r="G1397" s="70"/>
      <c r="H1397" s="15" t="str">
        <f>IF($C1397="","",IF($G1397="","-",INDEX(SETUP!$B$26:$B$32,MATCH($G1397,SETUP!$A$26:$A$32,1))))</f>
        <v/>
      </c>
      <c r="I1397" s="70"/>
      <c r="J1397" s="15" t="str">
        <f>IF($C1397="","",IF($I1397="","-",INDEX(SETUP!$B$16:$B$22,MATCH($I1397,SETUP!$A$16:$A$22,1))))</f>
        <v/>
      </c>
      <c r="K1397" s="15" t="str">
        <f t="shared" si="112"/>
        <v/>
      </c>
      <c r="L1397" s="71"/>
      <c r="M1397" s="15" t="str">
        <f>IF($C1397="","",IF($L1397="","-",INDEX(SETUP!$B$36:$B$42,MATCH($L1397,SETUP!$A$36:$A$42,1))))</f>
        <v/>
      </c>
      <c r="N1397" s="17" t="str">
        <f>IF($C1397="","",IF(OR($G1397="",$I1397=""),"",ROUND(100*(SETUP!$B$4*MIN(1,$I1397/SETUP!$B$9)+SETUP!$B$5*MAX(0,MIN(1,($G1397-SETUP!$B$10)/(SETUP!$B$11-SETUP!$B$10)))+SETUP!$B$6*MIN(1,IF($L1397="",0,$L1397)/SETUP!$B$12)),1)))</f>
        <v/>
      </c>
      <c r="O1397" s="15" t="str">
        <f>IF($C1397="","",IF($N1397="","-",INDEX(SETUP!$B$46:$B$51,MATCH($N1397,SETUP!$A$46:$A$51,1))))</f>
        <v/>
      </c>
      <c r="P1397" s="15" t="str">
        <f>IF($C1397="","",IF($I1397="","",RANK($I1397,$I$4:$I$1463)+COUNTIF($I$4:$I1397,$I1397)-1))</f>
        <v/>
      </c>
      <c r="Q1397" s="15" t="str">
        <f>IF($C1397="","",COUNTIFS($B$4:$B$1463,$B1397,$X$4:$X$1463,"&gt;"&amp;$X1397)+COUNTIFS($B$4:$B1397,$B1397,$X$4:$X1397,"="&amp;$X1397))</f>
        <v/>
      </c>
      <c r="R1397" s="72" t="str">
        <f>IF($C1397="","",IF($I1397="","",ROUND(COUNTIF($I$4:$I$1463,"&lt;"&amp;$I1397)/COUNT($I$4:$I$1463),3)))</f>
        <v/>
      </c>
      <c r="S1397" s="15" t="str">
        <f t="shared" si="113"/>
        <v/>
      </c>
      <c r="T1397" s="41" t="str">
        <f>IF($C1397="","",TRIM(IF(COUNTIF($C$4:$C$1463,$C1397)&gt;1,"Dup name; ","")&amp;IF(AND($G1397&lt;&gt;"",$G1397&lt;55000),"Low CR - verify; ","")&amp;IF(AND($L1397&lt;&gt;"",$L1397&gt;15),"Secondary - verify; ","")&amp;IF($E1397="","No class; ","")))</f>
        <v/>
      </c>
      <c r="U1397" s="68"/>
      <c r="V1397" s="68"/>
      <c r="W1397" s="68"/>
      <c r="X1397" s="41" t="str">
        <f t="shared" si="107"/>
        <v/>
      </c>
      <c r="Y1397" s="41" t="str">
        <f t="shared" si="108"/>
        <v/>
      </c>
      <c r="Z1397" s="15" t="str">
        <f>IF($C1397="","",IF($G1397="","",RANK($G1397,$G$4:$G$1463)+COUNTIF($G$4:$G1397,$G1397)-1))</f>
        <v/>
      </c>
      <c r="AA1397" s="15" t="str">
        <f>IF($C1397="","",IF($N1397="","",RANK($N1397,$N$4:$N$1463)+COUNTIF($N$4:$N1397,$N1397)-1))</f>
        <v/>
      </c>
      <c r="AB1397" s="41" t="str">
        <f>IF($C1397="","",IF($E1397="","",$E1397&amp;"#"&amp;(COUNTIFS($E$4:$E$1463,$E1397,$X$4:$X$1463,"&gt;"&amp;$X1397)+COUNTIFS($E$4:$E1397,$E1397,$X$4:$X1397,"="&amp;$X1397))))</f>
        <v/>
      </c>
      <c r="AC1397" s="41" t="str">
        <f>IF($C1397="","",$B1397&amp;"@"&amp;(COUNTIFS($B$4:$B$1463,$B1397,$C$4:$C$1463,"&lt;"&amp;$C1397)+COUNTIFS($B$4:$B1397,$B1397,$C$4:$C1397,$C1397)))</f>
        <v/>
      </c>
      <c r="AD1397" s="41" t="str">
        <f t="shared" si="109"/>
        <v/>
      </c>
      <c r="AE1397" s="41"/>
      <c r="AF1397" s="41" t="str">
        <f t="shared" si="110"/>
        <v/>
      </c>
      <c r="AG1397" s="41" t="str">
        <f t="shared" si="111"/>
        <v/>
      </c>
      <c r="AH1397" s="41" t="str">
        <f>IF($C1397="","",$B1397&amp;"|"&amp;(COUNTIFS($B$4:$B$1463,$B1397,$AF$4:$AF$1463,"&gt;"&amp;$AF1397)+COUNTIFS($B$4:$B1397,$B1397,$AF$4:$AF1397,"="&amp;$AF1397)))</f>
        <v/>
      </c>
      <c r="AI1397" s="41" t="str">
        <f>IF($C1397="","",$B1397&amp;"|"&amp;(COUNTIFS($B$4:$B$1463,$B1397,$AG$4:$AG$1463,"&gt;"&amp;$AG1397)+COUNTIFS($B$4:$B1397,$B1397,$AG$4:$AG1397,"="&amp;$AG1397)))</f>
        <v/>
      </c>
    </row>
    <row r="1398" spans="1:35" hidden="1">
      <c r="A1398" s="69"/>
      <c r="B1398" s="69"/>
      <c r="C1398" s="63"/>
      <c r="D1398" s="69"/>
      <c r="E1398" s="68"/>
      <c r="F1398" s="19" t="str">
        <f>IF($C1398="","",IF($E1398="","-",IFERROR(INDEX(SETUP!$B$55:$B$64,MATCH($E1398,SETUP!$A$55:$A$64,0)),"Other")))</f>
        <v/>
      </c>
      <c r="G1398" s="70"/>
      <c r="H1398" s="19" t="str">
        <f>IF($C1398="","",IF($G1398="","-",INDEX(SETUP!$B$26:$B$32,MATCH($G1398,SETUP!$A$26:$A$32,1))))</f>
        <v/>
      </c>
      <c r="I1398" s="70"/>
      <c r="J1398" s="19" t="str">
        <f>IF($C1398="","",IF($I1398="","-",INDEX(SETUP!$B$16:$B$22,MATCH($I1398,SETUP!$A$16:$A$22,1))))</f>
        <v/>
      </c>
      <c r="K1398" s="19" t="str">
        <f t="shared" si="112"/>
        <v/>
      </c>
      <c r="L1398" s="71"/>
      <c r="M1398" s="19" t="str">
        <f>IF($C1398="","",IF($L1398="","-",INDEX(SETUP!$B$36:$B$42,MATCH($L1398,SETUP!$A$36:$A$42,1))))</f>
        <v/>
      </c>
      <c r="N1398" s="21" t="str">
        <f>IF($C1398="","",IF(OR($G1398="",$I1398=""),"",ROUND(100*(SETUP!$B$4*MIN(1,$I1398/SETUP!$B$9)+SETUP!$B$5*MAX(0,MIN(1,($G1398-SETUP!$B$10)/(SETUP!$B$11-SETUP!$B$10)))+SETUP!$B$6*MIN(1,IF($L1398="",0,$L1398)/SETUP!$B$12)),1)))</f>
        <v/>
      </c>
      <c r="O1398" s="19" t="str">
        <f>IF($C1398="","",IF($N1398="","-",INDEX(SETUP!$B$46:$B$51,MATCH($N1398,SETUP!$A$46:$A$51,1))))</f>
        <v/>
      </c>
      <c r="P1398" s="19" t="str">
        <f>IF($C1398="","",IF($I1398="","",RANK($I1398,$I$4:$I$1463)+COUNTIF($I$4:$I1398,$I1398)-1))</f>
        <v/>
      </c>
      <c r="Q1398" s="19" t="str">
        <f>IF($C1398="","",COUNTIFS($B$4:$B$1463,$B1398,$X$4:$X$1463,"&gt;"&amp;$X1398)+COUNTIFS($B$4:$B1398,$B1398,$X$4:$X1398,"="&amp;$X1398))</f>
        <v/>
      </c>
      <c r="R1398" s="75" t="str">
        <f>IF($C1398="","",IF($I1398="","",ROUND(COUNTIF($I$4:$I$1463,"&lt;"&amp;$I1398)/COUNT($I$4:$I$1463),3)))</f>
        <v/>
      </c>
      <c r="S1398" s="19" t="str">
        <f t="shared" si="113"/>
        <v/>
      </c>
      <c r="T1398" s="1" t="str">
        <f>IF($C1398="","",TRIM(IF(COUNTIF($C$4:$C$1463,$C1398)&gt;1,"Dup name; ","")&amp;IF(AND($G1398&lt;&gt;"",$G1398&lt;55000),"Low CR - verify; ","")&amp;IF(AND($L1398&lt;&gt;"",$L1398&gt;15),"Secondary - verify; ","")&amp;IF($E1398="","No class; ","")))</f>
        <v/>
      </c>
      <c r="U1398" s="68"/>
      <c r="V1398" s="68"/>
      <c r="W1398" s="68"/>
      <c r="X1398" s="1" t="str">
        <f t="shared" si="107"/>
        <v/>
      </c>
      <c r="Y1398" s="1" t="str">
        <f t="shared" si="108"/>
        <v/>
      </c>
      <c r="Z1398" s="19" t="str">
        <f>IF($C1398="","",IF($G1398="","",RANK($G1398,$G$4:$G$1463)+COUNTIF($G$4:$G1398,$G1398)-1))</f>
        <v/>
      </c>
      <c r="AA1398" s="19" t="str">
        <f>IF($C1398="","",IF($N1398="","",RANK($N1398,$N$4:$N$1463)+COUNTIF($N$4:$N1398,$N1398)-1))</f>
        <v/>
      </c>
      <c r="AB1398" s="1" t="str">
        <f>IF($C1398="","",IF($E1398="","",$E1398&amp;"#"&amp;(COUNTIFS($E$4:$E$1463,$E1398,$X$4:$X$1463,"&gt;"&amp;$X1398)+COUNTIFS($E$4:$E1398,$E1398,$X$4:$X1398,"="&amp;$X1398))))</f>
        <v/>
      </c>
      <c r="AC1398" s="1" t="str">
        <f>IF($C1398="","",$B1398&amp;"@"&amp;(COUNTIFS($B$4:$B$1463,$B1398,$C$4:$C$1463,"&lt;"&amp;$C1398)+COUNTIFS($B$4:$B1398,$B1398,$C$4:$C1398,$C1398)))</f>
        <v/>
      </c>
      <c r="AD1398" s="1" t="str">
        <f t="shared" si="109"/>
        <v/>
      </c>
      <c r="AE1398" s="1"/>
      <c r="AF1398" s="1" t="str">
        <f t="shared" si="110"/>
        <v/>
      </c>
      <c r="AG1398" s="1" t="str">
        <f t="shared" si="111"/>
        <v/>
      </c>
      <c r="AH1398" s="1" t="str">
        <f>IF($C1398="","",$B1398&amp;"|"&amp;(COUNTIFS($B$4:$B$1463,$B1398,$AF$4:$AF$1463,"&gt;"&amp;$AF1398)+COUNTIFS($B$4:$B1398,$B1398,$AF$4:$AF1398,"="&amp;$AF1398)))</f>
        <v/>
      </c>
      <c r="AI1398" s="1" t="str">
        <f>IF($C1398="","",$B1398&amp;"|"&amp;(COUNTIFS($B$4:$B$1463,$B1398,$AG$4:$AG$1463,"&gt;"&amp;$AG1398)+COUNTIFS($B$4:$B1398,$B1398,$AG$4:$AG1398,"="&amp;$AG1398)))</f>
        <v/>
      </c>
    </row>
    <row r="1399" spans="1:35" hidden="1">
      <c r="A1399" s="69"/>
      <c r="B1399" s="69"/>
      <c r="C1399" s="63"/>
      <c r="D1399" s="69"/>
      <c r="E1399" s="68"/>
      <c r="F1399" s="15" t="str">
        <f>IF($C1399="","",IF($E1399="","-",IFERROR(INDEX(SETUP!$B$55:$B$64,MATCH($E1399,SETUP!$A$55:$A$64,0)),"Other")))</f>
        <v/>
      </c>
      <c r="G1399" s="70"/>
      <c r="H1399" s="15" t="str">
        <f>IF($C1399="","",IF($G1399="","-",INDEX(SETUP!$B$26:$B$32,MATCH($G1399,SETUP!$A$26:$A$32,1))))</f>
        <v/>
      </c>
      <c r="I1399" s="70"/>
      <c r="J1399" s="15" t="str">
        <f>IF($C1399="","",IF($I1399="","-",INDEX(SETUP!$B$16:$B$22,MATCH($I1399,SETUP!$A$16:$A$22,1))))</f>
        <v/>
      </c>
      <c r="K1399" s="15" t="str">
        <f t="shared" si="112"/>
        <v/>
      </c>
      <c r="L1399" s="71"/>
      <c r="M1399" s="15" t="str">
        <f>IF($C1399="","",IF($L1399="","-",INDEX(SETUP!$B$36:$B$42,MATCH($L1399,SETUP!$A$36:$A$42,1))))</f>
        <v/>
      </c>
      <c r="N1399" s="17" t="str">
        <f>IF($C1399="","",IF(OR($G1399="",$I1399=""),"",ROUND(100*(SETUP!$B$4*MIN(1,$I1399/SETUP!$B$9)+SETUP!$B$5*MAX(0,MIN(1,($G1399-SETUP!$B$10)/(SETUP!$B$11-SETUP!$B$10)))+SETUP!$B$6*MIN(1,IF($L1399="",0,$L1399)/SETUP!$B$12)),1)))</f>
        <v/>
      </c>
      <c r="O1399" s="15" t="str">
        <f>IF($C1399="","",IF($N1399="","-",INDEX(SETUP!$B$46:$B$51,MATCH($N1399,SETUP!$A$46:$A$51,1))))</f>
        <v/>
      </c>
      <c r="P1399" s="15" t="str">
        <f>IF($C1399="","",IF($I1399="","",RANK($I1399,$I$4:$I$1463)+COUNTIF($I$4:$I1399,$I1399)-1))</f>
        <v/>
      </c>
      <c r="Q1399" s="15" t="str">
        <f>IF($C1399="","",COUNTIFS($B$4:$B$1463,$B1399,$X$4:$X$1463,"&gt;"&amp;$X1399)+COUNTIFS($B$4:$B1399,$B1399,$X$4:$X1399,"="&amp;$X1399))</f>
        <v/>
      </c>
      <c r="R1399" s="72" t="str">
        <f>IF($C1399="","",IF($I1399="","",ROUND(COUNTIF($I$4:$I$1463,"&lt;"&amp;$I1399)/COUNT($I$4:$I$1463),3)))</f>
        <v/>
      </c>
      <c r="S1399" s="15" t="str">
        <f t="shared" si="113"/>
        <v/>
      </c>
      <c r="T1399" s="41" t="str">
        <f>IF($C1399="","",TRIM(IF(COUNTIF($C$4:$C$1463,$C1399)&gt;1,"Dup name; ","")&amp;IF(AND($G1399&lt;&gt;"",$G1399&lt;55000),"Low CR - verify; ","")&amp;IF(AND($L1399&lt;&gt;"",$L1399&gt;15),"Secondary - verify; ","")&amp;IF($E1399="","No class; ","")))</f>
        <v/>
      </c>
      <c r="U1399" s="68"/>
      <c r="V1399" s="68"/>
      <c r="W1399" s="68"/>
      <c r="X1399" s="41" t="str">
        <f t="shared" si="107"/>
        <v/>
      </c>
      <c r="Y1399" s="41" t="str">
        <f t="shared" si="108"/>
        <v/>
      </c>
      <c r="Z1399" s="15" t="str">
        <f>IF($C1399="","",IF($G1399="","",RANK($G1399,$G$4:$G$1463)+COUNTIF($G$4:$G1399,$G1399)-1))</f>
        <v/>
      </c>
      <c r="AA1399" s="15" t="str">
        <f>IF($C1399="","",IF($N1399="","",RANK($N1399,$N$4:$N$1463)+COUNTIF($N$4:$N1399,$N1399)-1))</f>
        <v/>
      </c>
      <c r="AB1399" s="41" t="str">
        <f>IF($C1399="","",IF($E1399="","",$E1399&amp;"#"&amp;(COUNTIFS($E$4:$E$1463,$E1399,$X$4:$X$1463,"&gt;"&amp;$X1399)+COUNTIFS($E$4:$E1399,$E1399,$X$4:$X1399,"="&amp;$X1399))))</f>
        <v/>
      </c>
      <c r="AC1399" s="41" t="str">
        <f>IF($C1399="","",$B1399&amp;"@"&amp;(COUNTIFS($B$4:$B$1463,$B1399,$C$4:$C$1463,"&lt;"&amp;$C1399)+COUNTIFS($B$4:$B1399,$B1399,$C$4:$C1399,$C1399)))</f>
        <v/>
      </c>
      <c r="AD1399" s="41" t="str">
        <f t="shared" si="109"/>
        <v/>
      </c>
      <c r="AE1399" s="41"/>
      <c r="AF1399" s="41" t="str">
        <f t="shared" si="110"/>
        <v/>
      </c>
      <c r="AG1399" s="41" t="str">
        <f t="shared" si="111"/>
        <v/>
      </c>
      <c r="AH1399" s="41" t="str">
        <f>IF($C1399="","",$B1399&amp;"|"&amp;(COUNTIFS($B$4:$B$1463,$B1399,$AF$4:$AF$1463,"&gt;"&amp;$AF1399)+COUNTIFS($B$4:$B1399,$B1399,$AF$4:$AF1399,"="&amp;$AF1399)))</f>
        <v/>
      </c>
      <c r="AI1399" s="41" t="str">
        <f>IF($C1399="","",$B1399&amp;"|"&amp;(COUNTIFS($B$4:$B$1463,$B1399,$AG$4:$AG$1463,"&gt;"&amp;$AG1399)+COUNTIFS($B$4:$B1399,$B1399,$AG$4:$AG1399,"="&amp;$AG1399)))</f>
        <v/>
      </c>
    </row>
    <row r="1400" spans="1:35" hidden="1">
      <c r="A1400" s="69"/>
      <c r="B1400" s="69"/>
      <c r="C1400" s="63"/>
      <c r="D1400" s="69"/>
      <c r="E1400" s="68"/>
      <c r="F1400" s="19" t="str">
        <f>IF($C1400="","",IF($E1400="","-",IFERROR(INDEX(SETUP!$B$55:$B$64,MATCH($E1400,SETUP!$A$55:$A$64,0)),"Other")))</f>
        <v/>
      </c>
      <c r="G1400" s="70"/>
      <c r="H1400" s="19" t="str">
        <f>IF($C1400="","",IF($G1400="","-",INDEX(SETUP!$B$26:$B$32,MATCH($G1400,SETUP!$A$26:$A$32,1))))</f>
        <v/>
      </c>
      <c r="I1400" s="70"/>
      <c r="J1400" s="19" t="str">
        <f>IF($C1400="","",IF($I1400="","-",INDEX(SETUP!$B$16:$B$22,MATCH($I1400,SETUP!$A$16:$A$22,1))))</f>
        <v/>
      </c>
      <c r="K1400" s="19" t="str">
        <f t="shared" si="112"/>
        <v/>
      </c>
      <c r="L1400" s="71"/>
      <c r="M1400" s="19" t="str">
        <f>IF($C1400="","",IF($L1400="","-",INDEX(SETUP!$B$36:$B$42,MATCH($L1400,SETUP!$A$36:$A$42,1))))</f>
        <v/>
      </c>
      <c r="N1400" s="21" t="str">
        <f>IF($C1400="","",IF(OR($G1400="",$I1400=""),"",ROUND(100*(SETUP!$B$4*MIN(1,$I1400/SETUP!$B$9)+SETUP!$B$5*MAX(0,MIN(1,($G1400-SETUP!$B$10)/(SETUP!$B$11-SETUP!$B$10)))+SETUP!$B$6*MIN(1,IF($L1400="",0,$L1400)/SETUP!$B$12)),1)))</f>
        <v/>
      </c>
      <c r="O1400" s="19" t="str">
        <f>IF($C1400="","",IF($N1400="","-",INDEX(SETUP!$B$46:$B$51,MATCH($N1400,SETUP!$A$46:$A$51,1))))</f>
        <v/>
      </c>
      <c r="P1400" s="19" t="str">
        <f>IF($C1400="","",IF($I1400="","",RANK($I1400,$I$4:$I$1463)+COUNTIF($I$4:$I1400,$I1400)-1))</f>
        <v/>
      </c>
      <c r="Q1400" s="19" t="str">
        <f>IF($C1400="","",COUNTIFS($B$4:$B$1463,$B1400,$X$4:$X$1463,"&gt;"&amp;$X1400)+COUNTIFS($B$4:$B1400,$B1400,$X$4:$X1400,"="&amp;$X1400))</f>
        <v/>
      </c>
      <c r="R1400" s="75" t="str">
        <f>IF($C1400="","",IF($I1400="","",ROUND(COUNTIF($I$4:$I$1463,"&lt;"&amp;$I1400)/COUNT($I$4:$I$1463),3)))</f>
        <v/>
      </c>
      <c r="S1400" s="19" t="str">
        <f t="shared" si="113"/>
        <v/>
      </c>
      <c r="T1400" s="1" t="str">
        <f>IF($C1400="","",TRIM(IF(COUNTIF($C$4:$C$1463,$C1400)&gt;1,"Dup name; ","")&amp;IF(AND($G1400&lt;&gt;"",$G1400&lt;55000),"Low CR - verify; ","")&amp;IF(AND($L1400&lt;&gt;"",$L1400&gt;15),"Secondary - verify; ","")&amp;IF($E1400="","No class; ","")))</f>
        <v/>
      </c>
      <c r="U1400" s="68"/>
      <c r="V1400" s="68"/>
      <c r="W1400" s="68"/>
      <c r="X1400" s="1" t="str">
        <f t="shared" si="107"/>
        <v/>
      </c>
      <c r="Y1400" s="1" t="str">
        <f t="shared" si="108"/>
        <v/>
      </c>
      <c r="Z1400" s="19" t="str">
        <f>IF($C1400="","",IF($G1400="","",RANK($G1400,$G$4:$G$1463)+COUNTIF($G$4:$G1400,$G1400)-1))</f>
        <v/>
      </c>
      <c r="AA1400" s="19" t="str">
        <f>IF($C1400="","",IF($N1400="","",RANK($N1400,$N$4:$N$1463)+COUNTIF($N$4:$N1400,$N1400)-1))</f>
        <v/>
      </c>
      <c r="AB1400" s="1" t="str">
        <f>IF($C1400="","",IF($E1400="","",$E1400&amp;"#"&amp;(COUNTIFS($E$4:$E$1463,$E1400,$X$4:$X$1463,"&gt;"&amp;$X1400)+COUNTIFS($E$4:$E1400,$E1400,$X$4:$X1400,"="&amp;$X1400))))</f>
        <v/>
      </c>
      <c r="AC1400" s="1" t="str">
        <f>IF($C1400="","",$B1400&amp;"@"&amp;(COUNTIFS($B$4:$B$1463,$B1400,$C$4:$C$1463,"&lt;"&amp;$C1400)+COUNTIFS($B$4:$B1400,$B1400,$C$4:$C1400,$C1400)))</f>
        <v/>
      </c>
      <c r="AD1400" s="1" t="str">
        <f t="shared" si="109"/>
        <v/>
      </c>
      <c r="AE1400" s="1"/>
      <c r="AF1400" s="1" t="str">
        <f t="shared" si="110"/>
        <v/>
      </c>
      <c r="AG1400" s="1" t="str">
        <f t="shared" si="111"/>
        <v/>
      </c>
      <c r="AH1400" s="1" t="str">
        <f>IF($C1400="","",$B1400&amp;"|"&amp;(COUNTIFS($B$4:$B$1463,$B1400,$AF$4:$AF$1463,"&gt;"&amp;$AF1400)+COUNTIFS($B$4:$B1400,$B1400,$AF$4:$AF1400,"="&amp;$AF1400)))</f>
        <v/>
      </c>
      <c r="AI1400" s="1" t="str">
        <f>IF($C1400="","",$B1400&amp;"|"&amp;(COUNTIFS($B$4:$B$1463,$B1400,$AG$4:$AG$1463,"&gt;"&amp;$AG1400)+COUNTIFS($B$4:$B1400,$B1400,$AG$4:$AG1400,"="&amp;$AG1400)))</f>
        <v/>
      </c>
    </row>
    <row r="1401" spans="1:35" hidden="1">
      <c r="A1401" s="69"/>
      <c r="B1401" s="69"/>
      <c r="C1401" s="63"/>
      <c r="D1401" s="69"/>
      <c r="E1401" s="68"/>
      <c r="F1401" s="15" t="str">
        <f>IF($C1401="","",IF($E1401="","-",IFERROR(INDEX(SETUP!$B$55:$B$64,MATCH($E1401,SETUP!$A$55:$A$64,0)),"Other")))</f>
        <v/>
      </c>
      <c r="G1401" s="70"/>
      <c r="H1401" s="15" t="str">
        <f>IF($C1401="","",IF($G1401="","-",INDEX(SETUP!$B$26:$B$32,MATCH($G1401,SETUP!$A$26:$A$32,1))))</f>
        <v/>
      </c>
      <c r="I1401" s="70"/>
      <c r="J1401" s="15" t="str">
        <f>IF($C1401="","",IF($I1401="","-",INDEX(SETUP!$B$16:$B$22,MATCH($I1401,SETUP!$A$16:$A$22,1))))</f>
        <v/>
      </c>
      <c r="K1401" s="15" t="str">
        <f t="shared" si="112"/>
        <v/>
      </c>
      <c r="L1401" s="71"/>
      <c r="M1401" s="15" t="str">
        <f>IF($C1401="","",IF($L1401="","-",INDEX(SETUP!$B$36:$B$42,MATCH($L1401,SETUP!$A$36:$A$42,1))))</f>
        <v/>
      </c>
      <c r="N1401" s="17" t="str">
        <f>IF($C1401="","",IF(OR($G1401="",$I1401=""),"",ROUND(100*(SETUP!$B$4*MIN(1,$I1401/SETUP!$B$9)+SETUP!$B$5*MAX(0,MIN(1,($G1401-SETUP!$B$10)/(SETUP!$B$11-SETUP!$B$10)))+SETUP!$B$6*MIN(1,IF($L1401="",0,$L1401)/SETUP!$B$12)),1)))</f>
        <v/>
      </c>
      <c r="O1401" s="15" t="str">
        <f>IF($C1401="","",IF($N1401="","-",INDEX(SETUP!$B$46:$B$51,MATCH($N1401,SETUP!$A$46:$A$51,1))))</f>
        <v/>
      </c>
      <c r="P1401" s="15" t="str">
        <f>IF($C1401="","",IF($I1401="","",RANK($I1401,$I$4:$I$1463)+COUNTIF($I$4:$I1401,$I1401)-1))</f>
        <v/>
      </c>
      <c r="Q1401" s="15" t="str">
        <f>IF($C1401="","",COUNTIFS($B$4:$B$1463,$B1401,$X$4:$X$1463,"&gt;"&amp;$X1401)+COUNTIFS($B$4:$B1401,$B1401,$X$4:$X1401,"="&amp;$X1401))</f>
        <v/>
      </c>
      <c r="R1401" s="72" t="str">
        <f>IF($C1401="","",IF($I1401="","",ROUND(COUNTIF($I$4:$I$1463,"&lt;"&amp;$I1401)/COUNT($I$4:$I$1463),3)))</f>
        <v/>
      </c>
      <c r="S1401" s="15" t="str">
        <f t="shared" si="113"/>
        <v/>
      </c>
      <c r="T1401" s="41" t="str">
        <f>IF($C1401="","",TRIM(IF(COUNTIF($C$4:$C$1463,$C1401)&gt;1,"Dup name; ","")&amp;IF(AND($G1401&lt;&gt;"",$G1401&lt;55000),"Low CR - verify; ","")&amp;IF(AND($L1401&lt;&gt;"",$L1401&gt;15),"Secondary - verify; ","")&amp;IF($E1401="","No class; ","")))</f>
        <v/>
      </c>
      <c r="U1401" s="68"/>
      <c r="V1401" s="68"/>
      <c r="W1401" s="68"/>
      <c r="X1401" s="41" t="str">
        <f t="shared" si="107"/>
        <v/>
      </c>
      <c r="Y1401" s="41" t="str">
        <f t="shared" si="108"/>
        <v/>
      </c>
      <c r="Z1401" s="15" t="str">
        <f>IF($C1401="","",IF($G1401="","",RANK($G1401,$G$4:$G$1463)+COUNTIF($G$4:$G1401,$G1401)-1))</f>
        <v/>
      </c>
      <c r="AA1401" s="15" t="str">
        <f>IF($C1401="","",IF($N1401="","",RANK($N1401,$N$4:$N$1463)+COUNTIF($N$4:$N1401,$N1401)-1))</f>
        <v/>
      </c>
      <c r="AB1401" s="41" t="str">
        <f>IF($C1401="","",IF($E1401="","",$E1401&amp;"#"&amp;(COUNTIFS($E$4:$E$1463,$E1401,$X$4:$X$1463,"&gt;"&amp;$X1401)+COUNTIFS($E$4:$E1401,$E1401,$X$4:$X1401,"="&amp;$X1401))))</f>
        <v/>
      </c>
      <c r="AC1401" s="41" t="str">
        <f>IF($C1401="","",$B1401&amp;"@"&amp;(COUNTIFS($B$4:$B$1463,$B1401,$C$4:$C$1463,"&lt;"&amp;$C1401)+COUNTIFS($B$4:$B1401,$B1401,$C$4:$C1401,$C1401)))</f>
        <v/>
      </c>
      <c r="AD1401" s="41" t="str">
        <f t="shared" si="109"/>
        <v/>
      </c>
      <c r="AE1401" s="41"/>
      <c r="AF1401" s="41" t="str">
        <f t="shared" si="110"/>
        <v/>
      </c>
      <c r="AG1401" s="41" t="str">
        <f t="shared" si="111"/>
        <v/>
      </c>
      <c r="AH1401" s="41" t="str">
        <f>IF($C1401="","",$B1401&amp;"|"&amp;(COUNTIFS($B$4:$B$1463,$B1401,$AF$4:$AF$1463,"&gt;"&amp;$AF1401)+COUNTIFS($B$4:$B1401,$B1401,$AF$4:$AF1401,"="&amp;$AF1401)))</f>
        <v/>
      </c>
      <c r="AI1401" s="41" t="str">
        <f>IF($C1401="","",$B1401&amp;"|"&amp;(COUNTIFS($B$4:$B$1463,$B1401,$AG$4:$AG$1463,"&gt;"&amp;$AG1401)+COUNTIFS($B$4:$B1401,$B1401,$AG$4:$AG1401,"="&amp;$AG1401)))</f>
        <v/>
      </c>
    </row>
    <row r="1402" spans="1:35" hidden="1">
      <c r="A1402" s="69"/>
      <c r="B1402" s="69"/>
      <c r="C1402" s="63"/>
      <c r="D1402" s="69"/>
      <c r="E1402" s="68"/>
      <c r="F1402" s="19" t="str">
        <f>IF($C1402="","",IF($E1402="","-",IFERROR(INDEX(SETUP!$B$55:$B$64,MATCH($E1402,SETUP!$A$55:$A$64,0)),"Other")))</f>
        <v/>
      </c>
      <c r="G1402" s="70"/>
      <c r="H1402" s="19" t="str">
        <f>IF($C1402="","",IF($G1402="","-",INDEX(SETUP!$B$26:$B$32,MATCH($G1402,SETUP!$A$26:$A$32,1))))</f>
        <v/>
      </c>
      <c r="I1402" s="70"/>
      <c r="J1402" s="19" t="str">
        <f>IF($C1402="","",IF($I1402="","-",INDEX(SETUP!$B$16:$B$22,MATCH($I1402,SETUP!$A$16:$A$22,1))))</f>
        <v/>
      </c>
      <c r="K1402" s="19" t="str">
        <f t="shared" si="112"/>
        <v/>
      </c>
      <c r="L1402" s="71"/>
      <c r="M1402" s="19" t="str">
        <f>IF($C1402="","",IF($L1402="","-",INDEX(SETUP!$B$36:$B$42,MATCH($L1402,SETUP!$A$36:$A$42,1))))</f>
        <v/>
      </c>
      <c r="N1402" s="21" t="str">
        <f>IF($C1402="","",IF(OR($G1402="",$I1402=""),"",ROUND(100*(SETUP!$B$4*MIN(1,$I1402/SETUP!$B$9)+SETUP!$B$5*MAX(0,MIN(1,($G1402-SETUP!$B$10)/(SETUP!$B$11-SETUP!$B$10)))+SETUP!$B$6*MIN(1,IF($L1402="",0,$L1402)/SETUP!$B$12)),1)))</f>
        <v/>
      </c>
      <c r="O1402" s="19" t="str">
        <f>IF($C1402="","",IF($N1402="","-",INDEX(SETUP!$B$46:$B$51,MATCH($N1402,SETUP!$A$46:$A$51,1))))</f>
        <v/>
      </c>
      <c r="P1402" s="19" t="str">
        <f>IF($C1402="","",IF($I1402="","",RANK($I1402,$I$4:$I$1463)+COUNTIF($I$4:$I1402,$I1402)-1))</f>
        <v/>
      </c>
      <c r="Q1402" s="19" t="str">
        <f>IF($C1402="","",COUNTIFS($B$4:$B$1463,$B1402,$X$4:$X$1463,"&gt;"&amp;$X1402)+COUNTIFS($B$4:$B1402,$B1402,$X$4:$X1402,"="&amp;$X1402))</f>
        <v/>
      </c>
      <c r="R1402" s="75" t="str">
        <f>IF($C1402="","",IF($I1402="","",ROUND(COUNTIF($I$4:$I$1463,"&lt;"&amp;$I1402)/COUNT($I$4:$I$1463),3)))</f>
        <v/>
      </c>
      <c r="S1402" s="19" t="str">
        <f t="shared" si="113"/>
        <v/>
      </c>
      <c r="T1402" s="1" t="str">
        <f>IF($C1402="","",TRIM(IF(COUNTIF($C$4:$C$1463,$C1402)&gt;1,"Dup name; ","")&amp;IF(AND($G1402&lt;&gt;"",$G1402&lt;55000),"Low CR - verify; ","")&amp;IF(AND($L1402&lt;&gt;"",$L1402&gt;15),"Secondary - verify; ","")&amp;IF($E1402="","No class; ","")))</f>
        <v/>
      </c>
      <c r="U1402" s="68"/>
      <c r="V1402" s="68"/>
      <c r="W1402" s="68"/>
      <c r="X1402" s="1" t="str">
        <f t="shared" si="107"/>
        <v/>
      </c>
      <c r="Y1402" s="1" t="str">
        <f t="shared" si="108"/>
        <v/>
      </c>
      <c r="Z1402" s="19" t="str">
        <f>IF($C1402="","",IF($G1402="","",RANK($G1402,$G$4:$G$1463)+COUNTIF($G$4:$G1402,$G1402)-1))</f>
        <v/>
      </c>
      <c r="AA1402" s="19" t="str">
        <f>IF($C1402="","",IF($N1402="","",RANK($N1402,$N$4:$N$1463)+COUNTIF($N$4:$N1402,$N1402)-1))</f>
        <v/>
      </c>
      <c r="AB1402" s="1" t="str">
        <f>IF($C1402="","",IF($E1402="","",$E1402&amp;"#"&amp;(COUNTIFS($E$4:$E$1463,$E1402,$X$4:$X$1463,"&gt;"&amp;$X1402)+COUNTIFS($E$4:$E1402,$E1402,$X$4:$X1402,"="&amp;$X1402))))</f>
        <v/>
      </c>
      <c r="AC1402" s="1" t="str">
        <f>IF($C1402="","",$B1402&amp;"@"&amp;(COUNTIFS($B$4:$B$1463,$B1402,$C$4:$C$1463,"&lt;"&amp;$C1402)+COUNTIFS($B$4:$B1402,$B1402,$C$4:$C1402,$C1402)))</f>
        <v/>
      </c>
      <c r="AD1402" s="1" t="str">
        <f t="shared" si="109"/>
        <v/>
      </c>
      <c r="AE1402" s="1"/>
      <c r="AF1402" s="1" t="str">
        <f t="shared" si="110"/>
        <v/>
      </c>
      <c r="AG1402" s="1" t="str">
        <f t="shared" si="111"/>
        <v/>
      </c>
      <c r="AH1402" s="1" t="str">
        <f>IF($C1402="","",$B1402&amp;"|"&amp;(COUNTIFS($B$4:$B$1463,$B1402,$AF$4:$AF$1463,"&gt;"&amp;$AF1402)+COUNTIFS($B$4:$B1402,$B1402,$AF$4:$AF1402,"="&amp;$AF1402)))</f>
        <v/>
      </c>
      <c r="AI1402" s="1" t="str">
        <f>IF($C1402="","",$B1402&amp;"|"&amp;(COUNTIFS($B$4:$B$1463,$B1402,$AG$4:$AG$1463,"&gt;"&amp;$AG1402)+COUNTIFS($B$4:$B1402,$B1402,$AG$4:$AG1402,"="&amp;$AG1402)))</f>
        <v/>
      </c>
    </row>
    <row r="1403" spans="1:35" hidden="1">
      <c r="A1403" s="69"/>
      <c r="B1403" s="69"/>
      <c r="C1403" s="63"/>
      <c r="D1403" s="69"/>
      <c r="E1403" s="68"/>
      <c r="F1403" s="15" t="str">
        <f>IF($C1403="","",IF($E1403="","-",IFERROR(INDEX(SETUP!$B$55:$B$64,MATCH($E1403,SETUP!$A$55:$A$64,0)),"Other")))</f>
        <v/>
      </c>
      <c r="G1403" s="70"/>
      <c r="H1403" s="15" t="str">
        <f>IF($C1403="","",IF($G1403="","-",INDEX(SETUP!$B$26:$B$32,MATCH($G1403,SETUP!$A$26:$A$32,1))))</f>
        <v/>
      </c>
      <c r="I1403" s="70"/>
      <c r="J1403" s="15" t="str">
        <f>IF($C1403="","",IF($I1403="","-",INDEX(SETUP!$B$16:$B$22,MATCH($I1403,SETUP!$A$16:$A$22,1))))</f>
        <v/>
      </c>
      <c r="K1403" s="15" t="str">
        <f t="shared" si="112"/>
        <v/>
      </c>
      <c r="L1403" s="71"/>
      <c r="M1403" s="15" t="str">
        <f>IF($C1403="","",IF($L1403="","-",INDEX(SETUP!$B$36:$B$42,MATCH($L1403,SETUP!$A$36:$A$42,1))))</f>
        <v/>
      </c>
      <c r="N1403" s="17" t="str">
        <f>IF($C1403="","",IF(OR($G1403="",$I1403=""),"",ROUND(100*(SETUP!$B$4*MIN(1,$I1403/SETUP!$B$9)+SETUP!$B$5*MAX(0,MIN(1,($G1403-SETUP!$B$10)/(SETUP!$B$11-SETUP!$B$10)))+SETUP!$B$6*MIN(1,IF($L1403="",0,$L1403)/SETUP!$B$12)),1)))</f>
        <v/>
      </c>
      <c r="O1403" s="15" t="str">
        <f>IF($C1403="","",IF($N1403="","-",INDEX(SETUP!$B$46:$B$51,MATCH($N1403,SETUP!$A$46:$A$51,1))))</f>
        <v/>
      </c>
      <c r="P1403" s="15" t="str">
        <f>IF($C1403="","",IF($I1403="","",RANK($I1403,$I$4:$I$1463)+COUNTIF($I$4:$I1403,$I1403)-1))</f>
        <v/>
      </c>
      <c r="Q1403" s="15" t="str">
        <f>IF($C1403="","",COUNTIFS($B$4:$B$1463,$B1403,$X$4:$X$1463,"&gt;"&amp;$X1403)+COUNTIFS($B$4:$B1403,$B1403,$X$4:$X1403,"="&amp;$X1403))</f>
        <v/>
      </c>
      <c r="R1403" s="72" t="str">
        <f>IF($C1403="","",IF($I1403="","",ROUND(COUNTIF($I$4:$I$1463,"&lt;"&amp;$I1403)/COUNT($I$4:$I$1463),3)))</f>
        <v/>
      </c>
      <c r="S1403" s="15" t="str">
        <f t="shared" si="113"/>
        <v/>
      </c>
      <c r="T1403" s="41" t="str">
        <f>IF($C1403="","",TRIM(IF(COUNTIF($C$4:$C$1463,$C1403)&gt;1,"Dup name; ","")&amp;IF(AND($G1403&lt;&gt;"",$G1403&lt;55000),"Low CR - verify; ","")&amp;IF(AND($L1403&lt;&gt;"",$L1403&gt;15),"Secondary - verify; ","")&amp;IF($E1403="","No class; ","")))</f>
        <v/>
      </c>
      <c r="U1403" s="68"/>
      <c r="V1403" s="68"/>
      <c r="W1403" s="68"/>
      <c r="X1403" s="41" t="str">
        <f t="shared" si="107"/>
        <v/>
      </c>
      <c r="Y1403" s="41" t="str">
        <f t="shared" si="108"/>
        <v/>
      </c>
      <c r="Z1403" s="15" t="str">
        <f>IF($C1403="","",IF($G1403="","",RANK($G1403,$G$4:$G$1463)+COUNTIF($G$4:$G1403,$G1403)-1))</f>
        <v/>
      </c>
      <c r="AA1403" s="15" t="str">
        <f>IF($C1403="","",IF($N1403="","",RANK($N1403,$N$4:$N$1463)+COUNTIF($N$4:$N1403,$N1403)-1))</f>
        <v/>
      </c>
      <c r="AB1403" s="41" t="str">
        <f>IF($C1403="","",IF($E1403="","",$E1403&amp;"#"&amp;(COUNTIFS($E$4:$E$1463,$E1403,$X$4:$X$1463,"&gt;"&amp;$X1403)+COUNTIFS($E$4:$E1403,$E1403,$X$4:$X1403,"="&amp;$X1403))))</f>
        <v/>
      </c>
      <c r="AC1403" s="41" t="str">
        <f>IF($C1403="","",$B1403&amp;"@"&amp;(COUNTIFS($B$4:$B$1463,$B1403,$C$4:$C$1463,"&lt;"&amp;$C1403)+COUNTIFS($B$4:$B1403,$B1403,$C$4:$C1403,$C1403)))</f>
        <v/>
      </c>
      <c r="AD1403" s="41" t="str">
        <f t="shared" si="109"/>
        <v/>
      </c>
      <c r="AE1403" s="41"/>
      <c r="AF1403" s="41" t="str">
        <f t="shared" si="110"/>
        <v/>
      </c>
      <c r="AG1403" s="41" t="str">
        <f t="shared" si="111"/>
        <v/>
      </c>
      <c r="AH1403" s="41" t="str">
        <f>IF($C1403="","",$B1403&amp;"|"&amp;(COUNTIFS($B$4:$B$1463,$B1403,$AF$4:$AF$1463,"&gt;"&amp;$AF1403)+COUNTIFS($B$4:$B1403,$B1403,$AF$4:$AF1403,"="&amp;$AF1403)))</f>
        <v/>
      </c>
      <c r="AI1403" s="41" t="str">
        <f>IF($C1403="","",$B1403&amp;"|"&amp;(COUNTIFS($B$4:$B$1463,$B1403,$AG$4:$AG$1463,"&gt;"&amp;$AG1403)+COUNTIFS($B$4:$B1403,$B1403,$AG$4:$AG1403,"="&amp;$AG1403)))</f>
        <v/>
      </c>
    </row>
    <row r="1404" spans="1:35" hidden="1">
      <c r="A1404" s="69"/>
      <c r="B1404" s="69"/>
      <c r="C1404" s="63"/>
      <c r="D1404" s="69"/>
      <c r="E1404" s="68"/>
      <c r="F1404" s="19" t="str">
        <f>IF($C1404="","",IF($E1404="","-",IFERROR(INDEX(SETUP!$B$55:$B$64,MATCH($E1404,SETUP!$A$55:$A$64,0)),"Other")))</f>
        <v/>
      </c>
      <c r="G1404" s="70"/>
      <c r="H1404" s="19" t="str">
        <f>IF($C1404="","",IF($G1404="","-",INDEX(SETUP!$B$26:$B$32,MATCH($G1404,SETUP!$A$26:$A$32,1))))</f>
        <v/>
      </c>
      <c r="I1404" s="70"/>
      <c r="J1404" s="19" t="str">
        <f>IF($C1404="","",IF($I1404="","-",INDEX(SETUP!$B$16:$B$22,MATCH($I1404,SETUP!$A$16:$A$22,1))))</f>
        <v/>
      </c>
      <c r="K1404" s="19" t="str">
        <f t="shared" si="112"/>
        <v/>
      </c>
      <c r="L1404" s="71"/>
      <c r="M1404" s="19" t="str">
        <f>IF($C1404="","",IF($L1404="","-",INDEX(SETUP!$B$36:$B$42,MATCH($L1404,SETUP!$A$36:$A$42,1))))</f>
        <v/>
      </c>
      <c r="N1404" s="21" t="str">
        <f>IF($C1404="","",IF(OR($G1404="",$I1404=""),"",ROUND(100*(SETUP!$B$4*MIN(1,$I1404/SETUP!$B$9)+SETUP!$B$5*MAX(0,MIN(1,($G1404-SETUP!$B$10)/(SETUP!$B$11-SETUP!$B$10)))+SETUP!$B$6*MIN(1,IF($L1404="",0,$L1404)/SETUP!$B$12)),1)))</f>
        <v/>
      </c>
      <c r="O1404" s="19" t="str">
        <f>IF($C1404="","",IF($N1404="","-",INDEX(SETUP!$B$46:$B$51,MATCH($N1404,SETUP!$A$46:$A$51,1))))</f>
        <v/>
      </c>
      <c r="P1404" s="19" t="str">
        <f>IF($C1404="","",IF($I1404="","",RANK($I1404,$I$4:$I$1463)+COUNTIF($I$4:$I1404,$I1404)-1))</f>
        <v/>
      </c>
      <c r="Q1404" s="19" t="str">
        <f>IF($C1404="","",COUNTIFS($B$4:$B$1463,$B1404,$X$4:$X$1463,"&gt;"&amp;$X1404)+COUNTIFS($B$4:$B1404,$B1404,$X$4:$X1404,"="&amp;$X1404))</f>
        <v/>
      </c>
      <c r="R1404" s="75" t="str">
        <f>IF($C1404="","",IF($I1404="","",ROUND(COUNTIF($I$4:$I$1463,"&lt;"&amp;$I1404)/COUNT($I$4:$I$1463),3)))</f>
        <v/>
      </c>
      <c r="S1404" s="19" t="str">
        <f t="shared" si="113"/>
        <v/>
      </c>
      <c r="T1404" s="1" t="str">
        <f>IF($C1404="","",TRIM(IF(COUNTIF($C$4:$C$1463,$C1404)&gt;1,"Dup name; ","")&amp;IF(AND($G1404&lt;&gt;"",$G1404&lt;55000),"Low CR - verify; ","")&amp;IF(AND($L1404&lt;&gt;"",$L1404&gt;15),"Secondary - verify; ","")&amp;IF($E1404="","No class; ","")))</f>
        <v/>
      </c>
      <c r="U1404" s="68"/>
      <c r="V1404" s="68"/>
      <c r="W1404" s="68"/>
      <c r="X1404" s="1" t="str">
        <f t="shared" si="107"/>
        <v/>
      </c>
      <c r="Y1404" s="1" t="str">
        <f t="shared" si="108"/>
        <v/>
      </c>
      <c r="Z1404" s="19" t="str">
        <f>IF($C1404="","",IF($G1404="","",RANK($G1404,$G$4:$G$1463)+COUNTIF($G$4:$G1404,$G1404)-1))</f>
        <v/>
      </c>
      <c r="AA1404" s="19" t="str">
        <f>IF($C1404="","",IF($N1404="","",RANK($N1404,$N$4:$N$1463)+COUNTIF($N$4:$N1404,$N1404)-1))</f>
        <v/>
      </c>
      <c r="AB1404" s="1" t="str">
        <f>IF($C1404="","",IF($E1404="","",$E1404&amp;"#"&amp;(COUNTIFS($E$4:$E$1463,$E1404,$X$4:$X$1463,"&gt;"&amp;$X1404)+COUNTIFS($E$4:$E1404,$E1404,$X$4:$X1404,"="&amp;$X1404))))</f>
        <v/>
      </c>
      <c r="AC1404" s="1" t="str">
        <f>IF($C1404="","",$B1404&amp;"@"&amp;(COUNTIFS($B$4:$B$1463,$B1404,$C$4:$C$1463,"&lt;"&amp;$C1404)+COUNTIFS($B$4:$B1404,$B1404,$C$4:$C1404,$C1404)))</f>
        <v/>
      </c>
      <c r="AD1404" s="1" t="str">
        <f t="shared" si="109"/>
        <v/>
      </c>
      <c r="AE1404" s="1"/>
      <c r="AF1404" s="1" t="str">
        <f t="shared" si="110"/>
        <v/>
      </c>
      <c r="AG1404" s="1" t="str">
        <f t="shared" si="111"/>
        <v/>
      </c>
      <c r="AH1404" s="1" t="str">
        <f>IF($C1404="","",$B1404&amp;"|"&amp;(COUNTIFS($B$4:$B$1463,$B1404,$AF$4:$AF$1463,"&gt;"&amp;$AF1404)+COUNTIFS($B$4:$B1404,$B1404,$AF$4:$AF1404,"="&amp;$AF1404)))</f>
        <v/>
      </c>
      <c r="AI1404" s="1" t="str">
        <f>IF($C1404="","",$B1404&amp;"|"&amp;(COUNTIFS($B$4:$B$1463,$B1404,$AG$4:$AG$1463,"&gt;"&amp;$AG1404)+COUNTIFS($B$4:$B1404,$B1404,$AG$4:$AG1404,"="&amp;$AG1404)))</f>
        <v/>
      </c>
    </row>
    <row r="1405" spans="1:35" hidden="1">
      <c r="A1405" s="69"/>
      <c r="B1405" s="69"/>
      <c r="C1405" s="63"/>
      <c r="D1405" s="69"/>
      <c r="E1405" s="68"/>
      <c r="F1405" s="15" t="str">
        <f>IF($C1405="","",IF($E1405="","-",IFERROR(INDEX(SETUP!$B$55:$B$64,MATCH($E1405,SETUP!$A$55:$A$64,0)),"Other")))</f>
        <v/>
      </c>
      <c r="G1405" s="70"/>
      <c r="H1405" s="15" t="str">
        <f>IF($C1405="","",IF($G1405="","-",INDEX(SETUP!$B$26:$B$32,MATCH($G1405,SETUP!$A$26:$A$32,1))))</f>
        <v/>
      </c>
      <c r="I1405" s="70"/>
      <c r="J1405" s="15" t="str">
        <f>IF($C1405="","",IF($I1405="","-",INDEX(SETUP!$B$16:$B$22,MATCH($I1405,SETUP!$A$16:$A$22,1))))</f>
        <v/>
      </c>
      <c r="K1405" s="15" t="str">
        <f t="shared" si="112"/>
        <v/>
      </c>
      <c r="L1405" s="71"/>
      <c r="M1405" s="15" t="str">
        <f>IF($C1405="","",IF($L1405="","-",INDEX(SETUP!$B$36:$B$42,MATCH($L1405,SETUP!$A$36:$A$42,1))))</f>
        <v/>
      </c>
      <c r="N1405" s="17" t="str">
        <f>IF($C1405="","",IF(OR($G1405="",$I1405=""),"",ROUND(100*(SETUP!$B$4*MIN(1,$I1405/SETUP!$B$9)+SETUP!$B$5*MAX(0,MIN(1,($G1405-SETUP!$B$10)/(SETUP!$B$11-SETUP!$B$10)))+SETUP!$B$6*MIN(1,IF($L1405="",0,$L1405)/SETUP!$B$12)),1)))</f>
        <v/>
      </c>
      <c r="O1405" s="15" t="str">
        <f>IF($C1405="","",IF($N1405="","-",INDEX(SETUP!$B$46:$B$51,MATCH($N1405,SETUP!$A$46:$A$51,1))))</f>
        <v/>
      </c>
      <c r="P1405" s="15" t="str">
        <f>IF($C1405="","",IF($I1405="","",RANK($I1405,$I$4:$I$1463)+COUNTIF($I$4:$I1405,$I1405)-1))</f>
        <v/>
      </c>
      <c r="Q1405" s="15" t="str">
        <f>IF($C1405="","",COUNTIFS($B$4:$B$1463,$B1405,$X$4:$X$1463,"&gt;"&amp;$X1405)+COUNTIFS($B$4:$B1405,$B1405,$X$4:$X1405,"="&amp;$X1405))</f>
        <v/>
      </c>
      <c r="R1405" s="72" t="str">
        <f>IF($C1405="","",IF($I1405="","",ROUND(COUNTIF($I$4:$I$1463,"&lt;"&amp;$I1405)/COUNT($I$4:$I$1463),3)))</f>
        <v/>
      </c>
      <c r="S1405" s="15" t="str">
        <f t="shared" si="113"/>
        <v/>
      </c>
      <c r="T1405" s="41" t="str">
        <f>IF($C1405="","",TRIM(IF(COUNTIF($C$4:$C$1463,$C1405)&gt;1,"Dup name; ","")&amp;IF(AND($G1405&lt;&gt;"",$G1405&lt;55000),"Low CR - verify; ","")&amp;IF(AND($L1405&lt;&gt;"",$L1405&gt;15),"Secondary - verify; ","")&amp;IF($E1405="","No class; ","")))</f>
        <v/>
      </c>
      <c r="U1405" s="68"/>
      <c r="V1405" s="68"/>
      <c r="W1405" s="68"/>
      <c r="X1405" s="41" t="str">
        <f t="shared" si="107"/>
        <v/>
      </c>
      <c r="Y1405" s="41" t="str">
        <f t="shared" si="108"/>
        <v/>
      </c>
      <c r="Z1405" s="15" t="str">
        <f>IF($C1405="","",IF($G1405="","",RANK($G1405,$G$4:$G$1463)+COUNTIF($G$4:$G1405,$G1405)-1))</f>
        <v/>
      </c>
      <c r="AA1405" s="15" t="str">
        <f>IF($C1405="","",IF($N1405="","",RANK($N1405,$N$4:$N$1463)+COUNTIF($N$4:$N1405,$N1405)-1))</f>
        <v/>
      </c>
      <c r="AB1405" s="41" t="str">
        <f>IF($C1405="","",IF($E1405="","",$E1405&amp;"#"&amp;(COUNTIFS($E$4:$E$1463,$E1405,$X$4:$X$1463,"&gt;"&amp;$X1405)+COUNTIFS($E$4:$E1405,$E1405,$X$4:$X1405,"="&amp;$X1405))))</f>
        <v/>
      </c>
      <c r="AC1405" s="41" t="str">
        <f>IF($C1405="","",$B1405&amp;"@"&amp;(COUNTIFS($B$4:$B$1463,$B1405,$C$4:$C$1463,"&lt;"&amp;$C1405)+COUNTIFS($B$4:$B1405,$B1405,$C$4:$C1405,$C1405)))</f>
        <v/>
      </c>
      <c r="AD1405" s="41" t="str">
        <f t="shared" si="109"/>
        <v/>
      </c>
      <c r="AE1405" s="41"/>
      <c r="AF1405" s="41" t="str">
        <f t="shared" si="110"/>
        <v/>
      </c>
      <c r="AG1405" s="41" t="str">
        <f t="shared" si="111"/>
        <v/>
      </c>
      <c r="AH1405" s="41" t="str">
        <f>IF($C1405="","",$B1405&amp;"|"&amp;(COUNTIFS($B$4:$B$1463,$B1405,$AF$4:$AF$1463,"&gt;"&amp;$AF1405)+COUNTIFS($B$4:$B1405,$B1405,$AF$4:$AF1405,"="&amp;$AF1405)))</f>
        <v/>
      </c>
      <c r="AI1405" s="41" t="str">
        <f>IF($C1405="","",$B1405&amp;"|"&amp;(COUNTIFS($B$4:$B$1463,$B1405,$AG$4:$AG$1463,"&gt;"&amp;$AG1405)+COUNTIFS($B$4:$B1405,$B1405,$AG$4:$AG1405,"="&amp;$AG1405)))</f>
        <v/>
      </c>
    </row>
    <row r="1406" spans="1:35" hidden="1">
      <c r="A1406" s="69"/>
      <c r="B1406" s="69"/>
      <c r="C1406" s="63"/>
      <c r="D1406" s="69"/>
      <c r="E1406" s="68"/>
      <c r="F1406" s="19" t="str">
        <f>IF($C1406="","",IF($E1406="","-",IFERROR(INDEX(SETUP!$B$55:$B$64,MATCH($E1406,SETUP!$A$55:$A$64,0)),"Other")))</f>
        <v/>
      </c>
      <c r="G1406" s="70"/>
      <c r="H1406" s="19" t="str">
        <f>IF($C1406="","",IF($G1406="","-",INDEX(SETUP!$B$26:$B$32,MATCH($G1406,SETUP!$A$26:$A$32,1))))</f>
        <v/>
      </c>
      <c r="I1406" s="70"/>
      <c r="J1406" s="19" t="str">
        <f>IF($C1406="","",IF($I1406="","-",INDEX(SETUP!$B$16:$B$22,MATCH($I1406,SETUP!$A$16:$A$22,1))))</f>
        <v/>
      </c>
      <c r="K1406" s="19" t="str">
        <f t="shared" si="112"/>
        <v/>
      </c>
      <c r="L1406" s="71"/>
      <c r="M1406" s="19" t="str">
        <f>IF($C1406="","",IF($L1406="","-",INDEX(SETUP!$B$36:$B$42,MATCH($L1406,SETUP!$A$36:$A$42,1))))</f>
        <v/>
      </c>
      <c r="N1406" s="21" t="str">
        <f>IF($C1406="","",IF(OR($G1406="",$I1406=""),"",ROUND(100*(SETUP!$B$4*MIN(1,$I1406/SETUP!$B$9)+SETUP!$B$5*MAX(0,MIN(1,($G1406-SETUP!$B$10)/(SETUP!$B$11-SETUP!$B$10)))+SETUP!$B$6*MIN(1,IF($L1406="",0,$L1406)/SETUP!$B$12)),1)))</f>
        <v/>
      </c>
      <c r="O1406" s="19" t="str">
        <f>IF($C1406="","",IF($N1406="","-",INDEX(SETUP!$B$46:$B$51,MATCH($N1406,SETUP!$A$46:$A$51,1))))</f>
        <v/>
      </c>
      <c r="P1406" s="19" t="str">
        <f>IF($C1406="","",IF($I1406="","",RANK($I1406,$I$4:$I$1463)+COUNTIF($I$4:$I1406,$I1406)-1))</f>
        <v/>
      </c>
      <c r="Q1406" s="19" t="str">
        <f>IF($C1406="","",COUNTIFS($B$4:$B$1463,$B1406,$X$4:$X$1463,"&gt;"&amp;$X1406)+COUNTIFS($B$4:$B1406,$B1406,$X$4:$X1406,"="&amp;$X1406))</f>
        <v/>
      </c>
      <c r="R1406" s="75" t="str">
        <f>IF($C1406="","",IF($I1406="","",ROUND(COUNTIF($I$4:$I$1463,"&lt;"&amp;$I1406)/COUNT($I$4:$I$1463),3)))</f>
        <v/>
      </c>
      <c r="S1406" s="19" t="str">
        <f t="shared" si="113"/>
        <v/>
      </c>
      <c r="T1406" s="1" t="str">
        <f>IF($C1406="","",TRIM(IF(COUNTIF($C$4:$C$1463,$C1406)&gt;1,"Dup name; ","")&amp;IF(AND($G1406&lt;&gt;"",$G1406&lt;55000),"Low CR - verify; ","")&amp;IF(AND($L1406&lt;&gt;"",$L1406&gt;15),"Secondary - verify; ","")&amp;IF($E1406="","No class; ","")))</f>
        <v/>
      </c>
      <c r="U1406" s="68"/>
      <c r="V1406" s="68"/>
      <c r="W1406" s="68"/>
      <c r="X1406" s="1" t="str">
        <f t="shared" si="107"/>
        <v/>
      </c>
      <c r="Y1406" s="1" t="str">
        <f t="shared" si="108"/>
        <v/>
      </c>
      <c r="Z1406" s="19" t="str">
        <f>IF($C1406="","",IF($G1406="","",RANK($G1406,$G$4:$G$1463)+COUNTIF($G$4:$G1406,$G1406)-1))</f>
        <v/>
      </c>
      <c r="AA1406" s="19" t="str">
        <f>IF($C1406="","",IF($N1406="","",RANK($N1406,$N$4:$N$1463)+COUNTIF($N$4:$N1406,$N1406)-1))</f>
        <v/>
      </c>
      <c r="AB1406" s="1" t="str">
        <f>IF($C1406="","",IF($E1406="","",$E1406&amp;"#"&amp;(COUNTIFS($E$4:$E$1463,$E1406,$X$4:$X$1463,"&gt;"&amp;$X1406)+COUNTIFS($E$4:$E1406,$E1406,$X$4:$X1406,"="&amp;$X1406))))</f>
        <v/>
      </c>
      <c r="AC1406" s="1" t="str">
        <f>IF($C1406="","",$B1406&amp;"@"&amp;(COUNTIFS($B$4:$B$1463,$B1406,$C$4:$C$1463,"&lt;"&amp;$C1406)+COUNTIFS($B$4:$B1406,$B1406,$C$4:$C1406,$C1406)))</f>
        <v/>
      </c>
      <c r="AD1406" s="1" t="str">
        <f t="shared" si="109"/>
        <v/>
      </c>
      <c r="AE1406" s="1"/>
      <c r="AF1406" s="1" t="str">
        <f t="shared" si="110"/>
        <v/>
      </c>
      <c r="AG1406" s="1" t="str">
        <f t="shared" si="111"/>
        <v/>
      </c>
      <c r="AH1406" s="1" t="str">
        <f>IF($C1406="","",$B1406&amp;"|"&amp;(COUNTIFS($B$4:$B$1463,$B1406,$AF$4:$AF$1463,"&gt;"&amp;$AF1406)+COUNTIFS($B$4:$B1406,$B1406,$AF$4:$AF1406,"="&amp;$AF1406)))</f>
        <v/>
      </c>
      <c r="AI1406" s="1" t="str">
        <f>IF($C1406="","",$B1406&amp;"|"&amp;(COUNTIFS($B$4:$B$1463,$B1406,$AG$4:$AG$1463,"&gt;"&amp;$AG1406)+COUNTIFS($B$4:$B1406,$B1406,$AG$4:$AG1406,"="&amp;$AG1406)))</f>
        <v/>
      </c>
    </row>
    <row r="1407" spans="1:35" hidden="1">
      <c r="A1407" s="69"/>
      <c r="B1407" s="69"/>
      <c r="C1407" s="63"/>
      <c r="D1407" s="69"/>
      <c r="E1407" s="68"/>
      <c r="F1407" s="15" t="str">
        <f>IF($C1407="","",IF($E1407="","-",IFERROR(INDEX(SETUP!$B$55:$B$64,MATCH($E1407,SETUP!$A$55:$A$64,0)),"Other")))</f>
        <v/>
      </c>
      <c r="G1407" s="70"/>
      <c r="H1407" s="15" t="str">
        <f>IF($C1407="","",IF($G1407="","-",INDEX(SETUP!$B$26:$B$32,MATCH($G1407,SETUP!$A$26:$A$32,1))))</f>
        <v/>
      </c>
      <c r="I1407" s="70"/>
      <c r="J1407" s="15" t="str">
        <f>IF($C1407="","",IF($I1407="","-",INDEX(SETUP!$B$16:$B$22,MATCH($I1407,SETUP!$A$16:$A$22,1))))</f>
        <v/>
      </c>
      <c r="K1407" s="15" t="str">
        <f t="shared" si="112"/>
        <v/>
      </c>
      <c r="L1407" s="71"/>
      <c r="M1407" s="15" t="str">
        <f>IF($C1407="","",IF($L1407="","-",INDEX(SETUP!$B$36:$B$42,MATCH($L1407,SETUP!$A$36:$A$42,1))))</f>
        <v/>
      </c>
      <c r="N1407" s="17" t="str">
        <f>IF($C1407="","",IF(OR($G1407="",$I1407=""),"",ROUND(100*(SETUP!$B$4*MIN(1,$I1407/SETUP!$B$9)+SETUP!$B$5*MAX(0,MIN(1,($G1407-SETUP!$B$10)/(SETUP!$B$11-SETUP!$B$10)))+SETUP!$B$6*MIN(1,IF($L1407="",0,$L1407)/SETUP!$B$12)),1)))</f>
        <v/>
      </c>
      <c r="O1407" s="15" t="str">
        <f>IF($C1407="","",IF($N1407="","-",INDEX(SETUP!$B$46:$B$51,MATCH($N1407,SETUP!$A$46:$A$51,1))))</f>
        <v/>
      </c>
      <c r="P1407" s="15" t="str">
        <f>IF($C1407="","",IF($I1407="","",RANK($I1407,$I$4:$I$1463)+COUNTIF($I$4:$I1407,$I1407)-1))</f>
        <v/>
      </c>
      <c r="Q1407" s="15" t="str">
        <f>IF($C1407="","",COUNTIFS($B$4:$B$1463,$B1407,$X$4:$X$1463,"&gt;"&amp;$X1407)+COUNTIFS($B$4:$B1407,$B1407,$X$4:$X1407,"="&amp;$X1407))</f>
        <v/>
      </c>
      <c r="R1407" s="72" t="str">
        <f>IF($C1407="","",IF($I1407="","",ROUND(COUNTIF($I$4:$I$1463,"&lt;"&amp;$I1407)/COUNT($I$4:$I$1463),3)))</f>
        <v/>
      </c>
      <c r="S1407" s="15" t="str">
        <f t="shared" si="113"/>
        <v/>
      </c>
      <c r="T1407" s="41" t="str">
        <f>IF($C1407="","",TRIM(IF(COUNTIF($C$4:$C$1463,$C1407)&gt;1,"Dup name; ","")&amp;IF(AND($G1407&lt;&gt;"",$G1407&lt;55000),"Low CR - verify; ","")&amp;IF(AND($L1407&lt;&gt;"",$L1407&gt;15),"Secondary - verify; ","")&amp;IF($E1407="","No class; ","")))</f>
        <v/>
      </c>
      <c r="U1407" s="68"/>
      <c r="V1407" s="68"/>
      <c r="W1407" s="68"/>
      <c r="X1407" s="41" t="str">
        <f t="shared" si="107"/>
        <v/>
      </c>
      <c r="Y1407" s="41" t="str">
        <f t="shared" si="108"/>
        <v/>
      </c>
      <c r="Z1407" s="15" t="str">
        <f>IF($C1407="","",IF($G1407="","",RANK($G1407,$G$4:$G$1463)+COUNTIF($G$4:$G1407,$G1407)-1))</f>
        <v/>
      </c>
      <c r="AA1407" s="15" t="str">
        <f>IF($C1407="","",IF($N1407="","",RANK($N1407,$N$4:$N$1463)+COUNTIF($N$4:$N1407,$N1407)-1))</f>
        <v/>
      </c>
      <c r="AB1407" s="41" t="str">
        <f>IF($C1407="","",IF($E1407="","",$E1407&amp;"#"&amp;(COUNTIFS($E$4:$E$1463,$E1407,$X$4:$X$1463,"&gt;"&amp;$X1407)+COUNTIFS($E$4:$E1407,$E1407,$X$4:$X1407,"="&amp;$X1407))))</f>
        <v/>
      </c>
      <c r="AC1407" s="41" t="str">
        <f>IF($C1407="","",$B1407&amp;"@"&amp;(COUNTIFS($B$4:$B$1463,$B1407,$C$4:$C$1463,"&lt;"&amp;$C1407)+COUNTIFS($B$4:$B1407,$B1407,$C$4:$C1407,$C1407)))</f>
        <v/>
      </c>
      <c r="AD1407" s="41" t="str">
        <f t="shared" si="109"/>
        <v/>
      </c>
      <c r="AE1407" s="41"/>
      <c r="AF1407" s="41" t="str">
        <f t="shared" si="110"/>
        <v/>
      </c>
      <c r="AG1407" s="41" t="str">
        <f t="shared" si="111"/>
        <v/>
      </c>
      <c r="AH1407" s="41" t="str">
        <f>IF($C1407="","",$B1407&amp;"|"&amp;(COUNTIFS($B$4:$B$1463,$B1407,$AF$4:$AF$1463,"&gt;"&amp;$AF1407)+COUNTIFS($B$4:$B1407,$B1407,$AF$4:$AF1407,"="&amp;$AF1407)))</f>
        <v/>
      </c>
      <c r="AI1407" s="41" t="str">
        <f>IF($C1407="","",$B1407&amp;"|"&amp;(COUNTIFS($B$4:$B$1463,$B1407,$AG$4:$AG$1463,"&gt;"&amp;$AG1407)+COUNTIFS($B$4:$B1407,$B1407,$AG$4:$AG1407,"="&amp;$AG1407)))</f>
        <v/>
      </c>
    </row>
    <row r="1408" spans="1:35" hidden="1">
      <c r="A1408" s="69"/>
      <c r="B1408" s="69"/>
      <c r="C1408" s="63"/>
      <c r="D1408" s="69"/>
      <c r="E1408" s="68"/>
      <c r="F1408" s="19" t="str">
        <f>IF($C1408="","",IF($E1408="","-",IFERROR(INDEX(SETUP!$B$55:$B$64,MATCH($E1408,SETUP!$A$55:$A$64,0)),"Other")))</f>
        <v/>
      </c>
      <c r="G1408" s="70"/>
      <c r="H1408" s="19" t="str">
        <f>IF($C1408="","",IF($G1408="","-",INDEX(SETUP!$B$26:$B$32,MATCH($G1408,SETUP!$A$26:$A$32,1))))</f>
        <v/>
      </c>
      <c r="I1408" s="70"/>
      <c r="J1408" s="19" t="str">
        <f>IF($C1408="","",IF($I1408="","-",INDEX(SETUP!$B$16:$B$22,MATCH($I1408,SETUP!$A$16:$A$22,1))))</f>
        <v/>
      </c>
      <c r="K1408" s="19" t="str">
        <f t="shared" si="112"/>
        <v/>
      </c>
      <c r="L1408" s="71"/>
      <c r="M1408" s="19" t="str">
        <f>IF($C1408="","",IF($L1408="","-",INDEX(SETUP!$B$36:$B$42,MATCH($L1408,SETUP!$A$36:$A$42,1))))</f>
        <v/>
      </c>
      <c r="N1408" s="21" t="str">
        <f>IF($C1408="","",IF(OR($G1408="",$I1408=""),"",ROUND(100*(SETUP!$B$4*MIN(1,$I1408/SETUP!$B$9)+SETUP!$B$5*MAX(0,MIN(1,($G1408-SETUP!$B$10)/(SETUP!$B$11-SETUP!$B$10)))+SETUP!$B$6*MIN(1,IF($L1408="",0,$L1408)/SETUP!$B$12)),1)))</f>
        <v/>
      </c>
      <c r="O1408" s="19" t="str">
        <f>IF($C1408="","",IF($N1408="","-",INDEX(SETUP!$B$46:$B$51,MATCH($N1408,SETUP!$A$46:$A$51,1))))</f>
        <v/>
      </c>
      <c r="P1408" s="19" t="str">
        <f>IF($C1408="","",IF($I1408="","",RANK($I1408,$I$4:$I$1463)+COUNTIF($I$4:$I1408,$I1408)-1))</f>
        <v/>
      </c>
      <c r="Q1408" s="19" t="str">
        <f>IF($C1408="","",COUNTIFS($B$4:$B$1463,$B1408,$X$4:$X$1463,"&gt;"&amp;$X1408)+COUNTIFS($B$4:$B1408,$B1408,$X$4:$X1408,"="&amp;$X1408))</f>
        <v/>
      </c>
      <c r="R1408" s="75" t="str">
        <f>IF($C1408="","",IF($I1408="","",ROUND(COUNTIF($I$4:$I$1463,"&lt;"&amp;$I1408)/COUNT($I$4:$I$1463),3)))</f>
        <v/>
      </c>
      <c r="S1408" s="19" t="str">
        <f t="shared" si="113"/>
        <v/>
      </c>
      <c r="T1408" s="1" t="str">
        <f>IF($C1408="","",TRIM(IF(COUNTIF($C$4:$C$1463,$C1408)&gt;1,"Dup name; ","")&amp;IF(AND($G1408&lt;&gt;"",$G1408&lt;55000),"Low CR - verify; ","")&amp;IF(AND($L1408&lt;&gt;"",$L1408&gt;15),"Secondary - verify; ","")&amp;IF($E1408="","No class; ","")))</f>
        <v/>
      </c>
      <c r="U1408" s="68"/>
      <c r="V1408" s="68"/>
      <c r="W1408" s="68"/>
      <c r="X1408" s="1" t="str">
        <f t="shared" si="107"/>
        <v/>
      </c>
      <c r="Y1408" s="1" t="str">
        <f t="shared" si="108"/>
        <v/>
      </c>
      <c r="Z1408" s="19" t="str">
        <f>IF($C1408="","",IF($G1408="","",RANK($G1408,$G$4:$G$1463)+COUNTIF($G$4:$G1408,$G1408)-1))</f>
        <v/>
      </c>
      <c r="AA1408" s="19" t="str">
        <f>IF($C1408="","",IF($N1408="","",RANK($N1408,$N$4:$N$1463)+COUNTIF($N$4:$N1408,$N1408)-1))</f>
        <v/>
      </c>
      <c r="AB1408" s="1" t="str">
        <f>IF($C1408="","",IF($E1408="","",$E1408&amp;"#"&amp;(COUNTIFS($E$4:$E$1463,$E1408,$X$4:$X$1463,"&gt;"&amp;$X1408)+COUNTIFS($E$4:$E1408,$E1408,$X$4:$X1408,"="&amp;$X1408))))</f>
        <v/>
      </c>
      <c r="AC1408" s="1" t="str">
        <f>IF($C1408="","",$B1408&amp;"@"&amp;(COUNTIFS($B$4:$B$1463,$B1408,$C$4:$C$1463,"&lt;"&amp;$C1408)+COUNTIFS($B$4:$B1408,$B1408,$C$4:$C1408,$C1408)))</f>
        <v/>
      </c>
      <c r="AD1408" s="1" t="str">
        <f t="shared" si="109"/>
        <v/>
      </c>
      <c r="AE1408" s="1"/>
      <c r="AF1408" s="1" t="str">
        <f t="shared" si="110"/>
        <v/>
      </c>
      <c r="AG1408" s="1" t="str">
        <f t="shared" si="111"/>
        <v/>
      </c>
      <c r="AH1408" s="1" t="str">
        <f>IF($C1408="","",$B1408&amp;"|"&amp;(COUNTIFS($B$4:$B$1463,$B1408,$AF$4:$AF$1463,"&gt;"&amp;$AF1408)+COUNTIFS($B$4:$B1408,$B1408,$AF$4:$AF1408,"="&amp;$AF1408)))</f>
        <v/>
      </c>
      <c r="AI1408" s="1" t="str">
        <f>IF($C1408="","",$B1408&amp;"|"&amp;(COUNTIFS($B$4:$B$1463,$B1408,$AG$4:$AG$1463,"&gt;"&amp;$AG1408)+COUNTIFS($B$4:$B1408,$B1408,$AG$4:$AG1408,"="&amp;$AG1408)))</f>
        <v/>
      </c>
    </row>
    <row r="1409" spans="1:35" hidden="1">
      <c r="A1409" s="69"/>
      <c r="B1409" s="69"/>
      <c r="C1409" s="63"/>
      <c r="D1409" s="69"/>
      <c r="E1409" s="68"/>
      <c r="F1409" s="15" t="str">
        <f>IF($C1409="","",IF($E1409="","-",IFERROR(INDEX(SETUP!$B$55:$B$64,MATCH($E1409,SETUP!$A$55:$A$64,0)),"Other")))</f>
        <v/>
      </c>
      <c r="G1409" s="70"/>
      <c r="H1409" s="15" t="str">
        <f>IF($C1409="","",IF($G1409="","-",INDEX(SETUP!$B$26:$B$32,MATCH($G1409,SETUP!$A$26:$A$32,1))))</f>
        <v/>
      </c>
      <c r="I1409" s="70"/>
      <c r="J1409" s="15" t="str">
        <f>IF($C1409="","",IF($I1409="","-",INDEX(SETUP!$B$16:$B$22,MATCH($I1409,SETUP!$A$16:$A$22,1))))</f>
        <v/>
      </c>
      <c r="K1409" s="15" t="str">
        <f t="shared" si="112"/>
        <v/>
      </c>
      <c r="L1409" s="71"/>
      <c r="M1409" s="15" t="str">
        <f>IF($C1409="","",IF($L1409="","-",INDEX(SETUP!$B$36:$B$42,MATCH($L1409,SETUP!$A$36:$A$42,1))))</f>
        <v/>
      </c>
      <c r="N1409" s="17" t="str">
        <f>IF($C1409="","",IF(OR($G1409="",$I1409=""),"",ROUND(100*(SETUP!$B$4*MIN(1,$I1409/SETUP!$B$9)+SETUP!$B$5*MAX(0,MIN(1,($G1409-SETUP!$B$10)/(SETUP!$B$11-SETUP!$B$10)))+SETUP!$B$6*MIN(1,IF($L1409="",0,$L1409)/SETUP!$B$12)),1)))</f>
        <v/>
      </c>
      <c r="O1409" s="15" t="str">
        <f>IF($C1409="","",IF($N1409="","-",INDEX(SETUP!$B$46:$B$51,MATCH($N1409,SETUP!$A$46:$A$51,1))))</f>
        <v/>
      </c>
      <c r="P1409" s="15" t="str">
        <f>IF($C1409="","",IF($I1409="","",RANK($I1409,$I$4:$I$1463)+COUNTIF($I$4:$I1409,$I1409)-1))</f>
        <v/>
      </c>
      <c r="Q1409" s="15" t="str">
        <f>IF($C1409="","",COUNTIFS($B$4:$B$1463,$B1409,$X$4:$X$1463,"&gt;"&amp;$X1409)+COUNTIFS($B$4:$B1409,$B1409,$X$4:$X1409,"="&amp;$X1409))</f>
        <v/>
      </c>
      <c r="R1409" s="72" t="str">
        <f>IF($C1409="","",IF($I1409="","",ROUND(COUNTIF($I$4:$I$1463,"&lt;"&amp;$I1409)/COUNT($I$4:$I$1463),3)))</f>
        <v/>
      </c>
      <c r="S1409" s="15" t="str">
        <f t="shared" si="113"/>
        <v/>
      </c>
      <c r="T1409" s="41" t="str">
        <f>IF($C1409="","",TRIM(IF(COUNTIF($C$4:$C$1463,$C1409)&gt;1,"Dup name; ","")&amp;IF(AND($G1409&lt;&gt;"",$G1409&lt;55000),"Low CR - verify; ","")&amp;IF(AND($L1409&lt;&gt;"",$L1409&gt;15),"Secondary - verify; ","")&amp;IF($E1409="","No class; ","")))</f>
        <v/>
      </c>
      <c r="U1409" s="68"/>
      <c r="V1409" s="68"/>
      <c r="W1409" s="68"/>
      <c r="X1409" s="41" t="str">
        <f t="shared" si="107"/>
        <v/>
      </c>
      <c r="Y1409" s="41" t="str">
        <f t="shared" si="108"/>
        <v/>
      </c>
      <c r="Z1409" s="15" t="str">
        <f>IF($C1409="","",IF($G1409="","",RANK($G1409,$G$4:$G$1463)+COUNTIF($G$4:$G1409,$G1409)-1))</f>
        <v/>
      </c>
      <c r="AA1409" s="15" t="str">
        <f>IF($C1409="","",IF($N1409="","",RANK($N1409,$N$4:$N$1463)+COUNTIF($N$4:$N1409,$N1409)-1))</f>
        <v/>
      </c>
      <c r="AB1409" s="41" t="str">
        <f>IF($C1409="","",IF($E1409="","",$E1409&amp;"#"&amp;(COUNTIFS($E$4:$E$1463,$E1409,$X$4:$X$1463,"&gt;"&amp;$X1409)+COUNTIFS($E$4:$E1409,$E1409,$X$4:$X1409,"="&amp;$X1409))))</f>
        <v/>
      </c>
      <c r="AC1409" s="41" t="str">
        <f>IF($C1409="","",$B1409&amp;"@"&amp;(COUNTIFS($B$4:$B$1463,$B1409,$C$4:$C$1463,"&lt;"&amp;$C1409)+COUNTIFS($B$4:$B1409,$B1409,$C$4:$C1409,$C1409)))</f>
        <v/>
      </c>
      <c r="AD1409" s="41" t="str">
        <f t="shared" si="109"/>
        <v/>
      </c>
      <c r="AE1409" s="41"/>
      <c r="AF1409" s="41" t="str">
        <f t="shared" si="110"/>
        <v/>
      </c>
      <c r="AG1409" s="41" t="str">
        <f t="shared" si="111"/>
        <v/>
      </c>
      <c r="AH1409" s="41" t="str">
        <f>IF($C1409="","",$B1409&amp;"|"&amp;(COUNTIFS($B$4:$B$1463,$B1409,$AF$4:$AF$1463,"&gt;"&amp;$AF1409)+COUNTIFS($B$4:$B1409,$B1409,$AF$4:$AF1409,"="&amp;$AF1409)))</f>
        <v/>
      </c>
      <c r="AI1409" s="41" t="str">
        <f>IF($C1409="","",$B1409&amp;"|"&amp;(COUNTIFS($B$4:$B$1463,$B1409,$AG$4:$AG$1463,"&gt;"&amp;$AG1409)+COUNTIFS($B$4:$B1409,$B1409,$AG$4:$AG1409,"="&amp;$AG1409)))</f>
        <v/>
      </c>
    </row>
    <row r="1410" spans="1:35" hidden="1">
      <c r="A1410" s="69"/>
      <c r="B1410" s="69"/>
      <c r="C1410" s="63"/>
      <c r="D1410" s="69"/>
      <c r="E1410" s="68"/>
      <c r="F1410" s="19" t="str">
        <f>IF($C1410="","",IF($E1410="","-",IFERROR(INDEX(SETUP!$B$55:$B$64,MATCH($E1410,SETUP!$A$55:$A$64,0)),"Other")))</f>
        <v/>
      </c>
      <c r="G1410" s="70"/>
      <c r="H1410" s="19" t="str">
        <f>IF($C1410="","",IF($G1410="","-",INDEX(SETUP!$B$26:$B$32,MATCH($G1410,SETUP!$A$26:$A$32,1))))</f>
        <v/>
      </c>
      <c r="I1410" s="70"/>
      <c r="J1410" s="19" t="str">
        <f>IF($C1410="","",IF($I1410="","-",INDEX(SETUP!$B$16:$B$22,MATCH($I1410,SETUP!$A$16:$A$22,1))))</f>
        <v/>
      </c>
      <c r="K1410" s="19" t="str">
        <f t="shared" si="112"/>
        <v/>
      </c>
      <c r="L1410" s="71"/>
      <c r="M1410" s="19" t="str">
        <f>IF($C1410="","",IF($L1410="","-",INDEX(SETUP!$B$36:$B$42,MATCH($L1410,SETUP!$A$36:$A$42,1))))</f>
        <v/>
      </c>
      <c r="N1410" s="21" t="str">
        <f>IF($C1410="","",IF(OR($G1410="",$I1410=""),"",ROUND(100*(SETUP!$B$4*MIN(1,$I1410/SETUP!$B$9)+SETUP!$B$5*MAX(0,MIN(1,($G1410-SETUP!$B$10)/(SETUP!$B$11-SETUP!$B$10)))+SETUP!$B$6*MIN(1,IF($L1410="",0,$L1410)/SETUP!$B$12)),1)))</f>
        <v/>
      </c>
      <c r="O1410" s="19" t="str">
        <f>IF($C1410="","",IF($N1410="","-",INDEX(SETUP!$B$46:$B$51,MATCH($N1410,SETUP!$A$46:$A$51,1))))</f>
        <v/>
      </c>
      <c r="P1410" s="19" t="str">
        <f>IF($C1410="","",IF($I1410="","",RANK($I1410,$I$4:$I$1463)+COUNTIF($I$4:$I1410,$I1410)-1))</f>
        <v/>
      </c>
      <c r="Q1410" s="19" t="str">
        <f>IF($C1410="","",COUNTIFS($B$4:$B$1463,$B1410,$X$4:$X$1463,"&gt;"&amp;$X1410)+COUNTIFS($B$4:$B1410,$B1410,$X$4:$X1410,"="&amp;$X1410))</f>
        <v/>
      </c>
      <c r="R1410" s="75" t="str">
        <f>IF($C1410="","",IF($I1410="","",ROUND(COUNTIF($I$4:$I$1463,"&lt;"&amp;$I1410)/COUNT($I$4:$I$1463),3)))</f>
        <v/>
      </c>
      <c r="S1410" s="19" t="str">
        <f t="shared" si="113"/>
        <v/>
      </c>
      <c r="T1410" s="1" t="str">
        <f>IF($C1410="","",TRIM(IF(COUNTIF($C$4:$C$1463,$C1410)&gt;1,"Dup name; ","")&amp;IF(AND($G1410&lt;&gt;"",$G1410&lt;55000),"Low CR - verify; ","")&amp;IF(AND($L1410&lt;&gt;"",$L1410&gt;15),"Secondary - verify; ","")&amp;IF($E1410="","No class; ","")))</f>
        <v/>
      </c>
      <c r="U1410" s="68"/>
      <c r="V1410" s="68"/>
      <c r="W1410" s="68"/>
      <c r="X1410" s="1" t="str">
        <f t="shared" si="107"/>
        <v/>
      </c>
      <c r="Y1410" s="1" t="str">
        <f t="shared" si="108"/>
        <v/>
      </c>
      <c r="Z1410" s="19" t="str">
        <f>IF($C1410="","",IF($G1410="","",RANK($G1410,$G$4:$G$1463)+COUNTIF($G$4:$G1410,$G1410)-1))</f>
        <v/>
      </c>
      <c r="AA1410" s="19" t="str">
        <f>IF($C1410="","",IF($N1410="","",RANK($N1410,$N$4:$N$1463)+COUNTIF($N$4:$N1410,$N1410)-1))</f>
        <v/>
      </c>
      <c r="AB1410" s="1" t="str">
        <f>IF($C1410="","",IF($E1410="","",$E1410&amp;"#"&amp;(COUNTIFS($E$4:$E$1463,$E1410,$X$4:$X$1463,"&gt;"&amp;$X1410)+COUNTIFS($E$4:$E1410,$E1410,$X$4:$X1410,"="&amp;$X1410))))</f>
        <v/>
      </c>
      <c r="AC1410" s="1" t="str">
        <f>IF($C1410="","",$B1410&amp;"@"&amp;(COUNTIFS($B$4:$B$1463,$B1410,$C$4:$C$1463,"&lt;"&amp;$C1410)+COUNTIFS($B$4:$B1410,$B1410,$C$4:$C1410,$C1410)))</f>
        <v/>
      </c>
      <c r="AD1410" s="1" t="str">
        <f t="shared" si="109"/>
        <v/>
      </c>
      <c r="AE1410" s="1"/>
      <c r="AF1410" s="1" t="str">
        <f t="shared" si="110"/>
        <v/>
      </c>
      <c r="AG1410" s="1" t="str">
        <f t="shared" si="111"/>
        <v/>
      </c>
      <c r="AH1410" s="1" t="str">
        <f>IF($C1410="","",$B1410&amp;"|"&amp;(COUNTIFS($B$4:$B$1463,$B1410,$AF$4:$AF$1463,"&gt;"&amp;$AF1410)+COUNTIFS($B$4:$B1410,$B1410,$AF$4:$AF1410,"="&amp;$AF1410)))</f>
        <v/>
      </c>
      <c r="AI1410" s="1" t="str">
        <f>IF($C1410="","",$B1410&amp;"|"&amp;(COUNTIFS($B$4:$B$1463,$B1410,$AG$4:$AG$1463,"&gt;"&amp;$AG1410)+COUNTIFS($B$4:$B1410,$B1410,$AG$4:$AG1410,"="&amp;$AG1410)))</f>
        <v/>
      </c>
    </row>
    <row r="1411" spans="1:35" hidden="1">
      <c r="A1411" s="69"/>
      <c r="B1411" s="69"/>
      <c r="C1411" s="63"/>
      <c r="D1411" s="69"/>
      <c r="E1411" s="68"/>
      <c r="F1411" s="15" t="str">
        <f>IF($C1411="","",IF($E1411="","-",IFERROR(INDEX(SETUP!$B$55:$B$64,MATCH($E1411,SETUP!$A$55:$A$64,0)),"Other")))</f>
        <v/>
      </c>
      <c r="G1411" s="70"/>
      <c r="H1411" s="15" t="str">
        <f>IF($C1411="","",IF($G1411="","-",INDEX(SETUP!$B$26:$B$32,MATCH($G1411,SETUP!$A$26:$A$32,1))))</f>
        <v/>
      </c>
      <c r="I1411" s="70"/>
      <c r="J1411" s="15" t="str">
        <f>IF($C1411="","",IF($I1411="","-",INDEX(SETUP!$B$16:$B$22,MATCH($I1411,SETUP!$A$16:$A$22,1))))</f>
        <v/>
      </c>
      <c r="K1411" s="15" t="str">
        <f t="shared" ref="K1411:K1463" si="114">IF($C1411="","",IF($I1411="","-",TEXT(INT($I1411/1000)*1000,"#,##0")&amp;" - "&amp;TEXT(INT($I1411/1000)*1000+999,"#,##0")))</f>
        <v/>
      </c>
      <c r="L1411" s="71"/>
      <c r="M1411" s="15" t="str">
        <f>IF($C1411="","",IF($L1411="","-",INDEX(SETUP!$B$36:$B$42,MATCH($L1411,SETUP!$A$36:$A$42,1))))</f>
        <v/>
      </c>
      <c r="N1411" s="17" t="str">
        <f>IF($C1411="","",IF(OR($G1411="",$I1411=""),"",ROUND(100*(SETUP!$B$4*MIN(1,$I1411/SETUP!$B$9)+SETUP!$B$5*MAX(0,MIN(1,($G1411-SETUP!$B$10)/(SETUP!$B$11-SETUP!$B$10)))+SETUP!$B$6*MIN(1,IF($L1411="",0,$L1411)/SETUP!$B$12)),1)))</f>
        <v/>
      </c>
      <c r="O1411" s="15" t="str">
        <f>IF($C1411="","",IF($N1411="","-",INDEX(SETUP!$B$46:$B$51,MATCH($N1411,SETUP!$A$46:$A$51,1))))</f>
        <v/>
      </c>
      <c r="P1411" s="15" t="str">
        <f>IF($C1411="","",IF($I1411="","",RANK($I1411,$I$4:$I$1463)+COUNTIF($I$4:$I1411,$I1411)-1))</f>
        <v/>
      </c>
      <c r="Q1411" s="15" t="str">
        <f>IF($C1411="","",COUNTIFS($B$4:$B$1463,$B1411,$X$4:$X$1463,"&gt;"&amp;$X1411)+COUNTIFS($B$4:$B1411,$B1411,$X$4:$X1411,"="&amp;$X1411))</f>
        <v/>
      </c>
      <c r="R1411" s="72" t="str">
        <f>IF($C1411="","",IF($I1411="","",ROUND(COUNTIF($I$4:$I$1463,"&lt;"&amp;$I1411)/COUNT($I$4:$I$1463),3)))</f>
        <v/>
      </c>
      <c r="S1411" s="15" t="str">
        <f t="shared" ref="S1411:S1463" si="115">IF($C1411="","",IF($G1411="","Name only",IF(OR($I1411="",$L1411=""),"Partial","Complete")))</f>
        <v/>
      </c>
      <c r="T1411" s="41" t="str">
        <f>IF($C1411="","",TRIM(IF(COUNTIF($C$4:$C$1463,$C1411)&gt;1,"Dup name; ","")&amp;IF(AND($G1411&lt;&gt;"",$G1411&lt;55000),"Low CR - verify; ","")&amp;IF(AND($L1411&lt;&gt;"",$L1411&gt;15),"Secondary - verify; ","")&amp;IF($E1411="","No class; ","")))</f>
        <v/>
      </c>
      <c r="U1411" s="68"/>
      <c r="V1411" s="68"/>
      <c r="W1411" s="68"/>
      <c r="X1411" s="41" t="str">
        <f t="shared" ref="X1411:X1463" si="116">IF($C1411="","",IF($I1411="",-1,$I1411))</f>
        <v/>
      </c>
      <c r="Y1411" s="41" t="str">
        <f t="shared" ref="Y1411:Y1463" si="117">IF($C1411="","",$B1411&amp;"|"&amp;$Q1411)</f>
        <v/>
      </c>
      <c r="Z1411" s="15" t="str">
        <f>IF($C1411="","",IF($G1411="","",RANK($G1411,$G$4:$G$1463)+COUNTIF($G$4:$G1411,$G1411)-1))</f>
        <v/>
      </c>
      <c r="AA1411" s="15" t="str">
        <f>IF($C1411="","",IF($N1411="","",RANK($N1411,$N$4:$N$1463)+COUNTIF($N$4:$N1411,$N1411)-1))</f>
        <v/>
      </c>
      <c r="AB1411" s="41" t="str">
        <f>IF($C1411="","",IF($E1411="","",$E1411&amp;"#"&amp;(COUNTIFS($E$4:$E$1463,$E1411,$X$4:$X$1463,"&gt;"&amp;$X1411)+COUNTIFS($E$4:$E1411,$E1411,$X$4:$X1411,"="&amp;$X1411))))</f>
        <v/>
      </c>
      <c r="AC1411" s="41" t="str">
        <f>IF($C1411="","",$B1411&amp;"@"&amp;(COUNTIFS($B$4:$B$1463,$B1411,$C$4:$C$1463,"&lt;"&amp;$C1411)+COUNTIFS($B$4:$B1411,$B1411,$C$4:$C1411,$C1411)))</f>
        <v/>
      </c>
      <c r="AD1411" s="41" t="str">
        <f t="shared" ref="AD1411:AD1463" si="118">IF($C1411="","",ROW()-4+1)</f>
        <v/>
      </c>
      <c r="AE1411" s="41"/>
      <c r="AF1411" s="41" t="str">
        <f t="shared" ref="AF1411:AF1463" si="119">IF($C1411="","",IF($G1411="",-1,$G1411))</f>
        <v/>
      </c>
      <c r="AG1411" s="41" t="str">
        <f t="shared" ref="AG1411:AG1463" si="120">IF($C1411="","",IF($L1411="",-1,$L1411))</f>
        <v/>
      </c>
      <c r="AH1411" s="41" t="str">
        <f>IF($C1411="","",$B1411&amp;"|"&amp;(COUNTIFS($B$4:$B$1463,$B1411,$AF$4:$AF$1463,"&gt;"&amp;$AF1411)+COUNTIFS($B$4:$B1411,$B1411,$AF$4:$AF1411,"="&amp;$AF1411)))</f>
        <v/>
      </c>
      <c r="AI1411" s="41" t="str">
        <f>IF($C1411="","",$B1411&amp;"|"&amp;(COUNTIFS($B$4:$B$1463,$B1411,$AG$4:$AG$1463,"&gt;"&amp;$AG1411)+COUNTIFS($B$4:$B1411,$B1411,$AG$4:$AG1411,"="&amp;$AG1411)))</f>
        <v/>
      </c>
    </row>
    <row r="1412" spans="1:35" hidden="1">
      <c r="A1412" s="69"/>
      <c r="B1412" s="69"/>
      <c r="C1412" s="63"/>
      <c r="D1412" s="69"/>
      <c r="E1412" s="68"/>
      <c r="F1412" s="19" t="str">
        <f>IF($C1412="","",IF($E1412="","-",IFERROR(INDEX(SETUP!$B$55:$B$64,MATCH($E1412,SETUP!$A$55:$A$64,0)),"Other")))</f>
        <v/>
      </c>
      <c r="G1412" s="70"/>
      <c r="H1412" s="19" t="str">
        <f>IF($C1412="","",IF($G1412="","-",INDEX(SETUP!$B$26:$B$32,MATCH($G1412,SETUP!$A$26:$A$32,1))))</f>
        <v/>
      </c>
      <c r="I1412" s="70"/>
      <c r="J1412" s="19" t="str">
        <f>IF($C1412="","",IF($I1412="","-",INDEX(SETUP!$B$16:$B$22,MATCH($I1412,SETUP!$A$16:$A$22,1))))</f>
        <v/>
      </c>
      <c r="K1412" s="19" t="str">
        <f t="shared" si="114"/>
        <v/>
      </c>
      <c r="L1412" s="71"/>
      <c r="M1412" s="19" t="str">
        <f>IF($C1412="","",IF($L1412="","-",INDEX(SETUP!$B$36:$B$42,MATCH($L1412,SETUP!$A$36:$A$42,1))))</f>
        <v/>
      </c>
      <c r="N1412" s="21" t="str">
        <f>IF($C1412="","",IF(OR($G1412="",$I1412=""),"",ROUND(100*(SETUP!$B$4*MIN(1,$I1412/SETUP!$B$9)+SETUP!$B$5*MAX(0,MIN(1,($G1412-SETUP!$B$10)/(SETUP!$B$11-SETUP!$B$10)))+SETUP!$B$6*MIN(1,IF($L1412="",0,$L1412)/SETUP!$B$12)),1)))</f>
        <v/>
      </c>
      <c r="O1412" s="19" t="str">
        <f>IF($C1412="","",IF($N1412="","-",INDEX(SETUP!$B$46:$B$51,MATCH($N1412,SETUP!$A$46:$A$51,1))))</f>
        <v/>
      </c>
      <c r="P1412" s="19" t="str">
        <f>IF($C1412="","",IF($I1412="","",RANK($I1412,$I$4:$I$1463)+COUNTIF($I$4:$I1412,$I1412)-1))</f>
        <v/>
      </c>
      <c r="Q1412" s="19" t="str">
        <f>IF($C1412="","",COUNTIFS($B$4:$B$1463,$B1412,$X$4:$X$1463,"&gt;"&amp;$X1412)+COUNTIFS($B$4:$B1412,$B1412,$X$4:$X1412,"="&amp;$X1412))</f>
        <v/>
      </c>
      <c r="R1412" s="75" t="str">
        <f>IF($C1412="","",IF($I1412="","",ROUND(COUNTIF($I$4:$I$1463,"&lt;"&amp;$I1412)/COUNT($I$4:$I$1463),3)))</f>
        <v/>
      </c>
      <c r="S1412" s="19" t="str">
        <f t="shared" si="115"/>
        <v/>
      </c>
      <c r="T1412" s="1" t="str">
        <f>IF($C1412="","",TRIM(IF(COUNTIF($C$4:$C$1463,$C1412)&gt;1,"Dup name; ","")&amp;IF(AND($G1412&lt;&gt;"",$G1412&lt;55000),"Low CR - verify; ","")&amp;IF(AND($L1412&lt;&gt;"",$L1412&gt;15),"Secondary - verify; ","")&amp;IF($E1412="","No class; ","")))</f>
        <v/>
      </c>
      <c r="U1412" s="68"/>
      <c r="V1412" s="68"/>
      <c r="W1412" s="68"/>
      <c r="X1412" s="1" t="str">
        <f t="shared" si="116"/>
        <v/>
      </c>
      <c r="Y1412" s="1" t="str">
        <f t="shared" si="117"/>
        <v/>
      </c>
      <c r="Z1412" s="19" t="str">
        <f>IF($C1412="","",IF($G1412="","",RANK($G1412,$G$4:$G$1463)+COUNTIF($G$4:$G1412,$G1412)-1))</f>
        <v/>
      </c>
      <c r="AA1412" s="19" t="str">
        <f>IF($C1412="","",IF($N1412="","",RANK($N1412,$N$4:$N$1463)+COUNTIF($N$4:$N1412,$N1412)-1))</f>
        <v/>
      </c>
      <c r="AB1412" s="1" t="str">
        <f>IF($C1412="","",IF($E1412="","",$E1412&amp;"#"&amp;(COUNTIFS($E$4:$E$1463,$E1412,$X$4:$X$1463,"&gt;"&amp;$X1412)+COUNTIFS($E$4:$E1412,$E1412,$X$4:$X1412,"="&amp;$X1412))))</f>
        <v/>
      </c>
      <c r="AC1412" s="1" t="str">
        <f>IF($C1412="","",$B1412&amp;"@"&amp;(COUNTIFS($B$4:$B$1463,$B1412,$C$4:$C$1463,"&lt;"&amp;$C1412)+COUNTIFS($B$4:$B1412,$B1412,$C$4:$C1412,$C1412)))</f>
        <v/>
      </c>
      <c r="AD1412" s="1" t="str">
        <f t="shared" si="118"/>
        <v/>
      </c>
      <c r="AE1412" s="1"/>
      <c r="AF1412" s="1" t="str">
        <f t="shared" si="119"/>
        <v/>
      </c>
      <c r="AG1412" s="1" t="str">
        <f t="shared" si="120"/>
        <v/>
      </c>
      <c r="AH1412" s="1" t="str">
        <f>IF($C1412="","",$B1412&amp;"|"&amp;(COUNTIFS($B$4:$B$1463,$B1412,$AF$4:$AF$1463,"&gt;"&amp;$AF1412)+COUNTIFS($B$4:$B1412,$B1412,$AF$4:$AF1412,"="&amp;$AF1412)))</f>
        <v/>
      </c>
      <c r="AI1412" s="1" t="str">
        <f>IF($C1412="","",$B1412&amp;"|"&amp;(COUNTIFS($B$4:$B$1463,$B1412,$AG$4:$AG$1463,"&gt;"&amp;$AG1412)+COUNTIFS($B$4:$B1412,$B1412,$AG$4:$AG1412,"="&amp;$AG1412)))</f>
        <v/>
      </c>
    </row>
    <row r="1413" spans="1:35" hidden="1">
      <c r="A1413" s="69"/>
      <c r="B1413" s="69"/>
      <c r="C1413" s="63"/>
      <c r="D1413" s="69"/>
      <c r="E1413" s="68"/>
      <c r="F1413" s="15" t="str">
        <f>IF($C1413="","",IF($E1413="","-",IFERROR(INDEX(SETUP!$B$55:$B$64,MATCH($E1413,SETUP!$A$55:$A$64,0)),"Other")))</f>
        <v/>
      </c>
      <c r="G1413" s="70"/>
      <c r="H1413" s="15" t="str">
        <f>IF($C1413="","",IF($G1413="","-",INDEX(SETUP!$B$26:$B$32,MATCH($G1413,SETUP!$A$26:$A$32,1))))</f>
        <v/>
      </c>
      <c r="I1413" s="70"/>
      <c r="J1413" s="15" t="str">
        <f>IF($C1413="","",IF($I1413="","-",INDEX(SETUP!$B$16:$B$22,MATCH($I1413,SETUP!$A$16:$A$22,1))))</f>
        <v/>
      </c>
      <c r="K1413" s="15" t="str">
        <f t="shared" si="114"/>
        <v/>
      </c>
      <c r="L1413" s="71"/>
      <c r="M1413" s="15" t="str">
        <f>IF($C1413="","",IF($L1413="","-",INDEX(SETUP!$B$36:$B$42,MATCH($L1413,SETUP!$A$36:$A$42,1))))</f>
        <v/>
      </c>
      <c r="N1413" s="17" t="str">
        <f>IF($C1413="","",IF(OR($G1413="",$I1413=""),"",ROUND(100*(SETUP!$B$4*MIN(1,$I1413/SETUP!$B$9)+SETUP!$B$5*MAX(0,MIN(1,($G1413-SETUP!$B$10)/(SETUP!$B$11-SETUP!$B$10)))+SETUP!$B$6*MIN(1,IF($L1413="",0,$L1413)/SETUP!$B$12)),1)))</f>
        <v/>
      </c>
      <c r="O1413" s="15" t="str">
        <f>IF($C1413="","",IF($N1413="","-",INDEX(SETUP!$B$46:$B$51,MATCH($N1413,SETUP!$A$46:$A$51,1))))</f>
        <v/>
      </c>
      <c r="P1413" s="15" t="str">
        <f>IF($C1413="","",IF($I1413="","",RANK($I1413,$I$4:$I$1463)+COUNTIF($I$4:$I1413,$I1413)-1))</f>
        <v/>
      </c>
      <c r="Q1413" s="15" t="str">
        <f>IF($C1413="","",COUNTIFS($B$4:$B$1463,$B1413,$X$4:$X$1463,"&gt;"&amp;$X1413)+COUNTIFS($B$4:$B1413,$B1413,$X$4:$X1413,"="&amp;$X1413))</f>
        <v/>
      </c>
      <c r="R1413" s="72" t="str">
        <f>IF($C1413="","",IF($I1413="","",ROUND(COUNTIF($I$4:$I$1463,"&lt;"&amp;$I1413)/COUNT($I$4:$I$1463),3)))</f>
        <v/>
      </c>
      <c r="S1413" s="15" t="str">
        <f t="shared" si="115"/>
        <v/>
      </c>
      <c r="T1413" s="41" t="str">
        <f>IF($C1413="","",TRIM(IF(COUNTIF($C$4:$C$1463,$C1413)&gt;1,"Dup name; ","")&amp;IF(AND($G1413&lt;&gt;"",$G1413&lt;55000),"Low CR - verify; ","")&amp;IF(AND($L1413&lt;&gt;"",$L1413&gt;15),"Secondary - verify; ","")&amp;IF($E1413="","No class; ","")))</f>
        <v/>
      </c>
      <c r="U1413" s="68"/>
      <c r="V1413" s="68"/>
      <c r="W1413" s="68"/>
      <c r="X1413" s="41" t="str">
        <f t="shared" si="116"/>
        <v/>
      </c>
      <c r="Y1413" s="41" t="str">
        <f t="shared" si="117"/>
        <v/>
      </c>
      <c r="Z1413" s="15" t="str">
        <f>IF($C1413="","",IF($G1413="","",RANK($G1413,$G$4:$G$1463)+COUNTIF($G$4:$G1413,$G1413)-1))</f>
        <v/>
      </c>
      <c r="AA1413" s="15" t="str">
        <f>IF($C1413="","",IF($N1413="","",RANK($N1413,$N$4:$N$1463)+COUNTIF($N$4:$N1413,$N1413)-1))</f>
        <v/>
      </c>
      <c r="AB1413" s="41" t="str">
        <f>IF($C1413="","",IF($E1413="","",$E1413&amp;"#"&amp;(COUNTIFS($E$4:$E$1463,$E1413,$X$4:$X$1463,"&gt;"&amp;$X1413)+COUNTIFS($E$4:$E1413,$E1413,$X$4:$X1413,"="&amp;$X1413))))</f>
        <v/>
      </c>
      <c r="AC1413" s="41" t="str">
        <f>IF($C1413="","",$B1413&amp;"@"&amp;(COUNTIFS($B$4:$B$1463,$B1413,$C$4:$C$1463,"&lt;"&amp;$C1413)+COUNTIFS($B$4:$B1413,$B1413,$C$4:$C1413,$C1413)))</f>
        <v/>
      </c>
      <c r="AD1413" s="41" t="str">
        <f t="shared" si="118"/>
        <v/>
      </c>
      <c r="AE1413" s="41"/>
      <c r="AF1413" s="41" t="str">
        <f t="shared" si="119"/>
        <v/>
      </c>
      <c r="AG1413" s="41" t="str">
        <f t="shared" si="120"/>
        <v/>
      </c>
      <c r="AH1413" s="41" t="str">
        <f>IF($C1413="","",$B1413&amp;"|"&amp;(COUNTIFS($B$4:$B$1463,$B1413,$AF$4:$AF$1463,"&gt;"&amp;$AF1413)+COUNTIFS($B$4:$B1413,$B1413,$AF$4:$AF1413,"="&amp;$AF1413)))</f>
        <v/>
      </c>
      <c r="AI1413" s="41" t="str">
        <f>IF($C1413="","",$B1413&amp;"|"&amp;(COUNTIFS($B$4:$B$1463,$B1413,$AG$4:$AG$1463,"&gt;"&amp;$AG1413)+COUNTIFS($B$4:$B1413,$B1413,$AG$4:$AG1413,"="&amp;$AG1413)))</f>
        <v/>
      </c>
    </row>
    <row r="1414" spans="1:35" hidden="1">
      <c r="A1414" s="69"/>
      <c r="B1414" s="69"/>
      <c r="C1414" s="63"/>
      <c r="D1414" s="69"/>
      <c r="E1414" s="68"/>
      <c r="F1414" s="19" t="str">
        <f>IF($C1414="","",IF($E1414="","-",IFERROR(INDEX(SETUP!$B$55:$B$64,MATCH($E1414,SETUP!$A$55:$A$64,0)),"Other")))</f>
        <v/>
      </c>
      <c r="G1414" s="70"/>
      <c r="H1414" s="19" t="str">
        <f>IF($C1414="","",IF($G1414="","-",INDEX(SETUP!$B$26:$B$32,MATCH($G1414,SETUP!$A$26:$A$32,1))))</f>
        <v/>
      </c>
      <c r="I1414" s="70"/>
      <c r="J1414" s="19" t="str">
        <f>IF($C1414="","",IF($I1414="","-",INDEX(SETUP!$B$16:$B$22,MATCH($I1414,SETUP!$A$16:$A$22,1))))</f>
        <v/>
      </c>
      <c r="K1414" s="19" t="str">
        <f t="shared" si="114"/>
        <v/>
      </c>
      <c r="L1414" s="71"/>
      <c r="M1414" s="19" t="str">
        <f>IF($C1414="","",IF($L1414="","-",INDEX(SETUP!$B$36:$B$42,MATCH($L1414,SETUP!$A$36:$A$42,1))))</f>
        <v/>
      </c>
      <c r="N1414" s="21" t="str">
        <f>IF($C1414="","",IF(OR($G1414="",$I1414=""),"",ROUND(100*(SETUP!$B$4*MIN(1,$I1414/SETUP!$B$9)+SETUP!$B$5*MAX(0,MIN(1,($G1414-SETUP!$B$10)/(SETUP!$B$11-SETUP!$B$10)))+SETUP!$B$6*MIN(1,IF($L1414="",0,$L1414)/SETUP!$B$12)),1)))</f>
        <v/>
      </c>
      <c r="O1414" s="19" t="str">
        <f>IF($C1414="","",IF($N1414="","-",INDEX(SETUP!$B$46:$B$51,MATCH($N1414,SETUP!$A$46:$A$51,1))))</f>
        <v/>
      </c>
      <c r="P1414" s="19" t="str">
        <f>IF($C1414="","",IF($I1414="","",RANK($I1414,$I$4:$I$1463)+COUNTIF($I$4:$I1414,$I1414)-1))</f>
        <v/>
      </c>
      <c r="Q1414" s="19" t="str">
        <f>IF($C1414="","",COUNTIFS($B$4:$B$1463,$B1414,$X$4:$X$1463,"&gt;"&amp;$X1414)+COUNTIFS($B$4:$B1414,$B1414,$X$4:$X1414,"="&amp;$X1414))</f>
        <v/>
      </c>
      <c r="R1414" s="75" t="str">
        <f>IF($C1414="","",IF($I1414="","",ROUND(COUNTIF($I$4:$I$1463,"&lt;"&amp;$I1414)/COUNT($I$4:$I$1463),3)))</f>
        <v/>
      </c>
      <c r="S1414" s="19" t="str">
        <f t="shared" si="115"/>
        <v/>
      </c>
      <c r="T1414" s="1" t="str">
        <f>IF($C1414="","",TRIM(IF(COUNTIF($C$4:$C$1463,$C1414)&gt;1,"Dup name; ","")&amp;IF(AND($G1414&lt;&gt;"",$G1414&lt;55000),"Low CR - verify; ","")&amp;IF(AND($L1414&lt;&gt;"",$L1414&gt;15),"Secondary - verify; ","")&amp;IF($E1414="","No class; ","")))</f>
        <v/>
      </c>
      <c r="U1414" s="68"/>
      <c r="V1414" s="68"/>
      <c r="W1414" s="68"/>
      <c r="X1414" s="1" t="str">
        <f t="shared" si="116"/>
        <v/>
      </c>
      <c r="Y1414" s="1" t="str">
        <f t="shared" si="117"/>
        <v/>
      </c>
      <c r="Z1414" s="19" t="str">
        <f>IF($C1414="","",IF($G1414="","",RANK($G1414,$G$4:$G$1463)+COUNTIF($G$4:$G1414,$G1414)-1))</f>
        <v/>
      </c>
      <c r="AA1414" s="19" t="str">
        <f>IF($C1414="","",IF($N1414="","",RANK($N1414,$N$4:$N$1463)+COUNTIF($N$4:$N1414,$N1414)-1))</f>
        <v/>
      </c>
      <c r="AB1414" s="1" t="str">
        <f>IF($C1414="","",IF($E1414="","",$E1414&amp;"#"&amp;(COUNTIFS($E$4:$E$1463,$E1414,$X$4:$X$1463,"&gt;"&amp;$X1414)+COUNTIFS($E$4:$E1414,$E1414,$X$4:$X1414,"="&amp;$X1414))))</f>
        <v/>
      </c>
      <c r="AC1414" s="1" t="str">
        <f>IF($C1414="","",$B1414&amp;"@"&amp;(COUNTIFS($B$4:$B$1463,$B1414,$C$4:$C$1463,"&lt;"&amp;$C1414)+COUNTIFS($B$4:$B1414,$B1414,$C$4:$C1414,$C1414)))</f>
        <v/>
      </c>
      <c r="AD1414" s="1" t="str">
        <f t="shared" si="118"/>
        <v/>
      </c>
      <c r="AE1414" s="1"/>
      <c r="AF1414" s="1" t="str">
        <f t="shared" si="119"/>
        <v/>
      </c>
      <c r="AG1414" s="1" t="str">
        <f t="shared" si="120"/>
        <v/>
      </c>
      <c r="AH1414" s="1" t="str">
        <f>IF($C1414="","",$B1414&amp;"|"&amp;(COUNTIFS($B$4:$B$1463,$B1414,$AF$4:$AF$1463,"&gt;"&amp;$AF1414)+COUNTIFS($B$4:$B1414,$B1414,$AF$4:$AF1414,"="&amp;$AF1414)))</f>
        <v/>
      </c>
      <c r="AI1414" s="1" t="str">
        <f>IF($C1414="","",$B1414&amp;"|"&amp;(COUNTIFS($B$4:$B$1463,$B1414,$AG$4:$AG$1463,"&gt;"&amp;$AG1414)+COUNTIFS($B$4:$B1414,$B1414,$AG$4:$AG1414,"="&amp;$AG1414)))</f>
        <v/>
      </c>
    </row>
    <row r="1415" spans="1:35" hidden="1">
      <c r="A1415" s="69"/>
      <c r="B1415" s="69"/>
      <c r="C1415" s="63"/>
      <c r="D1415" s="69"/>
      <c r="E1415" s="68"/>
      <c r="F1415" s="15" t="str">
        <f>IF($C1415="","",IF($E1415="","-",IFERROR(INDEX(SETUP!$B$55:$B$64,MATCH($E1415,SETUP!$A$55:$A$64,0)),"Other")))</f>
        <v/>
      </c>
      <c r="G1415" s="70"/>
      <c r="H1415" s="15" t="str">
        <f>IF($C1415="","",IF($G1415="","-",INDEX(SETUP!$B$26:$B$32,MATCH($G1415,SETUP!$A$26:$A$32,1))))</f>
        <v/>
      </c>
      <c r="I1415" s="70"/>
      <c r="J1415" s="15" t="str">
        <f>IF($C1415="","",IF($I1415="","-",INDEX(SETUP!$B$16:$B$22,MATCH($I1415,SETUP!$A$16:$A$22,1))))</f>
        <v/>
      </c>
      <c r="K1415" s="15" t="str">
        <f t="shared" si="114"/>
        <v/>
      </c>
      <c r="L1415" s="71"/>
      <c r="M1415" s="15" t="str">
        <f>IF($C1415="","",IF($L1415="","-",INDEX(SETUP!$B$36:$B$42,MATCH($L1415,SETUP!$A$36:$A$42,1))))</f>
        <v/>
      </c>
      <c r="N1415" s="17" t="str">
        <f>IF($C1415="","",IF(OR($G1415="",$I1415=""),"",ROUND(100*(SETUP!$B$4*MIN(1,$I1415/SETUP!$B$9)+SETUP!$B$5*MAX(0,MIN(1,($G1415-SETUP!$B$10)/(SETUP!$B$11-SETUP!$B$10)))+SETUP!$B$6*MIN(1,IF($L1415="",0,$L1415)/SETUP!$B$12)),1)))</f>
        <v/>
      </c>
      <c r="O1415" s="15" t="str">
        <f>IF($C1415="","",IF($N1415="","-",INDEX(SETUP!$B$46:$B$51,MATCH($N1415,SETUP!$A$46:$A$51,1))))</f>
        <v/>
      </c>
      <c r="P1415" s="15" t="str">
        <f>IF($C1415="","",IF($I1415="","",RANK($I1415,$I$4:$I$1463)+COUNTIF($I$4:$I1415,$I1415)-1))</f>
        <v/>
      </c>
      <c r="Q1415" s="15" t="str">
        <f>IF($C1415="","",COUNTIFS($B$4:$B$1463,$B1415,$X$4:$X$1463,"&gt;"&amp;$X1415)+COUNTIFS($B$4:$B1415,$B1415,$X$4:$X1415,"="&amp;$X1415))</f>
        <v/>
      </c>
      <c r="R1415" s="72" t="str">
        <f>IF($C1415="","",IF($I1415="","",ROUND(COUNTIF($I$4:$I$1463,"&lt;"&amp;$I1415)/COUNT($I$4:$I$1463),3)))</f>
        <v/>
      </c>
      <c r="S1415" s="15" t="str">
        <f t="shared" si="115"/>
        <v/>
      </c>
      <c r="T1415" s="41" t="str">
        <f>IF($C1415="","",TRIM(IF(COUNTIF($C$4:$C$1463,$C1415)&gt;1,"Dup name; ","")&amp;IF(AND($G1415&lt;&gt;"",$G1415&lt;55000),"Low CR - verify; ","")&amp;IF(AND($L1415&lt;&gt;"",$L1415&gt;15),"Secondary - verify; ","")&amp;IF($E1415="","No class; ","")))</f>
        <v/>
      </c>
      <c r="U1415" s="68"/>
      <c r="V1415" s="68"/>
      <c r="W1415" s="68"/>
      <c r="X1415" s="41" t="str">
        <f t="shared" si="116"/>
        <v/>
      </c>
      <c r="Y1415" s="41" t="str">
        <f t="shared" si="117"/>
        <v/>
      </c>
      <c r="Z1415" s="15" t="str">
        <f>IF($C1415="","",IF($G1415="","",RANK($G1415,$G$4:$G$1463)+COUNTIF($G$4:$G1415,$G1415)-1))</f>
        <v/>
      </c>
      <c r="AA1415" s="15" t="str">
        <f>IF($C1415="","",IF($N1415="","",RANK($N1415,$N$4:$N$1463)+COUNTIF($N$4:$N1415,$N1415)-1))</f>
        <v/>
      </c>
      <c r="AB1415" s="41" t="str">
        <f>IF($C1415="","",IF($E1415="","",$E1415&amp;"#"&amp;(COUNTIFS($E$4:$E$1463,$E1415,$X$4:$X$1463,"&gt;"&amp;$X1415)+COUNTIFS($E$4:$E1415,$E1415,$X$4:$X1415,"="&amp;$X1415))))</f>
        <v/>
      </c>
      <c r="AC1415" s="41" t="str">
        <f>IF($C1415="","",$B1415&amp;"@"&amp;(COUNTIFS($B$4:$B$1463,$B1415,$C$4:$C$1463,"&lt;"&amp;$C1415)+COUNTIFS($B$4:$B1415,$B1415,$C$4:$C1415,$C1415)))</f>
        <v/>
      </c>
      <c r="AD1415" s="41" t="str">
        <f t="shared" si="118"/>
        <v/>
      </c>
      <c r="AE1415" s="41"/>
      <c r="AF1415" s="41" t="str">
        <f t="shared" si="119"/>
        <v/>
      </c>
      <c r="AG1415" s="41" t="str">
        <f t="shared" si="120"/>
        <v/>
      </c>
      <c r="AH1415" s="41" t="str">
        <f>IF($C1415="","",$B1415&amp;"|"&amp;(COUNTIFS($B$4:$B$1463,$B1415,$AF$4:$AF$1463,"&gt;"&amp;$AF1415)+COUNTIFS($B$4:$B1415,$B1415,$AF$4:$AF1415,"="&amp;$AF1415)))</f>
        <v/>
      </c>
      <c r="AI1415" s="41" t="str">
        <f>IF($C1415="","",$B1415&amp;"|"&amp;(COUNTIFS($B$4:$B$1463,$B1415,$AG$4:$AG$1463,"&gt;"&amp;$AG1415)+COUNTIFS($B$4:$B1415,$B1415,$AG$4:$AG1415,"="&amp;$AG1415)))</f>
        <v/>
      </c>
    </row>
    <row r="1416" spans="1:35" hidden="1">
      <c r="A1416" s="69"/>
      <c r="B1416" s="69"/>
      <c r="C1416" s="63"/>
      <c r="D1416" s="69"/>
      <c r="E1416" s="68"/>
      <c r="F1416" s="19" t="str">
        <f>IF($C1416="","",IF($E1416="","-",IFERROR(INDEX(SETUP!$B$55:$B$64,MATCH($E1416,SETUP!$A$55:$A$64,0)),"Other")))</f>
        <v/>
      </c>
      <c r="G1416" s="70"/>
      <c r="H1416" s="19" t="str">
        <f>IF($C1416="","",IF($G1416="","-",INDEX(SETUP!$B$26:$B$32,MATCH($G1416,SETUP!$A$26:$A$32,1))))</f>
        <v/>
      </c>
      <c r="I1416" s="70"/>
      <c r="J1416" s="19" t="str">
        <f>IF($C1416="","",IF($I1416="","-",INDEX(SETUP!$B$16:$B$22,MATCH($I1416,SETUP!$A$16:$A$22,1))))</f>
        <v/>
      </c>
      <c r="K1416" s="19" t="str">
        <f t="shared" si="114"/>
        <v/>
      </c>
      <c r="L1416" s="71"/>
      <c r="M1416" s="19" t="str">
        <f>IF($C1416="","",IF($L1416="","-",INDEX(SETUP!$B$36:$B$42,MATCH($L1416,SETUP!$A$36:$A$42,1))))</f>
        <v/>
      </c>
      <c r="N1416" s="21" t="str">
        <f>IF($C1416="","",IF(OR($G1416="",$I1416=""),"",ROUND(100*(SETUP!$B$4*MIN(1,$I1416/SETUP!$B$9)+SETUP!$B$5*MAX(0,MIN(1,($G1416-SETUP!$B$10)/(SETUP!$B$11-SETUP!$B$10)))+SETUP!$B$6*MIN(1,IF($L1416="",0,$L1416)/SETUP!$B$12)),1)))</f>
        <v/>
      </c>
      <c r="O1416" s="19" t="str">
        <f>IF($C1416="","",IF($N1416="","-",INDEX(SETUP!$B$46:$B$51,MATCH($N1416,SETUP!$A$46:$A$51,1))))</f>
        <v/>
      </c>
      <c r="P1416" s="19" t="str">
        <f>IF($C1416="","",IF($I1416="","",RANK($I1416,$I$4:$I$1463)+COUNTIF($I$4:$I1416,$I1416)-1))</f>
        <v/>
      </c>
      <c r="Q1416" s="19" t="str">
        <f>IF($C1416="","",COUNTIFS($B$4:$B$1463,$B1416,$X$4:$X$1463,"&gt;"&amp;$X1416)+COUNTIFS($B$4:$B1416,$B1416,$X$4:$X1416,"="&amp;$X1416))</f>
        <v/>
      </c>
      <c r="R1416" s="75" t="str">
        <f>IF($C1416="","",IF($I1416="","",ROUND(COUNTIF($I$4:$I$1463,"&lt;"&amp;$I1416)/COUNT($I$4:$I$1463),3)))</f>
        <v/>
      </c>
      <c r="S1416" s="19" t="str">
        <f t="shared" si="115"/>
        <v/>
      </c>
      <c r="T1416" s="1" t="str">
        <f>IF($C1416="","",TRIM(IF(COUNTIF($C$4:$C$1463,$C1416)&gt;1,"Dup name; ","")&amp;IF(AND($G1416&lt;&gt;"",$G1416&lt;55000),"Low CR - verify; ","")&amp;IF(AND($L1416&lt;&gt;"",$L1416&gt;15),"Secondary - verify; ","")&amp;IF($E1416="","No class; ","")))</f>
        <v/>
      </c>
      <c r="U1416" s="68"/>
      <c r="V1416" s="68"/>
      <c r="W1416" s="68"/>
      <c r="X1416" s="1" t="str">
        <f t="shared" si="116"/>
        <v/>
      </c>
      <c r="Y1416" s="1" t="str">
        <f t="shared" si="117"/>
        <v/>
      </c>
      <c r="Z1416" s="19" t="str">
        <f>IF($C1416="","",IF($G1416="","",RANK($G1416,$G$4:$G$1463)+COUNTIF($G$4:$G1416,$G1416)-1))</f>
        <v/>
      </c>
      <c r="AA1416" s="19" t="str">
        <f>IF($C1416="","",IF($N1416="","",RANK($N1416,$N$4:$N$1463)+COUNTIF($N$4:$N1416,$N1416)-1))</f>
        <v/>
      </c>
      <c r="AB1416" s="1" t="str">
        <f>IF($C1416="","",IF($E1416="","",$E1416&amp;"#"&amp;(COUNTIFS($E$4:$E$1463,$E1416,$X$4:$X$1463,"&gt;"&amp;$X1416)+COUNTIFS($E$4:$E1416,$E1416,$X$4:$X1416,"="&amp;$X1416))))</f>
        <v/>
      </c>
      <c r="AC1416" s="1" t="str">
        <f>IF($C1416="","",$B1416&amp;"@"&amp;(COUNTIFS($B$4:$B$1463,$B1416,$C$4:$C$1463,"&lt;"&amp;$C1416)+COUNTIFS($B$4:$B1416,$B1416,$C$4:$C1416,$C1416)))</f>
        <v/>
      </c>
      <c r="AD1416" s="1" t="str">
        <f t="shared" si="118"/>
        <v/>
      </c>
      <c r="AE1416" s="1"/>
      <c r="AF1416" s="1" t="str">
        <f t="shared" si="119"/>
        <v/>
      </c>
      <c r="AG1416" s="1" t="str">
        <f t="shared" si="120"/>
        <v/>
      </c>
      <c r="AH1416" s="1" t="str">
        <f>IF($C1416="","",$B1416&amp;"|"&amp;(COUNTIFS($B$4:$B$1463,$B1416,$AF$4:$AF$1463,"&gt;"&amp;$AF1416)+COUNTIFS($B$4:$B1416,$B1416,$AF$4:$AF1416,"="&amp;$AF1416)))</f>
        <v/>
      </c>
      <c r="AI1416" s="1" t="str">
        <f>IF($C1416="","",$B1416&amp;"|"&amp;(COUNTIFS($B$4:$B$1463,$B1416,$AG$4:$AG$1463,"&gt;"&amp;$AG1416)+COUNTIFS($B$4:$B1416,$B1416,$AG$4:$AG1416,"="&amp;$AG1416)))</f>
        <v/>
      </c>
    </row>
    <row r="1417" spans="1:35" hidden="1">
      <c r="A1417" s="69"/>
      <c r="B1417" s="69"/>
      <c r="C1417" s="63"/>
      <c r="D1417" s="69"/>
      <c r="E1417" s="68"/>
      <c r="F1417" s="15" t="str">
        <f>IF($C1417="","",IF($E1417="","-",IFERROR(INDEX(SETUP!$B$55:$B$64,MATCH($E1417,SETUP!$A$55:$A$64,0)),"Other")))</f>
        <v/>
      </c>
      <c r="G1417" s="70"/>
      <c r="H1417" s="15" t="str">
        <f>IF($C1417="","",IF($G1417="","-",INDEX(SETUP!$B$26:$B$32,MATCH($G1417,SETUP!$A$26:$A$32,1))))</f>
        <v/>
      </c>
      <c r="I1417" s="70"/>
      <c r="J1417" s="15" t="str">
        <f>IF($C1417="","",IF($I1417="","-",INDEX(SETUP!$B$16:$B$22,MATCH($I1417,SETUP!$A$16:$A$22,1))))</f>
        <v/>
      </c>
      <c r="K1417" s="15" t="str">
        <f t="shared" si="114"/>
        <v/>
      </c>
      <c r="L1417" s="71"/>
      <c r="M1417" s="15" t="str">
        <f>IF($C1417="","",IF($L1417="","-",INDEX(SETUP!$B$36:$B$42,MATCH($L1417,SETUP!$A$36:$A$42,1))))</f>
        <v/>
      </c>
      <c r="N1417" s="17" t="str">
        <f>IF($C1417="","",IF(OR($G1417="",$I1417=""),"",ROUND(100*(SETUP!$B$4*MIN(1,$I1417/SETUP!$B$9)+SETUP!$B$5*MAX(0,MIN(1,($G1417-SETUP!$B$10)/(SETUP!$B$11-SETUP!$B$10)))+SETUP!$B$6*MIN(1,IF($L1417="",0,$L1417)/SETUP!$B$12)),1)))</f>
        <v/>
      </c>
      <c r="O1417" s="15" t="str">
        <f>IF($C1417="","",IF($N1417="","-",INDEX(SETUP!$B$46:$B$51,MATCH($N1417,SETUP!$A$46:$A$51,1))))</f>
        <v/>
      </c>
      <c r="P1417" s="15" t="str">
        <f>IF($C1417="","",IF($I1417="","",RANK($I1417,$I$4:$I$1463)+COUNTIF($I$4:$I1417,$I1417)-1))</f>
        <v/>
      </c>
      <c r="Q1417" s="15" t="str">
        <f>IF($C1417="","",COUNTIFS($B$4:$B$1463,$B1417,$X$4:$X$1463,"&gt;"&amp;$X1417)+COUNTIFS($B$4:$B1417,$B1417,$X$4:$X1417,"="&amp;$X1417))</f>
        <v/>
      </c>
      <c r="R1417" s="72" t="str">
        <f>IF($C1417="","",IF($I1417="","",ROUND(COUNTIF($I$4:$I$1463,"&lt;"&amp;$I1417)/COUNT($I$4:$I$1463),3)))</f>
        <v/>
      </c>
      <c r="S1417" s="15" t="str">
        <f t="shared" si="115"/>
        <v/>
      </c>
      <c r="T1417" s="41" t="str">
        <f>IF($C1417="","",TRIM(IF(COUNTIF($C$4:$C$1463,$C1417)&gt;1,"Dup name; ","")&amp;IF(AND($G1417&lt;&gt;"",$G1417&lt;55000),"Low CR - verify; ","")&amp;IF(AND($L1417&lt;&gt;"",$L1417&gt;15),"Secondary - verify; ","")&amp;IF($E1417="","No class; ","")))</f>
        <v/>
      </c>
      <c r="U1417" s="68"/>
      <c r="V1417" s="68"/>
      <c r="W1417" s="68"/>
      <c r="X1417" s="41" t="str">
        <f t="shared" si="116"/>
        <v/>
      </c>
      <c r="Y1417" s="41" t="str">
        <f t="shared" si="117"/>
        <v/>
      </c>
      <c r="Z1417" s="15" t="str">
        <f>IF($C1417="","",IF($G1417="","",RANK($G1417,$G$4:$G$1463)+COUNTIF($G$4:$G1417,$G1417)-1))</f>
        <v/>
      </c>
      <c r="AA1417" s="15" t="str">
        <f>IF($C1417="","",IF($N1417="","",RANK($N1417,$N$4:$N$1463)+COUNTIF($N$4:$N1417,$N1417)-1))</f>
        <v/>
      </c>
      <c r="AB1417" s="41" t="str">
        <f>IF($C1417="","",IF($E1417="","",$E1417&amp;"#"&amp;(COUNTIFS($E$4:$E$1463,$E1417,$X$4:$X$1463,"&gt;"&amp;$X1417)+COUNTIFS($E$4:$E1417,$E1417,$X$4:$X1417,"="&amp;$X1417))))</f>
        <v/>
      </c>
      <c r="AC1417" s="41" t="str">
        <f>IF($C1417="","",$B1417&amp;"@"&amp;(COUNTIFS($B$4:$B$1463,$B1417,$C$4:$C$1463,"&lt;"&amp;$C1417)+COUNTIFS($B$4:$B1417,$B1417,$C$4:$C1417,$C1417)))</f>
        <v/>
      </c>
      <c r="AD1417" s="41" t="str">
        <f t="shared" si="118"/>
        <v/>
      </c>
      <c r="AE1417" s="41"/>
      <c r="AF1417" s="41" t="str">
        <f t="shared" si="119"/>
        <v/>
      </c>
      <c r="AG1417" s="41" t="str">
        <f t="shared" si="120"/>
        <v/>
      </c>
      <c r="AH1417" s="41" t="str">
        <f>IF($C1417="","",$B1417&amp;"|"&amp;(COUNTIFS($B$4:$B$1463,$B1417,$AF$4:$AF$1463,"&gt;"&amp;$AF1417)+COUNTIFS($B$4:$B1417,$B1417,$AF$4:$AF1417,"="&amp;$AF1417)))</f>
        <v/>
      </c>
      <c r="AI1417" s="41" t="str">
        <f>IF($C1417="","",$B1417&amp;"|"&amp;(COUNTIFS($B$4:$B$1463,$B1417,$AG$4:$AG$1463,"&gt;"&amp;$AG1417)+COUNTIFS($B$4:$B1417,$B1417,$AG$4:$AG1417,"="&amp;$AG1417)))</f>
        <v/>
      </c>
    </row>
    <row r="1418" spans="1:35" hidden="1">
      <c r="A1418" s="69"/>
      <c r="B1418" s="69"/>
      <c r="C1418" s="63"/>
      <c r="D1418" s="69"/>
      <c r="E1418" s="68"/>
      <c r="F1418" s="19" t="str">
        <f>IF($C1418="","",IF($E1418="","-",IFERROR(INDEX(SETUP!$B$55:$B$64,MATCH($E1418,SETUP!$A$55:$A$64,0)),"Other")))</f>
        <v/>
      </c>
      <c r="G1418" s="70"/>
      <c r="H1418" s="19" t="str">
        <f>IF($C1418="","",IF($G1418="","-",INDEX(SETUP!$B$26:$B$32,MATCH($G1418,SETUP!$A$26:$A$32,1))))</f>
        <v/>
      </c>
      <c r="I1418" s="70"/>
      <c r="J1418" s="19" t="str">
        <f>IF($C1418="","",IF($I1418="","-",INDEX(SETUP!$B$16:$B$22,MATCH($I1418,SETUP!$A$16:$A$22,1))))</f>
        <v/>
      </c>
      <c r="K1418" s="19" t="str">
        <f t="shared" si="114"/>
        <v/>
      </c>
      <c r="L1418" s="71"/>
      <c r="M1418" s="19" t="str">
        <f>IF($C1418="","",IF($L1418="","-",INDEX(SETUP!$B$36:$B$42,MATCH($L1418,SETUP!$A$36:$A$42,1))))</f>
        <v/>
      </c>
      <c r="N1418" s="21" t="str">
        <f>IF($C1418="","",IF(OR($G1418="",$I1418=""),"",ROUND(100*(SETUP!$B$4*MIN(1,$I1418/SETUP!$B$9)+SETUP!$B$5*MAX(0,MIN(1,($G1418-SETUP!$B$10)/(SETUP!$B$11-SETUP!$B$10)))+SETUP!$B$6*MIN(1,IF($L1418="",0,$L1418)/SETUP!$B$12)),1)))</f>
        <v/>
      </c>
      <c r="O1418" s="19" t="str">
        <f>IF($C1418="","",IF($N1418="","-",INDEX(SETUP!$B$46:$B$51,MATCH($N1418,SETUP!$A$46:$A$51,1))))</f>
        <v/>
      </c>
      <c r="P1418" s="19" t="str">
        <f>IF($C1418="","",IF($I1418="","",RANK($I1418,$I$4:$I$1463)+COUNTIF($I$4:$I1418,$I1418)-1))</f>
        <v/>
      </c>
      <c r="Q1418" s="19" t="str">
        <f>IF($C1418="","",COUNTIFS($B$4:$B$1463,$B1418,$X$4:$X$1463,"&gt;"&amp;$X1418)+COUNTIFS($B$4:$B1418,$B1418,$X$4:$X1418,"="&amp;$X1418))</f>
        <v/>
      </c>
      <c r="R1418" s="75" t="str">
        <f>IF($C1418="","",IF($I1418="","",ROUND(COUNTIF($I$4:$I$1463,"&lt;"&amp;$I1418)/COUNT($I$4:$I$1463),3)))</f>
        <v/>
      </c>
      <c r="S1418" s="19" t="str">
        <f t="shared" si="115"/>
        <v/>
      </c>
      <c r="T1418" s="1" t="str">
        <f>IF($C1418="","",TRIM(IF(COUNTIF($C$4:$C$1463,$C1418)&gt;1,"Dup name; ","")&amp;IF(AND($G1418&lt;&gt;"",$G1418&lt;55000),"Low CR - verify; ","")&amp;IF(AND($L1418&lt;&gt;"",$L1418&gt;15),"Secondary - verify; ","")&amp;IF($E1418="","No class; ","")))</f>
        <v/>
      </c>
      <c r="U1418" s="68"/>
      <c r="V1418" s="68"/>
      <c r="W1418" s="68"/>
      <c r="X1418" s="1" t="str">
        <f t="shared" si="116"/>
        <v/>
      </c>
      <c r="Y1418" s="1" t="str">
        <f t="shared" si="117"/>
        <v/>
      </c>
      <c r="Z1418" s="19" t="str">
        <f>IF($C1418="","",IF($G1418="","",RANK($G1418,$G$4:$G$1463)+COUNTIF($G$4:$G1418,$G1418)-1))</f>
        <v/>
      </c>
      <c r="AA1418" s="19" t="str">
        <f>IF($C1418="","",IF($N1418="","",RANK($N1418,$N$4:$N$1463)+COUNTIF($N$4:$N1418,$N1418)-1))</f>
        <v/>
      </c>
      <c r="AB1418" s="1" t="str">
        <f>IF($C1418="","",IF($E1418="","",$E1418&amp;"#"&amp;(COUNTIFS($E$4:$E$1463,$E1418,$X$4:$X$1463,"&gt;"&amp;$X1418)+COUNTIFS($E$4:$E1418,$E1418,$X$4:$X1418,"="&amp;$X1418))))</f>
        <v/>
      </c>
      <c r="AC1418" s="1" t="str">
        <f>IF($C1418="","",$B1418&amp;"@"&amp;(COUNTIFS($B$4:$B$1463,$B1418,$C$4:$C$1463,"&lt;"&amp;$C1418)+COUNTIFS($B$4:$B1418,$B1418,$C$4:$C1418,$C1418)))</f>
        <v/>
      </c>
      <c r="AD1418" s="1" t="str">
        <f t="shared" si="118"/>
        <v/>
      </c>
      <c r="AE1418" s="1"/>
      <c r="AF1418" s="1" t="str">
        <f t="shared" si="119"/>
        <v/>
      </c>
      <c r="AG1418" s="1" t="str">
        <f t="shared" si="120"/>
        <v/>
      </c>
      <c r="AH1418" s="1" t="str">
        <f>IF($C1418="","",$B1418&amp;"|"&amp;(COUNTIFS($B$4:$B$1463,$B1418,$AF$4:$AF$1463,"&gt;"&amp;$AF1418)+COUNTIFS($B$4:$B1418,$B1418,$AF$4:$AF1418,"="&amp;$AF1418)))</f>
        <v/>
      </c>
      <c r="AI1418" s="1" t="str">
        <f>IF($C1418="","",$B1418&amp;"|"&amp;(COUNTIFS($B$4:$B$1463,$B1418,$AG$4:$AG$1463,"&gt;"&amp;$AG1418)+COUNTIFS($B$4:$B1418,$B1418,$AG$4:$AG1418,"="&amp;$AG1418)))</f>
        <v/>
      </c>
    </row>
    <row r="1419" spans="1:35" hidden="1">
      <c r="A1419" s="69"/>
      <c r="B1419" s="69"/>
      <c r="C1419" s="63"/>
      <c r="D1419" s="69"/>
      <c r="E1419" s="68"/>
      <c r="F1419" s="15" t="str">
        <f>IF($C1419="","",IF($E1419="","-",IFERROR(INDEX(SETUP!$B$55:$B$64,MATCH($E1419,SETUP!$A$55:$A$64,0)),"Other")))</f>
        <v/>
      </c>
      <c r="G1419" s="70"/>
      <c r="H1419" s="15" t="str">
        <f>IF($C1419="","",IF($G1419="","-",INDEX(SETUP!$B$26:$B$32,MATCH($G1419,SETUP!$A$26:$A$32,1))))</f>
        <v/>
      </c>
      <c r="I1419" s="70"/>
      <c r="J1419" s="15" t="str">
        <f>IF($C1419="","",IF($I1419="","-",INDEX(SETUP!$B$16:$B$22,MATCH($I1419,SETUP!$A$16:$A$22,1))))</f>
        <v/>
      </c>
      <c r="K1419" s="15" t="str">
        <f t="shared" si="114"/>
        <v/>
      </c>
      <c r="L1419" s="71"/>
      <c r="M1419" s="15" t="str">
        <f>IF($C1419="","",IF($L1419="","-",INDEX(SETUP!$B$36:$B$42,MATCH($L1419,SETUP!$A$36:$A$42,1))))</f>
        <v/>
      </c>
      <c r="N1419" s="17" t="str">
        <f>IF($C1419="","",IF(OR($G1419="",$I1419=""),"",ROUND(100*(SETUP!$B$4*MIN(1,$I1419/SETUP!$B$9)+SETUP!$B$5*MAX(0,MIN(1,($G1419-SETUP!$B$10)/(SETUP!$B$11-SETUP!$B$10)))+SETUP!$B$6*MIN(1,IF($L1419="",0,$L1419)/SETUP!$B$12)),1)))</f>
        <v/>
      </c>
      <c r="O1419" s="15" t="str">
        <f>IF($C1419="","",IF($N1419="","-",INDEX(SETUP!$B$46:$B$51,MATCH($N1419,SETUP!$A$46:$A$51,1))))</f>
        <v/>
      </c>
      <c r="P1419" s="15" t="str">
        <f>IF($C1419="","",IF($I1419="","",RANK($I1419,$I$4:$I$1463)+COUNTIF($I$4:$I1419,$I1419)-1))</f>
        <v/>
      </c>
      <c r="Q1419" s="15" t="str">
        <f>IF($C1419="","",COUNTIFS($B$4:$B$1463,$B1419,$X$4:$X$1463,"&gt;"&amp;$X1419)+COUNTIFS($B$4:$B1419,$B1419,$X$4:$X1419,"="&amp;$X1419))</f>
        <v/>
      </c>
      <c r="R1419" s="72" t="str">
        <f>IF($C1419="","",IF($I1419="","",ROUND(COUNTIF($I$4:$I$1463,"&lt;"&amp;$I1419)/COUNT($I$4:$I$1463),3)))</f>
        <v/>
      </c>
      <c r="S1419" s="15" t="str">
        <f t="shared" si="115"/>
        <v/>
      </c>
      <c r="T1419" s="41" t="str">
        <f>IF($C1419="","",TRIM(IF(COUNTIF($C$4:$C$1463,$C1419)&gt;1,"Dup name; ","")&amp;IF(AND($G1419&lt;&gt;"",$G1419&lt;55000),"Low CR - verify; ","")&amp;IF(AND($L1419&lt;&gt;"",$L1419&gt;15),"Secondary - verify; ","")&amp;IF($E1419="","No class; ","")))</f>
        <v/>
      </c>
      <c r="U1419" s="68"/>
      <c r="V1419" s="68"/>
      <c r="W1419" s="68"/>
      <c r="X1419" s="41" t="str">
        <f t="shared" si="116"/>
        <v/>
      </c>
      <c r="Y1419" s="41" t="str">
        <f t="shared" si="117"/>
        <v/>
      </c>
      <c r="Z1419" s="15" t="str">
        <f>IF($C1419="","",IF($G1419="","",RANK($G1419,$G$4:$G$1463)+COUNTIF($G$4:$G1419,$G1419)-1))</f>
        <v/>
      </c>
      <c r="AA1419" s="15" t="str">
        <f>IF($C1419="","",IF($N1419="","",RANK($N1419,$N$4:$N$1463)+COUNTIF($N$4:$N1419,$N1419)-1))</f>
        <v/>
      </c>
      <c r="AB1419" s="41" t="str">
        <f>IF($C1419="","",IF($E1419="","",$E1419&amp;"#"&amp;(COUNTIFS($E$4:$E$1463,$E1419,$X$4:$X$1463,"&gt;"&amp;$X1419)+COUNTIFS($E$4:$E1419,$E1419,$X$4:$X1419,"="&amp;$X1419))))</f>
        <v/>
      </c>
      <c r="AC1419" s="41" t="str">
        <f>IF($C1419="","",$B1419&amp;"@"&amp;(COUNTIFS($B$4:$B$1463,$B1419,$C$4:$C$1463,"&lt;"&amp;$C1419)+COUNTIFS($B$4:$B1419,$B1419,$C$4:$C1419,$C1419)))</f>
        <v/>
      </c>
      <c r="AD1419" s="41" t="str">
        <f t="shared" si="118"/>
        <v/>
      </c>
      <c r="AE1419" s="41"/>
      <c r="AF1419" s="41" t="str">
        <f t="shared" si="119"/>
        <v/>
      </c>
      <c r="AG1419" s="41" t="str">
        <f t="shared" si="120"/>
        <v/>
      </c>
      <c r="AH1419" s="41" t="str">
        <f>IF($C1419="","",$B1419&amp;"|"&amp;(COUNTIFS($B$4:$B$1463,$B1419,$AF$4:$AF$1463,"&gt;"&amp;$AF1419)+COUNTIFS($B$4:$B1419,$B1419,$AF$4:$AF1419,"="&amp;$AF1419)))</f>
        <v/>
      </c>
      <c r="AI1419" s="41" t="str">
        <f>IF($C1419="","",$B1419&amp;"|"&amp;(COUNTIFS($B$4:$B$1463,$B1419,$AG$4:$AG$1463,"&gt;"&amp;$AG1419)+COUNTIFS($B$4:$B1419,$B1419,$AG$4:$AG1419,"="&amp;$AG1419)))</f>
        <v/>
      </c>
    </row>
    <row r="1420" spans="1:35" hidden="1">
      <c r="A1420" s="69"/>
      <c r="B1420" s="69"/>
      <c r="C1420" s="63"/>
      <c r="D1420" s="69"/>
      <c r="E1420" s="68"/>
      <c r="F1420" s="19" t="str">
        <f>IF($C1420="","",IF($E1420="","-",IFERROR(INDEX(SETUP!$B$55:$B$64,MATCH($E1420,SETUP!$A$55:$A$64,0)),"Other")))</f>
        <v/>
      </c>
      <c r="G1420" s="70"/>
      <c r="H1420" s="19" t="str">
        <f>IF($C1420="","",IF($G1420="","-",INDEX(SETUP!$B$26:$B$32,MATCH($G1420,SETUP!$A$26:$A$32,1))))</f>
        <v/>
      </c>
      <c r="I1420" s="70"/>
      <c r="J1420" s="19" t="str">
        <f>IF($C1420="","",IF($I1420="","-",INDEX(SETUP!$B$16:$B$22,MATCH($I1420,SETUP!$A$16:$A$22,1))))</f>
        <v/>
      </c>
      <c r="K1420" s="19" t="str">
        <f t="shared" si="114"/>
        <v/>
      </c>
      <c r="L1420" s="71"/>
      <c r="M1420" s="19" t="str">
        <f>IF($C1420="","",IF($L1420="","-",INDEX(SETUP!$B$36:$B$42,MATCH($L1420,SETUP!$A$36:$A$42,1))))</f>
        <v/>
      </c>
      <c r="N1420" s="21" t="str">
        <f>IF($C1420="","",IF(OR($G1420="",$I1420=""),"",ROUND(100*(SETUP!$B$4*MIN(1,$I1420/SETUP!$B$9)+SETUP!$B$5*MAX(0,MIN(1,($G1420-SETUP!$B$10)/(SETUP!$B$11-SETUP!$B$10)))+SETUP!$B$6*MIN(1,IF($L1420="",0,$L1420)/SETUP!$B$12)),1)))</f>
        <v/>
      </c>
      <c r="O1420" s="19" t="str">
        <f>IF($C1420="","",IF($N1420="","-",INDEX(SETUP!$B$46:$B$51,MATCH($N1420,SETUP!$A$46:$A$51,1))))</f>
        <v/>
      </c>
      <c r="P1420" s="19" t="str">
        <f>IF($C1420="","",IF($I1420="","",RANK($I1420,$I$4:$I$1463)+COUNTIF($I$4:$I1420,$I1420)-1))</f>
        <v/>
      </c>
      <c r="Q1420" s="19" t="str">
        <f>IF($C1420="","",COUNTIFS($B$4:$B$1463,$B1420,$X$4:$X$1463,"&gt;"&amp;$X1420)+COUNTIFS($B$4:$B1420,$B1420,$X$4:$X1420,"="&amp;$X1420))</f>
        <v/>
      </c>
      <c r="R1420" s="75" t="str">
        <f>IF($C1420="","",IF($I1420="","",ROUND(COUNTIF($I$4:$I$1463,"&lt;"&amp;$I1420)/COUNT($I$4:$I$1463),3)))</f>
        <v/>
      </c>
      <c r="S1420" s="19" t="str">
        <f t="shared" si="115"/>
        <v/>
      </c>
      <c r="T1420" s="1" t="str">
        <f>IF($C1420="","",TRIM(IF(COUNTIF($C$4:$C$1463,$C1420)&gt;1,"Dup name; ","")&amp;IF(AND($G1420&lt;&gt;"",$G1420&lt;55000),"Low CR - verify; ","")&amp;IF(AND($L1420&lt;&gt;"",$L1420&gt;15),"Secondary - verify; ","")&amp;IF($E1420="","No class; ","")))</f>
        <v/>
      </c>
      <c r="U1420" s="68"/>
      <c r="V1420" s="68"/>
      <c r="W1420" s="68"/>
      <c r="X1420" s="1" t="str">
        <f t="shared" si="116"/>
        <v/>
      </c>
      <c r="Y1420" s="1" t="str">
        <f t="shared" si="117"/>
        <v/>
      </c>
      <c r="Z1420" s="19" t="str">
        <f>IF($C1420="","",IF($G1420="","",RANK($G1420,$G$4:$G$1463)+COUNTIF($G$4:$G1420,$G1420)-1))</f>
        <v/>
      </c>
      <c r="AA1420" s="19" t="str">
        <f>IF($C1420="","",IF($N1420="","",RANK($N1420,$N$4:$N$1463)+COUNTIF($N$4:$N1420,$N1420)-1))</f>
        <v/>
      </c>
      <c r="AB1420" s="1" t="str">
        <f>IF($C1420="","",IF($E1420="","",$E1420&amp;"#"&amp;(COUNTIFS($E$4:$E$1463,$E1420,$X$4:$X$1463,"&gt;"&amp;$X1420)+COUNTIFS($E$4:$E1420,$E1420,$X$4:$X1420,"="&amp;$X1420))))</f>
        <v/>
      </c>
      <c r="AC1420" s="1" t="str">
        <f>IF($C1420="","",$B1420&amp;"@"&amp;(COUNTIFS($B$4:$B$1463,$B1420,$C$4:$C$1463,"&lt;"&amp;$C1420)+COUNTIFS($B$4:$B1420,$B1420,$C$4:$C1420,$C1420)))</f>
        <v/>
      </c>
      <c r="AD1420" s="1" t="str">
        <f t="shared" si="118"/>
        <v/>
      </c>
      <c r="AE1420" s="1"/>
      <c r="AF1420" s="1" t="str">
        <f t="shared" si="119"/>
        <v/>
      </c>
      <c r="AG1420" s="1" t="str">
        <f t="shared" si="120"/>
        <v/>
      </c>
      <c r="AH1420" s="1" t="str">
        <f>IF($C1420="","",$B1420&amp;"|"&amp;(COUNTIFS($B$4:$B$1463,$B1420,$AF$4:$AF$1463,"&gt;"&amp;$AF1420)+COUNTIFS($B$4:$B1420,$B1420,$AF$4:$AF1420,"="&amp;$AF1420)))</f>
        <v/>
      </c>
      <c r="AI1420" s="1" t="str">
        <f>IF($C1420="","",$B1420&amp;"|"&amp;(COUNTIFS($B$4:$B$1463,$B1420,$AG$4:$AG$1463,"&gt;"&amp;$AG1420)+COUNTIFS($B$4:$B1420,$B1420,$AG$4:$AG1420,"="&amp;$AG1420)))</f>
        <v/>
      </c>
    </row>
    <row r="1421" spans="1:35" hidden="1">
      <c r="A1421" s="69"/>
      <c r="B1421" s="69"/>
      <c r="C1421" s="63"/>
      <c r="D1421" s="69"/>
      <c r="E1421" s="68"/>
      <c r="F1421" s="15" t="str">
        <f>IF($C1421="","",IF($E1421="","-",IFERROR(INDEX(SETUP!$B$55:$B$64,MATCH($E1421,SETUP!$A$55:$A$64,0)),"Other")))</f>
        <v/>
      </c>
      <c r="G1421" s="70"/>
      <c r="H1421" s="15" t="str">
        <f>IF($C1421="","",IF($G1421="","-",INDEX(SETUP!$B$26:$B$32,MATCH($G1421,SETUP!$A$26:$A$32,1))))</f>
        <v/>
      </c>
      <c r="I1421" s="70"/>
      <c r="J1421" s="15" t="str">
        <f>IF($C1421="","",IF($I1421="","-",INDEX(SETUP!$B$16:$B$22,MATCH($I1421,SETUP!$A$16:$A$22,1))))</f>
        <v/>
      </c>
      <c r="K1421" s="15" t="str">
        <f t="shared" si="114"/>
        <v/>
      </c>
      <c r="L1421" s="71"/>
      <c r="M1421" s="15" t="str">
        <f>IF($C1421="","",IF($L1421="","-",INDEX(SETUP!$B$36:$B$42,MATCH($L1421,SETUP!$A$36:$A$42,1))))</f>
        <v/>
      </c>
      <c r="N1421" s="17" t="str">
        <f>IF($C1421="","",IF(OR($G1421="",$I1421=""),"",ROUND(100*(SETUP!$B$4*MIN(1,$I1421/SETUP!$B$9)+SETUP!$B$5*MAX(0,MIN(1,($G1421-SETUP!$B$10)/(SETUP!$B$11-SETUP!$B$10)))+SETUP!$B$6*MIN(1,IF($L1421="",0,$L1421)/SETUP!$B$12)),1)))</f>
        <v/>
      </c>
      <c r="O1421" s="15" t="str">
        <f>IF($C1421="","",IF($N1421="","-",INDEX(SETUP!$B$46:$B$51,MATCH($N1421,SETUP!$A$46:$A$51,1))))</f>
        <v/>
      </c>
      <c r="P1421" s="15" t="str">
        <f>IF($C1421="","",IF($I1421="","",RANK($I1421,$I$4:$I$1463)+COUNTIF($I$4:$I1421,$I1421)-1))</f>
        <v/>
      </c>
      <c r="Q1421" s="15" t="str">
        <f>IF($C1421="","",COUNTIFS($B$4:$B$1463,$B1421,$X$4:$X$1463,"&gt;"&amp;$X1421)+COUNTIFS($B$4:$B1421,$B1421,$X$4:$X1421,"="&amp;$X1421))</f>
        <v/>
      </c>
      <c r="R1421" s="72" t="str">
        <f>IF($C1421="","",IF($I1421="","",ROUND(COUNTIF($I$4:$I$1463,"&lt;"&amp;$I1421)/COUNT($I$4:$I$1463),3)))</f>
        <v/>
      </c>
      <c r="S1421" s="15" t="str">
        <f t="shared" si="115"/>
        <v/>
      </c>
      <c r="T1421" s="41" t="str">
        <f>IF($C1421="","",TRIM(IF(COUNTIF($C$4:$C$1463,$C1421)&gt;1,"Dup name; ","")&amp;IF(AND($G1421&lt;&gt;"",$G1421&lt;55000),"Low CR - verify; ","")&amp;IF(AND($L1421&lt;&gt;"",$L1421&gt;15),"Secondary - verify; ","")&amp;IF($E1421="","No class; ","")))</f>
        <v/>
      </c>
      <c r="U1421" s="68"/>
      <c r="V1421" s="68"/>
      <c r="W1421" s="68"/>
      <c r="X1421" s="41" t="str">
        <f t="shared" si="116"/>
        <v/>
      </c>
      <c r="Y1421" s="41" t="str">
        <f t="shared" si="117"/>
        <v/>
      </c>
      <c r="Z1421" s="15" t="str">
        <f>IF($C1421="","",IF($G1421="","",RANK($G1421,$G$4:$G$1463)+COUNTIF($G$4:$G1421,$G1421)-1))</f>
        <v/>
      </c>
      <c r="AA1421" s="15" t="str">
        <f>IF($C1421="","",IF($N1421="","",RANK($N1421,$N$4:$N$1463)+COUNTIF($N$4:$N1421,$N1421)-1))</f>
        <v/>
      </c>
      <c r="AB1421" s="41" t="str">
        <f>IF($C1421="","",IF($E1421="","",$E1421&amp;"#"&amp;(COUNTIFS($E$4:$E$1463,$E1421,$X$4:$X$1463,"&gt;"&amp;$X1421)+COUNTIFS($E$4:$E1421,$E1421,$X$4:$X1421,"="&amp;$X1421))))</f>
        <v/>
      </c>
      <c r="AC1421" s="41" t="str">
        <f>IF($C1421="","",$B1421&amp;"@"&amp;(COUNTIFS($B$4:$B$1463,$B1421,$C$4:$C$1463,"&lt;"&amp;$C1421)+COUNTIFS($B$4:$B1421,$B1421,$C$4:$C1421,$C1421)))</f>
        <v/>
      </c>
      <c r="AD1421" s="41" t="str">
        <f t="shared" si="118"/>
        <v/>
      </c>
      <c r="AE1421" s="41"/>
      <c r="AF1421" s="41" t="str">
        <f t="shared" si="119"/>
        <v/>
      </c>
      <c r="AG1421" s="41" t="str">
        <f t="shared" si="120"/>
        <v/>
      </c>
      <c r="AH1421" s="41" t="str">
        <f>IF($C1421="","",$B1421&amp;"|"&amp;(COUNTIFS($B$4:$B$1463,$B1421,$AF$4:$AF$1463,"&gt;"&amp;$AF1421)+COUNTIFS($B$4:$B1421,$B1421,$AF$4:$AF1421,"="&amp;$AF1421)))</f>
        <v/>
      </c>
      <c r="AI1421" s="41" t="str">
        <f>IF($C1421="","",$B1421&amp;"|"&amp;(COUNTIFS($B$4:$B$1463,$B1421,$AG$4:$AG$1463,"&gt;"&amp;$AG1421)+COUNTIFS($B$4:$B1421,$B1421,$AG$4:$AG1421,"="&amp;$AG1421)))</f>
        <v/>
      </c>
    </row>
    <row r="1422" spans="1:35" hidden="1">
      <c r="A1422" s="69"/>
      <c r="B1422" s="69"/>
      <c r="C1422" s="63"/>
      <c r="D1422" s="69"/>
      <c r="E1422" s="68"/>
      <c r="F1422" s="19" t="str">
        <f>IF($C1422="","",IF($E1422="","-",IFERROR(INDEX(SETUP!$B$55:$B$64,MATCH($E1422,SETUP!$A$55:$A$64,0)),"Other")))</f>
        <v/>
      </c>
      <c r="G1422" s="70"/>
      <c r="H1422" s="19" t="str">
        <f>IF($C1422="","",IF($G1422="","-",INDEX(SETUP!$B$26:$B$32,MATCH($G1422,SETUP!$A$26:$A$32,1))))</f>
        <v/>
      </c>
      <c r="I1422" s="70"/>
      <c r="J1422" s="19" t="str">
        <f>IF($C1422="","",IF($I1422="","-",INDEX(SETUP!$B$16:$B$22,MATCH($I1422,SETUP!$A$16:$A$22,1))))</f>
        <v/>
      </c>
      <c r="K1422" s="19" t="str">
        <f t="shared" si="114"/>
        <v/>
      </c>
      <c r="L1422" s="71"/>
      <c r="M1422" s="19" t="str">
        <f>IF($C1422="","",IF($L1422="","-",INDEX(SETUP!$B$36:$B$42,MATCH($L1422,SETUP!$A$36:$A$42,1))))</f>
        <v/>
      </c>
      <c r="N1422" s="21" t="str">
        <f>IF($C1422="","",IF(OR($G1422="",$I1422=""),"",ROUND(100*(SETUP!$B$4*MIN(1,$I1422/SETUP!$B$9)+SETUP!$B$5*MAX(0,MIN(1,($G1422-SETUP!$B$10)/(SETUP!$B$11-SETUP!$B$10)))+SETUP!$B$6*MIN(1,IF($L1422="",0,$L1422)/SETUP!$B$12)),1)))</f>
        <v/>
      </c>
      <c r="O1422" s="19" t="str">
        <f>IF($C1422="","",IF($N1422="","-",INDEX(SETUP!$B$46:$B$51,MATCH($N1422,SETUP!$A$46:$A$51,1))))</f>
        <v/>
      </c>
      <c r="P1422" s="19" t="str">
        <f>IF($C1422="","",IF($I1422="","",RANK($I1422,$I$4:$I$1463)+COUNTIF($I$4:$I1422,$I1422)-1))</f>
        <v/>
      </c>
      <c r="Q1422" s="19" t="str">
        <f>IF($C1422="","",COUNTIFS($B$4:$B$1463,$B1422,$X$4:$X$1463,"&gt;"&amp;$X1422)+COUNTIFS($B$4:$B1422,$B1422,$X$4:$X1422,"="&amp;$X1422))</f>
        <v/>
      </c>
      <c r="R1422" s="75" t="str">
        <f>IF($C1422="","",IF($I1422="","",ROUND(COUNTIF($I$4:$I$1463,"&lt;"&amp;$I1422)/COUNT($I$4:$I$1463),3)))</f>
        <v/>
      </c>
      <c r="S1422" s="19" t="str">
        <f t="shared" si="115"/>
        <v/>
      </c>
      <c r="T1422" s="1" t="str">
        <f>IF($C1422="","",TRIM(IF(COUNTIF($C$4:$C$1463,$C1422)&gt;1,"Dup name; ","")&amp;IF(AND($G1422&lt;&gt;"",$G1422&lt;55000),"Low CR - verify; ","")&amp;IF(AND($L1422&lt;&gt;"",$L1422&gt;15),"Secondary - verify; ","")&amp;IF($E1422="","No class; ","")))</f>
        <v/>
      </c>
      <c r="U1422" s="68"/>
      <c r="V1422" s="68"/>
      <c r="W1422" s="68"/>
      <c r="X1422" s="1" t="str">
        <f t="shared" si="116"/>
        <v/>
      </c>
      <c r="Y1422" s="1" t="str">
        <f t="shared" si="117"/>
        <v/>
      </c>
      <c r="Z1422" s="19" t="str">
        <f>IF($C1422="","",IF($G1422="","",RANK($G1422,$G$4:$G$1463)+COUNTIF($G$4:$G1422,$G1422)-1))</f>
        <v/>
      </c>
      <c r="AA1422" s="19" t="str">
        <f>IF($C1422="","",IF($N1422="","",RANK($N1422,$N$4:$N$1463)+COUNTIF($N$4:$N1422,$N1422)-1))</f>
        <v/>
      </c>
      <c r="AB1422" s="1" t="str">
        <f>IF($C1422="","",IF($E1422="","",$E1422&amp;"#"&amp;(COUNTIFS($E$4:$E$1463,$E1422,$X$4:$X$1463,"&gt;"&amp;$X1422)+COUNTIFS($E$4:$E1422,$E1422,$X$4:$X1422,"="&amp;$X1422))))</f>
        <v/>
      </c>
      <c r="AC1422" s="1" t="str">
        <f>IF($C1422="","",$B1422&amp;"@"&amp;(COUNTIFS($B$4:$B$1463,$B1422,$C$4:$C$1463,"&lt;"&amp;$C1422)+COUNTIFS($B$4:$B1422,$B1422,$C$4:$C1422,$C1422)))</f>
        <v/>
      </c>
      <c r="AD1422" s="1" t="str">
        <f t="shared" si="118"/>
        <v/>
      </c>
      <c r="AE1422" s="1"/>
      <c r="AF1422" s="1" t="str">
        <f t="shared" si="119"/>
        <v/>
      </c>
      <c r="AG1422" s="1" t="str">
        <f t="shared" si="120"/>
        <v/>
      </c>
      <c r="AH1422" s="1" t="str">
        <f>IF($C1422="","",$B1422&amp;"|"&amp;(COUNTIFS($B$4:$B$1463,$B1422,$AF$4:$AF$1463,"&gt;"&amp;$AF1422)+COUNTIFS($B$4:$B1422,$B1422,$AF$4:$AF1422,"="&amp;$AF1422)))</f>
        <v/>
      </c>
      <c r="AI1422" s="1" t="str">
        <f>IF($C1422="","",$B1422&amp;"|"&amp;(COUNTIFS($B$4:$B$1463,$B1422,$AG$4:$AG$1463,"&gt;"&amp;$AG1422)+COUNTIFS($B$4:$B1422,$B1422,$AG$4:$AG1422,"="&amp;$AG1422)))</f>
        <v/>
      </c>
    </row>
    <row r="1423" spans="1:35" hidden="1">
      <c r="A1423" s="69"/>
      <c r="B1423" s="69"/>
      <c r="C1423" s="63"/>
      <c r="D1423" s="69"/>
      <c r="E1423" s="68"/>
      <c r="F1423" s="15" t="str">
        <f>IF($C1423="","",IF($E1423="","-",IFERROR(INDEX(SETUP!$B$55:$B$64,MATCH($E1423,SETUP!$A$55:$A$64,0)),"Other")))</f>
        <v/>
      </c>
      <c r="G1423" s="70"/>
      <c r="H1423" s="15" t="str">
        <f>IF($C1423="","",IF($G1423="","-",INDEX(SETUP!$B$26:$B$32,MATCH($G1423,SETUP!$A$26:$A$32,1))))</f>
        <v/>
      </c>
      <c r="I1423" s="70"/>
      <c r="J1423" s="15" t="str">
        <f>IF($C1423="","",IF($I1423="","-",INDEX(SETUP!$B$16:$B$22,MATCH($I1423,SETUP!$A$16:$A$22,1))))</f>
        <v/>
      </c>
      <c r="K1423" s="15" t="str">
        <f t="shared" si="114"/>
        <v/>
      </c>
      <c r="L1423" s="71"/>
      <c r="M1423" s="15" t="str">
        <f>IF($C1423="","",IF($L1423="","-",INDEX(SETUP!$B$36:$B$42,MATCH($L1423,SETUP!$A$36:$A$42,1))))</f>
        <v/>
      </c>
      <c r="N1423" s="17" t="str">
        <f>IF($C1423="","",IF(OR($G1423="",$I1423=""),"",ROUND(100*(SETUP!$B$4*MIN(1,$I1423/SETUP!$B$9)+SETUP!$B$5*MAX(0,MIN(1,($G1423-SETUP!$B$10)/(SETUP!$B$11-SETUP!$B$10)))+SETUP!$B$6*MIN(1,IF($L1423="",0,$L1423)/SETUP!$B$12)),1)))</f>
        <v/>
      </c>
      <c r="O1423" s="15" t="str">
        <f>IF($C1423="","",IF($N1423="","-",INDEX(SETUP!$B$46:$B$51,MATCH($N1423,SETUP!$A$46:$A$51,1))))</f>
        <v/>
      </c>
      <c r="P1423" s="15" t="str">
        <f>IF($C1423="","",IF($I1423="","",RANK($I1423,$I$4:$I$1463)+COUNTIF($I$4:$I1423,$I1423)-1))</f>
        <v/>
      </c>
      <c r="Q1423" s="15" t="str">
        <f>IF($C1423="","",COUNTIFS($B$4:$B$1463,$B1423,$X$4:$X$1463,"&gt;"&amp;$X1423)+COUNTIFS($B$4:$B1423,$B1423,$X$4:$X1423,"="&amp;$X1423))</f>
        <v/>
      </c>
      <c r="R1423" s="72" t="str">
        <f>IF($C1423="","",IF($I1423="","",ROUND(COUNTIF($I$4:$I$1463,"&lt;"&amp;$I1423)/COUNT($I$4:$I$1463),3)))</f>
        <v/>
      </c>
      <c r="S1423" s="15" t="str">
        <f t="shared" si="115"/>
        <v/>
      </c>
      <c r="T1423" s="41" t="str">
        <f>IF($C1423="","",TRIM(IF(COUNTIF($C$4:$C$1463,$C1423)&gt;1,"Dup name; ","")&amp;IF(AND($G1423&lt;&gt;"",$G1423&lt;55000),"Low CR - verify; ","")&amp;IF(AND($L1423&lt;&gt;"",$L1423&gt;15),"Secondary - verify; ","")&amp;IF($E1423="","No class; ","")))</f>
        <v/>
      </c>
      <c r="U1423" s="68"/>
      <c r="V1423" s="68"/>
      <c r="W1423" s="68"/>
      <c r="X1423" s="41" t="str">
        <f t="shared" si="116"/>
        <v/>
      </c>
      <c r="Y1423" s="41" t="str">
        <f t="shared" si="117"/>
        <v/>
      </c>
      <c r="Z1423" s="15" t="str">
        <f>IF($C1423="","",IF($G1423="","",RANK($G1423,$G$4:$G$1463)+COUNTIF($G$4:$G1423,$G1423)-1))</f>
        <v/>
      </c>
      <c r="AA1423" s="15" t="str">
        <f>IF($C1423="","",IF($N1423="","",RANK($N1423,$N$4:$N$1463)+COUNTIF($N$4:$N1423,$N1423)-1))</f>
        <v/>
      </c>
      <c r="AB1423" s="41" t="str">
        <f>IF($C1423="","",IF($E1423="","",$E1423&amp;"#"&amp;(COUNTIFS($E$4:$E$1463,$E1423,$X$4:$X$1463,"&gt;"&amp;$X1423)+COUNTIFS($E$4:$E1423,$E1423,$X$4:$X1423,"="&amp;$X1423))))</f>
        <v/>
      </c>
      <c r="AC1423" s="41" t="str">
        <f>IF($C1423="","",$B1423&amp;"@"&amp;(COUNTIFS($B$4:$B$1463,$B1423,$C$4:$C$1463,"&lt;"&amp;$C1423)+COUNTIFS($B$4:$B1423,$B1423,$C$4:$C1423,$C1423)))</f>
        <v/>
      </c>
      <c r="AD1423" s="41" t="str">
        <f t="shared" si="118"/>
        <v/>
      </c>
      <c r="AE1423" s="41"/>
      <c r="AF1423" s="41" t="str">
        <f t="shared" si="119"/>
        <v/>
      </c>
      <c r="AG1423" s="41" t="str">
        <f t="shared" si="120"/>
        <v/>
      </c>
      <c r="AH1423" s="41" t="str">
        <f>IF($C1423="","",$B1423&amp;"|"&amp;(COUNTIFS($B$4:$B$1463,$B1423,$AF$4:$AF$1463,"&gt;"&amp;$AF1423)+COUNTIFS($B$4:$B1423,$B1423,$AF$4:$AF1423,"="&amp;$AF1423)))</f>
        <v/>
      </c>
      <c r="AI1423" s="41" t="str">
        <f>IF($C1423="","",$B1423&amp;"|"&amp;(COUNTIFS($B$4:$B$1463,$B1423,$AG$4:$AG$1463,"&gt;"&amp;$AG1423)+COUNTIFS($B$4:$B1423,$B1423,$AG$4:$AG1423,"="&amp;$AG1423)))</f>
        <v/>
      </c>
    </row>
    <row r="1424" spans="1:35" hidden="1">
      <c r="A1424" s="69"/>
      <c r="B1424" s="69"/>
      <c r="C1424" s="63"/>
      <c r="D1424" s="69"/>
      <c r="E1424" s="68"/>
      <c r="F1424" s="19" t="str">
        <f>IF($C1424="","",IF($E1424="","-",IFERROR(INDEX(SETUP!$B$55:$B$64,MATCH($E1424,SETUP!$A$55:$A$64,0)),"Other")))</f>
        <v/>
      </c>
      <c r="G1424" s="70"/>
      <c r="H1424" s="19" t="str">
        <f>IF($C1424="","",IF($G1424="","-",INDEX(SETUP!$B$26:$B$32,MATCH($G1424,SETUP!$A$26:$A$32,1))))</f>
        <v/>
      </c>
      <c r="I1424" s="70"/>
      <c r="J1424" s="19" t="str">
        <f>IF($C1424="","",IF($I1424="","-",INDEX(SETUP!$B$16:$B$22,MATCH($I1424,SETUP!$A$16:$A$22,1))))</f>
        <v/>
      </c>
      <c r="K1424" s="19" t="str">
        <f t="shared" si="114"/>
        <v/>
      </c>
      <c r="L1424" s="71"/>
      <c r="M1424" s="19" t="str">
        <f>IF($C1424="","",IF($L1424="","-",INDEX(SETUP!$B$36:$B$42,MATCH($L1424,SETUP!$A$36:$A$42,1))))</f>
        <v/>
      </c>
      <c r="N1424" s="21" t="str">
        <f>IF($C1424="","",IF(OR($G1424="",$I1424=""),"",ROUND(100*(SETUP!$B$4*MIN(1,$I1424/SETUP!$B$9)+SETUP!$B$5*MAX(0,MIN(1,($G1424-SETUP!$B$10)/(SETUP!$B$11-SETUP!$B$10)))+SETUP!$B$6*MIN(1,IF($L1424="",0,$L1424)/SETUP!$B$12)),1)))</f>
        <v/>
      </c>
      <c r="O1424" s="19" t="str">
        <f>IF($C1424="","",IF($N1424="","-",INDEX(SETUP!$B$46:$B$51,MATCH($N1424,SETUP!$A$46:$A$51,1))))</f>
        <v/>
      </c>
      <c r="P1424" s="19" t="str">
        <f>IF($C1424="","",IF($I1424="","",RANK($I1424,$I$4:$I$1463)+COUNTIF($I$4:$I1424,$I1424)-1))</f>
        <v/>
      </c>
      <c r="Q1424" s="19" t="str">
        <f>IF($C1424="","",COUNTIFS($B$4:$B$1463,$B1424,$X$4:$X$1463,"&gt;"&amp;$X1424)+COUNTIFS($B$4:$B1424,$B1424,$X$4:$X1424,"="&amp;$X1424))</f>
        <v/>
      </c>
      <c r="R1424" s="75" t="str">
        <f>IF($C1424="","",IF($I1424="","",ROUND(COUNTIF($I$4:$I$1463,"&lt;"&amp;$I1424)/COUNT($I$4:$I$1463),3)))</f>
        <v/>
      </c>
      <c r="S1424" s="19" t="str">
        <f t="shared" si="115"/>
        <v/>
      </c>
      <c r="T1424" s="1" t="str">
        <f>IF($C1424="","",TRIM(IF(COUNTIF($C$4:$C$1463,$C1424)&gt;1,"Dup name; ","")&amp;IF(AND($G1424&lt;&gt;"",$G1424&lt;55000),"Low CR - verify; ","")&amp;IF(AND($L1424&lt;&gt;"",$L1424&gt;15),"Secondary - verify; ","")&amp;IF($E1424="","No class; ","")))</f>
        <v/>
      </c>
      <c r="U1424" s="68"/>
      <c r="V1424" s="68"/>
      <c r="W1424" s="68"/>
      <c r="X1424" s="1" t="str">
        <f t="shared" si="116"/>
        <v/>
      </c>
      <c r="Y1424" s="1" t="str">
        <f t="shared" si="117"/>
        <v/>
      </c>
      <c r="Z1424" s="19" t="str">
        <f>IF($C1424="","",IF($G1424="","",RANK($G1424,$G$4:$G$1463)+COUNTIF($G$4:$G1424,$G1424)-1))</f>
        <v/>
      </c>
      <c r="AA1424" s="19" t="str">
        <f>IF($C1424="","",IF($N1424="","",RANK($N1424,$N$4:$N$1463)+COUNTIF($N$4:$N1424,$N1424)-1))</f>
        <v/>
      </c>
      <c r="AB1424" s="1" t="str">
        <f>IF($C1424="","",IF($E1424="","",$E1424&amp;"#"&amp;(COUNTIFS($E$4:$E$1463,$E1424,$X$4:$X$1463,"&gt;"&amp;$X1424)+COUNTIFS($E$4:$E1424,$E1424,$X$4:$X1424,"="&amp;$X1424))))</f>
        <v/>
      </c>
      <c r="AC1424" s="1" t="str">
        <f>IF($C1424="","",$B1424&amp;"@"&amp;(COUNTIFS($B$4:$B$1463,$B1424,$C$4:$C$1463,"&lt;"&amp;$C1424)+COUNTIFS($B$4:$B1424,$B1424,$C$4:$C1424,$C1424)))</f>
        <v/>
      </c>
      <c r="AD1424" s="1" t="str">
        <f t="shared" si="118"/>
        <v/>
      </c>
      <c r="AE1424" s="1"/>
      <c r="AF1424" s="1" t="str">
        <f t="shared" si="119"/>
        <v/>
      </c>
      <c r="AG1424" s="1" t="str">
        <f t="shared" si="120"/>
        <v/>
      </c>
      <c r="AH1424" s="1" t="str">
        <f>IF($C1424="","",$B1424&amp;"|"&amp;(COUNTIFS($B$4:$B$1463,$B1424,$AF$4:$AF$1463,"&gt;"&amp;$AF1424)+COUNTIFS($B$4:$B1424,$B1424,$AF$4:$AF1424,"="&amp;$AF1424)))</f>
        <v/>
      </c>
      <c r="AI1424" s="1" t="str">
        <f>IF($C1424="","",$B1424&amp;"|"&amp;(COUNTIFS($B$4:$B$1463,$B1424,$AG$4:$AG$1463,"&gt;"&amp;$AG1424)+COUNTIFS($B$4:$B1424,$B1424,$AG$4:$AG1424,"="&amp;$AG1424)))</f>
        <v/>
      </c>
    </row>
    <row r="1425" spans="1:35" hidden="1">
      <c r="A1425" s="69"/>
      <c r="B1425" s="69"/>
      <c r="C1425" s="63"/>
      <c r="D1425" s="69"/>
      <c r="E1425" s="68"/>
      <c r="F1425" s="15" t="str">
        <f>IF($C1425="","",IF($E1425="","-",IFERROR(INDEX(SETUP!$B$55:$B$64,MATCH($E1425,SETUP!$A$55:$A$64,0)),"Other")))</f>
        <v/>
      </c>
      <c r="G1425" s="70"/>
      <c r="H1425" s="15" t="str">
        <f>IF($C1425="","",IF($G1425="","-",INDEX(SETUP!$B$26:$B$32,MATCH($G1425,SETUP!$A$26:$A$32,1))))</f>
        <v/>
      </c>
      <c r="I1425" s="70"/>
      <c r="J1425" s="15" t="str">
        <f>IF($C1425="","",IF($I1425="","-",INDEX(SETUP!$B$16:$B$22,MATCH($I1425,SETUP!$A$16:$A$22,1))))</f>
        <v/>
      </c>
      <c r="K1425" s="15" t="str">
        <f t="shared" si="114"/>
        <v/>
      </c>
      <c r="L1425" s="71"/>
      <c r="M1425" s="15" t="str">
        <f>IF($C1425="","",IF($L1425="","-",INDEX(SETUP!$B$36:$B$42,MATCH($L1425,SETUP!$A$36:$A$42,1))))</f>
        <v/>
      </c>
      <c r="N1425" s="17" t="str">
        <f>IF($C1425="","",IF(OR($G1425="",$I1425=""),"",ROUND(100*(SETUP!$B$4*MIN(1,$I1425/SETUP!$B$9)+SETUP!$B$5*MAX(0,MIN(1,($G1425-SETUP!$B$10)/(SETUP!$B$11-SETUP!$B$10)))+SETUP!$B$6*MIN(1,IF($L1425="",0,$L1425)/SETUP!$B$12)),1)))</f>
        <v/>
      </c>
      <c r="O1425" s="15" t="str">
        <f>IF($C1425="","",IF($N1425="","-",INDEX(SETUP!$B$46:$B$51,MATCH($N1425,SETUP!$A$46:$A$51,1))))</f>
        <v/>
      </c>
      <c r="P1425" s="15" t="str">
        <f>IF($C1425="","",IF($I1425="","",RANK($I1425,$I$4:$I$1463)+COUNTIF($I$4:$I1425,$I1425)-1))</f>
        <v/>
      </c>
      <c r="Q1425" s="15" t="str">
        <f>IF($C1425="","",COUNTIFS($B$4:$B$1463,$B1425,$X$4:$X$1463,"&gt;"&amp;$X1425)+COUNTIFS($B$4:$B1425,$B1425,$X$4:$X1425,"="&amp;$X1425))</f>
        <v/>
      </c>
      <c r="R1425" s="72" t="str">
        <f>IF($C1425="","",IF($I1425="","",ROUND(COUNTIF($I$4:$I$1463,"&lt;"&amp;$I1425)/COUNT($I$4:$I$1463),3)))</f>
        <v/>
      </c>
      <c r="S1425" s="15" t="str">
        <f t="shared" si="115"/>
        <v/>
      </c>
      <c r="T1425" s="41" t="str">
        <f>IF($C1425="","",TRIM(IF(COUNTIF($C$4:$C$1463,$C1425)&gt;1,"Dup name; ","")&amp;IF(AND($G1425&lt;&gt;"",$G1425&lt;55000),"Low CR - verify; ","")&amp;IF(AND($L1425&lt;&gt;"",$L1425&gt;15),"Secondary - verify; ","")&amp;IF($E1425="","No class; ","")))</f>
        <v/>
      </c>
      <c r="U1425" s="68"/>
      <c r="V1425" s="68"/>
      <c r="W1425" s="68"/>
      <c r="X1425" s="41" t="str">
        <f t="shared" si="116"/>
        <v/>
      </c>
      <c r="Y1425" s="41" t="str">
        <f t="shared" si="117"/>
        <v/>
      </c>
      <c r="Z1425" s="15" t="str">
        <f>IF($C1425="","",IF($G1425="","",RANK($G1425,$G$4:$G$1463)+COUNTIF($G$4:$G1425,$G1425)-1))</f>
        <v/>
      </c>
      <c r="AA1425" s="15" t="str">
        <f>IF($C1425="","",IF($N1425="","",RANK($N1425,$N$4:$N$1463)+COUNTIF($N$4:$N1425,$N1425)-1))</f>
        <v/>
      </c>
      <c r="AB1425" s="41" t="str">
        <f>IF($C1425="","",IF($E1425="","",$E1425&amp;"#"&amp;(COUNTIFS($E$4:$E$1463,$E1425,$X$4:$X$1463,"&gt;"&amp;$X1425)+COUNTIFS($E$4:$E1425,$E1425,$X$4:$X1425,"="&amp;$X1425))))</f>
        <v/>
      </c>
      <c r="AC1425" s="41" t="str">
        <f>IF($C1425="","",$B1425&amp;"@"&amp;(COUNTIFS($B$4:$B$1463,$B1425,$C$4:$C$1463,"&lt;"&amp;$C1425)+COUNTIFS($B$4:$B1425,$B1425,$C$4:$C1425,$C1425)))</f>
        <v/>
      </c>
      <c r="AD1425" s="41" t="str">
        <f t="shared" si="118"/>
        <v/>
      </c>
      <c r="AE1425" s="41"/>
      <c r="AF1425" s="41" t="str">
        <f t="shared" si="119"/>
        <v/>
      </c>
      <c r="AG1425" s="41" t="str">
        <f t="shared" si="120"/>
        <v/>
      </c>
      <c r="AH1425" s="41" t="str">
        <f>IF($C1425="","",$B1425&amp;"|"&amp;(COUNTIFS($B$4:$B$1463,$B1425,$AF$4:$AF$1463,"&gt;"&amp;$AF1425)+COUNTIFS($B$4:$B1425,$B1425,$AF$4:$AF1425,"="&amp;$AF1425)))</f>
        <v/>
      </c>
      <c r="AI1425" s="41" t="str">
        <f>IF($C1425="","",$B1425&amp;"|"&amp;(COUNTIFS($B$4:$B$1463,$B1425,$AG$4:$AG$1463,"&gt;"&amp;$AG1425)+COUNTIFS($B$4:$B1425,$B1425,$AG$4:$AG1425,"="&amp;$AG1425)))</f>
        <v/>
      </c>
    </row>
    <row r="1426" spans="1:35" hidden="1">
      <c r="A1426" s="69"/>
      <c r="B1426" s="69"/>
      <c r="C1426" s="63"/>
      <c r="D1426" s="69"/>
      <c r="E1426" s="68"/>
      <c r="F1426" s="19" t="str">
        <f>IF($C1426="","",IF($E1426="","-",IFERROR(INDEX(SETUP!$B$55:$B$64,MATCH($E1426,SETUP!$A$55:$A$64,0)),"Other")))</f>
        <v/>
      </c>
      <c r="G1426" s="70"/>
      <c r="H1426" s="19" t="str">
        <f>IF($C1426="","",IF($G1426="","-",INDEX(SETUP!$B$26:$B$32,MATCH($G1426,SETUP!$A$26:$A$32,1))))</f>
        <v/>
      </c>
      <c r="I1426" s="70"/>
      <c r="J1426" s="19" t="str">
        <f>IF($C1426="","",IF($I1426="","-",INDEX(SETUP!$B$16:$B$22,MATCH($I1426,SETUP!$A$16:$A$22,1))))</f>
        <v/>
      </c>
      <c r="K1426" s="19" t="str">
        <f t="shared" si="114"/>
        <v/>
      </c>
      <c r="L1426" s="71"/>
      <c r="M1426" s="19" t="str">
        <f>IF($C1426="","",IF($L1426="","-",INDEX(SETUP!$B$36:$B$42,MATCH($L1426,SETUP!$A$36:$A$42,1))))</f>
        <v/>
      </c>
      <c r="N1426" s="21" t="str">
        <f>IF($C1426="","",IF(OR($G1426="",$I1426=""),"",ROUND(100*(SETUP!$B$4*MIN(1,$I1426/SETUP!$B$9)+SETUP!$B$5*MAX(0,MIN(1,($G1426-SETUP!$B$10)/(SETUP!$B$11-SETUP!$B$10)))+SETUP!$B$6*MIN(1,IF($L1426="",0,$L1426)/SETUP!$B$12)),1)))</f>
        <v/>
      </c>
      <c r="O1426" s="19" t="str">
        <f>IF($C1426="","",IF($N1426="","-",INDEX(SETUP!$B$46:$B$51,MATCH($N1426,SETUP!$A$46:$A$51,1))))</f>
        <v/>
      </c>
      <c r="P1426" s="19" t="str">
        <f>IF($C1426="","",IF($I1426="","",RANK($I1426,$I$4:$I$1463)+COUNTIF($I$4:$I1426,$I1426)-1))</f>
        <v/>
      </c>
      <c r="Q1426" s="19" t="str">
        <f>IF($C1426="","",COUNTIFS($B$4:$B$1463,$B1426,$X$4:$X$1463,"&gt;"&amp;$X1426)+COUNTIFS($B$4:$B1426,$B1426,$X$4:$X1426,"="&amp;$X1426))</f>
        <v/>
      </c>
      <c r="R1426" s="75" t="str">
        <f>IF($C1426="","",IF($I1426="","",ROUND(COUNTIF($I$4:$I$1463,"&lt;"&amp;$I1426)/COUNT($I$4:$I$1463),3)))</f>
        <v/>
      </c>
      <c r="S1426" s="19" t="str">
        <f t="shared" si="115"/>
        <v/>
      </c>
      <c r="T1426" s="1" t="str">
        <f>IF($C1426="","",TRIM(IF(COUNTIF($C$4:$C$1463,$C1426)&gt;1,"Dup name; ","")&amp;IF(AND($G1426&lt;&gt;"",$G1426&lt;55000),"Low CR - verify; ","")&amp;IF(AND($L1426&lt;&gt;"",$L1426&gt;15),"Secondary - verify; ","")&amp;IF($E1426="","No class; ","")))</f>
        <v/>
      </c>
      <c r="U1426" s="68"/>
      <c r="V1426" s="68"/>
      <c r="W1426" s="68"/>
      <c r="X1426" s="1" t="str">
        <f t="shared" si="116"/>
        <v/>
      </c>
      <c r="Y1426" s="1" t="str">
        <f t="shared" si="117"/>
        <v/>
      </c>
      <c r="Z1426" s="19" t="str">
        <f>IF($C1426="","",IF($G1426="","",RANK($G1426,$G$4:$G$1463)+COUNTIF($G$4:$G1426,$G1426)-1))</f>
        <v/>
      </c>
      <c r="AA1426" s="19" t="str">
        <f>IF($C1426="","",IF($N1426="","",RANK($N1426,$N$4:$N$1463)+COUNTIF($N$4:$N1426,$N1426)-1))</f>
        <v/>
      </c>
      <c r="AB1426" s="1" t="str">
        <f>IF($C1426="","",IF($E1426="","",$E1426&amp;"#"&amp;(COUNTIFS($E$4:$E$1463,$E1426,$X$4:$X$1463,"&gt;"&amp;$X1426)+COUNTIFS($E$4:$E1426,$E1426,$X$4:$X1426,"="&amp;$X1426))))</f>
        <v/>
      </c>
      <c r="AC1426" s="1" t="str">
        <f>IF($C1426="","",$B1426&amp;"@"&amp;(COUNTIFS($B$4:$B$1463,$B1426,$C$4:$C$1463,"&lt;"&amp;$C1426)+COUNTIFS($B$4:$B1426,$B1426,$C$4:$C1426,$C1426)))</f>
        <v/>
      </c>
      <c r="AD1426" s="1" t="str">
        <f t="shared" si="118"/>
        <v/>
      </c>
      <c r="AE1426" s="1"/>
      <c r="AF1426" s="1" t="str">
        <f t="shared" si="119"/>
        <v/>
      </c>
      <c r="AG1426" s="1" t="str">
        <f t="shared" si="120"/>
        <v/>
      </c>
      <c r="AH1426" s="1" t="str">
        <f>IF($C1426="","",$B1426&amp;"|"&amp;(COUNTIFS($B$4:$B$1463,$B1426,$AF$4:$AF$1463,"&gt;"&amp;$AF1426)+COUNTIFS($B$4:$B1426,$B1426,$AF$4:$AF1426,"="&amp;$AF1426)))</f>
        <v/>
      </c>
      <c r="AI1426" s="1" t="str">
        <f>IF($C1426="","",$B1426&amp;"|"&amp;(COUNTIFS($B$4:$B$1463,$B1426,$AG$4:$AG$1463,"&gt;"&amp;$AG1426)+COUNTIFS($B$4:$B1426,$B1426,$AG$4:$AG1426,"="&amp;$AG1426)))</f>
        <v/>
      </c>
    </row>
    <row r="1427" spans="1:35" hidden="1">
      <c r="A1427" s="69"/>
      <c r="B1427" s="69"/>
      <c r="C1427" s="63"/>
      <c r="D1427" s="69"/>
      <c r="E1427" s="68"/>
      <c r="F1427" s="15" t="str">
        <f>IF($C1427="","",IF($E1427="","-",IFERROR(INDEX(SETUP!$B$55:$B$64,MATCH($E1427,SETUP!$A$55:$A$64,0)),"Other")))</f>
        <v/>
      </c>
      <c r="G1427" s="70"/>
      <c r="H1427" s="15" t="str">
        <f>IF($C1427="","",IF($G1427="","-",INDEX(SETUP!$B$26:$B$32,MATCH($G1427,SETUP!$A$26:$A$32,1))))</f>
        <v/>
      </c>
      <c r="I1427" s="70"/>
      <c r="J1427" s="15" t="str">
        <f>IF($C1427="","",IF($I1427="","-",INDEX(SETUP!$B$16:$B$22,MATCH($I1427,SETUP!$A$16:$A$22,1))))</f>
        <v/>
      </c>
      <c r="K1427" s="15" t="str">
        <f t="shared" si="114"/>
        <v/>
      </c>
      <c r="L1427" s="71"/>
      <c r="M1427" s="15" t="str">
        <f>IF($C1427="","",IF($L1427="","-",INDEX(SETUP!$B$36:$B$42,MATCH($L1427,SETUP!$A$36:$A$42,1))))</f>
        <v/>
      </c>
      <c r="N1427" s="17" t="str">
        <f>IF($C1427="","",IF(OR($G1427="",$I1427=""),"",ROUND(100*(SETUP!$B$4*MIN(1,$I1427/SETUP!$B$9)+SETUP!$B$5*MAX(0,MIN(1,($G1427-SETUP!$B$10)/(SETUP!$B$11-SETUP!$B$10)))+SETUP!$B$6*MIN(1,IF($L1427="",0,$L1427)/SETUP!$B$12)),1)))</f>
        <v/>
      </c>
      <c r="O1427" s="15" t="str">
        <f>IF($C1427="","",IF($N1427="","-",INDEX(SETUP!$B$46:$B$51,MATCH($N1427,SETUP!$A$46:$A$51,1))))</f>
        <v/>
      </c>
      <c r="P1427" s="15" t="str">
        <f>IF($C1427="","",IF($I1427="","",RANK($I1427,$I$4:$I$1463)+COUNTIF($I$4:$I1427,$I1427)-1))</f>
        <v/>
      </c>
      <c r="Q1427" s="15" t="str">
        <f>IF($C1427="","",COUNTIFS($B$4:$B$1463,$B1427,$X$4:$X$1463,"&gt;"&amp;$X1427)+COUNTIFS($B$4:$B1427,$B1427,$X$4:$X1427,"="&amp;$X1427))</f>
        <v/>
      </c>
      <c r="R1427" s="72" t="str">
        <f>IF($C1427="","",IF($I1427="","",ROUND(COUNTIF($I$4:$I$1463,"&lt;"&amp;$I1427)/COUNT($I$4:$I$1463),3)))</f>
        <v/>
      </c>
      <c r="S1427" s="15" t="str">
        <f t="shared" si="115"/>
        <v/>
      </c>
      <c r="T1427" s="41" t="str">
        <f>IF($C1427="","",TRIM(IF(COUNTIF($C$4:$C$1463,$C1427)&gt;1,"Dup name; ","")&amp;IF(AND($G1427&lt;&gt;"",$G1427&lt;55000),"Low CR - verify; ","")&amp;IF(AND($L1427&lt;&gt;"",$L1427&gt;15),"Secondary - verify; ","")&amp;IF($E1427="","No class; ","")))</f>
        <v/>
      </c>
      <c r="U1427" s="68"/>
      <c r="V1427" s="68"/>
      <c r="W1427" s="68"/>
      <c r="X1427" s="41" t="str">
        <f t="shared" si="116"/>
        <v/>
      </c>
      <c r="Y1427" s="41" t="str">
        <f t="shared" si="117"/>
        <v/>
      </c>
      <c r="Z1427" s="15" t="str">
        <f>IF($C1427="","",IF($G1427="","",RANK($G1427,$G$4:$G$1463)+COUNTIF($G$4:$G1427,$G1427)-1))</f>
        <v/>
      </c>
      <c r="AA1427" s="15" t="str">
        <f>IF($C1427="","",IF($N1427="","",RANK($N1427,$N$4:$N$1463)+COUNTIF($N$4:$N1427,$N1427)-1))</f>
        <v/>
      </c>
      <c r="AB1427" s="41" t="str">
        <f>IF($C1427="","",IF($E1427="","",$E1427&amp;"#"&amp;(COUNTIFS($E$4:$E$1463,$E1427,$X$4:$X$1463,"&gt;"&amp;$X1427)+COUNTIFS($E$4:$E1427,$E1427,$X$4:$X1427,"="&amp;$X1427))))</f>
        <v/>
      </c>
      <c r="AC1427" s="41" t="str">
        <f>IF($C1427="","",$B1427&amp;"@"&amp;(COUNTIFS($B$4:$B$1463,$B1427,$C$4:$C$1463,"&lt;"&amp;$C1427)+COUNTIFS($B$4:$B1427,$B1427,$C$4:$C1427,$C1427)))</f>
        <v/>
      </c>
      <c r="AD1427" s="41" t="str">
        <f t="shared" si="118"/>
        <v/>
      </c>
      <c r="AE1427" s="41"/>
      <c r="AF1427" s="41" t="str">
        <f t="shared" si="119"/>
        <v/>
      </c>
      <c r="AG1427" s="41" t="str">
        <f t="shared" si="120"/>
        <v/>
      </c>
      <c r="AH1427" s="41" t="str">
        <f>IF($C1427="","",$B1427&amp;"|"&amp;(COUNTIFS($B$4:$B$1463,$B1427,$AF$4:$AF$1463,"&gt;"&amp;$AF1427)+COUNTIFS($B$4:$B1427,$B1427,$AF$4:$AF1427,"="&amp;$AF1427)))</f>
        <v/>
      </c>
      <c r="AI1427" s="41" t="str">
        <f>IF($C1427="","",$B1427&amp;"|"&amp;(COUNTIFS($B$4:$B$1463,$B1427,$AG$4:$AG$1463,"&gt;"&amp;$AG1427)+COUNTIFS($B$4:$B1427,$B1427,$AG$4:$AG1427,"="&amp;$AG1427)))</f>
        <v/>
      </c>
    </row>
    <row r="1428" spans="1:35" hidden="1">
      <c r="A1428" s="69"/>
      <c r="B1428" s="69"/>
      <c r="C1428" s="63"/>
      <c r="D1428" s="69"/>
      <c r="E1428" s="68"/>
      <c r="F1428" s="19" t="str">
        <f>IF($C1428="","",IF($E1428="","-",IFERROR(INDEX(SETUP!$B$55:$B$64,MATCH($E1428,SETUP!$A$55:$A$64,0)),"Other")))</f>
        <v/>
      </c>
      <c r="G1428" s="70"/>
      <c r="H1428" s="19" t="str">
        <f>IF($C1428="","",IF($G1428="","-",INDEX(SETUP!$B$26:$B$32,MATCH($G1428,SETUP!$A$26:$A$32,1))))</f>
        <v/>
      </c>
      <c r="I1428" s="70"/>
      <c r="J1428" s="19" t="str">
        <f>IF($C1428="","",IF($I1428="","-",INDEX(SETUP!$B$16:$B$22,MATCH($I1428,SETUP!$A$16:$A$22,1))))</f>
        <v/>
      </c>
      <c r="K1428" s="19" t="str">
        <f t="shared" si="114"/>
        <v/>
      </c>
      <c r="L1428" s="71"/>
      <c r="M1428" s="19" t="str">
        <f>IF($C1428="","",IF($L1428="","-",INDEX(SETUP!$B$36:$B$42,MATCH($L1428,SETUP!$A$36:$A$42,1))))</f>
        <v/>
      </c>
      <c r="N1428" s="21" t="str">
        <f>IF($C1428="","",IF(OR($G1428="",$I1428=""),"",ROUND(100*(SETUP!$B$4*MIN(1,$I1428/SETUP!$B$9)+SETUP!$B$5*MAX(0,MIN(1,($G1428-SETUP!$B$10)/(SETUP!$B$11-SETUP!$B$10)))+SETUP!$B$6*MIN(1,IF($L1428="",0,$L1428)/SETUP!$B$12)),1)))</f>
        <v/>
      </c>
      <c r="O1428" s="19" t="str">
        <f>IF($C1428="","",IF($N1428="","-",INDEX(SETUP!$B$46:$B$51,MATCH($N1428,SETUP!$A$46:$A$51,1))))</f>
        <v/>
      </c>
      <c r="P1428" s="19" t="str">
        <f>IF($C1428="","",IF($I1428="","",RANK($I1428,$I$4:$I$1463)+COUNTIF($I$4:$I1428,$I1428)-1))</f>
        <v/>
      </c>
      <c r="Q1428" s="19" t="str">
        <f>IF($C1428="","",COUNTIFS($B$4:$B$1463,$B1428,$X$4:$X$1463,"&gt;"&amp;$X1428)+COUNTIFS($B$4:$B1428,$B1428,$X$4:$X1428,"="&amp;$X1428))</f>
        <v/>
      </c>
      <c r="R1428" s="75" t="str">
        <f>IF($C1428="","",IF($I1428="","",ROUND(COUNTIF($I$4:$I$1463,"&lt;"&amp;$I1428)/COUNT($I$4:$I$1463),3)))</f>
        <v/>
      </c>
      <c r="S1428" s="19" t="str">
        <f t="shared" si="115"/>
        <v/>
      </c>
      <c r="T1428" s="1" t="str">
        <f>IF($C1428="","",TRIM(IF(COUNTIF($C$4:$C$1463,$C1428)&gt;1,"Dup name; ","")&amp;IF(AND($G1428&lt;&gt;"",$G1428&lt;55000),"Low CR - verify; ","")&amp;IF(AND($L1428&lt;&gt;"",$L1428&gt;15),"Secondary - verify; ","")&amp;IF($E1428="","No class; ","")))</f>
        <v/>
      </c>
      <c r="U1428" s="68"/>
      <c r="V1428" s="68"/>
      <c r="W1428" s="68"/>
      <c r="X1428" s="1" t="str">
        <f t="shared" si="116"/>
        <v/>
      </c>
      <c r="Y1428" s="1" t="str">
        <f t="shared" si="117"/>
        <v/>
      </c>
      <c r="Z1428" s="19" t="str">
        <f>IF($C1428="","",IF($G1428="","",RANK($G1428,$G$4:$G$1463)+COUNTIF($G$4:$G1428,$G1428)-1))</f>
        <v/>
      </c>
      <c r="AA1428" s="19" t="str">
        <f>IF($C1428="","",IF($N1428="","",RANK($N1428,$N$4:$N$1463)+COUNTIF($N$4:$N1428,$N1428)-1))</f>
        <v/>
      </c>
      <c r="AB1428" s="1" t="str">
        <f>IF($C1428="","",IF($E1428="","",$E1428&amp;"#"&amp;(COUNTIFS($E$4:$E$1463,$E1428,$X$4:$X$1463,"&gt;"&amp;$X1428)+COUNTIFS($E$4:$E1428,$E1428,$X$4:$X1428,"="&amp;$X1428))))</f>
        <v/>
      </c>
      <c r="AC1428" s="1" t="str">
        <f>IF($C1428="","",$B1428&amp;"@"&amp;(COUNTIFS($B$4:$B$1463,$B1428,$C$4:$C$1463,"&lt;"&amp;$C1428)+COUNTIFS($B$4:$B1428,$B1428,$C$4:$C1428,$C1428)))</f>
        <v/>
      </c>
      <c r="AD1428" s="1" t="str">
        <f t="shared" si="118"/>
        <v/>
      </c>
      <c r="AE1428" s="1"/>
      <c r="AF1428" s="1" t="str">
        <f t="shared" si="119"/>
        <v/>
      </c>
      <c r="AG1428" s="1" t="str">
        <f t="shared" si="120"/>
        <v/>
      </c>
      <c r="AH1428" s="1" t="str">
        <f>IF($C1428="","",$B1428&amp;"|"&amp;(COUNTIFS($B$4:$B$1463,$B1428,$AF$4:$AF$1463,"&gt;"&amp;$AF1428)+COUNTIFS($B$4:$B1428,$B1428,$AF$4:$AF1428,"="&amp;$AF1428)))</f>
        <v/>
      </c>
      <c r="AI1428" s="1" t="str">
        <f>IF($C1428="","",$B1428&amp;"|"&amp;(COUNTIFS($B$4:$B$1463,$B1428,$AG$4:$AG$1463,"&gt;"&amp;$AG1428)+COUNTIFS($B$4:$B1428,$B1428,$AG$4:$AG1428,"="&amp;$AG1428)))</f>
        <v/>
      </c>
    </row>
    <row r="1429" spans="1:35" hidden="1">
      <c r="A1429" s="69"/>
      <c r="B1429" s="69"/>
      <c r="C1429" s="63"/>
      <c r="D1429" s="69"/>
      <c r="E1429" s="68"/>
      <c r="F1429" s="15" t="str">
        <f>IF($C1429="","",IF($E1429="","-",IFERROR(INDEX(SETUP!$B$55:$B$64,MATCH($E1429,SETUP!$A$55:$A$64,0)),"Other")))</f>
        <v/>
      </c>
      <c r="G1429" s="70"/>
      <c r="H1429" s="15" t="str">
        <f>IF($C1429="","",IF($G1429="","-",INDEX(SETUP!$B$26:$B$32,MATCH($G1429,SETUP!$A$26:$A$32,1))))</f>
        <v/>
      </c>
      <c r="I1429" s="70"/>
      <c r="J1429" s="15" t="str">
        <f>IF($C1429="","",IF($I1429="","-",INDEX(SETUP!$B$16:$B$22,MATCH($I1429,SETUP!$A$16:$A$22,1))))</f>
        <v/>
      </c>
      <c r="K1429" s="15" t="str">
        <f t="shared" si="114"/>
        <v/>
      </c>
      <c r="L1429" s="71"/>
      <c r="M1429" s="15" t="str">
        <f>IF($C1429="","",IF($L1429="","-",INDEX(SETUP!$B$36:$B$42,MATCH($L1429,SETUP!$A$36:$A$42,1))))</f>
        <v/>
      </c>
      <c r="N1429" s="17" t="str">
        <f>IF($C1429="","",IF(OR($G1429="",$I1429=""),"",ROUND(100*(SETUP!$B$4*MIN(1,$I1429/SETUP!$B$9)+SETUP!$B$5*MAX(0,MIN(1,($G1429-SETUP!$B$10)/(SETUP!$B$11-SETUP!$B$10)))+SETUP!$B$6*MIN(1,IF($L1429="",0,$L1429)/SETUP!$B$12)),1)))</f>
        <v/>
      </c>
      <c r="O1429" s="15" t="str">
        <f>IF($C1429="","",IF($N1429="","-",INDEX(SETUP!$B$46:$B$51,MATCH($N1429,SETUP!$A$46:$A$51,1))))</f>
        <v/>
      </c>
      <c r="P1429" s="15" t="str">
        <f>IF($C1429="","",IF($I1429="","",RANK($I1429,$I$4:$I$1463)+COUNTIF($I$4:$I1429,$I1429)-1))</f>
        <v/>
      </c>
      <c r="Q1429" s="15" t="str">
        <f>IF($C1429="","",COUNTIFS($B$4:$B$1463,$B1429,$X$4:$X$1463,"&gt;"&amp;$X1429)+COUNTIFS($B$4:$B1429,$B1429,$X$4:$X1429,"="&amp;$X1429))</f>
        <v/>
      </c>
      <c r="R1429" s="72" t="str">
        <f>IF($C1429="","",IF($I1429="","",ROUND(COUNTIF($I$4:$I$1463,"&lt;"&amp;$I1429)/COUNT($I$4:$I$1463),3)))</f>
        <v/>
      </c>
      <c r="S1429" s="15" t="str">
        <f t="shared" si="115"/>
        <v/>
      </c>
      <c r="T1429" s="41" t="str">
        <f>IF($C1429="","",TRIM(IF(COUNTIF($C$4:$C$1463,$C1429)&gt;1,"Dup name; ","")&amp;IF(AND($G1429&lt;&gt;"",$G1429&lt;55000),"Low CR - verify; ","")&amp;IF(AND($L1429&lt;&gt;"",$L1429&gt;15),"Secondary - verify; ","")&amp;IF($E1429="","No class; ","")))</f>
        <v/>
      </c>
      <c r="U1429" s="68"/>
      <c r="V1429" s="68"/>
      <c r="W1429" s="68"/>
      <c r="X1429" s="41" t="str">
        <f t="shared" si="116"/>
        <v/>
      </c>
      <c r="Y1429" s="41" t="str">
        <f t="shared" si="117"/>
        <v/>
      </c>
      <c r="Z1429" s="15" t="str">
        <f>IF($C1429="","",IF($G1429="","",RANK($G1429,$G$4:$G$1463)+COUNTIF($G$4:$G1429,$G1429)-1))</f>
        <v/>
      </c>
      <c r="AA1429" s="15" t="str">
        <f>IF($C1429="","",IF($N1429="","",RANK($N1429,$N$4:$N$1463)+COUNTIF($N$4:$N1429,$N1429)-1))</f>
        <v/>
      </c>
      <c r="AB1429" s="41" t="str">
        <f>IF($C1429="","",IF($E1429="","",$E1429&amp;"#"&amp;(COUNTIFS($E$4:$E$1463,$E1429,$X$4:$X$1463,"&gt;"&amp;$X1429)+COUNTIFS($E$4:$E1429,$E1429,$X$4:$X1429,"="&amp;$X1429))))</f>
        <v/>
      </c>
      <c r="AC1429" s="41" t="str">
        <f>IF($C1429="","",$B1429&amp;"@"&amp;(COUNTIFS($B$4:$B$1463,$B1429,$C$4:$C$1463,"&lt;"&amp;$C1429)+COUNTIFS($B$4:$B1429,$B1429,$C$4:$C1429,$C1429)))</f>
        <v/>
      </c>
      <c r="AD1429" s="41" t="str">
        <f t="shared" si="118"/>
        <v/>
      </c>
      <c r="AE1429" s="41"/>
      <c r="AF1429" s="41" t="str">
        <f t="shared" si="119"/>
        <v/>
      </c>
      <c r="AG1429" s="41" t="str">
        <f t="shared" si="120"/>
        <v/>
      </c>
      <c r="AH1429" s="41" t="str">
        <f>IF($C1429="","",$B1429&amp;"|"&amp;(COUNTIFS($B$4:$B$1463,$B1429,$AF$4:$AF$1463,"&gt;"&amp;$AF1429)+COUNTIFS($B$4:$B1429,$B1429,$AF$4:$AF1429,"="&amp;$AF1429)))</f>
        <v/>
      </c>
      <c r="AI1429" s="41" t="str">
        <f>IF($C1429="","",$B1429&amp;"|"&amp;(COUNTIFS($B$4:$B$1463,$B1429,$AG$4:$AG$1463,"&gt;"&amp;$AG1429)+COUNTIFS($B$4:$B1429,$B1429,$AG$4:$AG1429,"="&amp;$AG1429)))</f>
        <v/>
      </c>
    </row>
    <row r="1430" spans="1:35" hidden="1">
      <c r="A1430" s="69"/>
      <c r="B1430" s="69"/>
      <c r="C1430" s="63"/>
      <c r="D1430" s="69"/>
      <c r="E1430" s="68"/>
      <c r="F1430" s="19" t="str">
        <f>IF($C1430="","",IF($E1430="","-",IFERROR(INDEX(SETUP!$B$55:$B$64,MATCH($E1430,SETUP!$A$55:$A$64,0)),"Other")))</f>
        <v/>
      </c>
      <c r="G1430" s="70"/>
      <c r="H1430" s="19" t="str">
        <f>IF($C1430="","",IF($G1430="","-",INDEX(SETUP!$B$26:$B$32,MATCH($G1430,SETUP!$A$26:$A$32,1))))</f>
        <v/>
      </c>
      <c r="I1430" s="70"/>
      <c r="J1430" s="19" t="str">
        <f>IF($C1430="","",IF($I1430="","-",INDEX(SETUP!$B$16:$B$22,MATCH($I1430,SETUP!$A$16:$A$22,1))))</f>
        <v/>
      </c>
      <c r="K1430" s="19" t="str">
        <f t="shared" si="114"/>
        <v/>
      </c>
      <c r="L1430" s="71"/>
      <c r="M1430" s="19" t="str">
        <f>IF($C1430="","",IF($L1430="","-",INDEX(SETUP!$B$36:$B$42,MATCH($L1430,SETUP!$A$36:$A$42,1))))</f>
        <v/>
      </c>
      <c r="N1430" s="21" t="str">
        <f>IF($C1430="","",IF(OR($G1430="",$I1430=""),"",ROUND(100*(SETUP!$B$4*MIN(1,$I1430/SETUP!$B$9)+SETUP!$B$5*MAX(0,MIN(1,($G1430-SETUP!$B$10)/(SETUP!$B$11-SETUP!$B$10)))+SETUP!$B$6*MIN(1,IF($L1430="",0,$L1430)/SETUP!$B$12)),1)))</f>
        <v/>
      </c>
      <c r="O1430" s="19" t="str">
        <f>IF($C1430="","",IF($N1430="","-",INDEX(SETUP!$B$46:$B$51,MATCH($N1430,SETUP!$A$46:$A$51,1))))</f>
        <v/>
      </c>
      <c r="P1430" s="19" t="str">
        <f>IF($C1430="","",IF($I1430="","",RANK($I1430,$I$4:$I$1463)+COUNTIF($I$4:$I1430,$I1430)-1))</f>
        <v/>
      </c>
      <c r="Q1430" s="19" t="str">
        <f>IF($C1430="","",COUNTIFS($B$4:$B$1463,$B1430,$X$4:$X$1463,"&gt;"&amp;$X1430)+COUNTIFS($B$4:$B1430,$B1430,$X$4:$X1430,"="&amp;$X1430))</f>
        <v/>
      </c>
      <c r="R1430" s="75" t="str">
        <f>IF($C1430="","",IF($I1430="","",ROUND(COUNTIF($I$4:$I$1463,"&lt;"&amp;$I1430)/COUNT($I$4:$I$1463),3)))</f>
        <v/>
      </c>
      <c r="S1430" s="19" t="str">
        <f t="shared" si="115"/>
        <v/>
      </c>
      <c r="T1430" s="1" t="str">
        <f>IF($C1430="","",TRIM(IF(COUNTIF($C$4:$C$1463,$C1430)&gt;1,"Dup name; ","")&amp;IF(AND($G1430&lt;&gt;"",$G1430&lt;55000),"Low CR - verify; ","")&amp;IF(AND($L1430&lt;&gt;"",$L1430&gt;15),"Secondary - verify; ","")&amp;IF($E1430="","No class; ","")))</f>
        <v/>
      </c>
      <c r="U1430" s="68"/>
      <c r="V1430" s="68"/>
      <c r="W1430" s="68"/>
      <c r="X1430" s="1" t="str">
        <f t="shared" si="116"/>
        <v/>
      </c>
      <c r="Y1430" s="1" t="str">
        <f t="shared" si="117"/>
        <v/>
      </c>
      <c r="Z1430" s="19" t="str">
        <f>IF($C1430="","",IF($G1430="","",RANK($G1430,$G$4:$G$1463)+COUNTIF($G$4:$G1430,$G1430)-1))</f>
        <v/>
      </c>
      <c r="AA1430" s="19" t="str">
        <f>IF($C1430="","",IF($N1430="","",RANK($N1430,$N$4:$N$1463)+COUNTIF($N$4:$N1430,$N1430)-1))</f>
        <v/>
      </c>
      <c r="AB1430" s="1" t="str">
        <f>IF($C1430="","",IF($E1430="","",$E1430&amp;"#"&amp;(COUNTIFS($E$4:$E$1463,$E1430,$X$4:$X$1463,"&gt;"&amp;$X1430)+COUNTIFS($E$4:$E1430,$E1430,$X$4:$X1430,"="&amp;$X1430))))</f>
        <v/>
      </c>
      <c r="AC1430" s="1" t="str">
        <f>IF($C1430="","",$B1430&amp;"@"&amp;(COUNTIFS($B$4:$B$1463,$B1430,$C$4:$C$1463,"&lt;"&amp;$C1430)+COUNTIFS($B$4:$B1430,$B1430,$C$4:$C1430,$C1430)))</f>
        <v/>
      </c>
      <c r="AD1430" s="1" t="str">
        <f t="shared" si="118"/>
        <v/>
      </c>
      <c r="AE1430" s="1"/>
      <c r="AF1430" s="1" t="str">
        <f t="shared" si="119"/>
        <v/>
      </c>
      <c r="AG1430" s="1" t="str">
        <f t="shared" si="120"/>
        <v/>
      </c>
      <c r="AH1430" s="1" t="str">
        <f>IF($C1430="","",$B1430&amp;"|"&amp;(COUNTIFS($B$4:$B$1463,$B1430,$AF$4:$AF$1463,"&gt;"&amp;$AF1430)+COUNTIFS($B$4:$B1430,$B1430,$AF$4:$AF1430,"="&amp;$AF1430)))</f>
        <v/>
      </c>
      <c r="AI1430" s="1" t="str">
        <f>IF($C1430="","",$B1430&amp;"|"&amp;(COUNTIFS($B$4:$B$1463,$B1430,$AG$4:$AG$1463,"&gt;"&amp;$AG1430)+COUNTIFS($B$4:$B1430,$B1430,$AG$4:$AG1430,"="&amp;$AG1430)))</f>
        <v/>
      </c>
    </row>
    <row r="1431" spans="1:35" hidden="1">
      <c r="A1431" s="69"/>
      <c r="B1431" s="69"/>
      <c r="C1431" s="63"/>
      <c r="D1431" s="69"/>
      <c r="E1431" s="68"/>
      <c r="F1431" s="15" t="str">
        <f>IF($C1431="","",IF($E1431="","-",IFERROR(INDEX(SETUP!$B$55:$B$64,MATCH($E1431,SETUP!$A$55:$A$64,0)),"Other")))</f>
        <v/>
      </c>
      <c r="G1431" s="70"/>
      <c r="H1431" s="15" t="str">
        <f>IF($C1431="","",IF($G1431="","-",INDEX(SETUP!$B$26:$B$32,MATCH($G1431,SETUP!$A$26:$A$32,1))))</f>
        <v/>
      </c>
      <c r="I1431" s="70"/>
      <c r="J1431" s="15" t="str">
        <f>IF($C1431="","",IF($I1431="","-",INDEX(SETUP!$B$16:$B$22,MATCH($I1431,SETUP!$A$16:$A$22,1))))</f>
        <v/>
      </c>
      <c r="K1431" s="15" t="str">
        <f t="shared" si="114"/>
        <v/>
      </c>
      <c r="L1431" s="71"/>
      <c r="M1431" s="15" t="str">
        <f>IF($C1431="","",IF($L1431="","-",INDEX(SETUP!$B$36:$B$42,MATCH($L1431,SETUP!$A$36:$A$42,1))))</f>
        <v/>
      </c>
      <c r="N1431" s="17" t="str">
        <f>IF($C1431="","",IF(OR($G1431="",$I1431=""),"",ROUND(100*(SETUP!$B$4*MIN(1,$I1431/SETUP!$B$9)+SETUP!$B$5*MAX(0,MIN(1,($G1431-SETUP!$B$10)/(SETUP!$B$11-SETUP!$B$10)))+SETUP!$B$6*MIN(1,IF($L1431="",0,$L1431)/SETUP!$B$12)),1)))</f>
        <v/>
      </c>
      <c r="O1431" s="15" t="str">
        <f>IF($C1431="","",IF($N1431="","-",INDEX(SETUP!$B$46:$B$51,MATCH($N1431,SETUP!$A$46:$A$51,1))))</f>
        <v/>
      </c>
      <c r="P1431" s="15" t="str">
        <f>IF($C1431="","",IF($I1431="","",RANK($I1431,$I$4:$I$1463)+COUNTIF($I$4:$I1431,$I1431)-1))</f>
        <v/>
      </c>
      <c r="Q1431" s="15" t="str">
        <f>IF($C1431="","",COUNTIFS($B$4:$B$1463,$B1431,$X$4:$X$1463,"&gt;"&amp;$X1431)+COUNTIFS($B$4:$B1431,$B1431,$X$4:$X1431,"="&amp;$X1431))</f>
        <v/>
      </c>
      <c r="R1431" s="72" t="str">
        <f>IF($C1431="","",IF($I1431="","",ROUND(COUNTIF($I$4:$I$1463,"&lt;"&amp;$I1431)/COUNT($I$4:$I$1463),3)))</f>
        <v/>
      </c>
      <c r="S1431" s="15" t="str">
        <f t="shared" si="115"/>
        <v/>
      </c>
      <c r="T1431" s="41" t="str">
        <f>IF($C1431="","",TRIM(IF(COUNTIF($C$4:$C$1463,$C1431)&gt;1,"Dup name; ","")&amp;IF(AND($G1431&lt;&gt;"",$G1431&lt;55000),"Low CR - verify; ","")&amp;IF(AND($L1431&lt;&gt;"",$L1431&gt;15),"Secondary - verify; ","")&amp;IF($E1431="","No class; ","")))</f>
        <v/>
      </c>
      <c r="U1431" s="68"/>
      <c r="V1431" s="68"/>
      <c r="W1431" s="68"/>
      <c r="X1431" s="41" t="str">
        <f t="shared" si="116"/>
        <v/>
      </c>
      <c r="Y1431" s="41" t="str">
        <f t="shared" si="117"/>
        <v/>
      </c>
      <c r="Z1431" s="15" t="str">
        <f>IF($C1431="","",IF($G1431="","",RANK($G1431,$G$4:$G$1463)+COUNTIF($G$4:$G1431,$G1431)-1))</f>
        <v/>
      </c>
      <c r="AA1431" s="15" t="str">
        <f>IF($C1431="","",IF($N1431="","",RANK($N1431,$N$4:$N$1463)+COUNTIF($N$4:$N1431,$N1431)-1))</f>
        <v/>
      </c>
      <c r="AB1431" s="41" t="str">
        <f>IF($C1431="","",IF($E1431="","",$E1431&amp;"#"&amp;(COUNTIFS($E$4:$E$1463,$E1431,$X$4:$X$1463,"&gt;"&amp;$X1431)+COUNTIFS($E$4:$E1431,$E1431,$X$4:$X1431,"="&amp;$X1431))))</f>
        <v/>
      </c>
      <c r="AC1431" s="41" t="str">
        <f>IF($C1431="","",$B1431&amp;"@"&amp;(COUNTIFS($B$4:$B$1463,$B1431,$C$4:$C$1463,"&lt;"&amp;$C1431)+COUNTIFS($B$4:$B1431,$B1431,$C$4:$C1431,$C1431)))</f>
        <v/>
      </c>
      <c r="AD1431" s="41" t="str">
        <f t="shared" si="118"/>
        <v/>
      </c>
      <c r="AE1431" s="41"/>
      <c r="AF1431" s="41" t="str">
        <f t="shared" si="119"/>
        <v/>
      </c>
      <c r="AG1431" s="41" t="str">
        <f t="shared" si="120"/>
        <v/>
      </c>
      <c r="AH1431" s="41" t="str">
        <f>IF($C1431="","",$B1431&amp;"|"&amp;(COUNTIFS($B$4:$B$1463,$B1431,$AF$4:$AF$1463,"&gt;"&amp;$AF1431)+COUNTIFS($B$4:$B1431,$B1431,$AF$4:$AF1431,"="&amp;$AF1431)))</f>
        <v/>
      </c>
      <c r="AI1431" s="41" t="str">
        <f>IF($C1431="","",$B1431&amp;"|"&amp;(COUNTIFS($B$4:$B$1463,$B1431,$AG$4:$AG$1463,"&gt;"&amp;$AG1431)+COUNTIFS($B$4:$B1431,$B1431,$AG$4:$AG1431,"="&amp;$AG1431)))</f>
        <v/>
      </c>
    </row>
    <row r="1432" spans="1:35" hidden="1">
      <c r="A1432" s="69"/>
      <c r="B1432" s="69"/>
      <c r="C1432" s="63"/>
      <c r="D1432" s="69"/>
      <c r="E1432" s="68"/>
      <c r="F1432" s="19" t="str">
        <f>IF($C1432="","",IF($E1432="","-",IFERROR(INDEX(SETUP!$B$55:$B$64,MATCH($E1432,SETUP!$A$55:$A$64,0)),"Other")))</f>
        <v/>
      </c>
      <c r="G1432" s="70"/>
      <c r="H1432" s="19" t="str">
        <f>IF($C1432="","",IF($G1432="","-",INDEX(SETUP!$B$26:$B$32,MATCH($G1432,SETUP!$A$26:$A$32,1))))</f>
        <v/>
      </c>
      <c r="I1432" s="70"/>
      <c r="J1432" s="19" t="str">
        <f>IF($C1432="","",IF($I1432="","-",INDEX(SETUP!$B$16:$B$22,MATCH($I1432,SETUP!$A$16:$A$22,1))))</f>
        <v/>
      </c>
      <c r="K1432" s="19" t="str">
        <f t="shared" si="114"/>
        <v/>
      </c>
      <c r="L1432" s="71"/>
      <c r="M1432" s="19" t="str">
        <f>IF($C1432="","",IF($L1432="","-",INDEX(SETUP!$B$36:$B$42,MATCH($L1432,SETUP!$A$36:$A$42,1))))</f>
        <v/>
      </c>
      <c r="N1432" s="21" t="str">
        <f>IF($C1432="","",IF(OR($G1432="",$I1432=""),"",ROUND(100*(SETUP!$B$4*MIN(1,$I1432/SETUP!$B$9)+SETUP!$B$5*MAX(0,MIN(1,($G1432-SETUP!$B$10)/(SETUP!$B$11-SETUP!$B$10)))+SETUP!$B$6*MIN(1,IF($L1432="",0,$L1432)/SETUP!$B$12)),1)))</f>
        <v/>
      </c>
      <c r="O1432" s="19" t="str">
        <f>IF($C1432="","",IF($N1432="","-",INDEX(SETUP!$B$46:$B$51,MATCH($N1432,SETUP!$A$46:$A$51,1))))</f>
        <v/>
      </c>
      <c r="P1432" s="19" t="str">
        <f>IF($C1432="","",IF($I1432="","",RANK($I1432,$I$4:$I$1463)+COUNTIF($I$4:$I1432,$I1432)-1))</f>
        <v/>
      </c>
      <c r="Q1432" s="19" t="str">
        <f>IF($C1432="","",COUNTIFS($B$4:$B$1463,$B1432,$X$4:$X$1463,"&gt;"&amp;$X1432)+COUNTIFS($B$4:$B1432,$B1432,$X$4:$X1432,"="&amp;$X1432))</f>
        <v/>
      </c>
      <c r="R1432" s="75" t="str">
        <f>IF($C1432="","",IF($I1432="","",ROUND(COUNTIF($I$4:$I$1463,"&lt;"&amp;$I1432)/COUNT($I$4:$I$1463),3)))</f>
        <v/>
      </c>
      <c r="S1432" s="19" t="str">
        <f t="shared" si="115"/>
        <v/>
      </c>
      <c r="T1432" s="1" t="str">
        <f>IF($C1432="","",TRIM(IF(COUNTIF($C$4:$C$1463,$C1432)&gt;1,"Dup name; ","")&amp;IF(AND($G1432&lt;&gt;"",$G1432&lt;55000),"Low CR - verify; ","")&amp;IF(AND($L1432&lt;&gt;"",$L1432&gt;15),"Secondary - verify; ","")&amp;IF($E1432="","No class; ","")))</f>
        <v/>
      </c>
      <c r="U1432" s="68"/>
      <c r="V1432" s="68"/>
      <c r="W1432" s="68"/>
      <c r="X1432" s="1" t="str">
        <f t="shared" si="116"/>
        <v/>
      </c>
      <c r="Y1432" s="1" t="str">
        <f t="shared" si="117"/>
        <v/>
      </c>
      <c r="Z1432" s="19" t="str">
        <f>IF($C1432="","",IF($G1432="","",RANK($G1432,$G$4:$G$1463)+COUNTIF($G$4:$G1432,$G1432)-1))</f>
        <v/>
      </c>
      <c r="AA1432" s="19" t="str">
        <f>IF($C1432="","",IF($N1432="","",RANK($N1432,$N$4:$N$1463)+COUNTIF($N$4:$N1432,$N1432)-1))</f>
        <v/>
      </c>
      <c r="AB1432" s="1" t="str">
        <f>IF($C1432="","",IF($E1432="","",$E1432&amp;"#"&amp;(COUNTIFS($E$4:$E$1463,$E1432,$X$4:$X$1463,"&gt;"&amp;$X1432)+COUNTIFS($E$4:$E1432,$E1432,$X$4:$X1432,"="&amp;$X1432))))</f>
        <v/>
      </c>
      <c r="AC1432" s="1" t="str">
        <f>IF($C1432="","",$B1432&amp;"@"&amp;(COUNTIFS($B$4:$B$1463,$B1432,$C$4:$C$1463,"&lt;"&amp;$C1432)+COUNTIFS($B$4:$B1432,$B1432,$C$4:$C1432,$C1432)))</f>
        <v/>
      </c>
      <c r="AD1432" s="1" t="str">
        <f t="shared" si="118"/>
        <v/>
      </c>
      <c r="AE1432" s="1"/>
      <c r="AF1432" s="1" t="str">
        <f t="shared" si="119"/>
        <v/>
      </c>
      <c r="AG1432" s="1" t="str">
        <f t="shared" si="120"/>
        <v/>
      </c>
      <c r="AH1432" s="1" t="str">
        <f>IF($C1432="","",$B1432&amp;"|"&amp;(COUNTIFS($B$4:$B$1463,$B1432,$AF$4:$AF$1463,"&gt;"&amp;$AF1432)+COUNTIFS($B$4:$B1432,$B1432,$AF$4:$AF1432,"="&amp;$AF1432)))</f>
        <v/>
      </c>
      <c r="AI1432" s="1" t="str">
        <f>IF($C1432="","",$B1432&amp;"|"&amp;(COUNTIFS($B$4:$B$1463,$B1432,$AG$4:$AG$1463,"&gt;"&amp;$AG1432)+COUNTIFS($B$4:$B1432,$B1432,$AG$4:$AG1432,"="&amp;$AG1432)))</f>
        <v/>
      </c>
    </row>
    <row r="1433" spans="1:35" hidden="1">
      <c r="A1433" s="69"/>
      <c r="B1433" s="69"/>
      <c r="C1433" s="63"/>
      <c r="D1433" s="69"/>
      <c r="E1433" s="68"/>
      <c r="F1433" s="15" t="str">
        <f>IF($C1433="","",IF($E1433="","-",IFERROR(INDEX(SETUP!$B$55:$B$64,MATCH($E1433,SETUP!$A$55:$A$64,0)),"Other")))</f>
        <v/>
      </c>
      <c r="G1433" s="70"/>
      <c r="H1433" s="15" t="str">
        <f>IF($C1433="","",IF($G1433="","-",INDEX(SETUP!$B$26:$B$32,MATCH($G1433,SETUP!$A$26:$A$32,1))))</f>
        <v/>
      </c>
      <c r="I1433" s="70"/>
      <c r="J1433" s="15" t="str">
        <f>IF($C1433="","",IF($I1433="","-",INDEX(SETUP!$B$16:$B$22,MATCH($I1433,SETUP!$A$16:$A$22,1))))</f>
        <v/>
      </c>
      <c r="K1433" s="15" t="str">
        <f t="shared" si="114"/>
        <v/>
      </c>
      <c r="L1433" s="71"/>
      <c r="M1433" s="15" t="str">
        <f>IF($C1433="","",IF($L1433="","-",INDEX(SETUP!$B$36:$B$42,MATCH($L1433,SETUP!$A$36:$A$42,1))))</f>
        <v/>
      </c>
      <c r="N1433" s="17" t="str">
        <f>IF($C1433="","",IF(OR($G1433="",$I1433=""),"",ROUND(100*(SETUP!$B$4*MIN(1,$I1433/SETUP!$B$9)+SETUP!$B$5*MAX(0,MIN(1,($G1433-SETUP!$B$10)/(SETUP!$B$11-SETUP!$B$10)))+SETUP!$B$6*MIN(1,IF($L1433="",0,$L1433)/SETUP!$B$12)),1)))</f>
        <v/>
      </c>
      <c r="O1433" s="15" t="str">
        <f>IF($C1433="","",IF($N1433="","-",INDEX(SETUP!$B$46:$B$51,MATCH($N1433,SETUP!$A$46:$A$51,1))))</f>
        <v/>
      </c>
      <c r="P1433" s="15" t="str">
        <f>IF($C1433="","",IF($I1433="","",RANK($I1433,$I$4:$I$1463)+COUNTIF($I$4:$I1433,$I1433)-1))</f>
        <v/>
      </c>
      <c r="Q1433" s="15" t="str">
        <f>IF($C1433="","",COUNTIFS($B$4:$B$1463,$B1433,$X$4:$X$1463,"&gt;"&amp;$X1433)+COUNTIFS($B$4:$B1433,$B1433,$X$4:$X1433,"="&amp;$X1433))</f>
        <v/>
      </c>
      <c r="R1433" s="72" t="str">
        <f>IF($C1433="","",IF($I1433="","",ROUND(COUNTIF($I$4:$I$1463,"&lt;"&amp;$I1433)/COUNT($I$4:$I$1463),3)))</f>
        <v/>
      </c>
      <c r="S1433" s="15" t="str">
        <f t="shared" si="115"/>
        <v/>
      </c>
      <c r="T1433" s="41" t="str">
        <f>IF($C1433="","",TRIM(IF(COUNTIF($C$4:$C$1463,$C1433)&gt;1,"Dup name; ","")&amp;IF(AND($G1433&lt;&gt;"",$G1433&lt;55000),"Low CR - verify; ","")&amp;IF(AND($L1433&lt;&gt;"",$L1433&gt;15),"Secondary - verify; ","")&amp;IF($E1433="","No class; ","")))</f>
        <v/>
      </c>
      <c r="U1433" s="68"/>
      <c r="V1433" s="68"/>
      <c r="W1433" s="68"/>
      <c r="X1433" s="41" t="str">
        <f t="shared" si="116"/>
        <v/>
      </c>
      <c r="Y1433" s="41" t="str">
        <f t="shared" si="117"/>
        <v/>
      </c>
      <c r="Z1433" s="15" t="str">
        <f>IF($C1433="","",IF($G1433="","",RANK($G1433,$G$4:$G$1463)+COUNTIF($G$4:$G1433,$G1433)-1))</f>
        <v/>
      </c>
      <c r="AA1433" s="15" t="str">
        <f>IF($C1433="","",IF($N1433="","",RANK($N1433,$N$4:$N$1463)+COUNTIF($N$4:$N1433,$N1433)-1))</f>
        <v/>
      </c>
      <c r="AB1433" s="41" t="str">
        <f>IF($C1433="","",IF($E1433="","",$E1433&amp;"#"&amp;(COUNTIFS($E$4:$E$1463,$E1433,$X$4:$X$1463,"&gt;"&amp;$X1433)+COUNTIFS($E$4:$E1433,$E1433,$X$4:$X1433,"="&amp;$X1433))))</f>
        <v/>
      </c>
      <c r="AC1433" s="41" t="str">
        <f>IF($C1433="","",$B1433&amp;"@"&amp;(COUNTIFS($B$4:$B$1463,$B1433,$C$4:$C$1463,"&lt;"&amp;$C1433)+COUNTIFS($B$4:$B1433,$B1433,$C$4:$C1433,$C1433)))</f>
        <v/>
      </c>
      <c r="AD1433" s="41" t="str">
        <f t="shared" si="118"/>
        <v/>
      </c>
      <c r="AE1433" s="41"/>
      <c r="AF1433" s="41" t="str">
        <f t="shared" si="119"/>
        <v/>
      </c>
      <c r="AG1433" s="41" t="str">
        <f t="shared" si="120"/>
        <v/>
      </c>
      <c r="AH1433" s="41" t="str">
        <f>IF($C1433="","",$B1433&amp;"|"&amp;(COUNTIFS($B$4:$B$1463,$B1433,$AF$4:$AF$1463,"&gt;"&amp;$AF1433)+COUNTIFS($B$4:$B1433,$B1433,$AF$4:$AF1433,"="&amp;$AF1433)))</f>
        <v/>
      </c>
      <c r="AI1433" s="41" t="str">
        <f>IF($C1433="","",$B1433&amp;"|"&amp;(COUNTIFS($B$4:$B$1463,$B1433,$AG$4:$AG$1463,"&gt;"&amp;$AG1433)+COUNTIFS($B$4:$B1433,$B1433,$AG$4:$AG1433,"="&amp;$AG1433)))</f>
        <v/>
      </c>
    </row>
    <row r="1434" spans="1:35" hidden="1">
      <c r="A1434" s="69"/>
      <c r="B1434" s="69"/>
      <c r="C1434" s="63"/>
      <c r="D1434" s="69"/>
      <c r="E1434" s="68"/>
      <c r="F1434" s="19" t="str">
        <f>IF($C1434="","",IF($E1434="","-",IFERROR(INDEX(SETUP!$B$55:$B$64,MATCH($E1434,SETUP!$A$55:$A$64,0)),"Other")))</f>
        <v/>
      </c>
      <c r="G1434" s="70"/>
      <c r="H1434" s="19" t="str">
        <f>IF($C1434="","",IF($G1434="","-",INDEX(SETUP!$B$26:$B$32,MATCH($G1434,SETUP!$A$26:$A$32,1))))</f>
        <v/>
      </c>
      <c r="I1434" s="70"/>
      <c r="J1434" s="19" t="str">
        <f>IF($C1434="","",IF($I1434="","-",INDEX(SETUP!$B$16:$B$22,MATCH($I1434,SETUP!$A$16:$A$22,1))))</f>
        <v/>
      </c>
      <c r="K1434" s="19" t="str">
        <f t="shared" si="114"/>
        <v/>
      </c>
      <c r="L1434" s="71"/>
      <c r="M1434" s="19" t="str">
        <f>IF($C1434="","",IF($L1434="","-",INDEX(SETUP!$B$36:$B$42,MATCH($L1434,SETUP!$A$36:$A$42,1))))</f>
        <v/>
      </c>
      <c r="N1434" s="21" t="str">
        <f>IF($C1434="","",IF(OR($G1434="",$I1434=""),"",ROUND(100*(SETUP!$B$4*MIN(1,$I1434/SETUP!$B$9)+SETUP!$B$5*MAX(0,MIN(1,($G1434-SETUP!$B$10)/(SETUP!$B$11-SETUP!$B$10)))+SETUP!$B$6*MIN(1,IF($L1434="",0,$L1434)/SETUP!$B$12)),1)))</f>
        <v/>
      </c>
      <c r="O1434" s="19" t="str">
        <f>IF($C1434="","",IF($N1434="","-",INDEX(SETUP!$B$46:$B$51,MATCH($N1434,SETUP!$A$46:$A$51,1))))</f>
        <v/>
      </c>
      <c r="P1434" s="19" t="str">
        <f>IF($C1434="","",IF($I1434="","",RANK($I1434,$I$4:$I$1463)+COUNTIF($I$4:$I1434,$I1434)-1))</f>
        <v/>
      </c>
      <c r="Q1434" s="19" t="str">
        <f>IF($C1434="","",COUNTIFS($B$4:$B$1463,$B1434,$X$4:$X$1463,"&gt;"&amp;$X1434)+COUNTIFS($B$4:$B1434,$B1434,$X$4:$X1434,"="&amp;$X1434))</f>
        <v/>
      </c>
      <c r="R1434" s="75" t="str">
        <f>IF($C1434="","",IF($I1434="","",ROUND(COUNTIF($I$4:$I$1463,"&lt;"&amp;$I1434)/COUNT($I$4:$I$1463),3)))</f>
        <v/>
      </c>
      <c r="S1434" s="19" t="str">
        <f t="shared" si="115"/>
        <v/>
      </c>
      <c r="T1434" s="1" t="str">
        <f>IF($C1434="","",TRIM(IF(COUNTIF($C$4:$C$1463,$C1434)&gt;1,"Dup name; ","")&amp;IF(AND($G1434&lt;&gt;"",$G1434&lt;55000),"Low CR - verify; ","")&amp;IF(AND($L1434&lt;&gt;"",$L1434&gt;15),"Secondary - verify; ","")&amp;IF($E1434="","No class; ","")))</f>
        <v/>
      </c>
      <c r="U1434" s="68"/>
      <c r="V1434" s="68"/>
      <c r="W1434" s="68"/>
      <c r="X1434" s="1" t="str">
        <f t="shared" si="116"/>
        <v/>
      </c>
      <c r="Y1434" s="1" t="str">
        <f t="shared" si="117"/>
        <v/>
      </c>
      <c r="Z1434" s="19" t="str">
        <f>IF($C1434="","",IF($G1434="","",RANK($G1434,$G$4:$G$1463)+COUNTIF($G$4:$G1434,$G1434)-1))</f>
        <v/>
      </c>
      <c r="AA1434" s="19" t="str">
        <f>IF($C1434="","",IF($N1434="","",RANK($N1434,$N$4:$N$1463)+COUNTIF($N$4:$N1434,$N1434)-1))</f>
        <v/>
      </c>
      <c r="AB1434" s="1" t="str">
        <f>IF($C1434="","",IF($E1434="","",$E1434&amp;"#"&amp;(COUNTIFS($E$4:$E$1463,$E1434,$X$4:$X$1463,"&gt;"&amp;$X1434)+COUNTIFS($E$4:$E1434,$E1434,$X$4:$X1434,"="&amp;$X1434))))</f>
        <v/>
      </c>
      <c r="AC1434" s="1" t="str">
        <f>IF($C1434="","",$B1434&amp;"@"&amp;(COUNTIFS($B$4:$B$1463,$B1434,$C$4:$C$1463,"&lt;"&amp;$C1434)+COUNTIFS($B$4:$B1434,$B1434,$C$4:$C1434,$C1434)))</f>
        <v/>
      </c>
      <c r="AD1434" s="1" t="str">
        <f t="shared" si="118"/>
        <v/>
      </c>
      <c r="AE1434" s="1"/>
      <c r="AF1434" s="1" t="str">
        <f t="shared" si="119"/>
        <v/>
      </c>
      <c r="AG1434" s="1" t="str">
        <f t="shared" si="120"/>
        <v/>
      </c>
      <c r="AH1434" s="1" t="str">
        <f>IF($C1434="","",$B1434&amp;"|"&amp;(COUNTIFS($B$4:$B$1463,$B1434,$AF$4:$AF$1463,"&gt;"&amp;$AF1434)+COUNTIFS($B$4:$B1434,$B1434,$AF$4:$AF1434,"="&amp;$AF1434)))</f>
        <v/>
      </c>
      <c r="AI1434" s="1" t="str">
        <f>IF($C1434="","",$B1434&amp;"|"&amp;(COUNTIFS($B$4:$B$1463,$B1434,$AG$4:$AG$1463,"&gt;"&amp;$AG1434)+COUNTIFS($B$4:$B1434,$B1434,$AG$4:$AG1434,"="&amp;$AG1434)))</f>
        <v/>
      </c>
    </row>
    <row r="1435" spans="1:35" hidden="1">
      <c r="A1435" s="69"/>
      <c r="B1435" s="69"/>
      <c r="C1435" s="63"/>
      <c r="D1435" s="69"/>
      <c r="E1435" s="68"/>
      <c r="F1435" s="15" t="str">
        <f>IF($C1435="","",IF($E1435="","-",IFERROR(INDEX(SETUP!$B$55:$B$64,MATCH($E1435,SETUP!$A$55:$A$64,0)),"Other")))</f>
        <v/>
      </c>
      <c r="G1435" s="70"/>
      <c r="H1435" s="15" t="str">
        <f>IF($C1435="","",IF($G1435="","-",INDEX(SETUP!$B$26:$B$32,MATCH($G1435,SETUP!$A$26:$A$32,1))))</f>
        <v/>
      </c>
      <c r="I1435" s="70"/>
      <c r="J1435" s="15" t="str">
        <f>IF($C1435="","",IF($I1435="","-",INDEX(SETUP!$B$16:$B$22,MATCH($I1435,SETUP!$A$16:$A$22,1))))</f>
        <v/>
      </c>
      <c r="K1435" s="15" t="str">
        <f t="shared" si="114"/>
        <v/>
      </c>
      <c r="L1435" s="71"/>
      <c r="M1435" s="15" t="str">
        <f>IF($C1435="","",IF($L1435="","-",INDEX(SETUP!$B$36:$B$42,MATCH($L1435,SETUP!$A$36:$A$42,1))))</f>
        <v/>
      </c>
      <c r="N1435" s="17" t="str">
        <f>IF($C1435="","",IF(OR($G1435="",$I1435=""),"",ROUND(100*(SETUP!$B$4*MIN(1,$I1435/SETUP!$B$9)+SETUP!$B$5*MAX(0,MIN(1,($G1435-SETUP!$B$10)/(SETUP!$B$11-SETUP!$B$10)))+SETUP!$B$6*MIN(1,IF($L1435="",0,$L1435)/SETUP!$B$12)),1)))</f>
        <v/>
      </c>
      <c r="O1435" s="15" t="str">
        <f>IF($C1435="","",IF($N1435="","-",INDEX(SETUP!$B$46:$B$51,MATCH($N1435,SETUP!$A$46:$A$51,1))))</f>
        <v/>
      </c>
      <c r="P1435" s="15" t="str">
        <f>IF($C1435="","",IF($I1435="","",RANK($I1435,$I$4:$I$1463)+COUNTIF($I$4:$I1435,$I1435)-1))</f>
        <v/>
      </c>
      <c r="Q1435" s="15" t="str">
        <f>IF($C1435="","",COUNTIFS($B$4:$B$1463,$B1435,$X$4:$X$1463,"&gt;"&amp;$X1435)+COUNTIFS($B$4:$B1435,$B1435,$X$4:$X1435,"="&amp;$X1435))</f>
        <v/>
      </c>
      <c r="R1435" s="72" t="str">
        <f>IF($C1435="","",IF($I1435="","",ROUND(COUNTIF($I$4:$I$1463,"&lt;"&amp;$I1435)/COUNT($I$4:$I$1463),3)))</f>
        <v/>
      </c>
      <c r="S1435" s="15" t="str">
        <f t="shared" si="115"/>
        <v/>
      </c>
      <c r="T1435" s="41" t="str">
        <f>IF($C1435="","",TRIM(IF(COUNTIF($C$4:$C$1463,$C1435)&gt;1,"Dup name; ","")&amp;IF(AND($G1435&lt;&gt;"",$G1435&lt;55000),"Low CR - verify; ","")&amp;IF(AND($L1435&lt;&gt;"",$L1435&gt;15),"Secondary - verify; ","")&amp;IF($E1435="","No class; ","")))</f>
        <v/>
      </c>
      <c r="U1435" s="68"/>
      <c r="V1435" s="68"/>
      <c r="W1435" s="68"/>
      <c r="X1435" s="41" t="str">
        <f t="shared" si="116"/>
        <v/>
      </c>
      <c r="Y1435" s="41" t="str">
        <f t="shared" si="117"/>
        <v/>
      </c>
      <c r="Z1435" s="15" t="str">
        <f>IF($C1435="","",IF($G1435="","",RANK($G1435,$G$4:$G$1463)+COUNTIF($G$4:$G1435,$G1435)-1))</f>
        <v/>
      </c>
      <c r="AA1435" s="15" t="str">
        <f>IF($C1435="","",IF($N1435="","",RANK($N1435,$N$4:$N$1463)+COUNTIF($N$4:$N1435,$N1435)-1))</f>
        <v/>
      </c>
      <c r="AB1435" s="41" t="str">
        <f>IF($C1435="","",IF($E1435="","",$E1435&amp;"#"&amp;(COUNTIFS($E$4:$E$1463,$E1435,$X$4:$X$1463,"&gt;"&amp;$X1435)+COUNTIFS($E$4:$E1435,$E1435,$X$4:$X1435,"="&amp;$X1435))))</f>
        <v/>
      </c>
      <c r="AC1435" s="41" t="str">
        <f>IF($C1435="","",$B1435&amp;"@"&amp;(COUNTIFS($B$4:$B$1463,$B1435,$C$4:$C$1463,"&lt;"&amp;$C1435)+COUNTIFS($B$4:$B1435,$B1435,$C$4:$C1435,$C1435)))</f>
        <v/>
      </c>
      <c r="AD1435" s="41" t="str">
        <f t="shared" si="118"/>
        <v/>
      </c>
      <c r="AE1435" s="41"/>
      <c r="AF1435" s="41" t="str">
        <f t="shared" si="119"/>
        <v/>
      </c>
      <c r="AG1435" s="41" t="str">
        <f t="shared" si="120"/>
        <v/>
      </c>
      <c r="AH1435" s="41" t="str">
        <f>IF($C1435="","",$B1435&amp;"|"&amp;(COUNTIFS($B$4:$B$1463,$B1435,$AF$4:$AF$1463,"&gt;"&amp;$AF1435)+COUNTIFS($B$4:$B1435,$B1435,$AF$4:$AF1435,"="&amp;$AF1435)))</f>
        <v/>
      </c>
      <c r="AI1435" s="41" t="str">
        <f>IF($C1435="","",$B1435&amp;"|"&amp;(COUNTIFS($B$4:$B$1463,$B1435,$AG$4:$AG$1463,"&gt;"&amp;$AG1435)+COUNTIFS($B$4:$B1435,$B1435,$AG$4:$AG1435,"="&amp;$AG1435)))</f>
        <v/>
      </c>
    </row>
    <row r="1436" spans="1:35" hidden="1">
      <c r="A1436" s="69"/>
      <c r="B1436" s="69"/>
      <c r="C1436" s="63"/>
      <c r="D1436" s="69"/>
      <c r="E1436" s="68"/>
      <c r="F1436" s="19" t="str">
        <f>IF($C1436="","",IF($E1436="","-",IFERROR(INDEX(SETUP!$B$55:$B$64,MATCH($E1436,SETUP!$A$55:$A$64,0)),"Other")))</f>
        <v/>
      </c>
      <c r="G1436" s="70"/>
      <c r="H1436" s="19" t="str">
        <f>IF($C1436="","",IF($G1436="","-",INDEX(SETUP!$B$26:$B$32,MATCH($G1436,SETUP!$A$26:$A$32,1))))</f>
        <v/>
      </c>
      <c r="I1436" s="70"/>
      <c r="J1436" s="19" t="str">
        <f>IF($C1436="","",IF($I1436="","-",INDEX(SETUP!$B$16:$B$22,MATCH($I1436,SETUP!$A$16:$A$22,1))))</f>
        <v/>
      </c>
      <c r="K1436" s="19" t="str">
        <f t="shared" si="114"/>
        <v/>
      </c>
      <c r="L1436" s="71"/>
      <c r="M1436" s="19" t="str">
        <f>IF($C1436="","",IF($L1436="","-",INDEX(SETUP!$B$36:$B$42,MATCH($L1436,SETUP!$A$36:$A$42,1))))</f>
        <v/>
      </c>
      <c r="N1436" s="21" t="str">
        <f>IF($C1436="","",IF(OR($G1436="",$I1436=""),"",ROUND(100*(SETUP!$B$4*MIN(1,$I1436/SETUP!$B$9)+SETUP!$B$5*MAX(0,MIN(1,($G1436-SETUP!$B$10)/(SETUP!$B$11-SETUP!$B$10)))+SETUP!$B$6*MIN(1,IF($L1436="",0,$L1436)/SETUP!$B$12)),1)))</f>
        <v/>
      </c>
      <c r="O1436" s="19" t="str">
        <f>IF($C1436="","",IF($N1436="","-",INDEX(SETUP!$B$46:$B$51,MATCH($N1436,SETUP!$A$46:$A$51,1))))</f>
        <v/>
      </c>
      <c r="P1436" s="19" t="str">
        <f>IF($C1436="","",IF($I1436="","",RANK($I1436,$I$4:$I$1463)+COUNTIF($I$4:$I1436,$I1436)-1))</f>
        <v/>
      </c>
      <c r="Q1436" s="19" t="str">
        <f>IF($C1436="","",COUNTIFS($B$4:$B$1463,$B1436,$X$4:$X$1463,"&gt;"&amp;$X1436)+COUNTIFS($B$4:$B1436,$B1436,$X$4:$X1436,"="&amp;$X1436))</f>
        <v/>
      </c>
      <c r="R1436" s="75" t="str">
        <f>IF($C1436="","",IF($I1436="","",ROUND(COUNTIF($I$4:$I$1463,"&lt;"&amp;$I1436)/COUNT($I$4:$I$1463),3)))</f>
        <v/>
      </c>
      <c r="S1436" s="19" t="str">
        <f t="shared" si="115"/>
        <v/>
      </c>
      <c r="T1436" s="1" t="str">
        <f>IF($C1436="","",TRIM(IF(COUNTIF($C$4:$C$1463,$C1436)&gt;1,"Dup name; ","")&amp;IF(AND($G1436&lt;&gt;"",$G1436&lt;55000),"Low CR - verify; ","")&amp;IF(AND($L1436&lt;&gt;"",$L1436&gt;15),"Secondary - verify; ","")&amp;IF($E1436="","No class; ","")))</f>
        <v/>
      </c>
      <c r="U1436" s="68"/>
      <c r="V1436" s="68"/>
      <c r="W1436" s="68"/>
      <c r="X1436" s="1" t="str">
        <f t="shared" si="116"/>
        <v/>
      </c>
      <c r="Y1436" s="1" t="str">
        <f t="shared" si="117"/>
        <v/>
      </c>
      <c r="Z1436" s="19" t="str">
        <f>IF($C1436="","",IF($G1436="","",RANK($G1436,$G$4:$G$1463)+COUNTIF($G$4:$G1436,$G1436)-1))</f>
        <v/>
      </c>
      <c r="AA1436" s="19" t="str">
        <f>IF($C1436="","",IF($N1436="","",RANK($N1436,$N$4:$N$1463)+COUNTIF($N$4:$N1436,$N1436)-1))</f>
        <v/>
      </c>
      <c r="AB1436" s="1" t="str">
        <f>IF($C1436="","",IF($E1436="","",$E1436&amp;"#"&amp;(COUNTIFS($E$4:$E$1463,$E1436,$X$4:$X$1463,"&gt;"&amp;$X1436)+COUNTIFS($E$4:$E1436,$E1436,$X$4:$X1436,"="&amp;$X1436))))</f>
        <v/>
      </c>
      <c r="AC1436" s="1" t="str">
        <f>IF($C1436="","",$B1436&amp;"@"&amp;(COUNTIFS($B$4:$B$1463,$B1436,$C$4:$C$1463,"&lt;"&amp;$C1436)+COUNTIFS($B$4:$B1436,$B1436,$C$4:$C1436,$C1436)))</f>
        <v/>
      </c>
      <c r="AD1436" s="1" t="str">
        <f t="shared" si="118"/>
        <v/>
      </c>
      <c r="AE1436" s="1"/>
      <c r="AF1436" s="1" t="str">
        <f t="shared" si="119"/>
        <v/>
      </c>
      <c r="AG1436" s="1" t="str">
        <f t="shared" si="120"/>
        <v/>
      </c>
      <c r="AH1436" s="1" t="str">
        <f>IF($C1436="","",$B1436&amp;"|"&amp;(COUNTIFS($B$4:$B$1463,$B1436,$AF$4:$AF$1463,"&gt;"&amp;$AF1436)+COUNTIFS($B$4:$B1436,$B1436,$AF$4:$AF1436,"="&amp;$AF1436)))</f>
        <v/>
      </c>
      <c r="AI1436" s="1" t="str">
        <f>IF($C1436="","",$B1436&amp;"|"&amp;(COUNTIFS($B$4:$B$1463,$B1436,$AG$4:$AG$1463,"&gt;"&amp;$AG1436)+COUNTIFS($B$4:$B1436,$B1436,$AG$4:$AG1436,"="&amp;$AG1436)))</f>
        <v/>
      </c>
    </row>
    <row r="1437" spans="1:35" hidden="1">
      <c r="A1437" s="69"/>
      <c r="B1437" s="69"/>
      <c r="C1437" s="63"/>
      <c r="D1437" s="69"/>
      <c r="E1437" s="68"/>
      <c r="F1437" s="15" t="str">
        <f>IF($C1437="","",IF($E1437="","-",IFERROR(INDEX(SETUP!$B$55:$B$64,MATCH($E1437,SETUP!$A$55:$A$64,0)),"Other")))</f>
        <v/>
      </c>
      <c r="G1437" s="70"/>
      <c r="H1437" s="15" t="str">
        <f>IF($C1437="","",IF($G1437="","-",INDEX(SETUP!$B$26:$B$32,MATCH($G1437,SETUP!$A$26:$A$32,1))))</f>
        <v/>
      </c>
      <c r="I1437" s="70"/>
      <c r="J1437" s="15" t="str">
        <f>IF($C1437="","",IF($I1437="","-",INDEX(SETUP!$B$16:$B$22,MATCH($I1437,SETUP!$A$16:$A$22,1))))</f>
        <v/>
      </c>
      <c r="K1437" s="15" t="str">
        <f t="shared" si="114"/>
        <v/>
      </c>
      <c r="L1437" s="71"/>
      <c r="M1437" s="15" t="str">
        <f>IF($C1437="","",IF($L1437="","-",INDEX(SETUP!$B$36:$B$42,MATCH($L1437,SETUP!$A$36:$A$42,1))))</f>
        <v/>
      </c>
      <c r="N1437" s="17" t="str">
        <f>IF($C1437="","",IF(OR($G1437="",$I1437=""),"",ROUND(100*(SETUP!$B$4*MIN(1,$I1437/SETUP!$B$9)+SETUP!$B$5*MAX(0,MIN(1,($G1437-SETUP!$B$10)/(SETUP!$B$11-SETUP!$B$10)))+SETUP!$B$6*MIN(1,IF($L1437="",0,$L1437)/SETUP!$B$12)),1)))</f>
        <v/>
      </c>
      <c r="O1437" s="15" t="str">
        <f>IF($C1437="","",IF($N1437="","-",INDEX(SETUP!$B$46:$B$51,MATCH($N1437,SETUP!$A$46:$A$51,1))))</f>
        <v/>
      </c>
      <c r="P1437" s="15" t="str">
        <f>IF($C1437="","",IF($I1437="","",RANK($I1437,$I$4:$I$1463)+COUNTIF($I$4:$I1437,$I1437)-1))</f>
        <v/>
      </c>
      <c r="Q1437" s="15" t="str">
        <f>IF($C1437="","",COUNTIFS($B$4:$B$1463,$B1437,$X$4:$X$1463,"&gt;"&amp;$X1437)+COUNTIFS($B$4:$B1437,$B1437,$X$4:$X1437,"="&amp;$X1437))</f>
        <v/>
      </c>
      <c r="R1437" s="72" t="str">
        <f>IF($C1437="","",IF($I1437="","",ROUND(COUNTIF($I$4:$I$1463,"&lt;"&amp;$I1437)/COUNT($I$4:$I$1463),3)))</f>
        <v/>
      </c>
      <c r="S1437" s="15" t="str">
        <f t="shared" si="115"/>
        <v/>
      </c>
      <c r="T1437" s="41" t="str">
        <f>IF($C1437="","",TRIM(IF(COUNTIF($C$4:$C$1463,$C1437)&gt;1,"Dup name; ","")&amp;IF(AND($G1437&lt;&gt;"",$G1437&lt;55000),"Low CR - verify; ","")&amp;IF(AND($L1437&lt;&gt;"",$L1437&gt;15),"Secondary - verify; ","")&amp;IF($E1437="","No class; ","")))</f>
        <v/>
      </c>
      <c r="U1437" s="68"/>
      <c r="V1437" s="68"/>
      <c r="W1437" s="68"/>
      <c r="X1437" s="41" t="str">
        <f t="shared" si="116"/>
        <v/>
      </c>
      <c r="Y1437" s="41" t="str">
        <f t="shared" si="117"/>
        <v/>
      </c>
      <c r="Z1437" s="15" t="str">
        <f>IF($C1437="","",IF($G1437="","",RANK($G1437,$G$4:$G$1463)+COUNTIF($G$4:$G1437,$G1437)-1))</f>
        <v/>
      </c>
      <c r="AA1437" s="15" t="str">
        <f>IF($C1437="","",IF($N1437="","",RANK($N1437,$N$4:$N$1463)+COUNTIF($N$4:$N1437,$N1437)-1))</f>
        <v/>
      </c>
      <c r="AB1437" s="41" t="str">
        <f>IF($C1437="","",IF($E1437="","",$E1437&amp;"#"&amp;(COUNTIFS($E$4:$E$1463,$E1437,$X$4:$X$1463,"&gt;"&amp;$X1437)+COUNTIFS($E$4:$E1437,$E1437,$X$4:$X1437,"="&amp;$X1437))))</f>
        <v/>
      </c>
      <c r="AC1437" s="41" t="str">
        <f>IF($C1437="","",$B1437&amp;"@"&amp;(COUNTIFS($B$4:$B$1463,$B1437,$C$4:$C$1463,"&lt;"&amp;$C1437)+COUNTIFS($B$4:$B1437,$B1437,$C$4:$C1437,$C1437)))</f>
        <v/>
      </c>
      <c r="AD1437" s="41" t="str">
        <f t="shared" si="118"/>
        <v/>
      </c>
      <c r="AE1437" s="41"/>
      <c r="AF1437" s="41" t="str">
        <f t="shared" si="119"/>
        <v/>
      </c>
      <c r="AG1437" s="41" t="str">
        <f t="shared" si="120"/>
        <v/>
      </c>
      <c r="AH1437" s="41" t="str">
        <f>IF($C1437="","",$B1437&amp;"|"&amp;(COUNTIFS($B$4:$B$1463,$B1437,$AF$4:$AF$1463,"&gt;"&amp;$AF1437)+COUNTIFS($B$4:$B1437,$B1437,$AF$4:$AF1437,"="&amp;$AF1437)))</f>
        <v/>
      </c>
      <c r="AI1437" s="41" t="str">
        <f>IF($C1437="","",$B1437&amp;"|"&amp;(COUNTIFS($B$4:$B$1463,$B1437,$AG$4:$AG$1463,"&gt;"&amp;$AG1437)+COUNTIFS($B$4:$B1437,$B1437,$AG$4:$AG1437,"="&amp;$AG1437)))</f>
        <v/>
      </c>
    </row>
    <row r="1438" spans="1:35" hidden="1">
      <c r="A1438" s="69"/>
      <c r="B1438" s="69"/>
      <c r="C1438" s="63"/>
      <c r="D1438" s="69"/>
      <c r="E1438" s="68"/>
      <c r="F1438" s="19" t="str">
        <f>IF($C1438="","",IF($E1438="","-",IFERROR(INDEX(SETUP!$B$55:$B$64,MATCH($E1438,SETUP!$A$55:$A$64,0)),"Other")))</f>
        <v/>
      </c>
      <c r="G1438" s="70"/>
      <c r="H1438" s="19" t="str">
        <f>IF($C1438="","",IF($G1438="","-",INDEX(SETUP!$B$26:$B$32,MATCH($G1438,SETUP!$A$26:$A$32,1))))</f>
        <v/>
      </c>
      <c r="I1438" s="70"/>
      <c r="J1438" s="19" t="str">
        <f>IF($C1438="","",IF($I1438="","-",INDEX(SETUP!$B$16:$B$22,MATCH($I1438,SETUP!$A$16:$A$22,1))))</f>
        <v/>
      </c>
      <c r="K1438" s="19" t="str">
        <f t="shared" si="114"/>
        <v/>
      </c>
      <c r="L1438" s="71"/>
      <c r="M1438" s="19" t="str">
        <f>IF($C1438="","",IF($L1438="","-",INDEX(SETUP!$B$36:$B$42,MATCH($L1438,SETUP!$A$36:$A$42,1))))</f>
        <v/>
      </c>
      <c r="N1438" s="21" t="str">
        <f>IF($C1438="","",IF(OR($G1438="",$I1438=""),"",ROUND(100*(SETUP!$B$4*MIN(1,$I1438/SETUP!$B$9)+SETUP!$B$5*MAX(0,MIN(1,($G1438-SETUP!$B$10)/(SETUP!$B$11-SETUP!$B$10)))+SETUP!$B$6*MIN(1,IF($L1438="",0,$L1438)/SETUP!$B$12)),1)))</f>
        <v/>
      </c>
      <c r="O1438" s="19" t="str">
        <f>IF($C1438="","",IF($N1438="","-",INDEX(SETUP!$B$46:$B$51,MATCH($N1438,SETUP!$A$46:$A$51,1))))</f>
        <v/>
      </c>
      <c r="P1438" s="19" t="str">
        <f>IF($C1438="","",IF($I1438="","",RANK($I1438,$I$4:$I$1463)+COUNTIF($I$4:$I1438,$I1438)-1))</f>
        <v/>
      </c>
      <c r="Q1438" s="19" t="str">
        <f>IF($C1438="","",COUNTIFS($B$4:$B$1463,$B1438,$X$4:$X$1463,"&gt;"&amp;$X1438)+COUNTIFS($B$4:$B1438,$B1438,$X$4:$X1438,"="&amp;$X1438))</f>
        <v/>
      </c>
      <c r="R1438" s="75" t="str">
        <f>IF($C1438="","",IF($I1438="","",ROUND(COUNTIF($I$4:$I$1463,"&lt;"&amp;$I1438)/COUNT($I$4:$I$1463),3)))</f>
        <v/>
      </c>
      <c r="S1438" s="19" t="str">
        <f t="shared" si="115"/>
        <v/>
      </c>
      <c r="T1438" s="1" t="str">
        <f>IF($C1438="","",TRIM(IF(COUNTIF($C$4:$C$1463,$C1438)&gt;1,"Dup name; ","")&amp;IF(AND($G1438&lt;&gt;"",$G1438&lt;55000),"Low CR - verify; ","")&amp;IF(AND($L1438&lt;&gt;"",$L1438&gt;15),"Secondary - verify; ","")&amp;IF($E1438="","No class; ","")))</f>
        <v/>
      </c>
      <c r="U1438" s="68"/>
      <c r="V1438" s="68"/>
      <c r="W1438" s="68"/>
      <c r="X1438" s="1" t="str">
        <f t="shared" si="116"/>
        <v/>
      </c>
      <c r="Y1438" s="1" t="str">
        <f t="shared" si="117"/>
        <v/>
      </c>
      <c r="Z1438" s="19" t="str">
        <f>IF($C1438="","",IF($G1438="","",RANK($G1438,$G$4:$G$1463)+COUNTIF($G$4:$G1438,$G1438)-1))</f>
        <v/>
      </c>
      <c r="AA1438" s="19" t="str">
        <f>IF($C1438="","",IF($N1438="","",RANK($N1438,$N$4:$N$1463)+COUNTIF($N$4:$N1438,$N1438)-1))</f>
        <v/>
      </c>
      <c r="AB1438" s="1" t="str">
        <f>IF($C1438="","",IF($E1438="","",$E1438&amp;"#"&amp;(COUNTIFS($E$4:$E$1463,$E1438,$X$4:$X$1463,"&gt;"&amp;$X1438)+COUNTIFS($E$4:$E1438,$E1438,$X$4:$X1438,"="&amp;$X1438))))</f>
        <v/>
      </c>
      <c r="AC1438" s="1" t="str">
        <f>IF($C1438="","",$B1438&amp;"@"&amp;(COUNTIFS($B$4:$B$1463,$B1438,$C$4:$C$1463,"&lt;"&amp;$C1438)+COUNTIFS($B$4:$B1438,$B1438,$C$4:$C1438,$C1438)))</f>
        <v/>
      </c>
      <c r="AD1438" s="1" t="str">
        <f t="shared" si="118"/>
        <v/>
      </c>
      <c r="AE1438" s="1"/>
      <c r="AF1438" s="1" t="str">
        <f t="shared" si="119"/>
        <v/>
      </c>
      <c r="AG1438" s="1" t="str">
        <f t="shared" si="120"/>
        <v/>
      </c>
      <c r="AH1438" s="1" t="str">
        <f>IF($C1438="","",$B1438&amp;"|"&amp;(COUNTIFS($B$4:$B$1463,$B1438,$AF$4:$AF$1463,"&gt;"&amp;$AF1438)+COUNTIFS($B$4:$B1438,$B1438,$AF$4:$AF1438,"="&amp;$AF1438)))</f>
        <v/>
      </c>
      <c r="AI1438" s="1" t="str">
        <f>IF($C1438="","",$B1438&amp;"|"&amp;(COUNTIFS($B$4:$B$1463,$B1438,$AG$4:$AG$1463,"&gt;"&amp;$AG1438)+COUNTIFS($B$4:$B1438,$B1438,$AG$4:$AG1438,"="&amp;$AG1438)))</f>
        <v/>
      </c>
    </row>
    <row r="1439" spans="1:35" hidden="1">
      <c r="A1439" s="69"/>
      <c r="B1439" s="69"/>
      <c r="C1439" s="63"/>
      <c r="D1439" s="69"/>
      <c r="E1439" s="68"/>
      <c r="F1439" s="15" t="str">
        <f>IF($C1439="","",IF($E1439="","-",IFERROR(INDEX(SETUP!$B$55:$B$64,MATCH($E1439,SETUP!$A$55:$A$64,0)),"Other")))</f>
        <v/>
      </c>
      <c r="G1439" s="70"/>
      <c r="H1439" s="15" t="str">
        <f>IF($C1439="","",IF($G1439="","-",INDEX(SETUP!$B$26:$B$32,MATCH($G1439,SETUP!$A$26:$A$32,1))))</f>
        <v/>
      </c>
      <c r="I1439" s="70"/>
      <c r="J1439" s="15" t="str">
        <f>IF($C1439="","",IF($I1439="","-",INDEX(SETUP!$B$16:$B$22,MATCH($I1439,SETUP!$A$16:$A$22,1))))</f>
        <v/>
      </c>
      <c r="K1439" s="15" t="str">
        <f t="shared" si="114"/>
        <v/>
      </c>
      <c r="L1439" s="71"/>
      <c r="M1439" s="15" t="str">
        <f>IF($C1439="","",IF($L1439="","-",INDEX(SETUP!$B$36:$B$42,MATCH($L1439,SETUP!$A$36:$A$42,1))))</f>
        <v/>
      </c>
      <c r="N1439" s="17" t="str">
        <f>IF($C1439="","",IF(OR($G1439="",$I1439=""),"",ROUND(100*(SETUP!$B$4*MIN(1,$I1439/SETUP!$B$9)+SETUP!$B$5*MAX(0,MIN(1,($G1439-SETUP!$B$10)/(SETUP!$B$11-SETUP!$B$10)))+SETUP!$B$6*MIN(1,IF($L1439="",0,$L1439)/SETUP!$B$12)),1)))</f>
        <v/>
      </c>
      <c r="O1439" s="15" t="str">
        <f>IF($C1439="","",IF($N1439="","-",INDEX(SETUP!$B$46:$B$51,MATCH($N1439,SETUP!$A$46:$A$51,1))))</f>
        <v/>
      </c>
      <c r="P1439" s="15" t="str">
        <f>IF($C1439="","",IF($I1439="","",RANK($I1439,$I$4:$I$1463)+COUNTIF($I$4:$I1439,$I1439)-1))</f>
        <v/>
      </c>
      <c r="Q1439" s="15" t="str">
        <f>IF($C1439="","",COUNTIFS($B$4:$B$1463,$B1439,$X$4:$X$1463,"&gt;"&amp;$X1439)+COUNTIFS($B$4:$B1439,$B1439,$X$4:$X1439,"="&amp;$X1439))</f>
        <v/>
      </c>
      <c r="R1439" s="72" t="str">
        <f>IF($C1439="","",IF($I1439="","",ROUND(COUNTIF($I$4:$I$1463,"&lt;"&amp;$I1439)/COUNT($I$4:$I$1463),3)))</f>
        <v/>
      </c>
      <c r="S1439" s="15" t="str">
        <f t="shared" si="115"/>
        <v/>
      </c>
      <c r="T1439" s="41" t="str">
        <f>IF($C1439="","",TRIM(IF(COUNTIF($C$4:$C$1463,$C1439)&gt;1,"Dup name; ","")&amp;IF(AND($G1439&lt;&gt;"",$G1439&lt;55000),"Low CR - verify; ","")&amp;IF(AND($L1439&lt;&gt;"",$L1439&gt;15),"Secondary - verify; ","")&amp;IF($E1439="","No class; ","")))</f>
        <v/>
      </c>
      <c r="U1439" s="68"/>
      <c r="V1439" s="68"/>
      <c r="W1439" s="68"/>
      <c r="X1439" s="41" t="str">
        <f t="shared" si="116"/>
        <v/>
      </c>
      <c r="Y1439" s="41" t="str">
        <f t="shared" si="117"/>
        <v/>
      </c>
      <c r="Z1439" s="15" t="str">
        <f>IF($C1439="","",IF($G1439="","",RANK($G1439,$G$4:$G$1463)+COUNTIF($G$4:$G1439,$G1439)-1))</f>
        <v/>
      </c>
      <c r="AA1439" s="15" t="str">
        <f>IF($C1439="","",IF($N1439="","",RANK($N1439,$N$4:$N$1463)+COUNTIF($N$4:$N1439,$N1439)-1))</f>
        <v/>
      </c>
      <c r="AB1439" s="41" t="str">
        <f>IF($C1439="","",IF($E1439="","",$E1439&amp;"#"&amp;(COUNTIFS($E$4:$E$1463,$E1439,$X$4:$X$1463,"&gt;"&amp;$X1439)+COUNTIFS($E$4:$E1439,$E1439,$X$4:$X1439,"="&amp;$X1439))))</f>
        <v/>
      </c>
      <c r="AC1439" s="41" t="str">
        <f>IF($C1439="","",$B1439&amp;"@"&amp;(COUNTIFS($B$4:$B$1463,$B1439,$C$4:$C$1463,"&lt;"&amp;$C1439)+COUNTIFS($B$4:$B1439,$B1439,$C$4:$C1439,$C1439)))</f>
        <v/>
      </c>
      <c r="AD1439" s="41" t="str">
        <f t="shared" si="118"/>
        <v/>
      </c>
      <c r="AE1439" s="41"/>
      <c r="AF1439" s="41" t="str">
        <f t="shared" si="119"/>
        <v/>
      </c>
      <c r="AG1439" s="41" t="str">
        <f t="shared" si="120"/>
        <v/>
      </c>
      <c r="AH1439" s="41" t="str">
        <f>IF($C1439="","",$B1439&amp;"|"&amp;(COUNTIFS($B$4:$B$1463,$B1439,$AF$4:$AF$1463,"&gt;"&amp;$AF1439)+COUNTIFS($B$4:$B1439,$B1439,$AF$4:$AF1439,"="&amp;$AF1439)))</f>
        <v/>
      </c>
      <c r="AI1439" s="41" t="str">
        <f>IF($C1439="","",$B1439&amp;"|"&amp;(COUNTIFS($B$4:$B$1463,$B1439,$AG$4:$AG$1463,"&gt;"&amp;$AG1439)+COUNTIFS($B$4:$B1439,$B1439,$AG$4:$AG1439,"="&amp;$AG1439)))</f>
        <v/>
      </c>
    </row>
    <row r="1440" spans="1:35" hidden="1">
      <c r="A1440" s="69"/>
      <c r="B1440" s="69"/>
      <c r="C1440" s="63"/>
      <c r="D1440" s="69"/>
      <c r="E1440" s="68"/>
      <c r="F1440" s="19" t="str">
        <f>IF($C1440="","",IF($E1440="","-",IFERROR(INDEX(SETUP!$B$55:$B$64,MATCH($E1440,SETUP!$A$55:$A$64,0)),"Other")))</f>
        <v/>
      </c>
      <c r="G1440" s="70"/>
      <c r="H1440" s="19" t="str">
        <f>IF($C1440="","",IF($G1440="","-",INDEX(SETUP!$B$26:$B$32,MATCH($G1440,SETUP!$A$26:$A$32,1))))</f>
        <v/>
      </c>
      <c r="I1440" s="70"/>
      <c r="J1440" s="19" t="str">
        <f>IF($C1440="","",IF($I1440="","-",INDEX(SETUP!$B$16:$B$22,MATCH($I1440,SETUP!$A$16:$A$22,1))))</f>
        <v/>
      </c>
      <c r="K1440" s="19" t="str">
        <f t="shared" si="114"/>
        <v/>
      </c>
      <c r="L1440" s="71"/>
      <c r="M1440" s="19" t="str">
        <f>IF($C1440="","",IF($L1440="","-",INDEX(SETUP!$B$36:$B$42,MATCH($L1440,SETUP!$A$36:$A$42,1))))</f>
        <v/>
      </c>
      <c r="N1440" s="21" t="str">
        <f>IF($C1440="","",IF(OR($G1440="",$I1440=""),"",ROUND(100*(SETUP!$B$4*MIN(1,$I1440/SETUP!$B$9)+SETUP!$B$5*MAX(0,MIN(1,($G1440-SETUP!$B$10)/(SETUP!$B$11-SETUP!$B$10)))+SETUP!$B$6*MIN(1,IF($L1440="",0,$L1440)/SETUP!$B$12)),1)))</f>
        <v/>
      </c>
      <c r="O1440" s="19" t="str">
        <f>IF($C1440="","",IF($N1440="","-",INDEX(SETUP!$B$46:$B$51,MATCH($N1440,SETUP!$A$46:$A$51,1))))</f>
        <v/>
      </c>
      <c r="P1440" s="19" t="str">
        <f>IF($C1440="","",IF($I1440="","",RANK($I1440,$I$4:$I$1463)+COUNTIF($I$4:$I1440,$I1440)-1))</f>
        <v/>
      </c>
      <c r="Q1440" s="19" t="str">
        <f>IF($C1440="","",COUNTIFS($B$4:$B$1463,$B1440,$X$4:$X$1463,"&gt;"&amp;$X1440)+COUNTIFS($B$4:$B1440,$B1440,$X$4:$X1440,"="&amp;$X1440))</f>
        <v/>
      </c>
      <c r="R1440" s="75" t="str">
        <f>IF($C1440="","",IF($I1440="","",ROUND(COUNTIF($I$4:$I$1463,"&lt;"&amp;$I1440)/COUNT($I$4:$I$1463),3)))</f>
        <v/>
      </c>
      <c r="S1440" s="19" t="str">
        <f t="shared" si="115"/>
        <v/>
      </c>
      <c r="T1440" s="1" t="str">
        <f>IF($C1440="","",TRIM(IF(COUNTIF($C$4:$C$1463,$C1440)&gt;1,"Dup name; ","")&amp;IF(AND($G1440&lt;&gt;"",$G1440&lt;55000),"Low CR - verify; ","")&amp;IF(AND($L1440&lt;&gt;"",$L1440&gt;15),"Secondary - verify; ","")&amp;IF($E1440="","No class; ","")))</f>
        <v/>
      </c>
      <c r="U1440" s="68"/>
      <c r="V1440" s="68"/>
      <c r="W1440" s="68"/>
      <c r="X1440" s="1" t="str">
        <f t="shared" si="116"/>
        <v/>
      </c>
      <c r="Y1440" s="1" t="str">
        <f t="shared" si="117"/>
        <v/>
      </c>
      <c r="Z1440" s="19" t="str">
        <f>IF($C1440="","",IF($G1440="","",RANK($G1440,$G$4:$G$1463)+COUNTIF($G$4:$G1440,$G1440)-1))</f>
        <v/>
      </c>
      <c r="AA1440" s="19" t="str">
        <f>IF($C1440="","",IF($N1440="","",RANK($N1440,$N$4:$N$1463)+COUNTIF($N$4:$N1440,$N1440)-1))</f>
        <v/>
      </c>
      <c r="AB1440" s="1" t="str">
        <f>IF($C1440="","",IF($E1440="","",$E1440&amp;"#"&amp;(COUNTIFS($E$4:$E$1463,$E1440,$X$4:$X$1463,"&gt;"&amp;$X1440)+COUNTIFS($E$4:$E1440,$E1440,$X$4:$X1440,"="&amp;$X1440))))</f>
        <v/>
      </c>
      <c r="AC1440" s="1" t="str">
        <f>IF($C1440="","",$B1440&amp;"@"&amp;(COUNTIFS($B$4:$B$1463,$B1440,$C$4:$C$1463,"&lt;"&amp;$C1440)+COUNTIFS($B$4:$B1440,$B1440,$C$4:$C1440,$C1440)))</f>
        <v/>
      </c>
      <c r="AD1440" s="1" t="str">
        <f t="shared" si="118"/>
        <v/>
      </c>
      <c r="AE1440" s="1"/>
      <c r="AF1440" s="1" t="str">
        <f t="shared" si="119"/>
        <v/>
      </c>
      <c r="AG1440" s="1" t="str">
        <f t="shared" si="120"/>
        <v/>
      </c>
      <c r="AH1440" s="1" t="str">
        <f>IF($C1440="","",$B1440&amp;"|"&amp;(COUNTIFS($B$4:$B$1463,$B1440,$AF$4:$AF$1463,"&gt;"&amp;$AF1440)+COUNTIFS($B$4:$B1440,$B1440,$AF$4:$AF1440,"="&amp;$AF1440)))</f>
        <v/>
      </c>
      <c r="AI1440" s="1" t="str">
        <f>IF($C1440="","",$B1440&amp;"|"&amp;(COUNTIFS($B$4:$B$1463,$B1440,$AG$4:$AG$1463,"&gt;"&amp;$AG1440)+COUNTIFS($B$4:$B1440,$B1440,$AG$4:$AG1440,"="&amp;$AG1440)))</f>
        <v/>
      </c>
    </row>
    <row r="1441" spans="1:35" hidden="1">
      <c r="A1441" s="69"/>
      <c r="B1441" s="69"/>
      <c r="C1441" s="63"/>
      <c r="D1441" s="69"/>
      <c r="E1441" s="68"/>
      <c r="F1441" s="15" t="str">
        <f>IF($C1441="","",IF($E1441="","-",IFERROR(INDEX(SETUP!$B$55:$B$64,MATCH($E1441,SETUP!$A$55:$A$64,0)),"Other")))</f>
        <v/>
      </c>
      <c r="G1441" s="70"/>
      <c r="H1441" s="15" t="str">
        <f>IF($C1441="","",IF($G1441="","-",INDEX(SETUP!$B$26:$B$32,MATCH($G1441,SETUP!$A$26:$A$32,1))))</f>
        <v/>
      </c>
      <c r="I1441" s="70"/>
      <c r="J1441" s="15" t="str">
        <f>IF($C1441="","",IF($I1441="","-",INDEX(SETUP!$B$16:$B$22,MATCH($I1441,SETUP!$A$16:$A$22,1))))</f>
        <v/>
      </c>
      <c r="K1441" s="15" t="str">
        <f t="shared" si="114"/>
        <v/>
      </c>
      <c r="L1441" s="71"/>
      <c r="M1441" s="15" t="str">
        <f>IF($C1441="","",IF($L1441="","-",INDEX(SETUP!$B$36:$B$42,MATCH($L1441,SETUP!$A$36:$A$42,1))))</f>
        <v/>
      </c>
      <c r="N1441" s="17" t="str">
        <f>IF($C1441="","",IF(OR($G1441="",$I1441=""),"",ROUND(100*(SETUP!$B$4*MIN(1,$I1441/SETUP!$B$9)+SETUP!$B$5*MAX(0,MIN(1,($G1441-SETUP!$B$10)/(SETUP!$B$11-SETUP!$B$10)))+SETUP!$B$6*MIN(1,IF($L1441="",0,$L1441)/SETUP!$B$12)),1)))</f>
        <v/>
      </c>
      <c r="O1441" s="15" t="str">
        <f>IF($C1441="","",IF($N1441="","-",INDEX(SETUP!$B$46:$B$51,MATCH($N1441,SETUP!$A$46:$A$51,1))))</f>
        <v/>
      </c>
      <c r="P1441" s="15" t="str">
        <f>IF($C1441="","",IF($I1441="","",RANK($I1441,$I$4:$I$1463)+COUNTIF($I$4:$I1441,$I1441)-1))</f>
        <v/>
      </c>
      <c r="Q1441" s="15" t="str">
        <f>IF($C1441="","",COUNTIFS($B$4:$B$1463,$B1441,$X$4:$X$1463,"&gt;"&amp;$X1441)+COUNTIFS($B$4:$B1441,$B1441,$X$4:$X1441,"="&amp;$X1441))</f>
        <v/>
      </c>
      <c r="R1441" s="72" t="str">
        <f>IF($C1441="","",IF($I1441="","",ROUND(COUNTIF($I$4:$I$1463,"&lt;"&amp;$I1441)/COUNT($I$4:$I$1463),3)))</f>
        <v/>
      </c>
      <c r="S1441" s="15" t="str">
        <f t="shared" si="115"/>
        <v/>
      </c>
      <c r="T1441" s="41" t="str">
        <f>IF($C1441="","",TRIM(IF(COUNTIF($C$4:$C$1463,$C1441)&gt;1,"Dup name; ","")&amp;IF(AND($G1441&lt;&gt;"",$G1441&lt;55000),"Low CR - verify; ","")&amp;IF(AND($L1441&lt;&gt;"",$L1441&gt;15),"Secondary - verify; ","")&amp;IF($E1441="","No class; ","")))</f>
        <v/>
      </c>
      <c r="U1441" s="68"/>
      <c r="V1441" s="68"/>
      <c r="W1441" s="68"/>
      <c r="X1441" s="41" t="str">
        <f t="shared" si="116"/>
        <v/>
      </c>
      <c r="Y1441" s="41" t="str">
        <f t="shared" si="117"/>
        <v/>
      </c>
      <c r="Z1441" s="15" t="str">
        <f>IF($C1441="","",IF($G1441="","",RANK($G1441,$G$4:$G$1463)+COUNTIF($G$4:$G1441,$G1441)-1))</f>
        <v/>
      </c>
      <c r="AA1441" s="15" t="str">
        <f>IF($C1441="","",IF($N1441="","",RANK($N1441,$N$4:$N$1463)+COUNTIF($N$4:$N1441,$N1441)-1))</f>
        <v/>
      </c>
      <c r="AB1441" s="41" t="str">
        <f>IF($C1441="","",IF($E1441="","",$E1441&amp;"#"&amp;(COUNTIFS($E$4:$E$1463,$E1441,$X$4:$X$1463,"&gt;"&amp;$X1441)+COUNTIFS($E$4:$E1441,$E1441,$X$4:$X1441,"="&amp;$X1441))))</f>
        <v/>
      </c>
      <c r="AC1441" s="41" t="str">
        <f>IF($C1441="","",$B1441&amp;"@"&amp;(COUNTIFS($B$4:$B$1463,$B1441,$C$4:$C$1463,"&lt;"&amp;$C1441)+COUNTIFS($B$4:$B1441,$B1441,$C$4:$C1441,$C1441)))</f>
        <v/>
      </c>
      <c r="AD1441" s="41" t="str">
        <f t="shared" si="118"/>
        <v/>
      </c>
      <c r="AE1441" s="41"/>
      <c r="AF1441" s="41" t="str">
        <f t="shared" si="119"/>
        <v/>
      </c>
      <c r="AG1441" s="41" t="str">
        <f t="shared" si="120"/>
        <v/>
      </c>
      <c r="AH1441" s="41" t="str">
        <f>IF($C1441="","",$B1441&amp;"|"&amp;(COUNTIFS($B$4:$B$1463,$B1441,$AF$4:$AF$1463,"&gt;"&amp;$AF1441)+COUNTIFS($B$4:$B1441,$B1441,$AF$4:$AF1441,"="&amp;$AF1441)))</f>
        <v/>
      </c>
      <c r="AI1441" s="41" t="str">
        <f>IF($C1441="","",$B1441&amp;"|"&amp;(COUNTIFS($B$4:$B$1463,$B1441,$AG$4:$AG$1463,"&gt;"&amp;$AG1441)+COUNTIFS($B$4:$B1441,$B1441,$AG$4:$AG1441,"="&amp;$AG1441)))</f>
        <v/>
      </c>
    </row>
    <row r="1442" spans="1:35" hidden="1">
      <c r="A1442" s="69"/>
      <c r="B1442" s="69"/>
      <c r="C1442" s="63"/>
      <c r="D1442" s="69"/>
      <c r="E1442" s="68"/>
      <c r="F1442" s="19" t="str">
        <f>IF($C1442="","",IF($E1442="","-",IFERROR(INDEX(SETUP!$B$55:$B$64,MATCH($E1442,SETUP!$A$55:$A$64,0)),"Other")))</f>
        <v/>
      </c>
      <c r="G1442" s="70"/>
      <c r="H1442" s="19" t="str">
        <f>IF($C1442="","",IF($G1442="","-",INDEX(SETUP!$B$26:$B$32,MATCH($G1442,SETUP!$A$26:$A$32,1))))</f>
        <v/>
      </c>
      <c r="I1442" s="70"/>
      <c r="J1442" s="19" t="str">
        <f>IF($C1442="","",IF($I1442="","-",INDEX(SETUP!$B$16:$B$22,MATCH($I1442,SETUP!$A$16:$A$22,1))))</f>
        <v/>
      </c>
      <c r="K1442" s="19" t="str">
        <f t="shared" si="114"/>
        <v/>
      </c>
      <c r="L1442" s="71"/>
      <c r="M1442" s="19" t="str">
        <f>IF($C1442="","",IF($L1442="","-",INDEX(SETUP!$B$36:$B$42,MATCH($L1442,SETUP!$A$36:$A$42,1))))</f>
        <v/>
      </c>
      <c r="N1442" s="21" t="str">
        <f>IF($C1442="","",IF(OR($G1442="",$I1442=""),"",ROUND(100*(SETUP!$B$4*MIN(1,$I1442/SETUP!$B$9)+SETUP!$B$5*MAX(0,MIN(1,($G1442-SETUP!$B$10)/(SETUP!$B$11-SETUP!$B$10)))+SETUP!$B$6*MIN(1,IF($L1442="",0,$L1442)/SETUP!$B$12)),1)))</f>
        <v/>
      </c>
      <c r="O1442" s="19" t="str">
        <f>IF($C1442="","",IF($N1442="","-",INDEX(SETUP!$B$46:$B$51,MATCH($N1442,SETUP!$A$46:$A$51,1))))</f>
        <v/>
      </c>
      <c r="P1442" s="19" t="str">
        <f>IF($C1442="","",IF($I1442="","",RANK($I1442,$I$4:$I$1463)+COUNTIF($I$4:$I1442,$I1442)-1))</f>
        <v/>
      </c>
      <c r="Q1442" s="19" t="str">
        <f>IF($C1442="","",COUNTIFS($B$4:$B$1463,$B1442,$X$4:$X$1463,"&gt;"&amp;$X1442)+COUNTIFS($B$4:$B1442,$B1442,$X$4:$X1442,"="&amp;$X1442))</f>
        <v/>
      </c>
      <c r="R1442" s="75" t="str">
        <f>IF($C1442="","",IF($I1442="","",ROUND(COUNTIF($I$4:$I$1463,"&lt;"&amp;$I1442)/COUNT($I$4:$I$1463),3)))</f>
        <v/>
      </c>
      <c r="S1442" s="19" t="str">
        <f t="shared" si="115"/>
        <v/>
      </c>
      <c r="T1442" s="1" t="str">
        <f>IF($C1442="","",TRIM(IF(COUNTIF($C$4:$C$1463,$C1442)&gt;1,"Dup name; ","")&amp;IF(AND($G1442&lt;&gt;"",$G1442&lt;55000),"Low CR - verify; ","")&amp;IF(AND($L1442&lt;&gt;"",$L1442&gt;15),"Secondary - verify; ","")&amp;IF($E1442="","No class; ","")))</f>
        <v/>
      </c>
      <c r="U1442" s="68"/>
      <c r="V1442" s="68"/>
      <c r="W1442" s="68"/>
      <c r="X1442" s="1" t="str">
        <f t="shared" si="116"/>
        <v/>
      </c>
      <c r="Y1442" s="1" t="str">
        <f t="shared" si="117"/>
        <v/>
      </c>
      <c r="Z1442" s="19" t="str">
        <f>IF($C1442="","",IF($G1442="","",RANK($G1442,$G$4:$G$1463)+COUNTIF($G$4:$G1442,$G1442)-1))</f>
        <v/>
      </c>
      <c r="AA1442" s="19" t="str">
        <f>IF($C1442="","",IF($N1442="","",RANK($N1442,$N$4:$N$1463)+COUNTIF($N$4:$N1442,$N1442)-1))</f>
        <v/>
      </c>
      <c r="AB1442" s="1" t="str">
        <f>IF($C1442="","",IF($E1442="","",$E1442&amp;"#"&amp;(COUNTIFS($E$4:$E$1463,$E1442,$X$4:$X$1463,"&gt;"&amp;$X1442)+COUNTIFS($E$4:$E1442,$E1442,$X$4:$X1442,"="&amp;$X1442))))</f>
        <v/>
      </c>
      <c r="AC1442" s="1" t="str">
        <f>IF($C1442="","",$B1442&amp;"@"&amp;(COUNTIFS($B$4:$B$1463,$B1442,$C$4:$C$1463,"&lt;"&amp;$C1442)+COUNTIFS($B$4:$B1442,$B1442,$C$4:$C1442,$C1442)))</f>
        <v/>
      </c>
      <c r="AD1442" s="1" t="str">
        <f t="shared" si="118"/>
        <v/>
      </c>
      <c r="AE1442" s="1"/>
      <c r="AF1442" s="1" t="str">
        <f t="shared" si="119"/>
        <v/>
      </c>
      <c r="AG1442" s="1" t="str">
        <f t="shared" si="120"/>
        <v/>
      </c>
      <c r="AH1442" s="1" t="str">
        <f>IF($C1442="","",$B1442&amp;"|"&amp;(COUNTIFS($B$4:$B$1463,$B1442,$AF$4:$AF$1463,"&gt;"&amp;$AF1442)+COUNTIFS($B$4:$B1442,$B1442,$AF$4:$AF1442,"="&amp;$AF1442)))</f>
        <v/>
      </c>
      <c r="AI1442" s="1" t="str">
        <f>IF($C1442="","",$B1442&amp;"|"&amp;(COUNTIFS($B$4:$B$1463,$B1442,$AG$4:$AG$1463,"&gt;"&amp;$AG1442)+COUNTIFS($B$4:$B1442,$B1442,$AG$4:$AG1442,"="&amp;$AG1442)))</f>
        <v/>
      </c>
    </row>
    <row r="1443" spans="1:35" hidden="1">
      <c r="A1443" s="69"/>
      <c r="B1443" s="69"/>
      <c r="C1443" s="63"/>
      <c r="D1443" s="69"/>
      <c r="E1443" s="68"/>
      <c r="F1443" s="15" t="str">
        <f>IF($C1443="","",IF($E1443="","-",IFERROR(INDEX(SETUP!$B$55:$B$64,MATCH($E1443,SETUP!$A$55:$A$64,0)),"Other")))</f>
        <v/>
      </c>
      <c r="G1443" s="70"/>
      <c r="H1443" s="15" t="str">
        <f>IF($C1443="","",IF($G1443="","-",INDEX(SETUP!$B$26:$B$32,MATCH($G1443,SETUP!$A$26:$A$32,1))))</f>
        <v/>
      </c>
      <c r="I1443" s="70"/>
      <c r="J1443" s="15" t="str">
        <f>IF($C1443="","",IF($I1443="","-",INDEX(SETUP!$B$16:$B$22,MATCH($I1443,SETUP!$A$16:$A$22,1))))</f>
        <v/>
      </c>
      <c r="K1443" s="15" t="str">
        <f t="shared" si="114"/>
        <v/>
      </c>
      <c r="L1443" s="71"/>
      <c r="M1443" s="15" t="str">
        <f>IF($C1443="","",IF($L1443="","-",INDEX(SETUP!$B$36:$B$42,MATCH($L1443,SETUP!$A$36:$A$42,1))))</f>
        <v/>
      </c>
      <c r="N1443" s="17" t="str">
        <f>IF($C1443="","",IF(OR($G1443="",$I1443=""),"",ROUND(100*(SETUP!$B$4*MIN(1,$I1443/SETUP!$B$9)+SETUP!$B$5*MAX(0,MIN(1,($G1443-SETUP!$B$10)/(SETUP!$B$11-SETUP!$B$10)))+SETUP!$B$6*MIN(1,IF($L1443="",0,$L1443)/SETUP!$B$12)),1)))</f>
        <v/>
      </c>
      <c r="O1443" s="15" t="str">
        <f>IF($C1443="","",IF($N1443="","-",INDEX(SETUP!$B$46:$B$51,MATCH($N1443,SETUP!$A$46:$A$51,1))))</f>
        <v/>
      </c>
      <c r="P1443" s="15" t="str">
        <f>IF($C1443="","",IF($I1443="","",RANK($I1443,$I$4:$I$1463)+COUNTIF($I$4:$I1443,$I1443)-1))</f>
        <v/>
      </c>
      <c r="Q1443" s="15" t="str">
        <f>IF($C1443="","",COUNTIFS($B$4:$B$1463,$B1443,$X$4:$X$1463,"&gt;"&amp;$X1443)+COUNTIFS($B$4:$B1443,$B1443,$X$4:$X1443,"="&amp;$X1443))</f>
        <v/>
      </c>
      <c r="R1443" s="72" t="str">
        <f>IF($C1443="","",IF($I1443="","",ROUND(COUNTIF($I$4:$I$1463,"&lt;"&amp;$I1443)/COUNT($I$4:$I$1463),3)))</f>
        <v/>
      </c>
      <c r="S1443" s="15" t="str">
        <f t="shared" si="115"/>
        <v/>
      </c>
      <c r="T1443" s="41" t="str">
        <f>IF($C1443="","",TRIM(IF(COUNTIF($C$4:$C$1463,$C1443)&gt;1,"Dup name; ","")&amp;IF(AND($G1443&lt;&gt;"",$G1443&lt;55000),"Low CR - verify; ","")&amp;IF(AND($L1443&lt;&gt;"",$L1443&gt;15),"Secondary - verify; ","")&amp;IF($E1443="","No class; ","")))</f>
        <v/>
      </c>
      <c r="U1443" s="68"/>
      <c r="V1443" s="68"/>
      <c r="W1443" s="68"/>
      <c r="X1443" s="41" t="str">
        <f t="shared" si="116"/>
        <v/>
      </c>
      <c r="Y1443" s="41" t="str">
        <f t="shared" si="117"/>
        <v/>
      </c>
      <c r="Z1443" s="15" t="str">
        <f>IF($C1443="","",IF($G1443="","",RANK($G1443,$G$4:$G$1463)+COUNTIF($G$4:$G1443,$G1443)-1))</f>
        <v/>
      </c>
      <c r="AA1443" s="15" t="str">
        <f>IF($C1443="","",IF($N1443="","",RANK($N1443,$N$4:$N$1463)+COUNTIF($N$4:$N1443,$N1443)-1))</f>
        <v/>
      </c>
      <c r="AB1443" s="41" t="str">
        <f>IF($C1443="","",IF($E1443="","",$E1443&amp;"#"&amp;(COUNTIFS($E$4:$E$1463,$E1443,$X$4:$X$1463,"&gt;"&amp;$X1443)+COUNTIFS($E$4:$E1443,$E1443,$X$4:$X1443,"="&amp;$X1443))))</f>
        <v/>
      </c>
      <c r="AC1443" s="41" t="str">
        <f>IF($C1443="","",$B1443&amp;"@"&amp;(COUNTIFS($B$4:$B$1463,$B1443,$C$4:$C$1463,"&lt;"&amp;$C1443)+COUNTIFS($B$4:$B1443,$B1443,$C$4:$C1443,$C1443)))</f>
        <v/>
      </c>
      <c r="AD1443" s="41" t="str">
        <f t="shared" si="118"/>
        <v/>
      </c>
      <c r="AE1443" s="41"/>
      <c r="AF1443" s="41" t="str">
        <f t="shared" si="119"/>
        <v/>
      </c>
      <c r="AG1443" s="41" t="str">
        <f t="shared" si="120"/>
        <v/>
      </c>
      <c r="AH1443" s="41" t="str">
        <f>IF($C1443="","",$B1443&amp;"|"&amp;(COUNTIFS($B$4:$B$1463,$B1443,$AF$4:$AF$1463,"&gt;"&amp;$AF1443)+COUNTIFS($B$4:$B1443,$B1443,$AF$4:$AF1443,"="&amp;$AF1443)))</f>
        <v/>
      </c>
      <c r="AI1443" s="41" t="str">
        <f>IF($C1443="","",$B1443&amp;"|"&amp;(COUNTIFS($B$4:$B$1463,$B1443,$AG$4:$AG$1463,"&gt;"&amp;$AG1443)+COUNTIFS($B$4:$B1443,$B1443,$AG$4:$AG1443,"="&amp;$AG1443)))</f>
        <v/>
      </c>
    </row>
    <row r="1444" spans="1:35" hidden="1">
      <c r="A1444" s="69"/>
      <c r="B1444" s="69"/>
      <c r="C1444" s="63"/>
      <c r="D1444" s="69"/>
      <c r="E1444" s="68"/>
      <c r="F1444" s="19" t="str">
        <f>IF($C1444="","",IF($E1444="","-",IFERROR(INDEX(SETUP!$B$55:$B$64,MATCH($E1444,SETUP!$A$55:$A$64,0)),"Other")))</f>
        <v/>
      </c>
      <c r="G1444" s="70"/>
      <c r="H1444" s="19" t="str">
        <f>IF($C1444="","",IF($G1444="","-",INDEX(SETUP!$B$26:$B$32,MATCH($G1444,SETUP!$A$26:$A$32,1))))</f>
        <v/>
      </c>
      <c r="I1444" s="70"/>
      <c r="J1444" s="19" t="str">
        <f>IF($C1444="","",IF($I1444="","-",INDEX(SETUP!$B$16:$B$22,MATCH($I1444,SETUP!$A$16:$A$22,1))))</f>
        <v/>
      </c>
      <c r="K1444" s="19" t="str">
        <f t="shared" si="114"/>
        <v/>
      </c>
      <c r="L1444" s="71"/>
      <c r="M1444" s="19" t="str">
        <f>IF($C1444="","",IF($L1444="","-",INDEX(SETUP!$B$36:$B$42,MATCH($L1444,SETUP!$A$36:$A$42,1))))</f>
        <v/>
      </c>
      <c r="N1444" s="21" t="str">
        <f>IF($C1444="","",IF(OR($G1444="",$I1444=""),"",ROUND(100*(SETUP!$B$4*MIN(1,$I1444/SETUP!$B$9)+SETUP!$B$5*MAX(0,MIN(1,($G1444-SETUP!$B$10)/(SETUP!$B$11-SETUP!$B$10)))+SETUP!$B$6*MIN(1,IF($L1444="",0,$L1444)/SETUP!$B$12)),1)))</f>
        <v/>
      </c>
      <c r="O1444" s="19" t="str">
        <f>IF($C1444="","",IF($N1444="","-",INDEX(SETUP!$B$46:$B$51,MATCH($N1444,SETUP!$A$46:$A$51,1))))</f>
        <v/>
      </c>
      <c r="P1444" s="19" t="str">
        <f>IF($C1444="","",IF($I1444="","",RANK($I1444,$I$4:$I$1463)+COUNTIF($I$4:$I1444,$I1444)-1))</f>
        <v/>
      </c>
      <c r="Q1444" s="19" t="str">
        <f>IF($C1444="","",COUNTIFS($B$4:$B$1463,$B1444,$X$4:$X$1463,"&gt;"&amp;$X1444)+COUNTIFS($B$4:$B1444,$B1444,$X$4:$X1444,"="&amp;$X1444))</f>
        <v/>
      </c>
      <c r="R1444" s="75" t="str">
        <f>IF($C1444="","",IF($I1444="","",ROUND(COUNTIF($I$4:$I$1463,"&lt;"&amp;$I1444)/COUNT($I$4:$I$1463),3)))</f>
        <v/>
      </c>
      <c r="S1444" s="19" t="str">
        <f t="shared" si="115"/>
        <v/>
      </c>
      <c r="T1444" s="1" t="str">
        <f>IF($C1444="","",TRIM(IF(COUNTIF($C$4:$C$1463,$C1444)&gt;1,"Dup name; ","")&amp;IF(AND($G1444&lt;&gt;"",$G1444&lt;55000),"Low CR - verify; ","")&amp;IF(AND($L1444&lt;&gt;"",$L1444&gt;15),"Secondary - verify; ","")&amp;IF($E1444="","No class; ","")))</f>
        <v/>
      </c>
      <c r="U1444" s="68"/>
      <c r="V1444" s="68"/>
      <c r="W1444" s="68"/>
      <c r="X1444" s="1" t="str">
        <f t="shared" si="116"/>
        <v/>
      </c>
      <c r="Y1444" s="1" t="str">
        <f t="shared" si="117"/>
        <v/>
      </c>
      <c r="Z1444" s="19" t="str">
        <f>IF($C1444="","",IF($G1444="","",RANK($G1444,$G$4:$G$1463)+COUNTIF($G$4:$G1444,$G1444)-1))</f>
        <v/>
      </c>
      <c r="AA1444" s="19" t="str">
        <f>IF($C1444="","",IF($N1444="","",RANK($N1444,$N$4:$N$1463)+COUNTIF($N$4:$N1444,$N1444)-1))</f>
        <v/>
      </c>
      <c r="AB1444" s="1" t="str">
        <f>IF($C1444="","",IF($E1444="","",$E1444&amp;"#"&amp;(COUNTIFS($E$4:$E$1463,$E1444,$X$4:$X$1463,"&gt;"&amp;$X1444)+COUNTIFS($E$4:$E1444,$E1444,$X$4:$X1444,"="&amp;$X1444))))</f>
        <v/>
      </c>
      <c r="AC1444" s="1" t="str">
        <f>IF($C1444="","",$B1444&amp;"@"&amp;(COUNTIFS($B$4:$B$1463,$B1444,$C$4:$C$1463,"&lt;"&amp;$C1444)+COUNTIFS($B$4:$B1444,$B1444,$C$4:$C1444,$C1444)))</f>
        <v/>
      </c>
      <c r="AD1444" s="1" t="str">
        <f t="shared" si="118"/>
        <v/>
      </c>
      <c r="AE1444" s="1"/>
      <c r="AF1444" s="1" t="str">
        <f t="shared" si="119"/>
        <v/>
      </c>
      <c r="AG1444" s="1" t="str">
        <f t="shared" si="120"/>
        <v/>
      </c>
      <c r="AH1444" s="1" t="str">
        <f>IF($C1444="","",$B1444&amp;"|"&amp;(COUNTIFS($B$4:$B$1463,$B1444,$AF$4:$AF$1463,"&gt;"&amp;$AF1444)+COUNTIFS($B$4:$B1444,$B1444,$AF$4:$AF1444,"="&amp;$AF1444)))</f>
        <v/>
      </c>
      <c r="AI1444" s="1" t="str">
        <f>IF($C1444="","",$B1444&amp;"|"&amp;(COUNTIFS($B$4:$B$1463,$B1444,$AG$4:$AG$1463,"&gt;"&amp;$AG1444)+COUNTIFS($B$4:$B1444,$B1444,$AG$4:$AG1444,"="&amp;$AG1444)))</f>
        <v/>
      </c>
    </row>
    <row r="1445" spans="1:35" hidden="1">
      <c r="A1445" s="69"/>
      <c r="B1445" s="69"/>
      <c r="C1445" s="63"/>
      <c r="D1445" s="69"/>
      <c r="E1445" s="68"/>
      <c r="F1445" s="15" t="str">
        <f>IF($C1445="","",IF($E1445="","-",IFERROR(INDEX(SETUP!$B$55:$B$64,MATCH($E1445,SETUP!$A$55:$A$64,0)),"Other")))</f>
        <v/>
      </c>
      <c r="G1445" s="70"/>
      <c r="H1445" s="15" t="str">
        <f>IF($C1445="","",IF($G1445="","-",INDEX(SETUP!$B$26:$B$32,MATCH($G1445,SETUP!$A$26:$A$32,1))))</f>
        <v/>
      </c>
      <c r="I1445" s="70"/>
      <c r="J1445" s="15" t="str">
        <f>IF($C1445="","",IF($I1445="","-",INDEX(SETUP!$B$16:$B$22,MATCH($I1445,SETUP!$A$16:$A$22,1))))</f>
        <v/>
      </c>
      <c r="K1445" s="15" t="str">
        <f t="shared" si="114"/>
        <v/>
      </c>
      <c r="L1445" s="71"/>
      <c r="M1445" s="15" t="str">
        <f>IF($C1445="","",IF($L1445="","-",INDEX(SETUP!$B$36:$B$42,MATCH($L1445,SETUP!$A$36:$A$42,1))))</f>
        <v/>
      </c>
      <c r="N1445" s="17" t="str">
        <f>IF($C1445="","",IF(OR($G1445="",$I1445=""),"",ROUND(100*(SETUP!$B$4*MIN(1,$I1445/SETUP!$B$9)+SETUP!$B$5*MAX(0,MIN(1,($G1445-SETUP!$B$10)/(SETUP!$B$11-SETUP!$B$10)))+SETUP!$B$6*MIN(1,IF($L1445="",0,$L1445)/SETUP!$B$12)),1)))</f>
        <v/>
      </c>
      <c r="O1445" s="15" t="str">
        <f>IF($C1445="","",IF($N1445="","-",INDEX(SETUP!$B$46:$B$51,MATCH($N1445,SETUP!$A$46:$A$51,1))))</f>
        <v/>
      </c>
      <c r="P1445" s="15" t="str">
        <f>IF($C1445="","",IF($I1445="","",RANK($I1445,$I$4:$I$1463)+COUNTIF($I$4:$I1445,$I1445)-1))</f>
        <v/>
      </c>
      <c r="Q1445" s="15" t="str">
        <f>IF($C1445="","",COUNTIFS($B$4:$B$1463,$B1445,$X$4:$X$1463,"&gt;"&amp;$X1445)+COUNTIFS($B$4:$B1445,$B1445,$X$4:$X1445,"="&amp;$X1445))</f>
        <v/>
      </c>
      <c r="R1445" s="72" t="str">
        <f>IF($C1445="","",IF($I1445="","",ROUND(COUNTIF($I$4:$I$1463,"&lt;"&amp;$I1445)/COUNT($I$4:$I$1463),3)))</f>
        <v/>
      </c>
      <c r="S1445" s="15" t="str">
        <f t="shared" si="115"/>
        <v/>
      </c>
      <c r="T1445" s="41" t="str">
        <f>IF($C1445="","",TRIM(IF(COUNTIF($C$4:$C$1463,$C1445)&gt;1,"Dup name; ","")&amp;IF(AND($G1445&lt;&gt;"",$G1445&lt;55000),"Low CR - verify; ","")&amp;IF(AND($L1445&lt;&gt;"",$L1445&gt;15),"Secondary - verify; ","")&amp;IF($E1445="","No class; ","")))</f>
        <v/>
      </c>
      <c r="U1445" s="68"/>
      <c r="V1445" s="68"/>
      <c r="W1445" s="68"/>
      <c r="X1445" s="41" t="str">
        <f t="shared" si="116"/>
        <v/>
      </c>
      <c r="Y1445" s="41" t="str">
        <f t="shared" si="117"/>
        <v/>
      </c>
      <c r="Z1445" s="15" t="str">
        <f>IF($C1445="","",IF($G1445="","",RANK($G1445,$G$4:$G$1463)+COUNTIF($G$4:$G1445,$G1445)-1))</f>
        <v/>
      </c>
      <c r="AA1445" s="15" t="str">
        <f>IF($C1445="","",IF($N1445="","",RANK($N1445,$N$4:$N$1463)+COUNTIF($N$4:$N1445,$N1445)-1))</f>
        <v/>
      </c>
      <c r="AB1445" s="41" t="str">
        <f>IF($C1445="","",IF($E1445="","",$E1445&amp;"#"&amp;(COUNTIFS($E$4:$E$1463,$E1445,$X$4:$X$1463,"&gt;"&amp;$X1445)+COUNTIFS($E$4:$E1445,$E1445,$X$4:$X1445,"="&amp;$X1445))))</f>
        <v/>
      </c>
      <c r="AC1445" s="41" t="str">
        <f>IF($C1445="","",$B1445&amp;"@"&amp;(COUNTIFS($B$4:$B$1463,$B1445,$C$4:$C$1463,"&lt;"&amp;$C1445)+COUNTIFS($B$4:$B1445,$B1445,$C$4:$C1445,$C1445)))</f>
        <v/>
      </c>
      <c r="AD1445" s="41" t="str">
        <f t="shared" si="118"/>
        <v/>
      </c>
      <c r="AE1445" s="41"/>
      <c r="AF1445" s="41" t="str">
        <f t="shared" si="119"/>
        <v/>
      </c>
      <c r="AG1445" s="41" t="str">
        <f t="shared" si="120"/>
        <v/>
      </c>
      <c r="AH1445" s="41" t="str">
        <f>IF($C1445="","",$B1445&amp;"|"&amp;(COUNTIFS($B$4:$B$1463,$B1445,$AF$4:$AF$1463,"&gt;"&amp;$AF1445)+COUNTIFS($B$4:$B1445,$B1445,$AF$4:$AF1445,"="&amp;$AF1445)))</f>
        <v/>
      </c>
      <c r="AI1445" s="41" t="str">
        <f>IF($C1445="","",$B1445&amp;"|"&amp;(COUNTIFS($B$4:$B$1463,$B1445,$AG$4:$AG$1463,"&gt;"&amp;$AG1445)+COUNTIFS($B$4:$B1445,$B1445,$AG$4:$AG1445,"="&amp;$AG1445)))</f>
        <v/>
      </c>
    </row>
    <row r="1446" spans="1:35" hidden="1">
      <c r="A1446" s="69"/>
      <c r="B1446" s="69"/>
      <c r="C1446" s="63"/>
      <c r="D1446" s="69"/>
      <c r="E1446" s="68"/>
      <c r="F1446" s="19" t="str">
        <f>IF($C1446="","",IF($E1446="","-",IFERROR(INDEX(SETUP!$B$55:$B$64,MATCH($E1446,SETUP!$A$55:$A$64,0)),"Other")))</f>
        <v/>
      </c>
      <c r="G1446" s="70"/>
      <c r="H1446" s="19" t="str">
        <f>IF($C1446="","",IF($G1446="","-",INDEX(SETUP!$B$26:$B$32,MATCH($G1446,SETUP!$A$26:$A$32,1))))</f>
        <v/>
      </c>
      <c r="I1446" s="70"/>
      <c r="J1446" s="19" t="str">
        <f>IF($C1446="","",IF($I1446="","-",INDEX(SETUP!$B$16:$B$22,MATCH($I1446,SETUP!$A$16:$A$22,1))))</f>
        <v/>
      </c>
      <c r="K1446" s="19" t="str">
        <f t="shared" si="114"/>
        <v/>
      </c>
      <c r="L1446" s="71"/>
      <c r="M1446" s="19" t="str">
        <f>IF($C1446="","",IF($L1446="","-",INDEX(SETUP!$B$36:$B$42,MATCH($L1446,SETUP!$A$36:$A$42,1))))</f>
        <v/>
      </c>
      <c r="N1446" s="21" t="str">
        <f>IF($C1446="","",IF(OR($G1446="",$I1446=""),"",ROUND(100*(SETUP!$B$4*MIN(1,$I1446/SETUP!$B$9)+SETUP!$B$5*MAX(0,MIN(1,($G1446-SETUP!$B$10)/(SETUP!$B$11-SETUP!$B$10)))+SETUP!$B$6*MIN(1,IF($L1446="",0,$L1446)/SETUP!$B$12)),1)))</f>
        <v/>
      </c>
      <c r="O1446" s="19" t="str">
        <f>IF($C1446="","",IF($N1446="","-",INDEX(SETUP!$B$46:$B$51,MATCH($N1446,SETUP!$A$46:$A$51,1))))</f>
        <v/>
      </c>
      <c r="P1446" s="19" t="str">
        <f>IF($C1446="","",IF($I1446="","",RANK($I1446,$I$4:$I$1463)+COUNTIF($I$4:$I1446,$I1446)-1))</f>
        <v/>
      </c>
      <c r="Q1446" s="19" t="str">
        <f>IF($C1446="","",COUNTIFS($B$4:$B$1463,$B1446,$X$4:$X$1463,"&gt;"&amp;$X1446)+COUNTIFS($B$4:$B1446,$B1446,$X$4:$X1446,"="&amp;$X1446))</f>
        <v/>
      </c>
      <c r="R1446" s="75" t="str">
        <f>IF($C1446="","",IF($I1446="","",ROUND(COUNTIF($I$4:$I$1463,"&lt;"&amp;$I1446)/COUNT($I$4:$I$1463),3)))</f>
        <v/>
      </c>
      <c r="S1446" s="19" t="str">
        <f t="shared" si="115"/>
        <v/>
      </c>
      <c r="T1446" s="1" t="str">
        <f>IF($C1446="","",TRIM(IF(COUNTIF($C$4:$C$1463,$C1446)&gt;1,"Dup name; ","")&amp;IF(AND($G1446&lt;&gt;"",$G1446&lt;55000),"Low CR - verify; ","")&amp;IF(AND($L1446&lt;&gt;"",$L1446&gt;15),"Secondary - verify; ","")&amp;IF($E1446="","No class; ","")))</f>
        <v/>
      </c>
      <c r="U1446" s="68"/>
      <c r="V1446" s="68"/>
      <c r="W1446" s="68"/>
      <c r="X1446" s="1" t="str">
        <f t="shared" si="116"/>
        <v/>
      </c>
      <c r="Y1446" s="1" t="str">
        <f t="shared" si="117"/>
        <v/>
      </c>
      <c r="Z1446" s="19" t="str">
        <f>IF($C1446="","",IF($G1446="","",RANK($G1446,$G$4:$G$1463)+COUNTIF($G$4:$G1446,$G1446)-1))</f>
        <v/>
      </c>
      <c r="AA1446" s="19" t="str">
        <f>IF($C1446="","",IF($N1446="","",RANK($N1446,$N$4:$N$1463)+COUNTIF($N$4:$N1446,$N1446)-1))</f>
        <v/>
      </c>
      <c r="AB1446" s="1" t="str">
        <f>IF($C1446="","",IF($E1446="","",$E1446&amp;"#"&amp;(COUNTIFS($E$4:$E$1463,$E1446,$X$4:$X$1463,"&gt;"&amp;$X1446)+COUNTIFS($E$4:$E1446,$E1446,$X$4:$X1446,"="&amp;$X1446))))</f>
        <v/>
      </c>
      <c r="AC1446" s="1" t="str">
        <f>IF($C1446="","",$B1446&amp;"@"&amp;(COUNTIFS($B$4:$B$1463,$B1446,$C$4:$C$1463,"&lt;"&amp;$C1446)+COUNTIFS($B$4:$B1446,$B1446,$C$4:$C1446,$C1446)))</f>
        <v/>
      </c>
      <c r="AD1446" s="1" t="str">
        <f t="shared" si="118"/>
        <v/>
      </c>
      <c r="AE1446" s="1"/>
      <c r="AF1446" s="1" t="str">
        <f t="shared" si="119"/>
        <v/>
      </c>
      <c r="AG1446" s="1" t="str">
        <f t="shared" si="120"/>
        <v/>
      </c>
      <c r="AH1446" s="1" t="str">
        <f>IF($C1446="","",$B1446&amp;"|"&amp;(COUNTIFS($B$4:$B$1463,$B1446,$AF$4:$AF$1463,"&gt;"&amp;$AF1446)+COUNTIFS($B$4:$B1446,$B1446,$AF$4:$AF1446,"="&amp;$AF1446)))</f>
        <v/>
      </c>
      <c r="AI1446" s="1" t="str">
        <f>IF($C1446="","",$B1446&amp;"|"&amp;(COUNTIFS($B$4:$B$1463,$B1446,$AG$4:$AG$1463,"&gt;"&amp;$AG1446)+COUNTIFS($B$4:$B1446,$B1446,$AG$4:$AG1446,"="&amp;$AG1446)))</f>
        <v/>
      </c>
    </row>
    <row r="1447" spans="1:35" hidden="1">
      <c r="A1447" s="69"/>
      <c r="B1447" s="69"/>
      <c r="C1447" s="63"/>
      <c r="D1447" s="69"/>
      <c r="E1447" s="68"/>
      <c r="F1447" s="15" t="str">
        <f>IF($C1447="","",IF($E1447="","-",IFERROR(INDEX(SETUP!$B$55:$B$64,MATCH($E1447,SETUP!$A$55:$A$64,0)),"Other")))</f>
        <v/>
      </c>
      <c r="G1447" s="70"/>
      <c r="H1447" s="15" t="str">
        <f>IF($C1447="","",IF($G1447="","-",INDEX(SETUP!$B$26:$B$32,MATCH($G1447,SETUP!$A$26:$A$32,1))))</f>
        <v/>
      </c>
      <c r="I1447" s="70"/>
      <c r="J1447" s="15" t="str">
        <f>IF($C1447="","",IF($I1447="","-",INDEX(SETUP!$B$16:$B$22,MATCH($I1447,SETUP!$A$16:$A$22,1))))</f>
        <v/>
      </c>
      <c r="K1447" s="15" t="str">
        <f t="shared" si="114"/>
        <v/>
      </c>
      <c r="L1447" s="71"/>
      <c r="M1447" s="15" t="str">
        <f>IF($C1447="","",IF($L1447="","-",INDEX(SETUP!$B$36:$B$42,MATCH($L1447,SETUP!$A$36:$A$42,1))))</f>
        <v/>
      </c>
      <c r="N1447" s="17" t="str">
        <f>IF($C1447="","",IF(OR($G1447="",$I1447=""),"",ROUND(100*(SETUP!$B$4*MIN(1,$I1447/SETUP!$B$9)+SETUP!$B$5*MAX(0,MIN(1,($G1447-SETUP!$B$10)/(SETUP!$B$11-SETUP!$B$10)))+SETUP!$B$6*MIN(1,IF($L1447="",0,$L1447)/SETUP!$B$12)),1)))</f>
        <v/>
      </c>
      <c r="O1447" s="15" t="str">
        <f>IF($C1447="","",IF($N1447="","-",INDEX(SETUP!$B$46:$B$51,MATCH($N1447,SETUP!$A$46:$A$51,1))))</f>
        <v/>
      </c>
      <c r="P1447" s="15" t="str">
        <f>IF($C1447="","",IF($I1447="","",RANK($I1447,$I$4:$I$1463)+COUNTIF($I$4:$I1447,$I1447)-1))</f>
        <v/>
      </c>
      <c r="Q1447" s="15" t="str">
        <f>IF($C1447="","",COUNTIFS($B$4:$B$1463,$B1447,$X$4:$X$1463,"&gt;"&amp;$X1447)+COUNTIFS($B$4:$B1447,$B1447,$X$4:$X1447,"="&amp;$X1447))</f>
        <v/>
      </c>
      <c r="R1447" s="72" t="str">
        <f>IF($C1447="","",IF($I1447="","",ROUND(COUNTIF($I$4:$I$1463,"&lt;"&amp;$I1447)/COUNT($I$4:$I$1463),3)))</f>
        <v/>
      </c>
      <c r="S1447" s="15" t="str">
        <f t="shared" si="115"/>
        <v/>
      </c>
      <c r="T1447" s="41" t="str">
        <f>IF($C1447="","",TRIM(IF(COUNTIF($C$4:$C$1463,$C1447)&gt;1,"Dup name; ","")&amp;IF(AND($G1447&lt;&gt;"",$G1447&lt;55000),"Low CR - verify; ","")&amp;IF(AND($L1447&lt;&gt;"",$L1447&gt;15),"Secondary - verify; ","")&amp;IF($E1447="","No class; ","")))</f>
        <v/>
      </c>
      <c r="U1447" s="68"/>
      <c r="V1447" s="68"/>
      <c r="W1447" s="68"/>
      <c r="X1447" s="41" t="str">
        <f t="shared" si="116"/>
        <v/>
      </c>
      <c r="Y1447" s="41" t="str">
        <f t="shared" si="117"/>
        <v/>
      </c>
      <c r="Z1447" s="15" t="str">
        <f>IF($C1447="","",IF($G1447="","",RANK($G1447,$G$4:$G$1463)+COUNTIF($G$4:$G1447,$G1447)-1))</f>
        <v/>
      </c>
      <c r="AA1447" s="15" t="str">
        <f>IF($C1447="","",IF($N1447="","",RANK($N1447,$N$4:$N$1463)+COUNTIF($N$4:$N1447,$N1447)-1))</f>
        <v/>
      </c>
      <c r="AB1447" s="41" t="str">
        <f>IF($C1447="","",IF($E1447="","",$E1447&amp;"#"&amp;(COUNTIFS($E$4:$E$1463,$E1447,$X$4:$X$1463,"&gt;"&amp;$X1447)+COUNTIFS($E$4:$E1447,$E1447,$X$4:$X1447,"="&amp;$X1447))))</f>
        <v/>
      </c>
      <c r="AC1447" s="41" t="str">
        <f>IF($C1447="","",$B1447&amp;"@"&amp;(COUNTIFS($B$4:$B$1463,$B1447,$C$4:$C$1463,"&lt;"&amp;$C1447)+COUNTIFS($B$4:$B1447,$B1447,$C$4:$C1447,$C1447)))</f>
        <v/>
      </c>
      <c r="AD1447" s="41" t="str">
        <f t="shared" si="118"/>
        <v/>
      </c>
      <c r="AE1447" s="41"/>
      <c r="AF1447" s="41" t="str">
        <f t="shared" si="119"/>
        <v/>
      </c>
      <c r="AG1447" s="41" t="str">
        <f t="shared" si="120"/>
        <v/>
      </c>
      <c r="AH1447" s="41" t="str">
        <f>IF($C1447="","",$B1447&amp;"|"&amp;(COUNTIFS($B$4:$B$1463,$B1447,$AF$4:$AF$1463,"&gt;"&amp;$AF1447)+COUNTIFS($B$4:$B1447,$B1447,$AF$4:$AF1447,"="&amp;$AF1447)))</f>
        <v/>
      </c>
      <c r="AI1447" s="41" t="str">
        <f>IF($C1447="","",$B1447&amp;"|"&amp;(COUNTIFS($B$4:$B$1463,$B1447,$AG$4:$AG$1463,"&gt;"&amp;$AG1447)+COUNTIFS($B$4:$B1447,$B1447,$AG$4:$AG1447,"="&amp;$AG1447)))</f>
        <v/>
      </c>
    </row>
    <row r="1448" spans="1:35" hidden="1">
      <c r="A1448" s="69"/>
      <c r="B1448" s="69"/>
      <c r="C1448" s="63"/>
      <c r="D1448" s="69"/>
      <c r="E1448" s="68"/>
      <c r="F1448" s="19" t="str">
        <f>IF($C1448="","",IF($E1448="","-",IFERROR(INDEX(SETUP!$B$55:$B$64,MATCH($E1448,SETUP!$A$55:$A$64,0)),"Other")))</f>
        <v/>
      </c>
      <c r="G1448" s="70"/>
      <c r="H1448" s="19" t="str">
        <f>IF($C1448="","",IF($G1448="","-",INDEX(SETUP!$B$26:$B$32,MATCH($G1448,SETUP!$A$26:$A$32,1))))</f>
        <v/>
      </c>
      <c r="I1448" s="70"/>
      <c r="J1448" s="19" t="str">
        <f>IF($C1448="","",IF($I1448="","-",INDEX(SETUP!$B$16:$B$22,MATCH($I1448,SETUP!$A$16:$A$22,1))))</f>
        <v/>
      </c>
      <c r="K1448" s="19" t="str">
        <f t="shared" si="114"/>
        <v/>
      </c>
      <c r="L1448" s="71"/>
      <c r="M1448" s="19" t="str">
        <f>IF($C1448="","",IF($L1448="","-",INDEX(SETUP!$B$36:$B$42,MATCH($L1448,SETUP!$A$36:$A$42,1))))</f>
        <v/>
      </c>
      <c r="N1448" s="21" t="str">
        <f>IF($C1448="","",IF(OR($G1448="",$I1448=""),"",ROUND(100*(SETUP!$B$4*MIN(1,$I1448/SETUP!$B$9)+SETUP!$B$5*MAX(0,MIN(1,($G1448-SETUP!$B$10)/(SETUP!$B$11-SETUP!$B$10)))+SETUP!$B$6*MIN(1,IF($L1448="",0,$L1448)/SETUP!$B$12)),1)))</f>
        <v/>
      </c>
      <c r="O1448" s="19" t="str">
        <f>IF($C1448="","",IF($N1448="","-",INDEX(SETUP!$B$46:$B$51,MATCH($N1448,SETUP!$A$46:$A$51,1))))</f>
        <v/>
      </c>
      <c r="P1448" s="19" t="str">
        <f>IF($C1448="","",IF($I1448="","",RANK($I1448,$I$4:$I$1463)+COUNTIF($I$4:$I1448,$I1448)-1))</f>
        <v/>
      </c>
      <c r="Q1448" s="19" t="str">
        <f>IF($C1448="","",COUNTIFS($B$4:$B$1463,$B1448,$X$4:$X$1463,"&gt;"&amp;$X1448)+COUNTIFS($B$4:$B1448,$B1448,$X$4:$X1448,"="&amp;$X1448))</f>
        <v/>
      </c>
      <c r="R1448" s="75" t="str">
        <f>IF($C1448="","",IF($I1448="","",ROUND(COUNTIF($I$4:$I$1463,"&lt;"&amp;$I1448)/COUNT($I$4:$I$1463),3)))</f>
        <v/>
      </c>
      <c r="S1448" s="19" t="str">
        <f t="shared" si="115"/>
        <v/>
      </c>
      <c r="T1448" s="1" t="str">
        <f>IF($C1448="","",TRIM(IF(COUNTIF($C$4:$C$1463,$C1448)&gt;1,"Dup name; ","")&amp;IF(AND($G1448&lt;&gt;"",$G1448&lt;55000),"Low CR - verify; ","")&amp;IF(AND($L1448&lt;&gt;"",$L1448&gt;15),"Secondary - verify; ","")&amp;IF($E1448="","No class; ","")))</f>
        <v/>
      </c>
      <c r="U1448" s="68"/>
      <c r="V1448" s="68"/>
      <c r="W1448" s="68"/>
      <c r="X1448" s="1" t="str">
        <f t="shared" si="116"/>
        <v/>
      </c>
      <c r="Y1448" s="1" t="str">
        <f t="shared" si="117"/>
        <v/>
      </c>
      <c r="Z1448" s="19" t="str">
        <f>IF($C1448="","",IF($G1448="","",RANK($G1448,$G$4:$G$1463)+COUNTIF($G$4:$G1448,$G1448)-1))</f>
        <v/>
      </c>
      <c r="AA1448" s="19" t="str">
        <f>IF($C1448="","",IF($N1448="","",RANK($N1448,$N$4:$N$1463)+COUNTIF($N$4:$N1448,$N1448)-1))</f>
        <v/>
      </c>
      <c r="AB1448" s="1" t="str">
        <f>IF($C1448="","",IF($E1448="","",$E1448&amp;"#"&amp;(COUNTIFS($E$4:$E$1463,$E1448,$X$4:$X$1463,"&gt;"&amp;$X1448)+COUNTIFS($E$4:$E1448,$E1448,$X$4:$X1448,"="&amp;$X1448))))</f>
        <v/>
      </c>
      <c r="AC1448" s="1" t="str">
        <f>IF($C1448="","",$B1448&amp;"@"&amp;(COUNTIFS($B$4:$B$1463,$B1448,$C$4:$C$1463,"&lt;"&amp;$C1448)+COUNTIFS($B$4:$B1448,$B1448,$C$4:$C1448,$C1448)))</f>
        <v/>
      </c>
      <c r="AD1448" s="1" t="str">
        <f t="shared" si="118"/>
        <v/>
      </c>
      <c r="AE1448" s="1"/>
      <c r="AF1448" s="1" t="str">
        <f t="shared" si="119"/>
        <v/>
      </c>
      <c r="AG1448" s="1" t="str">
        <f t="shared" si="120"/>
        <v/>
      </c>
      <c r="AH1448" s="1" t="str">
        <f>IF($C1448="","",$B1448&amp;"|"&amp;(COUNTIFS($B$4:$B$1463,$B1448,$AF$4:$AF$1463,"&gt;"&amp;$AF1448)+COUNTIFS($B$4:$B1448,$B1448,$AF$4:$AF1448,"="&amp;$AF1448)))</f>
        <v/>
      </c>
      <c r="AI1448" s="1" t="str">
        <f>IF($C1448="","",$B1448&amp;"|"&amp;(COUNTIFS($B$4:$B$1463,$B1448,$AG$4:$AG$1463,"&gt;"&amp;$AG1448)+COUNTIFS($B$4:$B1448,$B1448,$AG$4:$AG1448,"="&amp;$AG1448)))</f>
        <v/>
      </c>
    </row>
    <row r="1449" spans="1:35" hidden="1">
      <c r="A1449" s="69"/>
      <c r="B1449" s="69"/>
      <c r="C1449" s="63"/>
      <c r="D1449" s="69"/>
      <c r="E1449" s="68"/>
      <c r="F1449" s="15" t="str">
        <f>IF($C1449="","",IF($E1449="","-",IFERROR(INDEX(SETUP!$B$55:$B$64,MATCH($E1449,SETUP!$A$55:$A$64,0)),"Other")))</f>
        <v/>
      </c>
      <c r="G1449" s="70"/>
      <c r="H1449" s="15" t="str">
        <f>IF($C1449="","",IF($G1449="","-",INDEX(SETUP!$B$26:$B$32,MATCH($G1449,SETUP!$A$26:$A$32,1))))</f>
        <v/>
      </c>
      <c r="I1449" s="70"/>
      <c r="J1449" s="15" t="str">
        <f>IF($C1449="","",IF($I1449="","-",INDEX(SETUP!$B$16:$B$22,MATCH($I1449,SETUP!$A$16:$A$22,1))))</f>
        <v/>
      </c>
      <c r="K1449" s="15" t="str">
        <f t="shared" si="114"/>
        <v/>
      </c>
      <c r="L1449" s="71"/>
      <c r="M1449" s="15" t="str">
        <f>IF($C1449="","",IF($L1449="","-",INDEX(SETUP!$B$36:$B$42,MATCH($L1449,SETUP!$A$36:$A$42,1))))</f>
        <v/>
      </c>
      <c r="N1449" s="17" t="str">
        <f>IF($C1449="","",IF(OR($G1449="",$I1449=""),"",ROUND(100*(SETUP!$B$4*MIN(1,$I1449/SETUP!$B$9)+SETUP!$B$5*MAX(0,MIN(1,($G1449-SETUP!$B$10)/(SETUP!$B$11-SETUP!$B$10)))+SETUP!$B$6*MIN(1,IF($L1449="",0,$L1449)/SETUP!$B$12)),1)))</f>
        <v/>
      </c>
      <c r="O1449" s="15" t="str">
        <f>IF($C1449="","",IF($N1449="","-",INDEX(SETUP!$B$46:$B$51,MATCH($N1449,SETUP!$A$46:$A$51,1))))</f>
        <v/>
      </c>
      <c r="P1449" s="15" t="str">
        <f>IF($C1449="","",IF($I1449="","",RANK($I1449,$I$4:$I$1463)+COUNTIF($I$4:$I1449,$I1449)-1))</f>
        <v/>
      </c>
      <c r="Q1449" s="15" t="str">
        <f>IF($C1449="","",COUNTIFS($B$4:$B$1463,$B1449,$X$4:$X$1463,"&gt;"&amp;$X1449)+COUNTIFS($B$4:$B1449,$B1449,$X$4:$X1449,"="&amp;$X1449))</f>
        <v/>
      </c>
      <c r="R1449" s="72" t="str">
        <f>IF($C1449="","",IF($I1449="","",ROUND(COUNTIF($I$4:$I$1463,"&lt;"&amp;$I1449)/COUNT($I$4:$I$1463),3)))</f>
        <v/>
      </c>
      <c r="S1449" s="15" t="str">
        <f t="shared" si="115"/>
        <v/>
      </c>
      <c r="T1449" s="41" t="str">
        <f>IF($C1449="","",TRIM(IF(COUNTIF($C$4:$C$1463,$C1449)&gt;1,"Dup name; ","")&amp;IF(AND($G1449&lt;&gt;"",$G1449&lt;55000),"Low CR - verify; ","")&amp;IF(AND($L1449&lt;&gt;"",$L1449&gt;15),"Secondary - verify; ","")&amp;IF($E1449="","No class; ","")))</f>
        <v/>
      </c>
      <c r="U1449" s="68"/>
      <c r="V1449" s="68"/>
      <c r="W1449" s="68"/>
      <c r="X1449" s="41" t="str">
        <f t="shared" si="116"/>
        <v/>
      </c>
      <c r="Y1449" s="41" t="str">
        <f t="shared" si="117"/>
        <v/>
      </c>
      <c r="Z1449" s="15" t="str">
        <f>IF($C1449="","",IF($G1449="","",RANK($G1449,$G$4:$G$1463)+COUNTIF($G$4:$G1449,$G1449)-1))</f>
        <v/>
      </c>
      <c r="AA1449" s="15" t="str">
        <f>IF($C1449="","",IF($N1449="","",RANK($N1449,$N$4:$N$1463)+COUNTIF($N$4:$N1449,$N1449)-1))</f>
        <v/>
      </c>
      <c r="AB1449" s="41" t="str">
        <f>IF($C1449="","",IF($E1449="","",$E1449&amp;"#"&amp;(COUNTIFS($E$4:$E$1463,$E1449,$X$4:$X$1463,"&gt;"&amp;$X1449)+COUNTIFS($E$4:$E1449,$E1449,$X$4:$X1449,"="&amp;$X1449))))</f>
        <v/>
      </c>
      <c r="AC1449" s="41" t="str">
        <f>IF($C1449="","",$B1449&amp;"@"&amp;(COUNTIFS($B$4:$B$1463,$B1449,$C$4:$C$1463,"&lt;"&amp;$C1449)+COUNTIFS($B$4:$B1449,$B1449,$C$4:$C1449,$C1449)))</f>
        <v/>
      </c>
      <c r="AD1449" s="41" t="str">
        <f t="shared" si="118"/>
        <v/>
      </c>
      <c r="AE1449" s="41"/>
      <c r="AF1449" s="41" t="str">
        <f t="shared" si="119"/>
        <v/>
      </c>
      <c r="AG1449" s="41" t="str">
        <f t="shared" si="120"/>
        <v/>
      </c>
      <c r="AH1449" s="41" t="str">
        <f>IF($C1449="","",$B1449&amp;"|"&amp;(COUNTIFS($B$4:$B$1463,$B1449,$AF$4:$AF$1463,"&gt;"&amp;$AF1449)+COUNTIFS($B$4:$B1449,$B1449,$AF$4:$AF1449,"="&amp;$AF1449)))</f>
        <v/>
      </c>
      <c r="AI1449" s="41" t="str">
        <f>IF($C1449="","",$B1449&amp;"|"&amp;(COUNTIFS($B$4:$B$1463,$B1449,$AG$4:$AG$1463,"&gt;"&amp;$AG1449)+COUNTIFS($B$4:$B1449,$B1449,$AG$4:$AG1449,"="&amp;$AG1449)))</f>
        <v/>
      </c>
    </row>
    <row r="1450" spans="1:35" hidden="1">
      <c r="A1450" s="69"/>
      <c r="B1450" s="69"/>
      <c r="C1450" s="63"/>
      <c r="D1450" s="69"/>
      <c r="E1450" s="68"/>
      <c r="F1450" s="19" t="str">
        <f>IF($C1450="","",IF($E1450="","-",IFERROR(INDEX(SETUP!$B$55:$B$64,MATCH($E1450,SETUP!$A$55:$A$64,0)),"Other")))</f>
        <v/>
      </c>
      <c r="G1450" s="70"/>
      <c r="H1450" s="19" t="str">
        <f>IF($C1450="","",IF($G1450="","-",INDEX(SETUP!$B$26:$B$32,MATCH($G1450,SETUP!$A$26:$A$32,1))))</f>
        <v/>
      </c>
      <c r="I1450" s="70"/>
      <c r="J1450" s="19" t="str">
        <f>IF($C1450="","",IF($I1450="","-",INDEX(SETUP!$B$16:$B$22,MATCH($I1450,SETUP!$A$16:$A$22,1))))</f>
        <v/>
      </c>
      <c r="K1450" s="19" t="str">
        <f t="shared" si="114"/>
        <v/>
      </c>
      <c r="L1450" s="71"/>
      <c r="M1450" s="19" t="str">
        <f>IF($C1450="","",IF($L1450="","-",INDEX(SETUP!$B$36:$B$42,MATCH($L1450,SETUP!$A$36:$A$42,1))))</f>
        <v/>
      </c>
      <c r="N1450" s="21" t="str">
        <f>IF($C1450="","",IF(OR($G1450="",$I1450=""),"",ROUND(100*(SETUP!$B$4*MIN(1,$I1450/SETUP!$B$9)+SETUP!$B$5*MAX(0,MIN(1,($G1450-SETUP!$B$10)/(SETUP!$B$11-SETUP!$B$10)))+SETUP!$B$6*MIN(1,IF($L1450="",0,$L1450)/SETUP!$B$12)),1)))</f>
        <v/>
      </c>
      <c r="O1450" s="19" t="str">
        <f>IF($C1450="","",IF($N1450="","-",INDEX(SETUP!$B$46:$B$51,MATCH($N1450,SETUP!$A$46:$A$51,1))))</f>
        <v/>
      </c>
      <c r="P1450" s="19" t="str">
        <f>IF($C1450="","",IF($I1450="","",RANK($I1450,$I$4:$I$1463)+COUNTIF($I$4:$I1450,$I1450)-1))</f>
        <v/>
      </c>
      <c r="Q1450" s="19" t="str">
        <f>IF($C1450="","",COUNTIFS($B$4:$B$1463,$B1450,$X$4:$X$1463,"&gt;"&amp;$X1450)+COUNTIFS($B$4:$B1450,$B1450,$X$4:$X1450,"="&amp;$X1450))</f>
        <v/>
      </c>
      <c r="R1450" s="75" t="str">
        <f>IF($C1450="","",IF($I1450="","",ROUND(COUNTIF($I$4:$I$1463,"&lt;"&amp;$I1450)/COUNT($I$4:$I$1463),3)))</f>
        <v/>
      </c>
      <c r="S1450" s="19" t="str">
        <f t="shared" si="115"/>
        <v/>
      </c>
      <c r="T1450" s="1" t="str">
        <f>IF($C1450="","",TRIM(IF(COUNTIF($C$4:$C$1463,$C1450)&gt;1,"Dup name; ","")&amp;IF(AND($G1450&lt;&gt;"",$G1450&lt;55000),"Low CR - verify; ","")&amp;IF(AND($L1450&lt;&gt;"",$L1450&gt;15),"Secondary - verify; ","")&amp;IF($E1450="","No class; ","")))</f>
        <v/>
      </c>
      <c r="U1450" s="68"/>
      <c r="V1450" s="68"/>
      <c r="W1450" s="68"/>
      <c r="X1450" s="1" t="str">
        <f t="shared" si="116"/>
        <v/>
      </c>
      <c r="Y1450" s="1" t="str">
        <f t="shared" si="117"/>
        <v/>
      </c>
      <c r="Z1450" s="19" t="str">
        <f>IF($C1450="","",IF($G1450="","",RANK($G1450,$G$4:$G$1463)+COUNTIF($G$4:$G1450,$G1450)-1))</f>
        <v/>
      </c>
      <c r="AA1450" s="19" t="str">
        <f>IF($C1450="","",IF($N1450="","",RANK($N1450,$N$4:$N$1463)+COUNTIF($N$4:$N1450,$N1450)-1))</f>
        <v/>
      </c>
      <c r="AB1450" s="1" t="str">
        <f>IF($C1450="","",IF($E1450="","",$E1450&amp;"#"&amp;(COUNTIFS($E$4:$E$1463,$E1450,$X$4:$X$1463,"&gt;"&amp;$X1450)+COUNTIFS($E$4:$E1450,$E1450,$X$4:$X1450,"="&amp;$X1450))))</f>
        <v/>
      </c>
      <c r="AC1450" s="1" t="str">
        <f>IF($C1450="","",$B1450&amp;"@"&amp;(COUNTIFS($B$4:$B$1463,$B1450,$C$4:$C$1463,"&lt;"&amp;$C1450)+COUNTIFS($B$4:$B1450,$B1450,$C$4:$C1450,$C1450)))</f>
        <v/>
      </c>
      <c r="AD1450" s="1" t="str">
        <f t="shared" si="118"/>
        <v/>
      </c>
      <c r="AE1450" s="1"/>
      <c r="AF1450" s="1" t="str">
        <f t="shared" si="119"/>
        <v/>
      </c>
      <c r="AG1450" s="1" t="str">
        <f t="shared" si="120"/>
        <v/>
      </c>
      <c r="AH1450" s="1" t="str">
        <f>IF($C1450="","",$B1450&amp;"|"&amp;(COUNTIFS($B$4:$B$1463,$B1450,$AF$4:$AF$1463,"&gt;"&amp;$AF1450)+COUNTIFS($B$4:$B1450,$B1450,$AF$4:$AF1450,"="&amp;$AF1450)))</f>
        <v/>
      </c>
      <c r="AI1450" s="1" t="str">
        <f>IF($C1450="","",$B1450&amp;"|"&amp;(COUNTIFS($B$4:$B$1463,$B1450,$AG$4:$AG$1463,"&gt;"&amp;$AG1450)+COUNTIFS($B$4:$B1450,$B1450,$AG$4:$AG1450,"="&amp;$AG1450)))</f>
        <v/>
      </c>
    </row>
    <row r="1451" spans="1:35" hidden="1">
      <c r="A1451" s="69"/>
      <c r="B1451" s="69"/>
      <c r="C1451" s="63"/>
      <c r="D1451" s="69"/>
      <c r="E1451" s="68"/>
      <c r="F1451" s="15" t="str">
        <f>IF($C1451="","",IF($E1451="","-",IFERROR(INDEX(SETUP!$B$55:$B$64,MATCH($E1451,SETUP!$A$55:$A$64,0)),"Other")))</f>
        <v/>
      </c>
      <c r="G1451" s="70"/>
      <c r="H1451" s="15" t="str">
        <f>IF($C1451="","",IF($G1451="","-",INDEX(SETUP!$B$26:$B$32,MATCH($G1451,SETUP!$A$26:$A$32,1))))</f>
        <v/>
      </c>
      <c r="I1451" s="70"/>
      <c r="J1451" s="15" t="str">
        <f>IF($C1451="","",IF($I1451="","-",INDEX(SETUP!$B$16:$B$22,MATCH($I1451,SETUP!$A$16:$A$22,1))))</f>
        <v/>
      </c>
      <c r="K1451" s="15" t="str">
        <f t="shared" si="114"/>
        <v/>
      </c>
      <c r="L1451" s="71"/>
      <c r="M1451" s="15" t="str">
        <f>IF($C1451="","",IF($L1451="","-",INDEX(SETUP!$B$36:$B$42,MATCH($L1451,SETUP!$A$36:$A$42,1))))</f>
        <v/>
      </c>
      <c r="N1451" s="17" t="str">
        <f>IF($C1451="","",IF(OR($G1451="",$I1451=""),"",ROUND(100*(SETUP!$B$4*MIN(1,$I1451/SETUP!$B$9)+SETUP!$B$5*MAX(0,MIN(1,($G1451-SETUP!$B$10)/(SETUP!$B$11-SETUP!$B$10)))+SETUP!$B$6*MIN(1,IF($L1451="",0,$L1451)/SETUP!$B$12)),1)))</f>
        <v/>
      </c>
      <c r="O1451" s="15" t="str">
        <f>IF($C1451="","",IF($N1451="","-",INDEX(SETUP!$B$46:$B$51,MATCH($N1451,SETUP!$A$46:$A$51,1))))</f>
        <v/>
      </c>
      <c r="P1451" s="15" t="str">
        <f>IF($C1451="","",IF($I1451="","",RANK($I1451,$I$4:$I$1463)+COUNTIF($I$4:$I1451,$I1451)-1))</f>
        <v/>
      </c>
      <c r="Q1451" s="15" t="str">
        <f>IF($C1451="","",COUNTIFS($B$4:$B$1463,$B1451,$X$4:$X$1463,"&gt;"&amp;$X1451)+COUNTIFS($B$4:$B1451,$B1451,$X$4:$X1451,"="&amp;$X1451))</f>
        <v/>
      </c>
      <c r="R1451" s="72" t="str">
        <f>IF($C1451="","",IF($I1451="","",ROUND(COUNTIF($I$4:$I$1463,"&lt;"&amp;$I1451)/COUNT($I$4:$I$1463),3)))</f>
        <v/>
      </c>
      <c r="S1451" s="15" t="str">
        <f t="shared" si="115"/>
        <v/>
      </c>
      <c r="T1451" s="41" t="str">
        <f>IF($C1451="","",TRIM(IF(COUNTIF($C$4:$C$1463,$C1451)&gt;1,"Dup name; ","")&amp;IF(AND($G1451&lt;&gt;"",$G1451&lt;55000),"Low CR - verify; ","")&amp;IF(AND($L1451&lt;&gt;"",$L1451&gt;15),"Secondary - verify; ","")&amp;IF($E1451="","No class; ","")))</f>
        <v/>
      </c>
      <c r="U1451" s="68"/>
      <c r="V1451" s="68"/>
      <c r="W1451" s="68"/>
      <c r="X1451" s="41" t="str">
        <f t="shared" si="116"/>
        <v/>
      </c>
      <c r="Y1451" s="41" t="str">
        <f t="shared" si="117"/>
        <v/>
      </c>
      <c r="Z1451" s="15" t="str">
        <f>IF($C1451="","",IF($G1451="","",RANK($G1451,$G$4:$G$1463)+COUNTIF($G$4:$G1451,$G1451)-1))</f>
        <v/>
      </c>
      <c r="AA1451" s="15" t="str">
        <f>IF($C1451="","",IF($N1451="","",RANK($N1451,$N$4:$N$1463)+COUNTIF($N$4:$N1451,$N1451)-1))</f>
        <v/>
      </c>
      <c r="AB1451" s="41" t="str">
        <f>IF($C1451="","",IF($E1451="","",$E1451&amp;"#"&amp;(COUNTIFS($E$4:$E$1463,$E1451,$X$4:$X$1463,"&gt;"&amp;$X1451)+COUNTIFS($E$4:$E1451,$E1451,$X$4:$X1451,"="&amp;$X1451))))</f>
        <v/>
      </c>
      <c r="AC1451" s="41" t="str">
        <f>IF($C1451="","",$B1451&amp;"@"&amp;(COUNTIFS($B$4:$B$1463,$B1451,$C$4:$C$1463,"&lt;"&amp;$C1451)+COUNTIFS($B$4:$B1451,$B1451,$C$4:$C1451,$C1451)))</f>
        <v/>
      </c>
      <c r="AD1451" s="41" t="str">
        <f t="shared" si="118"/>
        <v/>
      </c>
      <c r="AE1451" s="41"/>
      <c r="AF1451" s="41" t="str">
        <f t="shared" si="119"/>
        <v/>
      </c>
      <c r="AG1451" s="41" t="str">
        <f t="shared" si="120"/>
        <v/>
      </c>
      <c r="AH1451" s="41" t="str">
        <f>IF($C1451="","",$B1451&amp;"|"&amp;(COUNTIFS($B$4:$B$1463,$B1451,$AF$4:$AF$1463,"&gt;"&amp;$AF1451)+COUNTIFS($B$4:$B1451,$B1451,$AF$4:$AF1451,"="&amp;$AF1451)))</f>
        <v/>
      </c>
      <c r="AI1451" s="41" t="str">
        <f>IF($C1451="","",$B1451&amp;"|"&amp;(COUNTIFS($B$4:$B$1463,$B1451,$AG$4:$AG$1463,"&gt;"&amp;$AG1451)+COUNTIFS($B$4:$B1451,$B1451,$AG$4:$AG1451,"="&amp;$AG1451)))</f>
        <v/>
      </c>
    </row>
    <row r="1452" spans="1:35" hidden="1">
      <c r="A1452" s="69"/>
      <c r="B1452" s="69"/>
      <c r="C1452" s="63"/>
      <c r="D1452" s="69"/>
      <c r="E1452" s="68"/>
      <c r="F1452" s="19" t="str">
        <f>IF($C1452="","",IF($E1452="","-",IFERROR(INDEX(SETUP!$B$55:$B$64,MATCH($E1452,SETUP!$A$55:$A$64,0)),"Other")))</f>
        <v/>
      </c>
      <c r="G1452" s="70"/>
      <c r="H1452" s="19" t="str">
        <f>IF($C1452="","",IF($G1452="","-",INDEX(SETUP!$B$26:$B$32,MATCH($G1452,SETUP!$A$26:$A$32,1))))</f>
        <v/>
      </c>
      <c r="I1452" s="70"/>
      <c r="J1452" s="19" t="str">
        <f>IF($C1452="","",IF($I1452="","-",INDEX(SETUP!$B$16:$B$22,MATCH($I1452,SETUP!$A$16:$A$22,1))))</f>
        <v/>
      </c>
      <c r="K1452" s="19" t="str">
        <f t="shared" si="114"/>
        <v/>
      </c>
      <c r="L1452" s="71"/>
      <c r="M1452" s="19" t="str">
        <f>IF($C1452="","",IF($L1452="","-",INDEX(SETUP!$B$36:$B$42,MATCH($L1452,SETUP!$A$36:$A$42,1))))</f>
        <v/>
      </c>
      <c r="N1452" s="21" t="str">
        <f>IF($C1452="","",IF(OR($G1452="",$I1452=""),"",ROUND(100*(SETUP!$B$4*MIN(1,$I1452/SETUP!$B$9)+SETUP!$B$5*MAX(0,MIN(1,($G1452-SETUP!$B$10)/(SETUP!$B$11-SETUP!$B$10)))+SETUP!$B$6*MIN(1,IF($L1452="",0,$L1452)/SETUP!$B$12)),1)))</f>
        <v/>
      </c>
      <c r="O1452" s="19" t="str">
        <f>IF($C1452="","",IF($N1452="","-",INDEX(SETUP!$B$46:$B$51,MATCH($N1452,SETUP!$A$46:$A$51,1))))</f>
        <v/>
      </c>
      <c r="P1452" s="19" t="str">
        <f>IF($C1452="","",IF($I1452="","",RANK($I1452,$I$4:$I$1463)+COUNTIF($I$4:$I1452,$I1452)-1))</f>
        <v/>
      </c>
      <c r="Q1452" s="19" t="str">
        <f>IF($C1452="","",COUNTIFS($B$4:$B$1463,$B1452,$X$4:$X$1463,"&gt;"&amp;$X1452)+COUNTIFS($B$4:$B1452,$B1452,$X$4:$X1452,"="&amp;$X1452))</f>
        <v/>
      </c>
      <c r="R1452" s="75" t="str">
        <f>IF($C1452="","",IF($I1452="","",ROUND(COUNTIF($I$4:$I$1463,"&lt;"&amp;$I1452)/COUNT($I$4:$I$1463),3)))</f>
        <v/>
      </c>
      <c r="S1452" s="19" t="str">
        <f t="shared" si="115"/>
        <v/>
      </c>
      <c r="T1452" s="1" t="str">
        <f>IF($C1452="","",TRIM(IF(COUNTIF($C$4:$C$1463,$C1452)&gt;1,"Dup name; ","")&amp;IF(AND($G1452&lt;&gt;"",$G1452&lt;55000),"Low CR - verify; ","")&amp;IF(AND($L1452&lt;&gt;"",$L1452&gt;15),"Secondary - verify; ","")&amp;IF($E1452="","No class; ","")))</f>
        <v/>
      </c>
      <c r="U1452" s="68"/>
      <c r="V1452" s="68"/>
      <c r="W1452" s="68"/>
      <c r="X1452" s="1" t="str">
        <f t="shared" si="116"/>
        <v/>
      </c>
      <c r="Y1452" s="1" t="str">
        <f t="shared" si="117"/>
        <v/>
      </c>
      <c r="Z1452" s="19" t="str">
        <f>IF($C1452="","",IF($G1452="","",RANK($G1452,$G$4:$G$1463)+COUNTIF($G$4:$G1452,$G1452)-1))</f>
        <v/>
      </c>
      <c r="AA1452" s="19" t="str">
        <f>IF($C1452="","",IF($N1452="","",RANK($N1452,$N$4:$N$1463)+COUNTIF($N$4:$N1452,$N1452)-1))</f>
        <v/>
      </c>
      <c r="AB1452" s="1" t="str">
        <f>IF($C1452="","",IF($E1452="","",$E1452&amp;"#"&amp;(COUNTIFS($E$4:$E$1463,$E1452,$X$4:$X$1463,"&gt;"&amp;$X1452)+COUNTIFS($E$4:$E1452,$E1452,$X$4:$X1452,"="&amp;$X1452))))</f>
        <v/>
      </c>
      <c r="AC1452" s="1" t="str">
        <f>IF($C1452="","",$B1452&amp;"@"&amp;(COUNTIFS($B$4:$B$1463,$B1452,$C$4:$C$1463,"&lt;"&amp;$C1452)+COUNTIFS($B$4:$B1452,$B1452,$C$4:$C1452,$C1452)))</f>
        <v/>
      </c>
      <c r="AD1452" s="1" t="str">
        <f t="shared" si="118"/>
        <v/>
      </c>
      <c r="AE1452" s="1"/>
      <c r="AF1452" s="1" t="str">
        <f t="shared" si="119"/>
        <v/>
      </c>
      <c r="AG1452" s="1" t="str">
        <f t="shared" si="120"/>
        <v/>
      </c>
      <c r="AH1452" s="1" t="str">
        <f>IF($C1452="","",$B1452&amp;"|"&amp;(COUNTIFS($B$4:$B$1463,$B1452,$AF$4:$AF$1463,"&gt;"&amp;$AF1452)+COUNTIFS($B$4:$B1452,$B1452,$AF$4:$AF1452,"="&amp;$AF1452)))</f>
        <v/>
      </c>
      <c r="AI1452" s="1" t="str">
        <f>IF($C1452="","",$B1452&amp;"|"&amp;(COUNTIFS($B$4:$B$1463,$B1452,$AG$4:$AG$1463,"&gt;"&amp;$AG1452)+COUNTIFS($B$4:$B1452,$B1452,$AG$4:$AG1452,"="&amp;$AG1452)))</f>
        <v/>
      </c>
    </row>
    <row r="1453" spans="1:35" hidden="1">
      <c r="A1453" s="69"/>
      <c r="B1453" s="69"/>
      <c r="C1453" s="63"/>
      <c r="D1453" s="69"/>
      <c r="E1453" s="68"/>
      <c r="F1453" s="15" t="str">
        <f>IF($C1453="","",IF($E1453="","-",IFERROR(INDEX(SETUP!$B$55:$B$64,MATCH($E1453,SETUP!$A$55:$A$64,0)),"Other")))</f>
        <v/>
      </c>
      <c r="G1453" s="70"/>
      <c r="H1453" s="15" t="str">
        <f>IF($C1453="","",IF($G1453="","-",INDEX(SETUP!$B$26:$B$32,MATCH($G1453,SETUP!$A$26:$A$32,1))))</f>
        <v/>
      </c>
      <c r="I1453" s="70"/>
      <c r="J1453" s="15" t="str">
        <f>IF($C1453="","",IF($I1453="","-",INDEX(SETUP!$B$16:$B$22,MATCH($I1453,SETUP!$A$16:$A$22,1))))</f>
        <v/>
      </c>
      <c r="K1453" s="15" t="str">
        <f t="shared" si="114"/>
        <v/>
      </c>
      <c r="L1453" s="71"/>
      <c r="M1453" s="15" t="str">
        <f>IF($C1453="","",IF($L1453="","-",INDEX(SETUP!$B$36:$B$42,MATCH($L1453,SETUP!$A$36:$A$42,1))))</f>
        <v/>
      </c>
      <c r="N1453" s="17" t="str">
        <f>IF($C1453="","",IF(OR($G1453="",$I1453=""),"",ROUND(100*(SETUP!$B$4*MIN(1,$I1453/SETUP!$B$9)+SETUP!$B$5*MAX(0,MIN(1,($G1453-SETUP!$B$10)/(SETUP!$B$11-SETUP!$B$10)))+SETUP!$B$6*MIN(1,IF($L1453="",0,$L1453)/SETUP!$B$12)),1)))</f>
        <v/>
      </c>
      <c r="O1453" s="15" t="str">
        <f>IF($C1453="","",IF($N1453="","-",INDEX(SETUP!$B$46:$B$51,MATCH($N1453,SETUP!$A$46:$A$51,1))))</f>
        <v/>
      </c>
      <c r="P1453" s="15" t="str">
        <f>IF($C1453="","",IF($I1453="","",RANK($I1453,$I$4:$I$1463)+COUNTIF($I$4:$I1453,$I1453)-1))</f>
        <v/>
      </c>
      <c r="Q1453" s="15" t="str">
        <f>IF($C1453="","",COUNTIFS($B$4:$B$1463,$B1453,$X$4:$X$1463,"&gt;"&amp;$X1453)+COUNTIFS($B$4:$B1453,$B1453,$X$4:$X1453,"="&amp;$X1453))</f>
        <v/>
      </c>
      <c r="R1453" s="72" t="str">
        <f>IF($C1453="","",IF($I1453="","",ROUND(COUNTIF($I$4:$I$1463,"&lt;"&amp;$I1453)/COUNT($I$4:$I$1463),3)))</f>
        <v/>
      </c>
      <c r="S1453" s="15" t="str">
        <f t="shared" si="115"/>
        <v/>
      </c>
      <c r="T1453" s="41" t="str">
        <f>IF($C1453="","",TRIM(IF(COUNTIF($C$4:$C$1463,$C1453)&gt;1,"Dup name; ","")&amp;IF(AND($G1453&lt;&gt;"",$G1453&lt;55000),"Low CR - verify; ","")&amp;IF(AND($L1453&lt;&gt;"",$L1453&gt;15),"Secondary - verify; ","")&amp;IF($E1453="","No class; ","")))</f>
        <v/>
      </c>
      <c r="U1453" s="68"/>
      <c r="V1453" s="68"/>
      <c r="W1453" s="68"/>
      <c r="X1453" s="41" t="str">
        <f t="shared" si="116"/>
        <v/>
      </c>
      <c r="Y1453" s="41" t="str">
        <f t="shared" si="117"/>
        <v/>
      </c>
      <c r="Z1453" s="15" t="str">
        <f>IF($C1453="","",IF($G1453="","",RANK($G1453,$G$4:$G$1463)+COUNTIF($G$4:$G1453,$G1453)-1))</f>
        <v/>
      </c>
      <c r="AA1453" s="15" t="str">
        <f>IF($C1453="","",IF($N1453="","",RANK($N1453,$N$4:$N$1463)+COUNTIF($N$4:$N1453,$N1453)-1))</f>
        <v/>
      </c>
      <c r="AB1453" s="41" t="str">
        <f>IF($C1453="","",IF($E1453="","",$E1453&amp;"#"&amp;(COUNTIFS($E$4:$E$1463,$E1453,$X$4:$X$1463,"&gt;"&amp;$X1453)+COUNTIFS($E$4:$E1453,$E1453,$X$4:$X1453,"="&amp;$X1453))))</f>
        <v/>
      </c>
      <c r="AC1453" s="41" t="str">
        <f>IF($C1453="","",$B1453&amp;"@"&amp;(COUNTIFS($B$4:$B$1463,$B1453,$C$4:$C$1463,"&lt;"&amp;$C1453)+COUNTIFS($B$4:$B1453,$B1453,$C$4:$C1453,$C1453)))</f>
        <v/>
      </c>
      <c r="AD1453" s="41" t="str">
        <f t="shared" si="118"/>
        <v/>
      </c>
      <c r="AE1453" s="41"/>
      <c r="AF1453" s="41" t="str">
        <f t="shared" si="119"/>
        <v/>
      </c>
      <c r="AG1453" s="41" t="str">
        <f t="shared" si="120"/>
        <v/>
      </c>
      <c r="AH1453" s="41" t="str">
        <f>IF($C1453="","",$B1453&amp;"|"&amp;(COUNTIFS($B$4:$B$1463,$B1453,$AF$4:$AF$1463,"&gt;"&amp;$AF1453)+COUNTIFS($B$4:$B1453,$B1453,$AF$4:$AF1453,"="&amp;$AF1453)))</f>
        <v/>
      </c>
      <c r="AI1453" s="41" t="str">
        <f>IF($C1453="","",$B1453&amp;"|"&amp;(COUNTIFS($B$4:$B$1463,$B1453,$AG$4:$AG$1463,"&gt;"&amp;$AG1453)+COUNTIFS($B$4:$B1453,$B1453,$AG$4:$AG1453,"="&amp;$AG1453)))</f>
        <v/>
      </c>
    </row>
    <row r="1454" spans="1:35" hidden="1">
      <c r="A1454" s="69"/>
      <c r="B1454" s="69"/>
      <c r="C1454" s="63"/>
      <c r="D1454" s="69"/>
      <c r="E1454" s="68"/>
      <c r="F1454" s="19" t="str">
        <f>IF($C1454="","",IF($E1454="","-",IFERROR(INDEX(SETUP!$B$55:$B$64,MATCH($E1454,SETUP!$A$55:$A$64,0)),"Other")))</f>
        <v/>
      </c>
      <c r="G1454" s="70"/>
      <c r="H1454" s="19" t="str">
        <f>IF($C1454="","",IF($G1454="","-",INDEX(SETUP!$B$26:$B$32,MATCH($G1454,SETUP!$A$26:$A$32,1))))</f>
        <v/>
      </c>
      <c r="I1454" s="70"/>
      <c r="J1454" s="19" t="str">
        <f>IF($C1454="","",IF($I1454="","-",INDEX(SETUP!$B$16:$B$22,MATCH($I1454,SETUP!$A$16:$A$22,1))))</f>
        <v/>
      </c>
      <c r="K1454" s="19" t="str">
        <f t="shared" si="114"/>
        <v/>
      </c>
      <c r="L1454" s="71"/>
      <c r="M1454" s="19" t="str">
        <f>IF($C1454="","",IF($L1454="","-",INDEX(SETUP!$B$36:$B$42,MATCH($L1454,SETUP!$A$36:$A$42,1))))</f>
        <v/>
      </c>
      <c r="N1454" s="21" t="str">
        <f>IF($C1454="","",IF(OR($G1454="",$I1454=""),"",ROUND(100*(SETUP!$B$4*MIN(1,$I1454/SETUP!$B$9)+SETUP!$B$5*MAX(0,MIN(1,($G1454-SETUP!$B$10)/(SETUP!$B$11-SETUP!$B$10)))+SETUP!$B$6*MIN(1,IF($L1454="",0,$L1454)/SETUP!$B$12)),1)))</f>
        <v/>
      </c>
      <c r="O1454" s="19" t="str">
        <f>IF($C1454="","",IF($N1454="","-",INDEX(SETUP!$B$46:$B$51,MATCH($N1454,SETUP!$A$46:$A$51,1))))</f>
        <v/>
      </c>
      <c r="P1454" s="19" t="str">
        <f>IF($C1454="","",IF($I1454="","",RANK($I1454,$I$4:$I$1463)+COUNTIF($I$4:$I1454,$I1454)-1))</f>
        <v/>
      </c>
      <c r="Q1454" s="19" t="str">
        <f>IF($C1454="","",COUNTIFS($B$4:$B$1463,$B1454,$X$4:$X$1463,"&gt;"&amp;$X1454)+COUNTIFS($B$4:$B1454,$B1454,$X$4:$X1454,"="&amp;$X1454))</f>
        <v/>
      </c>
      <c r="R1454" s="75" t="str">
        <f>IF($C1454="","",IF($I1454="","",ROUND(COUNTIF($I$4:$I$1463,"&lt;"&amp;$I1454)/COUNT($I$4:$I$1463),3)))</f>
        <v/>
      </c>
      <c r="S1454" s="19" t="str">
        <f t="shared" si="115"/>
        <v/>
      </c>
      <c r="T1454" s="1" t="str">
        <f>IF($C1454="","",TRIM(IF(COUNTIF($C$4:$C$1463,$C1454)&gt;1,"Dup name; ","")&amp;IF(AND($G1454&lt;&gt;"",$G1454&lt;55000),"Low CR - verify; ","")&amp;IF(AND($L1454&lt;&gt;"",$L1454&gt;15),"Secondary - verify; ","")&amp;IF($E1454="","No class; ","")))</f>
        <v/>
      </c>
      <c r="U1454" s="68"/>
      <c r="V1454" s="68"/>
      <c r="W1454" s="68"/>
      <c r="X1454" s="1" t="str">
        <f t="shared" si="116"/>
        <v/>
      </c>
      <c r="Y1454" s="1" t="str">
        <f t="shared" si="117"/>
        <v/>
      </c>
      <c r="Z1454" s="19" t="str">
        <f>IF($C1454="","",IF($G1454="","",RANK($G1454,$G$4:$G$1463)+COUNTIF($G$4:$G1454,$G1454)-1))</f>
        <v/>
      </c>
      <c r="AA1454" s="19" t="str">
        <f>IF($C1454="","",IF($N1454="","",RANK($N1454,$N$4:$N$1463)+COUNTIF($N$4:$N1454,$N1454)-1))</f>
        <v/>
      </c>
      <c r="AB1454" s="1" t="str">
        <f>IF($C1454="","",IF($E1454="","",$E1454&amp;"#"&amp;(COUNTIFS($E$4:$E$1463,$E1454,$X$4:$X$1463,"&gt;"&amp;$X1454)+COUNTIFS($E$4:$E1454,$E1454,$X$4:$X1454,"="&amp;$X1454))))</f>
        <v/>
      </c>
      <c r="AC1454" s="1" t="str">
        <f>IF($C1454="","",$B1454&amp;"@"&amp;(COUNTIFS($B$4:$B$1463,$B1454,$C$4:$C$1463,"&lt;"&amp;$C1454)+COUNTIFS($B$4:$B1454,$B1454,$C$4:$C1454,$C1454)))</f>
        <v/>
      </c>
      <c r="AD1454" s="1" t="str">
        <f t="shared" si="118"/>
        <v/>
      </c>
      <c r="AE1454" s="1"/>
      <c r="AF1454" s="1" t="str">
        <f t="shared" si="119"/>
        <v/>
      </c>
      <c r="AG1454" s="1" t="str">
        <f t="shared" si="120"/>
        <v/>
      </c>
      <c r="AH1454" s="1" t="str">
        <f>IF($C1454="","",$B1454&amp;"|"&amp;(COUNTIFS($B$4:$B$1463,$B1454,$AF$4:$AF$1463,"&gt;"&amp;$AF1454)+COUNTIFS($B$4:$B1454,$B1454,$AF$4:$AF1454,"="&amp;$AF1454)))</f>
        <v/>
      </c>
      <c r="AI1454" s="1" t="str">
        <f>IF($C1454="","",$B1454&amp;"|"&amp;(COUNTIFS($B$4:$B$1463,$B1454,$AG$4:$AG$1463,"&gt;"&amp;$AG1454)+COUNTIFS($B$4:$B1454,$B1454,$AG$4:$AG1454,"="&amp;$AG1454)))</f>
        <v/>
      </c>
    </row>
    <row r="1455" spans="1:35" hidden="1">
      <c r="A1455" s="69"/>
      <c r="B1455" s="69"/>
      <c r="C1455" s="63"/>
      <c r="D1455" s="69"/>
      <c r="E1455" s="68"/>
      <c r="F1455" s="15" t="str">
        <f>IF($C1455="","",IF($E1455="","-",IFERROR(INDEX(SETUP!$B$55:$B$64,MATCH($E1455,SETUP!$A$55:$A$64,0)),"Other")))</f>
        <v/>
      </c>
      <c r="G1455" s="70"/>
      <c r="H1455" s="15" t="str">
        <f>IF($C1455="","",IF($G1455="","-",INDEX(SETUP!$B$26:$B$32,MATCH($G1455,SETUP!$A$26:$A$32,1))))</f>
        <v/>
      </c>
      <c r="I1455" s="70"/>
      <c r="J1455" s="15" t="str">
        <f>IF($C1455="","",IF($I1455="","-",INDEX(SETUP!$B$16:$B$22,MATCH($I1455,SETUP!$A$16:$A$22,1))))</f>
        <v/>
      </c>
      <c r="K1455" s="15" t="str">
        <f t="shared" si="114"/>
        <v/>
      </c>
      <c r="L1455" s="71"/>
      <c r="M1455" s="15" t="str">
        <f>IF($C1455="","",IF($L1455="","-",INDEX(SETUP!$B$36:$B$42,MATCH($L1455,SETUP!$A$36:$A$42,1))))</f>
        <v/>
      </c>
      <c r="N1455" s="17" t="str">
        <f>IF($C1455="","",IF(OR($G1455="",$I1455=""),"",ROUND(100*(SETUP!$B$4*MIN(1,$I1455/SETUP!$B$9)+SETUP!$B$5*MAX(0,MIN(1,($G1455-SETUP!$B$10)/(SETUP!$B$11-SETUP!$B$10)))+SETUP!$B$6*MIN(1,IF($L1455="",0,$L1455)/SETUP!$B$12)),1)))</f>
        <v/>
      </c>
      <c r="O1455" s="15" t="str">
        <f>IF($C1455="","",IF($N1455="","-",INDEX(SETUP!$B$46:$B$51,MATCH($N1455,SETUP!$A$46:$A$51,1))))</f>
        <v/>
      </c>
      <c r="P1455" s="15" t="str">
        <f>IF($C1455="","",IF($I1455="","",RANK($I1455,$I$4:$I$1463)+COUNTIF($I$4:$I1455,$I1455)-1))</f>
        <v/>
      </c>
      <c r="Q1455" s="15" t="str">
        <f>IF($C1455="","",COUNTIFS($B$4:$B$1463,$B1455,$X$4:$X$1463,"&gt;"&amp;$X1455)+COUNTIFS($B$4:$B1455,$B1455,$X$4:$X1455,"="&amp;$X1455))</f>
        <v/>
      </c>
      <c r="R1455" s="72" t="str">
        <f>IF($C1455="","",IF($I1455="","",ROUND(COUNTIF($I$4:$I$1463,"&lt;"&amp;$I1455)/COUNT($I$4:$I$1463),3)))</f>
        <v/>
      </c>
      <c r="S1455" s="15" t="str">
        <f t="shared" si="115"/>
        <v/>
      </c>
      <c r="T1455" s="41" t="str">
        <f>IF($C1455="","",TRIM(IF(COUNTIF($C$4:$C$1463,$C1455)&gt;1,"Dup name; ","")&amp;IF(AND($G1455&lt;&gt;"",$G1455&lt;55000),"Low CR - verify; ","")&amp;IF(AND($L1455&lt;&gt;"",$L1455&gt;15),"Secondary - verify; ","")&amp;IF($E1455="","No class; ","")))</f>
        <v/>
      </c>
      <c r="U1455" s="68"/>
      <c r="V1455" s="68"/>
      <c r="W1455" s="68"/>
      <c r="X1455" s="41" t="str">
        <f t="shared" si="116"/>
        <v/>
      </c>
      <c r="Y1455" s="41" t="str">
        <f t="shared" si="117"/>
        <v/>
      </c>
      <c r="Z1455" s="15" t="str">
        <f>IF($C1455="","",IF($G1455="","",RANK($G1455,$G$4:$G$1463)+COUNTIF($G$4:$G1455,$G1455)-1))</f>
        <v/>
      </c>
      <c r="AA1455" s="15" t="str">
        <f>IF($C1455="","",IF($N1455="","",RANK($N1455,$N$4:$N$1463)+COUNTIF($N$4:$N1455,$N1455)-1))</f>
        <v/>
      </c>
      <c r="AB1455" s="41" t="str">
        <f>IF($C1455="","",IF($E1455="","",$E1455&amp;"#"&amp;(COUNTIFS($E$4:$E$1463,$E1455,$X$4:$X$1463,"&gt;"&amp;$X1455)+COUNTIFS($E$4:$E1455,$E1455,$X$4:$X1455,"="&amp;$X1455))))</f>
        <v/>
      </c>
      <c r="AC1455" s="41" t="str">
        <f>IF($C1455="","",$B1455&amp;"@"&amp;(COUNTIFS($B$4:$B$1463,$B1455,$C$4:$C$1463,"&lt;"&amp;$C1455)+COUNTIFS($B$4:$B1455,$B1455,$C$4:$C1455,$C1455)))</f>
        <v/>
      </c>
      <c r="AD1455" s="41" t="str">
        <f t="shared" si="118"/>
        <v/>
      </c>
      <c r="AE1455" s="41"/>
      <c r="AF1455" s="41" t="str">
        <f t="shared" si="119"/>
        <v/>
      </c>
      <c r="AG1455" s="41" t="str">
        <f t="shared" si="120"/>
        <v/>
      </c>
      <c r="AH1455" s="41" t="str">
        <f>IF($C1455="","",$B1455&amp;"|"&amp;(COUNTIFS($B$4:$B$1463,$B1455,$AF$4:$AF$1463,"&gt;"&amp;$AF1455)+COUNTIFS($B$4:$B1455,$B1455,$AF$4:$AF1455,"="&amp;$AF1455)))</f>
        <v/>
      </c>
      <c r="AI1455" s="41" t="str">
        <f>IF($C1455="","",$B1455&amp;"|"&amp;(COUNTIFS($B$4:$B$1463,$B1455,$AG$4:$AG$1463,"&gt;"&amp;$AG1455)+COUNTIFS($B$4:$B1455,$B1455,$AG$4:$AG1455,"="&amp;$AG1455)))</f>
        <v/>
      </c>
    </row>
    <row r="1456" spans="1:35" hidden="1">
      <c r="A1456" s="69"/>
      <c r="B1456" s="69"/>
      <c r="C1456" s="63"/>
      <c r="D1456" s="69"/>
      <c r="E1456" s="68"/>
      <c r="F1456" s="19" t="str">
        <f>IF($C1456="","",IF($E1456="","-",IFERROR(INDEX(SETUP!$B$55:$B$64,MATCH($E1456,SETUP!$A$55:$A$64,0)),"Other")))</f>
        <v/>
      </c>
      <c r="G1456" s="70"/>
      <c r="H1456" s="19" t="str">
        <f>IF($C1456="","",IF($G1456="","-",INDEX(SETUP!$B$26:$B$32,MATCH($G1456,SETUP!$A$26:$A$32,1))))</f>
        <v/>
      </c>
      <c r="I1456" s="70"/>
      <c r="J1456" s="19" t="str">
        <f>IF($C1456="","",IF($I1456="","-",INDEX(SETUP!$B$16:$B$22,MATCH($I1456,SETUP!$A$16:$A$22,1))))</f>
        <v/>
      </c>
      <c r="K1456" s="19" t="str">
        <f t="shared" si="114"/>
        <v/>
      </c>
      <c r="L1456" s="71"/>
      <c r="M1456" s="19" t="str">
        <f>IF($C1456="","",IF($L1456="","-",INDEX(SETUP!$B$36:$B$42,MATCH($L1456,SETUP!$A$36:$A$42,1))))</f>
        <v/>
      </c>
      <c r="N1456" s="21" t="str">
        <f>IF($C1456="","",IF(OR($G1456="",$I1456=""),"",ROUND(100*(SETUP!$B$4*MIN(1,$I1456/SETUP!$B$9)+SETUP!$B$5*MAX(0,MIN(1,($G1456-SETUP!$B$10)/(SETUP!$B$11-SETUP!$B$10)))+SETUP!$B$6*MIN(1,IF($L1456="",0,$L1456)/SETUP!$B$12)),1)))</f>
        <v/>
      </c>
      <c r="O1456" s="19" t="str">
        <f>IF($C1456="","",IF($N1456="","-",INDEX(SETUP!$B$46:$B$51,MATCH($N1456,SETUP!$A$46:$A$51,1))))</f>
        <v/>
      </c>
      <c r="P1456" s="19" t="str">
        <f>IF($C1456="","",IF($I1456="","",RANK($I1456,$I$4:$I$1463)+COUNTIF($I$4:$I1456,$I1456)-1))</f>
        <v/>
      </c>
      <c r="Q1456" s="19" t="str">
        <f>IF($C1456="","",COUNTIFS($B$4:$B$1463,$B1456,$X$4:$X$1463,"&gt;"&amp;$X1456)+COUNTIFS($B$4:$B1456,$B1456,$X$4:$X1456,"="&amp;$X1456))</f>
        <v/>
      </c>
      <c r="R1456" s="75" t="str">
        <f>IF($C1456="","",IF($I1456="","",ROUND(COUNTIF($I$4:$I$1463,"&lt;"&amp;$I1456)/COUNT($I$4:$I$1463),3)))</f>
        <v/>
      </c>
      <c r="S1456" s="19" t="str">
        <f t="shared" si="115"/>
        <v/>
      </c>
      <c r="T1456" s="1" t="str">
        <f>IF($C1456="","",TRIM(IF(COUNTIF($C$4:$C$1463,$C1456)&gt;1,"Dup name; ","")&amp;IF(AND($G1456&lt;&gt;"",$G1456&lt;55000),"Low CR - verify; ","")&amp;IF(AND($L1456&lt;&gt;"",$L1456&gt;15),"Secondary - verify; ","")&amp;IF($E1456="","No class; ","")))</f>
        <v/>
      </c>
      <c r="U1456" s="68"/>
      <c r="V1456" s="68"/>
      <c r="W1456" s="68"/>
      <c r="X1456" s="1" t="str">
        <f t="shared" si="116"/>
        <v/>
      </c>
      <c r="Y1456" s="1" t="str">
        <f t="shared" si="117"/>
        <v/>
      </c>
      <c r="Z1456" s="19" t="str">
        <f>IF($C1456="","",IF($G1456="","",RANK($G1456,$G$4:$G$1463)+COUNTIF($G$4:$G1456,$G1456)-1))</f>
        <v/>
      </c>
      <c r="AA1456" s="19" t="str">
        <f>IF($C1456="","",IF($N1456="","",RANK($N1456,$N$4:$N$1463)+COUNTIF($N$4:$N1456,$N1456)-1))</f>
        <v/>
      </c>
      <c r="AB1456" s="1" t="str">
        <f>IF($C1456="","",IF($E1456="","",$E1456&amp;"#"&amp;(COUNTIFS($E$4:$E$1463,$E1456,$X$4:$X$1463,"&gt;"&amp;$X1456)+COUNTIFS($E$4:$E1456,$E1456,$X$4:$X1456,"="&amp;$X1456))))</f>
        <v/>
      </c>
      <c r="AC1456" s="1" t="str">
        <f>IF($C1456="","",$B1456&amp;"@"&amp;(COUNTIFS($B$4:$B$1463,$B1456,$C$4:$C$1463,"&lt;"&amp;$C1456)+COUNTIFS($B$4:$B1456,$B1456,$C$4:$C1456,$C1456)))</f>
        <v/>
      </c>
      <c r="AD1456" s="1" t="str">
        <f t="shared" si="118"/>
        <v/>
      </c>
      <c r="AE1456" s="1"/>
      <c r="AF1456" s="1" t="str">
        <f t="shared" si="119"/>
        <v/>
      </c>
      <c r="AG1456" s="1" t="str">
        <f t="shared" si="120"/>
        <v/>
      </c>
      <c r="AH1456" s="1" t="str">
        <f>IF($C1456="","",$B1456&amp;"|"&amp;(COUNTIFS($B$4:$B$1463,$B1456,$AF$4:$AF$1463,"&gt;"&amp;$AF1456)+COUNTIFS($B$4:$B1456,$B1456,$AF$4:$AF1456,"="&amp;$AF1456)))</f>
        <v/>
      </c>
      <c r="AI1456" s="1" t="str">
        <f>IF($C1456="","",$B1456&amp;"|"&amp;(COUNTIFS($B$4:$B$1463,$B1456,$AG$4:$AG$1463,"&gt;"&amp;$AG1456)+COUNTIFS($B$4:$B1456,$B1456,$AG$4:$AG1456,"="&amp;$AG1456)))</f>
        <v/>
      </c>
    </row>
    <row r="1457" spans="1:35" hidden="1">
      <c r="A1457" s="69"/>
      <c r="B1457" s="69"/>
      <c r="C1457" s="63"/>
      <c r="D1457" s="69"/>
      <c r="E1457" s="68"/>
      <c r="F1457" s="15" t="str">
        <f>IF($C1457="","",IF($E1457="","-",IFERROR(INDEX(SETUP!$B$55:$B$64,MATCH($E1457,SETUP!$A$55:$A$64,0)),"Other")))</f>
        <v/>
      </c>
      <c r="G1457" s="70"/>
      <c r="H1457" s="15" t="str">
        <f>IF($C1457="","",IF($G1457="","-",INDEX(SETUP!$B$26:$B$32,MATCH($G1457,SETUP!$A$26:$A$32,1))))</f>
        <v/>
      </c>
      <c r="I1457" s="70"/>
      <c r="J1457" s="15" t="str">
        <f>IF($C1457="","",IF($I1457="","-",INDEX(SETUP!$B$16:$B$22,MATCH($I1457,SETUP!$A$16:$A$22,1))))</f>
        <v/>
      </c>
      <c r="K1457" s="15" t="str">
        <f t="shared" si="114"/>
        <v/>
      </c>
      <c r="L1457" s="71"/>
      <c r="M1457" s="15" t="str">
        <f>IF($C1457="","",IF($L1457="","-",INDEX(SETUP!$B$36:$B$42,MATCH($L1457,SETUP!$A$36:$A$42,1))))</f>
        <v/>
      </c>
      <c r="N1457" s="17" t="str">
        <f>IF($C1457="","",IF(OR($G1457="",$I1457=""),"",ROUND(100*(SETUP!$B$4*MIN(1,$I1457/SETUP!$B$9)+SETUP!$B$5*MAX(0,MIN(1,($G1457-SETUP!$B$10)/(SETUP!$B$11-SETUP!$B$10)))+SETUP!$B$6*MIN(1,IF($L1457="",0,$L1457)/SETUP!$B$12)),1)))</f>
        <v/>
      </c>
      <c r="O1457" s="15" t="str">
        <f>IF($C1457="","",IF($N1457="","-",INDEX(SETUP!$B$46:$B$51,MATCH($N1457,SETUP!$A$46:$A$51,1))))</f>
        <v/>
      </c>
      <c r="P1457" s="15" t="str">
        <f>IF($C1457="","",IF($I1457="","",RANK($I1457,$I$4:$I$1463)+COUNTIF($I$4:$I1457,$I1457)-1))</f>
        <v/>
      </c>
      <c r="Q1457" s="15" t="str">
        <f>IF($C1457="","",COUNTIFS($B$4:$B$1463,$B1457,$X$4:$X$1463,"&gt;"&amp;$X1457)+COUNTIFS($B$4:$B1457,$B1457,$X$4:$X1457,"="&amp;$X1457))</f>
        <v/>
      </c>
      <c r="R1457" s="72" t="str">
        <f>IF($C1457="","",IF($I1457="","",ROUND(COUNTIF($I$4:$I$1463,"&lt;"&amp;$I1457)/COUNT($I$4:$I$1463),3)))</f>
        <v/>
      </c>
      <c r="S1457" s="15" t="str">
        <f t="shared" si="115"/>
        <v/>
      </c>
      <c r="T1457" s="41" t="str">
        <f>IF($C1457="","",TRIM(IF(COUNTIF($C$4:$C$1463,$C1457)&gt;1,"Dup name; ","")&amp;IF(AND($G1457&lt;&gt;"",$G1457&lt;55000),"Low CR - verify; ","")&amp;IF(AND($L1457&lt;&gt;"",$L1457&gt;15),"Secondary - verify; ","")&amp;IF($E1457="","No class; ","")))</f>
        <v/>
      </c>
      <c r="U1457" s="68"/>
      <c r="V1457" s="68"/>
      <c r="W1457" s="68"/>
      <c r="X1457" s="41" t="str">
        <f t="shared" si="116"/>
        <v/>
      </c>
      <c r="Y1457" s="41" t="str">
        <f t="shared" si="117"/>
        <v/>
      </c>
      <c r="Z1457" s="15" t="str">
        <f>IF($C1457="","",IF($G1457="","",RANK($G1457,$G$4:$G$1463)+COUNTIF($G$4:$G1457,$G1457)-1))</f>
        <v/>
      </c>
      <c r="AA1457" s="15" t="str">
        <f>IF($C1457="","",IF($N1457="","",RANK($N1457,$N$4:$N$1463)+COUNTIF($N$4:$N1457,$N1457)-1))</f>
        <v/>
      </c>
      <c r="AB1457" s="41" t="str">
        <f>IF($C1457="","",IF($E1457="","",$E1457&amp;"#"&amp;(COUNTIFS($E$4:$E$1463,$E1457,$X$4:$X$1463,"&gt;"&amp;$X1457)+COUNTIFS($E$4:$E1457,$E1457,$X$4:$X1457,"="&amp;$X1457))))</f>
        <v/>
      </c>
      <c r="AC1457" s="41" t="str">
        <f>IF($C1457="","",$B1457&amp;"@"&amp;(COUNTIFS($B$4:$B$1463,$B1457,$C$4:$C$1463,"&lt;"&amp;$C1457)+COUNTIFS($B$4:$B1457,$B1457,$C$4:$C1457,$C1457)))</f>
        <v/>
      </c>
      <c r="AD1457" s="41" t="str">
        <f t="shared" si="118"/>
        <v/>
      </c>
      <c r="AE1457" s="41"/>
      <c r="AF1457" s="41" t="str">
        <f t="shared" si="119"/>
        <v/>
      </c>
      <c r="AG1457" s="41" t="str">
        <f t="shared" si="120"/>
        <v/>
      </c>
      <c r="AH1457" s="41" t="str">
        <f>IF($C1457="","",$B1457&amp;"|"&amp;(COUNTIFS($B$4:$B$1463,$B1457,$AF$4:$AF$1463,"&gt;"&amp;$AF1457)+COUNTIFS($B$4:$B1457,$B1457,$AF$4:$AF1457,"="&amp;$AF1457)))</f>
        <v/>
      </c>
      <c r="AI1457" s="41" t="str">
        <f>IF($C1457="","",$B1457&amp;"|"&amp;(COUNTIFS($B$4:$B$1463,$B1457,$AG$4:$AG$1463,"&gt;"&amp;$AG1457)+COUNTIFS($B$4:$B1457,$B1457,$AG$4:$AG1457,"="&amp;$AG1457)))</f>
        <v/>
      </c>
    </row>
    <row r="1458" spans="1:35" hidden="1">
      <c r="A1458" s="69"/>
      <c r="B1458" s="69"/>
      <c r="C1458" s="63"/>
      <c r="D1458" s="69"/>
      <c r="E1458" s="68"/>
      <c r="F1458" s="19" t="str">
        <f>IF($C1458="","",IF($E1458="","-",IFERROR(INDEX(SETUP!$B$55:$B$64,MATCH($E1458,SETUP!$A$55:$A$64,0)),"Other")))</f>
        <v/>
      </c>
      <c r="G1458" s="70"/>
      <c r="H1458" s="19" t="str">
        <f>IF($C1458="","",IF($G1458="","-",INDEX(SETUP!$B$26:$B$32,MATCH($G1458,SETUP!$A$26:$A$32,1))))</f>
        <v/>
      </c>
      <c r="I1458" s="70"/>
      <c r="J1458" s="19" t="str">
        <f>IF($C1458="","",IF($I1458="","-",INDEX(SETUP!$B$16:$B$22,MATCH($I1458,SETUP!$A$16:$A$22,1))))</f>
        <v/>
      </c>
      <c r="K1458" s="19" t="str">
        <f t="shared" si="114"/>
        <v/>
      </c>
      <c r="L1458" s="71"/>
      <c r="M1458" s="19" t="str">
        <f>IF($C1458="","",IF($L1458="","-",INDEX(SETUP!$B$36:$B$42,MATCH($L1458,SETUP!$A$36:$A$42,1))))</f>
        <v/>
      </c>
      <c r="N1458" s="21" t="str">
        <f>IF($C1458="","",IF(OR($G1458="",$I1458=""),"",ROUND(100*(SETUP!$B$4*MIN(1,$I1458/SETUP!$B$9)+SETUP!$B$5*MAX(0,MIN(1,($G1458-SETUP!$B$10)/(SETUP!$B$11-SETUP!$B$10)))+SETUP!$B$6*MIN(1,IF($L1458="",0,$L1458)/SETUP!$B$12)),1)))</f>
        <v/>
      </c>
      <c r="O1458" s="19" t="str">
        <f>IF($C1458="","",IF($N1458="","-",INDEX(SETUP!$B$46:$B$51,MATCH($N1458,SETUP!$A$46:$A$51,1))))</f>
        <v/>
      </c>
      <c r="P1458" s="19" t="str">
        <f>IF($C1458="","",IF($I1458="","",RANK($I1458,$I$4:$I$1463)+COUNTIF($I$4:$I1458,$I1458)-1))</f>
        <v/>
      </c>
      <c r="Q1458" s="19" t="str">
        <f>IF($C1458="","",COUNTIFS($B$4:$B$1463,$B1458,$X$4:$X$1463,"&gt;"&amp;$X1458)+COUNTIFS($B$4:$B1458,$B1458,$X$4:$X1458,"="&amp;$X1458))</f>
        <v/>
      </c>
      <c r="R1458" s="75" t="str">
        <f>IF($C1458="","",IF($I1458="","",ROUND(COUNTIF($I$4:$I$1463,"&lt;"&amp;$I1458)/COUNT($I$4:$I$1463),3)))</f>
        <v/>
      </c>
      <c r="S1458" s="19" t="str">
        <f t="shared" si="115"/>
        <v/>
      </c>
      <c r="T1458" s="1" t="str">
        <f>IF($C1458="","",TRIM(IF(COUNTIF($C$4:$C$1463,$C1458)&gt;1,"Dup name; ","")&amp;IF(AND($G1458&lt;&gt;"",$G1458&lt;55000),"Low CR - verify; ","")&amp;IF(AND($L1458&lt;&gt;"",$L1458&gt;15),"Secondary - verify; ","")&amp;IF($E1458="","No class; ","")))</f>
        <v/>
      </c>
      <c r="U1458" s="68"/>
      <c r="V1458" s="68"/>
      <c r="W1458" s="68"/>
      <c r="X1458" s="1" t="str">
        <f t="shared" si="116"/>
        <v/>
      </c>
      <c r="Y1458" s="1" t="str">
        <f t="shared" si="117"/>
        <v/>
      </c>
      <c r="Z1458" s="19" t="str">
        <f>IF($C1458="","",IF($G1458="","",RANK($G1458,$G$4:$G$1463)+COUNTIF($G$4:$G1458,$G1458)-1))</f>
        <v/>
      </c>
      <c r="AA1458" s="19" t="str">
        <f>IF($C1458="","",IF($N1458="","",RANK($N1458,$N$4:$N$1463)+COUNTIF($N$4:$N1458,$N1458)-1))</f>
        <v/>
      </c>
      <c r="AB1458" s="1" t="str">
        <f>IF($C1458="","",IF($E1458="","",$E1458&amp;"#"&amp;(COUNTIFS($E$4:$E$1463,$E1458,$X$4:$X$1463,"&gt;"&amp;$X1458)+COUNTIFS($E$4:$E1458,$E1458,$X$4:$X1458,"="&amp;$X1458))))</f>
        <v/>
      </c>
      <c r="AC1458" s="1" t="str">
        <f>IF($C1458="","",$B1458&amp;"@"&amp;(COUNTIFS($B$4:$B$1463,$B1458,$C$4:$C$1463,"&lt;"&amp;$C1458)+COUNTIFS($B$4:$B1458,$B1458,$C$4:$C1458,$C1458)))</f>
        <v/>
      </c>
      <c r="AD1458" s="1" t="str">
        <f t="shared" si="118"/>
        <v/>
      </c>
      <c r="AE1458" s="1"/>
      <c r="AF1458" s="1" t="str">
        <f t="shared" si="119"/>
        <v/>
      </c>
      <c r="AG1458" s="1" t="str">
        <f t="shared" si="120"/>
        <v/>
      </c>
      <c r="AH1458" s="1" t="str">
        <f>IF($C1458="","",$B1458&amp;"|"&amp;(COUNTIFS($B$4:$B$1463,$B1458,$AF$4:$AF$1463,"&gt;"&amp;$AF1458)+COUNTIFS($B$4:$B1458,$B1458,$AF$4:$AF1458,"="&amp;$AF1458)))</f>
        <v/>
      </c>
      <c r="AI1458" s="1" t="str">
        <f>IF($C1458="","",$B1458&amp;"|"&amp;(COUNTIFS($B$4:$B$1463,$B1458,$AG$4:$AG$1463,"&gt;"&amp;$AG1458)+COUNTIFS($B$4:$B1458,$B1458,$AG$4:$AG1458,"="&amp;$AG1458)))</f>
        <v/>
      </c>
    </row>
    <row r="1459" spans="1:35" hidden="1">
      <c r="A1459" s="69"/>
      <c r="B1459" s="69"/>
      <c r="C1459" s="63"/>
      <c r="D1459" s="69"/>
      <c r="E1459" s="68"/>
      <c r="F1459" s="15" t="str">
        <f>IF($C1459="","",IF($E1459="","-",IFERROR(INDEX(SETUP!$B$55:$B$64,MATCH($E1459,SETUP!$A$55:$A$64,0)),"Other")))</f>
        <v/>
      </c>
      <c r="G1459" s="70"/>
      <c r="H1459" s="15" t="str">
        <f>IF($C1459="","",IF($G1459="","-",INDEX(SETUP!$B$26:$B$32,MATCH($G1459,SETUP!$A$26:$A$32,1))))</f>
        <v/>
      </c>
      <c r="I1459" s="70"/>
      <c r="J1459" s="15" t="str">
        <f>IF($C1459="","",IF($I1459="","-",INDEX(SETUP!$B$16:$B$22,MATCH($I1459,SETUP!$A$16:$A$22,1))))</f>
        <v/>
      </c>
      <c r="K1459" s="15" t="str">
        <f t="shared" si="114"/>
        <v/>
      </c>
      <c r="L1459" s="71"/>
      <c r="M1459" s="15" t="str">
        <f>IF($C1459="","",IF($L1459="","-",INDEX(SETUP!$B$36:$B$42,MATCH($L1459,SETUP!$A$36:$A$42,1))))</f>
        <v/>
      </c>
      <c r="N1459" s="17" t="str">
        <f>IF($C1459="","",IF(OR($G1459="",$I1459=""),"",ROUND(100*(SETUP!$B$4*MIN(1,$I1459/SETUP!$B$9)+SETUP!$B$5*MAX(0,MIN(1,($G1459-SETUP!$B$10)/(SETUP!$B$11-SETUP!$B$10)))+SETUP!$B$6*MIN(1,IF($L1459="",0,$L1459)/SETUP!$B$12)),1)))</f>
        <v/>
      </c>
      <c r="O1459" s="15" t="str">
        <f>IF($C1459="","",IF($N1459="","-",INDEX(SETUP!$B$46:$B$51,MATCH($N1459,SETUP!$A$46:$A$51,1))))</f>
        <v/>
      </c>
      <c r="P1459" s="15" t="str">
        <f>IF($C1459="","",IF($I1459="","",RANK($I1459,$I$4:$I$1463)+COUNTIF($I$4:$I1459,$I1459)-1))</f>
        <v/>
      </c>
      <c r="Q1459" s="15" t="str">
        <f>IF($C1459="","",COUNTIFS($B$4:$B$1463,$B1459,$X$4:$X$1463,"&gt;"&amp;$X1459)+COUNTIFS($B$4:$B1459,$B1459,$X$4:$X1459,"="&amp;$X1459))</f>
        <v/>
      </c>
      <c r="R1459" s="72" t="str">
        <f>IF($C1459="","",IF($I1459="","",ROUND(COUNTIF($I$4:$I$1463,"&lt;"&amp;$I1459)/COUNT($I$4:$I$1463),3)))</f>
        <v/>
      </c>
      <c r="S1459" s="15" t="str">
        <f t="shared" si="115"/>
        <v/>
      </c>
      <c r="T1459" s="41" t="str">
        <f>IF($C1459="","",TRIM(IF(COUNTIF($C$4:$C$1463,$C1459)&gt;1,"Dup name; ","")&amp;IF(AND($G1459&lt;&gt;"",$G1459&lt;55000),"Low CR - verify; ","")&amp;IF(AND($L1459&lt;&gt;"",$L1459&gt;15),"Secondary - verify; ","")&amp;IF($E1459="","No class; ","")))</f>
        <v/>
      </c>
      <c r="U1459" s="68"/>
      <c r="V1459" s="68"/>
      <c r="W1459" s="68"/>
      <c r="X1459" s="41" t="str">
        <f t="shared" si="116"/>
        <v/>
      </c>
      <c r="Y1459" s="41" t="str">
        <f t="shared" si="117"/>
        <v/>
      </c>
      <c r="Z1459" s="15" t="str">
        <f>IF($C1459="","",IF($G1459="","",RANK($G1459,$G$4:$G$1463)+COUNTIF($G$4:$G1459,$G1459)-1))</f>
        <v/>
      </c>
      <c r="AA1459" s="15" t="str">
        <f>IF($C1459="","",IF($N1459="","",RANK($N1459,$N$4:$N$1463)+COUNTIF($N$4:$N1459,$N1459)-1))</f>
        <v/>
      </c>
      <c r="AB1459" s="41" t="str">
        <f>IF($C1459="","",IF($E1459="","",$E1459&amp;"#"&amp;(COUNTIFS($E$4:$E$1463,$E1459,$X$4:$X$1463,"&gt;"&amp;$X1459)+COUNTIFS($E$4:$E1459,$E1459,$X$4:$X1459,"="&amp;$X1459))))</f>
        <v/>
      </c>
      <c r="AC1459" s="41" t="str">
        <f>IF($C1459="","",$B1459&amp;"@"&amp;(COUNTIFS($B$4:$B$1463,$B1459,$C$4:$C$1463,"&lt;"&amp;$C1459)+COUNTIFS($B$4:$B1459,$B1459,$C$4:$C1459,$C1459)))</f>
        <v/>
      </c>
      <c r="AD1459" s="41" t="str">
        <f t="shared" si="118"/>
        <v/>
      </c>
      <c r="AE1459" s="41"/>
      <c r="AF1459" s="41" t="str">
        <f t="shared" si="119"/>
        <v/>
      </c>
      <c r="AG1459" s="41" t="str">
        <f t="shared" si="120"/>
        <v/>
      </c>
      <c r="AH1459" s="41" t="str">
        <f>IF($C1459="","",$B1459&amp;"|"&amp;(COUNTIFS($B$4:$B$1463,$B1459,$AF$4:$AF$1463,"&gt;"&amp;$AF1459)+COUNTIFS($B$4:$B1459,$B1459,$AF$4:$AF1459,"="&amp;$AF1459)))</f>
        <v/>
      </c>
      <c r="AI1459" s="41" t="str">
        <f>IF($C1459="","",$B1459&amp;"|"&amp;(COUNTIFS($B$4:$B$1463,$B1459,$AG$4:$AG$1463,"&gt;"&amp;$AG1459)+COUNTIFS($B$4:$B1459,$B1459,$AG$4:$AG1459,"="&amp;$AG1459)))</f>
        <v/>
      </c>
    </row>
    <row r="1460" spans="1:35" hidden="1">
      <c r="A1460" s="69"/>
      <c r="B1460" s="69"/>
      <c r="C1460" s="63"/>
      <c r="D1460" s="69"/>
      <c r="E1460" s="68"/>
      <c r="F1460" s="19" t="str">
        <f>IF($C1460="","",IF($E1460="","-",IFERROR(INDEX(SETUP!$B$55:$B$64,MATCH($E1460,SETUP!$A$55:$A$64,0)),"Other")))</f>
        <v/>
      </c>
      <c r="G1460" s="70"/>
      <c r="H1460" s="19" t="str">
        <f>IF($C1460="","",IF($G1460="","-",INDEX(SETUP!$B$26:$B$32,MATCH($G1460,SETUP!$A$26:$A$32,1))))</f>
        <v/>
      </c>
      <c r="I1460" s="70"/>
      <c r="J1460" s="19" t="str">
        <f>IF($C1460="","",IF($I1460="","-",INDEX(SETUP!$B$16:$B$22,MATCH($I1460,SETUP!$A$16:$A$22,1))))</f>
        <v/>
      </c>
      <c r="K1460" s="19" t="str">
        <f t="shared" si="114"/>
        <v/>
      </c>
      <c r="L1460" s="71"/>
      <c r="M1460" s="19" t="str">
        <f>IF($C1460="","",IF($L1460="","-",INDEX(SETUP!$B$36:$B$42,MATCH($L1460,SETUP!$A$36:$A$42,1))))</f>
        <v/>
      </c>
      <c r="N1460" s="21" t="str">
        <f>IF($C1460="","",IF(OR($G1460="",$I1460=""),"",ROUND(100*(SETUP!$B$4*MIN(1,$I1460/SETUP!$B$9)+SETUP!$B$5*MAX(0,MIN(1,($G1460-SETUP!$B$10)/(SETUP!$B$11-SETUP!$B$10)))+SETUP!$B$6*MIN(1,IF($L1460="",0,$L1460)/SETUP!$B$12)),1)))</f>
        <v/>
      </c>
      <c r="O1460" s="19" t="str">
        <f>IF($C1460="","",IF($N1460="","-",INDEX(SETUP!$B$46:$B$51,MATCH($N1460,SETUP!$A$46:$A$51,1))))</f>
        <v/>
      </c>
      <c r="P1460" s="19" t="str">
        <f>IF($C1460="","",IF($I1460="","",RANK($I1460,$I$4:$I$1463)+COUNTIF($I$4:$I1460,$I1460)-1))</f>
        <v/>
      </c>
      <c r="Q1460" s="19" t="str">
        <f>IF($C1460="","",COUNTIFS($B$4:$B$1463,$B1460,$X$4:$X$1463,"&gt;"&amp;$X1460)+COUNTIFS($B$4:$B1460,$B1460,$X$4:$X1460,"="&amp;$X1460))</f>
        <v/>
      </c>
      <c r="R1460" s="75" t="str">
        <f>IF($C1460="","",IF($I1460="","",ROUND(COUNTIF($I$4:$I$1463,"&lt;"&amp;$I1460)/COUNT($I$4:$I$1463),3)))</f>
        <v/>
      </c>
      <c r="S1460" s="19" t="str">
        <f t="shared" si="115"/>
        <v/>
      </c>
      <c r="T1460" s="1" t="str">
        <f>IF($C1460="","",TRIM(IF(COUNTIF($C$4:$C$1463,$C1460)&gt;1,"Dup name; ","")&amp;IF(AND($G1460&lt;&gt;"",$G1460&lt;55000),"Low CR - verify; ","")&amp;IF(AND($L1460&lt;&gt;"",$L1460&gt;15),"Secondary - verify; ","")&amp;IF($E1460="","No class; ","")))</f>
        <v/>
      </c>
      <c r="U1460" s="68"/>
      <c r="V1460" s="68"/>
      <c r="W1460" s="68"/>
      <c r="X1460" s="1" t="str">
        <f t="shared" si="116"/>
        <v/>
      </c>
      <c r="Y1460" s="1" t="str">
        <f t="shared" si="117"/>
        <v/>
      </c>
      <c r="Z1460" s="19" t="str">
        <f>IF($C1460="","",IF($G1460="","",RANK($G1460,$G$4:$G$1463)+COUNTIF($G$4:$G1460,$G1460)-1))</f>
        <v/>
      </c>
      <c r="AA1460" s="19" t="str">
        <f>IF($C1460="","",IF($N1460="","",RANK($N1460,$N$4:$N$1463)+COUNTIF($N$4:$N1460,$N1460)-1))</f>
        <v/>
      </c>
      <c r="AB1460" s="1" t="str">
        <f>IF($C1460="","",IF($E1460="","",$E1460&amp;"#"&amp;(COUNTIFS($E$4:$E$1463,$E1460,$X$4:$X$1463,"&gt;"&amp;$X1460)+COUNTIFS($E$4:$E1460,$E1460,$X$4:$X1460,"="&amp;$X1460))))</f>
        <v/>
      </c>
      <c r="AC1460" s="1" t="str">
        <f>IF($C1460="","",$B1460&amp;"@"&amp;(COUNTIFS($B$4:$B$1463,$B1460,$C$4:$C$1463,"&lt;"&amp;$C1460)+COUNTIFS($B$4:$B1460,$B1460,$C$4:$C1460,$C1460)))</f>
        <v/>
      </c>
      <c r="AD1460" s="1" t="str">
        <f t="shared" si="118"/>
        <v/>
      </c>
      <c r="AE1460" s="1"/>
      <c r="AF1460" s="1" t="str">
        <f t="shared" si="119"/>
        <v/>
      </c>
      <c r="AG1460" s="1" t="str">
        <f t="shared" si="120"/>
        <v/>
      </c>
      <c r="AH1460" s="1" t="str">
        <f>IF($C1460="","",$B1460&amp;"|"&amp;(COUNTIFS($B$4:$B$1463,$B1460,$AF$4:$AF$1463,"&gt;"&amp;$AF1460)+COUNTIFS($B$4:$B1460,$B1460,$AF$4:$AF1460,"="&amp;$AF1460)))</f>
        <v/>
      </c>
      <c r="AI1460" s="1" t="str">
        <f>IF($C1460="","",$B1460&amp;"|"&amp;(COUNTIFS($B$4:$B$1463,$B1460,$AG$4:$AG$1463,"&gt;"&amp;$AG1460)+COUNTIFS($B$4:$B1460,$B1460,$AG$4:$AG1460,"="&amp;$AG1460)))</f>
        <v/>
      </c>
    </row>
    <row r="1461" spans="1:35" hidden="1">
      <c r="A1461" s="69"/>
      <c r="B1461" s="69"/>
      <c r="C1461" s="63"/>
      <c r="D1461" s="69"/>
      <c r="E1461" s="68"/>
      <c r="F1461" s="15" t="str">
        <f>IF($C1461="","",IF($E1461="","-",IFERROR(INDEX(SETUP!$B$55:$B$64,MATCH($E1461,SETUP!$A$55:$A$64,0)),"Other")))</f>
        <v/>
      </c>
      <c r="G1461" s="70"/>
      <c r="H1461" s="15" t="str">
        <f>IF($C1461="","",IF($G1461="","-",INDEX(SETUP!$B$26:$B$32,MATCH($G1461,SETUP!$A$26:$A$32,1))))</f>
        <v/>
      </c>
      <c r="I1461" s="70"/>
      <c r="J1461" s="15" t="str">
        <f>IF($C1461="","",IF($I1461="","-",INDEX(SETUP!$B$16:$B$22,MATCH($I1461,SETUP!$A$16:$A$22,1))))</f>
        <v/>
      </c>
      <c r="K1461" s="15" t="str">
        <f t="shared" si="114"/>
        <v/>
      </c>
      <c r="L1461" s="71"/>
      <c r="M1461" s="15" t="str">
        <f>IF($C1461="","",IF($L1461="","-",INDEX(SETUP!$B$36:$B$42,MATCH($L1461,SETUP!$A$36:$A$42,1))))</f>
        <v/>
      </c>
      <c r="N1461" s="17" t="str">
        <f>IF($C1461="","",IF(OR($G1461="",$I1461=""),"",ROUND(100*(SETUP!$B$4*MIN(1,$I1461/SETUP!$B$9)+SETUP!$B$5*MAX(0,MIN(1,($G1461-SETUP!$B$10)/(SETUP!$B$11-SETUP!$B$10)))+SETUP!$B$6*MIN(1,IF($L1461="",0,$L1461)/SETUP!$B$12)),1)))</f>
        <v/>
      </c>
      <c r="O1461" s="15" t="str">
        <f>IF($C1461="","",IF($N1461="","-",INDEX(SETUP!$B$46:$B$51,MATCH($N1461,SETUP!$A$46:$A$51,1))))</f>
        <v/>
      </c>
      <c r="P1461" s="15" t="str">
        <f>IF($C1461="","",IF($I1461="","",RANK($I1461,$I$4:$I$1463)+COUNTIF($I$4:$I1461,$I1461)-1))</f>
        <v/>
      </c>
      <c r="Q1461" s="15" t="str">
        <f>IF($C1461="","",COUNTIFS($B$4:$B$1463,$B1461,$X$4:$X$1463,"&gt;"&amp;$X1461)+COUNTIFS($B$4:$B1461,$B1461,$X$4:$X1461,"="&amp;$X1461))</f>
        <v/>
      </c>
      <c r="R1461" s="72" t="str">
        <f>IF($C1461="","",IF($I1461="","",ROUND(COUNTIF($I$4:$I$1463,"&lt;"&amp;$I1461)/COUNT($I$4:$I$1463),3)))</f>
        <v/>
      </c>
      <c r="S1461" s="15" t="str">
        <f t="shared" si="115"/>
        <v/>
      </c>
      <c r="T1461" s="41" t="str">
        <f>IF($C1461="","",TRIM(IF(COUNTIF($C$4:$C$1463,$C1461)&gt;1,"Dup name; ","")&amp;IF(AND($G1461&lt;&gt;"",$G1461&lt;55000),"Low CR - verify; ","")&amp;IF(AND($L1461&lt;&gt;"",$L1461&gt;15),"Secondary - verify; ","")&amp;IF($E1461="","No class; ","")))</f>
        <v/>
      </c>
      <c r="U1461" s="68"/>
      <c r="V1461" s="68"/>
      <c r="W1461" s="68"/>
      <c r="X1461" s="41" t="str">
        <f t="shared" si="116"/>
        <v/>
      </c>
      <c r="Y1461" s="41" t="str">
        <f t="shared" si="117"/>
        <v/>
      </c>
      <c r="Z1461" s="15" t="str">
        <f>IF($C1461="","",IF($G1461="","",RANK($G1461,$G$4:$G$1463)+COUNTIF($G$4:$G1461,$G1461)-1))</f>
        <v/>
      </c>
      <c r="AA1461" s="15" t="str">
        <f>IF($C1461="","",IF($N1461="","",RANK($N1461,$N$4:$N$1463)+COUNTIF($N$4:$N1461,$N1461)-1))</f>
        <v/>
      </c>
      <c r="AB1461" s="41" t="str">
        <f>IF($C1461="","",IF($E1461="","",$E1461&amp;"#"&amp;(COUNTIFS($E$4:$E$1463,$E1461,$X$4:$X$1463,"&gt;"&amp;$X1461)+COUNTIFS($E$4:$E1461,$E1461,$X$4:$X1461,"="&amp;$X1461))))</f>
        <v/>
      </c>
      <c r="AC1461" s="41" t="str">
        <f>IF($C1461="","",$B1461&amp;"@"&amp;(COUNTIFS($B$4:$B$1463,$B1461,$C$4:$C$1463,"&lt;"&amp;$C1461)+COUNTIFS($B$4:$B1461,$B1461,$C$4:$C1461,$C1461)))</f>
        <v/>
      </c>
      <c r="AD1461" s="41" t="str">
        <f t="shared" si="118"/>
        <v/>
      </c>
      <c r="AE1461" s="41"/>
      <c r="AF1461" s="41" t="str">
        <f t="shared" si="119"/>
        <v/>
      </c>
      <c r="AG1461" s="41" t="str">
        <f t="shared" si="120"/>
        <v/>
      </c>
      <c r="AH1461" s="41" t="str">
        <f>IF($C1461="","",$B1461&amp;"|"&amp;(COUNTIFS($B$4:$B$1463,$B1461,$AF$4:$AF$1463,"&gt;"&amp;$AF1461)+COUNTIFS($B$4:$B1461,$B1461,$AF$4:$AF1461,"="&amp;$AF1461)))</f>
        <v/>
      </c>
      <c r="AI1461" s="41" t="str">
        <f>IF($C1461="","",$B1461&amp;"|"&amp;(COUNTIFS($B$4:$B$1463,$B1461,$AG$4:$AG$1463,"&gt;"&amp;$AG1461)+COUNTIFS($B$4:$B1461,$B1461,$AG$4:$AG1461,"="&amp;$AG1461)))</f>
        <v/>
      </c>
    </row>
    <row r="1462" spans="1:35" hidden="1">
      <c r="A1462" s="69"/>
      <c r="B1462" s="69"/>
      <c r="C1462" s="63"/>
      <c r="D1462" s="69"/>
      <c r="E1462" s="68"/>
      <c r="F1462" s="19" t="str">
        <f>IF($C1462="","",IF($E1462="","-",IFERROR(INDEX(SETUP!$B$55:$B$64,MATCH($E1462,SETUP!$A$55:$A$64,0)),"Other")))</f>
        <v/>
      </c>
      <c r="G1462" s="70"/>
      <c r="H1462" s="19" t="str">
        <f>IF($C1462="","",IF($G1462="","-",INDEX(SETUP!$B$26:$B$32,MATCH($G1462,SETUP!$A$26:$A$32,1))))</f>
        <v/>
      </c>
      <c r="I1462" s="70"/>
      <c r="J1462" s="19" t="str">
        <f>IF($C1462="","",IF($I1462="","-",INDEX(SETUP!$B$16:$B$22,MATCH($I1462,SETUP!$A$16:$A$22,1))))</f>
        <v/>
      </c>
      <c r="K1462" s="19" t="str">
        <f t="shared" si="114"/>
        <v/>
      </c>
      <c r="L1462" s="71"/>
      <c r="M1462" s="19" t="str">
        <f>IF($C1462="","",IF($L1462="","-",INDEX(SETUP!$B$36:$B$42,MATCH($L1462,SETUP!$A$36:$A$42,1))))</f>
        <v/>
      </c>
      <c r="N1462" s="21" t="str">
        <f>IF($C1462="","",IF(OR($G1462="",$I1462=""),"",ROUND(100*(SETUP!$B$4*MIN(1,$I1462/SETUP!$B$9)+SETUP!$B$5*MAX(0,MIN(1,($G1462-SETUP!$B$10)/(SETUP!$B$11-SETUP!$B$10)))+SETUP!$B$6*MIN(1,IF($L1462="",0,$L1462)/SETUP!$B$12)),1)))</f>
        <v/>
      </c>
      <c r="O1462" s="19" t="str">
        <f>IF($C1462="","",IF($N1462="","-",INDEX(SETUP!$B$46:$B$51,MATCH($N1462,SETUP!$A$46:$A$51,1))))</f>
        <v/>
      </c>
      <c r="P1462" s="19" t="str">
        <f>IF($C1462="","",IF($I1462="","",RANK($I1462,$I$4:$I$1463)+COUNTIF($I$4:$I1462,$I1462)-1))</f>
        <v/>
      </c>
      <c r="Q1462" s="19" t="str">
        <f>IF($C1462="","",COUNTIFS($B$4:$B$1463,$B1462,$X$4:$X$1463,"&gt;"&amp;$X1462)+COUNTIFS($B$4:$B1462,$B1462,$X$4:$X1462,"="&amp;$X1462))</f>
        <v/>
      </c>
      <c r="R1462" s="75" t="str">
        <f>IF($C1462="","",IF($I1462="","",ROUND(COUNTIF($I$4:$I$1463,"&lt;"&amp;$I1462)/COUNT($I$4:$I$1463),3)))</f>
        <v/>
      </c>
      <c r="S1462" s="19" t="str">
        <f t="shared" si="115"/>
        <v/>
      </c>
      <c r="T1462" s="1" t="str">
        <f>IF($C1462="","",TRIM(IF(COUNTIF($C$4:$C$1463,$C1462)&gt;1,"Dup name; ","")&amp;IF(AND($G1462&lt;&gt;"",$G1462&lt;55000),"Low CR - verify; ","")&amp;IF(AND($L1462&lt;&gt;"",$L1462&gt;15),"Secondary - verify; ","")&amp;IF($E1462="","No class; ","")))</f>
        <v/>
      </c>
      <c r="U1462" s="68"/>
      <c r="V1462" s="68"/>
      <c r="W1462" s="68"/>
      <c r="X1462" s="1" t="str">
        <f t="shared" si="116"/>
        <v/>
      </c>
      <c r="Y1462" s="1" t="str">
        <f t="shared" si="117"/>
        <v/>
      </c>
      <c r="Z1462" s="19" t="str">
        <f>IF($C1462="","",IF($G1462="","",RANK($G1462,$G$4:$G$1463)+COUNTIF($G$4:$G1462,$G1462)-1))</f>
        <v/>
      </c>
      <c r="AA1462" s="19" t="str">
        <f>IF($C1462="","",IF($N1462="","",RANK($N1462,$N$4:$N$1463)+COUNTIF($N$4:$N1462,$N1462)-1))</f>
        <v/>
      </c>
      <c r="AB1462" s="1" t="str">
        <f>IF($C1462="","",IF($E1462="","",$E1462&amp;"#"&amp;(COUNTIFS($E$4:$E$1463,$E1462,$X$4:$X$1463,"&gt;"&amp;$X1462)+COUNTIFS($E$4:$E1462,$E1462,$X$4:$X1462,"="&amp;$X1462))))</f>
        <v/>
      </c>
      <c r="AC1462" s="1" t="str">
        <f>IF($C1462="","",$B1462&amp;"@"&amp;(COUNTIFS($B$4:$B$1463,$B1462,$C$4:$C$1463,"&lt;"&amp;$C1462)+COUNTIFS($B$4:$B1462,$B1462,$C$4:$C1462,$C1462)))</f>
        <v/>
      </c>
      <c r="AD1462" s="1" t="str">
        <f t="shared" si="118"/>
        <v/>
      </c>
      <c r="AE1462" s="1"/>
      <c r="AF1462" s="1" t="str">
        <f t="shared" si="119"/>
        <v/>
      </c>
      <c r="AG1462" s="1" t="str">
        <f t="shared" si="120"/>
        <v/>
      </c>
      <c r="AH1462" s="1" t="str">
        <f>IF($C1462="","",$B1462&amp;"|"&amp;(COUNTIFS($B$4:$B$1463,$B1462,$AF$4:$AF$1463,"&gt;"&amp;$AF1462)+COUNTIFS($B$4:$B1462,$B1462,$AF$4:$AF1462,"="&amp;$AF1462)))</f>
        <v/>
      </c>
      <c r="AI1462" s="1" t="str">
        <f>IF($C1462="","",$B1462&amp;"|"&amp;(COUNTIFS($B$4:$B$1463,$B1462,$AG$4:$AG$1463,"&gt;"&amp;$AG1462)+COUNTIFS($B$4:$B1462,$B1462,$AG$4:$AG1462,"="&amp;$AG1462)))</f>
        <v/>
      </c>
    </row>
    <row r="1463" spans="1:35" hidden="1">
      <c r="A1463" s="69"/>
      <c r="B1463" s="69"/>
      <c r="C1463" s="63"/>
      <c r="D1463" s="69"/>
      <c r="E1463" s="68"/>
      <c r="F1463" s="15" t="str">
        <f>IF($C1463="","",IF($E1463="","-",IFERROR(INDEX(SETUP!$B$55:$B$64,MATCH($E1463,SETUP!$A$55:$A$64,0)),"Other")))</f>
        <v/>
      </c>
      <c r="G1463" s="70"/>
      <c r="H1463" s="15" t="str">
        <f>IF($C1463="","",IF($G1463="","-",INDEX(SETUP!$B$26:$B$32,MATCH($G1463,SETUP!$A$26:$A$32,1))))</f>
        <v/>
      </c>
      <c r="I1463" s="70"/>
      <c r="J1463" s="15" t="str">
        <f>IF($C1463="","",IF($I1463="","-",INDEX(SETUP!$B$16:$B$22,MATCH($I1463,SETUP!$A$16:$A$22,1))))</f>
        <v/>
      </c>
      <c r="K1463" s="15" t="str">
        <f t="shared" si="114"/>
        <v/>
      </c>
      <c r="L1463" s="71"/>
      <c r="M1463" s="15" t="str">
        <f>IF($C1463="","",IF($L1463="","-",INDEX(SETUP!$B$36:$B$42,MATCH($L1463,SETUP!$A$36:$A$42,1))))</f>
        <v/>
      </c>
      <c r="N1463" s="17" t="str">
        <f>IF($C1463="","",IF(OR($G1463="",$I1463=""),"",ROUND(100*(SETUP!$B$4*MIN(1,$I1463/SETUP!$B$9)+SETUP!$B$5*MAX(0,MIN(1,($G1463-SETUP!$B$10)/(SETUP!$B$11-SETUP!$B$10)))+SETUP!$B$6*MIN(1,IF($L1463="",0,$L1463)/SETUP!$B$12)),1)))</f>
        <v/>
      </c>
      <c r="O1463" s="15" t="str">
        <f>IF($C1463="","",IF($N1463="","-",INDEX(SETUP!$B$46:$B$51,MATCH($N1463,SETUP!$A$46:$A$51,1))))</f>
        <v/>
      </c>
      <c r="P1463" s="15" t="str">
        <f>IF($C1463="","",IF($I1463="","",RANK($I1463,$I$4:$I$1463)+COUNTIF($I$4:$I1463,$I1463)-1))</f>
        <v/>
      </c>
      <c r="Q1463" s="15" t="str">
        <f>IF($C1463="","",COUNTIFS($B$4:$B$1463,$B1463,$X$4:$X$1463,"&gt;"&amp;$X1463)+COUNTIFS($B$4:$B1463,$B1463,$X$4:$X1463,"="&amp;$X1463))</f>
        <v/>
      </c>
      <c r="R1463" s="72" t="str">
        <f>IF($C1463="","",IF($I1463="","",ROUND(COUNTIF($I$4:$I$1463,"&lt;"&amp;$I1463)/COUNT($I$4:$I$1463),3)))</f>
        <v/>
      </c>
      <c r="S1463" s="15" t="str">
        <f t="shared" si="115"/>
        <v/>
      </c>
      <c r="T1463" s="41" t="str">
        <f>IF($C1463="","",TRIM(IF(COUNTIF($C$4:$C$1463,$C1463)&gt;1,"Dup name; ","")&amp;IF(AND($G1463&lt;&gt;"",$G1463&lt;55000),"Low CR - verify; ","")&amp;IF(AND($L1463&lt;&gt;"",$L1463&gt;15),"Secondary - verify; ","")&amp;IF($E1463="","No class; ","")))</f>
        <v/>
      </c>
      <c r="U1463" s="68"/>
      <c r="V1463" s="68"/>
      <c r="W1463" s="68"/>
      <c r="X1463" s="41" t="str">
        <f t="shared" si="116"/>
        <v/>
      </c>
      <c r="Y1463" s="41" t="str">
        <f t="shared" si="117"/>
        <v/>
      </c>
      <c r="Z1463" s="15" t="str">
        <f>IF($C1463="","",IF($G1463="","",RANK($G1463,$G$4:$G$1463)+COUNTIF($G$4:$G1463,$G1463)-1))</f>
        <v/>
      </c>
      <c r="AA1463" s="15" t="str">
        <f>IF($C1463="","",IF($N1463="","",RANK($N1463,$N$4:$N$1463)+COUNTIF($N$4:$N1463,$N1463)-1))</f>
        <v/>
      </c>
      <c r="AB1463" s="41" t="str">
        <f>IF($C1463="","",IF($E1463="","",$E1463&amp;"#"&amp;(COUNTIFS($E$4:$E$1463,$E1463,$X$4:$X$1463,"&gt;"&amp;$X1463)+COUNTIFS($E$4:$E1463,$E1463,$X$4:$X1463,"="&amp;$X1463))))</f>
        <v/>
      </c>
      <c r="AC1463" s="41" t="str">
        <f>IF($C1463="","",$B1463&amp;"@"&amp;(COUNTIFS($B$4:$B$1463,$B1463,$C$4:$C$1463,"&lt;"&amp;$C1463)+COUNTIFS($B$4:$B1463,$B1463,$C$4:$C1463,$C1463)))</f>
        <v/>
      </c>
      <c r="AD1463" s="41" t="str">
        <f t="shared" si="118"/>
        <v/>
      </c>
      <c r="AE1463" s="41"/>
      <c r="AF1463" s="41" t="str">
        <f t="shared" si="119"/>
        <v/>
      </c>
      <c r="AG1463" s="41" t="str">
        <f t="shared" si="120"/>
        <v/>
      </c>
      <c r="AH1463" s="41" t="str">
        <f>IF($C1463="","",$B1463&amp;"|"&amp;(COUNTIFS($B$4:$B$1463,$B1463,$AF$4:$AF$1463,"&gt;"&amp;$AF1463)+COUNTIFS($B$4:$B1463,$B1463,$AF$4:$AF1463,"="&amp;$AF1463)))</f>
        <v/>
      </c>
      <c r="AI1463" s="41" t="str">
        <f>IF($C1463="","",$B1463&amp;"|"&amp;(COUNTIFS($B$4:$B$1463,$B1463,$AG$4:$AG$1463,"&gt;"&amp;$AG1463)+COUNTIFS($B$4:$B1463,$B1463,$AG$4:$AG1463,"="&amp;$AG1463)))</f>
        <v/>
      </c>
    </row>
  </sheetData>
  <autoFilter ref="A3:W1463" xr:uid="{00000000-0009-0000-0000-000017000000}">
    <filterColumn colId="1">
      <filters>
        <filter val="FUCT"/>
      </filters>
    </filterColumn>
    <sortState xmlns:xlrd2="http://schemas.microsoft.com/office/spreadsheetml/2017/richdata2" ref="A19:W1355">
      <sortCondition ref="C3:C1463"/>
    </sortState>
  </autoFilter>
  <mergeCells count="2">
    <mergeCell ref="A1:AI1"/>
    <mergeCell ref="A2:AI2"/>
  </mergeCells>
  <conditionalFormatting sqref="B4:B1463">
    <cfRule type="cellIs" dxfId="1" priority="4" operator="equal">
      <formula>"FUCT"</formula>
    </cfRule>
  </conditionalFormatting>
  <conditionalFormatting sqref="I4:I1463">
    <cfRule type="colorScale" priority="2">
      <colorScale>
        <cfvo type="num" val="0"/>
        <cfvo type="num" val="5000"/>
        <cfvo type="num" val="12600"/>
        <color rgb="FFF8CBAD"/>
        <color rgb="FFFFE699"/>
        <color rgb="FFA9D08E"/>
      </colorScale>
    </cfRule>
  </conditionalFormatting>
  <conditionalFormatting sqref="S4:S1463">
    <cfRule type="cellIs" dxfId="0" priority="3" operator="equal">
      <formula>"Name only"</formula>
    </cfRule>
  </conditionalFormatting>
  <dataValidations count="1">
    <dataValidation type="list" allowBlank="1" sqref="A4:A1463" xr:uid="{00000000-0002-0000-1700-000001000000}">
      <formula1>"SHADOW,IMMORTAL,STANDALONE"</formula1>
      <formula2>0</formula2>
    </dataValidation>
  </dataValidations>
  <printOptions horizontalCentered="1"/>
  <pageMargins left="0.75" right="0.75" top="1" bottom="1" header="0.511811023622047" footer="0.511811023622047"/>
  <pageSetup fitToHeight="0" orientation="landscape" horizontalDpi="300" verticalDpi="300"/>
  <ignoredErrors>
    <ignoredError sqref="A1:AI18 X20:AI671 X19:AI19 X673:AI844 X672:AI672 A1356:AI1463 X1271:AI1271 X846:AI1270 X845:AI845 X1272:AI1355" evalError="1" twoDigitTextYear="1" numberStoredAsText="1" formula="1" formulaRange="1" unlockedFormula="1" emptyCellReference="1" listDataValidation="1" calculatedColumn="1"/>
  </ignoredErrors>
  <extLst>
    <ext xmlns:x14="http://schemas.microsoft.com/office/spreadsheetml/2009/9/main" uri="{CCE6A557-97BC-4b89-ADB6-D9C93CAAB3DF}">
      <x14:dataValidations xmlns:xm="http://schemas.microsoft.com/office/excel/2006/main" count="2">
        <x14:dataValidation type="list" allowBlank="1" xr:uid="{00000000-0002-0000-1700-000000000000}">
          <x14:formula1>
            <xm:f>SETUP!$A$68:$A$81</xm:f>
          </x14:formula1>
          <x14:formula2>
            <xm:f>0</xm:f>
          </x14:formula2>
          <xm:sqref>B4:B1463</xm:sqref>
        </x14:dataValidation>
        <x14:dataValidation type="list" allowBlank="1" xr:uid="{00000000-0002-0000-1700-000002000000}">
          <x14:formula1>
            <xm:f>SETUP!$A$55:$A$64</xm:f>
          </x14:formula1>
          <x14:formula2>
            <xm:f>0</xm:f>
          </x14:formula2>
          <xm:sqref>E4:E1463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F8F00"/>
    <pageSetUpPr fitToPage="1"/>
  </sheetPr>
  <dimension ref="A1:O135"/>
  <sheetViews>
    <sheetView showGridLines="0" zoomScaleNormal="100" workbookViewId="0">
      <pane xSplit="2" ySplit="3" topLeftCell="C70" activePane="bottomRight" state="frozen"/>
      <selection pane="topRight" activeCell="C1" sqref="C1"/>
      <selection pane="bottomLeft" activeCell="A4" sqref="A4"/>
      <selection pane="bottomRight" activeCell="F88" sqref="F88"/>
    </sheetView>
  </sheetViews>
  <sheetFormatPr defaultColWidth="8.7109375" defaultRowHeight="15"/>
  <cols>
    <col min="1" max="1" width="5" customWidth="1"/>
    <col min="2" max="2" width="26" customWidth="1"/>
    <col min="3" max="3" width="24" customWidth="1"/>
    <col min="4" max="4" width="11" customWidth="1"/>
    <col min="5" max="5" width="24" customWidth="1"/>
    <col min="6" max="6" width="10" customWidth="1"/>
    <col min="7" max="7" width="20" customWidth="1"/>
    <col min="8" max="8" width="11" customWidth="1"/>
    <col min="9" max="9" width="26" customWidth="1"/>
    <col min="10" max="10" width="11" customWidth="1"/>
    <col min="11" max="13" width="24" hidden="1" customWidth="1"/>
    <col min="14" max="14" width="10" hidden="1" customWidth="1"/>
    <col min="15" max="15" width="13" hidden="1" customWidth="1"/>
  </cols>
  <sheetData>
    <row r="1" spans="1:15" ht="30" customHeight="1">
      <c r="A1" s="92" t="s">
        <v>2835</v>
      </c>
      <c r="B1" s="92"/>
      <c r="C1" s="92"/>
      <c r="D1" s="92"/>
      <c r="E1" s="92"/>
      <c r="F1" s="92"/>
      <c r="G1" s="92"/>
      <c r="H1" s="92"/>
      <c r="I1" s="92"/>
      <c r="J1" s="92"/>
      <c r="K1" s="92"/>
      <c r="L1" s="92"/>
    </row>
    <row r="2" spans="1:15" ht="15.75" customHeight="1">
      <c r="A2" s="93" t="s">
        <v>2836</v>
      </c>
      <c r="B2" s="93"/>
      <c r="C2" s="93"/>
      <c r="D2" s="93"/>
      <c r="E2" s="93"/>
      <c r="F2" s="93"/>
      <c r="G2" s="93"/>
      <c r="H2" s="93"/>
      <c r="I2" s="93"/>
      <c r="J2" s="93"/>
      <c r="K2" s="93"/>
      <c r="L2" s="93"/>
    </row>
    <row r="3" spans="1:15" ht="27.75" customHeight="1">
      <c r="A3" s="13" t="s">
        <v>127</v>
      </c>
      <c r="B3" s="13" t="s">
        <v>128</v>
      </c>
      <c r="C3" s="13" t="s">
        <v>255</v>
      </c>
      <c r="D3" s="13" t="s">
        <v>260</v>
      </c>
      <c r="E3" s="13" t="s">
        <v>261</v>
      </c>
      <c r="F3" s="13" t="s">
        <v>2837</v>
      </c>
      <c r="G3" s="13" t="s">
        <v>2838</v>
      </c>
      <c r="H3" s="13" t="s">
        <v>2839</v>
      </c>
      <c r="I3" s="13" t="s">
        <v>281</v>
      </c>
      <c r="J3" s="13" t="s">
        <v>2840</v>
      </c>
      <c r="K3" s="13" t="s">
        <v>2841</v>
      </c>
      <c r="L3" s="13" t="s">
        <v>2842</v>
      </c>
      <c r="M3" s="13" t="s">
        <v>2843</v>
      </c>
      <c r="N3" s="13" t="s">
        <v>2844</v>
      </c>
    </row>
    <row r="4" spans="1:15">
      <c r="A4" s="15">
        <f>IF($B4="","",COUNTIF($B$4:$B4,"?*"))</f>
        <v>1</v>
      </c>
      <c r="B4" s="63" t="s">
        <v>295</v>
      </c>
      <c r="C4" s="80" t="s">
        <v>263</v>
      </c>
      <c r="D4" s="69" t="s">
        <v>2845</v>
      </c>
      <c r="E4" s="68" t="s">
        <v>2846</v>
      </c>
      <c r="F4" s="69"/>
      <c r="G4" s="68"/>
      <c r="H4" s="68"/>
      <c r="I4" s="41" t="str">
        <f>IF($B4="","",IF(COUNTIF(MASTER!$C$4:$C$1463,$B4)&gt;0,"yes · "&amp;INDEX(MASTER!$B$4:$B$1463,MATCH($B4,MASTER!$C$4:$C$1463,0)),"not matched"))</f>
        <v>not matched</v>
      </c>
      <c r="J4" s="15">
        <f t="shared" ref="J4:J35" si="0">IF($C4="","",COUNTIF($C$4:$C$135,$C4))</f>
        <v>12</v>
      </c>
      <c r="K4" s="41" t="str">
        <f>IF(OR($C4="",$E4=""),"",IF(COUNTIFS($C$4:$C4,$C4,$E$4:$E4,"?*")=1,$C4,""))</f>
        <v>DECOYS HOT TUB</v>
      </c>
      <c r="L4" s="41" t="str">
        <f>IF(OR($C4="",$F4=""),"",IF(COUNTIFS($C$4:$C4,$C4,$F$4:$F4,"&gt;=0")=1,$C4,""))</f>
        <v/>
      </c>
      <c r="M4" s="41" t="str">
        <f>IF(OR($C4="",$D4=""),"",IF(COUNTIFS($C$4:$C4,$C4,$D$4:$D4,"?*")=1,$C4,""))</f>
        <v>DECOYS HOT TUB</v>
      </c>
      <c r="N4" s="41" t="str">
        <f>IF($B4="","",IF($C4="","FA"&amp;COUNTIFS($B$4:$B4,"?*",$C$4:$C4,""),""))</f>
        <v/>
      </c>
      <c r="O4" s="41" t="str">
        <f>IF($C4="","",$C4&amp;"@"&amp;COUNTIF($C$4:$C4,$C4))</f>
        <v>DECOYS HOT TUB@1</v>
      </c>
    </row>
    <row r="5" spans="1:15">
      <c r="A5" s="19">
        <f>IF($B5="","",COUNTIF($B$4:$B5,"?*"))</f>
        <v>2</v>
      </c>
      <c r="B5" s="63" t="s">
        <v>304</v>
      </c>
      <c r="C5" s="80" t="s">
        <v>263</v>
      </c>
      <c r="D5" s="69" t="s">
        <v>2845</v>
      </c>
      <c r="E5" s="68" t="s">
        <v>2846</v>
      </c>
      <c r="F5" s="69">
        <v>0</v>
      </c>
      <c r="G5" s="68"/>
      <c r="H5" s="68"/>
      <c r="I5" s="1" t="str">
        <f>IF($B5="","",IF(COUNTIF(MASTER!$C$4:$C$1463,$B5)&gt;0,"yes · "&amp;INDEX(MASTER!$B$4:$B$1463,MATCH($B5,MASTER!$C$4:$C$1463,0)),"not matched"))</f>
        <v>not matched</v>
      </c>
      <c r="J5" s="19">
        <f t="shared" si="0"/>
        <v>12</v>
      </c>
      <c r="K5" s="1" t="str">
        <f>IF(OR($C5="",$E5=""),"",IF(COUNTIFS($C$4:$C5,$C5,$E$4:$E5,"?*")=1,$C5,""))</f>
        <v/>
      </c>
      <c r="L5" s="1" t="str">
        <f>IF(OR($C5="",$F5=""),"",IF(COUNTIFS($C$4:$C5,$C5,$F$4:$F5,"&gt;=0")=1,$C5,""))</f>
        <v>DECOYS HOT TUB</v>
      </c>
      <c r="M5" s="1" t="str">
        <f>IF(OR($C5="",$D5=""),"",IF(COUNTIFS($C$4:$C5,$C5,$D$4:$D5,"?*")=1,$C5,""))</f>
        <v/>
      </c>
      <c r="N5" s="1" t="str">
        <f>IF($B5="","",IF($C5="","FA"&amp;COUNTIFS($B$4:$B5,"?*",$C$4:$C5,""),""))</f>
        <v/>
      </c>
      <c r="O5" s="1" t="str">
        <f>IF($C5="","",$C5&amp;"@"&amp;COUNTIF($C$4:$C5,$C5))</f>
        <v>DECOYS HOT TUB@2</v>
      </c>
    </row>
    <row r="6" spans="1:15">
      <c r="A6" s="15">
        <f>IF($B6="","",COUNTIF($B$4:$B6,"?*"))</f>
        <v>3</v>
      </c>
      <c r="B6" s="63" t="s">
        <v>307</v>
      </c>
      <c r="C6" s="80" t="s">
        <v>263</v>
      </c>
      <c r="D6" s="69" t="s">
        <v>2845</v>
      </c>
      <c r="E6" s="68"/>
      <c r="F6" s="69"/>
      <c r="G6" s="68"/>
      <c r="H6" s="68"/>
      <c r="I6" s="41" t="str">
        <f>IF($B6="","",IF(COUNTIF(MASTER!$C$4:$C$1463,$B6)&gt;0,"yes · "&amp;INDEX(MASTER!$B$4:$B$1463,MATCH($B6,MASTER!$C$4:$C$1463,0)),"not matched"))</f>
        <v>not matched</v>
      </c>
      <c r="J6" s="15">
        <f t="shared" si="0"/>
        <v>12</v>
      </c>
      <c r="K6" s="41" t="str">
        <f>IF(OR($C6="",$E6=""),"",IF(COUNTIFS($C$4:$C6,$C6,$E$4:$E6,"?*")=1,$C6,""))</f>
        <v/>
      </c>
      <c r="L6" s="41" t="str">
        <f>IF(OR($C6="",$F6=""),"",IF(COUNTIFS($C$4:$C6,$C6,$F$4:$F6,"&gt;=0")=1,$C6,""))</f>
        <v/>
      </c>
      <c r="M6" s="41" t="str">
        <f>IF(OR($C6="",$D6=""),"",IF(COUNTIFS($C$4:$C6,$C6,$D$4:$D6,"?*")=1,$C6,""))</f>
        <v/>
      </c>
      <c r="N6" s="41" t="str">
        <f>IF($B6="","",IF($C6="","FA"&amp;COUNTIFS($B$4:$B6,"?*",$C$4:$C6,""),""))</f>
        <v/>
      </c>
      <c r="O6" s="41" t="str">
        <f>IF($C6="","",$C6&amp;"@"&amp;COUNTIF($C$4:$C6,$C6))</f>
        <v>DECOYS HOT TUB@3</v>
      </c>
    </row>
    <row r="7" spans="1:15">
      <c r="A7" s="19">
        <f>IF($B7="","",COUNTIF($B$4:$B7,"?*"))</f>
        <v>4</v>
      </c>
      <c r="B7" s="63" t="s">
        <v>311</v>
      </c>
      <c r="C7" s="80" t="s">
        <v>263</v>
      </c>
      <c r="D7" s="69" t="s">
        <v>2845</v>
      </c>
      <c r="E7" s="68"/>
      <c r="F7" s="69"/>
      <c r="G7" s="68"/>
      <c r="H7" s="68"/>
      <c r="I7" s="1" t="str">
        <f>IF($B7="","",IF(COUNTIF(MASTER!$C$4:$C$1463,$B7)&gt;0,"yes · "&amp;INDEX(MASTER!$B$4:$B$1463,MATCH($B7,MASTER!$C$4:$C$1463,0)),"not matched"))</f>
        <v>not matched</v>
      </c>
      <c r="J7" s="19">
        <f t="shared" si="0"/>
        <v>12</v>
      </c>
      <c r="K7" s="1" t="str">
        <f>IF(OR($C7="",$E7=""),"",IF(COUNTIFS($C$4:$C7,$C7,$E$4:$E7,"?*")=1,$C7,""))</f>
        <v/>
      </c>
      <c r="L7" s="1" t="str">
        <f>IF(OR($C7="",$F7=""),"",IF(COUNTIFS($C$4:$C7,$C7,$F$4:$F7,"&gt;=0")=1,$C7,""))</f>
        <v/>
      </c>
      <c r="M7" s="1" t="str">
        <f>IF(OR($C7="",$D7=""),"",IF(COUNTIFS($C$4:$C7,$C7,$D$4:$D7,"?*")=1,$C7,""))</f>
        <v/>
      </c>
      <c r="N7" s="1" t="str">
        <f>IF($B7="","",IF($C7="","FA"&amp;COUNTIFS($B$4:$B7,"?*",$C$4:$C7,""),""))</f>
        <v/>
      </c>
      <c r="O7" s="1" t="str">
        <f>IF($C7="","",$C7&amp;"@"&amp;COUNTIF($C$4:$C7,$C7))</f>
        <v>DECOYS HOT TUB@4</v>
      </c>
    </row>
    <row r="8" spans="1:15">
      <c r="A8" s="15">
        <f>IF($B8="","",COUNTIF($B$4:$B8,"?*"))</f>
        <v>5</v>
      </c>
      <c r="B8" s="63" t="s">
        <v>322</v>
      </c>
      <c r="C8" s="80" t="s">
        <v>263</v>
      </c>
      <c r="D8" s="69" t="s">
        <v>2845</v>
      </c>
      <c r="E8" s="68"/>
      <c r="F8" s="69"/>
      <c r="G8" s="68"/>
      <c r="H8" s="68"/>
      <c r="I8" s="41" t="str">
        <f>IF($B8="","",IF(COUNTIF(MASTER!$C$4:$C$1463,$B8)&gt;0,"yes · "&amp;INDEX(MASTER!$B$4:$B$1463,MATCH($B8,MASTER!$C$4:$C$1463,0)),"not matched"))</f>
        <v>not matched</v>
      </c>
      <c r="J8" s="15">
        <f t="shared" si="0"/>
        <v>12</v>
      </c>
      <c r="K8" s="41" t="str">
        <f>IF(OR($C8="",$E8=""),"",IF(COUNTIFS($C$4:$C8,$C8,$E$4:$E8,"?*")=1,$C8,""))</f>
        <v/>
      </c>
      <c r="L8" s="41" t="str">
        <f>IF(OR($C8="",$F8=""),"",IF(COUNTIFS($C$4:$C8,$C8,$F$4:$F8,"&gt;=0")=1,$C8,""))</f>
        <v/>
      </c>
      <c r="M8" s="41" t="str">
        <f>IF(OR($C8="",$D8=""),"",IF(COUNTIFS($C$4:$C8,$C8,$D$4:$D8,"?*")=1,$C8,""))</f>
        <v/>
      </c>
      <c r="N8" s="41" t="str">
        <f>IF($B8="","",IF($C8="","FA"&amp;COUNTIFS($B$4:$B8,"?*",$C$4:$C8,""),""))</f>
        <v/>
      </c>
      <c r="O8" s="41" t="str">
        <f>IF($C8="","",$C8&amp;"@"&amp;COUNTIF($C$4:$C8,$C8))</f>
        <v>DECOYS HOT TUB@5</v>
      </c>
    </row>
    <row r="9" spans="1:15">
      <c r="A9" s="19">
        <f>IF($B9="","",COUNTIF($B$4:$B9,"?*"))</f>
        <v>6</v>
      </c>
      <c r="B9" s="63" t="s">
        <v>327</v>
      </c>
      <c r="C9" s="80" t="s">
        <v>263</v>
      </c>
      <c r="D9" s="69" t="s">
        <v>2845</v>
      </c>
      <c r="E9" s="68"/>
      <c r="F9" s="69"/>
      <c r="G9" s="68"/>
      <c r="H9" s="68"/>
      <c r="I9" s="1" t="str">
        <f>IF($B9="","",IF(COUNTIF(MASTER!$C$4:$C$1463,$B9)&gt;0,"yes · "&amp;INDEX(MASTER!$B$4:$B$1463,MATCH($B9,MASTER!$C$4:$C$1463,0)),"not matched"))</f>
        <v>not matched</v>
      </c>
      <c r="J9" s="19">
        <f t="shared" si="0"/>
        <v>12</v>
      </c>
      <c r="K9" s="1" t="str">
        <f>IF(OR($C9="",$E9=""),"",IF(COUNTIFS($C$4:$C9,$C9,$E$4:$E9,"?*")=1,$C9,""))</f>
        <v/>
      </c>
      <c r="L9" s="1" t="str">
        <f>IF(OR($C9="",$F9=""),"",IF(COUNTIFS($C$4:$C9,$C9,$F$4:$F9,"&gt;=0")=1,$C9,""))</f>
        <v/>
      </c>
      <c r="M9" s="1" t="str">
        <f>IF(OR($C9="",$D9=""),"",IF(COUNTIFS($C$4:$C9,$C9,$D$4:$D9,"?*")=1,$C9,""))</f>
        <v/>
      </c>
      <c r="N9" s="1" t="str">
        <f>IF($B9="","",IF($C9="","FA"&amp;COUNTIFS($B$4:$B9,"?*",$C$4:$C9,""),""))</f>
        <v/>
      </c>
      <c r="O9" s="1" t="str">
        <f>IF($C9="","",$C9&amp;"@"&amp;COUNTIF($C$4:$C9,$C9))</f>
        <v>DECOYS HOT TUB@6</v>
      </c>
    </row>
    <row r="10" spans="1:15">
      <c r="A10" s="15">
        <f>IF($B10="","",COUNTIF($B$4:$B10,"?*"))</f>
        <v>7</v>
      </c>
      <c r="B10" s="63" t="s">
        <v>333</v>
      </c>
      <c r="C10" s="80" t="s">
        <v>263</v>
      </c>
      <c r="D10" s="69" t="s">
        <v>2845</v>
      </c>
      <c r="E10" s="68"/>
      <c r="F10" s="69"/>
      <c r="G10" s="68"/>
      <c r="H10" s="68"/>
      <c r="I10" s="41" t="str">
        <f>IF($B10="","",IF(COUNTIF(MASTER!$C$4:$C$1463,$B10)&gt;0,"yes · "&amp;INDEX(MASTER!$B$4:$B$1463,MATCH($B10,MASTER!$C$4:$C$1463,0)),"not matched"))</f>
        <v>yes · FUCT</v>
      </c>
      <c r="J10" s="15">
        <f t="shared" si="0"/>
        <v>12</v>
      </c>
      <c r="K10" s="41" t="str">
        <f>IF(OR($C10="",$E10=""),"",IF(COUNTIFS($C$4:$C10,$C10,$E$4:$E10,"?*")=1,$C10,""))</f>
        <v/>
      </c>
      <c r="L10" s="41" t="str">
        <f>IF(OR($C10="",$F10=""),"",IF(COUNTIFS($C$4:$C10,$C10,$F$4:$F10,"&gt;=0")=1,$C10,""))</f>
        <v/>
      </c>
      <c r="M10" s="41" t="str">
        <f>IF(OR($C10="",$D10=""),"",IF(COUNTIFS($C$4:$C10,$C10,$D$4:$D10,"?*")=1,$C10,""))</f>
        <v/>
      </c>
      <c r="N10" s="41" t="str">
        <f>IF($B10="","",IF($C10="","FA"&amp;COUNTIFS($B$4:$B10,"?*",$C$4:$C10,""),""))</f>
        <v/>
      </c>
      <c r="O10" s="41" t="str">
        <f>IF($C10="","",$C10&amp;"@"&amp;COUNTIF($C$4:$C10,$C10))</f>
        <v>DECOYS HOT TUB@7</v>
      </c>
    </row>
    <row r="11" spans="1:15">
      <c r="A11" s="19">
        <f>IF($B11="","",COUNTIF($B$4:$B11,"?*"))</f>
        <v>8</v>
      </c>
      <c r="B11" s="63" t="s">
        <v>2847</v>
      </c>
      <c r="C11" s="80" t="s">
        <v>263</v>
      </c>
      <c r="D11" s="69" t="s">
        <v>2845</v>
      </c>
      <c r="E11" s="68"/>
      <c r="F11" s="69"/>
      <c r="G11" s="68"/>
      <c r="H11" s="68"/>
      <c r="I11" s="1" t="str">
        <f>IF($B11="","",IF(COUNTIF(MASTER!$C$4:$C$1463,$B11)&gt;0,"yes · "&amp;INDEX(MASTER!$B$4:$B$1463,MATCH($B11,MASTER!$C$4:$C$1463,0)),"not matched"))</f>
        <v>not matched</v>
      </c>
      <c r="J11" s="19">
        <f t="shared" si="0"/>
        <v>12</v>
      </c>
      <c r="K11" s="1" t="str">
        <f>IF(OR($C11="",$E11=""),"",IF(COUNTIFS($C$4:$C11,$C11,$E$4:$E11,"?*")=1,$C11,""))</f>
        <v/>
      </c>
      <c r="L11" s="1" t="str">
        <f>IF(OR($C11="",$F11=""),"",IF(COUNTIFS($C$4:$C11,$C11,$F$4:$F11,"&gt;=0")=1,$C11,""))</f>
        <v/>
      </c>
      <c r="M11" s="1" t="str">
        <f>IF(OR($C11="",$D11=""),"",IF(COUNTIFS($C$4:$C11,$C11,$D$4:$D11,"?*")=1,$C11,""))</f>
        <v/>
      </c>
      <c r="N11" s="1" t="str">
        <f>IF($B11="","",IF($C11="","FA"&amp;COUNTIFS($B$4:$B11,"?*",$C$4:$C11,""),""))</f>
        <v/>
      </c>
      <c r="O11" s="1" t="str">
        <f>IF($C11="","",$C11&amp;"@"&amp;COUNTIF($C$4:$C11,$C11))</f>
        <v>DECOYS HOT TUB@8</v>
      </c>
    </row>
    <row r="12" spans="1:15">
      <c r="A12" s="15">
        <f>IF($B12="","",COUNTIF($B$4:$B12,"?*"))</f>
        <v>9</v>
      </c>
      <c r="B12" s="63" t="s">
        <v>346</v>
      </c>
      <c r="C12" s="80" t="s">
        <v>263</v>
      </c>
      <c r="D12" s="69" t="s">
        <v>2845</v>
      </c>
      <c r="E12" s="68"/>
      <c r="F12" s="69"/>
      <c r="G12" s="68"/>
      <c r="H12" s="68"/>
      <c r="I12" s="41" t="str">
        <f>IF($B12="","",IF(COUNTIF(MASTER!$C$4:$C$1463,$B12)&gt;0,"yes · "&amp;INDEX(MASTER!$B$4:$B$1463,MATCH($B12,MASTER!$C$4:$C$1463,0)),"not matched"))</f>
        <v>not matched</v>
      </c>
      <c r="J12" s="15">
        <f t="shared" si="0"/>
        <v>12</v>
      </c>
      <c r="K12" s="41" t="str">
        <f>IF(OR($C12="",$E12=""),"",IF(COUNTIFS($C$4:$C12,$C12,$E$4:$E12,"?*")=1,$C12,""))</f>
        <v/>
      </c>
      <c r="L12" s="41" t="str">
        <f>IF(OR($C12="",$F12=""),"",IF(COUNTIFS($C$4:$C12,$C12,$F$4:$F12,"&gt;=0")=1,$C12,""))</f>
        <v/>
      </c>
      <c r="M12" s="41" t="str">
        <f>IF(OR($C12="",$D12=""),"",IF(COUNTIFS($C$4:$C12,$C12,$D$4:$D12,"?*")=1,$C12,""))</f>
        <v/>
      </c>
      <c r="N12" s="41" t="str">
        <f>IF($B12="","",IF($C12="","FA"&amp;COUNTIFS($B$4:$B12,"?*",$C$4:$C12,""),""))</f>
        <v/>
      </c>
      <c r="O12" s="41" t="str">
        <f>IF($C12="","",$C12&amp;"@"&amp;COUNTIF($C$4:$C12,$C12))</f>
        <v>DECOYS HOT TUB@9</v>
      </c>
    </row>
    <row r="13" spans="1:15">
      <c r="A13" s="19">
        <f>IF($B13="","",COUNTIF($B$4:$B13,"?*"))</f>
        <v>10</v>
      </c>
      <c r="B13" s="63" t="s">
        <v>389</v>
      </c>
      <c r="C13" s="80" t="s">
        <v>263</v>
      </c>
      <c r="D13" s="69" t="s">
        <v>2845</v>
      </c>
      <c r="E13" s="68"/>
      <c r="F13" s="69"/>
      <c r="G13" s="68"/>
      <c r="H13" s="68"/>
      <c r="I13" s="1" t="str">
        <f>IF($B13="","",IF(COUNTIF(MASTER!$C$4:$C$1463,$B13)&gt;0,"yes · "&amp;INDEX(MASTER!$B$4:$B$1463,MATCH($B13,MASTER!$C$4:$C$1463,0)),"not matched"))</f>
        <v>not matched</v>
      </c>
      <c r="J13" s="19">
        <f t="shared" si="0"/>
        <v>12</v>
      </c>
      <c r="K13" s="1" t="str">
        <f>IF(OR($C13="",$E13=""),"",IF(COUNTIFS($C$4:$C13,$C13,$E$4:$E13,"?*")=1,$C13,""))</f>
        <v/>
      </c>
      <c r="L13" s="1" t="str">
        <f>IF(OR($C13="",$F13=""),"",IF(COUNTIFS($C$4:$C13,$C13,$F$4:$F13,"&gt;=0")=1,$C13,""))</f>
        <v/>
      </c>
      <c r="M13" s="1" t="str">
        <f>IF(OR($C13="",$D13=""),"",IF(COUNTIFS($C$4:$C13,$C13,$D$4:$D13,"?*")=1,$C13,""))</f>
        <v/>
      </c>
      <c r="N13" s="1" t="str">
        <f>IF($B13="","",IF($C13="","FA"&amp;COUNTIFS($B$4:$B13,"?*",$C$4:$C13,""),""))</f>
        <v/>
      </c>
      <c r="O13" s="1" t="str">
        <f>IF($C13="","",$C13&amp;"@"&amp;COUNTIF($C$4:$C13,$C13))</f>
        <v>DECOYS HOT TUB@10</v>
      </c>
    </row>
    <row r="14" spans="1:15">
      <c r="A14" s="15">
        <f>IF($B14="","",COUNTIF($B$4:$B14,"?*"))</f>
        <v>11</v>
      </c>
      <c r="B14" s="63" t="s">
        <v>390</v>
      </c>
      <c r="C14" s="80" t="s">
        <v>263</v>
      </c>
      <c r="D14" s="69" t="s">
        <v>2845</v>
      </c>
      <c r="E14" s="68"/>
      <c r="F14" s="69"/>
      <c r="G14" s="68"/>
      <c r="H14" s="68"/>
      <c r="I14" s="41" t="str">
        <f>IF($B14="","",IF(COUNTIF(MASTER!$C$4:$C$1463,$B14)&gt;0,"yes · "&amp;INDEX(MASTER!$B$4:$B$1463,MATCH($B14,MASTER!$C$4:$C$1463,0)),"not matched"))</f>
        <v>yes · FUCT</v>
      </c>
      <c r="J14" s="15">
        <f t="shared" si="0"/>
        <v>12</v>
      </c>
      <c r="K14" s="41" t="str">
        <f>IF(OR($C14="",$E14=""),"",IF(COUNTIFS($C$4:$C14,$C14,$E$4:$E14,"?*")=1,$C14,""))</f>
        <v/>
      </c>
      <c r="L14" s="41" t="str">
        <f>IF(OR($C14="",$F14=""),"",IF(COUNTIFS($C$4:$C14,$C14,$F$4:$F14,"&gt;=0")=1,$C14,""))</f>
        <v/>
      </c>
      <c r="M14" s="41" t="str">
        <f>IF(OR($C14="",$D14=""),"",IF(COUNTIFS($C$4:$C14,$C14,$D$4:$D14,"?*")=1,$C14,""))</f>
        <v/>
      </c>
      <c r="N14" s="41" t="str">
        <f>IF($B14="","",IF($C14="","FA"&amp;COUNTIFS($B$4:$B14,"?*",$C$4:$C14,""),""))</f>
        <v/>
      </c>
      <c r="O14" s="41" t="str">
        <f>IF($C14="","",$C14&amp;"@"&amp;COUNTIF($C$4:$C14,$C14))</f>
        <v>DECOYS HOT TUB@11</v>
      </c>
    </row>
    <row r="15" spans="1:15">
      <c r="A15" s="19">
        <f>IF($B15="","",COUNTIF($B$4:$B15,"?*"))</f>
        <v>12</v>
      </c>
      <c r="B15" s="63" t="s">
        <v>2848</v>
      </c>
      <c r="C15" s="80" t="s">
        <v>263</v>
      </c>
      <c r="D15" s="69" t="s">
        <v>2845</v>
      </c>
      <c r="E15" s="68"/>
      <c r="F15" s="69"/>
      <c r="G15" s="68"/>
      <c r="H15" s="68"/>
      <c r="I15" s="1" t="str">
        <f>IF($B15="","",IF(COUNTIF(MASTER!$C$4:$C$1463,$B15)&gt;0,"yes · "&amp;INDEX(MASTER!$B$4:$B$1463,MATCH($B15,MASTER!$C$4:$C$1463,0)),"not matched"))</f>
        <v>not matched</v>
      </c>
      <c r="J15" s="19">
        <f t="shared" si="0"/>
        <v>12</v>
      </c>
      <c r="K15" s="1" t="str">
        <f>IF(OR($C15="",$E15=""),"",IF(COUNTIFS($C$4:$C15,$C15,$E$4:$E15,"?*")=1,$C15,""))</f>
        <v/>
      </c>
      <c r="L15" s="1" t="str">
        <f>IF(OR($C15="",$F15=""),"",IF(COUNTIFS($C$4:$C15,$C15,$F$4:$F15,"&gt;=0")=1,$C15,""))</f>
        <v/>
      </c>
      <c r="M15" s="1" t="str">
        <f>IF(OR($C15="",$D15=""),"",IF(COUNTIFS($C$4:$C15,$C15,$D$4:$D15,"?*")=1,$C15,""))</f>
        <v/>
      </c>
      <c r="N15" s="1" t="str">
        <f>IF($B15="","",IF($C15="","FA"&amp;COUNTIFS($B$4:$B15,"?*",$C$4:$C15,""),""))</f>
        <v/>
      </c>
      <c r="O15" s="1" t="str">
        <f>IF($C15="","",$C15&amp;"@"&amp;COUNTIF($C$4:$C15,$C15))</f>
        <v>DECOYS HOT TUB@12</v>
      </c>
    </row>
    <row r="16" spans="1:15">
      <c r="A16" s="15">
        <f>IF($B16="","",COUNTIF($B$4:$B16,"?*"))</f>
        <v>13</v>
      </c>
      <c r="B16" s="63" t="s">
        <v>305</v>
      </c>
      <c r="C16" s="80" t="s">
        <v>264</v>
      </c>
      <c r="D16" s="69" t="s">
        <v>2845</v>
      </c>
      <c r="E16" s="68"/>
      <c r="F16" s="69"/>
      <c r="G16" s="68"/>
      <c r="H16" s="68"/>
      <c r="I16" s="41" t="str">
        <f>IF($B16="","",IF(COUNTIF(MASTER!$C$4:$C$1463,$B16)&gt;0,"yes · "&amp;INDEX(MASTER!$B$4:$B$1463,MATCH($B16,MASTER!$C$4:$C$1463,0)),"not matched"))</f>
        <v>not matched</v>
      </c>
      <c r="J16" s="15">
        <f t="shared" si="0"/>
        <v>12</v>
      </c>
      <c r="K16" s="41" t="str">
        <f>IF(OR($C16="",$E16=""),"",IF(COUNTIFS($C$4:$C16,$C16,$E$4:$E16,"?*")=1,$C16,""))</f>
        <v/>
      </c>
      <c r="L16" s="41" t="str">
        <f>IF(OR($C16="",$F16=""),"",IF(COUNTIFS($C$4:$C16,$C16,$F$4:$F16,"&gt;=0")=1,$C16,""))</f>
        <v/>
      </c>
      <c r="M16" s="41" t="str">
        <f>IF(OR($C16="",$D16=""),"",IF(COUNTIFS($C$4:$C16,$C16,$D$4:$D16,"?*")=1,$C16,""))</f>
        <v>FCK SIX</v>
      </c>
      <c r="N16" s="41" t="str">
        <f>IF($B16="","",IF($C16="","FA"&amp;COUNTIFS($B$4:$B16,"?*",$C$4:$C16,""),""))</f>
        <v/>
      </c>
      <c r="O16" s="41" t="str">
        <f>IF($C16="","",$C16&amp;"@"&amp;COUNTIF($C$4:$C16,$C16))</f>
        <v>FCK SIX@1</v>
      </c>
    </row>
    <row r="17" spans="1:15">
      <c r="A17" s="19">
        <f>IF($B17="","",COUNTIF($B$4:$B17,"?*"))</f>
        <v>14</v>
      </c>
      <c r="B17" s="63" t="s">
        <v>895</v>
      </c>
      <c r="C17" s="80" t="s">
        <v>264</v>
      </c>
      <c r="D17" s="69" t="s">
        <v>2845</v>
      </c>
      <c r="E17" s="68" t="s">
        <v>2849</v>
      </c>
      <c r="F17" s="69"/>
      <c r="G17" s="68"/>
      <c r="H17" s="68"/>
      <c r="I17" s="1" t="str">
        <f>IF($B17="","",IF(COUNTIF(MASTER!$C$4:$C$1463,$B17)&gt;0,"yes · "&amp;INDEX(MASTER!$B$4:$B$1463,MATCH($B17,MASTER!$C$4:$C$1463,0)),"not matched"))</f>
        <v>yes · FUCT</v>
      </c>
      <c r="J17" s="19">
        <f t="shared" si="0"/>
        <v>12</v>
      </c>
      <c r="K17" s="1" t="str">
        <f>IF(OR($C17="",$E17=""),"",IF(COUNTIFS($C$4:$C17,$C17,$E$4:$E17,"?*")=1,$C17,""))</f>
        <v>FCK SIX</v>
      </c>
      <c r="L17" s="1" t="str">
        <f>IF(OR($C17="",$F17=""),"",IF(COUNTIFS($C$4:$C17,$C17,$F$4:$F17,"&gt;=0")=1,$C17,""))</f>
        <v/>
      </c>
      <c r="M17" s="1" t="str">
        <f>IF(OR($C17="",$D17=""),"",IF(COUNTIFS($C$4:$C17,$C17,$D$4:$D17,"?*")=1,$C17,""))</f>
        <v/>
      </c>
      <c r="N17" s="1" t="str">
        <f>IF($B17="","",IF($C17="","FA"&amp;COUNTIFS($B$4:$B17,"?*",$C$4:$C17,""),""))</f>
        <v/>
      </c>
      <c r="O17" s="1" t="str">
        <f>IF($C17="","",$C17&amp;"@"&amp;COUNTIF($C$4:$C17,$C17))</f>
        <v>FCK SIX@2</v>
      </c>
    </row>
    <row r="18" spans="1:15">
      <c r="A18" s="15">
        <f>IF($B18="","",COUNTIF($B$4:$B18,"?*"))</f>
        <v>15</v>
      </c>
      <c r="B18" s="63" t="s">
        <v>308</v>
      </c>
      <c r="C18" s="80" t="s">
        <v>264</v>
      </c>
      <c r="D18" s="69" t="s">
        <v>2845</v>
      </c>
      <c r="E18" s="68" t="s">
        <v>2846</v>
      </c>
      <c r="F18" s="69">
        <v>0</v>
      </c>
      <c r="G18" s="68"/>
      <c r="H18" s="68"/>
      <c r="I18" s="41" t="str">
        <f>IF($B18="","",IF(COUNTIF(MASTER!$C$4:$C$1463,$B18)&gt;0,"yes · "&amp;INDEX(MASTER!$B$4:$B$1463,MATCH($B18,MASTER!$C$4:$C$1463,0)),"not matched"))</f>
        <v>not matched</v>
      </c>
      <c r="J18" s="15">
        <f t="shared" si="0"/>
        <v>12</v>
      </c>
      <c r="K18" s="41" t="str">
        <f>IF(OR($C18="",$E18=""),"",IF(COUNTIFS($C$4:$C18,$C18,$E$4:$E18,"?*")=1,$C18,""))</f>
        <v/>
      </c>
      <c r="L18" s="41" t="str">
        <f>IF(OR($C18="",$F18=""),"",IF(COUNTIFS($C$4:$C18,$C18,$F$4:$F18,"&gt;=0")=1,$C18,""))</f>
        <v>FCK SIX</v>
      </c>
      <c r="M18" s="41" t="str">
        <f>IF(OR($C18="",$D18=""),"",IF(COUNTIFS($C$4:$C18,$C18,$D$4:$D18,"?*")=1,$C18,""))</f>
        <v/>
      </c>
      <c r="N18" s="41" t="str">
        <f>IF($B18="","",IF($C18="","FA"&amp;COUNTIFS($B$4:$B18,"?*",$C$4:$C18,""),""))</f>
        <v/>
      </c>
      <c r="O18" s="41" t="str">
        <f>IF($C18="","",$C18&amp;"@"&amp;COUNTIF($C$4:$C18,$C18))</f>
        <v>FCK SIX@3</v>
      </c>
    </row>
    <row r="19" spans="1:15">
      <c r="A19" s="19">
        <f>IF($B19="","",COUNTIF($B$4:$B19,"?*"))</f>
        <v>16</v>
      </c>
      <c r="B19" s="63" t="s">
        <v>387</v>
      </c>
      <c r="C19" s="80" t="s">
        <v>264</v>
      </c>
      <c r="D19" s="69" t="s">
        <v>2845</v>
      </c>
      <c r="E19" s="68"/>
      <c r="F19" s="69"/>
      <c r="G19" s="68"/>
      <c r="H19" s="68"/>
      <c r="I19" s="1" t="str">
        <f>IF($B19="","",IF(COUNTIF(MASTER!$C$4:$C$1463,$B19)&gt;0,"yes · "&amp;INDEX(MASTER!$B$4:$B$1463,MATCH($B19,MASTER!$C$4:$C$1463,0)),"not matched"))</f>
        <v>not matched</v>
      </c>
      <c r="J19" s="19">
        <f t="shared" si="0"/>
        <v>12</v>
      </c>
      <c r="K19" s="1" t="str">
        <f>IF(OR($C19="",$E19=""),"",IF(COUNTIFS($C$4:$C19,$C19,$E$4:$E19,"?*")=1,$C19,""))</f>
        <v/>
      </c>
      <c r="L19" s="1" t="str">
        <f>IF(OR($C19="",$F19=""),"",IF(COUNTIFS($C$4:$C19,$C19,$F$4:$F19,"&gt;=0")=1,$C19,""))</f>
        <v/>
      </c>
      <c r="M19" s="1" t="str">
        <f>IF(OR($C19="",$D19=""),"",IF(COUNTIFS($C$4:$C19,$C19,$D$4:$D19,"?*")=1,$C19,""))</f>
        <v/>
      </c>
      <c r="N19" s="1" t="str">
        <f>IF($B19="","",IF($C19="","FA"&amp;COUNTIFS($B$4:$B19,"?*",$C$4:$C19,""),""))</f>
        <v/>
      </c>
      <c r="O19" s="1" t="str">
        <f>IF($C19="","",$C19&amp;"@"&amp;COUNTIF($C$4:$C19,$C19))</f>
        <v>FCK SIX@4</v>
      </c>
    </row>
    <row r="20" spans="1:15">
      <c r="A20" s="15">
        <f>IF($B20="","",COUNTIF($B$4:$B20,"?*"))</f>
        <v>17</v>
      </c>
      <c r="B20" s="63" t="s">
        <v>328</v>
      </c>
      <c r="C20" s="80" t="s">
        <v>264</v>
      </c>
      <c r="D20" s="69" t="s">
        <v>2845</v>
      </c>
      <c r="E20" s="68"/>
      <c r="F20" s="69"/>
      <c r="G20" s="68"/>
      <c r="H20" s="68"/>
      <c r="I20" s="41" t="str">
        <f>IF($B20="","",IF(COUNTIF(MASTER!$C$4:$C$1463,$B20)&gt;0,"yes · "&amp;INDEX(MASTER!$B$4:$B$1463,MATCH($B20,MASTER!$C$4:$C$1463,0)),"not matched"))</f>
        <v>not matched</v>
      </c>
      <c r="J20" s="15">
        <f t="shared" si="0"/>
        <v>12</v>
      </c>
      <c r="K20" s="41" t="str">
        <f>IF(OR($C20="",$E20=""),"",IF(COUNTIFS($C$4:$C20,$C20,$E$4:$E20,"?*")=1,$C20,""))</f>
        <v/>
      </c>
      <c r="L20" s="41" t="str">
        <f>IF(OR($C20="",$F20=""),"",IF(COUNTIFS($C$4:$C20,$C20,$F$4:$F20,"&gt;=0")=1,$C20,""))</f>
        <v/>
      </c>
      <c r="M20" s="41" t="str">
        <f>IF(OR($C20="",$D20=""),"",IF(COUNTIFS($C$4:$C20,$C20,$D$4:$D20,"?*")=1,$C20,""))</f>
        <v/>
      </c>
      <c r="N20" s="41" t="str">
        <f>IF($B20="","",IF($C20="","FA"&amp;COUNTIFS($B$4:$B20,"?*",$C$4:$C20,""),""))</f>
        <v/>
      </c>
      <c r="O20" s="41" t="str">
        <f>IF($C20="","",$C20&amp;"@"&amp;COUNTIF($C$4:$C20,$C20))</f>
        <v>FCK SIX@5</v>
      </c>
    </row>
    <row r="21" spans="1:15">
      <c r="A21" s="19">
        <f>IF($B21="","",COUNTIF($B$4:$B21,"?*"))</f>
        <v>18</v>
      </c>
      <c r="B21" s="63" t="s">
        <v>330</v>
      </c>
      <c r="C21" s="80" t="s">
        <v>264</v>
      </c>
      <c r="D21" s="69" t="s">
        <v>2845</v>
      </c>
      <c r="E21" s="68"/>
      <c r="F21" s="69"/>
      <c r="G21" s="68"/>
      <c r="H21" s="68"/>
      <c r="I21" s="1" t="str">
        <f>IF($B21="","",IF(COUNTIF(MASTER!$C$4:$C$1463,$B21)&gt;0,"yes · "&amp;INDEX(MASTER!$B$4:$B$1463,MATCH($B21,MASTER!$C$4:$C$1463,0)),"not matched"))</f>
        <v>not matched</v>
      </c>
      <c r="J21" s="19">
        <f t="shared" si="0"/>
        <v>12</v>
      </c>
      <c r="K21" s="1" t="str">
        <f>IF(OR($C21="",$E21=""),"",IF(COUNTIFS($C$4:$C21,$C21,$E$4:$E21,"?*")=1,$C21,""))</f>
        <v/>
      </c>
      <c r="L21" s="1" t="str">
        <f>IF(OR($C21="",$F21=""),"",IF(COUNTIFS($C$4:$C21,$C21,$F$4:$F21,"&gt;=0")=1,$C21,""))</f>
        <v/>
      </c>
      <c r="M21" s="1" t="str">
        <f>IF(OR($C21="",$D21=""),"",IF(COUNTIFS($C$4:$C21,$C21,$D$4:$D21,"?*")=1,$C21,""))</f>
        <v/>
      </c>
      <c r="N21" s="1" t="str">
        <f>IF($B21="","",IF($C21="","FA"&amp;COUNTIFS($B$4:$B21,"?*",$C$4:$C21,""),""))</f>
        <v/>
      </c>
      <c r="O21" s="1" t="str">
        <f>IF($C21="","",$C21&amp;"@"&amp;COUNTIF($C$4:$C21,$C21))</f>
        <v>FCK SIX@6</v>
      </c>
    </row>
    <row r="22" spans="1:15">
      <c r="A22" s="15">
        <f>IF($B22="","",COUNTIF($B$4:$B22,"?*"))</f>
        <v>19</v>
      </c>
      <c r="B22" s="63" t="s">
        <v>348</v>
      </c>
      <c r="C22" s="80" t="s">
        <v>264</v>
      </c>
      <c r="D22" s="69" t="s">
        <v>2845</v>
      </c>
      <c r="E22" s="68"/>
      <c r="F22" s="69"/>
      <c r="G22" s="68"/>
      <c r="H22" s="68"/>
      <c r="I22" s="41" t="str">
        <f>IF($B22="","",IF(COUNTIF(MASTER!$C$4:$C$1463,$B22)&gt;0,"yes · "&amp;INDEX(MASTER!$B$4:$B$1463,MATCH($B22,MASTER!$C$4:$C$1463,0)),"not matched"))</f>
        <v>not matched</v>
      </c>
      <c r="J22" s="15">
        <f t="shared" si="0"/>
        <v>12</v>
      </c>
      <c r="K22" s="41" t="str">
        <f>IF(OR($C22="",$E22=""),"",IF(COUNTIFS($C$4:$C22,$C22,$E$4:$E22,"?*")=1,$C22,""))</f>
        <v/>
      </c>
      <c r="L22" s="41" t="str">
        <f>IF(OR($C22="",$F22=""),"",IF(COUNTIFS($C$4:$C22,$C22,$F$4:$F22,"&gt;=0")=1,$C22,""))</f>
        <v/>
      </c>
      <c r="M22" s="41" t="str">
        <f>IF(OR($C22="",$D22=""),"",IF(COUNTIFS($C$4:$C22,$C22,$D$4:$D22,"?*")=1,$C22,""))</f>
        <v/>
      </c>
      <c r="N22" s="41" t="str">
        <f>IF($B22="","",IF($C22="","FA"&amp;COUNTIFS($B$4:$B22,"?*",$C$4:$C22,""),""))</f>
        <v/>
      </c>
      <c r="O22" s="41" t="str">
        <f>IF($C22="","",$C22&amp;"@"&amp;COUNTIF($C$4:$C22,$C22))</f>
        <v>FCK SIX@7</v>
      </c>
    </row>
    <row r="23" spans="1:15">
      <c r="A23" s="19">
        <f>IF($B23="","",COUNTIF($B$4:$B23,"?*"))</f>
        <v>20</v>
      </c>
      <c r="B23" s="63" t="s">
        <v>356</v>
      </c>
      <c r="C23" s="80" t="s">
        <v>264</v>
      </c>
      <c r="D23" s="69" t="s">
        <v>2845</v>
      </c>
      <c r="E23" s="68"/>
      <c r="F23" s="69"/>
      <c r="G23" s="68"/>
      <c r="H23" s="68"/>
      <c r="I23" s="1" t="str">
        <f>IF($B23="","",IF(COUNTIF(MASTER!$C$4:$C$1463,$B23)&gt;0,"yes · "&amp;INDEX(MASTER!$B$4:$B$1463,MATCH($B23,MASTER!$C$4:$C$1463,0)),"not matched"))</f>
        <v>not matched</v>
      </c>
      <c r="J23" s="19">
        <f t="shared" si="0"/>
        <v>12</v>
      </c>
      <c r="K23" s="1" t="str">
        <f>IF(OR($C23="",$E23=""),"",IF(COUNTIFS($C$4:$C23,$C23,$E$4:$E23,"?*")=1,$C23,""))</f>
        <v/>
      </c>
      <c r="L23" s="1" t="str">
        <f>IF(OR($C23="",$F23=""),"",IF(COUNTIFS($C$4:$C23,$C23,$F$4:$F23,"&gt;=0")=1,$C23,""))</f>
        <v/>
      </c>
      <c r="M23" s="1" t="str">
        <f>IF(OR($C23="",$D23=""),"",IF(COUNTIFS($C$4:$C23,$C23,$D$4:$D23,"?*")=1,$C23,""))</f>
        <v/>
      </c>
      <c r="N23" s="1" t="str">
        <f>IF($B23="","",IF($C23="","FA"&amp;COUNTIFS($B$4:$B23,"?*",$C$4:$C23,""),""))</f>
        <v/>
      </c>
      <c r="O23" s="1" t="str">
        <f>IF($C23="","",$C23&amp;"@"&amp;COUNTIF($C$4:$C23,$C23))</f>
        <v>FCK SIX@8</v>
      </c>
    </row>
    <row r="24" spans="1:15">
      <c r="A24" s="15">
        <f>IF($B24="","",COUNTIF($B$4:$B24,"?*"))</f>
        <v>21</v>
      </c>
      <c r="B24" s="63" t="s">
        <v>357</v>
      </c>
      <c r="C24" s="80" t="s">
        <v>264</v>
      </c>
      <c r="D24" s="69" t="s">
        <v>2845</v>
      </c>
      <c r="E24" s="68"/>
      <c r="F24" s="69"/>
      <c r="G24" s="68"/>
      <c r="H24" s="68"/>
      <c r="I24" s="41" t="str">
        <f>IF($B24="","",IF(COUNTIF(MASTER!$C$4:$C$1463,$B24)&gt;0,"yes · "&amp;INDEX(MASTER!$B$4:$B$1463,MATCH($B24,MASTER!$C$4:$C$1463,0)),"not matched"))</f>
        <v>not matched</v>
      </c>
      <c r="J24" s="15">
        <f t="shared" si="0"/>
        <v>12</v>
      </c>
      <c r="K24" s="41" t="str">
        <f>IF(OR($C24="",$E24=""),"",IF(COUNTIFS($C$4:$C24,$C24,$E$4:$E24,"?*")=1,$C24,""))</f>
        <v/>
      </c>
      <c r="L24" s="41" t="str">
        <f>IF(OR($C24="",$F24=""),"",IF(COUNTIFS($C$4:$C24,$C24,$F$4:$F24,"&gt;=0")=1,$C24,""))</f>
        <v/>
      </c>
      <c r="M24" s="41" t="str">
        <f>IF(OR($C24="",$D24=""),"",IF(COUNTIFS($C$4:$C24,$C24,$D$4:$D24,"?*")=1,$C24,""))</f>
        <v/>
      </c>
      <c r="N24" s="41" t="str">
        <f>IF($B24="","",IF($C24="","FA"&amp;COUNTIFS($B$4:$B24,"?*",$C$4:$C24,""),""))</f>
        <v/>
      </c>
      <c r="O24" s="41" t="str">
        <f>IF($C24="","",$C24&amp;"@"&amp;COUNTIF($C$4:$C24,$C24))</f>
        <v>FCK SIX@9</v>
      </c>
    </row>
    <row r="25" spans="1:15">
      <c r="A25" s="19">
        <f>IF($B25="","",COUNTIF($B$4:$B25,"?*"))</f>
        <v>22</v>
      </c>
      <c r="B25" s="63" t="s">
        <v>374</v>
      </c>
      <c r="C25" s="80" t="s">
        <v>264</v>
      </c>
      <c r="D25" s="69" t="s">
        <v>2845</v>
      </c>
      <c r="E25" s="68"/>
      <c r="F25" s="69"/>
      <c r="G25" s="68"/>
      <c r="H25" s="68"/>
      <c r="I25" s="1" t="str">
        <f>IF($B25="","",IF(COUNTIF(MASTER!$C$4:$C$1463,$B25)&gt;0,"yes · "&amp;INDEX(MASTER!$B$4:$B$1463,MATCH($B25,MASTER!$C$4:$C$1463,0)),"not matched"))</f>
        <v>not matched</v>
      </c>
      <c r="J25" s="19">
        <f t="shared" si="0"/>
        <v>12</v>
      </c>
      <c r="K25" s="1" t="str">
        <f>IF(OR($C25="",$E25=""),"",IF(COUNTIFS($C$4:$C25,$C25,$E$4:$E25,"?*")=1,$C25,""))</f>
        <v/>
      </c>
      <c r="L25" s="1" t="str">
        <f>IF(OR($C25="",$F25=""),"",IF(COUNTIFS($C$4:$C25,$C25,$F$4:$F25,"&gt;=0")=1,$C25,""))</f>
        <v/>
      </c>
      <c r="M25" s="1" t="str">
        <f>IF(OR($C25="",$D25=""),"",IF(COUNTIFS($C$4:$C25,$C25,$D$4:$D25,"?*")=1,$C25,""))</f>
        <v/>
      </c>
      <c r="N25" s="1" t="str">
        <f>IF($B25="","",IF($C25="","FA"&amp;COUNTIFS($B$4:$B25,"?*",$C$4:$C25,""),""))</f>
        <v/>
      </c>
      <c r="O25" s="1" t="str">
        <f>IF($C25="","",$C25&amp;"@"&amp;COUNTIF($C$4:$C25,$C25))</f>
        <v>FCK SIX@10</v>
      </c>
    </row>
    <row r="26" spans="1:15">
      <c r="A26" s="15">
        <f>IF($B26="","",COUNTIF($B$4:$B26,"?*"))</f>
        <v>23</v>
      </c>
      <c r="B26" s="63" t="s">
        <v>378</v>
      </c>
      <c r="C26" s="80" t="s">
        <v>264</v>
      </c>
      <c r="D26" s="69" t="s">
        <v>2845</v>
      </c>
      <c r="E26" s="68"/>
      <c r="F26" s="69"/>
      <c r="G26" s="68"/>
      <c r="H26" s="68"/>
      <c r="I26" s="41" t="str">
        <f>IF($B26="","",IF(COUNTIF(MASTER!$C$4:$C$1463,$B26)&gt;0,"yes · "&amp;INDEX(MASTER!$B$4:$B$1463,MATCH($B26,MASTER!$C$4:$C$1463,0)),"not matched"))</f>
        <v>not matched</v>
      </c>
      <c r="J26" s="15">
        <f t="shared" si="0"/>
        <v>12</v>
      </c>
      <c r="K26" s="41" t="str">
        <f>IF(OR($C26="",$E26=""),"",IF(COUNTIFS($C$4:$C26,$C26,$E$4:$E26,"?*")=1,$C26,""))</f>
        <v/>
      </c>
      <c r="L26" s="41" t="str">
        <f>IF(OR($C26="",$F26=""),"",IF(COUNTIFS($C$4:$C26,$C26,$F$4:$F26,"&gt;=0")=1,$C26,""))</f>
        <v/>
      </c>
      <c r="M26" s="41" t="str">
        <f>IF(OR($C26="",$D26=""),"",IF(COUNTIFS($C$4:$C26,$C26,$D$4:$D26,"?*")=1,$C26,""))</f>
        <v/>
      </c>
      <c r="N26" s="41" t="str">
        <f>IF($B26="","",IF($C26="","FA"&amp;COUNTIFS($B$4:$B26,"?*",$C$4:$C26,""),""))</f>
        <v/>
      </c>
      <c r="O26" s="41" t="str">
        <f>IF($C26="","",$C26&amp;"@"&amp;COUNTIF($C$4:$C26,$C26))</f>
        <v>FCK SIX@11</v>
      </c>
    </row>
    <row r="27" spans="1:15">
      <c r="A27" s="19">
        <f>IF($B27="","",COUNTIF($B$4:$B27,"?*"))</f>
        <v>24</v>
      </c>
      <c r="B27" s="63" t="s">
        <v>382</v>
      </c>
      <c r="C27" s="80" t="s">
        <v>264</v>
      </c>
      <c r="D27" s="69" t="s">
        <v>2845</v>
      </c>
      <c r="E27" s="68"/>
      <c r="F27" s="69"/>
      <c r="G27" s="68"/>
      <c r="H27" s="68"/>
      <c r="I27" s="1" t="str">
        <f>IF($B27="","",IF(COUNTIF(MASTER!$C$4:$C$1463,$B27)&gt;0,"yes · "&amp;INDEX(MASTER!$B$4:$B$1463,MATCH($B27,MASTER!$C$4:$C$1463,0)),"not matched"))</f>
        <v>not matched</v>
      </c>
      <c r="J27" s="19">
        <f t="shared" si="0"/>
        <v>12</v>
      </c>
      <c r="K27" s="1" t="str">
        <f>IF(OR($C27="",$E27=""),"",IF(COUNTIFS($C$4:$C27,$C27,$E$4:$E27,"?*")=1,$C27,""))</f>
        <v/>
      </c>
      <c r="L27" s="1" t="str">
        <f>IF(OR($C27="",$F27=""),"",IF(COUNTIFS($C$4:$C27,$C27,$F$4:$F27,"&gt;=0")=1,$C27,""))</f>
        <v/>
      </c>
      <c r="M27" s="1" t="str">
        <f>IF(OR($C27="",$D27=""),"",IF(COUNTIFS($C$4:$C27,$C27,$D$4:$D27,"?*")=1,$C27,""))</f>
        <v/>
      </c>
      <c r="N27" s="1" t="str">
        <f>IF($B27="","",IF($C27="","FA"&amp;COUNTIFS($B$4:$B27,"?*",$C$4:$C27,""),""))</f>
        <v/>
      </c>
      <c r="O27" s="1" t="str">
        <f>IF($C27="","",$C27&amp;"@"&amp;COUNTIF($C$4:$C27,$C27))</f>
        <v>FCK SIX@12</v>
      </c>
    </row>
    <row r="28" spans="1:15">
      <c r="A28" s="15">
        <f>IF($B28="","",COUNTIF($B$4:$B28,"?*"))</f>
        <v>25</v>
      </c>
      <c r="B28" s="63" t="s">
        <v>301</v>
      </c>
      <c r="C28" s="80" t="s">
        <v>66</v>
      </c>
      <c r="D28" s="69" t="s">
        <v>2845</v>
      </c>
      <c r="E28" s="68"/>
      <c r="F28" s="69">
        <v>0</v>
      </c>
      <c r="G28" s="68"/>
      <c r="H28" s="68"/>
      <c r="I28" s="41" t="str">
        <f>IF($B28="","",IF(COUNTIF(MASTER!$C$4:$C$1463,$B28)&gt;0,"yes · "&amp;INDEX(MASTER!$B$4:$B$1463,MATCH($B28,MASTER!$C$4:$C$1463,0)),"not matched"))</f>
        <v>not matched</v>
      </c>
      <c r="J28" s="15">
        <f t="shared" si="0"/>
        <v>12</v>
      </c>
      <c r="K28" s="41" t="str">
        <f>IF(OR($C28="",$E28=""),"",IF(COUNTIFS($C$4:$C28,$C28,$E$4:$E28,"?*")=1,$C28,""))</f>
        <v/>
      </c>
      <c r="L28" s="41" t="str">
        <f>IF(OR($C28="",$F28=""),"",IF(COUNTIFS($C$4:$C28,$C28,$F$4:$F28,"&gt;=0")=1,$C28,""))</f>
        <v>FUCT</v>
      </c>
      <c r="M28" s="41" t="str">
        <f>IF(OR($C28="",$D28=""),"",IF(COUNTIFS($C$4:$C28,$C28,$D$4:$D28,"?*")=1,$C28,""))</f>
        <v>FUCT</v>
      </c>
      <c r="N28" s="41" t="str">
        <f>IF($B28="","",IF($C28="","FA"&amp;COUNTIFS($B$4:$B28,"?*",$C$4:$C28,""),""))</f>
        <v/>
      </c>
      <c r="O28" s="41" t="str">
        <f>IF($C28="","",$C28&amp;"@"&amp;COUNTIF($C$4:$C28,$C28))</f>
        <v>FUCT@1</v>
      </c>
    </row>
    <row r="29" spans="1:15">
      <c r="A29" s="19">
        <f>IF($B29="","",COUNTIF($B$4:$B29,"?*"))</f>
        <v>26</v>
      </c>
      <c r="B29" s="63" t="s">
        <v>401</v>
      </c>
      <c r="C29" s="80" t="s">
        <v>66</v>
      </c>
      <c r="D29" s="69" t="s">
        <v>2845</v>
      </c>
      <c r="E29" s="68"/>
      <c r="F29" s="69">
        <v>0</v>
      </c>
      <c r="G29" s="68"/>
      <c r="H29" s="68"/>
      <c r="I29" s="1" t="str">
        <f>IF($B29="","",IF(COUNTIF(MASTER!$C$4:$C$1463,$B29)&gt;0,"yes · "&amp;INDEX(MASTER!$B$4:$B$1463,MATCH($B29,MASTER!$C$4:$C$1463,0)),"not matched"))</f>
        <v>not matched</v>
      </c>
      <c r="J29" s="19">
        <f t="shared" si="0"/>
        <v>12</v>
      </c>
      <c r="K29" s="1" t="str">
        <f>IF(OR($C29="",$E29=""),"",IF(COUNTIFS($C$4:$C29,$C29,$E$4:$E29,"?*")=1,$C29,""))</f>
        <v/>
      </c>
      <c r="L29" s="1" t="str">
        <f>IF(OR($C29="",$F29=""),"",IF(COUNTIFS($C$4:$C29,$C29,$F$4:$F29,"&gt;=0")=1,$C29,""))</f>
        <v/>
      </c>
      <c r="M29" s="1" t="str">
        <f>IF(OR($C29="",$D29=""),"",IF(COUNTIFS($C$4:$C29,$C29,$D$4:$D29,"?*")=1,$C29,""))</f>
        <v/>
      </c>
      <c r="N29" s="1" t="str">
        <f>IF($B29="","",IF($C29="","FA"&amp;COUNTIFS($B$4:$B29,"?*",$C$4:$C29,""),""))</f>
        <v/>
      </c>
      <c r="O29" s="1" t="str">
        <f>IF($C29="","",$C29&amp;"@"&amp;COUNTIF($C$4:$C29,$C29))</f>
        <v>FUCT@2</v>
      </c>
    </row>
    <row r="30" spans="1:15">
      <c r="A30" s="15">
        <f>IF($B30="","",COUNTIF($B$4:$B30,"?*"))</f>
        <v>27</v>
      </c>
      <c r="B30" s="63" t="s">
        <v>341</v>
      </c>
      <c r="C30" s="80" t="s">
        <v>66</v>
      </c>
      <c r="D30" s="69" t="s">
        <v>2845</v>
      </c>
      <c r="E30" s="68"/>
      <c r="F30" s="69">
        <v>0</v>
      </c>
      <c r="G30" s="68"/>
      <c r="H30" s="68"/>
      <c r="I30" s="41" t="str">
        <f>IF($B30="","",IF(COUNTIF(MASTER!$C$4:$C$1463,$B30)&gt;0,"yes · "&amp;INDEX(MASTER!$B$4:$B$1463,MATCH($B30,MASTER!$C$4:$C$1463,0)),"not matched"))</f>
        <v>not matched</v>
      </c>
      <c r="J30" s="15">
        <f t="shared" si="0"/>
        <v>12</v>
      </c>
      <c r="K30" s="41" t="str">
        <f>IF(OR($C30="",$E30=""),"",IF(COUNTIFS($C$4:$C30,$C30,$E$4:$E30,"?*")=1,$C30,""))</f>
        <v/>
      </c>
      <c r="L30" s="41" t="str">
        <f>IF(OR($C30="",$F30=""),"",IF(COUNTIFS($C$4:$C30,$C30,$F$4:$F30,"&gt;=0")=1,$C30,""))</f>
        <v/>
      </c>
      <c r="M30" s="41" t="str">
        <f>IF(OR($C30="",$D30=""),"",IF(COUNTIFS($C$4:$C30,$C30,$D$4:$D30,"?*")=1,$C30,""))</f>
        <v/>
      </c>
      <c r="N30" s="41" t="str">
        <f>IF($B30="","",IF($C30="","FA"&amp;COUNTIFS($B$4:$B30,"?*",$C$4:$C30,""),""))</f>
        <v/>
      </c>
      <c r="O30" s="41" t="str">
        <f>IF($C30="","",$C30&amp;"@"&amp;COUNTIF($C$4:$C30,$C30))</f>
        <v>FUCT@3</v>
      </c>
    </row>
    <row r="31" spans="1:15">
      <c r="A31" s="19">
        <f>IF($B31="","",COUNTIF($B$4:$B31,"?*"))</f>
        <v>28</v>
      </c>
      <c r="B31" s="63" t="s">
        <v>352</v>
      </c>
      <c r="C31" s="80" t="s">
        <v>66</v>
      </c>
      <c r="D31" s="69" t="s">
        <v>2845</v>
      </c>
      <c r="E31" s="68"/>
      <c r="F31" s="69">
        <v>0</v>
      </c>
      <c r="G31" s="68"/>
      <c r="H31" s="68"/>
      <c r="I31" s="1" t="str">
        <f>IF($B31="","",IF(COUNTIF(MASTER!$C$4:$C$1463,$B31)&gt;0,"yes · "&amp;INDEX(MASTER!$B$4:$B$1463,MATCH($B31,MASTER!$C$4:$C$1463,0)),"not matched"))</f>
        <v>not matched</v>
      </c>
      <c r="J31" s="19">
        <f t="shared" si="0"/>
        <v>12</v>
      </c>
      <c r="K31" s="1" t="str">
        <f>IF(OR($C31="",$E31=""),"",IF(COUNTIFS($C$4:$C31,$C31,$E$4:$E31,"?*")=1,$C31,""))</f>
        <v/>
      </c>
      <c r="L31" s="1" t="str">
        <f>IF(OR($C31="",$F31=""),"",IF(COUNTIFS($C$4:$C31,$C31,$F$4:$F31,"&gt;=0")=1,$C31,""))</f>
        <v/>
      </c>
      <c r="M31" s="1" t="str">
        <f>IF(OR($C31="",$D31=""),"",IF(COUNTIFS($C$4:$C31,$C31,$D$4:$D31,"?*")=1,$C31,""))</f>
        <v/>
      </c>
      <c r="N31" s="1" t="str">
        <f>IF($B31="","",IF($C31="","FA"&amp;COUNTIFS($B$4:$B31,"?*",$C$4:$C31,""),""))</f>
        <v/>
      </c>
      <c r="O31" s="1" t="str">
        <f>IF($C31="","",$C31&amp;"@"&amp;COUNTIF($C$4:$C31,$C31))</f>
        <v>FUCT@4</v>
      </c>
    </row>
    <row r="32" spans="1:15">
      <c r="A32" s="15">
        <f>IF($B32="","",COUNTIF($B$4:$B32,"?*"))</f>
        <v>29</v>
      </c>
      <c r="B32" s="63" t="s">
        <v>361</v>
      </c>
      <c r="C32" s="80" t="s">
        <v>66</v>
      </c>
      <c r="D32" s="69" t="s">
        <v>2845</v>
      </c>
      <c r="E32" s="68"/>
      <c r="F32" s="69">
        <v>0</v>
      </c>
      <c r="G32" s="68"/>
      <c r="H32" s="68"/>
      <c r="I32" s="41" t="str">
        <f>IF($B32="","",IF(COUNTIF(MASTER!$C$4:$C$1463,$B32)&gt;0,"yes · "&amp;INDEX(MASTER!$B$4:$B$1463,MATCH($B32,MASTER!$C$4:$C$1463,0)),"not matched"))</f>
        <v>not matched</v>
      </c>
      <c r="J32" s="15">
        <f t="shared" si="0"/>
        <v>12</v>
      </c>
      <c r="K32" s="41" t="str">
        <f>IF(OR($C32="",$E32=""),"",IF(COUNTIFS($C$4:$C32,$C32,$E$4:$E32,"?*")=1,$C32,""))</f>
        <v/>
      </c>
      <c r="L32" s="41" t="str">
        <f>IF(OR($C32="",$F32=""),"",IF(COUNTIFS($C$4:$C32,$C32,$F$4:$F32,"&gt;=0")=1,$C32,""))</f>
        <v/>
      </c>
      <c r="M32" s="41" t="str">
        <f>IF(OR($C32="",$D32=""),"",IF(COUNTIFS($C$4:$C32,$C32,$D$4:$D32,"?*")=1,$C32,""))</f>
        <v/>
      </c>
      <c r="N32" s="41" t="str">
        <f>IF($B32="","",IF($C32="","FA"&amp;COUNTIFS($B$4:$B32,"?*",$C$4:$C32,""),""))</f>
        <v/>
      </c>
      <c r="O32" s="41" t="str">
        <f>IF($C32="","",$C32&amp;"@"&amp;COUNTIF($C$4:$C32,$C32))</f>
        <v>FUCT@5</v>
      </c>
    </row>
    <row r="33" spans="1:15">
      <c r="A33" s="19">
        <f>IF($B33="","",COUNTIF($B$4:$B33,"?*"))</f>
        <v>30</v>
      </c>
      <c r="B33" s="63" t="s">
        <v>365</v>
      </c>
      <c r="C33" s="80" t="s">
        <v>66</v>
      </c>
      <c r="D33" s="69" t="s">
        <v>2845</v>
      </c>
      <c r="E33" s="68"/>
      <c r="F33" s="69">
        <v>0</v>
      </c>
      <c r="G33" s="68"/>
      <c r="H33" s="68"/>
      <c r="I33" s="1" t="str">
        <f>IF($B33="","",IF(COUNTIF(MASTER!$C$4:$C$1463,$B33)&gt;0,"yes · "&amp;INDEX(MASTER!$B$4:$B$1463,MATCH($B33,MASTER!$C$4:$C$1463,0)),"not matched"))</f>
        <v>not matched</v>
      </c>
      <c r="J33" s="19">
        <f t="shared" si="0"/>
        <v>12</v>
      </c>
      <c r="K33" s="1" t="str">
        <f>IF(OR($C33="",$E33=""),"",IF(COUNTIFS($C$4:$C33,$C33,$E$4:$E33,"?*")=1,$C33,""))</f>
        <v/>
      </c>
      <c r="L33" s="1" t="str">
        <f>IF(OR($C33="",$F33=""),"",IF(COUNTIFS($C$4:$C33,$C33,$F$4:$F33,"&gt;=0")=1,$C33,""))</f>
        <v/>
      </c>
      <c r="M33" s="1" t="str">
        <f>IF(OR($C33="",$D33=""),"",IF(COUNTIFS($C$4:$C33,$C33,$D$4:$D33,"?*")=1,$C33,""))</f>
        <v/>
      </c>
      <c r="N33" s="1" t="str">
        <f>IF($B33="","",IF($C33="","FA"&amp;COUNTIFS($B$4:$B33,"?*",$C$4:$C33,""),""))</f>
        <v/>
      </c>
      <c r="O33" s="1" t="str">
        <f>IF($C33="","",$C33&amp;"@"&amp;COUNTIF($C$4:$C33,$C33))</f>
        <v>FUCT@6</v>
      </c>
    </row>
    <row r="34" spans="1:15">
      <c r="A34" s="15">
        <f>IF($B34="","",COUNTIF($B$4:$B34,"?*"))</f>
        <v>31</v>
      </c>
      <c r="B34" s="63" t="s">
        <v>403</v>
      </c>
      <c r="C34" s="80" t="s">
        <v>66</v>
      </c>
      <c r="D34" s="69" t="s">
        <v>2845</v>
      </c>
      <c r="E34" s="68"/>
      <c r="F34" s="69">
        <v>0</v>
      </c>
      <c r="G34" s="68"/>
      <c r="H34" s="68"/>
      <c r="I34" s="41" t="str">
        <f>IF($B34="","",IF(COUNTIF(MASTER!$C$4:$C$1463,$B34)&gt;0,"yes · "&amp;INDEX(MASTER!$B$4:$B$1463,MATCH($B34,MASTER!$C$4:$C$1463,0)),"not matched"))</f>
        <v>not matched</v>
      </c>
      <c r="J34" s="15">
        <f t="shared" si="0"/>
        <v>12</v>
      </c>
      <c r="K34" s="41" t="str">
        <f>IF(OR($C34="",$E34=""),"",IF(COUNTIFS($C$4:$C34,$C34,$E$4:$E34,"?*")=1,$C34,""))</f>
        <v/>
      </c>
      <c r="L34" s="41" t="str">
        <f>IF(OR($C34="",$F34=""),"",IF(COUNTIFS($C$4:$C34,$C34,$F$4:$F34,"&gt;=0")=1,$C34,""))</f>
        <v/>
      </c>
      <c r="M34" s="41" t="str">
        <f>IF(OR($C34="",$D34=""),"",IF(COUNTIFS($C$4:$C34,$C34,$D$4:$D34,"?*")=1,$C34,""))</f>
        <v/>
      </c>
      <c r="N34" s="41" t="str">
        <f>IF($B34="","",IF($C34="","FA"&amp;COUNTIFS($B$4:$B34,"?*",$C$4:$C34,""),""))</f>
        <v/>
      </c>
      <c r="O34" s="41" t="str">
        <f>IF($C34="","",$C34&amp;"@"&amp;COUNTIF($C$4:$C34,$C34))</f>
        <v>FUCT@7</v>
      </c>
    </row>
    <row r="35" spans="1:15">
      <c r="A35" s="19">
        <f>IF($B35="","",COUNTIF($B$4:$B35,"?*"))</f>
        <v>32</v>
      </c>
      <c r="B35" s="63" t="s">
        <v>392</v>
      </c>
      <c r="C35" s="80" t="s">
        <v>66</v>
      </c>
      <c r="D35" s="69" t="s">
        <v>2845</v>
      </c>
      <c r="E35" s="68"/>
      <c r="F35" s="69">
        <v>1</v>
      </c>
      <c r="G35" s="68"/>
      <c r="H35" s="68"/>
      <c r="I35" s="1" t="str">
        <f>IF($B35="","",IF(COUNTIF(MASTER!$C$4:$C$1463,$B35)&gt;0,"yes · "&amp;INDEX(MASTER!$B$4:$B$1463,MATCH($B35,MASTER!$C$4:$C$1463,0)),"not matched"))</f>
        <v>yes · FUCT</v>
      </c>
      <c r="J35" s="19">
        <f t="shared" si="0"/>
        <v>12</v>
      </c>
      <c r="K35" s="1" t="str">
        <f>IF(OR($C35="",$E35=""),"",IF(COUNTIFS($C$4:$C35,$C35,$E$4:$E35,"?*")=1,$C35,""))</f>
        <v/>
      </c>
      <c r="L35" s="1" t="str">
        <f>IF(OR($C35="",$F35=""),"",IF(COUNTIFS($C$4:$C35,$C35,$F$4:$F35,"&gt;=0")=1,$C35,""))</f>
        <v/>
      </c>
      <c r="M35" s="1" t="str">
        <f>IF(OR($C35="",$D35=""),"",IF(COUNTIFS($C$4:$C35,$C35,$D$4:$D35,"?*")=1,$C35,""))</f>
        <v/>
      </c>
      <c r="N35" s="1" t="str">
        <f>IF($B35="","",IF($C35="","FA"&amp;COUNTIFS($B$4:$B35,"?*",$C$4:$C35,""),""))</f>
        <v/>
      </c>
      <c r="O35" s="1" t="str">
        <f>IF($C35="","",$C35&amp;"@"&amp;COUNTIF($C$4:$C35,$C35))</f>
        <v>FUCT@8</v>
      </c>
    </row>
    <row r="36" spans="1:15">
      <c r="A36" s="15">
        <f>IF($B36="","",COUNTIF($B$4:$B36,"?*"))</f>
        <v>33</v>
      </c>
      <c r="B36" s="63" t="s">
        <v>402</v>
      </c>
      <c r="C36" s="80" t="s">
        <v>66</v>
      </c>
      <c r="D36" s="69" t="s">
        <v>2845</v>
      </c>
      <c r="E36" s="68"/>
      <c r="F36" s="69">
        <v>0</v>
      </c>
      <c r="G36" s="68"/>
      <c r="H36" s="68"/>
      <c r="I36" s="41" t="str">
        <f>IF($B36="","",IF(COUNTIF(MASTER!$C$4:$C$1463,$B36)&gt;0,"yes · "&amp;INDEX(MASTER!$B$4:$B$1463,MATCH($B36,MASTER!$C$4:$C$1463,0)),"not matched"))</f>
        <v>yes · FUCT</v>
      </c>
      <c r="J36" s="15">
        <f t="shared" ref="J36:J67" si="1">IF($C36="","",COUNTIF($C$4:$C$135,$C36))</f>
        <v>12</v>
      </c>
      <c r="K36" s="41" t="str">
        <f>IF(OR($C36="",$E36=""),"",IF(COUNTIFS($C$4:$C36,$C36,$E$4:$E36,"?*")=1,$C36,""))</f>
        <v/>
      </c>
      <c r="L36" s="41" t="str">
        <f>IF(OR($C36="",$F36=""),"",IF(COUNTIFS($C$4:$C36,$C36,$F$4:$F36,"&gt;=0")=1,$C36,""))</f>
        <v/>
      </c>
      <c r="M36" s="41" t="str">
        <f>IF(OR($C36="",$D36=""),"",IF(COUNTIFS($C$4:$C36,$C36,$D$4:$D36,"?*")=1,$C36,""))</f>
        <v/>
      </c>
      <c r="N36" s="41" t="str">
        <f>IF($B36="","",IF($C36="","FA"&amp;COUNTIFS($B$4:$B36,"?*",$C$4:$C36,""),""))</f>
        <v/>
      </c>
      <c r="O36" s="41" t="str">
        <f>IF($C36="","",$C36&amp;"@"&amp;COUNTIF($C$4:$C36,$C36))</f>
        <v>FUCT@9</v>
      </c>
    </row>
    <row r="37" spans="1:15">
      <c r="A37" s="19">
        <f>IF($B37="","",COUNTIF($B$4:$B37,"?*"))</f>
        <v>34</v>
      </c>
      <c r="B37" s="63" t="s">
        <v>386</v>
      </c>
      <c r="C37" s="80" t="s">
        <v>66</v>
      </c>
      <c r="D37" s="69" t="s">
        <v>2845</v>
      </c>
      <c r="E37" s="68" t="s">
        <v>2849</v>
      </c>
      <c r="F37" s="69">
        <v>0</v>
      </c>
      <c r="G37" s="68"/>
      <c r="H37" s="68"/>
      <c r="I37" s="1" t="str">
        <f>IF($B37="","",IF(COUNTIF(MASTER!$C$4:$C$1463,$B37)&gt;0,"yes · "&amp;INDEX(MASTER!$B$4:$B$1463,MATCH($B37,MASTER!$C$4:$C$1463,0)),"not matched"))</f>
        <v>not matched</v>
      </c>
      <c r="J37" s="19">
        <f t="shared" si="1"/>
        <v>12</v>
      </c>
      <c r="K37" s="1" t="str">
        <f>IF(OR($C37="",$E37=""),"",IF(COUNTIFS($C$4:$C37,$C37,$E$4:$E37,"?*")=1,$C37,""))</f>
        <v>FUCT</v>
      </c>
      <c r="L37" s="1" t="str">
        <f>IF(OR($C37="",$F37=""),"",IF(COUNTIFS($C$4:$C37,$C37,$F$4:$F37,"&gt;=0")=1,$C37,""))</f>
        <v/>
      </c>
      <c r="M37" s="1" t="str">
        <f>IF(OR($C37="",$D37=""),"",IF(COUNTIFS($C$4:$C37,$C37,$D$4:$D37,"?*")=1,$C37,""))</f>
        <v/>
      </c>
      <c r="N37" s="1" t="str">
        <f>IF($B37="","",IF($C37="","FA"&amp;COUNTIFS($B$4:$B37,"?*",$C$4:$C37,""),""))</f>
        <v/>
      </c>
      <c r="O37" s="1" t="str">
        <f>IF($C37="","",$C37&amp;"@"&amp;COUNTIF($C$4:$C37,$C37))</f>
        <v>FUCT@10</v>
      </c>
    </row>
    <row r="38" spans="1:15">
      <c r="A38" s="15">
        <f>IF($B38="","",COUNTIF($B$4:$B38,"?*"))</f>
        <v>35</v>
      </c>
      <c r="B38" s="63" t="s">
        <v>380</v>
      </c>
      <c r="C38" s="80" t="s">
        <v>66</v>
      </c>
      <c r="D38" s="69" t="s">
        <v>2845</v>
      </c>
      <c r="E38" s="68"/>
      <c r="F38" s="69">
        <v>0</v>
      </c>
      <c r="G38" s="68"/>
      <c r="H38" s="68"/>
      <c r="I38" s="41" t="str">
        <f>IF($B38="","",IF(COUNTIF(MASTER!$C$4:$C$1463,$B38)&gt;0,"yes · "&amp;INDEX(MASTER!$B$4:$B$1463,MATCH($B38,MASTER!$C$4:$C$1463,0)),"not matched"))</f>
        <v>not matched</v>
      </c>
      <c r="J38" s="15">
        <f t="shared" si="1"/>
        <v>12</v>
      </c>
      <c r="K38" s="41" t="str">
        <f>IF(OR($C38="",$E38=""),"",IF(COUNTIFS($C$4:$C38,$C38,$E$4:$E38,"?*")=1,$C38,""))</f>
        <v/>
      </c>
      <c r="L38" s="41" t="str">
        <f>IF(OR($C38="",$F38=""),"",IF(COUNTIFS($C$4:$C38,$C38,$F$4:$F38,"&gt;=0")=1,$C38,""))</f>
        <v/>
      </c>
      <c r="M38" s="41" t="str">
        <f>IF(OR($C38="",$D38=""),"",IF(COUNTIFS($C$4:$C38,$C38,$D$4:$D38,"?*")=1,$C38,""))</f>
        <v/>
      </c>
      <c r="N38" s="41" t="str">
        <f>IF($B38="","",IF($C38="","FA"&amp;COUNTIFS($B$4:$B38,"?*",$C$4:$C38,""),""))</f>
        <v/>
      </c>
      <c r="O38" s="41" t="str">
        <f>IF($C38="","",$C38&amp;"@"&amp;COUNTIF($C$4:$C38,$C38))</f>
        <v>FUCT@11</v>
      </c>
    </row>
    <row r="39" spans="1:15">
      <c r="A39" s="19">
        <f>IF($B39="","",COUNTIF($B$4:$B39,"?*"))</f>
        <v>36</v>
      </c>
      <c r="B39" s="63" t="s">
        <v>381</v>
      </c>
      <c r="C39" s="80" t="s">
        <v>66</v>
      </c>
      <c r="D39" s="69" t="s">
        <v>2845</v>
      </c>
      <c r="E39" s="68"/>
      <c r="F39" s="69">
        <v>0</v>
      </c>
      <c r="G39" s="68"/>
      <c r="H39" s="68"/>
      <c r="I39" s="1" t="str">
        <f>IF($B39="","",IF(COUNTIF(MASTER!$C$4:$C$1463,$B39)&gt;0,"yes · "&amp;INDEX(MASTER!$B$4:$B$1463,MATCH($B39,MASTER!$C$4:$C$1463,0)),"not matched"))</f>
        <v>not matched</v>
      </c>
      <c r="J39" s="19">
        <f t="shared" si="1"/>
        <v>12</v>
      </c>
      <c r="K39" s="1" t="str">
        <f>IF(OR($C39="",$E39=""),"",IF(COUNTIFS($C$4:$C39,$C39,$E$4:$E39,"?*")=1,$C39,""))</f>
        <v/>
      </c>
      <c r="L39" s="1" t="str">
        <f>IF(OR($C39="",$F39=""),"",IF(COUNTIFS($C$4:$C39,$C39,$F$4:$F39,"&gt;=0")=1,$C39,""))</f>
        <v/>
      </c>
      <c r="M39" s="1" t="str">
        <f>IF(OR($C39="",$D39=""),"",IF(COUNTIFS($C$4:$C39,$C39,$D$4:$D39,"?*")=1,$C39,""))</f>
        <v/>
      </c>
      <c r="N39" s="1" t="str">
        <f>IF($B39="","",IF($C39="","FA"&amp;COUNTIFS($B$4:$B39,"?*",$C$4:$C39,""),""))</f>
        <v/>
      </c>
      <c r="O39" s="1" t="str">
        <f>IF($C39="","",$C39&amp;"@"&amp;COUNTIF($C$4:$C39,$C39))</f>
        <v>FUCT@12</v>
      </c>
    </row>
    <row r="40" spans="1:15">
      <c r="A40" s="15">
        <f>IF($B40="","",COUNTIF($B$4:$B40,"?*"))</f>
        <v>37</v>
      </c>
      <c r="B40" s="63" t="s">
        <v>300</v>
      </c>
      <c r="C40" s="80" t="s">
        <v>265</v>
      </c>
      <c r="D40" s="69"/>
      <c r="E40" s="68"/>
      <c r="F40" s="69"/>
      <c r="G40" s="68"/>
      <c r="H40" s="68"/>
      <c r="I40" s="41" t="str">
        <f>IF($B40="","",IF(COUNTIF(MASTER!$C$4:$C$1463,$B40)&gt;0,"yes · "&amp;INDEX(MASTER!$B$4:$B$1463,MATCH($B40,MASTER!$C$4:$C$1463,0)),"not matched"))</f>
        <v>yes · FUCT</v>
      </c>
      <c r="J40" s="15">
        <f t="shared" si="1"/>
        <v>11</v>
      </c>
      <c r="K40" s="41" t="str">
        <f>IF(OR($C40="",$E40=""),"",IF(COUNTIFS($C$4:$C40,$C40,$E$4:$E40,"?*")=1,$C40,""))</f>
        <v/>
      </c>
      <c r="L40" s="41" t="str">
        <f>IF(OR($C40="",$F40=""),"",IF(COUNTIFS($C$4:$C40,$C40,$F$4:$F40,"&gt;=0")=1,$C40,""))</f>
        <v/>
      </c>
      <c r="M40" s="41" t="str">
        <f>IF(OR($C40="",$D40=""),"",IF(COUNTIFS($C$4:$C40,$C40,$D$4:$D40,"?*")=1,$C40,""))</f>
        <v/>
      </c>
      <c r="N40" s="41" t="str">
        <f>IF($B40="","",IF($C40="","FA"&amp;COUNTIFS($B$4:$B40,"?*",$C$4:$C40,""),""))</f>
        <v/>
      </c>
      <c r="O40" s="41" t="str">
        <f>IF($C40="","",$C40&amp;"@"&amp;COUNTIF($C$4:$C40,$C40))</f>
        <v>Immodium AD@1</v>
      </c>
    </row>
    <row r="41" spans="1:15">
      <c r="A41" s="19">
        <f>IF($B41="","",COUNTIF($B$4:$B41,"?*"))</f>
        <v>38</v>
      </c>
      <c r="B41" s="63" t="s">
        <v>317</v>
      </c>
      <c r="C41" s="80" t="s">
        <v>265</v>
      </c>
      <c r="D41" s="69"/>
      <c r="E41" s="68"/>
      <c r="F41" s="69"/>
      <c r="G41" s="68"/>
      <c r="H41" s="68"/>
      <c r="I41" s="1" t="str">
        <f>IF($B41="","",IF(COUNTIF(MASTER!$C$4:$C$1463,$B41)&gt;0,"yes · "&amp;INDEX(MASTER!$B$4:$B$1463,MATCH($B41,MASTER!$C$4:$C$1463,0)),"not matched"))</f>
        <v>not matched</v>
      </c>
      <c r="J41" s="19">
        <f t="shared" si="1"/>
        <v>11</v>
      </c>
      <c r="K41" s="1" t="str">
        <f>IF(OR($C41="",$E41=""),"",IF(COUNTIFS($C$4:$C41,$C41,$E$4:$E41,"?*")=1,$C41,""))</f>
        <v/>
      </c>
      <c r="L41" s="1" t="str">
        <f>IF(OR($C41="",$F41=""),"",IF(COUNTIFS($C$4:$C41,$C41,$F$4:$F41,"&gt;=0")=1,$C41,""))</f>
        <v/>
      </c>
      <c r="M41" s="1" t="str">
        <f>IF(OR($C41="",$D41=""),"",IF(COUNTIFS($C$4:$C41,$C41,$D$4:$D41,"?*")=1,$C41,""))</f>
        <v/>
      </c>
      <c r="N41" s="1" t="str">
        <f>IF($B41="","",IF($C41="","FA"&amp;COUNTIFS($B$4:$B41,"?*",$C$4:$C41,""),""))</f>
        <v/>
      </c>
      <c r="O41" s="1" t="str">
        <f>IF($C41="","",$C41&amp;"@"&amp;COUNTIF($C$4:$C41,$C41))</f>
        <v>Immodium AD@2</v>
      </c>
    </row>
    <row r="42" spans="1:15">
      <c r="A42" s="15">
        <f>IF($B42="","",COUNTIF($B$4:$B42,"?*"))</f>
        <v>39</v>
      </c>
      <c r="B42" s="63" t="s">
        <v>324</v>
      </c>
      <c r="C42" s="80" t="s">
        <v>265</v>
      </c>
      <c r="D42" s="69"/>
      <c r="E42" s="68"/>
      <c r="F42" s="69"/>
      <c r="G42" s="68"/>
      <c r="H42" s="68"/>
      <c r="I42" s="41" t="str">
        <f>IF($B42="","",IF(COUNTIF(MASTER!$C$4:$C$1463,$B42)&gt;0,"yes · "&amp;INDEX(MASTER!$B$4:$B$1463,MATCH($B42,MASTER!$C$4:$C$1463,0)),"not matched"))</f>
        <v>yes · FUCT</v>
      </c>
      <c r="J42" s="15">
        <f t="shared" si="1"/>
        <v>11</v>
      </c>
      <c r="K42" s="41" t="str">
        <f>IF(OR($C42="",$E42=""),"",IF(COUNTIFS($C$4:$C42,$C42,$E$4:$E42,"?*")=1,$C42,""))</f>
        <v/>
      </c>
      <c r="L42" s="41" t="str">
        <f>IF(OR($C42="",$F42=""),"",IF(COUNTIFS($C$4:$C42,$C42,$F$4:$F42,"&gt;=0")=1,$C42,""))</f>
        <v/>
      </c>
      <c r="M42" s="41" t="str">
        <f>IF(OR($C42="",$D42=""),"",IF(COUNTIFS($C$4:$C42,$C42,$D$4:$D42,"?*")=1,$C42,""))</f>
        <v/>
      </c>
      <c r="N42" s="41" t="str">
        <f>IF($B42="","",IF($C42="","FA"&amp;COUNTIFS($B$4:$B42,"?*",$C$4:$C42,""),""))</f>
        <v/>
      </c>
      <c r="O42" s="41" t="str">
        <f>IF($C42="","",$C42&amp;"@"&amp;COUNTIF($C$4:$C42,$C42))</f>
        <v>Immodium AD@3</v>
      </c>
    </row>
    <row r="43" spans="1:15">
      <c r="A43" s="19">
        <f>IF($B43="","",COUNTIF($B$4:$B43,"?*"))</f>
        <v>40</v>
      </c>
      <c r="B43" s="63" t="s">
        <v>325</v>
      </c>
      <c r="C43" s="80" t="s">
        <v>265</v>
      </c>
      <c r="D43" s="69"/>
      <c r="E43" s="68"/>
      <c r="F43" s="69"/>
      <c r="G43" s="68"/>
      <c r="H43" s="68"/>
      <c r="I43" s="1" t="str">
        <f>IF($B43="","",IF(COUNTIF(MASTER!$C$4:$C$1463,$B43)&gt;0,"yes · "&amp;INDEX(MASTER!$B$4:$B$1463,MATCH($B43,MASTER!$C$4:$C$1463,0)),"not matched"))</f>
        <v>yes · FUCT</v>
      </c>
      <c r="J43" s="19">
        <f t="shared" si="1"/>
        <v>11</v>
      </c>
      <c r="K43" s="1" t="str">
        <f>IF(OR($C43="",$E43=""),"",IF(COUNTIFS($C$4:$C43,$C43,$E$4:$E43,"?*")=1,$C43,""))</f>
        <v/>
      </c>
      <c r="L43" s="1" t="str">
        <f>IF(OR($C43="",$F43=""),"",IF(COUNTIFS($C$4:$C43,$C43,$F$4:$F43,"&gt;=0")=1,$C43,""))</f>
        <v/>
      </c>
      <c r="M43" s="1" t="str">
        <f>IF(OR($C43="",$D43=""),"",IF(COUNTIFS($C$4:$C43,$C43,$D$4:$D43,"?*")=1,$C43,""))</f>
        <v/>
      </c>
      <c r="N43" s="1" t="str">
        <f>IF($B43="","",IF($C43="","FA"&amp;COUNTIFS($B$4:$B43,"?*",$C$4:$C43,""),""))</f>
        <v/>
      </c>
      <c r="O43" s="1" t="str">
        <f>IF($C43="","",$C43&amp;"@"&amp;COUNTIF($C$4:$C43,$C43))</f>
        <v>Immodium AD@4</v>
      </c>
    </row>
    <row r="44" spans="1:15">
      <c r="A44" s="15">
        <f>IF($B44="","",COUNTIF($B$4:$B44,"?*"))</f>
        <v>41</v>
      </c>
      <c r="B44" s="63" t="s">
        <v>339</v>
      </c>
      <c r="C44" s="80" t="s">
        <v>265</v>
      </c>
      <c r="D44" s="69"/>
      <c r="E44" s="68"/>
      <c r="F44" s="69"/>
      <c r="G44" s="68"/>
      <c r="H44" s="68"/>
      <c r="I44" s="41" t="str">
        <f>IF($B44="","",IF(COUNTIF(MASTER!$C$4:$C$1463,$B44)&gt;0,"yes · "&amp;INDEX(MASTER!$B$4:$B$1463,MATCH($B44,MASTER!$C$4:$C$1463,0)),"not matched"))</f>
        <v>yes · FUCT</v>
      </c>
      <c r="J44" s="15">
        <f t="shared" si="1"/>
        <v>11</v>
      </c>
      <c r="K44" s="41" t="str">
        <f>IF(OR($C44="",$E44=""),"",IF(COUNTIFS($C$4:$C44,$C44,$E$4:$E44,"?*")=1,$C44,""))</f>
        <v/>
      </c>
      <c r="L44" s="41" t="str">
        <f>IF(OR($C44="",$F44=""),"",IF(COUNTIFS($C$4:$C44,$C44,$F$4:$F44,"&gt;=0")=1,$C44,""))</f>
        <v/>
      </c>
      <c r="M44" s="41" t="str">
        <f>IF(OR($C44="",$D44=""),"",IF(COUNTIFS($C$4:$C44,$C44,$D$4:$D44,"?*")=1,$C44,""))</f>
        <v/>
      </c>
      <c r="N44" s="41" t="str">
        <f>IF($B44="","",IF($C44="","FA"&amp;COUNTIFS($B$4:$B44,"?*",$C$4:$C44,""),""))</f>
        <v/>
      </c>
      <c r="O44" s="41" t="str">
        <f>IF($C44="","",$C44&amp;"@"&amp;COUNTIF($C$4:$C44,$C44))</f>
        <v>Immodium AD@5</v>
      </c>
    </row>
    <row r="45" spans="1:15">
      <c r="A45" s="19">
        <f>IF($B45="","",COUNTIF($B$4:$B45,"?*"))</f>
        <v>42</v>
      </c>
      <c r="B45" s="63" t="s">
        <v>358</v>
      </c>
      <c r="C45" s="80" t="s">
        <v>265</v>
      </c>
      <c r="D45" s="69"/>
      <c r="E45" s="68"/>
      <c r="F45" s="69"/>
      <c r="G45" s="68"/>
      <c r="H45" s="68"/>
      <c r="I45" s="1" t="str">
        <f>IF($B45="","",IF(COUNTIF(MASTER!$C$4:$C$1463,$B45)&gt;0,"yes · "&amp;INDEX(MASTER!$B$4:$B$1463,MATCH($B45,MASTER!$C$4:$C$1463,0)),"not matched"))</f>
        <v>not matched</v>
      </c>
      <c r="J45" s="19">
        <f t="shared" si="1"/>
        <v>11</v>
      </c>
      <c r="K45" s="1" t="str">
        <f>IF(OR($C45="",$E45=""),"",IF(COUNTIFS($C$4:$C45,$C45,$E$4:$E45,"?*")=1,$C45,""))</f>
        <v/>
      </c>
      <c r="L45" s="1" t="str">
        <f>IF(OR($C45="",$F45=""),"",IF(COUNTIFS($C$4:$C45,$C45,$F$4:$F45,"&gt;=0")=1,$C45,""))</f>
        <v/>
      </c>
      <c r="M45" s="1" t="str">
        <f>IF(OR($C45="",$D45=""),"",IF(COUNTIFS($C$4:$C45,$C45,$D$4:$D45,"?*")=1,$C45,""))</f>
        <v/>
      </c>
      <c r="N45" s="1" t="str">
        <f>IF($B45="","",IF($C45="","FA"&amp;COUNTIFS($B$4:$B45,"?*",$C$4:$C45,""),""))</f>
        <v/>
      </c>
      <c r="O45" s="1" t="str">
        <f>IF($C45="","",$C45&amp;"@"&amp;COUNTIF($C$4:$C45,$C45))</f>
        <v>Immodium AD@6</v>
      </c>
    </row>
    <row r="46" spans="1:15">
      <c r="A46" s="15">
        <f>IF($B46="","",COUNTIF($B$4:$B46,"?*"))</f>
        <v>43</v>
      </c>
      <c r="B46" s="63" t="s">
        <v>368</v>
      </c>
      <c r="C46" s="80" t="s">
        <v>265</v>
      </c>
      <c r="D46" s="69"/>
      <c r="E46" s="68" t="s">
        <v>2850</v>
      </c>
      <c r="F46" s="69">
        <v>0</v>
      </c>
      <c r="G46" s="68"/>
      <c r="H46" s="68"/>
      <c r="I46" s="41" t="str">
        <f>IF($B46="","",IF(COUNTIF(MASTER!$C$4:$C$1463,$B46)&gt;0,"yes · "&amp;INDEX(MASTER!$B$4:$B$1463,MATCH($B46,MASTER!$C$4:$C$1463,0)),"not matched"))</f>
        <v>not matched</v>
      </c>
      <c r="J46" s="15">
        <f t="shared" si="1"/>
        <v>11</v>
      </c>
      <c r="K46" s="41" t="str">
        <f>IF(OR($C46="",$E46=""),"",IF(COUNTIFS($C$4:$C46,$C46,$E$4:$E46,"?*")=1,$C46,""))</f>
        <v>Immodium AD</v>
      </c>
      <c r="L46" s="41" t="str">
        <f>IF(OR($C46="",$F46=""),"",IF(COUNTIFS($C$4:$C46,$C46,$F$4:$F46,"&gt;=0")=1,$C46,""))</f>
        <v>Immodium AD</v>
      </c>
      <c r="M46" s="41" t="str">
        <f>IF(OR($C46="",$D46=""),"",IF(COUNTIFS($C$4:$C46,$C46,$D$4:$D46,"?*")=1,$C46,""))</f>
        <v/>
      </c>
      <c r="N46" s="41" t="str">
        <f>IF($B46="","",IF($C46="","FA"&amp;COUNTIFS($B$4:$B46,"?*",$C$4:$C46,""),""))</f>
        <v/>
      </c>
      <c r="O46" s="41" t="str">
        <f>IF($C46="","",$C46&amp;"@"&amp;COUNTIF($C$4:$C46,$C46))</f>
        <v>Immodium AD@7</v>
      </c>
    </row>
    <row r="47" spans="1:15">
      <c r="A47" s="19">
        <f>IF($B47="","",COUNTIF($B$4:$B47,"?*"))</f>
        <v>44</v>
      </c>
      <c r="B47" s="63" t="s">
        <v>371</v>
      </c>
      <c r="C47" s="80" t="s">
        <v>265</v>
      </c>
      <c r="D47" s="69"/>
      <c r="E47" s="68"/>
      <c r="F47" s="69"/>
      <c r="G47" s="68"/>
      <c r="H47" s="68"/>
      <c r="I47" s="1" t="str">
        <f>IF($B47="","",IF(COUNTIF(MASTER!$C$4:$C$1463,$B47)&gt;0,"yes · "&amp;INDEX(MASTER!$B$4:$B$1463,MATCH($B47,MASTER!$C$4:$C$1463,0)),"not matched"))</f>
        <v>yes · FUCT</v>
      </c>
      <c r="J47" s="19">
        <f t="shared" si="1"/>
        <v>11</v>
      </c>
      <c r="K47" s="1" t="str">
        <f>IF(OR($C47="",$E47=""),"",IF(COUNTIFS($C$4:$C47,$C47,$E$4:$E47,"?*")=1,$C47,""))</f>
        <v/>
      </c>
      <c r="L47" s="1" t="str">
        <f>IF(OR($C47="",$F47=""),"",IF(COUNTIFS($C$4:$C47,$C47,$F$4:$F47,"&gt;=0")=1,$C47,""))</f>
        <v/>
      </c>
      <c r="M47" s="1" t="str">
        <f>IF(OR($C47="",$D47=""),"",IF(COUNTIFS($C$4:$C47,$C47,$D$4:$D47,"?*")=1,$C47,""))</f>
        <v/>
      </c>
      <c r="N47" s="1" t="str">
        <f>IF($B47="","",IF($C47="","FA"&amp;COUNTIFS($B$4:$B47,"?*",$C$4:$C47,""),""))</f>
        <v/>
      </c>
      <c r="O47" s="1" t="str">
        <f>IF($C47="","",$C47&amp;"@"&amp;COUNTIF($C$4:$C47,$C47))</f>
        <v>Immodium AD@8</v>
      </c>
    </row>
    <row r="48" spans="1:15">
      <c r="A48" s="15">
        <f>IF($B48="","",COUNTIF($B$4:$B48,"?*"))</f>
        <v>45</v>
      </c>
      <c r="B48" s="63" t="s">
        <v>372</v>
      </c>
      <c r="C48" s="80" t="s">
        <v>265</v>
      </c>
      <c r="D48" s="69"/>
      <c r="E48" s="68"/>
      <c r="F48" s="69"/>
      <c r="G48" s="68"/>
      <c r="H48" s="68"/>
      <c r="I48" s="41" t="str">
        <f>IF($B48="","",IF(COUNTIF(MASTER!$C$4:$C$1463,$B48)&gt;0,"yes · "&amp;INDEX(MASTER!$B$4:$B$1463,MATCH($B48,MASTER!$C$4:$C$1463,0)),"not matched"))</f>
        <v>not matched</v>
      </c>
      <c r="J48" s="15">
        <f t="shared" si="1"/>
        <v>11</v>
      </c>
      <c r="K48" s="41" t="str">
        <f>IF(OR($C48="",$E48=""),"",IF(COUNTIFS($C$4:$C48,$C48,$E$4:$E48,"?*")=1,$C48,""))</f>
        <v/>
      </c>
      <c r="L48" s="41" t="str">
        <f>IF(OR($C48="",$F48=""),"",IF(COUNTIFS($C$4:$C48,$C48,$F$4:$F48,"&gt;=0")=1,$C48,""))</f>
        <v/>
      </c>
      <c r="M48" s="41" t="str">
        <f>IF(OR($C48="",$D48=""),"",IF(COUNTIFS($C$4:$C48,$C48,$D$4:$D48,"?*")=1,$C48,""))</f>
        <v/>
      </c>
      <c r="N48" s="41" t="str">
        <f>IF($B48="","",IF($C48="","FA"&amp;COUNTIFS($B$4:$B48,"?*",$C$4:$C48,""),""))</f>
        <v/>
      </c>
      <c r="O48" s="41" t="str">
        <f>IF($C48="","",$C48&amp;"@"&amp;COUNTIF($C$4:$C48,$C48))</f>
        <v>Immodium AD@9</v>
      </c>
    </row>
    <row r="49" spans="1:15">
      <c r="A49" s="19">
        <f>IF($B49="","",COUNTIF($B$4:$B49,"?*"))</f>
        <v>46</v>
      </c>
      <c r="B49" s="63" t="s">
        <v>373</v>
      </c>
      <c r="C49" s="80" t="s">
        <v>265</v>
      </c>
      <c r="D49" s="69"/>
      <c r="E49" s="68"/>
      <c r="F49" s="69"/>
      <c r="G49" s="68"/>
      <c r="H49" s="68"/>
      <c r="I49" s="1" t="str">
        <f>IF($B49="","",IF(COUNTIF(MASTER!$C$4:$C$1463,$B49)&gt;0,"yes · "&amp;INDEX(MASTER!$B$4:$B$1463,MATCH($B49,MASTER!$C$4:$C$1463,0)),"not matched"))</f>
        <v>yes · FUCT</v>
      </c>
      <c r="J49" s="19">
        <f t="shared" si="1"/>
        <v>11</v>
      </c>
      <c r="K49" s="1" t="str">
        <f>IF(OR($C49="",$E49=""),"",IF(COUNTIFS($C$4:$C49,$C49,$E$4:$E49,"?*")=1,$C49,""))</f>
        <v/>
      </c>
      <c r="L49" s="1" t="str">
        <f>IF(OR($C49="",$F49=""),"",IF(COUNTIFS($C$4:$C49,$C49,$F$4:$F49,"&gt;=0")=1,$C49,""))</f>
        <v/>
      </c>
      <c r="M49" s="1" t="str">
        <f>IF(OR($C49="",$D49=""),"",IF(COUNTIFS($C$4:$C49,$C49,$D$4:$D49,"?*")=1,$C49,""))</f>
        <v/>
      </c>
      <c r="N49" s="1" t="str">
        <f>IF($B49="","",IF($C49="","FA"&amp;COUNTIFS($B$4:$B49,"?*",$C$4:$C49,""),""))</f>
        <v/>
      </c>
      <c r="O49" s="1" t="str">
        <f>IF($C49="","",$C49&amp;"@"&amp;COUNTIF($C$4:$C49,$C49))</f>
        <v>Immodium AD@10</v>
      </c>
    </row>
    <row r="50" spans="1:15">
      <c r="A50" s="15">
        <f>IF($B50="","",COUNTIF($B$4:$B50,"?*"))</f>
        <v>47</v>
      </c>
      <c r="B50" s="63" t="s">
        <v>376</v>
      </c>
      <c r="C50" s="80" t="s">
        <v>265</v>
      </c>
      <c r="D50" s="69"/>
      <c r="E50" s="68"/>
      <c r="F50" s="69"/>
      <c r="G50" s="68"/>
      <c r="H50" s="68"/>
      <c r="I50" s="41" t="str">
        <f>IF($B50="","",IF(COUNTIF(MASTER!$C$4:$C$1463,$B50)&gt;0,"yes · "&amp;INDEX(MASTER!$B$4:$B$1463,MATCH($B50,MASTER!$C$4:$C$1463,0)),"not matched"))</f>
        <v>not matched</v>
      </c>
      <c r="J50" s="15">
        <f t="shared" si="1"/>
        <v>11</v>
      </c>
      <c r="K50" s="41" t="str">
        <f>IF(OR($C50="",$E50=""),"",IF(COUNTIFS($C$4:$C50,$C50,$E$4:$E50,"?*")=1,$C50,""))</f>
        <v/>
      </c>
      <c r="L50" s="41" t="str">
        <f>IF(OR($C50="",$F50=""),"",IF(COUNTIFS($C$4:$C50,$C50,$F$4:$F50,"&gt;=0")=1,$C50,""))</f>
        <v/>
      </c>
      <c r="M50" s="41" t="str">
        <f>IF(OR($C50="",$D50=""),"",IF(COUNTIFS($C$4:$C50,$C50,$D$4:$D50,"?*")=1,$C50,""))</f>
        <v/>
      </c>
      <c r="N50" s="41" t="str">
        <f>IF($B50="","",IF($C50="","FA"&amp;COUNTIFS($B$4:$B50,"?*",$C$4:$C50,""),""))</f>
        <v/>
      </c>
      <c r="O50" s="41" t="str">
        <f>IF($C50="","",$C50&amp;"@"&amp;COUNTIF($C$4:$C50,$C50))</f>
        <v>Immodium AD@11</v>
      </c>
    </row>
    <row r="51" spans="1:15">
      <c r="A51" s="19">
        <f>IF($B51="","",COUNTIF($B$4:$B51,"?*"))</f>
        <v>48</v>
      </c>
      <c r="B51" s="63" t="s">
        <v>303</v>
      </c>
      <c r="C51" s="80" t="s">
        <v>266</v>
      </c>
      <c r="D51" s="69"/>
      <c r="E51" s="68"/>
      <c r="F51" s="69"/>
      <c r="G51" s="68"/>
      <c r="H51" s="68"/>
      <c r="I51" s="1" t="str">
        <f>IF($B51="","",IF(COUNTIF(MASTER!$C$4:$C$1463,$B51)&gt;0,"yes · "&amp;INDEX(MASTER!$B$4:$B$1463,MATCH($B51,MASTER!$C$4:$C$1463,0)),"not matched"))</f>
        <v>not matched</v>
      </c>
      <c r="J51" s="19">
        <f t="shared" si="1"/>
        <v>7</v>
      </c>
      <c r="K51" s="1" t="str">
        <f>IF(OR($C51="",$E51=""),"",IF(COUNTIFS($C$4:$C51,$C51,$E$4:$E51,"?*")=1,$C51,""))</f>
        <v/>
      </c>
      <c r="L51" s="1" t="str">
        <f>IF(OR($C51="",$F51=""),"",IF(COUNTIFS($C$4:$C51,$C51,$F$4:$F51,"&gt;=0")=1,$C51,""))</f>
        <v/>
      </c>
      <c r="M51" s="1" t="str">
        <f>IF(OR($C51="",$D51=""),"",IF(COUNTIFS($C$4:$C51,$C51,$D$4:$D51,"?*")=1,$C51,""))</f>
        <v/>
      </c>
      <c r="N51" s="1" t="str">
        <f>IF($B51="","",IF($C51="","FA"&amp;COUNTIFS($B$4:$B51,"?*",$C$4:$C51,""),""))</f>
        <v/>
      </c>
      <c r="O51" s="1" t="str">
        <f>IF($C51="","",$C51&amp;"@"&amp;COUNTIF($C$4:$C51,$C51))</f>
        <v>Halls of Light@1</v>
      </c>
    </row>
    <row r="52" spans="1:15">
      <c r="A52" s="15">
        <f>IF($B52="","",COUNTIF($B$4:$B52,"?*"))</f>
        <v>49</v>
      </c>
      <c r="B52" s="63" t="s">
        <v>314</v>
      </c>
      <c r="C52" s="80" t="s">
        <v>266</v>
      </c>
      <c r="D52" s="69"/>
      <c r="E52" s="68"/>
      <c r="F52" s="69"/>
      <c r="G52" s="68"/>
      <c r="H52" s="68"/>
      <c r="I52" s="41" t="str">
        <f>IF($B52="","",IF(COUNTIF(MASTER!$C$4:$C$1463,$B52)&gt;0,"yes · "&amp;INDEX(MASTER!$B$4:$B$1463,MATCH($B52,MASTER!$C$4:$C$1463,0)),"not matched"))</f>
        <v>not matched</v>
      </c>
      <c r="J52" s="15">
        <f t="shared" si="1"/>
        <v>7</v>
      </c>
      <c r="K52" s="41" t="str">
        <f>IF(OR($C52="",$E52=""),"",IF(COUNTIFS($C$4:$C52,$C52,$E$4:$E52,"?*")=1,$C52,""))</f>
        <v/>
      </c>
      <c r="L52" s="41" t="str">
        <f>IF(OR($C52="",$F52=""),"",IF(COUNTIFS($C$4:$C52,$C52,$F$4:$F52,"&gt;=0")=1,$C52,""))</f>
        <v/>
      </c>
      <c r="M52" s="41" t="str">
        <f>IF(OR($C52="",$D52=""),"",IF(COUNTIFS($C$4:$C52,$C52,$D$4:$D52,"?*")=1,$C52,""))</f>
        <v/>
      </c>
      <c r="N52" s="41" t="str">
        <f>IF($B52="","",IF($C52="","FA"&amp;COUNTIFS($B$4:$B52,"?*",$C$4:$C52,""),""))</f>
        <v/>
      </c>
      <c r="O52" s="41" t="str">
        <f>IF($C52="","",$C52&amp;"@"&amp;COUNTIF($C$4:$C52,$C52))</f>
        <v>Halls of Light@2</v>
      </c>
    </row>
    <row r="53" spans="1:15">
      <c r="A53" s="19">
        <f>IF($B53="","",COUNTIF($B$4:$B53,"?*"))</f>
        <v>50</v>
      </c>
      <c r="B53" s="63" t="s">
        <v>345</v>
      </c>
      <c r="C53" s="80" t="s">
        <v>266</v>
      </c>
      <c r="D53" s="69"/>
      <c r="E53" s="68"/>
      <c r="F53" s="69"/>
      <c r="G53" s="68"/>
      <c r="H53" s="68"/>
      <c r="I53" s="1" t="str">
        <f>IF($B53="","",IF(COUNTIF(MASTER!$C$4:$C$1463,$B53)&gt;0,"yes · "&amp;INDEX(MASTER!$B$4:$B$1463,MATCH($B53,MASTER!$C$4:$C$1463,0)),"not matched"))</f>
        <v>yes · FUCT</v>
      </c>
      <c r="J53" s="19">
        <f t="shared" si="1"/>
        <v>7</v>
      </c>
      <c r="K53" s="1" t="str">
        <f>IF(OR($C53="",$E53=""),"",IF(COUNTIFS($C$4:$C53,$C53,$E$4:$E53,"?*")=1,$C53,""))</f>
        <v/>
      </c>
      <c r="L53" s="1" t="str">
        <f>IF(OR($C53="",$F53=""),"",IF(COUNTIFS($C$4:$C53,$C53,$F$4:$F53,"&gt;=0")=1,$C53,""))</f>
        <v/>
      </c>
      <c r="M53" s="1" t="str">
        <f>IF(OR($C53="",$D53=""),"",IF(COUNTIFS($C$4:$C53,$C53,$D$4:$D53,"?*")=1,$C53,""))</f>
        <v/>
      </c>
      <c r="N53" s="1" t="str">
        <f>IF($B53="","",IF($C53="","FA"&amp;COUNTIFS($B$4:$B53,"?*",$C$4:$C53,""),""))</f>
        <v/>
      </c>
      <c r="O53" s="1" t="str">
        <f>IF($C53="","",$C53&amp;"@"&amp;COUNTIF($C$4:$C53,$C53))</f>
        <v>Halls of Light@3</v>
      </c>
    </row>
    <row r="54" spans="1:15">
      <c r="A54" s="15">
        <f>IF($B54="","",COUNTIF($B$4:$B54,"?*"))</f>
        <v>51</v>
      </c>
      <c r="B54" s="63" t="s">
        <v>347</v>
      </c>
      <c r="C54" s="80" t="s">
        <v>266</v>
      </c>
      <c r="D54" s="69"/>
      <c r="E54" s="68"/>
      <c r="F54" s="69"/>
      <c r="G54" s="68"/>
      <c r="H54" s="68"/>
      <c r="I54" s="41" t="str">
        <f>IF($B54="","",IF(COUNTIF(MASTER!$C$4:$C$1463,$B54)&gt;0,"yes · "&amp;INDEX(MASTER!$B$4:$B$1463,MATCH($B54,MASTER!$C$4:$C$1463,0)),"not matched"))</f>
        <v>yes · FUCT</v>
      </c>
      <c r="J54" s="15">
        <f t="shared" si="1"/>
        <v>7</v>
      </c>
      <c r="K54" s="41" t="str">
        <f>IF(OR($C54="",$E54=""),"",IF(COUNTIFS($C$4:$C54,$C54,$E$4:$E54,"?*")=1,$C54,""))</f>
        <v/>
      </c>
      <c r="L54" s="41" t="str">
        <f>IF(OR($C54="",$F54=""),"",IF(COUNTIFS($C$4:$C54,$C54,$F$4:$F54,"&gt;=0")=1,$C54,""))</f>
        <v/>
      </c>
      <c r="M54" s="41" t="str">
        <f>IF(OR($C54="",$D54=""),"",IF(COUNTIFS($C$4:$C54,$C54,$D$4:$D54,"?*")=1,$C54,""))</f>
        <v/>
      </c>
      <c r="N54" s="41" t="str">
        <f>IF($B54="","",IF($C54="","FA"&amp;COUNTIFS($B$4:$B54,"?*",$C$4:$C54,""),""))</f>
        <v/>
      </c>
      <c r="O54" s="41" t="str">
        <f>IF($C54="","",$C54&amp;"@"&amp;COUNTIF($C$4:$C54,$C54))</f>
        <v>Halls of Light@4</v>
      </c>
    </row>
    <row r="55" spans="1:15">
      <c r="A55" s="19">
        <f>IF($B55="","",COUNTIF($B$4:$B55,"?*"))</f>
        <v>52</v>
      </c>
      <c r="B55" s="63" t="s">
        <v>350</v>
      </c>
      <c r="C55" s="80" t="s">
        <v>266</v>
      </c>
      <c r="D55" s="69"/>
      <c r="E55" s="68"/>
      <c r="F55" s="69"/>
      <c r="G55" s="68"/>
      <c r="H55" s="68"/>
      <c r="I55" s="1" t="str">
        <f>IF($B55="","",IF(COUNTIF(MASTER!$C$4:$C$1463,$B55)&gt;0,"yes · "&amp;INDEX(MASTER!$B$4:$B$1463,MATCH($B55,MASTER!$C$4:$C$1463,0)),"not matched"))</f>
        <v>not matched</v>
      </c>
      <c r="J55" s="19">
        <f t="shared" si="1"/>
        <v>7</v>
      </c>
      <c r="K55" s="1" t="str">
        <f>IF(OR($C55="",$E55=""),"",IF(COUNTIFS($C$4:$C55,$C55,$E$4:$E55,"?*")=1,$C55,""))</f>
        <v/>
      </c>
      <c r="L55" s="1" t="str">
        <f>IF(OR($C55="",$F55=""),"",IF(COUNTIFS($C$4:$C55,$C55,$F$4:$F55,"&gt;=0")=1,$C55,""))</f>
        <v/>
      </c>
      <c r="M55" s="1" t="str">
        <f>IF(OR($C55="",$D55=""),"",IF(COUNTIFS($C$4:$C55,$C55,$D$4:$D55,"?*")=1,$C55,""))</f>
        <v/>
      </c>
      <c r="N55" s="1" t="str">
        <f>IF($B55="","",IF($C55="","FA"&amp;COUNTIFS($B$4:$B55,"?*",$C$4:$C55,""),""))</f>
        <v/>
      </c>
      <c r="O55" s="1" t="str">
        <f>IF($C55="","",$C55&amp;"@"&amp;COUNTIF($C$4:$C55,$C55))</f>
        <v>Halls of Light@5</v>
      </c>
    </row>
    <row r="56" spans="1:15">
      <c r="A56" s="15">
        <f>IF($B56="","",COUNTIF($B$4:$B56,"?*"))</f>
        <v>53</v>
      </c>
      <c r="B56" s="63" t="s">
        <v>360</v>
      </c>
      <c r="C56" s="80" t="s">
        <v>266</v>
      </c>
      <c r="D56" s="69"/>
      <c r="E56" s="68"/>
      <c r="F56" s="69"/>
      <c r="G56" s="68"/>
      <c r="H56" s="68"/>
      <c r="I56" s="41" t="str">
        <f>IF($B56="","",IF(COUNTIF(MASTER!$C$4:$C$1463,$B56)&gt;0,"yes · "&amp;INDEX(MASTER!$B$4:$B$1463,MATCH($B56,MASTER!$C$4:$C$1463,0)),"not matched"))</f>
        <v>not matched</v>
      </c>
      <c r="J56" s="15">
        <f t="shared" si="1"/>
        <v>7</v>
      </c>
      <c r="K56" s="41" t="str">
        <f>IF(OR($C56="",$E56=""),"",IF(COUNTIFS($C$4:$C56,$C56,$E$4:$E56,"?*")=1,$C56,""))</f>
        <v/>
      </c>
      <c r="L56" s="41" t="str">
        <f>IF(OR($C56="",$F56=""),"",IF(COUNTIFS($C$4:$C56,$C56,$F$4:$F56,"&gt;=0")=1,$C56,""))</f>
        <v/>
      </c>
      <c r="M56" s="41" t="str">
        <f>IF(OR($C56="",$D56=""),"",IF(COUNTIFS($C$4:$C56,$C56,$D$4:$D56,"?*")=1,$C56,""))</f>
        <v/>
      </c>
      <c r="N56" s="41" t="str">
        <f>IF($B56="","",IF($C56="","FA"&amp;COUNTIFS($B$4:$B56,"?*",$C$4:$C56,""),""))</f>
        <v/>
      </c>
      <c r="O56" s="41" t="str">
        <f>IF($C56="","",$C56&amp;"@"&amp;COUNTIF($C$4:$C56,$C56))</f>
        <v>Halls of Light@6</v>
      </c>
    </row>
    <row r="57" spans="1:15">
      <c r="A57" s="19">
        <f>IF($B57="","",COUNTIF($B$4:$B57,"?*"))</f>
        <v>54</v>
      </c>
      <c r="B57" s="63" t="s">
        <v>377</v>
      </c>
      <c r="C57" s="80" t="s">
        <v>266</v>
      </c>
      <c r="D57" s="69"/>
      <c r="E57" s="68" t="s">
        <v>2851</v>
      </c>
      <c r="F57" s="69">
        <v>6</v>
      </c>
      <c r="G57" s="68"/>
      <c r="H57" s="68"/>
      <c r="I57" s="1" t="str">
        <f>IF($B57="","",IF(COUNTIF(MASTER!$C$4:$C$1463,$B57)&gt;0,"yes · "&amp;INDEX(MASTER!$B$4:$B$1463,MATCH($B57,MASTER!$C$4:$C$1463,0)),"not matched"))</f>
        <v>yes · FUCT</v>
      </c>
      <c r="J57" s="19">
        <f t="shared" si="1"/>
        <v>7</v>
      </c>
      <c r="K57" s="1" t="str">
        <f>IF(OR($C57="",$E57=""),"",IF(COUNTIFS($C$4:$C57,$C57,$E$4:$E57,"?*")=1,$C57,""))</f>
        <v>Halls of Light</v>
      </c>
      <c r="L57" s="1" t="str">
        <f>IF(OR($C57="",$F57=""),"",IF(COUNTIFS($C$4:$C57,$C57,$F$4:$F57,"&gt;=0")=1,$C57,""))</f>
        <v>Halls of Light</v>
      </c>
      <c r="M57" s="1" t="str">
        <f>IF(OR($C57="",$D57=""),"",IF(COUNTIFS($C$4:$C57,$C57,$D$4:$D57,"?*")=1,$C57,""))</f>
        <v/>
      </c>
      <c r="N57" s="1" t="str">
        <f>IF($B57="","",IF($C57="","FA"&amp;COUNTIFS($B$4:$B57,"?*",$C$4:$C57,""),""))</f>
        <v/>
      </c>
      <c r="O57" s="1" t="str">
        <f>IF($C57="","",$C57&amp;"@"&amp;COUNTIF($C$4:$C57,$C57))</f>
        <v>Halls of Light@7</v>
      </c>
    </row>
    <row r="58" spans="1:15">
      <c r="A58" s="15">
        <f>IF($B58="","",COUNTIF($B$4:$B58,"?*"))</f>
        <v>55</v>
      </c>
      <c r="B58" s="63" t="s">
        <v>310</v>
      </c>
      <c r="C58" s="80" t="s">
        <v>267</v>
      </c>
      <c r="D58" s="69"/>
      <c r="E58" s="68"/>
      <c r="F58" s="69"/>
      <c r="G58" s="68"/>
      <c r="H58" s="68"/>
      <c r="I58" s="41" t="str">
        <f>IF($B58="","",IF(COUNTIF(MASTER!$C$4:$C$1463,$B58)&gt;0,"yes · "&amp;INDEX(MASTER!$B$4:$B$1463,MATCH($B58,MASTER!$C$4:$C$1463,0)),"not matched"))</f>
        <v>yes · FUCT</v>
      </c>
      <c r="J58" s="15">
        <f t="shared" si="1"/>
        <v>7</v>
      </c>
      <c r="K58" s="41" t="str">
        <f>IF(OR($C58="",$E58=""),"",IF(COUNTIFS($C$4:$C58,$C58,$E$4:$E58,"?*")=1,$C58,""))</f>
        <v/>
      </c>
      <c r="L58" s="41" t="str">
        <f>IF(OR($C58="",$F58=""),"",IF(COUNTIFS($C$4:$C58,$C58,$F$4:$F58,"&gt;=0")=1,$C58,""))</f>
        <v/>
      </c>
      <c r="M58" s="41" t="str">
        <f>IF(OR($C58="",$D58=""),"",IF(COUNTIFS($C$4:$C58,$C58,$D$4:$D58,"?*")=1,$C58,""))</f>
        <v/>
      </c>
      <c r="N58" s="41" t="str">
        <f>IF($B58="","",IF($C58="","FA"&amp;COUNTIFS($B$4:$B58,"?*",$C$4:$C58,""),""))</f>
        <v/>
      </c>
      <c r="O58" s="41" t="str">
        <f>IF($C58="","",$C58&amp;"@"&amp;COUNTIF($C$4:$C58,$C58))</f>
        <v>SALTY TREATS@1</v>
      </c>
    </row>
    <row r="59" spans="1:15">
      <c r="A59" s="19">
        <f>IF($B59="","",COUNTIF($B$4:$B59,"?*"))</f>
        <v>56</v>
      </c>
      <c r="B59" s="63" t="s">
        <v>320</v>
      </c>
      <c r="C59" s="80" t="s">
        <v>267</v>
      </c>
      <c r="D59" s="69"/>
      <c r="E59" s="68"/>
      <c r="F59" s="69"/>
      <c r="G59" s="68"/>
      <c r="H59" s="68"/>
      <c r="I59" s="1" t="str">
        <f>IF($B59="","",IF(COUNTIF(MASTER!$C$4:$C$1463,$B59)&gt;0,"yes · "&amp;INDEX(MASTER!$B$4:$B$1463,MATCH($B59,MASTER!$C$4:$C$1463,0)),"not matched"))</f>
        <v>not matched</v>
      </c>
      <c r="J59" s="19">
        <f t="shared" si="1"/>
        <v>7</v>
      </c>
      <c r="K59" s="1" t="str">
        <f>IF(OR($C59="",$E59=""),"",IF(COUNTIFS($C$4:$C59,$C59,$E$4:$E59,"?*")=1,$C59,""))</f>
        <v/>
      </c>
      <c r="L59" s="1" t="str">
        <f>IF(OR($C59="",$F59=""),"",IF(COUNTIFS($C$4:$C59,$C59,$F$4:$F59,"&gt;=0")=1,$C59,""))</f>
        <v/>
      </c>
      <c r="M59" s="1" t="str">
        <f>IF(OR($C59="",$D59=""),"",IF(COUNTIFS($C$4:$C59,$C59,$D$4:$D59,"?*")=1,$C59,""))</f>
        <v/>
      </c>
      <c r="N59" s="1" t="str">
        <f>IF($B59="","",IF($C59="","FA"&amp;COUNTIFS($B$4:$B59,"?*",$C$4:$C59,""),""))</f>
        <v/>
      </c>
      <c r="O59" s="1" t="str">
        <f>IF($C59="","",$C59&amp;"@"&amp;COUNTIF($C$4:$C59,$C59))</f>
        <v>SALTY TREATS@2</v>
      </c>
    </row>
    <row r="60" spans="1:15">
      <c r="A60" s="15">
        <f>IF($B60="","",COUNTIF($B$4:$B60,"?*"))</f>
        <v>57</v>
      </c>
      <c r="B60" s="63" t="s">
        <v>326</v>
      </c>
      <c r="C60" s="80" t="s">
        <v>267</v>
      </c>
      <c r="D60" s="69"/>
      <c r="E60" s="68"/>
      <c r="F60" s="69"/>
      <c r="G60" s="68"/>
      <c r="H60" s="68"/>
      <c r="I60" s="41" t="str">
        <f>IF($B60="","",IF(COUNTIF(MASTER!$C$4:$C$1463,$B60)&gt;0,"yes · "&amp;INDEX(MASTER!$B$4:$B$1463,MATCH($B60,MASTER!$C$4:$C$1463,0)),"not matched"))</f>
        <v>yes · FUCT</v>
      </c>
      <c r="J60" s="15">
        <f t="shared" si="1"/>
        <v>7</v>
      </c>
      <c r="K60" s="41" t="str">
        <f>IF(OR($C60="",$E60=""),"",IF(COUNTIFS($C$4:$C60,$C60,$E$4:$E60,"?*")=1,$C60,""))</f>
        <v/>
      </c>
      <c r="L60" s="41" t="str">
        <f>IF(OR($C60="",$F60=""),"",IF(COUNTIFS($C$4:$C60,$C60,$F$4:$F60,"&gt;=0")=1,$C60,""))</f>
        <v/>
      </c>
      <c r="M60" s="41" t="str">
        <f>IF(OR($C60="",$D60=""),"",IF(COUNTIFS($C$4:$C60,$C60,$D$4:$D60,"?*")=1,$C60,""))</f>
        <v/>
      </c>
      <c r="N60" s="41" t="str">
        <f>IF($B60="","",IF($C60="","FA"&amp;COUNTIFS($B$4:$B60,"?*",$C$4:$C60,""),""))</f>
        <v/>
      </c>
      <c r="O60" s="41" t="str">
        <f>IF($C60="","",$C60&amp;"@"&amp;COUNTIF($C$4:$C60,$C60))</f>
        <v>SALTY TREATS@3</v>
      </c>
    </row>
    <row r="61" spans="1:15">
      <c r="A61" s="19">
        <f>IF($B61="","",COUNTIF($B$4:$B61,"?*"))</f>
        <v>58</v>
      </c>
      <c r="B61" s="63" t="s">
        <v>335</v>
      </c>
      <c r="C61" s="80" t="s">
        <v>267</v>
      </c>
      <c r="D61" s="69"/>
      <c r="E61" s="68"/>
      <c r="F61" s="69"/>
      <c r="G61" s="68"/>
      <c r="H61" s="68"/>
      <c r="I61" s="1" t="str">
        <f>IF($B61="","",IF(COUNTIF(MASTER!$C$4:$C$1463,$B61)&gt;0,"yes · "&amp;INDEX(MASTER!$B$4:$B$1463,MATCH($B61,MASTER!$C$4:$C$1463,0)),"not matched"))</f>
        <v>yes · FUCT</v>
      </c>
      <c r="J61" s="19">
        <f t="shared" si="1"/>
        <v>7</v>
      </c>
      <c r="K61" s="1" t="str">
        <f>IF(OR($C61="",$E61=""),"",IF(COUNTIFS($C$4:$C61,$C61,$E$4:$E61,"?*")=1,$C61,""))</f>
        <v/>
      </c>
      <c r="L61" s="1" t="str">
        <f>IF(OR($C61="",$F61=""),"",IF(COUNTIFS($C$4:$C61,$C61,$F$4:$F61,"&gt;=0")=1,$C61,""))</f>
        <v/>
      </c>
      <c r="M61" s="1" t="str">
        <f>IF(OR($C61="",$D61=""),"",IF(COUNTIFS($C$4:$C61,$C61,$D$4:$D61,"?*")=1,$C61,""))</f>
        <v/>
      </c>
      <c r="N61" s="1" t="str">
        <f>IF($B61="","",IF($C61="","FA"&amp;COUNTIFS($B$4:$B61,"?*",$C$4:$C61,""),""))</f>
        <v/>
      </c>
      <c r="O61" s="1" t="str">
        <f>IF($C61="","",$C61&amp;"@"&amp;COUNTIF($C$4:$C61,$C61))</f>
        <v>SALTY TREATS@4</v>
      </c>
    </row>
    <row r="62" spans="1:15">
      <c r="A62" s="15">
        <f>IF($B62="","",COUNTIF($B$4:$B62,"?*"))</f>
        <v>59</v>
      </c>
      <c r="B62" s="63" t="s">
        <v>336</v>
      </c>
      <c r="C62" s="80" t="s">
        <v>267</v>
      </c>
      <c r="D62" s="69"/>
      <c r="E62" s="68"/>
      <c r="F62" s="69"/>
      <c r="G62" s="68"/>
      <c r="H62" s="68"/>
      <c r="I62" s="41" t="str">
        <f>IF($B62="","",IF(COUNTIF(MASTER!$C$4:$C$1463,$B62)&gt;0,"yes · "&amp;INDEX(MASTER!$B$4:$B$1463,MATCH($B62,MASTER!$C$4:$C$1463,0)),"not matched"))</f>
        <v>yes · FUCT</v>
      </c>
      <c r="J62" s="15">
        <f t="shared" si="1"/>
        <v>7</v>
      </c>
      <c r="K62" s="41" t="str">
        <f>IF(OR($C62="",$E62=""),"",IF(COUNTIFS($C$4:$C62,$C62,$E$4:$E62,"?*")=1,$C62,""))</f>
        <v/>
      </c>
      <c r="L62" s="41" t="str">
        <f>IF(OR($C62="",$F62=""),"",IF(COUNTIFS($C$4:$C62,$C62,$F$4:$F62,"&gt;=0")=1,$C62,""))</f>
        <v/>
      </c>
      <c r="M62" s="41" t="str">
        <f>IF(OR($C62="",$D62=""),"",IF(COUNTIFS($C$4:$C62,$C62,$D$4:$D62,"?*")=1,$C62,""))</f>
        <v/>
      </c>
      <c r="N62" s="41" t="str">
        <f>IF($B62="","",IF($C62="","FA"&amp;COUNTIFS($B$4:$B62,"?*",$C$4:$C62,""),""))</f>
        <v/>
      </c>
      <c r="O62" s="41" t="str">
        <f>IF($C62="","",$C62&amp;"@"&amp;COUNTIF($C$4:$C62,$C62))</f>
        <v>SALTY TREATS@5</v>
      </c>
    </row>
    <row r="63" spans="1:15">
      <c r="A63" s="19">
        <f>IF($B63="","",COUNTIF($B$4:$B63,"?*"))</f>
        <v>60</v>
      </c>
      <c r="B63" s="63" t="s">
        <v>366</v>
      </c>
      <c r="C63" s="80" t="s">
        <v>267</v>
      </c>
      <c r="D63" s="69"/>
      <c r="E63" s="68"/>
      <c r="F63" s="69"/>
      <c r="G63" s="68"/>
      <c r="H63" s="68"/>
      <c r="I63" s="1" t="str">
        <f>IF($B63="","",IF(COUNTIF(MASTER!$C$4:$C$1463,$B63)&gt;0,"yes · "&amp;INDEX(MASTER!$B$4:$B$1463,MATCH($B63,MASTER!$C$4:$C$1463,0)),"not matched"))</f>
        <v>yes · FUCT</v>
      </c>
      <c r="J63" s="19">
        <f t="shared" si="1"/>
        <v>7</v>
      </c>
      <c r="K63" s="1" t="str">
        <f>IF(OR($C63="",$E63=""),"",IF(COUNTIFS($C$4:$C63,$C63,$E$4:$E63,"?*")=1,$C63,""))</f>
        <v/>
      </c>
      <c r="L63" s="1" t="str">
        <f>IF(OR($C63="",$F63=""),"",IF(COUNTIFS($C$4:$C63,$C63,$F$4:$F63,"&gt;=0")=1,$C63,""))</f>
        <v/>
      </c>
      <c r="M63" s="1" t="str">
        <f>IF(OR($C63="",$D63=""),"",IF(COUNTIFS($C$4:$C63,$C63,$D$4:$D63,"?*")=1,$C63,""))</f>
        <v/>
      </c>
      <c r="N63" s="1" t="str">
        <f>IF($B63="","",IF($C63="","FA"&amp;COUNTIFS($B$4:$B63,"?*",$C$4:$C63,""),""))</f>
        <v/>
      </c>
      <c r="O63" s="1" t="str">
        <f>IF($C63="","",$C63&amp;"@"&amp;COUNTIF($C$4:$C63,$C63))</f>
        <v>SALTY TREATS@6</v>
      </c>
    </row>
    <row r="64" spans="1:15">
      <c r="A64" s="15">
        <f>IF($B64="","",COUNTIF($B$4:$B64,"?*"))</f>
        <v>61</v>
      </c>
      <c r="B64" s="63" t="s">
        <v>379</v>
      </c>
      <c r="C64" s="80" t="s">
        <v>267</v>
      </c>
      <c r="D64" s="69"/>
      <c r="E64" s="68" t="s">
        <v>2852</v>
      </c>
      <c r="F64" s="69">
        <v>5</v>
      </c>
      <c r="G64" s="68"/>
      <c r="H64" s="68"/>
      <c r="I64" s="41" t="str">
        <f>IF($B64="","",IF(COUNTIF(MASTER!$C$4:$C$1463,$B64)&gt;0,"yes · "&amp;INDEX(MASTER!$B$4:$B$1463,MATCH($B64,MASTER!$C$4:$C$1463,0)),"not matched"))</f>
        <v>yes · FUCT</v>
      </c>
      <c r="J64" s="15">
        <f t="shared" si="1"/>
        <v>7</v>
      </c>
      <c r="K64" s="41" t="str">
        <f>IF(OR($C64="",$E64=""),"",IF(COUNTIFS($C$4:$C64,$C64,$E$4:$E64,"?*")=1,$C64,""))</f>
        <v>SALTY TREATS</v>
      </c>
      <c r="L64" s="41" t="str">
        <f>IF(OR($C64="",$F64=""),"",IF(COUNTIFS($C$4:$C64,$C64,$F$4:$F64,"&gt;=0")=1,$C64,""))</f>
        <v>SALTY TREATS</v>
      </c>
      <c r="M64" s="41" t="str">
        <f>IF(OR($C64="",$D64=""),"",IF(COUNTIFS($C$4:$C64,$C64,$D$4:$D64,"?*")=1,$C64,""))</f>
        <v/>
      </c>
      <c r="N64" s="41" t="str">
        <f>IF($B64="","",IF($C64="","FA"&amp;COUNTIFS($B$4:$B64,"?*",$C$4:$C64,""),""))</f>
        <v/>
      </c>
      <c r="O64" s="41" t="str">
        <f>IF($C64="","",$C64&amp;"@"&amp;COUNTIF($C$4:$C64,$C64))</f>
        <v>SALTY TREATS@7</v>
      </c>
    </row>
    <row r="65" spans="1:15">
      <c r="A65" s="19">
        <f>IF($B65="","",COUNTIF($B$4:$B65,"?*"))</f>
        <v>62</v>
      </c>
      <c r="B65" s="63" t="s">
        <v>316</v>
      </c>
      <c r="C65" s="80" t="s">
        <v>268</v>
      </c>
      <c r="D65" s="69"/>
      <c r="E65" s="68"/>
      <c r="F65" s="69"/>
      <c r="G65" s="68"/>
      <c r="H65" s="68"/>
      <c r="I65" s="1" t="str">
        <f>IF($B65="","",IF(COUNTIF(MASTER!$C$4:$C$1463,$B65)&gt;0,"yes · "&amp;INDEX(MASTER!$B$4:$B$1463,MATCH($B65,MASTER!$C$4:$C$1463,0)),"not matched"))</f>
        <v>yes · FUCT</v>
      </c>
      <c r="J65" s="19">
        <f t="shared" si="1"/>
        <v>7</v>
      </c>
      <c r="K65" s="1" t="str">
        <f>IF(OR($C65="",$E65=""),"",IF(COUNTIFS($C$4:$C65,$C65,$E$4:$E65,"?*")=1,$C65,""))</f>
        <v/>
      </c>
      <c r="L65" s="1" t="str">
        <f>IF(OR($C65="",$F65=""),"",IF(COUNTIFS($C$4:$C65,$C65,$F$4:$F65,"&gt;=0")=1,$C65,""))</f>
        <v/>
      </c>
      <c r="M65" s="1" t="str">
        <f>IF(OR($C65="",$D65=""),"",IF(COUNTIFS($C$4:$C65,$C65,$D$4:$D65,"?*")=1,$C65,""))</f>
        <v/>
      </c>
      <c r="N65" s="1" t="str">
        <f>IF($B65="","",IF($C65="","FA"&amp;COUNTIFS($B$4:$B65,"?*",$C$4:$C65,""),""))</f>
        <v/>
      </c>
      <c r="O65" s="1" t="str">
        <f>IF($C65="","",$C65&amp;"@"&amp;COUNTIF($C$4:$C65,$C65))</f>
        <v>Scarlet Poop Knife@1</v>
      </c>
    </row>
    <row r="66" spans="1:15">
      <c r="A66" s="15">
        <f>IF($B66="","",COUNTIF($B$4:$B66,"?*"))</f>
        <v>63</v>
      </c>
      <c r="B66" s="63" t="s">
        <v>319</v>
      </c>
      <c r="C66" s="80" t="s">
        <v>268</v>
      </c>
      <c r="D66" s="69"/>
      <c r="E66" s="68"/>
      <c r="F66" s="69"/>
      <c r="G66" s="68"/>
      <c r="H66" s="68"/>
      <c r="I66" s="41" t="str">
        <f>IF($B66="","",IF(COUNTIF(MASTER!$C$4:$C$1463,$B66)&gt;0,"yes · "&amp;INDEX(MASTER!$B$4:$B$1463,MATCH($B66,MASTER!$C$4:$C$1463,0)),"not matched"))</f>
        <v>yes · FUCT</v>
      </c>
      <c r="J66" s="15">
        <f t="shared" si="1"/>
        <v>7</v>
      </c>
      <c r="K66" s="41" t="str">
        <f>IF(OR($C66="",$E66=""),"",IF(COUNTIFS($C$4:$C66,$C66,$E$4:$E66,"?*")=1,$C66,""))</f>
        <v/>
      </c>
      <c r="L66" s="41" t="str">
        <f>IF(OR($C66="",$F66=""),"",IF(COUNTIFS($C$4:$C66,$C66,$F$4:$F66,"&gt;=0")=1,$C66,""))</f>
        <v/>
      </c>
      <c r="M66" s="41" t="str">
        <f>IF(OR($C66="",$D66=""),"",IF(COUNTIFS($C$4:$C66,$C66,$D$4:$D66,"?*")=1,$C66,""))</f>
        <v/>
      </c>
      <c r="N66" s="41" t="str">
        <f>IF($B66="","",IF($C66="","FA"&amp;COUNTIFS($B$4:$B66,"?*",$C$4:$C66,""),""))</f>
        <v/>
      </c>
      <c r="O66" s="41" t="str">
        <f>IF($C66="","",$C66&amp;"@"&amp;COUNTIF($C$4:$C66,$C66))</f>
        <v>Scarlet Poop Knife@2</v>
      </c>
    </row>
    <row r="67" spans="1:15">
      <c r="A67" s="19">
        <f>IF($B67="","",COUNTIF($B$4:$B67,"?*"))</f>
        <v>64</v>
      </c>
      <c r="B67" s="63" t="s">
        <v>2853</v>
      </c>
      <c r="C67" s="80" t="s">
        <v>268</v>
      </c>
      <c r="D67" s="69"/>
      <c r="E67" s="68"/>
      <c r="F67" s="69"/>
      <c r="G67" s="68"/>
      <c r="H67" s="68"/>
      <c r="I67" s="1" t="str">
        <f>IF($B67="","",IF(COUNTIF(MASTER!$C$4:$C$1463,$B67)&gt;0,"yes · "&amp;INDEX(MASTER!$B$4:$B$1463,MATCH($B67,MASTER!$C$4:$C$1463,0)),"not matched"))</f>
        <v>not matched</v>
      </c>
      <c r="J67" s="19">
        <f t="shared" si="1"/>
        <v>7</v>
      </c>
      <c r="K67" s="1" t="str">
        <f>IF(OR($C67="",$E67=""),"",IF(COUNTIFS($C$4:$C67,$C67,$E$4:$E67,"?*")=1,$C67,""))</f>
        <v/>
      </c>
      <c r="L67" s="1" t="str">
        <f>IF(OR($C67="",$F67=""),"",IF(COUNTIFS($C$4:$C67,$C67,$F$4:$F67,"&gt;=0")=1,$C67,""))</f>
        <v/>
      </c>
      <c r="M67" s="1" t="str">
        <f>IF(OR($C67="",$D67=""),"",IF(COUNTIFS($C$4:$C67,$C67,$D$4:$D67,"?*")=1,$C67,""))</f>
        <v/>
      </c>
      <c r="N67" s="1" t="str">
        <f>IF($B67="","",IF($C67="","FA"&amp;COUNTIFS($B$4:$B67,"?*",$C$4:$C67,""),""))</f>
        <v/>
      </c>
      <c r="O67" s="1" t="str">
        <f>IF($C67="","",$C67&amp;"@"&amp;COUNTIF($C$4:$C67,$C67))</f>
        <v>Scarlet Poop Knife@3</v>
      </c>
    </row>
    <row r="68" spans="1:15">
      <c r="A68" s="15">
        <f>IF($B68="","",COUNTIF($B$4:$B68,"?*"))</f>
        <v>65</v>
      </c>
      <c r="B68" s="63" t="s">
        <v>343</v>
      </c>
      <c r="C68" s="80" t="s">
        <v>268</v>
      </c>
      <c r="D68" s="69"/>
      <c r="E68" s="68"/>
      <c r="F68" s="69"/>
      <c r="G68" s="68"/>
      <c r="H68" s="68"/>
      <c r="I68" s="41" t="str">
        <f>IF($B68="","",IF(COUNTIF(MASTER!$C$4:$C$1463,$B68)&gt;0,"yes · "&amp;INDEX(MASTER!$B$4:$B$1463,MATCH($B68,MASTER!$C$4:$C$1463,0)),"not matched"))</f>
        <v>not matched</v>
      </c>
      <c r="J68" s="15">
        <f t="shared" ref="J68:J99" si="2">IF($C68="","",COUNTIF($C$4:$C$135,$C68))</f>
        <v>7</v>
      </c>
      <c r="K68" s="41" t="str">
        <f>IF(OR($C68="",$E68=""),"",IF(COUNTIFS($C$4:$C68,$C68,$E$4:$E68,"?*")=1,$C68,""))</f>
        <v/>
      </c>
      <c r="L68" s="41" t="str">
        <f>IF(OR($C68="",$F68=""),"",IF(COUNTIFS($C$4:$C68,$C68,$F$4:$F68,"&gt;=0")=1,$C68,""))</f>
        <v/>
      </c>
      <c r="M68" s="41" t="str">
        <f>IF(OR($C68="",$D68=""),"",IF(COUNTIFS($C$4:$C68,$C68,$D$4:$D68,"?*")=1,$C68,""))</f>
        <v/>
      </c>
      <c r="N68" s="41" t="str">
        <f>IF($B68="","",IF($C68="","FA"&amp;COUNTIFS($B$4:$B68,"?*",$C$4:$C68,""),""))</f>
        <v/>
      </c>
      <c r="O68" s="41" t="str">
        <f>IF($C68="","",$C68&amp;"@"&amp;COUNTIF($C$4:$C68,$C68))</f>
        <v>Scarlet Poop Knife@4</v>
      </c>
    </row>
    <row r="69" spans="1:15">
      <c r="A69" s="19">
        <f>IF($B69="","",COUNTIF($B$4:$B69,"?*"))</f>
        <v>66</v>
      </c>
      <c r="B69" s="63" t="s">
        <v>353</v>
      </c>
      <c r="C69" s="80" t="s">
        <v>268</v>
      </c>
      <c r="D69" s="69"/>
      <c r="E69" s="68" t="s">
        <v>2854</v>
      </c>
      <c r="F69" s="69">
        <v>6</v>
      </c>
      <c r="G69" s="68"/>
      <c r="H69" s="68"/>
      <c r="I69" s="1" t="str">
        <f>IF($B69="","",IF(COUNTIF(MASTER!$C$4:$C$1463,$B69)&gt;0,"yes · "&amp;INDEX(MASTER!$B$4:$B$1463,MATCH($B69,MASTER!$C$4:$C$1463,0)),"not matched"))</f>
        <v>yes · FUCT</v>
      </c>
      <c r="J69" s="19">
        <f t="shared" si="2"/>
        <v>7</v>
      </c>
      <c r="K69" s="1" t="str">
        <f>IF(OR($C69="",$E69=""),"",IF(COUNTIFS($C$4:$C69,$C69,$E$4:$E69,"?*")=1,$C69,""))</f>
        <v>Scarlet Poop Knife</v>
      </c>
      <c r="L69" s="1" t="str">
        <f>IF(OR($C69="",$F69=""),"",IF(COUNTIFS($C$4:$C69,$C69,$F$4:$F69,"&gt;=0")=1,$C69,""))</f>
        <v>Scarlet Poop Knife</v>
      </c>
      <c r="M69" s="1" t="str">
        <f>IF(OR($C69="",$D69=""),"",IF(COUNTIFS($C$4:$C69,$C69,$D$4:$D69,"?*")=1,$C69,""))</f>
        <v/>
      </c>
      <c r="N69" s="1" t="str">
        <f>IF($B69="","",IF($C69="","FA"&amp;COUNTIFS($B$4:$B69,"?*",$C$4:$C69,""),""))</f>
        <v/>
      </c>
      <c r="O69" s="1" t="str">
        <f>IF($C69="","",$C69&amp;"@"&amp;COUNTIF($C$4:$C69,$C69))</f>
        <v>Scarlet Poop Knife@5</v>
      </c>
    </row>
    <row r="70" spans="1:15">
      <c r="A70" s="15">
        <f>IF($B70="","",COUNTIF($B$4:$B70,"?*"))</f>
        <v>67</v>
      </c>
      <c r="B70" s="63" t="s">
        <v>355</v>
      </c>
      <c r="C70" s="80" t="s">
        <v>268</v>
      </c>
      <c r="D70" s="69" t="s">
        <v>2845</v>
      </c>
      <c r="E70" s="68"/>
      <c r="F70" s="69"/>
      <c r="G70" s="68"/>
      <c r="H70" s="68"/>
      <c r="I70" s="41" t="str">
        <f>IF($B70="","",IF(COUNTIF(MASTER!$C$4:$C$1463,$B70)&gt;0,"yes · "&amp;INDEX(MASTER!$B$4:$B$1463,MATCH($B70,MASTER!$C$4:$C$1463,0)),"not matched"))</f>
        <v>yes · FUCT</v>
      </c>
      <c r="J70" s="15">
        <f t="shared" si="2"/>
        <v>7</v>
      </c>
      <c r="K70" s="41" t="str">
        <f>IF(OR($C70="",$E70=""),"",IF(COUNTIFS($C$4:$C70,$C70,$E$4:$E70,"?*")=1,$C70,""))</f>
        <v/>
      </c>
      <c r="L70" s="41" t="str">
        <f>IF(OR($C70="",$F70=""),"",IF(COUNTIFS($C$4:$C70,$C70,$F$4:$F70,"&gt;=0")=1,$C70,""))</f>
        <v/>
      </c>
      <c r="M70" s="41" t="str">
        <f>IF(OR($C70="",$D70=""),"",IF(COUNTIFS($C$4:$C70,$C70,$D$4:$D70,"?*")=1,$C70,""))</f>
        <v>Scarlet Poop Knife</v>
      </c>
      <c r="N70" s="41" t="str">
        <f>IF($B70="","",IF($C70="","FA"&amp;COUNTIFS($B$4:$B70,"?*",$C$4:$C70,""),""))</f>
        <v/>
      </c>
      <c r="O70" s="41" t="str">
        <f>IF($C70="","",$C70&amp;"@"&amp;COUNTIF($C$4:$C70,$C70))</f>
        <v>Scarlet Poop Knife@6</v>
      </c>
    </row>
    <row r="71" spans="1:15">
      <c r="A71" s="19">
        <f>IF($B71="","",COUNTIF($B$4:$B71,"?*"))</f>
        <v>68</v>
      </c>
      <c r="B71" s="63" t="s">
        <v>364</v>
      </c>
      <c r="C71" s="80" t="s">
        <v>268</v>
      </c>
      <c r="D71" s="69"/>
      <c r="E71" s="68"/>
      <c r="F71" s="69"/>
      <c r="G71" s="68"/>
      <c r="H71" s="68"/>
      <c r="I71" s="1" t="str">
        <f>IF($B71="","",IF(COUNTIF(MASTER!$C$4:$C$1463,$B71)&gt;0,"yes · "&amp;INDEX(MASTER!$B$4:$B$1463,MATCH($B71,MASTER!$C$4:$C$1463,0)),"not matched"))</f>
        <v>not matched</v>
      </c>
      <c r="J71" s="19">
        <f t="shared" si="2"/>
        <v>7</v>
      </c>
      <c r="K71" s="1" t="str">
        <f>IF(OR($C71="",$E71=""),"",IF(COUNTIFS($C$4:$C71,$C71,$E$4:$E71,"?*")=1,$C71,""))</f>
        <v/>
      </c>
      <c r="L71" s="1" t="str">
        <f>IF(OR($C71="",$F71=""),"",IF(COUNTIFS($C$4:$C71,$C71,$F$4:$F71,"&gt;=0")=1,$C71,""))</f>
        <v/>
      </c>
      <c r="M71" s="1" t="str">
        <f>IF(OR($C71="",$D71=""),"",IF(COUNTIFS($C$4:$C71,$C71,$D$4:$D71,"?*")=1,$C71,""))</f>
        <v/>
      </c>
      <c r="N71" s="1" t="str">
        <f>IF($B71="","",IF($C71="","FA"&amp;COUNTIFS($B$4:$B71,"?*",$C$4:$C71,""),""))</f>
        <v/>
      </c>
      <c r="O71" s="1" t="str">
        <f>IF($C71="","",$C71&amp;"@"&amp;COUNTIF($C$4:$C71,$C71))</f>
        <v>Scarlet Poop Knife@7</v>
      </c>
    </row>
    <row r="72" spans="1:15">
      <c r="A72" s="15">
        <f>IF($B72="","",COUNTIF($B$4:$B72,"?*"))</f>
        <v>69</v>
      </c>
      <c r="B72" s="63" t="s">
        <v>321</v>
      </c>
      <c r="C72" s="80" t="s">
        <v>269</v>
      </c>
      <c r="D72" s="69"/>
      <c r="E72" s="68"/>
      <c r="F72" s="69"/>
      <c r="G72" s="68"/>
      <c r="H72" s="68"/>
      <c r="I72" s="41" t="str">
        <f>IF($B72="","",IF(COUNTIF(MASTER!$C$4:$C$1463,$B72)&gt;0,"yes · "&amp;INDEX(MASTER!$B$4:$B$1463,MATCH($B72,MASTER!$C$4:$C$1463,0)),"not matched"))</f>
        <v>yes · FUCT</v>
      </c>
      <c r="J72" s="15">
        <f t="shared" si="2"/>
        <v>6</v>
      </c>
      <c r="K72" s="41" t="str">
        <f>IF(OR($C72="",$E72=""),"",IF(COUNTIFS($C$4:$C72,$C72,$E$4:$E72,"?*")=1,$C72,""))</f>
        <v/>
      </c>
      <c r="L72" s="41" t="str">
        <f>IF(OR($C72="",$F72=""),"",IF(COUNTIFS($C$4:$C72,$C72,$F$4:$F72,"&gt;=0")=1,$C72,""))</f>
        <v/>
      </c>
      <c r="M72" s="41" t="str">
        <f>IF(OR($C72="",$D72=""),"",IF(COUNTIFS($C$4:$C72,$C72,$D$4:$D72,"?*")=1,$C72,""))</f>
        <v/>
      </c>
      <c r="N72" s="41" t="str">
        <f>IF($B72="","",IF($C72="","FA"&amp;COUNTIFS($B$4:$B72,"?*",$C$4:$C72,""),""))</f>
        <v/>
      </c>
      <c r="O72" s="41" t="str">
        <f>IF($C72="","",$C72&amp;"@"&amp;COUNTIF($C$4:$C72,$C72))</f>
        <v>IllumiNaughty@1</v>
      </c>
    </row>
    <row r="73" spans="1:15">
      <c r="A73" s="19">
        <f>IF($B73="","",COUNTIF($B$4:$B73,"?*"))</f>
        <v>70</v>
      </c>
      <c r="B73" s="63" t="s">
        <v>342</v>
      </c>
      <c r="C73" s="80" t="s">
        <v>269</v>
      </c>
      <c r="D73" s="69"/>
      <c r="E73" s="68"/>
      <c r="F73" s="69"/>
      <c r="G73" s="68"/>
      <c r="H73" s="68"/>
      <c r="I73" s="1" t="str">
        <f>IF($B73="","",IF(COUNTIF(MASTER!$C$4:$C$1463,$B73)&gt;0,"yes · "&amp;INDEX(MASTER!$B$4:$B$1463,MATCH($B73,MASTER!$C$4:$C$1463,0)),"not matched"))</f>
        <v>yes · FUCT</v>
      </c>
      <c r="J73" s="19">
        <f t="shared" si="2"/>
        <v>6</v>
      </c>
      <c r="K73" s="1" t="str">
        <f>IF(OR($C73="",$E73=""),"",IF(COUNTIFS($C$4:$C73,$C73,$E$4:$E73,"?*")=1,$C73,""))</f>
        <v/>
      </c>
      <c r="L73" s="1" t="str">
        <f>IF(OR($C73="",$F73=""),"",IF(COUNTIFS($C$4:$C73,$C73,$F$4:$F73,"&gt;=0")=1,$C73,""))</f>
        <v/>
      </c>
      <c r="M73" s="1" t="str">
        <f>IF(OR($C73="",$D73=""),"",IF(COUNTIFS($C$4:$C73,$C73,$D$4:$D73,"?*")=1,$C73,""))</f>
        <v/>
      </c>
      <c r="N73" s="1" t="str">
        <f>IF($B73="","",IF($C73="","FA"&amp;COUNTIFS($B$4:$B73,"?*",$C$4:$C73,""),""))</f>
        <v/>
      </c>
      <c r="O73" s="1" t="str">
        <f>IF($C73="","",$C73&amp;"@"&amp;COUNTIF($C$4:$C73,$C73))</f>
        <v>IllumiNaughty@2</v>
      </c>
    </row>
    <row r="74" spans="1:15">
      <c r="A74" s="15">
        <f>IF($B74="","",COUNTIF($B$4:$B74,"?*"))</f>
        <v>71</v>
      </c>
      <c r="B74" s="63" t="s">
        <v>2166</v>
      </c>
      <c r="C74" s="80" t="s">
        <v>269</v>
      </c>
      <c r="D74" s="69"/>
      <c r="E74" s="68"/>
      <c r="F74" s="69"/>
      <c r="G74" s="68"/>
      <c r="H74" s="68"/>
      <c r="I74" s="41" t="str">
        <f>IF($B74="","",IF(COUNTIF(MASTER!$C$4:$C$1463,$B74)&gt;0,"yes · "&amp;INDEX(MASTER!$B$4:$B$1463,MATCH($B74,MASTER!$C$4:$C$1463,0)),"not matched"))</f>
        <v>yes · FUCT</v>
      </c>
      <c r="J74" s="15">
        <f t="shared" si="2"/>
        <v>6</v>
      </c>
      <c r="K74" s="41" t="str">
        <f>IF(OR($C74="",$E74=""),"",IF(COUNTIFS($C$4:$C74,$C74,$E$4:$E74,"?*")=1,$C74,""))</f>
        <v/>
      </c>
      <c r="L74" s="41" t="str">
        <f>IF(OR($C74="",$F74=""),"",IF(COUNTIFS($C$4:$C74,$C74,$F$4:$F74,"&gt;=0")=1,$C74,""))</f>
        <v/>
      </c>
      <c r="M74" s="41" t="str">
        <f>IF(OR($C74="",$D74=""),"",IF(COUNTIFS($C$4:$C74,$C74,$D$4:$D74,"?*")=1,$C74,""))</f>
        <v/>
      </c>
      <c r="N74" s="41" t="str">
        <f>IF($B74="","",IF($C74="","FA"&amp;COUNTIFS($B$4:$B74,"?*",$C$4:$C74,""),""))</f>
        <v/>
      </c>
      <c r="O74" s="41" t="str">
        <f>IF($C74="","",$C74&amp;"@"&amp;COUNTIF($C$4:$C74,$C74))</f>
        <v>IllumiNaughty@3</v>
      </c>
    </row>
    <row r="75" spans="1:15">
      <c r="A75" s="19">
        <f>IF($B75="","",COUNTIF($B$4:$B75,"?*"))</f>
        <v>72</v>
      </c>
      <c r="B75" s="63" t="s">
        <v>362</v>
      </c>
      <c r="C75" s="80" t="s">
        <v>269</v>
      </c>
      <c r="D75" s="69"/>
      <c r="E75" s="68" t="s">
        <v>2855</v>
      </c>
      <c r="F75" s="69">
        <v>6</v>
      </c>
      <c r="G75" s="68"/>
      <c r="H75" s="68"/>
      <c r="I75" s="1" t="str">
        <f>IF($B75="","",IF(COUNTIF(MASTER!$C$4:$C$1463,$B75)&gt;0,"yes · "&amp;INDEX(MASTER!$B$4:$B$1463,MATCH($B75,MASTER!$C$4:$C$1463,0)),"not matched"))</f>
        <v>yes · FUCT</v>
      </c>
      <c r="J75" s="19">
        <f t="shared" si="2"/>
        <v>6</v>
      </c>
      <c r="K75" s="1" t="str">
        <f>IF(OR($C75="",$E75=""),"",IF(COUNTIFS($C$4:$C75,$C75,$E$4:$E75,"?*")=1,$C75,""))</f>
        <v>IllumiNaughty</v>
      </c>
      <c r="L75" s="1" t="str">
        <f>IF(OR($C75="",$F75=""),"",IF(COUNTIFS($C$4:$C75,$C75,$F$4:$F75,"&gt;=0")=1,$C75,""))</f>
        <v>IllumiNaughty</v>
      </c>
      <c r="M75" s="1" t="str">
        <f>IF(OR($C75="",$D75=""),"",IF(COUNTIFS($C$4:$C75,$C75,$D$4:$D75,"?*")=1,$C75,""))</f>
        <v/>
      </c>
      <c r="N75" s="1" t="str">
        <f>IF($B75="","",IF($C75="","FA"&amp;COUNTIFS($B$4:$B75,"?*",$C$4:$C75,""),""))</f>
        <v/>
      </c>
      <c r="O75" s="1" t="str">
        <f>IF($C75="","",$C75&amp;"@"&amp;COUNTIF($C$4:$C75,$C75))</f>
        <v>IllumiNaughty@4</v>
      </c>
    </row>
    <row r="76" spans="1:15">
      <c r="A76" s="15">
        <f>IF($B76="","",COUNTIF($B$4:$B76,"?*"))</f>
        <v>73</v>
      </c>
      <c r="B76" s="63" t="s">
        <v>367</v>
      </c>
      <c r="C76" s="80" t="s">
        <v>269</v>
      </c>
      <c r="D76" s="69"/>
      <c r="E76" s="68"/>
      <c r="F76" s="69"/>
      <c r="G76" s="68"/>
      <c r="H76" s="68"/>
      <c r="I76" s="41" t="str">
        <f>IF($B76="","",IF(COUNTIF(MASTER!$C$4:$C$1463,$B76)&gt;0,"yes · "&amp;INDEX(MASTER!$B$4:$B$1463,MATCH($B76,MASTER!$C$4:$C$1463,0)),"not matched"))</f>
        <v>yes · FUCT</v>
      </c>
      <c r="J76" s="15">
        <f t="shared" si="2"/>
        <v>6</v>
      </c>
      <c r="K76" s="41" t="str">
        <f>IF(OR($C76="",$E76=""),"",IF(COUNTIFS($C$4:$C76,$C76,$E$4:$E76,"?*")=1,$C76,""))</f>
        <v/>
      </c>
      <c r="L76" s="41" t="str">
        <f>IF(OR($C76="",$F76=""),"",IF(COUNTIFS($C$4:$C76,$C76,$F$4:$F76,"&gt;=0")=1,$C76,""))</f>
        <v/>
      </c>
      <c r="M76" s="41" t="str">
        <f>IF(OR($C76="",$D76=""),"",IF(COUNTIFS($C$4:$C76,$C76,$D$4:$D76,"?*")=1,$C76,""))</f>
        <v/>
      </c>
      <c r="N76" s="41" t="str">
        <f>IF($B76="","",IF($C76="","FA"&amp;COUNTIFS($B$4:$B76,"?*",$C$4:$C76,""),""))</f>
        <v/>
      </c>
      <c r="O76" s="41" t="str">
        <f>IF($C76="","",$C76&amp;"@"&amp;COUNTIF($C$4:$C76,$C76))</f>
        <v>IllumiNaughty@5</v>
      </c>
    </row>
    <row r="77" spans="1:15">
      <c r="A77" s="19">
        <f>IF($B77="","",COUNTIF($B$4:$B77,"?*"))</f>
        <v>74</v>
      </c>
      <c r="B77" s="63" t="s">
        <v>370</v>
      </c>
      <c r="C77" s="80" t="s">
        <v>269</v>
      </c>
      <c r="D77" s="69"/>
      <c r="E77" s="68"/>
      <c r="F77" s="69"/>
      <c r="G77" s="68"/>
      <c r="H77" s="68"/>
      <c r="I77" s="1" t="str">
        <f>IF($B77="","",IF(COUNTIF(MASTER!$C$4:$C$1463,$B77)&gt;0,"yes · "&amp;INDEX(MASTER!$B$4:$B$1463,MATCH($B77,MASTER!$C$4:$C$1463,0)),"not matched"))</f>
        <v>not matched</v>
      </c>
      <c r="J77" s="19">
        <f t="shared" si="2"/>
        <v>6</v>
      </c>
      <c r="K77" s="1" t="str">
        <f>IF(OR($C77="",$E77=""),"",IF(COUNTIFS($C$4:$C77,$C77,$E$4:$E77,"?*")=1,$C77,""))</f>
        <v/>
      </c>
      <c r="L77" s="1" t="str">
        <f>IF(OR($C77="",$F77=""),"",IF(COUNTIFS($C$4:$C77,$C77,$F$4:$F77,"&gt;=0")=1,$C77,""))</f>
        <v/>
      </c>
      <c r="M77" s="1" t="str">
        <f>IF(OR($C77="",$D77=""),"",IF(COUNTIFS($C$4:$C77,$C77,$D$4:$D77,"?*")=1,$C77,""))</f>
        <v/>
      </c>
      <c r="N77" s="1" t="str">
        <f>IF($B77="","",IF($C77="","FA"&amp;COUNTIFS($B$4:$B77,"?*",$C$4:$C77,""),""))</f>
        <v/>
      </c>
      <c r="O77" s="1" t="str">
        <f>IF($C77="","",$C77&amp;"@"&amp;COUNTIF($C$4:$C77,$C77))</f>
        <v>IllumiNaughty@6</v>
      </c>
    </row>
    <row r="78" spans="1:15">
      <c r="A78" s="15">
        <f>IF($B78="","",COUNTIF($B$4:$B78,"?*"))</f>
        <v>75</v>
      </c>
      <c r="B78" s="63" t="s">
        <v>312</v>
      </c>
      <c r="C78" s="80" t="s">
        <v>270</v>
      </c>
      <c r="D78" s="69"/>
      <c r="E78" s="68"/>
      <c r="F78" s="69">
        <v>8</v>
      </c>
      <c r="G78" s="68"/>
      <c r="H78" s="68"/>
      <c r="I78" s="41" t="str">
        <f>IF($B78="","",IF(COUNTIF(MASTER!$C$4:$C$1463,$B78)&gt;0,"yes · "&amp;INDEX(MASTER!$B$4:$B$1463,MATCH($B78,MASTER!$C$4:$C$1463,0)),"not matched"))</f>
        <v>not matched</v>
      </c>
      <c r="J78" s="15">
        <f t="shared" si="2"/>
        <v>4</v>
      </c>
      <c r="K78" s="41" t="str">
        <f>IF(OR($C78="",$E78=""),"",IF(COUNTIFS($C$4:$C78,$C78,$E$4:$E78,"?*")=1,$C78,""))</f>
        <v/>
      </c>
      <c r="L78" s="41" t="str">
        <f>IF(OR($C78="",$F78=""),"",IF(COUNTIFS($C$4:$C78,$C78,$F$4:$F78,"&gt;=0")=1,$C78,""))</f>
        <v>JINXZEESGARAGE</v>
      </c>
      <c r="M78" s="41" t="str">
        <f>IF(OR($C78="",$D78=""),"",IF(COUNTIFS($C$4:$C78,$C78,$D$4:$D78,"?*")=1,$C78,""))</f>
        <v/>
      </c>
      <c r="N78" s="41" t="str">
        <f>IF($B78="","",IF($C78="","FA"&amp;COUNTIFS($B$4:$B78,"?*",$C$4:$C78,""),""))</f>
        <v/>
      </c>
      <c r="O78" s="41" t="str">
        <f>IF($C78="","",$C78&amp;"@"&amp;COUNTIF($C$4:$C78,$C78))</f>
        <v>JINXZEESGARAGE@1</v>
      </c>
    </row>
    <row r="79" spans="1:15">
      <c r="A79" s="19">
        <f>IF($B79="","",COUNTIF($B$4:$B79,"?*"))</f>
        <v>76</v>
      </c>
      <c r="B79" s="63" t="s">
        <v>315</v>
      </c>
      <c r="C79" s="80" t="s">
        <v>270</v>
      </c>
      <c r="D79" s="69"/>
      <c r="E79" s="68"/>
      <c r="F79" s="69"/>
      <c r="G79" s="68"/>
      <c r="H79" s="68"/>
      <c r="I79" s="1" t="str">
        <f>IF($B79="","",IF(COUNTIF(MASTER!$C$4:$C$1463,$B79)&gt;0,"yes · "&amp;INDEX(MASTER!$B$4:$B$1463,MATCH($B79,MASTER!$C$4:$C$1463,0)),"not matched"))</f>
        <v>yes · FUCT</v>
      </c>
      <c r="J79" s="19">
        <f t="shared" si="2"/>
        <v>4</v>
      </c>
      <c r="K79" s="1" t="str">
        <f>IF(OR($C79="",$E79=""),"",IF(COUNTIFS($C$4:$C79,$C79,$E$4:$E79,"?*")=1,$C79,""))</f>
        <v/>
      </c>
      <c r="L79" s="1" t="str">
        <f>IF(OR($C79="",$F79=""),"",IF(COUNTIFS($C$4:$C79,$C79,$F$4:$F79,"&gt;=0")=1,$C79,""))</f>
        <v/>
      </c>
      <c r="M79" s="1" t="str">
        <f>IF(OR($C79="",$D79=""),"",IF(COUNTIFS($C$4:$C79,$C79,$D$4:$D79,"?*")=1,$C79,""))</f>
        <v/>
      </c>
      <c r="N79" s="1" t="str">
        <f>IF($B79="","",IF($C79="","FA"&amp;COUNTIFS($B$4:$B79,"?*",$C$4:$C79,""),""))</f>
        <v/>
      </c>
      <c r="O79" s="1" t="str">
        <f>IF($C79="","",$C79&amp;"@"&amp;COUNTIF($C$4:$C79,$C79))</f>
        <v>JINXZEESGARAGE@2</v>
      </c>
    </row>
    <row r="80" spans="1:15">
      <c r="A80" s="15">
        <f>IF($B80="","",COUNTIF($B$4:$B80,"?*"))</f>
        <v>77</v>
      </c>
      <c r="B80" s="63" t="s">
        <v>331</v>
      </c>
      <c r="C80" s="80" t="s">
        <v>270</v>
      </c>
      <c r="D80" s="69"/>
      <c r="E80" s="68"/>
      <c r="F80" s="69"/>
      <c r="G80" s="68"/>
      <c r="H80" s="68"/>
      <c r="I80" s="41" t="str">
        <f>IF($B80="","",IF(COUNTIF(MASTER!$C$4:$C$1463,$B80)&gt;0,"yes · "&amp;INDEX(MASTER!$B$4:$B$1463,MATCH($B80,MASTER!$C$4:$C$1463,0)),"not matched"))</f>
        <v>not matched</v>
      </c>
      <c r="J80" s="15">
        <f t="shared" si="2"/>
        <v>4</v>
      </c>
      <c r="K80" s="41" t="str">
        <f>IF(OR($C80="",$E80=""),"",IF(COUNTIFS($C$4:$C80,$C80,$E$4:$E80,"?*")=1,$C80,""))</f>
        <v/>
      </c>
      <c r="L80" s="41" t="str">
        <f>IF(OR($C80="",$F80=""),"",IF(COUNTIFS($C$4:$C80,$C80,$F$4:$F80,"&gt;=0")=1,$C80,""))</f>
        <v/>
      </c>
      <c r="M80" s="41" t="str">
        <f>IF(OR($C80="",$D80=""),"",IF(COUNTIFS($C$4:$C80,$C80,$D$4:$D80,"?*")=1,$C80,""))</f>
        <v/>
      </c>
      <c r="N80" s="41" t="str">
        <f>IF($B80="","",IF($C80="","FA"&amp;COUNTIFS($B$4:$B80,"?*",$C$4:$C80,""),""))</f>
        <v/>
      </c>
      <c r="O80" s="41" t="str">
        <f>IF($C80="","",$C80&amp;"@"&amp;COUNTIF($C$4:$C80,$C80))</f>
        <v>JINXZEESGARAGE@3</v>
      </c>
    </row>
    <row r="81" spans="1:15">
      <c r="A81" s="19">
        <f>IF($B81="","",COUNTIF($B$4:$B81,"?*"))</f>
        <v>78</v>
      </c>
      <c r="B81" s="63" t="s">
        <v>340</v>
      </c>
      <c r="C81" s="80" t="s">
        <v>270</v>
      </c>
      <c r="D81" s="69"/>
      <c r="E81" s="68"/>
      <c r="F81" s="69"/>
      <c r="G81" s="68"/>
      <c r="H81" s="68"/>
      <c r="I81" s="1" t="str">
        <f>IF($B81="","",IF(COUNTIF(MASTER!$C$4:$C$1463,$B81)&gt;0,"yes · "&amp;INDEX(MASTER!$B$4:$B$1463,MATCH($B81,MASTER!$C$4:$C$1463,0)),"not matched"))</f>
        <v>yes · FUCT</v>
      </c>
      <c r="J81" s="19">
        <f t="shared" si="2"/>
        <v>4</v>
      </c>
      <c r="K81" s="1" t="str">
        <f>IF(OR($C81="",$E81=""),"",IF(COUNTIFS($C$4:$C81,$C81,$E$4:$E81,"?*")=1,$C81,""))</f>
        <v/>
      </c>
      <c r="L81" s="1" t="str">
        <f>IF(OR($C81="",$F81=""),"",IF(COUNTIFS($C$4:$C81,$C81,$F$4:$F81,"&gt;=0")=1,$C81,""))</f>
        <v/>
      </c>
      <c r="M81" s="1" t="str">
        <f>IF(OR($C81="",$D81=""),"",IF(COUNTIFS($C$4:$C81,$C81,$D$4:$D81,"?*")=1,$C81,""))</f>
        <v/>
      </c>
      <c r="N81" s="1" t="str">
        <f>IF($B81="","",IF($C81="","FA"&amp;COUNTIFS($B$4:$B81,"?*",$C$4:$C81,""),""))</f>
        <v/>
      </c>
      <c r="O81" s="1" t="str">
        <f>IF($C81="","",$C81&amp;"@"&amp;COUNTIF($C$4:$C81,$C81))</f>
        <v>JINXZEESGARAGE@4</v>
      </c>
    </row>
    <row r="82" spans="1:15">
      <c r="A82" s="15">
        <f>IF($B82="","",COUNTIF($B$4:$B82,"?*"))</f>
        <v>79</v>
      </c>
      <c r="B82" s="63" t="s">
        <v>297</v>
      </c>
      <c r="C82" s="80" t="s">
        <v>271</v>
      </c>
      <c r="D82" s="69" t="s">
        <v>2845</v>
      </c>
      <c r="E82" s="68" t="s">
        <v>2856</v>
      </c>
      <c r="F82" s="69">
        <v>8</v>
      </c>
      <c r="G82" s="68"/>
      <c r="H82" s="68"/>
      <c r="I82" s="41" t="str">
        <f>IF($B82="","",IF(COUNTIF(MASTER!$C$4:$C$1463,$B82)&gt;0,"yes · "&amp;INDEX(MASTER!$B$4:$B$1463,MATCH($B82,MASTER!$C$4:$C$1463,0)),"not matched"))</f>
        <v>not matched</v>
      </c>
      <c r="J82" s="15">
        <f t="shared" si="2"/>
        <v>4</v>
      </c>
      <c r="K82" s="41" t="str">
        <f>IF(OR($C82="",$E82=""),"",IF(COUNTIFS($C$4:$C82,$C82,$E$4:$E82,"?*")=1,$C82,""))</f>
        <v>MIDNIGHT VEIL</v>
      </c>
      <c r="L82" s="41" t="str">
        <f>IF(OR($C82="",$F82=""),"",IF(COUNTIFS($C$4:$C82,$C82,$F$4:$F82,"&gt;=0")=1,$C82,""))</f>
        <v>MIDNIGHT VEIL</v>
      </c>
      <c r="M82" s="41" t="str">
        <f>IF(OR($C82="",$D82=""),"",IF(COUNTIFS($C$4:$C82,$C82,$D$4:$D82,"?*")=1,$C82,""))</f>
        <v>MIDNIGHT VEIL</v>
      </c>
      <c r="N82" s="41" t="str">
        <f>IF($B82="","",IF($C82="","FA"&amp;COUNTIFS($B$4:$B82,"?*",$C$4:$C82,""),""))</f>
        <v/>
      </c>
      <c r="O82" s="41" t="str">
        <f>IF($C82="","",$C82&amp;"@"&amp;COUNTIF($C$4:$C82,$C82))</f>
        <v>MIDNIGHT VEIL@1</v>
      </c>
    </row>
    <row r="83" spans="1:15">
      <c r="A83" s="19">
        <f>IF($B83="","",COUNTIF($B$4:$B83,"?*"))</f>
        <v>80</v>
      </c>
      <c r="B83" s="63" t="s">
        <v>318</v>
      </c>
      <c r="C83" s="80" t="s">
        <v>271</v>
      </c>
      <c r="D83" s="69"/>
      <c r="E83" s="68"/>
      <c r="F83" s="69"/>
      <c r="G83" s="68"/>
      <c r="H83" s="68"/>
      <c r="I83" s="1" t="str">
        <f>IF($B83="","",IF(COUNTIF(MASTER!$C$4:$C$1463,$B83)&gt;0,"yes · "&amp;INDEX(MASTER!$B$4:$B$1463,MATCH($B83,MASTER!$C$4:$C$1463,0)),"not matched"))</f>
        <v>not matched</v>
      </c>
      <c r="J83" s="19">
        <f t="shared" si="2"/>
        <v>4</v>
      </c>
      <c r="K83" s="1" t="str">
        <f>IF(OR($C83="",$E83=""),"",IF(COUNTIFS($C$4:$C83,$C83,$E$4:$E83,"?*")=1,$C83,""))</f>
        <v/>
      </c>
      <c r="L83" s="1" t="str">
        <f>IF(OR($C83="",$F83=""),"",IF(COUNTIFS($C$4:$C83,$C83,$F$4:$F83,"&gt;=0")=1,$C83,""))</f>
        <v/>
      </c>
      <c r="M83" s="1" t="str">
        <f>IF(OR($C83="",$D83=""),"",IF(COUNTIFS($C$4:$C83,$C83,$D$4:$D83,"?*")=1,$C83,""))</f>
        <v/>
      </c>
      <c r="N83" s="1" t="str">
        <f>IF($B83="","",IF($C83="","FA"&amp;COUNTIFS($B$4:$B83,"?*",$C$4:$C83,""),""))</f>
        <v/>
      </c>
      <c r="O83" s="1" t="str">
        <f>IF($C83="","",$C83&amp;"@"&amp;COUNTIF($C$4:$C83,$C83))</f>
        <v>MIDNIGHT VEIL@2</v>
      </c>
    </row>
    <row r="84" spans="1:15">
      <c r="A84" s="15">
        <f>IF($B84="","",COUNTIF($B$4:$B84,"?*"))</f>
        <v>81</v>
      </c>
      <c r="B84" s="63" t="s">
        <v>344</v>
      </c>
      <c r="C84" s="80" t="s">
        <v>271</v>
      </c>
      <c r="D84" s="69"/>
      <c r="E84" s="68"/>
      <c r="F84" s="69"/>
      <c r="G84" s="68"/>
      <c r="H84" s="68"/>
      <c r="I84" s="41" t="str">
        <f>IF($B84="","",IF(COUNTIF(MASTER!$C$4:$C$1463,$B84)&gt;0,"yes · "&amp;INDEX(MASTER!$B$4:$B$1463,MATCH($B84,MASTER!$C$4:$C$1463,0)),"not matched"))</f>
        <v>yes · FUCT</v>
      </c>
      <c r="J84" s="15">
        <f t="shared" si="2"/>
        <v>4</v>
      </c>
      <c r="K84" s="41" t="str">
        <f>IF(OR($C84="",$E84=""),"",IF(COUNTIFS($C$4:$C84,$C84,$E$4:$E84,"?*")=1,$C84,""))</f>
        <v/>
      </c>
      <c r="L84" s="41" t="str">
        <f>IF(OR($C84="",$F84=""),"",IF(COUNTIFS($C$4:$C84,$C84,$F$4:$F84,"&gt;=0")=1,$C84,""))</f>
        <v/>
      </c>
      <c r="M84" s="41" t="str">
        <f>IF(OR($C84="",$D84=""),"",IF(COUNTIFS($C$4:$C84,$C84,$D$4:$D84,"?*")=1,$C84,""))</f>
        <v/>
      </c>
      <c r="N84" s="41" t="str">
        <f>IF($B84="","",IF($C84="","FA"&amp;COUNTIFS($B$4:$B84,"?*",$C$4:$C84,""),""))</f>
        <v/>
      </c>
      <c r="O84" s="41" t="str">
        <f>IF($C84="","",$C84&amp;"@"&amp;COUNTIF($C$4:$C84,$C84))</f>
        <v>MIDNIGHT VEIL@3</v>
      </c>
    </row>
    <row r="85" spans="1:15">
      <c r="A85" s="19">
        <f>IF($B85="","",COUNTIF($B$4:$B85,"?*"))</f>
        <v>82</v>
      </c>
      <c r="B85" s="63" t="s">
        <v>351</v>
      </c>
      <c r="C85" s="80" t="s">
        <v>271</v>
      </c>
      <c r="D85" s="69"/>
      <c r="E85" s="68"/>
      <c r="F85" s="69"/>
      <c r="G85" s="68"/>
      <c r="H85" s="68"/>
      <c r="I85" s="1" t="str">
        <f>IF($B85="","",IF(COUNTIF(MASTER!$C$4:$C$1463,$B85)&gt;0,"yes · "&amp;INDEX(MASTER!$B$4:$B$1463,MATCH($B85,MASTER!$C$4:$C$1463,0)),"not matched"))</f>
        <v>yes · FUCT</v>
      </c>
      <c r="J85" s="19">
        <f t="shared" si="2"/>
        <v>4</v>
      </c>
      <c r="K85" s="1" t="str">
        <f>IF(OR($C85="",$E85=""),"",IF(COUNTIFS($C$4:$C85,$C85,$E$4:$E85,"?*")=1,$C85,""))</f>
        <v/>
      </c>
      <c r="L85" s="1" t="str">
        <f>IF(OR($C85="",$F85=""),"",IF(COUNTIFS($C$4:$C85,$C85,$F$4:$F85,"&gt;=0")=1,$C85,""))</f>
        <v/>
      </c>
      <c r="M85" s="1" t="str">
        <f>IF(OR($C85="",$D85=""),"",IF(COUNTIFS($C$4:$C85,$C85,$D$4:$D85,"?*")=1,$C85,""))</f>
        <v/>
      </c>
      <c r="N85" s="1" t="str">
        <f>IF($B85="","",IF($C85="","FA"&amp;COUNTIFS($B$4:$B85,"?*",$C$4:$C85,""),""))</f>
        <v/>
      </c>
      <c r="O85" s="1" t="str">
        <f>IF($C85="","",$C85&amp;"@"&amp;COUNTIF($C$4:$C85,$C85))</f>
        <v>MIDNIGHT VEIL@4</v>
      </c>
    </row>
    <row r="86" spans="1:15">
      <c r="A86" s="15">
        <f>IF($B86="","",COUNTIF($B$4:$B86,"?*"))</f>
        <v>83</v>
      </c>
      <c r="B86" s="63" t="s">
        <v>393</v>
      </c>
      <c r="C86" s="80" t="s">
        <v>272</v>
      </c>
      <c r="D86" s="69"/>
      <c r="E86" s="68"/>
      <c r="F86" s="69"/>
      <c r="G86" s="68"/>
      <c r="H86" s="68"/>
      <c r="I86" s="41" t="str">
        <f>IF($B86="","",IF(COUNTIF(MASTER!$C$4:$C$1463,$B86)&gt;0,"yes · "&amp;INDEX(MASTER!$B$4:$B$1463,MATCH($B86,MASTER!$C$4:$C$1463,0)),"not matched"))</f>
        <v>not matched</v>
      </c>
      <c r="J86" s="15">
        <f t="shared" si="2"/>
        <v>2</v>
      </c>
      <c r="K86" s="41" t="str">
        <f>IF(OR($C86="",$E86=""),"",IF(COUNTIFS($C$4:$C86,$C86,$E$4:$E86,"?*")=1,$C86,""))</f>
        <v/>
      </c>
      <c r="L86" s="41" t="str">
        <f>IF(OR($C86="",$F86=""),"",IF(COUNTIFS($C$4:$C86,$C86,$F$4:$F86,"&gt;=0")=1,$C86,""))</f>
        <v/>
      </c>
      <c r="M86" s="41" t="str">
        <f>IF(OR($C86="",$D86=""),"",IF(COUNTIFS($C$4:$C86,$C86,$D$4:$D86,"?*")=1,$C86,""))</f>
        <v/>
      </c>
      <c r="N86" s="41" t="str">
        <f>IF($B86="","",IF($C86="","FA"&amp;COUNTIFS($B$4:$B86,"?*",$C$4:$C86,""),""))</f>
        <v/>
      </c>
      <c r="O86" s="41" t="str">
        <f>IF($C86="","",$C86&amp;"@"&amp;COUNTIF($C$4:$C86,$C86))</f>
        <v>transfer@1</v>
      </c>
    </row>
    <row r="87" spans="1:15">
      <c r="A87" s="19">
        <f>IF($B87="","",COUNTIF($B$4:$B87,"?*"))</f>
        <v>84</v>
      </c>
      <c r="B87" s="63" t="s">
        <v>395</v>
      </c>
      <c r="C87" s="80" t="s">
        <v>272</v>
      </c>
      <c r="D87" s="69"/>
      <c r="E87" s="68"/>
      <c r="F87" s="69"/>
      <c r="G87" s="68"/>
      <c r="H87" s="68"/>
      <c r="I87" s="1" t="str">
        <f>IF($B87="","",IF(COUNTIF(MASTER!$C$4:$C$1463,$B87)&gt;0,"yes · "&amp;INDEX(MASTER!$B$4:$B$1463,MATCH($B87,MASTER!$C$4:$C$1463,0)),"not matched"))</f>
        <v>not matched</v>
      </c>
      <c r="J87" s="19">
        <f t="shared" si="2"/>
        <v>2</v>
      </c>
      <c r="K87" s="1" t="str">
        <f>IF(OR($C87="",$E87=""),"",IF(COUNTIFS($C$4:$C87,$C87,$E$4:$E87,"?*")=1,$C87,""))</f>
        <v/>
      </c>
      <c r="L87" s="1" t="str">
        <f>IF(OR($C87="",$F87=""),"",IF(COUNTIFS($C$4:$C87,$C87,$F$4:$F87,"&gt;=0")=1,$C87,""))</f>
        <v/>
      </c>
      <c r="M87" s="1" t="str">
        <f>IF(OR($C87="",$D87=""),"",IF(COUNTIFS($C$4:$C87,$C87,$D$4:$D87,"?*")=1,$C87,""))</f>
        <v/>
      </c>
      <c r="N87" s="1" t="str">
        <f>IF($B87="","",IF($C87="","FA"&amp;COUNTIFS($B$4:$B87,"?*",$C$4:$C87,""),""))</f>
        <v/>
      </c>
      <c r="O87" s="1" t="str">
        <f>IF($C87="","",$C87&amp;"@"&amp;COUNTIF($C$4:$C87,$C87))</f>
        <v>transfer@2</v>
      </c>
    </row>
    <row r="88" spans="1:15">
      <c r="A88" s="15">
        <f>IF($B88="","",COUNTIF($B$4:$B88,"?*"))</f>
        <v>85</v>
      </c>
      <c r="B88" s="63" t="s">
        <v>329</v>
      </c>
      <c r="C88" s="80" t="s">
        <v>273</v>
      </c>
      <c r="D88" s="69" t="s">
        <v>2845</v>
      </c>
      <c r="E88" s="68"/>
      <c r="F88" s="69">
        <v>5</v>
      </c>
      <c r="G88" s="68"/>
      <c r="H88" s="68"/>
      <c r="I88" s="41" t="str">
        <f>IF($B88="","",IF(COUNTIF(MASTER!$C$4:$C$1463,$B88)&gt;0,"yes · "&amp;INDEX(MASTER!$B$4:$B$1463,MATCH($B88,MASTER!$C$4:$C$1463,0)),"not matched"))</f>
        <v>yes · FUCT</v>
      </c>
      <c r="J88" s="15">
        <v>7</v>
      </c>
      <c r="K88" s="41" t="str">
        <f>IF(OR($C88="",$E88=""),"",IF(COUNTIFS($C$4:$C88,$C88,$E$4:$E88,"?*")=1,$C88,""))</f>
        <v/>
      </c>
      <c r="L88" s="41" t="str">
        <f>IF(OR($C88="",$F88=""),"",IF(COUNTIFS($C$4:$C88,$C88,$F$4:$F88,"&gt;=0")=1,$C88,""))</f>
        <v>WulfPack</v>
      </c>
      <c r="M88" s="41" t="str">
        <f>IF(OR($C88="",$D88=""),"",IF(COUNTIFS($C$4:$C88,$C88,$D$4:$D88,"?*")=1,$C88,""))</f>
        <v>WulfPack</v>
      </c>
      <c r="N88" s="41" t="str">
        <f>IF($B88="","",IF($C88="","FA"&amp;COUNTIFS($B$4:$B88,"?*",$C$4:$C88,""),""))</f>
        <v/>
      </c>
      <c r="O88" s="41" t="str">
        <f>IF($C88="","",$C88&amp;"@"&amp;COUNTIF($C$4:$C88,$C88))</f>
        <v>WulfPack@1</v>
      </c>
    </row>
    <row r="89" spans="1:15">
      <c r="A89" s="19">
        <f>IF($B89="","",COUNTIF($B$4:$B89,"?*"))</f>
        <v>86</v>
      </c>
      <c r="B89" s="63" t="s">
        <v>334</v>
      </c>
      <c r="C89" s="80" t="s">
        <v>273</v>
      </c>
      <c r="D89" s="69"/>
      <c r="E89" s="68"/>
      <c r="F89" s="69">
        <v>0</v>
      </c>
      <c r="G89" s="68"/>
      <c r="H89" s="68"/>
      <c r="I89" s="1" t="str">
        <f>IF($B89="","",IF(COUNTIF(MASTER!$C$4:$C$1463,$B89)&gt;0,"yes · "&amp;INDEX(MASTER!$B$4:$B$1463,MATCH($B89,MASTER!$C$4:$C$1463,0)),"not matched"))</f>
        <v>not matched</v>
      </c>
      <c r="J89" s="19">
        <f t="shared" si="2"/>
        <v>2</v>
      </c>
      <c r="K89" s="1" t="str">
        <f>IF(OR($C89="",$E89=""),"",IF(COUNTIFS($C$4:$C89,$C89,$E$4:$E89,"?*")=1,$C89,""))</f>
        <v/>
      </c>
      <c r="L89" s="1" t="str">
        <f>IF(OR($C89="",$F89=""),"",IF(COUNTIFS($C$4:$C89,$C89,$F$4:$F89,"&gt;=0")=1,$C89,""))</f>
        <v/>
      </c>
      <c r="M89" s="1" t="str">
        <f>IF(OR($C89="",$D89=""),"",IF(COUNTIFS($C$4:$C89,$C89,$D$4:$D89,"?*")=1,$C89,""))</f>
        <v/>
      </c>
      <c r="N89" s="1" t="str">
        <f>IF($B89="","",IF($C89="","FA"&amp;COUNTIFS($B$4:$B89,"?*",$C$4:$C89,""),""))</f>
        <v/>
      </c>
      <c r="O89" s="1" t="str">
        <f>IF($C89="","",$C89&amp;"@"&amp;COUNTIF($C$4:$C89,$C89))</f>
        <v>WulfPack@2</v>
      </c>
    </row>
    <row r="90" spans="1:15">
      <c r="A90" s="15">
        <f>IF($B90="","",COUNTIF($B$4:$B90,"?*"))</f>
        <v>87</v>
      </c>
      <c r="B90" s="63" t="s">
        <v>391</v>
      </c>
      <c r="C90" s="80" t="s">
        <v>274</v>
      </c>
      <c r="D90" s="69" t="s">
        <v>2857</v>
      </c>
      <c r="E90" s="68" t="s">
        <v>2858</v>
      </c>
      <c r="F90" s="69">
        <v>0</v>
      </c>
      <c r="G90" s="68"/>
      <c r="H90" s="68"/>
      <c r="I90" s="41" t="str">
        <f>IF($B90="","",IF(COUNTIF(MASTER!$C$4:$C$1463,$B90)&gt;0,"yes · "&amp;INDEX(MASTER!$B$4:$B$1463,MATCH($B90,MASTER!$C$4:$C$1463,0)),"not matched"))</f>
        <v>yes · FUCT</v>
      </c>
      <c r="J90" s="15">
        <f t="shared" si="2"/>
        <v>1</v>
      </c>
      <c r="K90" s="41" t="str">
        <f>IF(OR($C90="",$E90=""),"",IF(COUNTIFS($C$4:$C90,$C90,$E$4:$E90,"?*")=1,$C90,""))</f>
        <v>ASSIN&amp;SASSIN</v>
      </c>
      <c r="L90" s="41" t="str">
        <f>IF(OR($C90="",$F90=""),"",IF(COUNTIFS($C$4:$C90,$C90,$F$4:$F90,"&gt;=0")=1,$C90,""))</f>
        <v>ASSIN&amp;SASSIN</v>
      </c>
      <c r="M90" s="41" t="str">
        <f>IF(OR($C90="",$D90=""),"",IF(COUNTIFS($C$4:$C90,$C90,$D$4:$D90,"?*")=1,$C90,""))</f>
        <v>ASSIN&amp;SASSIN</v>
      </c>
      <c r="N90" s="41" t="str">
        <f>IF($B90="","",IF($C90="","FA"&amp;COUNTIFS($B$4:$B90,"?*",$C$4:$C90,""),""))</f>
        <v/>
      </c>
      <c r="O90" s="41" t="str">
        <f>IF($C90="","",$C90&amp;"@"&amp;COUNTIF($C$4:$C90,$C90))</f>
        <v>ASSIN&amp;SASSIN@1</v>
      </c>
    </row>
    <row r="91" spans="1:15">
      <c r="A91" s="19">
        <f>IF($B91="","",COUNTIF($B$4:$B91,"?*"))</f>
        <v>88</v>
      </c>
      <c r="B91" s="63" t="s">
        <v>306</v>
      </c>
      <c r="C91" s="80"/>
      <c r="D91" s="69"/>
      <c r="E91" s="68"/>
      <c r="F91" s="69"/>
      <c r="G91" s="68"/>
      <c r="H91" s="68"/>
      <c r="I91" s="1" t="str">
        <f>IF($B91="","",IF(COUNTIF(MASTER!$C$4:$C$1463,$B91)&gt;0,"yes · "&amp;INDEX(MASTER!$B$4:$B$1463,MATCH($B91,MASTER!$C$4:$C$1463,0)),"not matched"))</f>
        <v>yes · FUCT</v>
      </c>
      <c r="J91" s="19" t="str">
        <f t="shared" si="2"/>
        <v/>
      </c>
      <c r="K91" s="1" t="str">
        <f>IF(OR($C91="",$E91=""),"",IF(COUNTIFS($C$4:$C91,$C91,$E$4:$E91,"?*")=1,$C91,""))</f>
        <v/>
      </c>
      <c r="L91" s="1" t="str">
        <f>IF(OR($C91="",$F91=""),"",IF(COUNTIFS($C$4:$C91,$C91,$F$4:$F91,"&gt;=0")=1,$C91,""))</f>
        <v/>
      </c>
      <c r="M91" s="1" t="str">
        <f>IF(OR($C91="",$D91=""),"",IF(COUNTIFS($C$4:$C91,$C91,$D$4:$D91,"?*")=1,$C91,""))</f>
        <v/>
      </c>
      <c r="N91" s="1" t="str">
        <f>IF($B91="","",IF($C91="","FA"&amp;COUNTIFS($B$4:$B91,"?*",$C$4:$C91,""),""))</f>
        <v>FA1</v>
      </c>
      <c r="O91" s="1" t="str">
        <f>IF($C91="","",$C91&amp;"@"&amp;COUNTIF($C$4:$C91,$C91))</f>
        <v/>
      </c>
    </row>
    <row r="92" spans="1:15">
      <c r="A92" s="15">
        <f>IF($B92="","",COUNTIF($B$4:$B92,"?*"))</f>
        <v>89</v>
      </c>
      <c r="B92" s="63" t="s">
        <v>337</v>
      </c>
      <c r="C92" s="80"/>
      <c r="D92" s="69"/>
      <c r="E92" s="68"/>
      <c r="F92" s="69"/>
      <c r="G92" s="68"/>
      <c r="H92" s="68"/>
      <c r="I92" s="41" t="str">
        <f>IF($B92="","",IF(COUNTIF(MASTER!$C$4:$C$1463,$B92)&gt;0,"yes · "&amp;INDEX(MASTER!$B$4:$B$1463,MATCH($B92,MASTER!$C$4:$C$1463,0)),"not matched"))</f>
        <v>yes · FUCT</v>
      </c>
      <c r="J92" s="15" t="str">
        <f t="shared" si="2"/>
        <v/>
      </c>
      <c r="K92" s="41" t="str">
        <f>IF(OR($C92="",$E92=""),"",IF(COUNTIFS($C$4:$C92,$C92,$E$4:$E92,"?*")=1,$C92,""))</f>
        <v/>
      </c>
      <c r="L92" s="41" t="str">
        <f>IF(OR($C92="",$F92=""),"",IF(COUNTIFS($C$4:$C92,$C92,$F$4:$F92,"&gt;=0")=1,$C92,""))</f>
        <v/>
      </c>
      <c r="M92" s="41" t="str">
        <f>IF(OR($C92="",$D92=""),"",IF(COUNTIFS($C$4:$C92,$C92,$D$4:$D92,"?*")=1,$C92,""))</f>
        <v/>
      </c>
      <c r="N92" s="41" t="str">
        <f>IF($B92="","",IF($C92="","FA"&amp;COUNTIFS($B$4:$B92,"?*",$C$4:$C92,""),""))</f>
        <v>FA2</v>
      </c>
      <c r="O92" s="41" t="str">
        <f>IF($C92="","",$C92&amp;"@"&amp;COUNTIF($C$4:$C92,$C92))</f>
        <v/>
      </c>
    </row>
    <row r="93" spans="1:15">
      <c r="A93" s="19">
        <f>IF($B93="","",COUNTIF($B$4:$B93,"?*"))</f>
        <v>90</v>
      </c>
      <c r="B93" s="63" t="s">
        <v>338</v>
      </c>
      <c r="C93" s="80"/>
      <c r="D93" s="69"/>
      <c r="E93" s="68"/>
      <c r="F93" s="69"/>
      <c r="G93" s="68"/>
      <c r="H93" s="68"/>
      <c r="I93" s="1" t="str">
        <f>IF($B93="","",IF(COUNTIF(MASTER!$C$4:$C$1463,$B93)&gt;0,"yes · "&amp;INDEX(MASTER!$B$4:$B$1463,MATCH($B93,MASTER!$C$4:$C$1463,0)),"not matched"))</f>
        <v>not matched</v>
      </c>
      <c r="J93" s="19" t="str">
        <f t="shared" si="2"/>
        <v/>
      </c>
      <c r="K93" s="1" t="str">
        <f>IF(OR($C93="",$E93=""),"",IF(COUNTIFS($C$4:$C93,$C93,$E$4:$E93,"?*")=1,$C93,""))</f>
        <v/>
      </c>
      <c r="L93" s="1" t="str">
        <f>IF(OR($C93="",$F93=""),"",IF(COUNTIFS($C$4:$C93,$C93,$F$4:$F93,"&gt;=0")=1,$C93,""))</f>
        <v/>
      </c>
      <c r="M93" s="1" t="str">
        <f>IF(OR($C93="",$D93=""),"",IF(COUNTIFS($C$4:$C93,$C93,$D$4:$D93,"?*")=1,$C93,""))</f>
        <v/>
      </c>
      <c r="N93" s="1" t="str">
        <f>IF($B93="","",IF($C93="","FA"&amp;COUNTIFS($B$4:$B93,"?*",$C$4:$C93,""),""))</f>
        <v>FA3</v>
      </c>
      <c r="O93" s="1" t="str">
        <f>IF($C93="","",$C93&amp;"@"&amp;COUNTIF($C$4:$C93,$C93))</f>
        <v/>
      </c>
    </row>
    <row r="94" spans="1:15">
      <c r="A94" s="15">
        <f>IF($B94="","",COUNTIF($B$4:$B94,"?*"))</f>
        <v>91</v>
      </c>
      <c r="B94" s="63" t="s">
        <v>363</v>
      </c>
      <c r="C94" s="80"/>
      <c r="D94" s="69"/>
      <c r="E94" s="68"/>
      <c r="F94" s="69"/>
      <c r="G94" s="68"/>
      <c r="H94" s="68"/>
      <c r="I94" s="41" t="str">
        <f>IF($B94="","",IF(COUNTIF(MASTER!$C$4:$C$1463,$B94)&gt;0,"yes · "&amp;INDEX(MASTER!$B$4:$B$1463,MATCH($B94,MASTER!$C$4:$C$1463,0)),"not matched"))</f>
        <v>not matched</v>
      </c>
      <c r="J94" s="15" t="str">
        <f t="shared" si="2"/>
        <v/>
      </c>
      <c r="K94" s="41" t="str">
        <f>IF(OR($C94="",$E94=""),"",IF(COUNTIFS($C$4:$C94,$C94,$E$4:$E94,"?*")=1,$C94,""))</f>
        <v/>
      </c>
      <c r="L94" s="41" t="str">
        <f>IF(OR($C94="",$F94=""),"",IF(COUNTIFS($C$4:$C94,$C94,$F$4:$F94,"&gt;=0")=1,$C94,""))</f>
        <v/>
      </c>
      <c r="M94" s="41" t="str">
        <f>IF(OR($C94="",$D94=""),"",IF(COUNTIFS($C$4:$C94,$C94,$D$4:$D94,"?*")=1,$C94,""))</f>
        <v/>
      </c>
      <c r="N94" s="41" t="str">
        <f>IF($B94="","",IF($C94="","FA"&amp;COUNTIFS($B$4:$B94,"?*",$C$4:$C94,""),""))</f>
        <v>FA4</v>
      </c>
      <c r="O94" s="41" t="str">
        <f>IF($C94="","",$C94&amp;"@"&amp;COUNTIF($C$4:$C94,$C94))</f>
        <v/>
      </c>
    </row>
    <row r="95" spans="1:15">
      <c r="A95" s="19">
        <f>IF($B95="","",COUNTIF($B$4:$B95,"?*"))</f>
        <v>92</v>
      </c>
      <c r="B95" s="63" t="s">
        <v>375</v>
      </c>
      <c r="C95" s="80"/>
      <c r="D95" s="69"/>
      <c r="E95" s="68"/>
      <c r="F95" s="69"/>
      <c r="G95" s="68"/>
      <c r="H95" s="68"/>
      <c r="I95" s="1" t="str">
        <f>IF($B95="","",IF(COUNTIF(MASTER!$C$4:$C$1463,$B95)&gt;0,"yes · "&amp;INDEX(MASTER!$B$4:$B$1463,MATCH($B95,MASTER!$C$4:$C$1463,0)),"not matched"))</f>
        <v>not matched</v>
      </c>
      <c r="J95" s="19" t="str">
        <f t="shared" si="2"/>
        <v/>
      </c>
      <c r="K95" s="1" t="str">
        <f>IF(OR($C95="",$E95=""),"",IF(COUNTIFS($C$4:$C95,$C95,$E$4:$E95,"?*")=1,$C95,""))</f>
        <v/>
      </c>
      <c r="L95" s="1" t="str">
        <f>IF(OR($C95="",$F95=""),"",IF(COUNTIFS($C$4:$C95,$C95,$F$4:$F95,"&gt;=0")=1,$C95,""))</f>
        <v/>
      </c>
      <c r="M95" s="1" t="str">
        <f>IF(OR($C95="",$D95=""),"",IF(COUNTIFS($C$4:$C95,$C95,$D$4:$D95,"?*")=1,$C95,""))</f>
        <v/>
      </c>
      <c r="N95" s="1" t="str">
        <f>IF($B95="","",IF($C95="","FA"&amp;COUNTIFS($B$4:$B95,"?*",$C$4:$C95,""),""))</f>
        <v>FA5</v>
      </c>
      <c r="O95" s="1" t="str">
        <f>IF($C95="","",$C95&amp;"@"&amp;COUNTIF($C$4:$C95,$C95))</f>
        <v/>
      </c>
    </row>
    <row r="96" spans="1:15">
      <c r="A96" s="15" t="str">
        <f>IF($B96="","",COUNTIF($B$4:$B96,"?*"))</f>
        <v/>
      </c>
      <c r="B96" s="63"/>
      <c r="C96" s="80"/>
      <c r="D96" s="69"/>
      <c r="E96" s="68"/>
      <c r="F96" s="69"/>
      <c r="G96" s="68"/>
      <c r="H96" s="68"/>
      <c r="I96" s="41" t="str">
        <f>IF($B96="","",IF(COUNTIF(MASTER!$C$4:$C$1463,$B96)&gt;0,"yes · "&amp;INDEX(MASTER!$B$4:$B$1463,MATCH($B96,MASTER!$C$4:$C$1463,0)),"not matched"))</f>
        <v/>
      </c>
      <c r="J96" s="15" t="str">
        <f t="shared" si="2"/>
        <v/>
      </c>
      <c r="K96" s="41" t="str">
        <f>IF(OR($C96="",$E96=""),"",IF(COUNTIFS($C$4:$C96,$C96,$E$4:$E96,"?*")=1,$C96,""))</f>
        <v/>
      </c>
      <c r="L96" s="41" t="str">
        <f>IF(OR($C96="",$F96=""),"",IF(COUNTIFS($C$4:$C96,$C96,$F$4:$F96,"&gt;=0")=1,$C96,""))</f>
        <v/>
      </c>
      <c r="M96" s="41" t="str">
        <f>IF(OR($C96="",$D96=""),"",IF(COUNTIFS($C$4:$C96,$C96,$D$4:$D96,"?*")=1,$C96,""))</f>
        <v/>
      </c>
      <c r="N96" s="41" t="str">
        <f>IF($B96="","",IF($C96="","FA"&amp;COUNTIFS($B$4:$B96,"?*",$C$4:$C96,""),""))</f>
        <v/>
      </c>
      <c r="O96" s="41" t="str">
        <f>IF($C96="","",$C96&amp;"@"&amp;COUNTIF($C$4:$C96,$C96))</f>
        <v/>
      </c>
    </row>
    <row r="97" spans="1:15">
      <c r="A97" s="19" t="str">
        <f>IF($B97="","",COUNTIF($B$4:$B97,"?*"))</f>
        <v/>
      </c>
      <c r="B97" s="63"/>
      <c r="C97" s="80"/>
      <c r="D97" s="69"/>
      <c r="E97" s="68"/>
      <c r="F97" s="69"/>
      <c r="G97" s="68"/>
      <c r="H97" s="68"/>
      <c r="I97" s="1" t="str">
        <f>IF($B97="","",IF(COUNTIF(MASTER!$C$4:$C$1463,$B97)&gt;0,"yes · "&amp;INDEX(MASTER!$B$4:$B$1463,MATCH($B97,MASTER!$C$4:$C$1463,0)),"not matched"))</f>
        <v/>
      </c>
      <c r="J97" s="19" t="str">
        <f t="shared" si="2"/>
        <v/>
      </c>
      <c r="K97" s="1" t="str">
        <f>IF(OR($C97="",$E97=""),"",IF(COUNTIFS($C$4:$C97,$C97,$E$4:$E97,"?*")=1,$C97,""))</f>
        <v/>
      </c>
      <c r="L97" s="1" t="str">
        <f>IF(OR($C97="",$F97=""),"",IF(COUNTIFS($C$4:$C97,$C97,$F$4:$F97,"&gt;=0")=1,$C97,""))</f>
        <v/>
      </c>
      <c r="M97" s="1" t="str">
        <f>IF(OR($C97="",$D97=""),"",IF(COUNTIFS($C$4:$C97,$C97,$D$4:$D97,"?*")=1,$C97,""))</f>
        <v/>
      </c>
      <c r="N97" s="1" t="str">
        <f>IF($B97="","",IF($C97="","FA"&amp;COUNTIFS($B$4:$B97,"?*",$C$4:$C97,""),""))</f>
        <v/>
      </c>
      <c r="O97" s="1" t="str">
        <f>IF($C97="","",$C97&amp;"@"&amp;COUNTIF($C$4:$C97,$C97))</f>
        <v/>
      </c>
    </row>
    <row r="98" spans="1:15">
      <c r="A98" s="15" t="str">
        <f>IF($B98="","",COUNTIF($B$4:$B98,"?*"))</f>
        <v/>
      </c>
      <c r="B98" s="63"/>
      <c r="C98" s="80"/>
      <c r="D98" s="69"/>
      <c r="E98" s="68"/>
      <c r="F98" s="69"/>
      <c r="G98" s="68"/>
      <c r="H98" s="68"/>
      <c r="I98" s="41" t="str">
        <f>IF($B98="","",IF(COUNTIF(MASTER!$C$4:$C$1463,$B98)&gt;0,"yes · "&amp;INDEX(MASTER!$B$4:$B$1463,MATCH($B98,MASTER!$C$4:$C$1463,0)),"not matched"))</f>
        <v/>
      </c>
      <c r="J98" s="15" t="str">
        <f t="shared" si="2"/>
        <v/>
      </c>
      <c r="K98" s="41" t="str">
        <f>IF(OR($C98="",$E98=""),"",IF(COUNTIFS($C$4:$C98,$C98,$E$4:$E98,"?*")=1,$C98,""))</f>
        <v/>
      </c>
      <c r="L98" s="41" t="str">
        <f>IF(OR($C98="",$F98=""),"",IF(COUNTIFS($C$4:$C98,$C98,$F$4:$F98,"&gt;=0")=1,$C98,""))</f>
        <v/>
      </c>
      <c r="M98" s="41" t="str">
        <f>IF(OR($C98="",$D98=""),"",IF(COUNTIFS($C$4:$C98,$C98,$D$4:$D98,"?*")=1,$C98,""))</f>
        <v/>
      </c>
      <c r="N98" s="41" t="str">
        <f>IF($B98="","",IF($C98="","FA"&amp;COUNTIFS($B$4:$B98,"?*",$C$4:$C98,""),""))</f>
        <v/>
      </c>
      <c r="O98" s="41" t="str">
        <f>IF($C98="","",$C98&amp;"@"&amp;COUNTIF($C$4:$C98,$C98))</f>
        <v/>
      </c>
    </row>
    <row r="99" spans="1:15">
      <c r="A99" s="19" t="str">
        <f>IF($B99="","",COUNTIF($B$4:$B99,"?*"))</f>
        <v/>
      </c>
      <c r="B99" s="63"/>
      <c r="C99" s="80"/>
      <c r="D99" s="69"/>
      <c r="E99" s="68"/>
      <c r="F99" s="69"/>
      <c r="G99" s="68"/>
      <c r="H99" s="68"/>
      <c r="I99" s="1" t="str">
        <f>IF($B99="","",IF(COUNTIF(MASTER!$C$4:$C$1463,$B99)&gt;0,"yes · "&amp;INDEX(MASTER!$B$4:$B$1463,MATCH($B99,MASTER!$C$4:$C$1463,0)),"not matched"))</f>
        <v/>
      </c>
      <c r="J99" s="19" t="str">
        <f t="shared" si="2"/>
        <v/>
      </c>
      <c r="K99" s="1" t="str">
        <f>IF(OR($C99="",$E99=""),"",IF(COUNTIFS($C$4:$C99,$C99,$E$4:$E99,"?*")=1,$C99,""))</f>
        <v/>
      </c>
      <c r="L99" s="1" t="str">
        <f>IF(OR($C99="",$F99=""),"",IF(COUNTIFS($C$4:$C99,$C99,$F$4:$F99,"&gt;=0")=1,$C99,""))</f>
        <v/>
      </c>
      <c r="M99" s="1" t="str">
        <f>IF(OR($C99="",$D99=""),"",IF(COUNTIFS($C$4:$C99,$C99,$D$4:$D99,"?*")=1,$C99,""))</f>
        <v/>
      </c>
      <c r="N99" s="1" t="str">
        <f>IF($B99="","",IF($C99="","FA"&amp;COUNTIFS($B$4:$B99,"?*",$C$4:$C99,""),""))</f>
        <v/>
      </c>
      <c r="O99" s="1" t="str">
        <f>IF($C99="","",$C99&amp;"@"&amp;COUNTIF($C$4:$C99,$C99))</f>
        <v/>
      </c>
    </row>
    <row r="100" spans="1:15">
      <c r="A100" s="15" t="str">
        <f>IF($B100="","",COUNTIF($B$4:$B100,"?*"))</f>
        <v/>
      </c>
      <c r="B100" s="63"/>
      <c r="C100" s="80"/>
      <c r="D100" s="69"/>
      <c r="E100" s="68"/>
      <c r="F100" s="69"/>
      <c r="G100" s="68"/>
      <c r="H100" s="68"/>
      <c r="I100" s="41" t="str">
        <f>IF($B100="","",IF(COUNTIF(MASTER!$C$4:$C$1463,$B100)&gt;0,"yes · "&amp;INDEX(MASTER!$B$4:$B$1463,MATCH($B100,MASTER!$C$4:$C$1463,0)),"not matched"))</f>
        <v/>
      </c>
      <c r="J100" s="15" t="str">
        <f t="shared" ref="J100:J135" si="3">IF($C100="","",COUNTIF($C$4:$C$135,$C100))</f>
        <v/>
      </c>
      <c r="K100" s="41" t="str">
        <f>IF(OR($C100="",$E100=""),"",IF(COUNTIFS($C$4:$C100,$C100,$E$4:$E100,"?*")=1,$C100,""))</f>
        <v/>
      </c>
      <c r="L100" s="41" t="str">
        <f>IF(OR($C100="",$F100=""),"",IF(COUNTIFS($C$4:$C100,$C100,$F$4:$F100,"&gt;=0")=1,$C100,""))</f>
        <v/>
      </c>
      <c r="M100" s="41" t="str">
        <f>IF(OR($C100="",$D100=""),"",IF(COUNTIFS($C$4:$C100,$C100,$D$4:$D100,"?*")=1,$C100,""))</f>
        <v/>
      </c>
      <c r="N100" s="41" t="str">
        <f>IF($B100="","",IF($C100="","FA"&amp;COUNTIFS($B$4:$B100,"?*",$C$4:$C100,""),""))</f>
        <v/>
      </c>
      <c r="O100" s="41" t="str">
        <f>IF($C100="","",$C100&amp;"@"&amp;COUNTIF($C$4:$C100,$C100))</f>
        <v/>
      </c>
    </row>
    <row r="101" spans="1:15">
      <c r="A101" s="19" t="str">
        <f>IF($B101="","",COUNTIF($B$4:$B101,"?*"))</f>
        <v/>
      </c>
      <c r="B101" s="63"/>
      <c r="C101" s="80"/>
      <c r="D101" s="69"/>
      <c r="E101" s="68"/>
      <c r="F101" s="69"/>
      <c r="G101" s="68"/>
      <c r="H101" s="68"/>
      <c r="I101" s="1" t="str">
        <f>IF($B101="","",IF(COUNTIF(MASTER!$C$4:$C$1463,$B101)&gt;0,"yes · "&amp;INDEX(MASTER!$B$4:$B$1463,MATCH($B101,MASTER!$C$4:$C$1463,0)),"not matched"))</f>
        <v/>
      </c>
      <c r="J101" s="19" t="str">
        <f t="shared" si="3"/>
        <v/>
      </c>
      <c r="K101" s="1" t="str">
        <f>IF(OR($C101="",$E101=""),"",IF(COUNTIFS($C$4:$C101,$C101,$E$4:$E101,"?*")=1,$C101,""))</f>
        <v/>
      </c>
      <c r="L101" s="1" t="str">
        <f>IF(OR($C101="",$F101=""),"",IF(COUNTIFS($C$4:$C101,$C101,$F$4:$F101,"&gt;=0")=1,$C101,""))</f>
        <v/>
      </c>
      <c r="M101" s="1" t="str">
        <f>IF(OR($C101="",$D101=""),"",IF(COUNTIFS($C$4:$C101,$C101,$D$4:$D101,"?*")=1,$C101,""))</f>
        <v/>
      </c>
      <c r="N101" s="1" t="str">
        <f>IF($B101="","",IF($C101="","FA"&amp;COUNTIFS($B$4:$B101,"?*",$C$4:$C101,""),""))</f>
        <v/>
      </c>
      <c r="O101" s="1" t="str">
        <f>IF($C101="","",$C101&amp;"@"&amp;COUNTIF($C$4:$C101,$C101))</f>
        <v/>
      </c>
    </row>
    <row r="102" spans="1:15">
      <c r="A102" s="15" t="str">
        <f>IF($B102="","",COUNTIF($B$4:$B102,"?*"))</f>
        <v/>
      </c>
      <c r="B102" s="63"/>
      <c r="C102" s="80"/>
      <c r="D102" s="69"/>
      <c r="E102" s="68"/>
      <c r="F102" s="69"/>
      <c r="G102" s="68"/>
      <c r="H102" s="68"/>
      <c r="I102" s="41" t="str">
        <f>IF($B102="","",IF(COUNTIF(MASTER!$C$4:$C$1463,$B102)&gt;0,"yes · "&amp;INDEX(MASTER!$B$4:$B$1463,MATCH($B102,MASTER!$C$4:$C$1463,0)),"not matched"))</f>
        <v/>
      </c>
      <c r="J102" s="15" t="str">
        <f t="shared" si="3"/>
        <v/>
      </c>
      <c r="K102" s="41" t="str">
        <f>IF(OR($C102="",$E102=""),"",IF(COUNTIFS($C$4:$C102,$C102,$E$4:$E102,"?*")=1,$C102,""))</f>
        <v/>
      </c>
      <c r="L102" s="41" t="str">
        <f>IF(OR($C102="",$F102=""),"",IF(COUNTIFS($C$4:$C102,$C102,$F$4:$F102,"&gt;=0")=1,$C102,""))</f>
        <v/>
      </c>
      <c r="M102" s="41" t="str">
        <f>IF(OR($C102="",$D102=""),"",IF(COUNTIFS($C$4:$C102,$C102,$D$4:$D102,"?*")=1,$C102,""))</f>
        <v/>
      </c>
      <c r="N102" s="41" t="str">
        <f>IF($B102="","",IF($C102="","FA"&amp;COUNTIFS($B$4:$B102,"?*",$C$4:$C102,""),""))</f>
        <v/>
      </c>
      <c r="O102" s="41" t="str">
        <f>IF($C102="","",$C102&amp;"@"&amp;COUNTIF($C$4:$C102,$C102))</f>
        <v/>
      </c>
    </row>
    <row r="103" spans="1:15">
      <c r="A103" s="19" t="str">
        <f>IF($B103="","",COUNTIF($B$4:$B103,"?*"))</f>
        <v/>
      </c>
      <c r="B103" s="63"/>
      <c r="C103" s="80"/>
      <c r="D103" s="69"/>
      <c r="E103" s="68"/>
      <c r="F103" s="69"/>
      <c r="G103" s="68"/>
      <c r="H103" s="68"/>
      <c r="I103" s="1" t="str">
        <f>IF($B103="","",IF(COUNTIF(MASTER!$C$4:$C$1463,$B103)&gt;0,"yes · "&amp;INDEX(MASTER!$B$4:$B$1463,MATCH($B103,MASTER!$C$4:$C$1463,0)),"not matched"))</f>
        <v/>
      </c>
      <c r="J103" s="19" t="str">
        <f t="shared" si="3"/>
        <v/>
      </c>
      <c r="K103" s="1" t="str">
        <f>IF(OR($C103="",$E103=""),"",IF(COUNTIFS($C$4:$C103,$C103,$E$4:$E103,"?*")=1,$C103,""))</f>
        <v/>
      </c>
      <c r="L103" s="1" t="str">
        <f>IF(OR($C103="",$F103=""),"",IF(COUNTIFS($C$4:$C103,$C103,$F$4:$F103,"&gt;=0")=1,$C103,""))</f>
        <v/>
      </c>
      <c r="M103" s="1" t="str">
        <f>IF(OR($C103="",$D103=""),"",IF(COUNTIFS($C$4:$C103,$C103,$D$4:$D103,"?*")=1,$C103,""))</f>
        <v/>
      </c>
      <c r="N103" s="1" t="str">
        <f>IF($B103="","",IF($C103="","FA"&amp;COUNTIFS($B$4:$B103,"?*",$C$4:$C103,""),""))</f>
        <v/>
      </c>
      <c r="O103" s="1" t="str">
        <f>IF($C103="","",$C103&amp;"@"&amp;COUNTIF($C$4:$C103,$C103))</f>
        <v/>
      </c>
    </row>
    <row r="104" spans="1:15">
      <c r="A104" s="15" t="str">
        <f>IF($B104="","",COUNTIF($B$4:$B104,"?*"))</f>
        <v/>
      </c>
      <c r="B104" s="63"/>
      <c r="C104" s="80"/>
      <c r="D104" s="69"/>
      <c r="E104" s="68"/>
      <c r="F104" s="69"/>
      <c r="G104" s="68"/>
      <c r="H104" s="68"/>
      <c r="I104" s="41" t="str">
        <f>IF($B104="","",IF(COUNTIF(MASTER!$C$4:$C$1463,$B104)&gt;0,"yes · "&amp;INDEX(MASTER!$B$4:$B$1463,MATCH($B104,MASTER!$C$4:$C$1463,0)),"not matched"))</f>
        <v/>
      </c>
      <c r="J104" s="15" t="str">
        <f t="shared" si="3"/>
        <v/>
      </c>
      <c r="K104" s="41" t="str">
        <f>IF(OR($C104="",$E104=""),"",IF(COUNTIFS($C$4:$C104,$C104,$E$4:$E104,"?*")=1,$C104,""))</f>
        <v/>
      </c>
      <c r="L104" s="41" t="str">
        <f>IF(OR($C104="",$F104=""),"",IF(COUNTIFS($C$4:$C104,$C104,$F$4:$F104,"&gt;=0")=1,$C104,""))</f>
        <v/>
      </c>
      <c r="M104" s="41" t="str">
        <f>IF(OR($C104="",$D104=""),"",IF(COUNTIFS($C$4:$C104,$C104,$D$4:$D104,"?*")=1,$C104,""))</f>
        <v/>
      </c>
      <c r="N104" s="41" t="str">
        <f>IF($B104="","",IF($C104="","FA"&amp;COUNTIFS($B$4:$B104,"?*",$C$4:$C104,""),""))</f>
        <v/>
      </c>
      <c r="O104" s="41" t="str">
        <f>IF($C104="","",$C104&amp;"@"&amp;COUNTIF($C$4:$C104,$C104))</f>
        <v/>
      </c>
    </row>
    <row r="105" spans="1:15">
      <c r="A105" s="19" t="str">
        <f>IF($B105="","",COUNTIF($B$4:$B105,"?*"))</f>
        <v/>
      </c>
      <c r="B105" s="63"/>
      <c r="C105" s="80"/>
      <c r="D105" s="69"/>
      <c r="E105" s="68"/>
      <c r="F105" s="69"/>
      <c r="G105" s="68"/>
      <c r="H105" s="68"/>
      <c r="I105" s="1" t="str">
        <f>IF($B105="","",IF(COUNTIF(MASTER!$C$4:$C$1463,$B105)&gt;0,"yes · "&amp;INDEX(MASTER!$B$4:$B$1463,MATCH($B105,MASTER!$C$4:$C$1463,0)),"not matched"))</f>
        <v/>
      </c>
      <c r="J105" s="19" t="str">
        <f t="shared" si="3"/>
        <v/>
      </c>
      <c r="K105" s="1" t="str">
        <f>IF(OR($C105="",$E105=""),"",IF(COUNTIFS($C$4:$C105,$C105,$E$4:$E105,"?*")=1,$C105,""))</f>
        <v/>
      </c>
      <c r="L105" s="1" t="str">
        <f>IF(OR($C105="",$F105=""),"",IF(COUNTIFS($C$4:$C105,$C105,$F$4:$F105,"&gt;=0")=1,$C105,""))</f>
        <v/>
      </c>
      <c r="M105" s="1" t="str">
        <f>IF(OR($C105="",$D105=""),"",IF(COUNTIFS($C$4:$C105,$C105,$D$4:$D105,"?*")=1,$C105,""))</f>
        <v/>
      </c>
      <c r="N105" s="1" t="str">
        <f>IF($B105="","",IF($C105="","FA"&amp;COUNTIFS($B$4:$B105,"?*",$C$4:$C105,""),""))</f>
        <v/>
      </c>
      <c r="O105" s="1" t="str">
        <f>IF($C105="","",$C105&amp;"@"&amp;COUNTIF($C$4:$C105,$C105))</f>
        <v/>
      </c>
    </row>
    <row r="106" spans="1:15">
      <c r="A106" s="15" t="str">
        <f>IF($B106="","",COUNTIF($B$4:$B106,"?*"))</f>
        <v/>
      </c>
      <c r="B106" s="63"/>
      <c r="C106" s="80"/>
      <c r="D106" s="69"/>
      <c r="E106" s="68"/>
      <c r="F106" s="69"/>
      <c r="G106" s="68"/>
      <c r="H106" s="68"/>
      <c r="I106" s="41" t="str">
        <f>IF($B106="","",IF(COUNTIF(MASTER!$C$4:$C$1463,$B106)&gt;0,"yes · "&amp;INDEX(MASTER!$B$4:$B$1463,MATCH($B106,MASTER!$C$4:$C$1463,0)),"not matched"))</f>
        <v/>
      </c>
      <c r="J106" s="15" t="str">
        <f t="shared" si="3"/>
        <v/>
      </c>
      <c r="K106" s="41" t="str">
        <f>IF(OR($C106="",$E106=""),"",IF(COUNTIFS($C$4:$C106,$C106,$E$4:$E106,"?*")=1,$C106,""))</f>
        <v/>
      </c>
      <c r="L106" s="41" t="str">
        <f>IF(OR($C106="",$F106=""),"",IF(COUNTIFS($C$4:$C106,$C106,$F$4:$F106,"&gt;=0")=1,$C106,""))</f>
        <v/>
      </c>
      <c r="M106" s="41" t="str">
        <f>IF(OR($C106="",$D106=""),"",IF(COUNTIFS($C$4:$C106,$C106,$D$4:$D106,"?*")=1,$C106,""))</f>
        <v/>
      </c>
      <c r="N106" s="41" t="str">
        <f>IF($B106="","",IF($C106="","FA"&amp;COUNTIFS($B$4:$B106,"?*",$C$4:$C106,""),""))</f>
        <v/>
      </c>
      <c r="O106" s="41" t="str">
        <f>IF($C106="","",$C106&amp;"@"&amp;COUNTIF($C$4:$C106,$C106))</f>
        <v/>
      </c>
    </row>
    <row r="107" spans="1:15">
      <c r="A107" s="19" t="str">
        <f>IF($B107="","",COUNTIF($B$4:$B107,"?*"))</f>
        <v/>
      </c>
      <c r="B107" s="63"/>
      <c r="C107" s="80"/>
      <c r="D107" s="69"/>
      <c r="E107" s="68"/>
      <c r="F107" s="69"/>
      <c r="G107" s="68"/>
      <c r="H107" s="68"/>
      <c r="I107" s="1" t="str">
        <f>IF($B107="","",IF(COUNTIF(MASTER!$C$4:$C$1463,$B107)&gt;0,"yes · "&amp;INDEX(MASTER!$B$4:$B$1463,MATCH($B107,MASTER!$C$4:$C$1463,0)),"not matched"))</f>
        <v/>
      </c>
      <c r="J107" s="19" t="str">
        <f t="shared" si="3"/>
        <v/>
      </c>
      <c r="K107" s="1" t="str">
        <f>IF(OR($C107="",$E107=""),"",IF(COUNTIFS($C$4:$C107,$C107,$E$4:$E107,"?*")=1,$C107,""))</f>
        <v/>
      </c>
      <c r="L107" s="1" t="str">
        <f>IF(OR($C107="",$F107=""),"",IF(COUNTIFS($C$4:$C107,$C107,$F$4:$F107,"&gt;=0")=1,$C107,""))</f>
        <v/>
      </c>
      <c r="M107" s="1" t="str">
        <f>IF(OR($C107="",$D107=""),"",IF(COUNTIFS($C$4:$C107,$C107,$D$4:$D107,"?*")=1,$C107,""))</f>
        <v/>
      </c>
      <c r="N107" s="1" t="str">
        <f>IF($B107="","",IF($C107="","FA"&amp;COUNTIFS($B$4:$B107,"?*",$C$4:$C107,""),""))</f>
        <v/>
      </c>
      <c r="O107" s="1" t="str">
        <f>IF($C107="","",$C107&amp;"@"&amp;COUNTIF($C$4:$C107,$C107))</f>
        <v/>
      </c>
    </row>
    <row r="108" spans="1:15">
      <c r="A108" s="15" t="str">
        <f>IF($B108="","",COUNTIF($B$4:$B108,"?*"))</f>
        <v/>
      </c>
      <c r="B108" s="63"/>
      <c r="C108" s="80"/>
      <c r="D108" s="69"/>
      <c r="E108" s="68"/>
      <c r="F108" s="69"/>
      <c r="G108" s="68"/>
      <c r="H108" s="68"/>
      <c r="I108" s="41" t="str">
        <f>IF($B108="","",IF(COUNTIF(MASTER!$C$4:$C$1463,$B108)&gt;0,"yes · "&amp;INDEX(MASTER!$B$4:$B$1463,MATCH($B108,MASTER!$C$4:$C$1463,0)),"not matched"))</f>
        <v/>
      </c>
      <c r="J108" s="15" t="str">
        <f t="shared" si="3"/>
        <v/>
      </c>
      <c r="K108" s="41" t="str">
        <f>IF(OR($C108="",$E108=""),"",IF(COUNTIFS($C$4:$C108,$C108,$E$4:$E108,"?*")=1,$C108,""))</f>
        <v/>
      </c>
      <c r="L108" s="41" t="str">
        <f>IF(OR($C108="",$F108=""),"",IF(COUNTIFS($C$4:$C108,$C108,$F$4:$F108,"&gt;=0")=1,$C108,""))</f>
        <v/>
      </c>
      <c r="M108" s="41" t="str">
        <f>IF(OR($C108="",$D108=""),"",IF(COUNTIFS($C$4:$C108,$C108,$D$4:$D108,"?*")=1,$C108,""))</f>
        <v/>
      </c>
      <c r="N108" s="41" t="str">
        <f>IF($B108="","",IF($C108="","FA"&amp;COUNTIFS($B$4:$B108,"?*",$C$4:$C108,""),""))</f>
        <v/>
      </c>
      <c r="O108" s="41" t="str">
        <f>IF($C108="","",$C108&amp;"@"&amp;COUNTIF($C$4:$C108,$C108))</f>
        <v/>
      </c>
    </row>
    <row r="109" spans="1:15">
      <c r="A109" s="19" t="str">
        <f>IF($B109="","",COUNTIF($B$4:$B109,"?*"))</f>
        <v/>
      </c>
      <c r="B109" s="63"/>
      <c r="C109" s="80"/>
      <c r="D109" s="69"/>
      <c r="E109" s="68"/>
      <c r="F109" s="69"/>
      <c r="G109" s="68"/>
      <c r="H109" s="68"/>
      <c r="I109" s="1" t="str">
        <f>IF($B109="","",IF(COUNTIF(MASTER!$C$4:$C$1463,$B109)&gt;0,"yes · "&amp;INDEX(MASTER!$B$4:$B$1463,MATCH($B109,MASTER!$C$4:$C$1463,0)),"not matched"))</f>
        <v/>
      </c>
      <c r="J109" s="19" t="str">
        <f t="shared" si="3"/>
        <v/>
      </c>
      <c r="K109" s="1" t="str">
        <f>IF(OR($C109="",$E109=""),"",IF(COUNTIFS($C$4:$C109,$C109,$E$4:$E109,"?*")=1,$C109,""))</f>
        <v/>
      </c>
      <c r="L109" s="1" t="str">
        <f>IF(OR($C109="",$F109=""),"",IF(COUNTIFS($C$4:$C109,$C109,$F$4:$F109,"&gt;=0")=1,$C109,""))</f>
        <v/>
      </c>
      <c r="M109" s="1" t="str">
        <f>IF(OR($C109="",$D109=""),"",IF(COUNTIFS($C$4:$C109,$C109,$D$4:$D109,"?*")=1,$C109,""))</f>
        <v/>
      </c>
      <c r="N109" s="1" t="str">
        <f>IF($B109="","",IF($C109="","FA"&amp;COUNTIFS($B$4:$B109,"?*",$C$4:$C109,""),""))</f>
        <v/>
      </c>
      <c r="O109" s="1" t="str">
        <f>IF($C109="","",$C109&amp;"@"&amp;COUNTIF($C$4:$C109,$C109))</f>
        <v/>
      </c>
    </row>
    <row r="110" spans="1:15">
      <c r="A110" s="15" t="str">
        <f>IF($B110="","",COUNTIF($B$4:$B110,"?*"))</f>
        <v/>
      </c>
      <c r="B110" s="63"/>
      <c r="C110" s="80"/>
      <c r="D110" s="69"/>
      <c r="E110" s="68"/>
      <c r="F110" s="69"/>
      <c r="G110" s="68"/>
      <c r="H110" s="68"/>
      <c r="I110" s="41" t="str">
        <f>IF($B110="","",IF(COUNTIF(MASTER!$C$4:$C$1463,$B110)&gt;0,"yes · "&amp;INDEX(MASTER!$B$4:$B$1463,MATCH($B110,MASTER!$C$4:$C$1463,0)),"not matched"))</f>
        <v/>
      </c>
      <c r="J110" s="15" t="str">
        <f t="shared" si="3"/>
        <v/>
      </c>
      <c r="K110" s="41" t="str">
        <f>IF(OR($C110="",$E110=""),"",IF(COUNTIFS($C$4:$C110,$C110,$E$4:$E110,"?*")=1,$C110,""))</f>
        <v/>
      </c>
      <c r="L110" s="41" t="str">
        <f>IF(OR($C110="",$F110=""),"",IF(COUNTIFS($C$4:$C110,$C110,$F$4:$F110,"&gt;=0")=1,$C110,""))</f>
        <v/>
      </c>
      <c r="M110" s="41" t="str">
        <f>IF(OR($C110="",$D110=""),"",IF(COUNTIFS($C$4:$C110,$C110,$D$4:$D110,"?*")=1,$C110,""))</f>
        <v/>
      </c>
      <c r="N110" s="41" t="str">
        <f>IF($B110="","",IF($C110="","FA"&amp;COUNTIFS($B$4:$B110,"?*",$C$4:$C110,""),""))</f>
        <v/>
      </c>
      <c r="O110" s="41" t="str">
        <f>IF($C110="","",$C110&amp;"@"&amp;COUNTIF($C$4:$C110,$C110))</f>
        <v/>
      </c>
    </row>
    <row r="111" spans="1:15">
      <c r="A111" s="19" t="str">
        <f>IF($B111="","",COUNTIF($B$4:$B111,"?*"))</f>
        <v/>
      </c>
      <c r="B111" s="63"/>
      <c r="C111" s="80"/>
      <c r="D111" s="69"/>
      <c r="E111" s="68"/>
      <c r="F111" s="69"/>
      <c r="G111" s="68"/>
      <c r="H111" s="68"/>
      <c r="I111" s="1" t="str">
        <f>IF($B111="","",IF(COUNTIF(MASTER!$C$4:$C$1463,$B111)&gt;0,"yes · "&amp;INDEX(MASTER!$B$4:$B$1463,MATCH($B111,MASTER!$C$4:$C$1463,0)),"not matched"))</f>
        <v/>
      </c>
      <c r="J111" s="19" t="str">
        <f t="shared" si="3"/>
        <v/>
      </c>
      <c r="K111" s="1" t="str">
        <f>IF(OR($C111="",$E111=""),"",IF(COUNTIFS($C$4:$C111,$C111,$E$4:$E111,"?*")=1,$C111,""))</f>
        <v/>
      </c>
      <c r="L111" s="1" t="str">
        <f>IF(OR($C111="",$F111=""),"",IF(COUNTIFS($C$4:$C111,$C111,$F$4:$F111,"&gt;=0")=1,$C111,""))</f>
        <v/>
      </c>
      <c r="M111" s="1" t="str">
        <f>IF(OR($C111="",$D111=""),"",IF(COUNTIFS($C$4:$C111,$C111,$D$4:$D111,"?*")=1,$C111,""))</f>
        <v/>
      </c>
      <c r="N111" s="1" t="str">
        <f>IF($B111="","",IF($C111="","FA"&amp;COUNTIFS($B$4:$B111,"?*",$C$4:$C111,""),""))</f>
        <v/>
      </c>
      <c r="O111" s="1" t="str">
        <f>IF($C111="","",$C111&amp;"@"&amp;COUNTIF($C$4:$C111,$C111))</f>
        <v/>
      </c>
    </row>
    <row r="112" spans="1:15">
      <c r="A112" s="15" t="str">
        <f>IF($B112="","",COUNTIF($B$4:$B112,"?*"))</f>
        <v/>
      </c>
      <c r="B112" s="63"/>
      <c r="C112" s="80"/>
      <c r="D112" s="69"/>
      <c r="E112" s="68"/>
      <c r="F112" s="69"/>
      <c r="G112" s="68"/>
      <c r="H112" s="68"/>
      <c r="I112" s="41" t="str">
        <f>IF($B112="","",IF(COUNTIF(MASTER!$C$4:$C$1463,$B112)&gt;0,"yes · "&amp;INDEX(MASTER!$B$4:$B$1463,MATCH($B112,MASTER!$C$4:$C$1463,0)),"not matched"))</f>
        <v/>
      </c>
      <c r="J112" s="15" t="str">
        <f t="shared" si="3"/>
        <v/>
      </c>
      <c r="K112" s="41" t="str">
        <f>IF(OR($C112="",$E112=""),"",IF(COUNTIFS($C$4:$C112,$C112,$E$4:$E112,"?*")=1,$C112,""))</f>
        <v/>
      </c>
      <c r="L112" s="41" t="str">
        <f>IF(OR($C112="",$F112=""),"",IF(COUNTIFS($C$4:$C112,$C112,$F$4:$F112,"&gt;=0")=1,$C112,""))</f>
        <v/>
      </c>
      <c r="M112" s="41" t="str">
        <f>IF(OR($C112="",$D112=""),"",IF(COUNTIFS($C$4:$C112,$C112,$D$4:$D112,"?*")=1,$C112,""))</f>
        <v/>
      </c>
      <c r="N112" s="41" t="str">
        <f>IF($B112="","",IF($C112="","FA"&amp;COUNTIFS($B$4:$B112,"?*",$C$4:$C112,""),""))</f>
        <v/>
      </c>
      <c r="O112" s="41" t="str">
        <f>IF($C112="","",$C112&amp;"@"&amp;COUNTIF($C$4:$C112,$C112))</f>
        <v/>
      </c>
    </row>
    <row r="113" spans="1:15">
      <c r="A113" s="19" t="str">
        <f>IF($B113="","",COUNTIF($B$4:$B113,"?*"))</f>
        <v/>
      </c>
      <c r="B113" s="63"/>
      <c r="C113" s="80"/>
      <c r="D113" s="69"/>
      <c r="E113" s="68"/>
      <c r="F113" s="69"/>
      <c r="G113" s="68"/>
      <c r="H113" s="68"/>
      <c r="I113" s="1" t="str">
        <f>IF($B113="","",IF(COUNTIF(MASTER!$C$4:$C$1463,$B113)&gt;0,"yes · "&amp;INDEX(MASTER!$B$4:$B$1463,MATCH($B113,MASTER!$C$4:$C$1463,0)),"not matched"))</f>
        <v/>
      </c>
      <c r="J113" s="19" t="str">
        <f t="shared" si="3"/>
        <v/>
      </c>
      <c r="K113" s="1" t="str">
        <f>IF(OR($C113="",$E113=""),"",IF(COUNTIFS($C$4:$C113,$C113,$E$4:$E113,"?*")=1,$C113,""))</f>
        <v/>
      </c>
      <c r="L113" s="1" t="str">
        <f>IF(OR($C113="",$F113=""),"",IF(COUNTIFS($C$4:$C113,$C113,$F$4:$F113,"&gt;=0")=1,$C113,""))</f>
        <v/>
      </c>
      <c r="M113" s="1" t="str">
        <f>IF(OR($C113="",$D113=""),"",IF(COUNTIFS($C$4:$C113,$C113,$D$4:$D113,"?*")=1,$C113,""))</f>
        <v/>
      </c>
      <c r="N113" s="1" t="str">
        <f>IF($B113="","",IF($C113="","FA"&amp;COUNTIFS($B$4:$B113,"?*",$C$4:$C113,""),""))</f>
        <v/>
      </c>
      <c r="O113" s="1" t="str">
        <f>IF($C113="","",$C113&amp;"@"&amp;COUNTIF($C$4:$C113,$C113))</f>
        <v/>
      </c>
    </row>
    <row r="114" spans="1:15">
      <c r="A114" s="15" t="str">
        <f>IF($B114="","",COUNTIF($B$4:$B114,"?*"))</f>
        <v/>
      </c>
      <c r="B114" s="63"/>
      <c r="C114" s="80"/>
      <c r="D114" s="69"/>
      <c r="E114" s="68"/>
      <c r="F114" s="69"/>
      <c r="G114" s="68"/>
      <c r="H114" s="68"/>
      <c r="I114" s="41" t="str">
        <f>IF($B114="","",IF(COUNTIF(MASTER!$C$4:$C$1463,$B114)&gt;0,"yes · "&amp;INDEX(MASTER!$B$4:$B$1463,MATCH($B114,MASTER!$C$4:$C$1463,0)),"not matched"))</f>
        <v/>
      </c>
      <c r="J114" s="15" t="str">
        <f t="shared" si="3"/>
        <v/>
      </c>
      <c r="K114" s="41" t="str">
        <f>IF(OR($C114="",$E114=""),"",IF(COUNTIFS($C$4:$C114,$C114,$E$4:$E114,"?*")=1,$C114,""))</f>
        <v/>
      </c>
      <c r="L114" s="41" t="str">
        <f>IF(OR($C114="",$F114=""),"",IF(COUNTIFS($C$4:$C114,$C114,$F$4:$F114,"&gt;=0")=1,$C114,""))</f>
        <v/>
      </c>
      <c r="M114" s="41" t="str">
        <f>IF(OR($C114="",$D114=""),"",IF(COUNTIFS($C$4:$C114,$C114,$D$4:$D114,"?*")=1,$C114,""))</f>
        <v/>
      </c>
      <c r="N114" s="41" t="str">
        <f>IF($B114="","",IF($C114="","FA"&amp;COUNTIFS($B$4:$B114,"?*",$C$4:$C114,""),""))</f>
        <v/>
      </c>
      <c r="O114" s="41" t="str">
        <f>IF($C114="","",$C114&amp;"@"&amp;COUNTIF($C$4:$C114,$C114))</f>
        <v/>
      </c>
    </row>
    <row r="115" spans="1:15">
      <c r="A115" s="19" t="str">
        <f>IF($B115="","",COUNTIF($B$4:$B115,"?*"))</f>
        <v/>
      </c>
      <c r="B115" s="63"/>
      <c r="C115" s="80"/>
      <c r="D115" s="69"/>
      <c r="E115" s="68"/>
      <c r="F115" s="69"/>
      <c r="G115" s="68"/>
      <c r="H115" s="68"/>
      <c r="I115" s="1" t="str">
        <f>IF($B115="","",IF(COUNTIF(MASTER!$C$4:$C$1463,$B115)&gt;0,"yes · "&amp;INDEX(MASTER!$B$4:$B$1463,MATCH($B115,MASTER!$C$4:$C$1463,0)),"not matched"))</f>
        <v/>
      </c>
      <c r="J115" s="19" t="str">
        <f t="shared" si="3"/>
        <v/>
      </c>
      <c r="K115" s="1" t="str">
        <f>IF(OR($C115="",$E115=""),"",IF(COUNTIFS($C$4:$C115,$C115,$E$4:$E115,"?*")=1,$C115,""))</f>
        <v/>
      </c>
      <c r="L115" s="1" t="str">
        <f>IF(OR($C115="",$F115=""),"",IF(COUNTIFS($C$4:$C115,$C115,$F$4:$F115,"&gt;=0")=1,$C115,""))</f>
        <v/>
      </c>
      <c r="M115" s="1" t="str">
        <f>IF(OR($C115="",$D115=""),"",IF(COUNTIFS($C$4:$C115,$C115,$D$4:$D115,"?*")=1,$C115,""))</f>
        <v/>
      </c>
      <c r="N115" s="1" t="str">
        <f>IF($B115="","",IF($C115="","FA"&amp;COUNTIFS($B$4:$B115,"?*",$C$4:$C115,""),""))</f>
        <v/>
      </c>
      <c r="O115" s="1" t="str">
        <f>IF($C115="","",$C115&amp;"@"&amp;COUNTIF($C$4:$C115,$C115))</f>
        <v/>
      </c>
    </row>
    <row r="116" spans="1:15">
      <c r="A116" s="15" t="str">
        <f>IF($B116="","",COUNTIF($B$4:$B116,"?*"))</f>
        <v/>
      </c>
      <c r="B116" s="63"/>
      <c r="C116" s="80"/>
      <c r="D116" s="69"/>
      <c r="E116" s="68"/>
      <c r="F116" s="69"/>
      <c r="G116" s="68"/>
      <c r="H116" s="68"/>
      <c r="I116" s="41" t="str">
        <f>IF($B116="","",IF(COUNTIF(MASTER!$C$4:$C$1463,$B116)&gt;0,"yes · "&amp;INDEX(MASTER!$B$4:$B$1463,MATCH($B116,MASTER!$C$4:$C$1463,0)),"not matched"))</f>
        <v/>
      </c>
      <c r="J116" s="15" t="str">
        <f t="shared" si="3"/>
        <v/>
      </c>
      <c r="K116" s="41" t="str">
        <f>IF(OR($C116="",$E116=""),"",IF(COUNTIFS($C$4:$C116,$C116,$E$4:$E116,"?*")=1,$C116,""))</f>
        <v/>
      </c>
      <c r="L116" s="41" t="str">
        <f>IF(OR($C116="",$F116=""),"",IF(COUNTIFS($C$4:$C116,$C116,$F$4:$F116,"&gt;=0")=1,$C116,""))</f>
        <v/>
      </c>
      <c r="M116" s="41" t="str">
        <f>IF(OR($C116="",$D116=""),"",IF(COUNTIFS($C$4:$C116,$C116,$D$4:$D116,"?*")=1,$C116,""))</f>
        <v/>
      </c>
      <c r="N116" s="41" t="str">
        <f>IF($B116="","",IF($C116="","FA"&amp;COUNTIFS($B$4:$B116,"?*",$C$4:$C116,""),""))</f>
        <v/>
      </c>
      <c r="O116" s="41" t="str">
        <f>IF($C116="","",$C116&amp;"@"&amp;COUNTIF($C$4:$C116,$C116))</f>
        <v/>
      </c>
    </row>
    <row r="117" spans="1:15">
      <c r="A117" s="19" t="str">
        <f>IF($B117="","",COUNTIF($B$4:$B117,"?*"))</f>
        <v/>
      </c>
      <c r="B117" s="63"/>
      <c r="C117" s="80"/>
      <c r="D117" s="69"/>
      <c r="E117" s="68"/>
      <c r="F117" s="69"/>
      <c r="G117" s="68"/>
      <c r="H117" s="68"/>
      <c r="I117" s="1" t="str">
        <f>IF($B117="","",IF(COUNTIF(MASTER!$C$4:$C$1463,$B117)&gt;0,"yes · "&amp;INDEX(MASTER!$B$4:$B$1463,MATCH($B117,MASTER!$C$4:$C$1463,0)),"not matched"))</f>
        <v/>
      </c>
      <c r="J117" s="19" t="str">
        <f t="shared" si="3"/>
        <v/>
      </c>
      <c r="K117" s="1" t="str">
        <f>IF(OR($C117="",$E117=""),"",IF(COUNTIFS($C$4:$C117,$C117,$E$4:$E117,"?*")=1,$C117,""))</f>
        <v/>
      </c>
      <c r="L117" s="1" t="str">
        <f>IF(OR($C117="",$F117=""),"",IF(COUNTIFS($C$4:$C117,$C117,$F$4:$F117,"&gt;=0")=1,$C117,""))</f>
        <v/>
      </c>
      <c r="M117" s="1" t="str">
        <f>IF(OR($C117="",$D117=""),"",IF(COUNTIFS($C$4:$C117,$C117,$D$4:$D117,"?*")=1,$C117,""))</f>
        <v/>
      </c>
      <c r="N117" s="1" t="str">
        <f>IF($B117="","",IF($C117="","FA"&amp;COUNTIFS($B$4:$B117,"?*",$C$4:$C117,""),""))</f>
        <v/>
      </c>
      <c r="O117" s="1" t="str">
        <f>IF($C117="","",$C117&amp;"@"&amp;COUNTIF($C$4:$C117,$C117))</f>
        <v/>
      </c>
    </row>
    <row r="118" spans="1:15">
      <c r="A118" s="15" t="str">
        <f>IF($B118="","",COUNTIF($B$4:$B118,"?*"))</f>
        <v/>
      </c>
      <c r="B118" s="63"/>
      <c r="C118" s="80"/>
      <c r="D118" s="69"/>
      <c r="E118" s="68"/>
      <c r="F118" s="69"/>
      <c r="G118" s="68"/>
      <c r="H118" s="68"/>
      <c r="I118" s="41" t="str">
        <f>IF($B118="","",IF(COUNTIF(MASTER!$C$4:$C$1463,$B118)&gt;0,"yes · "&amp;INDEX(MASTER!$B$4:$B$1463,MATCH($B118,MASTER!$C$4:$C$1463,0)),"not matched"))</f>
        <v/>
      </c>
      <c r="J118" s="15" t="str">
        <f t="shared" si="3"/>
        <v/>
      </c>
      <c r="K118" s="41" t="str">
        <f>IF(OR($C118="",$E118=""),"",IF(COUNTIFS($C$4:$C118,$C118,$E$4:$E118,"?*")=1,$C118,""))</f>
        <v/>
      </c>
      <c r="L118" s="41" t="str">
        <f>IF(OR($C118="",$F118=""),"",IF(COUNTIFS($C$4:$C118,$C118,$F$4:$F118,"&gt;=0")=1,$C118,""))</f>
        <v/>
      </c>
      <c r="M118" s="41" t="str">
        <f>IF(OR($C118="",$D118=""),"",IF(COUNTIFS($C$4:$C118,$C118,$D$4:$D118,"?*")=1,$C118,""))</f>
        <v/>
      </c>
      <c r="N118" s="41" t="str">
        <f>IF($B118="","",IF($C118="","FA"&amp;COUNTIFS($B$4:$B118,"?*",$C$4:$C118,""),""))</f>
        <v/>
      </c>
      <c r="O118" s="41" t="str">
        <f>IF($C118="","",$C118&amp;"@"&amp;COUNTIF($C$4:$C118,$C118))</f>
        <v/>
      </c>
    </row>
    <row r="119" spans="1:15">
      <c r="A119" s="19" t="str">
        <f>IF($B119="","",COUNTIF($B$4:$B119,"?*"))</f>
        <v/>
      </c>
      <c r="B119" s="63"/>
      <c r="C119" s="80"/>
      <c r="D119" s="69"/>
      <c r="E119" s="68"/>
      <c r="F119" s="69"/>
      <c r="G119" s="68"/>
      <c r="H119" s="68"/>
      <c r="I119" s="1" t="str">
        <f>IF($B119="","",IF(COUNTIF(MASTER!$C$4:$C$1463,$B119)&gt;0,"yes · "&amp;INDEX(MASTER!$B$4:$B$1463,MATCH($B119,MASTER!$C$4:$C$1463,0)),"not matched"))</f>
        <v/>
      </c>
      <c r="J119" s="19" t="str">
        <f t="shared" si="3"/>
        <v/>
      </c>
      <c r="K119" s="1" t="str">
        <f>IF(OR($C119="",$E119=""),"",IF(COUNTIFS($C$4:$C119,$C119,$E$4:$E119,"?*")=1,$C119,""))</f>
        <v/>
      </c>
      <c r="L119" s="1" t="str">
        <f>IF(OR($C119="",$F119=""),"",IF(COUNTIFS($C$4:$C119,$C119,$F$4:$F119,"&gt;=0")=1,$C119,""))</f>
        <v/>
      </c>
      <c r="M119" s="1" t="str">
        <f>IF(OR($C119="",$D119=""),"",IF(COUNTIFS($C$4:$C119,$C119,$D$4:$D119,"?*")=1,$C119,""))</f>
        <v/>
      </c>
      <c r="N119" s="1" t="str">
        <f>IF($B119="","",IF($C119="","FA"&amp;COUNTIFS($B$4:$B119,"?*",$C$4:$C119,""),""))</f>
        <v/>
      </c>
      <c r="O119" s="1" t="str">
        <f>IF($C119="","",$C119&amp;"@"&amp;COUNTIF($C$4:$C119,$C119))</f>
        <v/>
      </c>
    </row>
    <row r="120" spans="1:15">
      <c r="A120" s="15" t="str">
        <f>IF($B120="","",COUNTIF($B$4:$B120,"?*"))</f>
        <v/>
      </c>
      <c r="B120" s="63"/>
      <c r="C120" s="80"/>
      <c r="D120" s="69"/>
      <c r="E120" s="68"/>
      <c r="F120" s="69"/>
      <c r="G120" s="68"/>
      <c r="H120" s="68"/>
      <c r="I120" s="41" t="str">
        <f>IF($B120="","",IF(COUNTIF(MASTER!$C$4:$C$1463,$B120)&gt;0,"yes · "&amp;INDEX(MASTER!$B$4:$B$1463,MATCH($B120,MASTER!$C$4:$C$1463,0)),"not matched"))</f>
        <v/>
      </c>
      <c r="J120" s="15" t="str">
        <f t="shared" si="3"/>
        <v/>
      </c>
      <c r="K120" s="41" t="str">
        <f>IF(OR($C120="",$E120=""),"",IF(COUNTIFS($C$4:$C120,$C120,$E$4:$E120,"?*")=1,$C120,""))</f>
        <v/>
      </c>
      <c r="L120" s="41" t="str">
        <f>IF(OR($C120="",$F120=""),"",IF(COUNTIFS($C$4:$C120,$C120,$F$4:$F120,"&gt;=0")=1,$C120,""))</f>
        <v/>
      </c>
      <c r="M120" s="41" t="str">
        <f>IF(OR($C120="",$D120=""),"",IF(COUNTIFS($C$4:$C120,$C120,$D$4:$D120,"?*")=1,$C120,""))</f>
        <v/>
      </c>
      <c r="N120" s="41" t="str">
        <f>IF($B120="","",IF($C120="","FA"&amp;COUNTIFS($B$4:$B120,"?*",$C$4:$C120,""),""))</f>
        <v/>
      </c>
      <c r="O120" s="41" t="str">
        <f>IF($C120="","",$C120&amp;"@"&amp;COUNTIF($C$4:$C120,$C120))</f>
        <v/>
      </c>
    </row>
    <row r="121" spans="1:15">
      <c r="A121" s="19" t="str">
        <f>IF($B121="","",COUNTIF($B$4:$B121,"?*"))</f>
        <v/>
      </c>
      <c r="B121" s="63"/>
      <c r="C121" s="80"/>
      <c r="D121" s="69"/>
      <c r="E121" s="68"/>
      <c r="F121" s="69"/>
      <c r="G121" s="68"/>
      <c r="H121" s="68"/>
      <c r="I121" s="1" t="str">
        <f>IF($B121="","",IF(COUNTIF(MASTER!$C$4:$C$1463,$B121)&gt;0,"yes · "&amp;INDEX(MASTER!$B$4:$B$1463,MATCH($B121,MASTER!$C$4:$C$1463,0)),"not matched"))</f>
        <v/>
      </c>
      <c r="J121" s="19" t="str">
        <f t="shared" si="3"/>
        <v/>
      </c>
      <c r="K121" s="1" t="str">
        <f>IF(OR($C121="",$E121=""),"",IF(COUNTIFS($C$4:$C121,$C121,$E$4:$E121,"?*")=1,$C121,""))</f>
        <v/>
      </c>
      <c r="L121" s="1" t="str">
        <f>IF(OR($C121="",$F121=""),"",IF(COUNTIFS($C$4:$C121,$C121,$F$4:$F121,"&gt;=0")=1,$C121,""))</f>
        <v/>
      </c>
      <c r="M121" s="1" t="str">
        <f>IF(OR($C121="",$D121=""),"",IF(COUNTIFS($C$4:$C121,$C121,$D$4:$D121,"?*")=1,$C121,""))</f>
        <v/>
      </c>
      <c r="N121" s="1" t="str">
        <f>IF($B121="","",IF($C121="","FA"&amp;COUNTIFS($B$4:$B121,"?*",$C$4:$C121,""),""))</f>
        <v/>
      </c>
      <c r="O121" s="1" t="str">
        <f>IF($C121="","",$C121&amp;"@"&amp;COUNTIF($C$4:$C121,$C121))</f>
        <v/>
      </c>
    </row>
    <row r="122" spans="1:15">
      <c r="A122" s="15" t="str">
        <f>IF($B122="","",COUNTIF($B$4:$B122,"?*"))</f>
        <v/>
      </c>
      <c r="B122" s="63"/>
      <c r="C122" s="80"/>
      <c r="D122" s="69"/>
      <c r="E122" s="68"/>
      <c r="F122" s="69"/>
      <c r="G122" s="68"/>
      <c r="H122" s="68"/>
      <c r="I122" s="41" t="str">
        <f>IF($B122="","",IF(COUNTIF(MASTER!$C$4:$C$1463,$B122)&gt;0,"yes · "&amp;INDEX(MASTER!$B$4:$B$1463,MATCH($B122,MASTER!$C$4:$C$1463,0)),"not matched"))</f>
        <v/>
      </c>
      <c r="J122" s="15" t="str">
        <f t="shared" si="3"/>
        <v/>
      </c>
      <c r="K122" s="41" t="str">
        <f>IF(OR($C122="",$E122=""),"",IF(COUNTIFS($C$4:$C122,$C122,$E$4:$E122,"?*")=1,$C122,""))</f>
        <v/>
      </c>
      <c r="L122" s="41" t="str">
        <f>IF(OR($C122="",$F122=""),"",IF(COUNTIFS($C$4:$C122,$C122,$F$4:$F122,"&gt;=0")=1,$C122,""))</f>
        <v/>
      </c>
      <c r="M122" s="41" t="str">
        <f>IF(OR($C122="",$D122=""),"",IF(COUNTIFS($C$4:$C122,$C122,$D$4:$D122,"?*")=1,$C122,""))</f>
        <v/>
      </c>
      <c r="N122" s="41" t="str">
        <f>IF($B122="","",IF($C122="","FA"&amp;COUNTIFS($B$4:$B122,"?*",$C$4:$C122,""),""))</f>
        <v/>
      </c>
      <c r="O122" s="41" t="str">
        <f>IF($C122="","",$C122&amp;"@"&amp;COUNTIF($C$4:$C122,$C122))</f>
        <v/>
      </c>
    </row>
    <row r="123" spans="1:15">
      <c r="A123" s="19" t="str">
        <f>IF($B123="","",COUNTIF($B$4:$B123,"?*"))</f>
        <v/>
      </c>
      <c r="B123" s="63"/>
      <c r="C123" s="80"/>
      <c r="D123" s="69"/>
      <c r="E123" s="68"/>
      <c r="F123" s="69"/>
      <c r="G123" s="68"/>
      <c r="H123" s="68"/>
      <c r="I123" s="1" t="str">
        <f>IF($B123="","",IF(COUNTIF(MASTER!$C$4:$C$1463,$B123)&gt;0,"yes · "&amp;INDEX(MASTER!$B$4:$B$1463,MATCH($B123,MASTER!$C$4:$C$1463,0)),"not matched"))</f>
        <v/>
      </c>
      <c r="J123" s="19" t="str">
        <f t="shared" si="3"/>
        <v/>
      </c>
      <c r="K123" s="1" t="str">
        <f>IF(OR($C123="",$E123=""),"",IF(COUNTIFS($C$4:$C123,$C123,$E$4:$E123,"?*")=1,$C123,""))</f>
        <v/>
      </c>
      <c r="L123" s="1" t="str">
        <f>IF(OR($C123="",$F123=""),"",IF(COUNTIFS($C$4:$C123,$C123,$F$4:$F123,"&gt;=0")=1,$C123,""))</f>
        <v/>
      </c>
      <c r="M123" s="1" t="str">
        <f>IF(OR($C123="",$D123=""),"",IF(COUNTIFS($C$4:$C123,$C123,$D$4:$D123,"?*")=1,$C123,""))</f>
        <v/>
      </c>
      <c r="N123" s="1" t="str">
        <f>IF($B123="","",IF($C123="","FA"&amp;COUNTIFS($B$4:$B123,"?*",$C$4:$C123,""),""))</f>
        <v/>
      </c>
      <c r="O123" s="1" t="str">
        <f>IF($C123="","",$C123&amp;"@"&amp;COUNTIF($C$4:$C123,$C123))</f>
        <v/>
      </c>
    </row>
    <row r="124" spans="1:15">
      <c r="A124" s="15" t="str">
        <f>IF($B124="","",COUNTIF($B$4:$B124,"?*"))</f>
        <v/>
      </c>
      <c r="B124" s="63"/>
      <c r="C124" s="80"/>
      <c r="D124" s="69"/>
      <c r="E124" s="68"/>
      <c r="F124" s="69"/>
      <c r="G124" s="68"/>
      <c r="H124" s="68"/>
      <c r="I124" s="41" t="str">
        <f>IF($B124="","",IF(COUNTIF(MASTER!$C$4:$C$1463,$B124)&gt;0,"yes · "&amp;INDEX(MASTER!$B$4:$B$1463,MATCH($B124,MASTER!$C$4:$C$1463,0)),"not matched"))</f>
        <v/>
      </c>
      <c r="J124" s="15" t="str">
        <f t="shared" si="3"/>
        <v/>
      </c>
      <c r="K124" s="41" t="str">
        <f>IF(OR($C124="",$E124=""),"",IF(COUNTIFS($C$4:$C124,$C124,$E$4:$E124,"?*")=1,$C124,""))</f>
        <v/>
      </c>
      <c r="L124" s="41" t="str">
        <f>IF(OR($C124="",$F124=""),"",IF(COUNTIFS($C$4:$C124,$C124,$F$4:$F124,"&gt;=0")=1,$C124,""))</f>
        <v/>
      </c>
      <c r="M124" s="41" t="str">
        <f>IF(OR($C124="",$D124=""),"",IF(COUNTIFS($C$4:$C124,$C124,$D$4:$D124,"?*")=1,$C124,""))</f>
        <v/>
      </c>
      <c r="N124" s="41" t="str">
        <f>IF($B124="","",IF($C124="","FA"&amp;COUNTIFS($B$4:$B124,"?*",$C$4:$C124,""),""))</f>
        <v/>
      </c>
      <c r="O124" s="41" t="str">
        <f>IF($C124="","",$C124&amp;"@"&amp;COUNTIF($C$4:$C124,$C124))</f>
        <v/>
      </c>
    </row>
    <row r="125" spans="1:15">
      <c r="A125" s="19" t="str">
        <f>IF($B125="","",COUNTIF($B$4:$B125,"?*"))</f>
        <v/>
      </c>
      <c r="B125" s="63"/>
      <c r="C125" s="80"/>
      <c r="D125" s="69"/>
      <c r="E125" s="68"/>
      <c r="F125" s="69"/>
      <c r="G125" s="68"/>
      <c r="H125" s="68"/>
      <c r="I125" s="1" t="str">
        <f>IF($B125="","",IF(COUNTIF(MASTER!$C$4:$C$1463,$B125)&gt;0,"yes · "&amp;INDEX(MASTER!$B$4:$B$1463,MATCH($B125,MASTER!$C$4:$C$1463,0)),"not matched"))</f>
        <v/>
      </c>
      <c r="J125" s="19" t="str">
        <f t="shared" si="3"/>
        <v/>
      </c>
      <c r="K125" s="1" t="str">
        <f>IF(OR($C125="",$E125=""),"",IF(COUNTIFS($C$4:$C125,$C125,$E$4:$E125,"?*")=1,$C125,""))</f>
        <v/>
      </c>
      <c r="L125" s="1" t="str">
        <f>IF(OR($C125="",$F125=""),"",IF(COUNTIFS($C$4:$C125,$C125,$F$4:$F125,"&gt;=0")=1,$C125,""))</f>
        <v/>
      </c>
      <c r="M125" s="1" t="str">
        <f>IF(OR($C125="",$D125=""),"",IF(COUNTIFS($C$4:$C125,$C125,$D$4:$D125,"?*")=1,$C125,""))</f>
        <v/>
      </c>
      <c r="N125" s="1" t="str">
        <f>IF($B125="","",IF($C125="","FA"&amp;COUNTIFS($B$4:$B125,"?*",$C$4:$C125,""),""))</f>
        <v/>
      </c>
      <c r="O125" s="1" t="str">
        <f>IF($C125="","",$C125&amp;"@"&amp;COUNTIF($C$4:$C125,$C125))</f>
        <v/>
      </c>
    </row>
    <row r="126" spans="1:15">
      <c r="A126" s="15" t="str">
        <f>IF($B126="","",COUNTIF($B$4:$B126,"?*"))</f>
        <v/>
      </c>
      <c r="B126" s="63"/>
      <c r="C126" s="80"/>
      <c r="D126" s="69"/>
      <c r="E126" s="68"/>
      <c r="F126" s="69"/>
      <c r="G126" s="68"/>
      <c r="H126" s="68"/>
      <c r="I126" s="41" t="str">
        <f>IF($B126="","",IF(COUNTIF(MASTER!$C$4:$C$1463,$B126)&gt;0,"yes · "&amp;INDEX(MASTER!$B$4:$B$1463,MATCH($B126,MASTER!$C$4:$C$1463,0)),"not matched"))</f>
        <v/>
      </c>
      <c r="J126" s="15" t="str">
        <f t="shared" si="3"/>
        <v/>
      </c>
      <c r="K126" s="41" t="str">
        <f>IF(OR($C126="",$E126=""),"",IF(COUNTIFS($C$4:$C126,$C126,$E$4:$E126,"?*")=1,$C126,""))</f>
        <v/>
      </c>
      <c r="L126" s="41" t="str">
        <f>IF(OR($C126="",$F126=""),"",IF(COUNTIFS($C$4:$C126,$C126,$F$4:$F126,"&gt;=0")=1,$C126,""))</f>
        <v/>
      </c>
      <c r="M126" s="41" t="str">
        <f>IF(OR($C126="",$D126=""),"",IF(COUNTIFS($C$4:$C126,$C126,$D$4:$D126,"?*")=1,$C126,""))</f>
        <v/>
      </c>
      <c r="N126" s="41" t="str">
        <f>IF($B126="","",IF($C126="","FA"&amp;COUNTIFS($B$4:$B126,"?*",$C$4:$C126,""),""))</f>
        <v/>
      </c>
      <c r="O126" s="41" t="str">
        <f>IF($C126="","",$C126&amp;"@"&amp;COUNTIF($C$4:$C126,$C126))</f>
        <v/>
      </c>
    </row>
    <row r="127" spans="1:15">
      <c r="A127" s="19" t="str">
        <f>IF($B127="","",COUNTIF($B$4:$B127,"?*"))</f>
        <v/>
      </c>
      <c r="B127" s="63"/>
      <c r="C127" s="80"/>
      <c r="D127" s="69"/>
      <c r="E127" s="68"/>
      <c r="F127" s="69"/>
      <c r="G127" s="68"/>
      <c r="H127" s="68"/>
      <c r="I127" s="1" t="str">
        <f>IF($B127="","",IF(COUNTIF(MASTER!$C$4:$C$1463,$B127)&gt;0,"yes · "&amp;INDEX(MASTER!$B$4:$B$1463,MATCH($B127,MASTER!$C$4:$C$1463,0)),"not matched"))</f>
        <v/>
      </c>
      <c r="J127" s="19" t="str">
        <f t="shared" si="3"/>
        <v/>
      </c>
      <c r="K127" s="1" t="str">
        <f>IF(OR($C127="",$E127=""),"",IF(COUNTIFS($C$4:$C127,$C127,$E$4:$E127,"?*")=1,$C127,""))</f>
        <v/>
      </c>
      <c r="L127" s="1" t="str">
        <f>IF(OR($C127="",$F127=""),"",IF(COUNTIFS($C$4:$C127,$C127,$F$4:$F127,"&gt;=0")=1,$C127,""))</f>
        <v/>
      </c>
      <c r="M127" s="1" t="str">
        <f>IF(OR($C127="",$D127=""),"",IF(COUNTIFS($C$4:$C127,$C127,$D$4:$D127,"?*")=1,$C127,""))</f>
        <v/>
      </c>
      <c r="N127" s="1" t="str">
        <f>IF($B127="","",IF($C127="","FA"&amp;COUNTIFS($B$4:$B127,"?*",$C$4:$C127,""),""))</f>
        <v/>
      </c>
      <c r="O127" s="1" t="str">
        <f>IF($C127="","",$C127&amp;"@"&amp;COUNTIF($C$4:$C127,$C127))</f>
        <v/>
      </c>
    </row>
    <row r="128" spans="1:15">
      <c r="A128" s="15" t="str">
        <f>IF($B128="","",COUNTIF($B$4:$B128,"?*"))</f>
        <v/>
      </c>
      <c r="B128" s="63"/>
      <c r="C128" s="80"/>
      <c r="D128" s="69"/>
      <c r="E128" s="68"/>
      <c r="F128" s="69"/>
      <c r="G128" s="68"/>
      <c r="H128" s="68"/>
      <c r="I128" s="41" t="str">
        <f>IF($B128="","",IF(COUNTIF(MASTER!$C$4:$C$1463,$B128)&gt;0,"yes · "&amp;INDEX(MASTER!$B$4:$B$1463,MATCH($B128,MASTER!$C$4:$C$1463,0)),"not matched"))</f>
        <v/>
      </c>
      <c r="J128" s="15" t="str">
        <f t="shared" si="3"/>
        <v/>
      </c>
      <c r="K128" s="41" t="str">
        <f>IF(OR($C128="",$E128=""),"",IF(COUNTIFS($C$4:$C128,$C128,$E$4:$E128,"?*")=1,$C128,""))</f>
        <v/>
      </c>
      <c r="L128" s="41" t="str">
        <f>IF(OR($C128="",$F128=""),"",IF(COUNTIFS($C$4:$C128,$C128,$F$4:$F128,"&gt;=0")=1,$C128,""))</f>
        <v/>
      </c>
      <c r="M128" s="41" t="str">
        <f>IF(OR($C128="",$D128=""),"",IF(COUNTIFS($C$4:$C128,$C128,$D$4:$D128,"?*")=1,$C128,""))</f>
        <v/>
      </c>
      <c r="N128" s="41" t="str">
        <f>IF($B128="","",IF($C128="","FA"&amp;COUNTIFS($B$4:$B128,"?*",$C$4:$C128,""),""))</f>
        <v/>
      </c>
      <c r="O128" s="41" t="str">
        <f>IF($C128="","",$C128&amp;"@"&amp;COUNTIF($C$4:$C128,$C128))</f>
        <v/>
      </c>
    </row>
    <row r="129" spans="1:15">
      <c r="A129" s="19" t="str">
        <f>IF($B129="","",COUNTIF($B$4:$B129,"?*"))</f>
        <v/>
      </c>
      <c r="B129" s="63"/>
      <c r="C129" s="80"/>
      <c r="D129" s="69"/>
      <c r="E129" s="68"/>
      <c r="F129" s="69"/>
      <c r="G129" s="68"/>
      <c r="H129" s="68"/>
      <c r="I129" s="1" t="str">
        <f>IF($B129="","",IF(COUNTIF(MASTER!$C$4:$C$1463,$B129)&gt;0,"yes · "&amp;INDEX(MASTER!$B$4:$B$1463,MATCH($B129,MASTER!$C$4:$C$1463,0)),"not matched"))</f>
        <v/>
      </c>
      <c r="J129" s="19" t="str">
        <f t="shared" si="3"/>
        <v/>
      </c>
      <c r="K129" s="1" t="str">
        <f>IF(OR($C129="",$E129=""),"",IF(COUNTIFS($C$4:$C129,$C129,$E$4:$E129,"?*")=1,$C129,""))</f>
        <v/>
      </c>
      <c r="L129" s="1" t="str">
        <f>IF(OR($C129="",$F129=""),"",IF(COUNTIFS($C$4:$C129,$C129,$F$4:$F129,"&gt;=0")=1,$C129,""))</f>
        <v/>
      </c>
      <c r="M129" s="1" t="str">
        <f>IF(OR($C129="",$D129=""),"",IF(COUNTIFS($C$4:$C129,$C129,$D$4:$D129,"?*")=1,$C129,""))</f>
        <v/>
      </c>
      <c r="N129" s="1" t="str">
        <f>IF($B129="","",IF($C129="","FA"&amp;COUNTIFS($B$4:$B129,"?*",$C$4:$C129,""),""))</f>
        <v/>
      </c>
      <c r="O129" s="1" t="str">
        <f>IF($C129="","",$C129&amp;"@"&amp;COUNTIF($C$4:$C129,$C129))</f>
        <v/>
      </c>
    </row>
    <row r="130" spans="1:15">
      <c r="A130" s="15" t="str">
        <f>IF($B130="","",COUNTIF($B$4:$B130,"?*"))</f>
        <v/>
      </c>
      <c r="B130" s="63"/>
      <c r="C130" s="80"/>
      <c r="D130" s="69"/>
      <c r="E130" s="68"/>
      <c r="F130" s="69"/>
      <c r="G130" s="68"/>
      <c r="H130" s="68"/>
      <c r="I130" s="41" t="str">
        <f>IF($B130="","",IF(COUNTIF(MASTER!$C$4:$C$1463,$B130)&gt;0,"yes · "&amp;INDEX(MASTER!$B$4:$B$1463,MATCH($B130,MASTER!$C$4:$C$1463,0)),"not matched"))</f>
        <v/>
      </c>
      <c r="J130" s="15" t="str">
        <f t="shared" si="3"/>
        <v/>
      </c>
      <c r="K130" s="41" t="str">
        <f>IF(OR($C130="",$E130=""),"",IF(COUNTIFS($C$4:$C130,$C130,$E$4:$E130,"?*")=1,$C130,""))</f>
        <v/>
      </c>
      <c r="L130" s="41" t="str">
        <f>IF(OR($C130="",$F130=""),"",IF(COUNTIFS($C$4:$C130,$C130,$F$4:$F130,"&gt;=0")=1,$C130,""))</f>
        <v/>
      </c>
      <c r="M130" s="41" t="str">
        <f>IF(OR($C130="",$D130=""),"",IF(COUNTIFS($C$4:$C130,$C130,$D$4:$D130,"?*")=1,$C130,""))</f>
        <v/>
      </c>
      <c r="N130" s="41" t="str">
        <f>IF($B130="","",IF($C130="","FA"&amp;COUNTIFS($B$4:$B130,"?*",$C$4:$C130,""),""))</f>
        <v/>
      </c>
      <c r="O130" s="41" t="str">
        <f>IF($C130="","",$C130&amp;"@"&amp;COUNTIF($C$4:$C130,$C130))</f>
        <v/>
      </c>
    </row>
    <row r="131" spans="1:15">
      <c r="A131" s="19" t="str">
        <f>IF($B131="","",COUNTIF($B$4:$B131,"?*"))</f>
        <v/>
      </c>
      <c r="B131" s="63"/>
      <c r="C131" s="80"/>
      <c r="D131" s="69"/>
      <c r="E131" s="68"/>
      <c r="F131" s="69"/>
      <c r="G131" s="68"/>
      <c r="H131" s="68"/>
      <c r="I131" s="1" t="str">
        <f>IF($B131="","",IF(COUNTIF(MASTER!$C$4:$C$1463,$B131)&gt;0,"yes · "&amp;INDEX(MASTER!$B$4:$B$1463,MATCH($B131,MASTER!$C$4:$C$1463,0)),"not matched"))</f>
        <v/>
      </c>
      <c r="J131" s="19" t="str">
        <f t="shared" si="3"/>
        <v/>
      </c>
      <c r="K131" s="1" t="str">
        <f>IF(OR($C131="",$E131=""),"",IF(COUNTIFS($C$4:$C131,$C131,$E$4:$E131,"?*")=1,$C131,""))</f>
        <v/>
      </c>
      <c r="L131" s="1" t="str">
        <f>IF(OR($C131="",$F131=""),"",IF(COUNTIFS($C$4:$C131,$C131,$F$4:$F131,"&gt;=0")=1,$C131,""))</f>
        <v/>
      </c>
      <c r="M131" s="1" t="str">
        <f>IF(OR($C131="",$D131=""),"",IF(COUNTIFS($C$4:$C131,$C131,$D$4:$D131,"?*")=1,$C131,""))</f>
        <v/>
      </c>
      <c r="N131" s="1" t="str">
        <f>IF($B131="","",IF($C131="","FA"&amp;COUNTIFS($B$4:$B131,"?*",$C$4:$C131,""),""))</f>
        <v/>
      </c>
      <c r="O131" s="1" t="str">
        <f>IF($C131="","",$C131&amp;"@"&amp;COUNTIF($C$4:$C131,$C131))</f>
        <v/>
      </c>
    </row>
    <row r="132" spans="1:15">
      <c r="A132" s="15" t="str">
        <f>IF($B132="","",COUNTIF($B$4:$B132,"?*"))</f>
        <v/>
      </c>
      <c r="B132" s="63"/>
      <c r="C132" s="80"/>
      <c r="D132" s="69"/>
      <c r="E132" s="68"/>
      <c r="F132" s="69"/>
      <c r="G132" s="68"/>
      <c r="H132" s="68"/>
      <c r="I132" s="41" t="str">
        <f>IF($B132="","",IF(COUNTIF(MASTER!$C$4:$C$1463,$B132)&gt;0,"yes · "&amp;INDEX(MASTER!$B$4:$B$1463,MATCH($B132,MASTER!$C$4:$C$1463,0)),"not matched"))</f>
        <v/>
      </c>
      <c r="J132" s="15" t="str">
        <f t="shared" si="3"/>
        <v/>
      </c>
      <c r="K132" s="41" t="str">
        <f>IF(OR($C132="",$E132=""),"",IF(COUNTIFS($C$4:$C132,$C132,$E$4:$E132,"?*")=1,$C132,""))</f>
        <v/>
      </c>
      <c r="L132" s="41" t="str">
        <f>IF(OR($C132="",$F132=""),"",IF(COUNTIFS($C$4:$C132,$C132,$F$4:$F132,"&gt;=0")=1,$C132,""))</f>
        <v/>
      </c>
      <c r="M132" s="41" t="str">
        <f>IF(OR($C132="",$D132=""),"",IF(COUNTIFS($C$4:$C132,$C132,$D$4:$D132,"?*")=1,$C132,""))</f>
        <v/>
      </c>
      <c r="N132" s="41" t="str">
        <f>IF($B132="","",IF($C132="","FA"&amp;COUNTIFS($B$4:$B132,"?*",$C$4:$C132,""),""))</f>
        <v/>
      </c>
      <c r="O132" s="41" t="str">
        <f>IF($C132="","",$C132&amp;"@"&amp;COUNTIF($C$4:$C132,$C132))</f>
        <v/>
      </c>
    </row>
    <row r="133" spans="1:15">
      <c r="A133" s="19" t="str">
        <f>IF($B133="","",COUNTIF($B$4:$B133,"?*"))</f>
        <v/>
      </c>
      <c r="B133" s="63"/>
      <c r="C133" s="80"/>
      <c r="D133" s="69"/>
      <c r="E133" s="68"/>
      <c r="F133" s="69"/>
      <c r="G133" s="68"/>
      <c r="H133" s="68"/>
      <c r="I133" s="1" t="str">
        <f>IF($B133="","",IF(COUNTIF(MASTER!$C$4:$C$1463,$B133)&gt;0,"yes · "&amp;INDEX(MASTER!$B$4:$B$1463,MATCH($B133,MASTER!$C$4:$C$1463,0)),"not matched"))</f>
        <v/>
      </c>
      <c r="J133" s="19" t="str">
        <f t="shared" si="3"/>
        <v/>
      </c>
      <c r="K133" s="1" t="str">
        <f>IF(OR($C133="",$E133=""),"",IF(COUNTIFS($C$4:$C133,$C133,$E$4:$E133,"?*")=1,$C133,""))</f>
        <v/>
      </c>
      <c r="L133" s="1" t="str">
        <f>IF(OR($C133="",$F133=""),"",IF(COUNTIFS($C$4:$C133,$C133,$F$4:$F133,"&gt;=0")=1,$C133,""))</f>
        <v/>
      </c>
      <c r="M133" s="1" t="str">
        <f>IF(OR($C133="",$D133=""),"",IF(COUNTIFS($C$4:$C133,$C133,$D$4:$D133,"?*")=1,$C133,""))</f>
        <v/>
      </c>
      <c r="N133" s="1" t="str">
        <f>IF($B133="","",IF($C133="","FA"&amp;COUNTIFS($B$4:$B133,"?*",$C$4:$C133,""),""))</f>
        <v/>
      </c>
      <c r="O133" s="1" t="str">
        <f>IF($C133="","",$C133&amp;"@"&amp;COUNTIF($C$4:$C133,$C133))</f>
        <v/>
      </c>
    </row>
    <row r="134" spans="1:15">
      <c r="A134" s="15" t="str">
        <f>IF($B134="","",COUNTIF($B$4:$B134,"?*"))</f>
        <v/>
      </c>
      <c r="B134" s="63"/>
      <c r="C134" s="80"/>
      <c r="D134" s="69"/>
      <c r="E134" s="68"/>
      <c r="F134" s="69"/>
      <c r="G134" s="68"/>
      <c r="H134" s="68"/>
      <c r="I134" s="41" t="str">
        <f>IF($B134="","",IF(COUNTIF(MASTER!$C$4:$C$1463,$B134)&gt;0,"yes · "&amp;INDEX(MASTER!$B$4:$B$1463,MATCH($B134,MASTER!$C$4:$C$1463,0)),"not matched"))</f>
        <v/>
      </c>
      <c r="J134" s="15" t="str">
        <f t="shared" si="3"/>
        <v/>
      </c>
      <c r="K134" s="41" t="str">
        <f>IF(OR($C134="",$E134=""),"",IF(COUNTIFS($C$4:$C134,$C134,$E$4:$E134,"?*")=1,$C134,""))</f>
        <v/>
      </c>
      <c r="L134" s="41" t="str">
        <f>IF(OR($C134="",$F134=""),"",IF(COUNTIFS($C$4:$C134,$C134,$F$4:$F134,"&gt;=0")=1,$C134,""))</f>
        <v/>
      </c>
      <c r="M134" s="41" t="str">
        <f>IF(OR($C134="",$D134=""),"",IF(COUNTIFS($C$4:$C134,$C134,$D$4:$D134,"?*")=1,$C134,""))</f>
        <v/>
      </c>
      <c r="N134" s="41" t="str">
        <f>IF($B134="","",IF($C134="","FA"&amp;COUNTIFS($B$4:$B134,"?*",$C$4:$C134,""),""))</f>
        <v/>
      </c>
      <c r="O134" s="41" t="str">
        <f>IF($C134="","",$C134&amp;"@"&amp;COUNTIF($C$4:$C134,$C134))</f>
        <v/>
      </c>
    </row>
    <row r="135" spans="1:15">
      <c r="A135" s="19" t="str">
        <f>IF($B135="","",COUNTIF($B$4:$B135,"?*"))</f>
        <v/>
      </c>
      <c r="B135" s="63"/>
      <c r="C135" s="80"/>
      <c r="D135" s="69"/>
      <c r="E135" s="68"/>
      <c r="F135" s="69"/>
      <c r="G135" s="68"/>
      <c r="H135" s="68"/>
      <c r="I135" s="1" t="str">
        <f>IF($B135="","",IF(COUNTIF(MASTER!$C$4:$C$1463,$B135)&gt;0,"yes · "&amp;INDEX(MASTER!$B$4:$B$1463,MATCH($B135,MASTER!$C$4:$C$1463,0)),"not matched"))</f>
        <v/>
      </c>
      <c r="J135" s="19" t="str">
        <f t="shared" si="3"/>
        <v/>
      </c>
      <c r="K135" s="1" t="str">
        <f>IF(OR($C135="",$E135=""),"",IF(COUNTIFS($C$4:$C135,$C135,$E$4:$E135,"?*")=1,$C135,""))</f>
        <v/>
      </c>
      <c r="L135" s="1" t="str">
        <f>IF(OR($C135="",$F135=""),"",IF(COUNTIFS($C$4:$C135,$C135,$F$4:$F135,"&gt;=0")=1,$C135,""))</f>
        <v/>
      </c>
      <c r="M135" s="1" t="str">
        <f>IF(OR($C135="",$D135=""),"",IF(COUNTIFS($C$4:$C135,$C135,$D$4:$D135,"?*")=1,$C135,""))</f>
        <v/>
      </c>
      <c r="N135" s="1" t="str">
        <f>IF($B135="","",IF($C135="","FA"&amp;COUNTIFS($B$4:$B135,"?*",$C$4:$C135,""),""))</f>
        <v/>
      </c>
      <c r="O135" s="1" t="str">
        <f>IF($C135="","",$C135&amp;"@"&amp;COUNTIF($C$4:$C135,$C135))</f>
        <v/>
      </c>
    </row>
  </sheetData>
  <autoFilter ref="A3:J135" xr:uid="{00000000-0009-0000-0000-000018000000}"/>
  <mergeCells count="2">
    <mergeCell ref="A1:L1"/>
    <mergeCell ref="A2:L2"/>
  </mergeCells>
  <dataValidations count="1">
    <dataValidation type="list" allowBlank="1" sqref="D4:D135" xr:uid="{00000000-0002-0000-1800-000001000000}">
      <formula1>"YES,NO"</formula1>
      <formula2>0</formula2>
    </dataValidation>
  </dataValidations>
  <printOptions horizontalCentered="1"/>
  <pageMargins left="0.75" right="0.75" top="1" bottom="1" header="0.511811023622047" footer="0.511811023622047"/>
  <pageSetup fitToHeight="0" orientation="landscape" horizontalDpi="300" verticalDpi="300"/>
  <ignoredErrors>
    <ignoredError sqref="A1:O87 A89:O135 A88:C88 E88 G88:I88 K88:O88" evalError="1" twoDigitTextYear="1" numberStoredAsText="1" formula="1" formulaRange="1" unlockedFormula="1" emptyCellReference="1" listDataValidation="1" calculatedColumn="1"/>
  </ignoredErrors>
  <extLst>
    <ext xmlns:x14="http://schemas.microsoft.com/office/spreadsheetml/2009/9/main" uri="{CCE6A557-97BC-4b89-ADB6-D9C93CAAB3DF}">
      <x14:dataValidations xmlns:xm="http://schemas.microsoft.com/office/excel/2006/main" count="1">
        <x14:dataValidation type="list" allowBlank="1" xr:uid="{00000000-0002-0000-1800-000000000000}">
          <x14:formula1>
            <xm:f>WARBANDS!$B$12:$B$32</xm:f>
          </x14:formula1>
          <x14:formula2>
            <xm:f>0</xm:f>
          </x14:formula2>
          <xm:sqref>C4:C135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BFBFBF"/>
    <pageSetUpPr fitToPage="1"/>
  </sheetPr>
  <dimension ref="A1:E90"/>
  <sheetViews>
    <sheetView showGridLines="0" zoomScaleNormal="100" workbookViewId="0">
      <selection activeCell="B29" sqref="B29"/>
    </sheetView>
  </sheetViews>
  <sheetFormatPr defaultColWidth="8.7109375" defaultRowHeight="15"/>
  <cols>
    <col min="1" max="1" width="32" customWidth="1"/>
    <col min="2" max="2" width="26" customWidth="1"/>
    <col min="3" max="3" width="60" customWidth="1"/>
    <col min="4" max="5" width="12" customWidth="1"/>
  </cols>
  <sheetData>
    <row r="1" spans="1:5" ht="30" customHeight="1">
      <c r="A1" s="92" t="s">
        <v>2859</v>
      </c>
      <c r="B1" s="92"/>
      <c r="C1" s="92"/>
      <c r="D1" s="92"/>
      <c r="E1" s="92"/>
    </row>
    <row r="2" spans="1:5" ht="15.75" customHeight="1">
      <c r="A2" s="93" t="s">
        <v>2860</v>
      </c>
      <c r="B2" s="93"/>
      <c r="C2" s="93"/>
      <c r="D2" s="93"/>
      <c r="E2" s="93"/>
    </row>
    <row r="3" spans="1:5" ht="19.5" customHeight="1">
      <c r="A3" s="91" t="s">
        <v>2861</v>
      </c>
      <c r="B3" s="91"/>
      <c r="C3" s="91"/>
    </row>
    <row r="4" spans="1:5">
      <c r="A4" s="61" t="s">
        <v>2862</v>
      </c>
      <c r="B4" s="81">
        <v>0.55000000000000004</v>
      </c>
      <c r="C4" s="11" t="s">
        <v>2863</v>
      </c>
    </row>
    <row r="5" spans="1:5">
      <c r="A5" s="61" t="s">
        <v>2864</v>
      </c>
      <c r="B5" s="81">
        <v>0.25</v>
      </c>
      <c r="C5" s="11" t="s">
        <v>2865</v>
      </c>
    </row>
    <row r="6" spans="1:5">
      <c r="A6" s="61" t="s">
        <v>2866</v>
      </c>
      <c r="B6" s="81">
        <v>0.2</v>
      </c>
      <c r="C6" s="11" t="s">
        <v>2867</v>
      </c>
    </row>
    <row r="7" spans="1:5">
      <c r="A7" s="61" t="s">
        <v>2868</v>
      </c>
      <c r="B7" s="82">
        <f>SUM(B4:B6)</f>
        <v>1</v>
      </c>
      <c r="C7" s="11" t="s">
        <v>2869</v>
      </c>
    </row>
    <row r="9" spans="1:5">
      <c r="A9" s="61" t="s">
        <v>2870</v>
      </c>
      <c r="B9" s="83">
        <v>12600</v>
      </c>
      <c r="C9" s="11" t="s">
        <v>2871</v>
      </c>
    </row>
    <row r="10" spans="1:5">
      <c r="A10" s="61" t="s">
        <v>2872</v>
      </c>
      <c r="B10" s="83">
        <v>55000</v>
      </c>
      <c r="C10" s="11" t="s">
        <v>2873</v>
      </c>
    </row>
    <row r="11" spans="1:5">
      <c r="A11" s="61" t="s">
        <v>2874</v>
      </c>
      <c r="B11" s="83">
        <v>64500</v>
      </c>
      <c r="C11" s="11" t="s">
        <v>2875</v>
      </c>
    </row>
    <row r="12" spans="1:5">
      <c r="A12" s="61" t="s">
        <v>2876</v>
      </c>
      <c r="B12" s="83">
        <v>12</v>
      </c>
      <c r="C12" s="11" t="s">
        <v>2877</v>
      </c>
    </row>
    <row r="14" spans="1:5" ht="19.5" customHeight="1">
      <c r="A14" s="91" t="s">
        <v>2878</v>
      </c>
      <c r="B14" s="91"/>
      <c r="C14" s="91"/>
    </row>
    <row r="15" spans="1:5" ht="27.75" customHeight="1">
      <c r="A15" s="13" t="s">
        <v>2879</v>
      </c>
      <c r="B15" s="13" t="s">
        <v>63</v>
      </c>
    </row>
    <row r="16" spans="1:5">
      <c r="A16" s="84">
        <v>0</v>
      </c>
      <c r="B16" s="18" t="s">
        <v>148</v>
      </c>
    </row>
    <row r="17" spans="1:3">
      <c r="A17" s="84">
        <v>2000</v>
      </c>
      <c r="B17" s="18" t="s">
        <v>147</v>
      </c>
    </row>
    <row r="18" spans="1:3">
      <c r="A18" s="84">
        <v>4000</v>
      </c>
      <c r="B18" s="18" t="s">
        <v>146</v>
      </c>
    </row>
    <row r="19" spans="1:3">
      <c r="A19" s="84">
        <v>6000</v>
      </c>
      <c r="B19" s="18" t="s">
        <v>145</v>
      </c>
    </row>
    <row r="20" spans="1:3">
      <c r="A20" s="84">
        <v>8000</v>
      </c>
      <c r="B20" s="18" t="s">
        <v>144</v>
      </c>
    </row>
    <row r="21" spans="1:3">
      <c r="A21" s="84">
        <v>10000</v>
      </c>
      <c r="B21" s="18" t="s">
        <v>143</v>
      </c>
    </row>
    <row r="22" spans="1:3">
      <c r="A22" s="84">
        <v>12000</v>
      </c>
      <c r="B22" s="18" t="s">
        <v>142</v>
      </c>
    </row>
    <row r="24" spans="1:3" ht="19.5" customHeight="1">
      <c r="A24" s="91" t="s">
        <v>2880</v>
      </c>
      <c r="B24" s="91"/>
      <c r="C24" s="91"/>
    </row>
    <row r="25" spans="1:3" ht="27.75" customHeight="1">
      <c r="A25" s="13" t="s">
        <v>2881</v>
      </c>
      <c r="B25" s="13" t="s">
        <v>131</v>
      </c>
    </row>
    <row r="26" spans="1:3">
      <c r="A26" s="84">
        <v>0</v>
      </c>
      <c r="B26" s="18" t="s">
        <v>157</v>
      </c>
    </row>
    <row r="27" spans="1:3">
      <c r="A27" s="84">
        <v>58000</v>
      </c>
      <c r="B27" s="18" t="s">
        <v>156</v>
      </c>
    </row>
    <row r="28" spans="1:3">
      <c r="A28" s="84">
        <v>60000</v>
      </c>
      <c r="B28" s="18" t="s">
        <v>155</v>
      </c>
    </row>
    <row r="29" spans="1:3">
      <c r="A29" s="84">
        <v>61000</v>
      </c>
      <c r="B29" s="18" t="s">
        <v>154</v>
      </c>
    </row>
    <row r="30" spans="1:3">
      <c r="A30" s="84">
        <v>62000</v>
      </c>
      <c r="B30" s="18" t="s">
        <v>153</v>
      </c>
    </row>
    <row r="31" spans="1:3">
      <c r="A31" s="84">
        <v>63000</v>
      </c>
      <c r="B31" s="18" t="s">
        <v>152</v>
      </c>
    </row>
    <row r="32" spans="1:3">
      <c r="A32" s="84">
        <v>64000</v>
      </c>
      <c r="B32" s="18" t="s">
        <v>151</v>
      </c>
    </row>
    <row r="34" spans="1:3" ht="19.5" customHeight="1">
      <c r="A34" s="91" t="s">
        <v>2882</v>
      </c>
      <c r="B34" s="91"/>
      <c r="C34" s="91"/>
    </row>
    <row r="35" spans="1:3" ht="27.75" customHeight="1">
      <c r="A35" s="13" t="s">
        <v>2883</v>
      </c>
      <c r="B35" s="13" t="s">
        <v>63</v>
      </c>
    </row>
    <row r="36" spans="1:3">
      <c r="A36" s="85">
        <v>0</v>
      </c>
      <c r="B36" s="18" t="s">
        <v>165</v>
      </c>
    </row>
    <row r="37" spans="1:3">
      <c r="A37" s="85">
        <v>3</v>
      </c>
      <c r="B37" s="18" t="s">
        <v>164</v>
      </c>
    </row>
    <row r="38" spans="1:3">
      <c r="A38" s="85">
        <v>4</v>
      </c>
      <c r="B38" s="18" t="s">
        <v>163</v>
      </c>
    </row>
    <row r="39" spans="1:3">
      <c r="A39" s="85">
        <v>5</v>
      </c>
      <c r="B39" s="18" t="s">
        <v>162</v>
      </c>
    </row>
    <row r="40" spans="1:3">
      <c r="A40" s="85">
        <v>6</v>
      </c>
      <c r="B40" s="18" t="s">
        <v>161</v>
      </c>
    </row>
    <row r="41" spans="1:3">
      <c r="A41" s="85">
        <v>8</v>
      </c>
      <c r="B41" s="18" t="s">
        <v>160</v>
      </c>
    </row>
    <row r="42" spans="1:3">
      <c r="A42" s="85">
        <v>10</v>
      </c>
      <c r="B42" s="18" t="s">
        <v>159</v>
      </c>
    </row>
    <row r="44" spans="1:3" ht="19.5" customHeight="1">
      <c r="A44" s="91" t="s">
        <v>2884</v>
      </c>
      <c r="B44" s="91"/>
      <c r="C44" s="91"/>
    </row>
    <row r="45" spans="1:3" ht="27.75" customHeight="1">
      <c r="A45" s="13" t="s">
        <v>2885</v>
      </c>
      <c r="B45" s="13" t="s">
        <v>133</v>
      </c>
    </row>
    <row r="46" spans="1:3">
      <c r="A46" s="86">
        <v>0</v>
      </c>
      <c r="B46" s="18" t="s">
        <v>2886</v>
      </c>
    </row>
    <row r="47" spans="1:3">
      <c r="A47" s="86">
        <v>20</v>
      </c>
      <c r="B47" s="18" t="s">
        <v>2887</v>
      </c>
    </row>
    <row r="48" spans="1:3">
      <c r="A48" s="86">
        <v>35</v>
      </c>
      <c r="B48" s="18" t="s">
        <v>2888</v>
      </c>
    </row>
    <row r="49" spans="1:3">
      <c r="A49" s="86">
        <v>50</v>
      </c>
      <c r="B49" s="18" t="s">
        <v>2889</v>
      </c>
    </row>
    <row r="50" spans="1:3">
      <c r="A50" s="86">
        <v>65</v>
      </c>
      <c r="B50" s="18" t="s">
        <v>2890</v>
      </c>
    </row>
    <row r="51" spans="1:3">
      <c r="A51" s="86">
        <v>80</v>
      </c>
      <c r="B51" s="18" t="s">
        <v>2891</v>
      </c>
    </row>
    <row r="53" spans="1:3" ht="19.5" customHeight="1">
      <c r="A53" s="91" t="s">
        <v>2892</v>
      </c>
      <c r="B53" s="91"/>
      <c r="C53" s="91"/>
    </row>
    <row r="54" spans="1:3" ht="27.75" customHeight="1">
      <c r="A54" s="13" t="s">
        <v>68</v>
      </c>
      <c r="B54" s="13" t="s">
        <v>69</v>
      </c>
    </row>
    <row r="55" spans="1:3">
      <c r="A55" s="87" t="s">
        <v>71</v>
      </c>
      <c r="B55" s="18" t="s">
        <v>167</v>
      </c>
    </row>
    <row r="56" spans="1:3">
      <c r="A56" s="87" t="s">
        <v>72</v>
      </c>
      <c r="B56" s="18" t="s">
        <v>167</v>
      </c>
    </row>
    <row r="57" spans="1:3">
      <c r="A57" s="87" t="s">
        <v>73</v>
      </c>
      <c r="B57" s="18" t="s">
        <v>167</v>
      </c>
    </row>
    <row r="58" spans="1:3">
      <c r="A58" s="87" t="s">
        <v>74</v>
      </c>
      <c r="B58" s="18" t="s">
        <v>169</v>
      </c>
    </row>
    <row r="59" spans="1:3">
      <c r="A59" s="87" t="s">
        <v>75</v>
      </c>
      <c r="B59" s="18" t="s">
        <v>171</v>
      </c>
    </row>
    <row r="60" spans="1:3">
      <c r="A60" s="87" t="s">
        <v>76</v>
      </c>
      <c r="B60" s="18" t="s">
        <v>171</v>
      </c>
    </row>
    <row r="61" spans="1:3">
      <c r="A61" s="87" t="s">
        <v>77</v>
      </c>
      <c r="B61" s="18" t="s">
        <v>170</v>
      </c>
    </row>
    <row r="62" spans="1:3">
      <c r="A62" s="87" t="s">
        <v>78</v>
      </c>
      <c r="B62" s="18" t="s">
        <v>168</v>
      </c>
    </row>
    <row r="63" spans="1:3">
      <c r="A63" s="87" t="s">
        <v>79</v>
      </c>
      <c r="B63" s="18" t="s">
        <v>170</v>
      </c>
    </row>
    <row r="64" spans="1:3">
      <c r="A64" s="87" t="s">
        <v>80</v>
      </c>
      <c r="B64" s="18" t="s">
        <v>169</v>
      </c>
    </row>
    <row r="66" spans="1:5" ht="19.5" customHeight="1">
      <c r="A66" s="91" t="s">
        <v>2893</v>
      </c>
      <c r="B66" s="91"/>
      <c r="C66" s="91"/>
      <c r="D66" s="91"/>
      <c r="E66" s="91"/>
    </row>
    <row r="67" spans="1:5" ht="27.75" customHeight="1">
      <c r="A67" s="13" t="s">
        <v>44</v>
      </c>
      <c r="B67" s="13" t="s">
        <v>45</v>
      </c>
      <c r="C67" s="13" t="s">
        <v>46</v>
      </c>
      <c r="D67" s="13" t="s">
        <v>2894</v>
      </c>
      <c r="E67" s="13" t="s">
        <v>2895</v>
      </c>
    </row>
    <row r="68" spans="1:5">
      <c r="A68" s="88" t="s">
        <v>66</v>
      </c>
      <c r="B68" s="87" t="s">
        <v>104</v>
      </c>
      <c r="C68" s="89">
        <f>COUNTIF(MASTER!$B:$B,$A68)</f>
        <v>99</v>
      </c>
      <c r="D68" s="90">
        <f>IF(OR(DASHBOARD!$C$3="ALL",DASHBOARD!$C$3=$B68,$A68="FUCT"),1,0)</f>
        <v>1</v>
      </c>
      <c r="E68" s="90">
        <f>IF($D68=0,"",SUM($D$68:$D68))</f>
        <v>1</v>
      </c>
    </row>
    <row r="69" spans="1:5">
      <c r="A69" s="18" t="s">
        <v>105</v>
      </c>
      <c r="B69" s="87" t="s">
        <v>106</v>
      </c>
      <c r="C69" s="89">
        <f>COUNTIF(MASTER!$B:$B,$A69)</f>
        <v>100</v>
      </c>
      <c r="D69" s="90">
        <f>IF(OR(DASHBOARD!$C$3="ALL",DASHBOARD!$C$3=$B69,$A69="FUCT"),1,0)</f>
        <v>1</v>
      </c>
      <c r="E69" s="90">
        <f>IF($D69=0,"",SUM($D$68:$D69))</f>
        <v>2</v>
      </c>
    </row>
    <row r="70" spans="1:5">
      <c r="A70" s="18" t="s">
        <v>86</v>
      </c>
      <c r="B70" s="87" t="s">
        <v>106</v>
      </c>
      <c r="C70" s="89">
        <f>COUNTIF(MASTER!$B:$B,$A70)</f>
        <v>95</v>
      </c>
      <c r="D70" s="90">
        <f>IF(OR(DASHBOARD!$C$3="ALL",DASHBOARD!$C$3=$B70,$A70="FUCT"),1,0)</f>
        <v>1</v>
      </c>
      <c r="E70" s="90">
        <f>IF($D70=0,"",SUM($D$68:$D70))</f>
        <v>3</v>
      </c>
    </row>
    <row r="71" spans="1:5">
      <c r="A71" s="18" t="s">
        <v>107</v>
      </c>
      <c r="B71" s="87" t="s">
        <v>106</v>
      </c>
      <c r="C71" s="89">
        <f>COUNTIF(MASTER!$B:$B,$A71)</f>
        <v>96</v>
      </c>
      <c r="D71" s="90">
        <f>IF(OR(DASHBOARD!$C$3="ALL",DASHBOARD!$C$3=$B71,$A71="FUCT"),1,0)</f>
        <v>1</v>
      </c>
      <c r="E71" s="90">
        <f>IF($D71=0,"",SUM($D$68:$D71))</f>
        <v>4</v>
      </c>
    </row>
    <row r="72" spans="1:5">
      <c r="A72" s="18" t="s">
        <v>108</v>
      </c>
      <c r="B72" s="87" t="s">
        <v>109</v>
      </c>
      <c r="C72" s="89">
        <f>COUNTIF(MASTER!$B:$B,$A72)</f>
        <v>97</v>
      </c>
      <c r="D72" s="90">
        <f>IF(OR(DASHBOARD!$C$3="ALL",DASHBOARD!$C$3=$B72,$A72="FUCT"),1,0)</f>
        <v>1</v>
      </c>
      <c r="E72" s="90">
        <f>IF($D72=0,"",SUM($D$68:$D72))</f>
        <v>5</v>
      </c>
    </row>
    <row r="73" spans="1:5">
      <c r="A73" s="18" t="s">
        <v>110</v>
      </c>
      <c r="B73" s="87" t="s">
        <v>109</v>
      </c>
      <c r="C73" s="89">
        <f>COUNTIF(MASTER!$B:$B,$A73)</f>
        <v>102</v>
      </c>
      <c r="D73" s="90">
        <f>IF(OR(DASHBOARD!$C$3="ALL",DASHBOARD!$C$3=$B73,$A73="FUCT"),1,0)</f>
        <v>1</v>
      </c>
      <c r="E73" s="90">
        <f>IF($D73=0,"",SUM($D$68:$D73))</f>
        <v>6</v>
      </c>
    </row>
    <row r="74" spans="1:5">
      <c r="A74" s="18" t="s">
        <v>111</v>
      </c>
      <c r="B74" s="87" t="s">
        <v>109</v>
      </c>
      <c r="C74" s="89">
        <f>COUNTIF(MASTER!$B:$B,$A74)</f>
        <v>97</v>
      </c>
      <c r="D74" s="90">
        <f>IF(OR(DASHBOARD!$C$3="ALL",DASHBOARD!$C$3=$B74,$A74="FUCT"),1,0)</f>
        <v>1</v>
      </c>
      <c r="E74" s="90">
        <f>IF($D74=0,"",SUM($D$68:$D74))</f>
        <v>7</v>
      </c>
    </row>
    <row r="75" spans="1:5">
      <c r="A75" s="18" t="s">
        <v>112</v>
      </c>
      <c r="B75" s="87" t="s">
        <v>109</v>
      </c>
      <c r="C75" s="89">
        <f>COUNTIF(MASTER!$B:$B,$A75)</f>
        <v>96</v>
      </c>
      <c r="D75" s="90">
        <f>IF(OR(DASHBOARD!$C$3="ALL",DASHBOARD!$C$3=$B75,$A75="FUCT"),1,0)</f>
        <v>1</v>
      </c>
      <c r="E75" s="90">
        <f>IF($D75=0,"",SUM($D$68:$D75))</f>
        <v>8</v>
      </c>
    </row>
    <row r="76" spans="1:5">
      <c r="A76" s="18" t="s">
        <v>113</v>
      </c>
      <c r="B76" s="87" t="s">
        <v>109</v>
      </c>
      <c r="C76" s="89">
        <f>COUNTIF(MASTER!$B:$B,$A76)</f>
        <v>100</v>
      </c>
      <c r="D76" s="90">
        <f>IF(OR(DASHBOARD!$C$3="ALL",DASHBOARD!$C$3=$B76,$A76="FUCT"),1,0)</f>
        <v>1</v>
      </c>
      <c r="E76" s="90">
        <f>IF($D76=0,"",SUM($D$68:$D76))</f>
        <v>9</v>
      </c>
    </row>
    <row r="77" spans="1:5">
      <c r="A77" s="18" t="s">
        <v>114</v>
      </c>
      <c r="B77" s="87" t="s">
        <v>109</v>
      </c>
      <c r="C77" s="89">
        <f>COUNTIF(MASTER!$B:$B,$A77)</f>
        <v>97</v>
      </c>
      <c r="D77" s="90">
        <f>IF(OR(DASHBOARD!$C$3="ALL",DASHBOARD!$C$3=$B77,$A77="FUCT"),1,0)</f>
        <v>1</v>
      </c>
      <c r="E77" s="90">
        <f>IF($D77=0,"",SUM($D$68:$D77))</f>
        <v>10</v>
      </c>
    </row>
    <row r="78" spans="1:5">
      <c r="A78" s="18" t="s">
        <v>115</v>
      </c>
      <c r="B78" s="87" t="s">
        <v>109</v>
      </c>
      <c r="C78" s="89">
        <f>COUNTIF(MASTER!$B:$B,$A78)</f>
        <v>93</v>
      </c>
      <c r="D78" s="90">
        <f>IF(OR(DASHBOARD!$C$3="ALL",DASHBOARD!$C$3=$B78,$A78="FUCT"),1,0)</f>
        <v>1</v>
      </c>
      <c r="E78" s="90">
        <f>IF($D78=0,"",SUM($D$68:$D78))</f>
        <v>11</v>
      </c>
    </row>
    <row r="79" spans="1:5">
      <c r="A79" s="18" t="s">
        <v>116</v>
      </c>
      <c r="B79" s="87" t="s">
        <v>109</v>
      </c>
      <c r="C79" s="89">
        <f>COUNTIF(MASTER!$B:$B,$A79)</f>
        <v>96</v>
      </c>
      <c r="D79" s="90">
        <f>IF(OR(DASHBOARD!$C$3="ALL",DASHBOARD!$C$3=$B79,$A79="FUCT"),1,0)</f>
        <v>1</v>
      </c>
      <c r="E79" s="90">
        <f>IF($D79=0,"",SUM($D$68:$D79))</f>
        <v>12</v>
      </c>
    </row>
    <row r="80" spans="1:5">
      <c r="A80" s="18" t="s">
        <v>117</v>
      </c>
      <c r="B80" s="87" t="s">
        <v>109</v>
      </c>
      <c r="C80" s="89">
        <f>COUNTIF(MASTER!$B:$B,$A80)</f>
        <v>94</v>
      </c>
      <c r="D80" s="90">
        <f>IF(OR(DASHBOARD!$C$3="ALL",DASHBOARD!$C$3=$B80,$A80="FUCT"),1,0)</f>
        <v>1</v>
      </c>
      <c r="E80" s="90">
        <f>IF($D80=0,"",SUM($D$68:$D80))</f>
        <v>13</v>
      </c>
    </row>
    <row r="81" spans="1:5">
      <c r="A81" s="18" t="s">
        <v>118</v>
      </c>
      <c r="B81" s="87" t="s">
        <v>109</v>
      </c>
      <c r="C81" s="89">
        <f>COUNTIF(MASTER!$B:$B,$A81)</f>
        <v>98</v>
      </c>
      <c r="D81" s="90">
        <f>IF(OR(DASHBOARD!$C$3="ALL",DASHBOARD!$C$3=$B81,$A81="FUCT"),1,0)</f>
        <v>1</v>
      </c>
      <c r="E81" s="90">
        <f>IF($D81=0,"",SUM($D$68:$D81))</f>
        <v>14</v>
      </c>
    </row>
    <row r="83" spans="1:5" ht="19.5" customHeight="1">
      <c r="A83" s="91" t="s">
        <v>2896</v>
      </c>
      <c r="B83" s="91"/>
      <c r="C83" s="91"/>
    </row>
    <row r="84" spans="1:5">
      <c r="A84" s="109" t="s">
        <v>2897</v>
      </c>
      <c r="B84" s="109"/>
      <c r="C84" s="109"/>
    </row>
    <row r="85" spans="1:5">
      <c r="A85" s="109" t="s">
        <v>2898</v>
      </c>
      <c r="B85" s="109"/>
      <c r="C85" s="109"/>
    </row>
    <row r="86" spans="1:5">
      <c r="A86" s="109" t="s">
        <v>2899</v>
      </c>
      <c r="B86" s="109"/>
      <c r="C86" s="109"/>
    </row>
    <row r="87" spans="1:5">
      <c r="A87" s="109" t="s">
        <v>2900</v>
      </c>
      <c r="B87" s="109"/>
      <c r="C87" s="109"/>
    </row>
    <row r="88" spans="1:5">
      <c r="A88" s="109" t="s">
        <v>2901</v>
      </c>
      <c r="B88" s="109"/>
      <c r="C88" s="109"/>
    </row>
    <row r="89" spans="1:5">
      <c r="A89" s="109" t="s">
        <v>2902</v>
      </c>
      <c r="B89" s="109"/>
      <c r="C89" s="109"/>
    </row>
    <row r="90" spans="1:5">
      <c r="A90" s="109" t="s">
        <v>2903</v>
      </c>
      <c r="B90" s="109"/>
      <c r="C90" s="109"/>
    </row>
  </sheetData>
  <mergeCells count="17">
    <mergeCell ref="A1:E1"/>
    <mergeCell ref="A2:E2"/>
    <mergeCell ref="A3:C3"/>
    <mergeCell ref="A14:C14"/>
    <mergeCell ref="A24:C24"/>
    <mergeCell ref="A34:C34"/>
    <mergeCell ref="A44:C44"/>
    <mergeCell ref="A53:C53"/>
    <mergeCell ref="A66:E66"/>
    <mergeCell ref="A83:C83"/>
    <mergeCell ref="A89:C89"/>
    <mergeCell ref="A90:C90"/>
    <mergeCell ref="A84:C84"/>
    <mergeCell ref="A85:C85"/>
    <mergeCell ref="A86:C86"/>
    <mergeCell ref="A87:C87"/>
    <mergeCell ref="A88:C88"/>
  </mergeCells>
  <printOptions horizontalCentered="1"/>
  <pageMargins left="0.75" right="0.75" top="1" bottom="1" header="0.511811023622047" footer="0.511811023622047"/>
  <pageSetup fitToHeight="0" orientation="landscape" horizontalDpi="300" verticalDpi="300"/>
  <ignoredErrors>
    <ignoredError sqref="A1:E90"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15</vt:i4>
      </vt:variant>
    </vt:vector>
  </HeadingPairs>
  <TitlesOfParts>
    <vt:vector size="41" baseType="lpstr">
      <vt:lpstr>START HERE</vt:lpstr>
      <vt:lpstr>DASHBOARD</vt:lpstr>
      <vt:lpstr>DEPTH CURVES</vt:lpstr>
      <vt:lpstr>LEADERBOARDS</vt:lpstr>
      <vt:lpstr>TIER BOARDS</vt:lpstr>
      <vt:lpstr>PLAYER CARD</vt:lpstr>
      <vt:lpstr>CLAN COMPARE</vt:lpstr>
      <vt:lpstr>WARBANDS</vt:lpstr>
      <vt:lpstr>TRANSFERS</vt:lpstr>
      <vt:lpstr>FUCT</vt:lpstr>
      <vt:lpstr>LEGENDS</vt:lpstr>
      <vt:lpstr>VANGUARD</vt:lpstr>
      <vt:lpstr>UNDYING</vt:lpstr>
      <vt:lpstr>SBG</vt:lpstr>
      <vt:lpstr>AZUKI</vt:lpstr>
      <vt:lpstr>RECKONING</vt:lpstr>
      <vt:lpstr>ACHERON</vt:lpstr>
      <vt:lpstr>INVICTUS</vt:lpstr>
      <vt:lpstr>EMERALD LEAF</vt:lpstr>
      <vt:lpstr>SUB ROSA</vt:lpstr>
      <vt:lpstr>VENGEANCE</vt:lpstr>
      <vt:lpstr>VENDETTA</vt:lpstr>
      <vt:lpstr>ZOMBIES</vt:lpstr>
      <vt:lpstr>MASTER</vt:lpstr>
      <vt:lpstr>WARBAND ROSTER</vt:lpstr>
      <vt:lpstr>SETUP</vt:lpstr>
      <vt:lpstr>ACHERON!Print_Titles</vt:lpstr>
      <vt:lpstr>AZUKI!Print_Titles</vt:lpstr>
      <vt:lpstr>'EMERALD LEAF'!Print_Titles</vt:lpstr>
      <vt:lpstr>FUCT!Print_Titles</vt:lpstr>
      <vt:lpstr>INVICTUS!Print_Titles</vt:lpstr>
      <vt:lpstr>LEGENDS!Print_Titles</vt:lpstr>
      <vt:lpstr>MASTER!Print_Titles</vt:lpstr>
      <vt:lpstr>RECKONING!Print_Titles</vt:lpstr>
      <vt:lpstr>SBG!Print_Titles</vt:lpstr>
      <vt:lpstr>'SUB ROSA'!Print_Titles</vt:lpstr>
      <vt:lpstr>UNDYING!Print_Titles</vt:lpstr>
      <vt:lpstr>VANGUARD!Print_Titles</vt:lpstr>
      <vt:lpstr>VENDETTA!Print_Titles</vt:lpstr>
      <vt:lpstr>VENGEANCE!Print_Titles</vt:lpstr>
      <vt:lpstr>ZOMBIES!Print_Titles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Jeanine Crow</cp:lastModifiedBy>
  <cp:revision>1</cp:revision>
  <dcterms:created xsi:type="dcterms:W3CDTF">2026-08-28T02:01:38Z</dcterms:created>
  <dcterms:modified xsi:type="dcterms:W3CDTF">2026-08-28T03:42:09Z</dcterms:modified>
  <dc:language>en-US</dc:language>
</cp:coreProperties>
</file>